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5/DICCIONARIOS/SERIE A/"/>
    </mc:Choice>
  </mc:AlternateContent>
  <xr:revisionPtr revIDLastSave="531" documentId="8_{0ED550C1-9825-47D9-8794-9FFFE35134A5}" xr6:coauthVersionLast="47" xr6:coauthVersionMax="47" xr10:uidLastSave="{D943ECAE-C79A-4741-AFEC-640C37573E01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3" i="42" l="1"/>
  <c r="AI53" i="31"/>
  <c r="AB35" i="29" l="1"/>
  <c r="AA35" i="29"/>
  <c r="Z35" i="29"/>
  <c r="Y35" i="29"/>
  <c r="X35" i="29"/>
  <c r="W35" i="29"/>
  <c r="V35" i="29"/>
  <c r="U35" i="29"/>
  <c r="T35" i="29"/>
  <c r="S35" i="29"/>
  <c r="R35" i="29"/>
  <c r="CK11" i="29"/>
  <c r="CY12" i="29"/>
  <c r="CY13" i="29"/>
  <c r="CY14" i="29"/>
  <c r="CK12" i="29"/>
  <c r="CK13" i="29"/>
  <c r="CK14" i="29"/>
  <c r="CY11" i="29"/>
  <c r="CX11" i="29"/>
  <c r="CJ12" i="29"/>
  <c r="CJ13" i="29"/>
  <c r="CJ14" i="29"/>
  <c r="CJ11" i="29"/>
  <c r="BU46" i="22"/>
  <c r="BT46" i="22"/>
  <c r="BS46" i="22"/>
  <c r="BR46" i="22"/>
  <c r="BT45" i="22"/>
  <c r="BS45" i="22"/>
  <c r="BR45" i="22"/>
  <c r="BT44" i="22"/>
  <c r="BS44" i="22"/>
  <c r="BR44" i="22"/>
  <c r="BT43" i="22"/>
  <c r="BS43" i="22"/>
  <c r="BR43" i="22"/>
  <c r="BT42" i="22"/>
  <c r="BS42" i="22"/>
  <c r="BR42" i="22"/>
  <c r="BU40" i="22"/>
  <c r="BT40" i="22"/>
  <c r="BS40" i="22"/>
  <c r="BR40" i="22"/>
  <c r="BU39" i="22"/>
  <c r="BT39" i="22"/>
  <c r="BS39" i="22"/>
  <c r="BR39" i="22"/>
  <c r="CD46" i="22"/>
  <c r="CC46" i="22"/>
  <c r="CB46" i="22"/>
  <c r="CA46" i="22"/>
  <c r="CC45" i="22"/>
  <c r="CB45" i="22"/>
  <c r="CA45" i="22"/>
  <c r="CC44" i="22"/>
  <c r="CB44" i="22"/>
  <c r="CA44" i="22"/>
  <c r="CC43" i="22"/>
  <c r="CB43" i="22"/>
  <c r="CA43" i="22"/>
  <c r="CC42" i="22"/>
  <c r="CB42" i="22"/>
  <c r="CA42" i="22"/>
  <c r="CD40" i="22"/>
  <c r="CC40" i="22"/>
  <c r="CB40" i="22"/>
  <c r="CA40" i="22"/>
  <c r="CD39" i="22"/>
  <c r="CC39" i="22"/>
  <c r="CB39" i="22"/>
  <c r="CA39" i="22"/>
  <c r="CD38" i="22"/>
  <c r="CC38" i="22"/>
  <c r="CB38" i="22"/>
  <c r="BU38" i="22"/>
  <c r="BT38" i="22"/>
  <c r="BS38" i="22"/>
  <c r="CA38" i="22"/>
  <c r="BR38" i="22"/>
  <c r="CB316" i="29" l="1"/>
  <c r="C120" i="22" l="1"/>
  <c r="N59" i="22"/>
  <c r="M59" i="22"/>
  <c r="L59" i="22"/>
  <c r="K59" i="22"/>
  <c r="J59" i="22"/>
  <c r="I59" i="22"/>
  <c r="H59" i="22"/>
  <c r="G59" i="22"/>
  <c r="F59" i="22"/>
  <c r="E59" i="22"/>
  <c r="CE130" i="39" l="1"/>
  <c r="CD130" i="39"/>
  <c r="CE129" i="39"/>
  <c r="CD129" i="39"/>
  <c r="CE128" i="39"/>
  <c r="CD128" i="39"/>
  <c r="CE127" i="39"/>
  <c r="CD127" i="39"/>
  <c r="CE126" i="39"/>
  <c r="CD126" i="39"/>
  <c r="CE125" i="39"/>
  <c r="CD125" i="39"/>
  <c r="CE124" i="39"/>
  <c r="CD124" i="39"/>
  <c r="CE123" i="39"/>
  <c r="CD123" i="39"/>
  <c r="CE122" i="39"/>
  <c r="CD122" i="39"/>
  <c r="N35" i="29"/>
  <c r="M35" i="29"/>
  <c r="L35" i="29"/>
  <c r="K35" i="29"/>
  <c r="J35" i="29"/>
  <c r="I35" i="29"/>
  <c r="H35" i="29"/>
  <c r="G35" i="29"/>
  <c r="F35" i="29"/>
  <c r="E35" i="29"/>
  <c r="Z330" i="13" l="1"/>
  <c r="AO335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AO334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AO333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AO332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AO331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AO330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Y330" i="13"/>
  <c r="X335" i="13"/>
  <c r="X334" i="13"/>
  <c r="X333" i="13"/>
  <c r="X332" i="13"/>
  <c r="X331" i="13"/>
  <c r="X330" i="13"/>
  <c r="CB103" i="13"/>
  <c r="CB102" i="13"/>
  <c r="CB101" i="13"/>
  <c r="CB100" i="13"/>
  <c r="CB99" i="13"/>
  <c r="CB98" i="13"/>
  <c r="CB97" i="13"/>
  <c r="CB96" i="13"/>
  <c r="CB95" i="13"/>
  <c r="CB94" i="13"/>
  <c r="CB93" i="13"/>
  <c r="CB92" i="13"/>
  <c r="CB91" i="13"/>
  <c r="CB142" i="13"/>
  <c r="CB141" i="13"/>
  <c r="CB140" i="13"/>
  <c r="CB139" i="13"/>
  <c r="CB138" i="13"/>
  <c r="CB137" i="13"/>
  <c r="CB136" i="13"/>
  <c r="CB135" i="13"/>
  <c r="CB134" i="13"/>
  <c r="CB133" i="13"/>
  <c r="CB132" i="13"/>
  <c r="CB131" i="13"/>
  <c r="CB130" i="13"/>
  <c r="CB129" i="13"/>
  <c r="CB128" i="13"/>
  <c r="CB126" i="13"/>
  <c r="CB120" i="13"/>
  <c r="CB119" i="13"/>
  <c r="CB118" i="13"/>
  <c r="CB117" i="13"/>
  <c r="CB116" i="13"/>
  <c r="CB115" i="13"/>
  <c r="CB114" i="13"/>
  <c r="CB113" i="13"/>
  <c r="CB112" i="13"/>
  <c r="CB111" i="13"/>
  <c r="CB109" i="13"/>
  <c r="CB108" i="13"/>
  <c r="CB107" i="13"/>
  <c r="CB106" i="13"/>
  <c r="CB105" i="13"/>
  <c r="CE110" i="13"/>
  <c r="CB110" i="13"/>
  <c r="BN37" i="5" l="1"/>
  <c r="BE37" i="5"/>
  <c r="Q37" i="5" s="1"/>
  <c r="BN36" i="5"/>
  <c r="BE36" i="5"/>
  <c r="Q36" i="5" s="1"/>
  <c r="BE35" i="5"/>
  <c r="Q35" i="5" s="1"/>
  <c r="BN35" i="5"/>
  <c r="BE34" i="5"/>
  <c r="Q34" i="5" s="1"/>
  <c r="BN34" i="5"/>
  <c r="BN33" i="5"/>
  <c r="BE33" i="5"/>
  <c r="Q33" i="5" s="1"/>
  <c r="BN32" i="5"/>
  <c r="BE32" i="5"/>
  <c r="Q32" i="5" s="1"/>
  <c r="BN31" i="5"/>
  <c r="BM31" i="5"/>
  <c r="BE31" i="5"/>
  <c r="BB31" i="5"/>
  <c r="BC31" i="5"/>
  <c r="BK31" i="5"/>
  <c r="BL31" i="5"/>
  <c r="BD31" i="5"/>
  <c r="O35" i="29" l="1"/>
  <c r="P35" i="29"/>
  <c r="Q35" i="29"/>
  <c r="O63" i="29"/>
  <c r="CF43" i="29"/>
  <c r="CE44" i="29"/>
  <c r="CP84" i="37" l="1"/>
  <c r="CP83" i="37"/>
  <c r="CP82" i="37"/>
  <c r="CG84" i="37"/>
  <c r="CG83" i="37"/>
  <c r="CG82" i="37"/>
  <c r="C12" i="42"/>
  <c r="D98" i="42"/>
  <c r="C98" i="42"/>
  <c r="CC46" i="29"/>
  <c r="CC45" i="29"/>
  <c r="CN44" i="11" l="1"/>
  <c r="CO44" i="11"/>
  <c r="CK44" i="11"/>
  <c r="CB44" i="11"/>
  <c r="CO47" i="11"/>
  <c r="CN47" i="11"/>
  <c r="CE47" i="11"/>
  <c r="CB47" i="11"/>
  <c r="CF47" i="11"/>
  <c r="CA47" i="11" a="1"/>
  <c r="CA47" i="11" s="1"/>
  <c r="CK47" i="11"/>
  <c r="CJ47" i="11" a="1"/>
  <c r="CJ47" i="11" s="1"/>
  <c r="CG45" i="29"/>
  <c r="CU45" i="29"/>
  <c r="CG46" i="29"/>
  <c r="CU46" i="29"/>
  <c r="AY47" i="11" l="1"/>
  <c r="G67" i="13"/>
  <c r="F67" i="13"/>
  <c r="D52" i="38"/>
  <c r="E52" i="38"/>
  <c r="P42" i="22"/>
  <c r="P46" i="22"/>
  <c r="P45" i="22"/>
  <c r="P44" i="22"/>
  <c r="P43" i="22"/>
  <c r="CJ77" i="39"/>
  <c r="CB156" i="39"/>
  <c r="CB152" i="39"/>
  <c r="CK78" i="39"/>
  <c r="CJ78" i="39"/>
  <c r="CL78" i="39"/>
  <c r="CM78" i="39"/>
  <c r="CN78" i="39"/>
  <c r="CJ79" i="39"/>
  <c r="CK79" i="39"/>
  <c r="CL79" i="39"/>
  <c r="CM79" i="39"/>
  <c r="CN79" i="39"/>
  <c r="CN77" i="39"/>
  <c r="CM77" i="39"/>
  <c r="CL77" i="39"/>
  <c r="CK77" i="39"/>
  <c r="CE77" i="39"/>
  <c r="CD77" i="39"/>
  <c r="CC77" i="39"/>
  <c r="CB77" i="39"/>
  <c r="CE78" i="39"/>
  <c r="CD78" i="39"/>
  <c r="CC78" i="39"/>
  <c r="CB78" i="39"/>
  <c r="CF79" i="39"/>
  <c r="CD79" i="39"/>
  <c r="CC79" i="39"/>
  <c r="CB79" i="39"/>
  <c r="CE79" i="39"/>
  <c r="CF78" i="39"/>
  <c r="CF77" i="39"/>
  <c r="CD13" i="39"/>
  <c r="CJ14" i="39"/>
  <c r="CK14" i="39"/>
  <c r="CL14" i="39"/>
  <c r="CM14" i="39"/>
  <c r="CN14" i="39"/>
  <c r="CJ15" i="39"/>
  <c r="CK15" i="39"/>
  <c r="CL15" i="39"/>
  <c r="CM15" i="39"/>
  <c r="CN15" i="39"/>
  <c r="CJ16" i="39"/>
  <c r="CK16" i="39"/>
  <c r="CL16" i="39"/>
  <c r="CM16" i="39"/>
  <c r="CN16" i="39"/>
  <c r="CJ17" i="39"/>
  <c r="CK17" i="39"/>
  <c r="CL17" i="39"/>
  <c r="CM17" i="39"/>
  <c r="CN17" i="39"/>
  <c r="CJ18" i="39"/>
  <c r="CK18" i="39"/>
  <c r="CL18" i="39"/>
  <c r="CM18" i="39"/>
  <c r="CN18" i="39"/>
  <c r="CJ19" i="39"/>
  <c r="CK19" i="39"/>
  <c r="CL19" i="39"/>
  <c r="CM19" i="39"/>
  <c r="CN19" i="39"/>
  <c r="CJ20" i="39"/>
  <c r="CK20" i="39"/>
  <c r="CL20" i="39"/>
  <c r="CM20" i="39"/>
  <c r="CN20" i="39"/>
  <c r="CJ21" i="39"/>
  <c r="CK21" i="39"/>
  <c r="CL21" i="39"/>
  <c r="CM21" i="39"/>
  <c r="CN21" i="39"/>
  <c r="CJ22" i="39"/>
  <c r="CK22" i="39"/>
  <c r="CL22" i="39"/>
  <c r="CM22" i="39"/>
  <c r="CN22" i="39"/>
  <c r="CJ23" i="39"/>
  <c r="CK23" i="39"/>
  <c r="CL23" i="39"/>
  <c r="CM23" i="39"/>
  <c r="CN23" i="39"/>
  <c r="CF14" i="39"/>
  <c r="CF15" i="39"/>
  <c r="CF16" i="39"/>
  <c r="CF17" i="39"/>
  <c r="CF18" i="39"/>
  <c r="CF19" i="39"/>
  <c r="CF20" i="39"/>
  <c r="CF21" i="39"/>
  <c r="CF22" i="39"/>
  <c r="CF23" i="39"/>
  <c r="CF13" i="39"/>
  <c r="CN13" i="39"/>
  <c r="CM13" i="39"/>
  <c r="CL13" i="39"/>
  <c r="CK13" i="39"/>
  <c r="CJ13" i="39"/>
  <c r="CB13" i="39"/>
  <c r="CB14" i="39"/>
  <c r="CC14" i="39"/>
  <c r="CD14" i="39"/>
  <c r="CE14" i="39"/>
  <c r="CB15" i="39"/>
  <c r="CC15" i="39"/>
  <c r="CD15" i="39"/>
  <c r="CE15" i="39"/>
  <c r="CB16" i="39"/>
  <c r="CC16" i="39"/>
  <c r="CD16" i="39"/>
  <c r="CE16" i="39"/>
  <c r="CB17" i="39"/>
  <c r="CC17" i="39"/>
  <c r="CD17" i="39"/>
  <c r="CE17" i="39"/>
  <c r="CB18" i="39"/>
  <c r="CC18" i="39"/>
  <c r="CD18" i="39"/>
  <c r="CE18" i="39"/>
  <c r="CB19" i="39"/>
  <c r="CC19" i="39"/>
  <c r="CD19" i="39"/>
  <c r="CE19" i="39"/>
  <c r="CB20" i="39"/>
  <c r="CC20" i="39"/>
  <c r="CD20" i="39"/>
  <c r="CE20" i="39"/>
  <c r="CB21" i="39"/>
  <c r="CC21" i="39"/>
  <c r="CD21" i="39"/>
  <c r="CE21" i="39"/>
  <c r="CB22" i="39"/>
  <c r="CC22" i="39"/>
  <c r="CD22" i="39"/>
  <c r="CE22" i="39"/>
  <c r="CB23" i="39"/>
  <c r="CC23" i="39"/>
  <c r="CD23" i="39"/>
  <c r="CE23" i="39"/>
  <c r="CE13" i="39"/>
  <c r="CC13" i="39"/>
  <c r="P39" i="22" l="1"/>
  <c r="P40" i="22"/>
  <c r="P38" i="22"/>
  <c r="N77" i="39"/>
  <c r="AH19" i="39"/>
  <c r="AH16" i="39"/>
  <c r="AH17" i="39"/>
  <c r="AH15" i="39"/>
  <c r="AH22" i="39"/>
  <c r="AH14" i="39"/>
  <c r="AH23" i="39"/>
  <c r="AH18" i="39"/>
  <c r="AH21" i="39"/>
  <c r="AH20" i="39"/>
  <c r="AH13" i="39"/>
  <c r="CL93" i="34"/>
  <c r="CC153" i="34"/>
  <c r="CL154" i="34"/>
  <c r="CM154" i="34"/>
  <c r="CL155" i="34"/>
  <c r="CM155" i="34"/>
  <c r="CL156" i="34"/>
  <c r="CM156" i="34"/>
  <c r="CL157" i="34"/>
  <c r="CM157" i="34"/>
  <c r="CM153" i="34"/>
  <c r="CL153" i="34"/>
  <c r="CL11" i="32"/>
  <c r="CM167" i="31"/>
  <c r="CC167" i="31"/>
  <c r="CC149" i="31"/>
  <c r="CC148" i="31"/>
  <c r="C138" i="43"/>
  <c r="D27" i="18" s="1"/>
  <c r="C174" i="42"/>
  <c r="C125" i="49" l="1"/>
  <c r="G34" i="49"/>
  <c r="J90" i="24"/>
  <c r="E90" i="24"/>
  <c r="D24" i="24"/>
  <c r="R57" i="43"/>
  <c r="O57" i="43"/>
  <c r="J57" i="43"/>
  <c r="H57" i="43"/>
  <c r="I57" i="43"/>
  <c r="K57" i="43"/>
  <c r="L57" i="43"/>
  <c r="M57" i="43"/>
  <c r="N57" i="43"/>
  <c r="P57" i="43"/>
  <c r="Q57" i="43"/>
  <c r="G57" i="43"/>
  <c r="G32" i="43"/>
  <c r="R32" i="43"/>
  <c r="Q32" i="43"/>
  <c r="P32" i="43"/>
  <c r="O32" i="43"/>
  <c r="N32" i="43"/>
  <c r="M32" i="43"/>
  <c r="L32" i="43"/>
  <c r="K32" i="43"/>
  <c r="J32" i="43"/>
  <c r="I32" i="43"/>
  <c r="H32" i="43"/>
  <c r="I123" i="42" l="1"/>
  <c r="F98" i="31"/>
  <c r="AH53" i="31"/>
  <c r="AD53" i="31"/>
  <c r="F53" i="31"/>
  <c r="J53" i="31"/>
  <c r="G53" i="31"/>
  <c r="H53" i="31"/>
  <c r="I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E53" i="31"/>
  <c r="AF53" i="31"/>
  <c r="AG53" i="31"/>
  <c r="AJ53" i="31"/>
  <c r="CS23" i="31" l="1"/>
  <c r="CI23" i="31"/>
  <c r="CS51" i="31"/>
  <c r="CI51" i="31"/>
  <c r="CS12" i="31"/>
  <c r="CI12" i="31"/>
  <c r="CD52" i="31"/>
  <c r="CS52" i="31"/>
  <c r="CI52" i="31"/>
  <c r="CI24" i="31"/>
  <c r="CS24" i="31"/>
  <c r="CS31" i="31"/>
  <c r="CI31" i="31"/>
  <c r="CC22" i="31"/>
  <c r="CS22" i="31"/>
  <c r="CI22" i="31"/>
  <c r="CM163" i="31"/>
  <c r="CC163" i="31"/>
  <c r="CC168" i="31"/>
  <c r="CM168" i="31"/>
  <c r="CM166" i="31"/>
  <c r="CC166" i="31"/>
  <c r="CC155" i="31"/>
  <c r="CM155" i="31"/>
  <c r="CM164" i="31"/>
  <c r="CC164" i="31"/>
  <c r="CC157" i="31"/>
  <c r="CM157" i="31"/>
  <c r="CC156" i="31"/>
  <c r="CM156" i="31"/>
  <c r="CC158" i="31"/>
  <c r="CM158" i="31"/>
  <c r="CC159" i="31"/>
  <c r="CM159" i="31"/>
  <c r="CC160" i="31"/>
  <c r="CM160" i="31"/>
  <c r="CM161" i="31"/>
  <c r="CC161" i="31"/>
  <c r="CM165" i="31"/>
  <c r="CC165" i="31"/>
  <c r="CM162" i="31"/>
  <c r="CC162" i="31"/>
  <c r="CA50" i="22"/>
  <c r="BU50" i="22"/>
  <c r="BR50" i="22"/>
  <c r="BT50" i="22"/>
  <c r="BS50" i="22"/>
  <c r="W12" i="42"/>
  <c r="CG22" i="31"/>
  <c r="E53" i="31"/>
  <c r="B4" i="32"/>
  <c r="B4" i="11"/>
  <c r="B3" i="11"/>
  <c r="B2" i="11"/>
  <c r="B4" i="24"/>
  <c r="B3" i="24"/>
  <c r="B2" i="24"/>
  <c r="B4" i="23"/>
  <c r="B3" i="23"/>
  <c r="B2" i="23"/>
  <c r="B4" i="43"/>
  <c r="B3" i="43"/>
  <c r="B2" i="43"/>
  <c r="B4" i="42"/>
  <c r="B3" i="42"/>
  <c r="B2" i="42"/>
  <c r="B4" i="41"/>
  <c r="B3" i="41"/>
  <c r="B2" i="41"/>
  <c r="B4" i="48"/>
  <c r="B3" i="48"/>
  <c r="B2" i="48"/>
  <c r="B4" i="22"/>
  <c r="B3" i="22"/>
  <c r="B2" i="22"/>
  <c r="B4" i="27"/>
  <c r="B3" i="27"/>
  <c r="B2" i="27"/>
  <c r="B4" i="39"/>
  <c r="B3" i="39"/>
  <c r="B2" i="39"/>
  <c r="B4" i="19"/>
  <c r="B3" i="19"/>
  <c r="B2" i="19"/>
  <c r="B4" i="5"/>
  <c r="B3" i="5"/>
  <c r="B2" i="5"/>
  <c r="B4" i="38"/>
  <c r="B3" i="38"/>
  <c r="B2" i="38"/>
  <c r="B4" i="37"/>
  <c r="B3" i="37"/>
  <c r="B2" i="37"/>
  <c r="B4" i="36"/>
  <c r="B3" i="36"/>
  <c r="B2" i="36"/>
  <c r="B4" i="47"/>
  <c r="B3" i="47"/>
  <c r="B2" i="47"/>
  <c r="B4" i="13"/>
  <c r="B3" i="13"/>
  <c r="B2" i="13"/>
  <c r="B4" i="4"/>
  <c r="B3" i="4"/>
  <c r="B2" i="4"/>
  <c r="B4" i="46"/>
  <c r="B3" i="46"/>
  <c r="B2" i="46"/>
  <c r="B4" i="45"/>
  <c r="B3" i="45"/>
  <c r="B2" i="45"/>
  <c r="B4" i="28"/>
  <c r="B3" i="28"/>
  <c r="B2" i="28"/>
  <c r="B4" i="34"/>
  <c r="B3" i="34"/>
  <c r="B2" i="34"/>
  <c r="B4" i="33"/>
  <c r="B3" i="33"/>
  <c r="B2" i="33"/>
  <c r="B4" i="29"/>
  <c r="B2" i="29"/>
  <c r="B3" i="29"/>
  <c r="CM30" i="32"/>
  <c r="B4" i="49"/>
  <c r="B3" i="49"/>
  <c r="B2" i="49"/>
  <c r="CB168" i="31"/>
  <c r="CB167" i="31"/>
  <c r="CL66" i="31"/>
  <c r="G98" i="31"/>
  <c r="H98" i="31"/>
  <c r="I98" i="31"/>
  <c r="J98" i="31"/>
  <c r="CL97" i="31"/>
  <c r="B3" i="32"/>
  <c r="B2" i="32"/>
  <c r="B4" i="31"/>
  <c r="B3" i="31"/>
  <c r="B2" i="31"/>
  <c r="AU100" i="5"/>
  <c r="AU101" i="5"/>
  <c r="CD44" i="13"/>
  <c r="CB12" i="13"/>
  <c r="CE55" i="29"/>
  <c r="CV78" i="32"/>
  <c r="DE27" i="32"/>
  <c r="CK30" i="32"/>
  <c r="CK27" i="32"/>
  <c r="CK28" i="32"/>
  <c r="CK11" i="32"/>
  <c r="CC250" i="13"/>
  <c r="CJ41" i="11" l="1" a="1"/>
  <c r="CJ41" i="11" s="1"/>
  <c r="CM41" i="11"/>
  <c r="CL41" i="11"/>
  <c r="CO41" i="11"/>
  <c r="CN41" i="11"/>
  <c r="CD41" i="11"/>
  <c r="CK41" i="11"/>
  <c r="CC41" i="11"/>
  <c r="CA41" i="11" a="1"/>
  <c r="CA41" i="11" s="1"/>
  <c r="CB41" i="11"/>
  <c r="CB78" i="32"/>
  <c r="CF41" i="11"/>
  <c r="CE41" i="11"/>
  <c r="CB66" i="31"/>
  <c r="CB97" i="31"/>
  <c r="CC12" i="46"/>
  <c r="CH212" i="29"/>
  <c r="CM22" i="32"/>
  <c r="BR193" i="28"/>
  <c r="R117" i="28"/>
  <c r="O117" i="28"/>
  <c r="N117" i="28"/>
  <c r="P117" i="28"/>
  <c r="Q117" i="28"/>
  <c r="H200" i="32"/>
  <c r="C200" i="32"/>
  <c r="C183" i="32"/>
  <c r="C166" i="32"/>
  <c r="V399" i="29"/>
  <c r="U399" i="29"/>
  <c r="T399" i="29"/>
  <c r="S399" i="29"/>
  <c r="R399" i="29"/>
  <c r="Q399" i="29"/>
  <c r="P399" i="29"/>
  <c r="O399" i="29"/>
  <c r="N399" i="29"/>
  <c r="V395" i="29"/>
  <c r="U395" i="29"/>
  <c r="T395" i="29"/>
  <c r="S395" i="29"/>
  <c r="R395" i="29"/>
  <c r="Q395" i="29"/>
  <c r="P395" i="29"/>
  <c r="O395" i="29"/>
  <c r="N395" i="29"/>
  <c r="J139" i="5"/>
  <c r="I139" i="5"/>
  <c r="H139" i="5"/>
  <c r="G139" i="5"/>
  <c r="F139" i="5"/>
  <c r="E139" i="5"/>
  <c r="D139" i="5"/>
  <c r="C139" i="5"/>
  <c r="AY41" i="11" l="1"/>
  <c r="CD12" i="46"/>
  <c r="CM11" i="32"/>
  <c r="CY11" i="32"/>
  <c r="BW193" i="28"/>
  <c r="BX193" i="28"/>
  <c r="BV193" i="28"/>
  <c r="BQ193" i="28"/>
  <c r="BP193" i="28"/>
  <c r="J193" i="28" l="1"/>
  <c r="M174" i="13" l="1"/>
  <c r="H146" i="46"/>
  <c r="G67" i="46"/>
  <c r="B5" i="38" l="1"/>
  <c r="B5" i="37"/>
  <c r="B5" i="4"/>
  <c r="B5" i="49"/>
  <c r="B5" i="43"/>
  <c r="CB114" i="38" l="1"/>
  <c r="CC114" i="38"/>
  <c r="CN114" i="38"/>
  <c r="CO114" i="38"/>
  <c r="CB115" i="38"/>
  <c r="CC115" i="38"/>
  <c r="CN115" i="38"/>
  <c r="CO115" i="38"/>
  <c r="CB116" i="38"/>
  <c r="CC116" i="38"/>
  <c r="CN116" i="38"/>
  <c r="CO116" i="38"/>
  <c r="CB117" i="38"/>
  <c r="CC117" i="38"/>
  <c r="CN117" i="38"/>
  <c r="CO117" i="38"/>
  <c r="CB118" i="38"/>
  <c r="CC118" i="38"/>
  <c r="CN118" i="38"/>
  <c r="CO118" i="38"/>
  <c r="CB119" i="38"/>
  <c r="CC119" i="38"/>
  <c r="CN119" i="38"/>
  <c r="CO119" i="38"/>
  <c r="CB120" i="38"/>
  <c r="CC120" i="38"/>
  <c r="CN120" i="38"/>
  <c r="CO120" i="38"/>
  <c r="CB121" i="38"/>
  <c r="CC121" i="38"/>
  <c r="CN121" i="38"/>
  <c r="CO121" i="38"/>
  <c r="CB122" i="38"/>
  <c r="CC122" i="38"/>
  <c r="CN122" i="38"/>
  <c r="CO122" i="38"/>
  <c r="CO113" i="38"/>
  <c r="CN113" i="38"/>
  <c r="CC113" i="38"/>
  <c r="CB113" i="38"/>
  <c r="CB78" i="38"/>
  <c r="CC78" i="38"/>
  <c r="CB79" i="38"/>
  <c r="CC79" i="38"/>
  <c r="CB80" i="38"/>
  <c r="CC80" i="38"/>
  <c r="CB81" i="38"/>
  <c r="CC81" i="38"/>
  <c r="CB82" i="38"/>
  <c r="CC82" i="38"/>
  <c r="CG82" i="38"/>
  <c r="CH82" i="38"/>
  <c r="CB83" i="38"/>
  <c r="CC83" i="38"/>
  <c r="CB84" i="38"/>
  <c r="CC84" i="38"/>
  <c r="CB85" i="38"/>
  <c r="CC85" i="38"/>
  <c r="CB86" i="38"/>
  <c r="CC86" i="38"/>
  <c r="CB87" i="38"/>
  <c r="CC87" i="38"/>
  <c r="CB88" i="38"/>
  <c r="CC88" i="38"/>
  <c r="CB89" i="38"/>
  <c r="CC89" i="38"/>
  <c r="CB90" i="38"/>
  <c r="CC90" i="38"/>
  <c r="CC91" i="38"/>
  <c r="CB91" i="38"/>
  <c r="CB98" i="38"/>
  <c r="CC98" i="38"/>
  <c r="CN98" i="38"/>
  <c r="CO98" i="38"/>
  <c r="CB99" i="38"/>
  <c r="CC99" i="38"/>
  <c r="CN99" i="38"/>
  <c r="CO99" i="38"/>
  <c r="CB100" i="38"/>
  <c r="CC100" i="38"/>
  <c r="CN100" i="38"/>
  <c r="CO100" i="38"/>
  <c r="CB101" i="38"/>
  <c r="CC101" i="38"/>
  <c r="CN101" i="38"/>
  <c r="CO101" i="38"/>
  <c r="CB102" i="38"/>
  <c r="CC102" i="38"/>
  <c r="CN102" i="38"/>
  <c r="CO102" i="38"/>
  <c r="CB103" i="38"/>
  <c r="CC103" i="38"/>
  <c r="CN103" i="38"/>
  <c r="CO103" i="38"/>
  <c r="CB104" i="38"/>
  <c r="CC104" i="38"/>
  <c r="CN104" i="38"/>
  <c r="CO104" i="38"/>
  <c r="CB105" i="38"/>
  <c r="CC105" i="38"/>
  <c r="CN105" i="38"/>
  <c r="CO105" i="38"/>
  <c r="CB106" i="38"/>
  <c r="CC106" i="38"/>
  <c r="CN106" i="38"/>
  <c r="CO106" i="38"/>
  <c r="CB107" i="38"/>
  <c r="CC107" i="38"/>
  <c r="CN107" i="38"/>
  <c r="CO107" i="38"/>
  <c r="CB108" i="38"/>
  <c r="CC108" i="38"/>
  <c r="CN108" i="38"/>
  <c r="CO108" i="38"/>
  <c r="CO97" i="38"/>
  <c r="CN97" i="38"/>
  <c r="CC97" i="38"/>
  <c r="CB97" i="38"/>
  <c r="CD82" i="38"/>
  <c r="CN79" i="38"/>
  <c r="CO79" i="38"/>
  <c r="CN80" i="38"/>
  <c r="CO80" i="38"/>
  <c r="CN81" i="38"/>
  <c r="CO81" i="38"/>
  <c r="CN82" i="38"/>
  <c r="CO82" i="38"/>
  <c r="CP82" i="38"/>
  <c r="CQ82" i="38"/>
  <c r="CR82" i="38"/>
  <c r="CT82" i="38"/>
  <c r="CN83" i="38"/>
  <c r="CO83" i="38"/>
  <c r="CN84" i="38"/>
  <c r="CO84" i="38"/>
  <c r="CN85" i="38"/>
  <c r="CO85" i="38"/>
  <c r="CN86" i="38"/>
  <c r="CO86" i="38"/>
  <c r="CN87" i="38"/>
  <c r="CO87" i="38"/>
  <c r="CN88" i="38"/>
  <c r="CO88" i="38"/>
  <c r="CN89" i="38"/>
  <c r="CO89" i="38"/>
  <c r="CN90" i="38"/>
  <c r="CO90" i="38"/>
  <c r="CN91" i="38"/>
  <c r="CO91" i="38"/>
  <c r="CO78" i="38"/>
  <c r="CN78" i="38"/>
  <c r="CB63" i="38"/>
  <c r="CC63" i="38"/>
  <c r="CN63" i="38"/>
  <c r="CO63" i="38"/>
  <c r="CB64" i="38"/>
  <c r="CC64" i="38"/>
  <c r="CN64" i="38"/>
  <c r="CO64" i="38"/>
  <c r="CB65" i="38"/>
  <c r="CC65" i="38"/>
  <c r="CN65" i="38"/>
  <c r="CO65" i="38"/>
  <c r="CB66" i="38"/>
  <c r="CC66" i="38"/>
  <c r="CN66" i="38"/>
  <c r="CO66" i="38"/>
  <c r="CB67" i="38"/>
  <c r="CC67" i="38"/>
  <c r="CN67" i="38"/>
  <c r="CO67" i="38"/>
  <c r="CB68" i="38"/>
  <c r="CC68" i="38"/>
  <c r="CN68" i="38"/>
  <c r="CO68" i="38"/>
  <c r="CB69" i="38"/>
  <c r="CC69" i="38"/>
  <c r="CN69" i="38"/>
  <c r="CO69" i="38"/>
  <c r="CB70" i="38"/>
  <c r="CC70" i="38"/>
  <c r="CN70" i="38"/>
  <c r="CO70" i="38"/>
  <c r="CB71" i="38"/>
  <c r="CC71" i="38"/>
  <c r="CN71" i="38"/>
  <c r="CO71" i="38"/>
  <c r="CB72" i="38"/>
  <c r="CC72" i="38"/>
  <c r="CN72" i="38"/>
  <c r="CO72" i="38"/>
  <c r="CB73" i="38"/>
  <c r="CC73" i="38"/>
  <c r="CN73" i="38"/>
  <c r="CO73" i="38"/>
  <c r="CO62" i="38"/>
  <c r="CN62" i="38"/>
  <c r="CB62" i="38"/>
  <c r="CC62" i="38"/>
  <c r="CV13" i="38"/>
  <c r="CV14" i="38"/>
  <c r="CV15" i="38"/>
  <c r="CV16" i="38"/>
  <c r="CV17" i="38"/>
  <c r="CV18" i="38"/>
  <c r="CV19" i="38"/>
  <c r="CV20" i="38"/>
  <c r="CV21" i="38"/>
  <c r="CV22" i="38"/>
  <c r="CV23" i="38"/>
  <c r="CV24" i="38"/>
  <c r="CV25" i="38"/>
  <c r="CV26" i="38"/>
  <c r="CV27" i="38"/>
  <c r="CV28" i="38"/>
  <c r="CV29" i="38"/>
  <c r="CV30" i="38"/>
  <c r="CV31" i="38"/>
  <c r="CV32" i="38"/>
  <c r="CV33" i="38"/>
  <c r="CV34" i="38"/>
  <c r="CV35" i="38"/>
  <c r="CV36" i="38"/>
  <c r="CV37" i="38"/>
  <c r="CV38" i="38"/>
  <c r="CV39" i="38"/>
  <c r="CV40" i="38"/>
  <c r="CV41" i="38"/>
  <c r="CV42" i="38"/>
  <c r="CV43" i="38"/>
  <c r="CV44" i="38"/>
  <c r="CV45" i="38"/>
  <c r="CV46" i="38"/>
  <c r="CV47" i="38"/>
  <c r="CV48" i="38"/>
  <c r="CV49" i="38"/>
  <c r="CV50" i="38"/>
  <c r="CV51" i="38"/>
  <c r="CV53" i="38"/>
  <c r="CV54" i="38"/>
  <c r="CV55" i="38"/>
  <c r="CV56" i="38"/>
  <c r="CV57" i="38"/>
  <c r="CV12" i="38"/>
  <c r="CU12" i="38"/>
  <c r="CQ12" i="38"/>
  <c r="CO12" i="38"/>
  <c r="CJ13" i="38"/>
  <c r="CJ14" i="38"/>
  <c r="CJ15" i="38"/>
  <c r="CJ16" i="38"/>
  <c r="CJ17" i="38"/>
  <c r="CJ18" i="38"/>
  <c r="CJ19" i="38"/>
  <c r="CJ20" i="38"/>
  <c r="CJ21" i="38"/>
  <c r="CJ22" i="38"/>
  <c r="CJ23" i="38"/>
  <c r="CJ24" i="38"/>
  <c r="CJ25" i="38"/>
  <c r="CJ26" i="38"/>
  <c r="CJ27" i="38"/>
  <c r="CJ28" i="38"/>
  <c r="CJ29" i="38"/>
  <c r="CJ30" i="38"/>
  <c r="CJ31" i="38"/>
  <c r="CJ32" i="38"/>
  <c r="CJ33" i="38"/>
  <c r="CJ34" i="38"/>
  <c r="CJ35" i="38"/>
  <c r="CJ36" i="38"/>
  <c r="CJ37" i="38"/>
  <c r="CJ38" i="38"/>
  <c r="CJ39" i="38"/>
  <c r="CJ40" i="38"/>
  <c r="CJ41" i="38"/>
  <c r="CJ42" i="38"/>
  <c r="CJ43" i="38"/>
  <c r="CJ44" i="38"/>
  <c r="CJ45" i="38"/>
  <c r="CJ46" i="38"/>
  <c r="CJ47" i="38"/>
  <c r="CJ48" i="38"/>
  <c r="CJ49" i="38"/>
  <c r="CJ50" i="38"/>
  <c r="CJ51" i="38"/>
  <c r="CJ53" i="38"/>
  <c r="CJ54" i="38"/>
  <c r="CJ55" i="38"/>
  <c r="CJ56" i="38"/>
  <c r="CJ57" i="38"/>
  <c r="CJ12" i="38"/>
  <c r="CI12" i="38"/>
  <c r="CH12" i="38"/>
  <c r="CG12" i="38"/>
  <c r="CF12" i="38"/>
  <c r="CE12" i="38"/>
  <c r="CD12" i="38"/>
  <c r="CR12" i="38"/>
  <c r="CB12" i="38"/>
  <c r="T12" i="38" s="1"/>
  <c r="CB13" i="38"/>
  <c r="CK122" i="37"/>
  <c r="CK108" i="37"/>
  <c r="CB122" i="37"/>
  <c r="CB113" i="37"/>
  <c r="CU161" i="46"/>
  <c r="CT161" i="46"/>
  <c r="CU160" i="46"/>
  <c r="CT160" i="46"/>
  <c r="CU159" i="46"/>
  <c r="CT159" i="46"/>
  <c r="CU157" i="46"/>
  <c r="CT157" i="46"/>
  <c r="CI161" i="46"/>
  <c r="CH161" i="46"/>
  <c r="CI160" i="46"/>
  <c r="CH160" i="46"/>
  <c r="CI159" i="46"/>
  <c r="CH159" i="46"/>
  <c r="CI157" i="46"/>
  <c r="CH157" i="46"/>
  <c r="CR24" i="31"/>
  <c r="CH24" i="31"/>
  <c r="CO13" i="38"/>
  <c r="CO14" i="38"/>
  <c r="CO15" i="38"/>
  <c r="CO16" i="38"/>
  <c r="CO17" i="38"/>
  <c r="CO18" i="38"/>
  <c r="CO19" i="38"/>
  <c r="CO20" i="38"/>
  <c r="CO21" i="38"/>
  <c r="CO22" i="38"/>
  <c r="CO23" i="38"/>
  <c r="CO24" i="38"/>
  <c r="CO25" i="38"/>
  <c r="CO26" i="38"/>
  <c r="CO27" i="38"/>
  <c r="CO28" i="38"/>
  <c r="CO29" i="38"/>
  <c r="CO30" i="38"/>
  <c r="CO31" i="38"/>
  <c r="CO32" i="38"/>
  <c r="CO33" i="38"/>
  <c r="CO34" i="38"/>
  <c r="CO35" i="38"/>
  <c r="CO36" i="38"/>
  <c r="CO37" i="38"/>
  <c r="CO38" i="38"/>
  <c r="CO39" i="38"/>
  <c r="CO40" i="38"/>
  <c r="CO41" i="38"/>
  <c r="CO42" i="38"/>
  <c r="CO43" i="38"/>
  <c r="CO44" i="38"/>
  <c r="CO45" i="38"/>
  <c r="CO46" i="38"/>
  <c r="CO47" i="38"/>
  <c r="CO48" i="38"/>
  <c r="CO49" i="38"/>
  <c r="CO50" i="38"/>
  <c r="CO51" i="38"/>
  <c r="CO53" i="38"/>
  <c r="CO54" i="38"/>
  <c r="CO55" i="38"/>
  <c r="CO56" i="38"/>
  <c r="CO57" i="38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N12" i="38"/>
  <c r="CC13" i="38"/>
  <c r="CC14" i="38"/>
  <c r="CC15" i="38"/>
  <c r="CC16" i="38"/>
  <c r="CC17" i="38"/>
  <c r="CC18" i="38"/>
  <c r="CC19" i="38"/>
  <c r="CC20" i="38"/>
  <c r="CC21" i="38"/>
  <c r="CC22" i="38"/>
  <c r="CC23" i="38"/>
  <c r="CC24" i="38"/>
  <c r="CC25" i="38"/>
  <c r="CC26" i="38"/>
  <c r="CC27" i="38"/>
  <c r="CC28" i="38"/>
  <c r="CC29" i="38"/>
  <c r="CC30" i="38"/>
  <c r="CC31" i="38"/>
  <c r="CC32" i="38"/>
  <c r="CC33" i="38"/>
  <c r="CC34" i="38"/>
  <c r="CC35" i="38"/>
  <c r="CC36" i="38"/>
  <c r="CC37" i="38"/>
  <c r="CC38" i="38"/>
  <c r="CC39" i="38"/>
  <c r="CC40" i="38"/>
  <c r="CC41" i="38"/>
  <c r="CC42" i="38"/>
  <c r="CC43" i="38"/>
  <c r="CC44" i="38"/>
  <c r="CC45" i="38"/>
  <c r="CC46" i="38"/>
  <c r="CC47" i="38"/>
  <c r="CC48" i="38"/>
  <c r="CC49" i="38"/>
  <c r="CC50" i="38"/>
  <c r="CC51" i="38"/>
  <c r="CC53" i="38"/>
  <c r="CC54" i="38"/>
  <c r="CC55" i="38"/>
  <c r="CC56" i="38"/>
  <c r="CC57" i="38"/>
  <c r="CC12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BD90" i="5"/>
  <c r="BD91" i="5"/>
  <c r="BD92" i="5"/>
  <c r="BD93" i="5"/>
  <c r="BD94" i="5"/>
  <c r="BD95" i="5"/>
  <c r="BD96" i="5"/>
  <c r="BD97" i="5"/>
  <c r="BD98" i="5"/>
  <c r="BD99" i="5"/>
  <c r="BD100" i="5"/>
  <c r="BD101" i="5"/>
  <c r="AU90" i="5"/>
  <c r="S90" i="5" s="1"/>
  <c r="AU91" i="5"/>
  <c r="S91" i="5" s="1"/>
  <c r="AU92" i="5"/>
  <c r="S92" i="5" s="1"/>
  <c r="AU93" i="5"/>
  <c r="S93" i="5" s="1"/>
  <c r="AU94" i="5"/>
  <c r="S94" i="5" s="1"/>
  <c r="AU95" i="5"/>
  <c r="S95" i="5" s="1"/>
  <c r="AU96" i="5"/>
  <c r="S96" i="5" s="1"/>
  <c r="AU97" i="5"/>
  <c r="S97" i="5" s="1"/>
  <c r="AU98" i="5"/>
  <c r="S98" i="5" s="1"/>
  <c r="AU99" i="5"/>
  <c r="S99" i="5" s="1"/>
  <c r="S100" i="5"/>
  <c r="S101" i="5"/>
  <c r="AU89" i="5"/>
  <c r="S89" i="5" s="1"/>
  <c r="CB64" i="13"/>
  <c r="CB48" i="13"/>
  <c r="CR44" i="13"/>
  <c r="CP44" i="13"/>
  <c r="CB44" i="13"/>
  <c r="CD12" i="13"/>
  <c r="CB411" i="29"/>
  <c r="CC411" i="29"/>
  <c r="CP411" i="29"/>
  <c r="CQ411" i="29"/>
  <c r="CB307" i="29"/>
  <c r="CS11" i="29"/>
  <c r="CR56" i="29"/>
  <c r="CS56" i="29"/>
  <c r="CR57" i="29"/>
  <c r="CS57" i="29"/>
  <c r="CR58" i="29"/>
  <c r="CS58" i="29"/>
  <c r="CR59" i="29"/>
  <c r="CS59" i="29"/>
  <c r="CS55" i="29"/>
  <c r="CR55" i="29"/>
  <c r="CD56" i="29"/>
  <c r="CE56" i="29"/>
  <c r="CD57" i="29"/>
  <c r="CE57" i="29"/>
  <c r="CD58" i="29"/>
  <c r="CE58" i="29"/>
  <c r="CD59" i="29"/>
  <c r="CE59" i="29"/>
  <c r="CD55" i="29"/>
  <c r="CS37" i="29"/>
  <c r="CT37" i="29"/>
  <c r="CS38" i="29"/>
  <c r="CT38" i="29"/>
  <c r="CS39" i="29"/>
  <c r="CT39" i="29"/>
  <c r="CS40" i="29"/>
  <c r="CT40" i="29"/>
  <c r="CS41" i="29"/>
  <c r="CT41" i="29"/>
  <c r="CS42" i="29"/>
  <c r="CT42" i="29"/>
  <c r="CS43" i="29"/>
  <c r="CT43" i="29"/>
  <c r="CS44" i="29"/>
  <c r="CT44" i="29"/>
  <c r="CS45" i="29"/>
  <c r="CT45" i="29"/>
  <c r="CS46" i="29"/>
  <c r="CT46" i="29"/>
  <c r="CS47" i="29"/>
  <c r="CT47" i="29"/>
  <c r="CS48" i="29"/>
  <c r="CT48" i="29"/>
  <c r="CS49" i="29"/>
  <c r="CT49" i="29"/>
  <c r="CS50" i="29"/>
  <c r="CT50" i="29"/>
  <c r="CS51" i="29"/>
  <c r="CT51" i="29"/>
  <c r="CT36" i="29"/>
  <c r="CS36" i="29"/>
  <c r="CE36" i="29"/>
  <c r="CE37" i="29"/>
  <c r="CF37" i="29"/>
  <c r="CE38" i="29"/>
  <c r="CF38" i="29"/>
  <c r="CE39" i="29"/>
  <c r="CF39" i="29"/>
  <c r="CE40" i="29"/>
  <c r="CF40" i="29"/>
  <c r="CE41" i="29"/>
  <c r="CF41" i="29"/>
  <c r="CE42" i="29"/>
  <c r="CF42" i="29"/>
  <c r="CE43" i="29"/>
  <c r="CF44" i="29"/>
  <c r="CE45" i="29"/>
  <c r="CF45" i="29"/>
  <c r="CE46" i="29"/>
  <c r="CF46" i="29"/>
  <c r="CE47" i="29"/>
  <c r="CF47" i="29"/>
  <c r="CE48" i="29"/>
  <c r="CF48" i="29"/>
  <c r="CE49" i="29"/>
  <c r="CF49" i="29"/>
  <c r="CE50" i="29"/>
  <c r="CF50" i="29"/>
  <c r="CE51" i="29"/>
  <c r="CF51" i="29"/>
  <c r="CF36" i="29"/>
  <c r="CS12" i="29"/>
  <c r="CX12" i="29"/>
  <c r="CS13" i="29"/>
  <c r="CX13" i="29"/>
  <c r="CS14" i="29"/>
  <c r="CX14" i="29"/>
  <c r="CC156" i="34"/>
  <c r="CB156" i="34"/>
  <c r="CC155" i="34"/>
  <c r="CB155" i="34"/>
  <c r="CB153" i="34"/>
  <c r="AE153" i="34" s="1"/>
  <c r="CB91" i="34"/>
  <c r="CB92" i="34"/>
  <c r="CB93" i="34"/>
  <c r="CB90" i="34"/>
  <c r="AY196" i="13"/>
  <c r="CP12" i="38" l="1"/>
  <c r="CS12" i="38"/>
  <c r="CT12" i="38"/>
  <c r="CS82" i="38"/>
  <c r="CF82" i="38"/>
  <c r="CE82" i="38"/>
  <c r="T82" i="38" s="1"/>
  <c r="AE156" i="34"/>
  <c r="AE155" i="34"/>
  <c r="CF213" i="46"/>
  <c r="CC213" i="46"/>
  <c r="H411" i="29"/>
  <c r="CE213" i="46"/>
  <c r="CO213" i="46"/>
  <c r="CP213" i="46"/>
  <c r="CQ213" i="46"/>
  <c r="CR213" i="46"/>
  <c r="CD213" i="46"/>
  <c r="CB207" i="34"/>
  <c r="O213" i="46" l="1"/>
  <c r="AX196" i="13"/>
  <c r="AW196" i="13"/>
  <c r="AV196" i="13"/>
  <c r="AU196" i="13"/>
  <c r="AT196" i="13"/>
  <c r="AS196" i="13"/>
  <c r="AR196" i="13"/>
  <c r="AP196" i="13"/>
  <c r="AN196" i="13"/>
  <c r="AL196" i="13"/>
  <c r="AJ196" i="13"/>
  <c r="AH196" i="13"/>
  <c r="AF196" i="13"/>
  <c r="AD196" i="13"/>
  <c r="E80" i="42"/>
  <c r="F80" i="42"/>
  <c r="G80" i="42"/>
  <c r="H80" i="42"/>
  <c r="I80" i="42"/>
  <c r="J80" i="42"/>
  <c r="K80" i="42"/>
  <c r="L80" i="42"/>
  <c r="M80" i="42"/>
  <c r="D80" i="42"/>
  <c r="C80" i="42"/>
  <c r="E153" i="27"/>
  <c r="F153" i="27"/>
  <c r="AY39" i="13" l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CO39" i="11" l="1"/>
  <c r="CM39" i="11"/>
  <c r="CN39" i="11"/>
  <c r="CL39" i="11"/>
  <c r="CA39" i="11" a="1"/>
  <c r="CA39" i="11" s="1"/>
  <c r="CB39" i="11"/>
  <c r="CC39" i="11"/>
  <c r="CD39" i="11"/>
  <c r="CK39" i="11"/>
  <c r="CJ39" i="11" a="1"/>
  <c r="CJ39" i="11" s="1"/>
  <c r="CF39" i="11"/>
  <c r="CE39" i="11"/>
  <c r="CQ215" i="46"/>
  <c r="CR215" i="46"/>
  <c r="CC215" i="46"/>
  <c r="CD215" i="46"/>
  <c r="CE215" i="46"/>
  <c r="CF215" i="46"/>
  <c r="CO215" i="46"/>
  <c r="CP215" i="46"/>
  <c r="CE214" i="46"/>
  <c r="CF214" i="46"/>
  <c r="CO214" i="46"/>
  <c r="CP214" i="46"/>
  <c r="CQ214" i="46"/>
  <c r="CR214" i="46"/>
  <c r="CC214" i="46"/>
  <c r="CD214" i="46"/>
  <c r="CG273" i="34"/>
  <c r="CQ273" i="34"/>
  <c r="CQ272" i="34"/>
  <c r="CG272" i="34"/>
  <c r="CP272" i="34"/>
  <c r="CF272" i="34"/>
  <c r="CQ274" i="34"/>
  <c r="CG274" i="34"/>
  <c r="CP274" i="34"/>
  <c r="CF274" i="34"/>
  <c r="CF273" i="34"/>
  <c r="CP273" i="34"/>
  <c r="CQ271" i="34"/>
  <c r="CG271" i="34"/>
  <c r="CP271" i="34"/>
  <c r="CF271" i="34"/>
  <c r="F123" i="42"/>
  <c r="P123" i="42"/>
  <c r="O123" i="42"/>
  <c r="H114" i="42"/>
  <c r="G114" i="42"/>
  <c r="S114" i="42"/>
  <c r="R114" i="42"/>
  <c r="H98" i="42"/>
  <c r="G98" i="42"/>
  <c r="P98" i="42"/>
  <c r="O98" i="42"/>
  <c r="AI98" i="42"/>
  <c r="AH98" i="42"/>
  <c r="S80" i="42"/>
  <c r="R80" i="42"/>
  <c r="H12" i="42"/>
  <c r="G12" i="42"/>
  <c r="P12" i="42"/>
  <c r="O12" i="42"/>
  <c r="AI12" i="42"/>
  <c r="AH12" i="42"/>
  <c r="AT12" i="42"/>
  <c r="AS12" i="42"/>
  <c r="R74" i="38"/>
  <c r="N52" i="38"/>
  <c r="O52" i="38"/>
  <c r="P52" i="38"/>
  <c r="Q52" i="38"/>
  <c r="R52" i="38"/>
  <c r="S52" i="38"/>
  <c r="M52" i="38"/>
  <c r="L52" i="38"/>
  <c r="K52" i="38"/>
  <c r="D11" i="38"/>
  <c r="C52" i="38"/>
  <c r="C123" i="38"/>
  <c r="U109" i="38"/>
  <c r="R109" i="38"/>
  <c r="F109" i="38"/>
  <c r="D109" i="38"/>
  <c r="CJ196" i="46"/>
  <c r="CL69" i="31"/>
  <c r="B5" i="24"/>
  <c r="L395" i="29"/>
  <c r="I395" i="29"/>
  <c r="G395" i="29"/>
  <c r="H395" i="29"/>
  <c r="E395" i="29"/>
  <c r="F395" i="29"/>
  <c r="J395" i="29"/>
  <c r="J399" i="29"/>
  <c r="M395" i="29"/>
  <c r="CQ55" i="38" l="1"/>
  <c r="CT55" i="38"/>
  <c r="CS55" i="38"/>
  <c r="CH55" i="38"/>
  <c r="CU55" i="38"/>
  <c r="CI55" i="38"/>
  <c r="CD55" i="38"/>
  <c r="CF55" i="38"/>
  <c r="CE55" i="38"/>
  <c r="CP55" i="38"/>
  <c r="CR55" i="38"/>
  <c r="CG55" i="38"/>
  <c r="CD71" i="38"/>
  <c r="CQ71" i="38"/>
  <c r="CE71" i="38"/>
  <c r="CR71" i="38"/>
  <c r="CG71" i="38"/>
  <c r="CT71" i="38"/>
  <c r="CP71" i="38"/>
  <c r="CS71" i="38"/>
  <c r="CF71" i="38"/>
  <c r="CH71" i="38"/>
  <c r="CP54" i="38"/>
  <c r="CS54" i="38"/>
  <c r="CE54" i="38"/>
  <c r="CG54" i="38"/>
  <c r="CQ54" i="38"/>
  <c r="CH54" i="38"/>
  <c r="CI54" i="38"/>
  <c r="CR54" i="38"/>
  <c r="CT54" i="38"/>
  <c r="CU54" i="38"/>
  <c r="CD54" i="38"/>
  <c r="CF54" i="38"/>
  <c r="CF72" i="38"/>
  <c r="CS72" i="38"/>
  <c r="CG72" i="38"/>
  <c r="CT72" i="38"/>
  <c r="CD72" i="38"/>
  <c r="CQ72" i="38"/>
  <c r="CP72" i="38"/>
  <c r="CR72" i="38"/>
  <c r="CE72" i="38"/>
  <c r="CH72" i="38"/>
  <c r="CP66" i="38"/>
  <c r="CD66" i="38"/>
  <c r="CQ66" i="38"/>
  <c r="CE66" i="38"/>
  <c r="CR66" i="38"/>
  <c r="CH66" i="38"/>
  <c r="CF66" i="38"/>
  <c r="CG66" i="38"/>
  <c r="CS66" i="38"/>
  <c r="CT66" i="38"/>
  <c r="CH73" i="38"/>
  <c r="CP73" i="38"/>
  <c r="CF73" i="38"/>
  <c r="CS73" i="38"/>
  <c r="CQ73" i="38"/>
  <c r="CT73" i="38"/>
  <c r="CD73" i="38"/>
  <c r="CE73" i="38"/>
  <c r="CG73" i="38"/>
  <c r="CR73" i="38"/>
  <c r="CD113" i="38"/>
  <c r="CQ113" i="38"/>
  <c r="CP113" i="38"/>
  <c r="CF113" i="38"/>
  <c r="CS113" i="38"/>
  <c r="CT113" i="38"/>
  <c r="CR113" i="38"/>
  <c r="CH113" i="38"/>
  <c r="CG113" i="38"/>
  <c r="CE113" i="38"/>
  <c r="CS57" i="38"/>
  <c r="CP57" i="38"/>
  <c r="CQ57" i="38"/>
  <c r="CD57" i="38"/>
  <c r="CR57" i="38"/>
  <c r="CT57" i="38"/>
  <c r="CE57" i="38"/>
  <c r="CU57" i="38"/>
  <c r="CF57" i="38"/>
  <c r="CG57" i="38"/>
  <c r="CH57" i="38"/>
  <c r="CI57" i="38"/>
  <c r="CD67" i="38"/>
  <c r="CQ67" i="38"/>
  <c r="CE67" i="38"/>
  <c r="CR67" i="38"/>
  <c r="CF67" i="38"/>
  <c r="CG67" i="38"/>
  <c r="CT67" i="38"/>
  <c r="CH67" i="38"/>
  <c r="CP67" i="38"/>
  <c r="CS67" i="38"/>
  <c r="CR53" i="38"/>
  <c r="CD53" i="38"/>
  <c r="CE53" i="38"/>
  <c r="CF53" i="38"/>
  <c r="CG53" i="38"/>
  <c r="CS53" i="38"/>
  <c r="CP53" i="38"/>
  <c r="CH53" i="38"/>
  <c r="CQ53" i="38"/>
  <c r="CI53" i="38"/>
  <c r="CU53" i="38"/>
  <c r="CT53" i="38"/>
  <c r="CR56" i="38"/>
  <c r="CU56" i="38"/>
  <c r="CI56" i="38"/>
  <c r="CS56" i="38"/>
  <c r="CP56" i="38"/>
  <c r="CD56" i="38"/>
  <c r="CQ56" i="38"/>
  <c r="CE56" i="38"/>
  <c r="CG56" i="38"/>
  <c r="CH56" i="38"/>
  <c r="CT56" i="38"/>
  <c r="CF56" i="38"/>
  <c r="CH65" i="38"/>
  <c r="CP65" i="38"/>
  <c r="CF65" i="38"/>
  <c r="CS65" i="38"/>
  <c r="CE65" i="38"/>
  <c r="CG65" i="38"/>
  <c r="CQ65" i="38"/>
  <c r="CD65" i="38"/>
  <c r="Y65" i="38" s="1"/>
  <c r="CR65" i="38"/>
  <c r="CT65" i="38"/>
  <c r="AY39" i="11"/>
  <c r="CQ409" i="29"/>
  <c r="CP409" i="29"/>
  <c r="CC409" i="29"/>
  <c r="CB409" i="29"/>
  <c r="H409" i="29" s="1"/>
  <c r="CB410" i="29"/>
  <c r="CC410" i="29"/>
  <c r="CP410" i="29"/>
  <c r="CQ410" i="29"/>
  <c r="CB69" i="31"/>
  <c r="K69" i="31" s="1"/>
  <c r="O214" i="46"/>
  <c r="CI196" i="46"/>
  <c r="CD196" i="46"/>
  <c r="CP196" i="46"/>
  <c r="O215" i="46"/>
  <c r="CP199" i="46"/>
  <c r="CD199" i="46"/>
  <c r="CP202" i="46"/>
  <c r="CD202" i="46"/>
  <c r="CD201" i="46"/>
  <c r="CP201" i="46"/>
  <c r="CB274" i="34"/>
  <c r="CC274" i="34"/>
  <c r="CE274" i="34"/>
  <c r="CI274" i="34"/>
  <c r="CL274" i="34"/>
  <c r="CM274" i="34"/>
  <c r="CN274" i="34"/>
  <c r="CO274" i="34"/>
  <c r="CR274" i="34"/>
  <c r="CS274" i="34"/>
  <c r="CD274" i="34"/>
  <c r="CH274" i="34"/>
  <c r="CL272" i="34"/>
  <c r="CM272" i="34"/>
  <c r="CN272" i="34"/>
  <c r="CR272" i="34"/>
  <c r="CS272" i="34"/>
  <c r="CB272" i="34"/>
  <c r="CC272" i="34"/>
  <c r="CD272" i="34"/>
  <c r="CE272" i="34"/>
  <c r="CH272" i="34"/>
  <c r="CI272" i="34"/>
  <c r="CO272" i="34"/>
  <c r="CB273" i="34"/>
  <c r="CC273" i="34"/>
  <c r="CD273" i="34"/>
  <c r="CE273" i="34"/>
  <c r="CH273" i="34"/>
  <c r="CI273" i="34"/>
  <c r="CL273" i="34"/>
  <c r="CM273" i="34"/>
  <c r="CN273" i="34"/>
  <c r="CO273" i="34"/>
  <c r="CR273" i="34"/>
  <c r="CS273" i="34"/>
  <c r="CS271" i="34"/>
  <c r="CR271" i="34"/>
  <c r="CO271" i="34"/>
  <c r="CN271" i="34"/>
  <c r="CM271" i="34"/>
  <c r="CB271" i="34"/>
  <c r="CL271" i="34"/>
  <c r="CI271" i="34"/>
  <c r="CH271" i="34"/>
  <c r="CE271" i="34"/>
  <c r="CC271" i="34"/>
  <c r="CD271" i="34"/>
  <c r="W98" i="42"/>
  <c r="X98" i="42"/>
  <c r="X12" i="42"/>
  <c r="M399" i="29"/>
  <c r="L399" i="29"/>
  <c r="AD152" i="34"/>
  <c r="AC152" i="34"/>
  <c r="K102" i="5"/>
  <c r="H122" i="5"/>
  <c r="AV119" i="5"/>
  <c r="AU118" i="5"/>
  <c r="I118" i="5" s="1"/>
  <c r="B5" i="22"/>
  <c r="B139" i="22"/>
  <c r="T120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A109" i="22"/>
  <c r="CA108" i="22"/>
  <c r="BR107" i="22"/>
  <c r="W107" i="22" s="1"/>
  <c r="CA106" i="22"/>
  <c r="BR105" i="22"/>
  <c r="W105" i="22" s="1"/>
  <c r="CA104" i="22"/>
  <c r="BR103" i="22"/>
  <c r="W103" i="22" s="1"/>
  <c r="CA102" i="22"/>
  <c r="CA101" i="22"/>
  <c r="CA100" i="22"/>
  <c r="BR99" i="22"/>
  <c r="W99" i="22" s="1"/>
  <c r="CA98" i="22"/>
  <c r="BR97" i="22"/>
  <c r="W97" i="22" s="1"/>
  <c r="CA96" i="22"/>
  <c r="CA57" i="22"/>
  <c r="CC56" i="22"/>
  <c r="BT54" i="22"/>
  <c r="CA53" i="22"/>
  <c r="CC52" i="22"/>
  <c r="BR51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T57" i="38" l="1"/>
  <c r="Y67" i="38"/>
  <c r="Y72" i="38"/>
  <c r="T55" i="38"/>
  <c r="Y73" i="38"/>
  <c r="Y71" i="38"/>
  <c r="T56" i="38"/>
  <c r="T53" i="38"/>
  <c r="Y66" i="38"/>
  <c r="T54" i="38"/>
  <c r="CA22" i="22"/>
  <c r="CD22" i="22"/>
  <c r="BU22" i="22"/>
  <c r="CE22" i="22"/>
  <c r="BY22" i="22"/>
  <c r="BX22" i="22"/>
  <c r="BT22" i="22"/>
  <c r="BV22" i="22"/>
  <c r="CG22" i="22"/>
  <c r="CH22" i="22"/>
  <c r="CC22" i="22"/>
  <c r="CG23" i="22"/>
  <c r="CD23" i="22"/>
  <c r="CH23" i="22"/>
  <c r="CC23" i="22"/>
  <c r="CE23" i="22"/>
  <c r="BU23" i="22"/>
  <c r="CF23" i="22"/>
  <c r="BX23" i="22"/>
  <c r="BW23" i="22"/>
  <c r="BY23" i="22"/>
  <c r="BT23" i="22"/>
  <c r="BV23" i="22"/>
  <c r="BR12" i="22"/>
  <c r="CE12" i="22"/>
  <c r="CC12" i="22"/>
  <c r="CD12" i="22"/>
  <c r="BY12" i="22"/>
  <c r="BX12" i="22"/>
  <c r="BT12" i="22"/>
  <c r="BV12" i="22"/>
  <c r="BU12" i="22"/>
  <c r="CG12" i="22"/>
  <c r="CH12" i="22"/>
  <c r="CD28" i="22"/>
  <c r="CC28" i="22"/>
  <c r="CE28" i="22"/>
  <c r="BY28" i="22"/>
  <c r="BV28" i="22"/>
  <c r="BX28" i="22"/>
  <c r="BT28" i="22"/>
  <c r="BU28" i="22"/>
  <c r="CG28" i="22"/>
  <c r="CH28" i="22"/>
  <c r="BV24" i="22"/>
  <c r="CG24" i="22"/>
  <c r="CH24" i="22"/>
  <c r="CD24" i="22"/>
  <c r="CC24" i="22"/>
  <c r="BU24" i="22"/>
  <c r="CE24" i="22"/>
  <c r="BW24" i="22"/>
  <c r="CF24" i="22"/>
  <c r="BX24" i="22"/>
  <c r="BY24" i="22"/>
  <c r="BT24" i="22"/>
  <c r="BY14" i="22"/>
  <c r="CD14" i="22"/>
  <c r="CC14" i="22"/>
  <c r="CE14" i="22"/>
  <c r="BX14" i="22"/>
  <c r="BU14" i="22"/>
  <c r="BT14" i="22"/>
  <c r="CG14" i="22"/>
  <c r="BV14" i="22"/>
  <c r="CH14" i="22"/>
  <c r="CC17" i="22"/>
  <c r="BY17" i="22"/>
  <c r="CE17" i="22"/>
  <c r="CD17" i="22"/>
  <c r="BT17" i="22"/>
  <c r="BV17" i="22"/>
  <c r="CG17" i="22"/>
  <c r="CH17" i="22"/>
  <c r="BU17" i="22"/>
  <c r="BX17" i="22"/>
  <c r="CC33" i="22"/>
  <c r="BY33" i="22"/>
  <c r="CD33" i="22"/>
  <c r="BT33" i="22"/>
  <c r="CE33" i="22"/>
  <c r="CG33" i="22"/>
  <c r="CH33" i="22"/>
  <c r="BU33" i="22"/>
  <c r="BX33" i="22"/>
  <c r="BV33" i="22"/>
  <c r="BT10" i="22"/>
  <c r="BU10" i="22"/>
  <c r="CG10" i="22"/>
  <c r="BV10" i="22"/>
  <c r="BX10" i="22"/>
  <c r="BY10" i="22"/>
  <c r="CH10" i="22"/>
  <c r="CE10" i="22"/>
  <c r="CC10" i="22"/>
  <c r="CD10" i="22"/>
  <c r="CC29" i="22"/>
  <c r="CD29" i="22"/>
  <c r="CE29" i="22"/>
  <c r="BU29" i="22"/>
  <c r="BX29" i="22"/>
  <c r="BT29" i="22"/>
  <c r="CH29" i="22"/>
  <c r="CG29" i="22"/>
  <c r="BY29" i="22"/>
  <c r="BV29" i="22"/>
  <c r="CG15" i="22"/>
  <c r="CH15" i="22"/>
  <c r="CC15" i="22"/>
  <c r="CD15" i="22"/>
  <c r="BX15" i="22"/>
  <c r="BT15" i="22"/>
  <c r="BV15" i="22"/>
  <c r="CE15" i="22"/>
  <c r="BU15" i="22"/>
  <c r="BY15" i="22"/>
  <c r="BR16" i="22"/>
  <c r="BV16" i="22"/>
  <c r="CG16" i="22"/>
  <c r="CH16" i="22"/>
  <c r="BY16" i="22"/>
  <c r="CC16" i="22"/>
  <c r="BX16" i="22"/>
  <c r="BU16" i="22"/>
  <c r="CD16" i="22"/>
  <c r="CE16" i="22"/>
  <c r="BT16" i="22"/>
  <c r="CG31" i="22"/>
  <c r="CH31" i="22"/>
  <c r="BV31" i="22"/>
  <c r="CC31" i="22"/>
  <c r="CD31" i="22"/>
  <c r="BX31" i="22"/>
  <c r="BT31" i="22"/>
  <c r="CE31" i="22"/>
  <c r="BU31" i="22"/>
  <c r="BY31" i="22"/>
  <c r="BX18" i="22"/>
  <c r="BY18" i="22"/>
  <c r="CD18" i="22"/>
  <c r="BV18" i="22"/>
  <c r="CG18" i="22"/>
  <c r="CE18" i="22"/>
  <c r="CH18" i="22"/>
  <c r="BS18" i="22"/>
  <c r="BU18" i="22"/>
  <c r="CC18" i="22"/>
  <c r="BT18" i="22"/>
  <c r="BT34" i="22"/>
  <c r="BX34" i="22"/>
  <c r="CD34" i="22"/>
  <c r="BV34" i="22"/>
  <c r="CG34" i="22"/>
  <c r="CE34" i="22"/>
  <c r="CH34" i="22"/>
  <c r="BU34" i="22"/>
  <c r="BY34" i="22"/>
  <c r="CC34" i="22"/>
  <c r="CE11" i="22"/>
  <c r="BX11" i="22"/>
  <c r="BY11" i="22"/>
  <c r="BT11" i="22"/>
  <c r="BV11" i="22"/>
  <c r="CG11" i="22"/>
  <c r="BU11" i="22"/>
  <c r="CH11" i="22"/>
  <c r="CC11" i="22"/>
  <c r="CD11" i="22"/>
  <c r="BV32" i="22"/>
  <c r="CG32" i="22"/>
  <c r="BY32" i="22"/>
  <c r="BU32" i="22"/>
  <c r="BX32" i="22"/>
  <c r="CC32" i="22"/>
  <c r="CD32" i="22"/>
  <c r="CE32" i="22"/>
  <c r="BT32" i="22"/>
  <c r="CH32" i="22"/>
  <c r="BU19" i="22"/>
  <c r="BX19" i="22"/>
  <c r="BY19" i="22"/>
  <c r="CC19" i="22"/>
  <c r="BV19" i="22"/>
  <c r="BT19" i="22"/>
  <c r="CD19" i="22"/>
  <c r="CG19" i="22"/>
  <c r="CE19" i="22"/>
  <c r="CH19" i="22"/>
  <c r="BU35" i="22"/>
  <c r="BX35" i="22"/>
  <c r="CE35" i="22"/>
  <c r="BY35" i="22"/>
  <c r="CC35" i="22"/>
  <c r="BV35" i="22"/>
  <c r="BT35" i="22"/>
  <c r="CG35" i="22"/>
  <c r="CD35" i="22"/>
  <c r="CH35" i="22"/>
  <c r="BY25" i="22"/>
  <c r="BV25" i="22"/>
  <c r="BT25" i="22"/>
  <c r="BW25" i="22"/>
  <c r="CG25" i="22"/>
  <c r="CH25" i="22"/>
  <c r="BU25" i="22"/>
  <c r="CD25" i="22"/>
  <c r="CB25" i="22"/>
  <c r="CE25" i="22"/>
  <c r="CF25" i="22"/>
  <c r="BX25" i="22"/>
  <c r="CC25" i="22"/>
  <c r="BR26" i="22"/>
  <c r="BY26" i="22"/>
  <c r="BX26" i="22"/>
  <c r="BT26" i="22"/>
  <c r="BV26" i="22"/>
  <c r="CG26" i="22"/>
  <c r="CH26" i="22"/>
  <c r="BU26" i="22"/>
  <c r="CC26" i="22"/>
  <c r="CE26" i="22"/>
  <c r="CD26" i="22"/>
  <c r="CE27" i="22"/>
  <c r="BY27" i="22"/>
  <c r="BT27" i="22"/>
  <c r="BV27" i="22"/>
  <c r="BU27" i="22"/>
  <c r="CG27" i="22"/>
  <c r="CH27" i="22"/>
  <c r="CC27" i="22"/>
  <c r="CD27" i="22"/>
  <c r="BX27" i="22"/>
  <c r="BV13" i="22"/>
  <c r="CC13" i="22"/>
  <c r="BY13" i="22"/>
  <c r="CD13" i="22"/>
  <c r="CE13" i="22"/>
  <c r="BX13" i="22"/>
  <c r="BT13" i="22"/>
  <c r="CH13" i="22"/>
  <c r="CG13" i="22"/>
  <c r="BU13" i="22"/>
  <c r="CA18" i="22"/>
  <c r="BV20" i="22"/>
  <c r="BU20" i="22"/>
  <c r="BX20" i="22"/>
  <c r="BY20" i="22"/>
  <c r="BT20" i="22"/>
  <c r="CC20" i="22"/>
  <c r="CG20" i="22"/>
  <c r="CD20" i="22"/>
  <c r="CH20" i="22"/>
  <c r="CE20" i="22"/>
  <c r="CA95" i="22"/>
  <c r="BR95" i="22"/>
  <c r="W95" i="22" s="1"/>
  <c r="CC30" i="22"/>
  <c r="CD30" i="22"/>
  <c r="CE30" i="22"/>
  <c r="BX30" i="22"/>
  <c r="BY30" i="22"/>
  <c r="BU30" i="22"/>
  <c r="BT30" i="22"/>
  <c r="CG30" i="22"/>
  <c r="BV30" i="22"/>
  <c r="CH30" i="22"/>
  <c r="BR21" i="22"/>
  <c r="BY21" i="22"/>
  <c r="BU21" i="22"/>
  <c r="BX21" i="22"/>
  <c r="BV21" i="22"/>
  <c r="BT21" i="22"/>
  <c r="CH21" i="22"/>
  <c r="CD21" i="22"/>
  <c r="CE21" i="22"/>
  <c r="CG21" i="22"/>
  <c r="CC21" i="22"/>
  <c r="BR56" i="22"/>
  <c r="BU56" i="22"/>
  <c r="BR55" i="22"/>
  <c r="D59" i="22"/>
  <c r="H410" i="29"/>
  <c r="BR64" i="22"/>
  <c r="BV64" i="22"/>
  <c r="BU64" i="22"/>
  <c r="BT64" i="22"/>
  <c r="BS64" i="22"/>
  <c r="BR19" i="22"/>
  <c r="BR25" i="22"/>
  <c r="BR33" i="22"/>
  <c r="BR109" i="22"/>
  <c r="W109" i="22" s="1"/>
  <c r="BR11" i="22"/>
  <c r="CA14" i="22"/>
  <c r="BR14" i="22"/>
  <c r="BR27" i="22"/>
  <c r="BT56" i="22"/>
  <c r="BS66" i="22"/>
  <c r="BU66" i="22"/>
  <c r="CE66" i="22"/>
  <c r="BT66" i="22"/>
  <c r="BV66" i="22"/>
  <c r="CC66" i="22"/>
  <c r="CD66" i="22"/>
  <c r="BR15" i="22"/>
  <c r="CB34" i="22"/>
  <c r="BR34" i="22"/>
  <c r="BR29" i="22"/>
  <c r="BR35" i="22"/>
  <c r="BR67" i="22"/>
  <c r="CC67" i="22"/>
  <c r="BV67" i="22"/>
  <c r="CD67" i="22"/>
  <c r="CE67" i="22"/>
  <c r="BT67" i="22"/>
  <c r="BU67" i="22"/>
  <c r="BR22" i="22"/>
  <c r="BT58" i="22"/>
  <c r="CD58" i="22"/>
  <c r="CB68" i="22"/>
  <c r="BU68" i="22"/>
  <c r="CC68" i="22"/>
  <c r="BV68" i="22"/>
  <c r="CD68" i="22"/>
  <c r="CE68" i="22"/>
  <c r="BT68" i="22"/>
  <c r="BR24" i="22"/>
  <c r="CB32" i="22"/>
  <c r="BR32" i="22"/>
  <c r="BR13" i="22"/>
  <c r="BR20" i="22"/>
  <c r="CA28" i="22"/>
  <c r="BR28" i="22"/>
  <c r="U28" i="22" s="1"/>
  <c r="BR17" i="22"/>
  <c r="CB30" i="22"/>
  <c r="BR30" i="22"/>
  <c r="CA10" i="22"/>
  <c r="BR10" i="22"/>
  <c r="BR18" i="22"/>
  <c r="BR23" i="22"/>
  <c r="BR31" i="22"/>
  <c r="BU58" i="22"/>
  <c r="CA69" i="22"/>
  <c r="CE69" i="22"/>
  <c r="BU69" i="22"/>
  <c r="BV69" i="22"/>
  <c r="CD69" i="22"/>
  <c r="BT69" i="22"/>
  <c r="CC69" i="22"/>
  <c r="CA65" i="22"/>
  <c r="BT65" i="22"/>
  <c r="CC65" i="22"/>
  <c r="BU65" i="22"/>
  <c r="BV65" i="22"/>
  <c r="CD65" i="22"/>
  <c r="CE65" i="22"/>
  <c r="CE64" i="22"/>
  <c r="CD64" i="22"/>
  <c r="CC64" i="22"/>
  <c r="CA64" i="22"/>
  <c r="CB64" i="22"/>
  <c r="BS24" i="22"/>
  <c r="CA103" i="22"/>
  <c r="CB69" i="22"/>
  <c r="CA97" i="22"/>
  <c r="CB53" i="22"/>
  <c r="CA99" i="22"/>
  <c r="CA58" i="22"/>
  <c r="BS67" i="22"/>
  <c r="CC58" i="22"/>
  <c r="CA67" i="22"/>
  <c r="BU54" i="22"/>
  <c r="BR101" i="22"/>
  <c r="W101" i="22" s="1"/>
  <c r="CA105" i="22"/>
  <c r="CA12" i="22"/>
  <c r="CA26" i="22"/>
  <c r="BT52" i="22"/>
  <c r="CC54" i="22"/>
  <c r="BS65" i="22"/>
  <c r="BR52" i="22"/>
  <c r="BU52" i="22"/>
  <c r="CA52" i="22"/>
  <c r="CA55" i="22"/>
  <c r="CA107" i="22"/>
  <c r="CA54" i="22"/>
  <c r="CA16" i="22"/>
  <c r="CB65" i="22"/>
  <c r="CA66" i="22"/>
  <c r="CA20" i="22"/>
  <c r="BS19" i="22"/>
  <c r="CA25" i="22"/>
  <c r="BS51" i="22"/>
  <c r="CB67" i="22"/>
  <c r="C110" i="22"/>
  <c r="CA11" i="22"/>
  <c r="CA21" i="22"/>
  <c r="CA23" i="22"/>
  <c r="CA27" i="22"/>
  <c r="BT51" i="22"/>
  <c r="CD52" i="22"/>
  <c r="BS55" i="22"/>
  <c r="CA56" i="22"/>
  <c r="CA15" i="22"/>
  <c r="CA51" i="22"/>
  <c r="BT55" i="22"/>
  <c r="CD56" i="22"/>
  <c r="CB66" i="22"/>
  <c r="BS68" i="22"/>
  <c r="CB51" i="22"/>
  <c r="E120" i="22"/>
  <c r="CA13" i="22"/>
  <c r="CA17" i="22"/>
  <c r="CB55" i="22"/>
  <c r="CB57" i="22"/>
  <c r="BR69" i="22"/>
  <c r="F120" i="22"/>
  <c r="BR65" i="22"/>
  <c r="BS69" i="22"/>
  <c r="CO205" i="4"/>
  <c r="CC205" i="4"/>
  <c r="CN205" i="4"/>
  <c r="CB205" i="4"/>
  <c r="AE272" i="34"/>
  <c r="AE273" i="34"/>
  <c r="AE274" i="34"/>
  <c r="AE271" i="34"/>
  <c r="CC53" i="22"/>
  <c r="CC57" i="22"/>
  <c r="CA29" i="22"/>
  <c r="BS30" i="22"/>
  <c r="CA31" i="22"/>
  <c r="BS32" i="22"/>
  <c r="CA33" i="22"/>
  <c r="BS34" i="22"/>
  <c r="CA35" i="22"/>
  <c r="CB50" i="22"/>
  <c r="BU51" i="22"/>
  <c r="BS52" i="22"/>
  <c r="CD53" i="22"/>
  <c r="CB54" i="22"/>
  <c r="BU55" i="22"/>
  <c r="BS56" i="22"/>
  <c r="CD57" i="22"/>
  <c r="CB58" i="22"/>
  <c r="BR68" i="22"/>
  <c r="CB23" i="22"/>
  <c r="CB33" i="22"/>
  <c r="CC50" i="22"/>
  <c r="BR53" i="22"/>
  <c r="CA19" i="22"/>
  <c r="BS20" i="22"/>
  <c r="BS23" i="22"/>
  <c r="CA24" i="22"/>
  <c r="BS25" i="22"/>
  <c r="CD50" i="22"/>
  <c r="BS53" i="22"/>
  <c r="CD54" i="22"/>
  <c r="BS57" i="22"/>
  <c r="CA68" i="22"/>
  <c r="BR96" i="22"/>
  <c r="W96" i="22" s="1"/>
  <c r="BR98" i="22"/>
  <c r="W98" i="22" s="1"/>
  <c r="BR100" i="22"/>
  <c r="W100" i="22" s="1"/>
  <c r="BR102" i="22"/>
  <c r="W102" i="22" s="1"/>
  <c r="BR104" i="22"/>
  <c r="W104" i="22" s="1"/>
  <c r="BR106" i="22"/>
  <c r="W106" i="22" s="1"/>
  <c r="BR108" i="22"/>
  <c r="W108" i="22" s="1"/>
  <c r="CB29" i="22"/>
  <c r="CB31" i="22"/>
  <c r="CB19" i="22"/>
  <c r="CC51" i="22"/>
  <c r="BT53" i="22"/>
  <c r="BR54" i="22"/>
  <c r="CC55" i="22"/>
  <c r="BT57" i="22"/>
  <c r="BR58" i="22"/>
  <c r="CB18" i="22"/>
  <c r="CB20" i="22"/>
  <c r="BR57" i="22"/>
  <c r="CB24" i="22"/>
  <c r="BS29" i="22"/>
  <c r="CA30" i="22"/>
  <c r="BS31" i="22"/>
  <c r="CA32" i="22"/>
  <c r="BS33" i="22"/>
  <c r="CA34" i="22"/>
  <c r="BS35" i="22"/>
  <c r="CD51" i="22"/>
  <c r="CB52" i="22"/>
  <c r="BU53" i="22"/>
  <c r="BS54" i="22"/>
  <c r="CD55" i="22"/>
  <c r="CB56" i="22"/>
  <c r="BU57" i="22"/>
  <c r="BS58" i="22"/>
  <c r="BR66" i="22"/>
  <c r="W66" i="22" s="1"/>
  <c r="CB35" i="22"/>
  <c r="U22" i="22" l="1"/>
  <c r="U20" i="22"/>
  <c r="U30" i="22"/>
  <c r="U19" i="22"/>
  <c r="O56" i="22"/>
  <c r="W67" i="22"/>
  <c r="U25" i="22"/>
  <c r="U17" i="22"/>
  <c r="U13" i="22"/>
  <c r="U21" i="22"/>
  <c r="U12" i="22"/>
  <c r="U32" i="22"/>
  <c r="U24" i="22"/>
  <c r="U27" i="22"/>
  <c r="U14" i="22"/>
  <c r="U31" i="22"/>
  <c r="U35" i="22"/>
  <c r="U16" i="22"/>
  <c r="U23" i="22"/>
  <c r="U29" i="22"/>
  <c r="U11" i="22"/>
  <c r="U26" i="22"/>
  <c r="U18" i="22"/>
  <c r="U34" i="22"/>
  <c r="U10" i="22"/>
  <c r="U15" i="22"/>
  <c r="U33" i="22"/>
  <c r="C150" i="22"/>
  <c r="B150" i="22"/>
  <c r="W64" i="22"/>
  <c r="W65" i="22"/>
  <c r="D120" i="22"/>
  <c r="W68" i="22"/>
  <c r="O52" i="22"/>
  <c r="O55" i="22"/>
  <c r="O50" i="22"/>
  <c r="O51" i="22"/>
  <c r="W69" i="22"/>
  <c r="CQ205" i="4"/>
  <c r="CP205" i="4"/>
  <c r="CE205" i="4"/>
  <c r="CD205" i="4"/>
  <c r="C139" i="22"/>
  <c r="O57" i="22"/>
  <c r="O54" i="22"/>
  <c r="O53" i="22"/>
  <c r="O58" i="22"/>
  <c r="AP205" i="4" l="1"/>
  <c r="B5" i="39"/>
  <c r="CJ158" i="39"/>
  <c r="CB158" i="39"/>
  <c r="F158" i="39" s="1"/>
  <c r="CJ157" i="39"/>
  <c r="CB157" i="39"/>
  <c r="F157" i="39" s="1"/>
  <c r="CJ156" i="39"/>
  <c r="F156" i="39"/>
  <c r="CJ154" i="39"/>
  <c r="CB154" i="39"/>
  <c r="G154" i="39" s="1"/>
  <c r="CJ153" i="39"/>
  <c r="CB153" i="39"/>
  <c r="G153" i="39" s="1"/>
  <c r="CJ152" i="39"/>
  <c r="G152" i="39"/>
  <c r="CJ144" i="39"/>
  <c r="CM130" i="39"/>
  <c r="CL130" i="39"/>
  <c r="CM129" i="39"/>
  <c r="CL129" i="39"/>
  <c r="CM128" i="39"/>
  <c r="CL128" i="39"/>
  <c r="CM127" i="39"/>
  <c r="CL127" i="39"/>
  <c r="CM126" i="39"/>
  <c r="CL126" i="39"/>
  <c r="CM125" i="39"/>
  <c r="CL125" i="39"/>
  <c r="CM124" i="39"/>
  <c r="CL124" i="39"/>
  <c r="CM123" i="39"/>
  <c r="CL123" i="39"/>
  <c r="CM122" i="39"/>
  <c r="CL122" i="39"/>
  <c r="CJ109" i="39"/>
  <c r="J104" i="39"/>
  <c r="I104" i="39"/>
  <c r="H104" i="39"/>
  <c r="G104" i="39"/>
  <c r="F104" i="39"/>
  <c r="E104" i="39"/>
  <c r="D104" i="39"/>
  <c r="H83" i="39"/>
  <c r="G83" i="39"/>
  <c r="F83" i="39"/>
  <c r="E83" i="39"/>
  <c r="D83" i="39"/>
  <c r="C83" i="39"/>
  <c r="N79" i="39"/>
  <c r="N78" i="39"/>
  <c r="M76" i="39"/>
  <c r="L76" i="39"/>
  <c r="K76" i="39"/>
  <c r="J76" i="39"/>
  <c r="I76" i="39"/>
  <c r="H76" i="39"/>
  <c r="G76" i="39"/>
  <c r="F76" i="39"/>
  <c r="E76" i="39"/>
  <c r="D76" i="39"/>
  <c r="C76" i="39"/>
  <c r="AG12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79" i="39" l="1"/>
  <c r="D20" i="18" s="1"/>
  <c r="B179" i="39"/>
  <c r="E20" i="18" s="1"/>
  <c r="CK144" i="39"/>
  <c r="CD144" i="39"/>
  <c r="CC144" i="39"/>
  <c r="CB144" i="39"/>
  <c r="G129" i="39"/>
  <c r="G128" i="39"/>
  <c r="G126" i="39"/>
  <c r="G125" i="39"/>
  <c r="G127" i="39"/>
  <c r="G124" i="39"/>
  <c r="G122" i="39"/>
  <c r="G123" i="39"/>
  <c r="G130" i="39"/>
  <c r="CB109" i="39"/>
  <c r="N109" i="39" s="1"/>
  <c r="P144" i="39" l="1"/>
  <c r="K399" i="29"/>
  <c r="I399" i="29"/>
  <c r="H399" i="29"/>
  <c r="G399" i="29"/>
  <c r="F399" i="29"/>
  <c r="E399" i="29"/>
  <c r="D399" i="29"/>
  <c r="D395" i="29"/>
  <c r="R123" i="42"/>
  <c r="Q123" i="42"/>
  <c r="N123" i="42"/>
  <c r="M123" i="42"/>
  <c r="L123" i="42"/>
  <c r="K123" i="42"/>
  <c r="J123" i="42"/>
  <c r="G123" i="42"/>
  <c r="E123" i="42"/>
  <c r="D123" i="42"/>
  <c r="U114" i="42"/>
  <c r="T114" i="42"/>
  <c r="Q114" i="42"/>
  <c r="P114" i="42"/>
  <c r="O114" i="42"/>
  <c r="N114" i="42"/>
  <c r="M114" i="42"/>
  <c r="L114" i="42"/>
  <c r="K114" i="42"/>
  <c r="J114" i="42"/>
  <c r="I114" i="42"/>
  <c r="F114" i="42"/>
  <c r="E114" i="42"/>
  <c r="D114" i="42"/>
  <c r="C114" i="42"/>
  <c r="T98" i="42"/>
  <c r="AK98" i="42"/>
  <c r="AJ98" i="42"/>
  <c r="AG98" i="42"/>
  <c r="AF98" i="42"/>
  <c r="AE98" i="42"/>
  <c r="AD98" i="42"/>
  <c r="AC98" i="42"/>
  <c r="AB98" i="42"/>
  <c r="AA98" i="42"/>
  <c r="R98" i="42"/>
  <c r="Q98" i="42"/>
  <c r="N98" i="42"/>
  <c r="M98" i="42"/>
  <c r="L98" i="42"/>
  <c r="K98" i="42"/>
  <c r="J98" i="42"/>
  <c r="I98" i="42"/>
  <c r="F98" i="42"/>
  <c r="E98" i="42"/>
  <c r="Z80" i="42"/>
  <c r="Y80" i="42"/>
  <c r="X80" i="42"/>
  <c r="W80" i="42"/>
  <c r="V80" i="42"/>
  <c r="U80" i="42"/>
  <c r="T80" i="42"/>
  <c r="Q80" i="42"/>
  <c r="P80" i="42"/>
  <c r="O80" i="42"/>
  <c r="N80" i="42"/>
  <c r="AV12" i="42"/>
  <c r="AU12" i="42"/>
  <c r="AR12" i="42"/>
  <c r="AQ12" i="42"/>
  <c r="AP12" i="42"/>
  <c r="AO12" i="42"/>
  <c r="AN12" i="42"/>
  <c r="AM12" i="42"/>
  <c r="AL12" i="42"/>
  <c r="AK12" i="42"/>
  <c r="AJ12" i="42"/>
  <c r="AG12" i="42"/>
  <c r="AF12" i="42"/>
  <c r="AE12" i="42"/>
  <c r="AD12" i="42"/>
  <c r="AC12" i="42"/>
  <c r="AB12" i="42"/>
  <c r="AA12" i="42"/>
  <c r="R12" i="42"/>
  <c r="Q12" i="42"/>
  <c r="N12" i="42"/>
  <c r="M12" i="42"/>
  <c r="L12" i="42"/>
  <c r="K12" i="42"/>
  <c r="J12" i="42"/>
  <c r="I12" i="42"/>
  <c r="F12" i="42"/>
  <c r="E12" i="42"/>
  <c r="D12" i="42"/>
  <c r="B5" i="42"/>
  <c r="Y98" i="42" l="1"/>
  <c r="CQ398" i="29"/>
  <c r="CC398" i="29"/>
  <c r="CB398" i="29"/>
  <c r="CP398" i="29"/>
  <c r="CB396" i="29"/>
  <c r="CQ396" i="29"/>
  <c r="CP396" i="29"/>
  <c r="CC396" i="29"/>
  <c r="CP397" i="29"/>
  <c r="CB397" i="29"/>
  <c r="CC397" i="29"/>
  <c r="CQ397" i="29"/>
  <c r="CQ403" i="29"/>
  <c r="CP403" i="29"/>
  <c r="CC403" i="29"/>
  <c r="CB403" i="29"/>
  <c r="CQ404" i="29"/>
  <c r="CB404" i="29"/>
  <c r="CP404" i="29"/>
  <c r="CC404" i="29"/>
  <c r="CP400" i="29"/>
  <c r="CQ400" i="29"/>
  <c r="CC400" i="29"/>
  <c r="CB400" i="29"/>
  <c r="CC401" i="29"/>
  <c r="CP401" i="29"/>
  <c r="CB401" i="29"/>
  <c r="W401" i="29" s="1"/>
  <c r="CQ401" i="29"/>
  <c r="CQ402" i="29"/>
  <c r="CP402" i="29"/>
  <c r="CB402" i="29"/>
  <c r="CC402" i="29"/>
  <c r="CP394" i="29"/>
  <c r="CB394" i="29"/>
  <c r="CQ394" i="29"/>
  <c r="CC394" i="29"/>
  <c r="H123" i="42"/>
  <c r="C123" i="42"/>
  <c r="S98" i="42"/>
  <c r="Z98" i="42"/>
  <c r="Y12" i="42"/>
  <c r="U98" i="42"/>
  <c r="T12" i="42"/>
  <c r="U12" i="42"/>
  <c r="Z12" i="42"/>
  <c r="V98" i="42"/>
  <c r="S12" i="42"/>
  <c r="B174" i="42" s="1"/>
  <c r="V12" i="42"/>
  <c r="C399" i="29"/>
  <c r="C395" i="29"/>
  <c r="P210" i="4"/>
  <c r="O210" i="4"/>
  <c r="N210" i="4"/>
  <c r="M210" i="4"/>
  <c r="L210" i="4"/>
  <c r="K210" i="4"/>
  <c r="J210" i="4"/>
  <c r="I210" i="4"/>
  <c r="H210" i="4"/>
  <c r="G210" i="4"/>
  <c r="F210" i="4"/>
  <c r="C158" i="4"/>
  <c r="CE131" i="4"/>
  <c r="CE130" i="4"/>
  <c r="CE129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1" i="4"/>
  <c r="E101" i="4"/>
  <c r="D101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D210" i="4" l="1"/>
  <c r="CO54" i="4"/>
  <c r="W404" i="29"/>
  <c r="F106" i="4"/>
  <c r="CC54" i="4"/>
  <c r="W398" i="29"/>
  <c r="CO22" i="4"/>
  <c r="W403" i="29"/>
  <c r="W402" i="29"/>
  <c r="W400" i="29"/>
  <c r="W396" i="29"/>
  <c r="W397" i="29"/>
  <c r="W394" i="29"/>
  <c r="CC211" i="4"/>
  <c r="CQ130" i="4"/>
  <c r="CN32" i="4"/>
  <c r="CO41" i="4"/>
  <c r="CO195" i="4"/>
  <c r="CF195" i="4"/>
  <c r="CB195" i="4"/>
  <c r="CP195" i="4"/>
  <c r="CQ195" i="4"/>
  <c r="CN195" i="4"/>
  <c r="CE195" i="4"/>
  <c r="CD195" i="4"/>
  <c r="CC195" i="4"/>
  <c r="CR195" i="4"/>
  <c r="CF131" i="4"/>
  <c r="CC131" i="4"/>
  <c r="CB131" i="4"/>
  <c r="CD131" i="4"/>
  <c r="CG131" i="4"/>
  <c r="CN131" i="4"/>
  <c r="CO131" i="4"/>
  <c r="CP131" i="4"/>
  <c r="CQ131" i="4"/>
  <c r="CR131" i="4"/>
  <c r="CS131" i="4"/>
  <c r="CB108" i="4"/>
  <c r="CC108" i="4"/>
  <c r="CN108" i="4"/>
  <c r="CO108" i="4"/>
  <c r="CN141" i="4"/>
  <c r="CB141" i="4"/>
  <c r="L141" i="4" s="1"/>
  <c r="CB63" i="4"/>
  <c r="CC63" i="4"/>
  <c r="CN63" i="4"/>
  <c r="CO63" i="4"/>
  <c r="CB109" i="4"/>
  <c r="CC109" i="4"/>
  <c r="CN109" i="4"/>
  <c r="CO109" i="4"/>
  <c r="CB142" i="4"/>
  <c r="L142" i="4" s="1"/>
  <c r="CN142" i="4"/>
  <c r="CS22" i="4"/>
  <c r="CF22" i="4"/>
  <c r="CG22" i="4"/>
  <c r="CB22" i="4"/>
  <c r="CC22" i="4"/>
  <c r="CN22" i="4"/>
  <c r="E210" i="4"/>
  <c r="C210" i="4" s="1"/>
  <c r="CB54" i="4"/>
  <c r="CN54" i="4"/>
  <c r="CN46" i="4"/>
  <c r="CN113" i="4"/>
  <c r="CB113" i="4"/>
  <c r="AQ113" i="4" s="1"/>
  <c r="CB56" i="4"/>
  <c r="CN56" i="4"/>
  <c r="CN35" i="4"/>
  <c r="CB14" i="4"/>
  <c r="AU14" i="4" s="1"/>
  <c r="CN14" i="4"/>
  <c r="C101" i="4"/>
  <c r="CO42" i="4"/>
  <c r="E78" i="4"/>
  <c r="D78" i="4"/>
  <c r="E106" i="4"/>
  <c r="CR22" i="4" l="1"/>
  <c r="CH13" i="4"/>
  <c r="CT13" i="4"/>
  <c r="CT12" i="4"/>
  <c r="CH12" i="4"/>
  <c r="CD211" i="4"/>
  <c r="CQ212" i="4"/>
  <c r="CE212" i="4"/>
  <c r="CN212" i="4"/>
  <c r="CO212" i="4"/>
  <c r="CB212" i="4"/>
  <c r="CC212" i="4"/>
  <c r="CP212" i="4"/>
  <c r="CD212" i="4"/>
  <c r="CE211" i="4"/>
  <c r="CB211" i="4"/>
  <c r="Q211" i="4" s="1"/>
  <c r="CN213" i="4"/>
  <c r="CB213" i="4"/>
  <c r="CO213" i="4"/>
  <c r="CC213" i="4"/>
  <c r="CP213" i="4"/>
  <c r="CD213" i="4"/>
  <c r="CQ213" i="4"/>
  <c r="CE213" i="4"/>
  <c r="CN215" i="4"/>
  <c r="CB215" i="4"/>
  <c r="CO215" i="4"/>
  <c r="CC215" i="4"/>
  <c r="CP215" i="4"/>
  <c r="CD215" i="4"/>
  <c r="CQ215" i="4"/>
  <c r="CE215" i="4"/>
  <c r="CN214" i="4"/>
  <c r="CB214" i="4"/>
  <c r="CO214" i="4"/>
  <c r="CC214" i="4"/>
  <c r="CP214" i="4"/>
  <c r="CD214" i="4"/>
  <c r="CQ214" i="4"/>
  <c r="CE214" i="4"/>
  <c r="CO130" i="4"/>
  <c r="CD130" i="4"/>
  <c r="CB130" i="4"/>
  <c r="CP130" i="4"/>
  <c r="CC130" i="4"/>
  <c r="CN130" i="4"/>
  <c r="CG130" i="4"/>
  <c r="CS130" i="4"/>
  <c r="CR130" i="4"/>
  <c r="CF130" i="4"/>
  <c r="CC56" i="4"/>
  <c r="AP56" i="4" s="1"/>
  <c r="CO56" i="4"/>
  <c r="CO55" i="4"/>
  <c r="CC55" i="4"/>
  <c r="CO43" i="4"/>
  <c r="CC43" i="4"/>
  <c r="CB43" i="4"/>
  <c r="CO44" i="4"/>
  <c r="CB44" i="4"/>
  <c r="CC44" i="4"/>
  <c r="CC46" i="4"/>
  <c r="CO46" i="4"/>
  <c r="CB46" i="4"/>
  <c r="AP46" i="4" s="1"/>
  <c r="CO45" i="4"/>
  <c r="CB45" i="4"/>
  <c r="CC45" i="4"/>
  <c r="CD23" i="4"/>
  <c r="CP23" i="4"/>
  <c r="CD20" i="4"/>
  <c r="CP20" i="4"/>
  <c r="CD21" i="4"/>
  <c r="CP21" i="4"/>
  <c r="CD22" i="4"/>
  <c r="AT22" i="4" s="1"/>
  <c r="CP22" i="4"/>
  <c r="CC31" i="4"/>
  <c r="CO31" i="4"/>
  <c r="CC52" i="4"/>
  <c r="CO52" i="4"/>
  <c r="CO53" i="4"/>
  <c r="CC53" i="4"/>
  <c r="CC51" i="4"/>
  <c r="CO51" i="4"/>
  <c r="CN52" i="4"/>
  <c r="CB52" i="4"/>
  <c r="CB42" i="4"/>
  <c r="CC42" i="4"/>
  <c r="CB32" i="4"/>
  <c r="AP32" i="4" s="1"/>
  <c r="CB41" i="4"/>
  <c r="CC41" i="4"/>
  <c r="CN41" i="4"/>
  <c r="B248" i="4"/>
  <c r="CQ211" i="4"/>
  <c r="CP211" i="4"/>
  <c r="CO211" i="4"/>
  <c r="CN211" i="4"/>
  <c r="AP54" i="4"/>
  <c r="CB35" i="4"/>
  <c r="AP35" i="4" s="1"/>
  <c r="AP63" i="4"/>
  <c r="CB124" i="4"/>
  <c r="CN124" i="4"/>
  <c r="CE12" i="4"/>
  <c r="CD12" i="4"/>
  <c r="CC12" i="4"/>
  <c r="CB12" i="4"/>
  <c r="CF12" i="4"/>
  <c r="CG12" i="4"/>
  <c r="CN44" i="4"/>
  <c r="CB24" i="4"/>
  <c r="CN24" i="4"/>
  <c r="CC24" i="4"/>
  <c r="CR24" i="4"/>
  <c r="CS24" i="4"/>
  <c r="CO24" i="4"/>
  <c r="CG24" i="4"/>
  <c r="CF24" i="4"/>
  <c r="CQ23" i="4"/>
  <c r="CN23" i="4"/>
  <c r="CO23" i="4"/>
  <c r="CR23" i="4"/>
  <c r="CF23" i="4"/>
  <c r="CS23" i="4"/>
  <c r="CG23" i="4"/>
  <c r="CE23" i="4"/>
  <c r="CB23" i="4"/>
  <c r="CC23" i="4"/>
  <c r="AQ108" i="4"/>
  <c r="CN125" i="4"/>
  <c r="CB125" i="4"/>
  <c r="CN43" i="4"/>
  <c r="CN53" i="4"/>
  <c r="CB53" i="4"/>
  <c r="CE196" i="4"/>
  <c r="CB196" i="4"/>
  <c r="CC196" i="4"/>
  <c r="CO196" i="4"/>
  <c r="CD196" i="4"/>
  <c r="CF196" i="4"/>
  <c r="CN196" i="4"/>
  <c r="CP196" i="4"/>
  <c r="CQ196" i="4"/>
  <c r="CR196" i="4"/>
  <c r="CC61" i="4"/>
  <c r="CB61" i="4"/>
  <c r="AP61" i="4" s="1"/>
  <c r="CO61" i="4"/>
  <c r="CN61" i="4"/>
  <c r="CF21" i="4"/>
  <c r="CG21" i="4"/>
  <c r="CB21" i="4"/>
  <c r="CS21" i="4"/>
  <c r="CN21" i="4"/>
  <c r="CC21" i="4"/>
  <c r="CE21" i="4"/>
  <c r="CO21" i="4"/>
  <c r="CQ21" i="4"/>
  <c r="CR21" i="4"/>
  <c r="AO195" i="4"/>
  <c r="CC26" i="4"/>
  <c r="CF26" i="4"/>
  <c r="CN26" i="4"/>
  <c r="CO26" i="4"/>
  <c r="CR26" i="4"/>
  <c r="CS26" i="4"/>
  <c r="CB26" i="4"/>
  <c r="CG26" i="4"/>
  <c r="AM131" i="4"/>
  <c r="CB62" i="4"/>
  <c r="CC62" i="4"/>
  <c r="CO62" i="4"/>
  <c r="CN62" i="4"/>
  <c r="CB123" i="4"/>
  <c r="CN123" i="4"/>
  <c r="CN42" i="4"/>
  <c r="C78" i="4"/>
  <c r="AQ109" i="4"/>
  <c r="CO64" i="4"/>
  <c r="CB64" i="4"/>
  <c r="CC64" i="4"/>
  <c r="CN64" i="4"/>
  <c r="CO107" i="4"/>
  <c r="CN107" i="4"/>
  <c r="CC107" i="4"/>
  <c r="CB107" i="4"/>
  <c r="CN110" i="4"/>
  <c r="CB110" i="4"/>
  <c r="AQ110" i="4" s="1"/>
  <c r="CD129" i="4"/>
  <c r="CC129" i="4"/>
  <c r="CB129" i="4"/>
  <c r="CQ129" i="4"/>
  <c r="CS129" i="4"/>
  <c r="CO129" i="4"/>
  <c r="CP129" i="4"/>
  <c r="CR129" i="4"/>
  <c r="CN129" i="4"/>
  <c r="CG129" i="4"/>
  <c r="CF129" i="4"/>
  <c r="CN111" i="4"/>
  <c r="CB111" i="4"/>
  <c r="AQ111" i="4" s="1"/>
  <c r="CQ20" i="4"/>
  <c r="CG20" i="4"/>
  <c r="CB20" i="4"/>
  <c r="CR20" i="4"/>
  <c r="CO20" i="4"/>
  <c r="CN20" i="4"/>
  <c r="CF20" i="4"/>
  <c r="CS20" i="4"/>
  <c r="CC20" i="4"/>
  <c r="CE20" i="4"/>
  <c r="CN51" i="4"/>
  <c r="CB51" i="4"/>
  <c r="CN65" i="4"/>
  <c r="CB65" i="4"/>
  <c r="CC65" i="4"/>
  <c r="CO65" i="4"/>
  <c r="CB55" i="4"/>
  <c r="CN55" i="4"/>
  <c r="CN45" i="4"/>
  <c r="CN112" i="4"/>
  <c r="CB112" i="4"/>
  <c r="AQ112" i="4" s="1"/>
  <c r="CC25" i="4"/>
  <c r="CO25" i="4"/>
  <c r="CR25" i="4"/>
  <c r="CN25" i="4"/>
  <c r="CS25" i="4"/>
  <c r="CB25" i="4"/>
  <c r="CF25" i="4"/>
  <c r="CG25" i="4"/>
  <c r="CN34" i="4"/>
  <c r="CB34" i="4"/>
  <c r="AP34" i="4" s="1"/>
  <c r="CN33" i="4"/>
  <c r="CB33" i="4"/>
  <c r="AP33" i="4" s="1"/>
  <c r="CN36" i="4"/>
  <c r="CB36" i="4"/>
  <c r="AP36" i="4" s="1"/>
  <c r="CN31" i="4"/>
  <c r="CB31" i="4"/>
  <c r="CS12" i="4"/>
  <c r="CR12" i="4"/>
  <c r="CQ12" i="4"/>
  <c r="CP12" i="4"/>
  <c r="CO12" i="4"/>
  <c r="CN12" i="4"/>
  <c r="CB15" i="4"/>
  <c r="AU15" i="4" s="1"/>
  <c r="CN15" i="4"/>
  <c r="CC13" i="4"/>
  <c r="CD13" i="4"/>
  <c r="CE13" i="4"/>
  <c r="CF13" i="4"/>
  <c r="CG13" i="4"/>
  <c r="CN13" i="4"/>
  <c r="CQ13" i="4"/>
  <c r="CB13" i="4"/>
  <c r="CO13" i="4"/>
  <c r="CP13" i="4"/>
  <c r="CR13" i="4"/>
  <c r="CS13" i="4"/>
  <c r="D106" i="4"/>
  <c r="B232" i="4" s="1"/>
  <c r="C232" i="4"/>
  <c r="AM130" i="4" l="1"/>
  <c r="Q213" i="4"/>
  <c r="Q215" i="4"/>
  <c r="Q212" i="4"/>
  <c r="Q214" i="4"/>
  <c r="AQ107" i="4"/>
  <c r="AP62" i="4"/>
  <c r="AP52" i="4"/>
  <c r="AP31" i="4"/>
  <c r="AP41" i="4"/>
  <c r="C248" i="4"/>
  <c r="AP43" i="4"/>
  <c r="AP45" i="4"/>
  <c r="AP51" i="4"/>
  <c r="AT21" i="4"/>
  <c r="AT24" i="4"/>
  <c r="AM129" i="4"/>
  <c r="AP44" i="4"/>
  <c r="AP65" i="4"/>
  <c r="AT26" i="4"/>
  <c r="AP55" i="4"/>
  <c r="AT23" i="4"/>
  <c r="AP42" i="4"/>
  <c r="AO196" i="4"/>
  <c r="AP64" i="4"/>
  <c r="AT25" i="4"/>
  <c r="AT20" i="4"/>
  <c r="AP53" i="4"/>
  <c r="AU12" i="4"/>
  <c r="AU13" i="4"/>
  <c r="P162" i="46"/>
  <c r="O162" i="46"/>
  <c r="G146" i="46"/>
  <c r="C74" i="11"/>
  <c r="B5" i="11"/>
  <c r="L74" i="11"/>
  <c r="K74" i="11"/>
  <c r="J74" i="11"/>
  <c r="I74" i="11"/>
  <c r="H74" i="11"/>
  <c r="G74" i="11"/>
  <c r="F74" i="11"/>
  <c r="E74" i="11"/>
  <c r="D74" i="11"/>
  <c r="E56" i="11"/>
  <c r="D56" i="11"/>
  <c r="CO50" i="11" l="1"/>
  <c r="CN50" i="11"/>
  <c r="CB50" i="11"/>
  <c r="CA50" i="11" a="1"/>
  <c r="CA50" i="11" s="1"/>
  <c r="CL40" i="11"/>
  <c r="CM40" i="11"/>
  <c r="CN40" i="11"/>
  <c r="CO40" i="11"/>
  <c r="CN51" i="11"/>
  <c r="CO51" i="11"/>
  <c r="CN42" i="11"/>
  <c r="CO42" i="11"/>
  <c r="CB42" i="11"/>
  <c r="CN43" i="11"/>
  <c r="CO43" i="11"/>
  <c r="CB33" i="11"/>
  <c r="CL34" i="11"/>
  <c r="CN45" i="11"/>
  <c r="CO45" i="11"/>
  <c r="CO46" i="11"/>
  <c r="CN46" i="11"/>
  <c r="CN49" i="11"/>
  <c r="CO49" i="11"/>
  <c r="CA49" i="11" a="1"/>
  <c r="CA49" i="11" s="1"/>
  <c r="CB49" i="11"/>
  <c r="CN48" i="11"/>
  <c r="CO48" i="11"/>
  <c r="CB48" i="11"/>
  <c r="CA48" i="11" a="1"/>
  <c r="CA48" i="11" s="1"/>
  <c r="CE45" i="11"/>
  <c r="CK45" i="11"/>
  <c r="CB45" i="11"/>
  <c r="CA51" i="11" a="1"/>
  <c r="CA51" i="11" s="1"/>
  <c r="CB51" i="11"/>
  <c r="CE17" i="11"/>
  <c r="CD19" i="11"/>
  <c r="CE25" i="11"/>
  <c r="CE13" i="11"/>
  <c r="CK13" i="11"/>
  <c r="CL13" i="11"/>
  <c r="CN13" i="11"/>
  <c r="CB13" i="11"/>
  <c r="CM13" i="11"/>
  <c r="CC13" i="11"/>
  <c r="CD13" i="11"/>
  <c r="CL17" i="11"/>
  <c r="CB17" i="11"/>
  <c r="CD17" i="11"/>
  <c r="CC17" i="11"/>
  <c r="CD25" i="11"/>
  <c r="CB46" i="11"/>
  <c r="CE46" i="11"/>
  <c r="CF46" i="11"/>
  <c r="CJ46" i="11" a="1"/>
  <c r="CJ46" i="11" s="1"/>
  <c r="BV46" i="11" s="1"/>
  <c r="CK46" i="11"/>
  <c r="CA46" i="11" a="1"/>
  <c r="CA46" i="11" s="1"/>
  <c r="CN22" i="11"/>
  <c r="CD22" i="11"/>
  <c r="CB22" i="11"/>
  <c r="CC22" i="11"/>
  <c r="CE22" i="11"/>
  <c r="CK22" i="11"/>
  <c r="CL22" i="11"/>
  <c r="CM22" i="11"/>
  <c r="CN30" i="11"/>
  <c r="CD30" i="11"/>
  <c r="CB30" i="11"/>
  <c r="CC30" i="11"/>
  <c r="CE30" i="11"/>
  <c r="CK30" i="11"/>
  <c r="CL30" i="11"/>
  <c r="CM30" i="11"/>
  <c r="CE34" i="11"/>
  <c r="CK34" i="11"/>
  <c r="CB34" i="11"/>
  <c r="CM34" i="11"/>
  <c r="CK48" i="11"/>
  <c r="CJ48" i="11" a="1"/>
  <c r="CJ48" i="11" s="1"/>
  <c r="BV48" i="11" s="1"/>
  <c r="CE48" i="11"/>
  <c r="CF48" i="11"/>
  <c r="CN18" i="11"/>
  <c r="CB18" i="11"/>
  <c r="CD18" i="11"/>
  <c r="CC18" i="11"/>
  <c r="CE18" i="11"/>
  <c r="CK18" i="11"/>
  <c r="CM18" i="11"/>
  <c r="CL18" i="11"/>
  <c r="CB19" i="11"/>
  <c r="CC19" i="11"/>
  <c r="CK49" i="11"/>
  <c r="CF49" i="11"/>
  <c r="CE49" i="11"/>
  <c r="CJ49" i="11" a="1"/>
  <c r="CJ49" i="11" s="1"/>
  <c r="BV49" i="11" s="1"/>
  <c r="CE40" i="11"/>
  <c r="CF40" i="11"/>
  <c r="CK40" i="11"/>
  <c r="CA40" i="11" a="1"/>
  <c r="CA40" i="11" s="1"/>
  <c r="CB40" i="11"/>
  <c r="CC40" i="11"/>
  <c r="CJ40" i="11" a="1"/>
  <c r="CJ40" i="11" s="1"/>
  <c r="CD40" i="11"/>
  <c r="CJ50" i="11" a="1"/>
  <c r="CJ50" i="11" s="1"/>
  <c r="BV50" i="11" s="1"/>
  <c r="CK50" i="11"/>
  <c r="CE50" i="11"/>
  <c r="CF50" i="11"/>
  <c r="CA42" i="11" a="1"/>
  <c r="CA42" i="11" s="1"/>
  <c r="CE42" i="11"/>
  <c r="CJ42" i="11" a="1"/>
  <c r="CJ42" i="11" s="1"/>
  <c r="CF42" i="11"/>
  <c r="CK42" i="11"/>
  <c r="CE51" i="11"/>
  <c r="CK51" i="11"/>
  <c r="CF51" i="11"/>
  <c r="CJ51" i="11" a="1"/>
  <c r="CJ51" i="11" s="1"/>
  <c r="BV51" i="11" s="1"/>
  <c r="CJ43" i="11" a="1"/>
  <c r="CJ43" i="11" s="1"/>
  <c r="CK43" i="11"/>
  <c r="CA43" i="11" a="1"/>
  <c r="CA43" i="11" s="1"/>
  <c r="CB43" i="11"/>
  <c r="CE43" i="11"/>
  <c r="CF43" i="11"/>
  <c r="CA44" i="11" a="1"/>
  <c r="CA44" i="11" s="1"/>
  <c r="CE44" i="11"/>
  <c r="CF44" i="11"/>
  <c r="CJ44" i="11" a="1"/>
  <c r="CJ44" i="11" s="1"/>
  <c r="CJ45" i="11" a="1"/>
  <c r="CJ45" i="11" s="1"/>
  <c r="BV45" i="11" s="1"/>
  <c r="CA45" i="11" a="1"/>
  <c r="CA45" i="11" s="1"/>
  <c r="CF45" i="11"/>
  <c r="CN33" i="11"/>
  <c r="AY50" i="11" l="1"/>
  <c r="AY44" i="11"/>
  <c r="AY51" i="11"/>
  <c r="CM33" i="11"/>
  <c r="CN19" i="11"/>
  <c r="CB25" i="11"/>
  <c r="CD33" i="11"/>
  <c r="CL19" i="11"/>
  <c r="CC34" i="11"/>
  <c r="CN25" i="11"/>
  <c r="CN17" i="11"/>
  <c r="CL33" i="11"/>
  <c r="CM25" i="11"/>
  <c r="CE19" i="11"/>
  <c r="CD34" i="11"/>
  <c r="CL25" i="11"/>
  <c r="CM17" i="11"/>
  <c r="CC25" i="11"/>
  <c r="AT25" i="11" s="1"/>
  <c r="CC33" i="11"/>
  <c r="AT33" i="11" s="1"/>
  <c r="CK33" i="11"/>
  <c r="CM19" i="11"/>
  <c r="CN34" i="11"/>
  <c r="CK25" i="11"/>
  <c r="CK17" i="11"/>
  <c r="CE33" i="11"/>
  <c r="CK19" i="11"/>
  <c r="AY43" i="11"/>
  <c r="AY49" i="11"/>
  <c r="AY46" i="11"/>
  <c r="AY48" i="11"/>
  <c r="AY42" i="11"/>
  <c r="AY40" i="11"/>
  <c r="AY45" i="11"/>
  <c r="CN28" i="11"/>
  <c r="CB28" i="11"/>
  <c r="CC28" i="11"/>
  <c r="CD28" i="11"/>
  <c r="CE28" i="11"/>
  <c r="CK28" i="11"/>
  <c r="CM28" i="11"/>
  <c r="CL28" i="11"/>
  <c r="CN20" i="11"/>
  <c r="CB20" i="11"/>
  <c r="CD20" i="11"/>
  <c r="CC20" i="11"/>
  <c r="CE20" i="11"/>
  <c r="CK20" i="11"/>
  <c r="CM20" i="11"/>
  <c r="CL20" i="11"/>
  <c r="CN14" i="11"/>
  <c r="CB14" i="11"/>
  <c r="AT14" i="11" s="1"/>
  <c r="CD14" i="11"/>
  <c r="CC14" i="11"/>
  <c r="CE14" i="11"/>
  <c r="CK14" i="11"/>
  <c r="CL14" i="11"/>
  <c r="CM14" i="11"/>
  <c r="CE29" i="11"/>
  <c r="CK29" i="11"/>
  <c r="CM29" i="11"/>
  <c r="CL29" i="11"/>
  <c r="CN29" i="11"/>
  <c r="CB29" i="11"/>
  <c r="CC29" i="11"/>
  <c r="CD29" i="11"/>
  <c r="CE31" i="11"/>
  <c r="CK31" i="11"/>
  <c r="CL31" i="11"/>
  <c r="CN31" i="11"/>
  <c r="CB31" i="11"/>
  <c r="CD31" i="11"/>
  <c r="CM31" i="11"/>
  <c r="CC31" i="11"/>
  <c r="CN16" i="11"/>
  <c r="CB16" i="11"/>
  <c r="CC16" i="11"/>
  <c r="CD16" i="11"/>
  <c r="CE16" i="11"/>
  <c r="CK16" i="11"/>
  <c r="CM16" i="11"/>
  <c r="CL16" i="11"/>
  <c r="B101" i="11"/>
  <c r="E30" i="18" s="1"/>
  <c r="CE23" i="11"/>
  <c r="CM23" i="11"/>
  <c r="CK23" i="11"/>
  <c r="CL23" i="11"/>
  <c r="CN23" i="11"/>
  <c r="CB23" i="11"/>
  <c r="CC23" i="11"/>
  <c r="CD23" i="11"/>
  <c r="CN26" i="11"/>
  <c r="CB26" i="11"/>
  <c r="AT26" i="11" s="1"/>
  <c r="CD26" i="11"/>
  <c r="CC26" i="11"/>
  <c r="CE26" i="11"/>
  <c r="CK26" i="11"/>
  <c r="CM26" i="11"/>
  <c r="CL26" i="11"/>
  <c r="CE15" i="11"/>
  <c r="CM15" i="11"/>
  <c r="CK15" i="11"/>
  <c r="CL15" i="11"/>
  <c r="CN15" i="11"/>
  <c r="CB15" i="11"/>
  <c r="CC15" i="11"/>
  <c r="CD15" i="11"/>
  <c r="CN32" i="11"/>
  <c r="CB32" i="11"/>
  <c r="CD32" i="11"/>
  <c r="CC32" i="11"/>
  <c r="CE32" i="11"/>
  <c r="CK32" i="11"/>
  <c r="CM32" i="11"/>
  <c r="CL32" i="11"/>
  <c r="CN24" i="11"/>
  <c r="CD24" i="11"/>
  <c r="CB24" i="11"/>
  <c r="CC24" i="11"/>
  <c r="CE24" i="11"/>
  <c r="CK24" i="11"/>
  <c r="CM24" i="11"/>
  <c r="CL24" i="11"/>
  <c r="CE21" i="11"/>
  <c r="CK21" i="11"/>
  <c r="CL21" i="11"/>
  <c r="CN21" i="11"/>
  <c r="CB21" i="11"/>
  <c r="CD21" i="11"/>
  <c r="CM21" i="11"/>
  <c r="CC21" i="11"/>
  <c r="CE27" i="11"/>
  <c r="CK27" i="11"/>
  <c r="CL27" i="11"/>
  <c r="CN27" i="11"/>
  <c r="CB27" i="11"/>
  <c r="CD27" i="11"/>
  <c r="CM27" i="11"/>
  <c r="CC27" i="11"/>
  <c r="CN12" i="11"/>
  <c r="CE12" i="11"/>
  <c r="CL12" i="11"/>
  <c r="CM12" i="11"/>
  <c r="CD12" i="11"/>
  <c r="CK12" i="11"/>
  <c r="CB12" i="11"/>
  <c r="CC12" i="11"/>
  <c r="AT22" i="11"/>
  <c r="AT19" i="11"/>
  <c r="AT18" i="11"/>
  <c r="BV40" i="11"/>
  <c r="AT17" i="11"/>
  <c r="AT30" i="11"/>
  <c r="BV44" i="11"/>
  <c r="BV42" i="11"/>
  <c r="BV43" i="11"/>
  <c r="AT13" i="11"/>
  <c r="AT34" i="11"/>
  <c r="C101" i="11" l="1"/>
  <c r="D30" i="18" s="1"/>
  <c r="AT29" i="11"/>
  <c r="AT21" i="11"/>
  <c r="AT27" i="11"/>
  <c r="AT15" i="11"/>
  <c r="AT31" i="11"/>
  <c r="AT24" i="11"/>
  <c r="AT32" i="11"/>
  <c r="AT23" i="11"/>
  <c r="AT16" i="11"/>
  <c r="BV41" i="11"/>
  <c r="AT28" i="11"/>
  <c r="AT20" i="11"/>
  <c r="S123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T109" i="38"/>
  <c r="S109" i="38"/>
  <c r="Q109" i="38"/>
  <c r="P109" i="38"/>
  <c r="O109" i="38"/>
  <c r="N109" i="38"/>
  <c r="M109" i="38"/>
  <c r="K109" i="38"/>
  <c r="J109" i="38"/>
  <c r="I109" i="38"/>
  <c r="H109" i="38"/>
  <c r="G109" i="38"/>
  <c r="E109" i="38"/>
  <c r="C109" i="38"/>
  <c r="S92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C92" i="38"/>
  <c r="X74" i="38"/>
  <c r="W74" i="38"/>
  <c r="V74" i="38"/>
  <c r="U74" i="38"/>
  <c r="T74" i="38"/>
  <c r="S74" i="38"/>
  <c r="Q74" i="38"/>
  <c r="P74" i="38"/>
  <c r="N74" i="38"/>
  <c r="M74" i="38"/>
  <c r="L74" i="38"/>
  <c r="K74" i="38"/>
  <c r="J74" i="38"/>
  <c r="I74" i="38"/>
  <c r="H74" i="38"/>
  <c r="G74" i="38"/>
  <c r="F74" i="38"/>
  <c r="E74" i="38"/>
  <c r="D74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AM180" i="37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CB129" i="37"/>
  <c r="CL124" i="37"/>
  <c r="CK124" i="37"/>
  <c r="CC124" i="37"/>
  <c r="CB124" i="37"/>
  <c r="CM124" i="37"/>
  <c r="CL123" i="37"/>
  <c r="CK123" i="37"/>
  <c r="CC123" i="37"/>
  <c r="CB123" i="37"/>
  <c r="CL122" i="37"/>
  <c r="CC122" i="37"/>
  <c r="CK117" i="37"/>
  <c r="CB117" i="37"/>
  <c r="F117" i="37" s="1"/>
  <c r="CK115" i="37"/>
  <c r="CB115" i="37"/>
  <c r="F115" i="37" s="1"/>
  <c r="CK114" i="37"/>
  <c r="CB114" i="37"/>
  <c r="F114" i="37" s="1"/>
  <c r="CK113" i="37"/>
  <c r="F113" i="37"/>
  <c r="CK110" i="37"/>
  <c r="CB110" i="37"/>
  <c r="F110" i="37" s="1"/>
  <c r="CK109" i="37"/>
  <c r="CB109" i="37"/>
  <c r="F109" i="37" s="1"/>
  <c r="CB108" i="37"/>
  <c r="F108" i="37" s="1"/>
  <c r="CK105" i="37"/>
  <c r="CL105" i="37"/>
  <c r="CK104" i="37"/>
  <c r="CL104" i="37"/>
  <c r="CK103" i="37"/>
  <c r="CL103" i="37"/>
  <c r="CK102" i="37"/>
  <c r="CL102" i="37"/>
  <c r="CC101" i="37"/>
  <c r="CK101" i="37"/>
  <c r="CL101" i="37"/>
  <c r="CK100" i="37"/>
  <c r="CL100" i="37"/>
  <c r="CK99" i="37"/>
  <c r="CL99" i="37"/>
  <c r="CK98" i="37"/>
  <c r="CL98" i="37"/>
  <c r="CK97" i="37"/>
  <c r="CL97" i="37"/>
  <c r="CC96" i="37"/>
  <c r="CK96" i="37"/>
  <c r="CL96" i="37"/>
  <c r="CK95" i="37"/>
  <c r="CL95" i="37"/>
  <c r="CK94" i="37"/>
  <c r="CL94" i="37"/>
  <c r="CP89" i="37"/>
  <c r="CG89" i="37"/>
  <c r="CL89" i="37"/>
  <c r="CP88" i="37"/>
  <c r="CG88" i="37"/>
  <c r="CC88" i="37"/>
  <c r="CP87" i="37"/>
  <c r="CG87" i="37"/>
  <c r="CL87" i="37"/>
  <c r="CP86" i="37"/>
  <c r="CG86" i="37"/>
  <c r="CC86" i="37"/>
  <c r="CP85" i="37"/>
  <c r="CG85" i="37"/>
  <c r="CC85" i="37"/>
  <c r="CP81" i="37"/>
  <c r="CG81" i="37"/>
  <c r="CC81" i="37"/>
  <c r="CP80" i="37"/>
  <c r="CG80" i="37"/>
  <c r="CC80" i="37"/>
  <c r="CP79" i="37"/>
  <c r="CG79" i="37"/>
  <c r="CP78" i="37"/>
  <c r="CG78" i="37"/>
  <c r="CC78" i="37"/>
  <c r="CP77" i="37"/>
  <c r="CG77" i="37"/>
  <c r="CL77" i="37"/>
  <c r="CP76" i="37"/>
  <c r="CG76" i="37"/>
  <c r="CL76" i="37"/>
  <c r="CP75" i="37"/>
  <c r="CG75" i="37"/>
  <c r="CP74" i="37"/>
  <c r="CG74" i="37"/>
  <c r="CE74" i="37"/>
  <c r="CP73" i="37"/>
  <c r="CG73" i="37"/>
  <c r="CP72" i="37"/>
  <c r="CG72" i="37"/>
  <c r="CC72" i="37"/>
  <c r="CD72" i="37"/>
  <c r="CP71" i="37"/>
  <c r="CG71" i="37"/>
  <c r="CP70" i="37"/>
  <c r="CG70" i="37"/>
  <c r="CD70" i="37"/>
  <c r="CL70" i="37"/>
  <c r="CM70" i="37"/>
  <c r="CP69" i="37"/>
  <c r="CG69" i="37"/>
  <c r="CC69" i="37"/>
  <c r="CP68" i="37"/>
  <c r="CG68" i="37"/>
  <c r="CL68" i="37"/>
  <c r="CD68" i="37"/>
  <c r="CP67" i="37"/>
  <c r="CG67" i="37"/>
  <c r="CL67" i="37"/>
  <c r="CP66" i="37"/>
  <c r="CG66" i="37"/>
  <c r="CL66" i="37"/>
  <c r="CD66" i="37"/>
  <c r="CP65" i="37"/>
  <c r="CG65" i="37"/>
  <c r="CP64" i="37"/>
  <c r="CG64" i="37"/>
  <c r="CC64" i="37"/>
  <c r="CD64" i="37"/>
  <c r="CP63" i="37"/>
  <c r="CG63" i="37"/>
  <c r="CL63" i="37"/>
  <c r="CM63" i="37"/>
  <c r="CP62" i="37"/>
  <c r="CG62" i="37"/>
  <c r="CL62" i="37"/>
  <c r="CP61" i="37"/>
  <c r="CG61" i="37"/>
  <c r="CC61" i="37"/>
  <c r="CM61" i="37"/>
  <c r="CP60" i="37"/>
  <c r="CG60" i="37"/>
  <c r="CL60" i="37"/>
  <c r="CP59" i="37"/>
  <c r="CG59" i="37"/>
  <c r="CL59" i="37"/>
  <c r="CM59" i="37"/>
  <c r="CP58" i="37"/>
  <c r="CG58" i="37"/>
  <c r="CC58" i="37"/>
  <c r="CP57" i="37"/>
  <c r="CG57" i="37"/>
  <c r="CL57" i="37"/>
  <c r="CM57" i="37"/>
  <c r="CC55" i="37"/>
  <c r="CD54" i="37"/>
  <c r="CD53" i="37"/>
  <c r="CL52" i="37"/>
  <c r="CD52" i="37"/>
  <c r="CL51" i="37"/>
  <c r="CL50" i="37"/>
  <c r="CD50" i="37"/>
  <c r="CC49" i="37"/>
  <c r="CD49" i="37"/>
  <c r="CL47" i="37"/>
  <c r="CD47" i="37"/>
  <c r="CL46" i="37"/>
  <c r="CM46" i="37"/>
  <c r="CL45" i="37"/>
  <c r="CD45" i="37"/>
  <c r="CL44" i="37"/>
  <c r="CM44" i="37"/>
  <c r="CC43" i="37"/>
  <c r="CD43" i="37"/>
  <c r="CC42" i="37"/>
  <c r="CM42" i="37"/>
  <c r="CC41" i="37"/>
  <c r="CD41" i="37"/>
  <c r="CL40" i="37"/>
  <c r="CD40" i="37"/>
  <c r="CL39" i="37"/>
  <c r="CD39" i="37"/>
  <c r="CL38" i="37"/>
  <c r="CD38" i="37"/>
  <c r="CL37" i="37"/>
  <c r="CM37" i="37"/>
  <c r="CC36" i="37"/>
  <c r="CL36" i="37"/>
  <c r="CD36" i="37"/>
  <c r="CL35" i="37"/>
  <c r="CC34" i="37"/>
  <c r="CD34" i="37"/>
  <c r="CL33" i="37"/>
  <c r="CM33" i="37"/>
  <c r="CL32" i="37"/>
  <c r="CD32" i="37"/>
  <c r="CL31" i="37"/>
  <c r="CL30" i="37"/>
  <c r="CD30" i="37"/>
  <c r="CL29" i="37"/>
  <c r="CM29" i="37"/>
  <c r="CC28" i="37"/>
  <c r="CD28" i="37"/>
  <c r="CL27" i="37"/>
  <c r="CM26" i="37"/>
  <c r="CD26" i="37"/>
  <c r="CL25" i="37"/>
  <c r="CM25" i="37"/>
  <c r="CC24" i="37"/>
  <c r="CD24" i="37"/>
  <c r="CL23" i="37"/>
  <c r="CC22" i="37"/>
  <c r="CD22" i="37"/>
  <c r="CL21" i="37"/>
  <c r="CM21" i="37"/>
  <c r="CC20" i="37"/>
  <c r="CD20" i="37"/>
  <c r="CL19" i="37"/>
  <c r="CC18" i="37"/>
  <c r="CD18" i="37"/>
  <c r="CL17" i="37"/>
  <c r="CL16" i="37"/>
  <c r="CD16" i="37"/>
  <c r="CL15" i="37"/>
  <c r="CM15" i="37"/>
  <c r="CQ14" i="37"/>
  <c r="CD14" i="37"/>
  <c r="AX31" i="5"/>
  <c r="E69" i="5"/>
  <c r="D69" i="5"/>
  <c r="C122" i="5"/>
  <c r="K152" i="5"/>
  <c r="J152" i="5"/>
  <c r="I152" i="5"/>
  <c r="H152" i="5"/>
  <c r="G152" i="5"/>
  <c r="F152" i="5"/>
  <c r="E152" i="5"/>
  <c r="D152" i="5"/>
  <c r="I122" i="5"/>
  <c r="G122" i="5"/>
  <c r="F122" i="5"/>
  <c r="E122" i="5"/>
  <c r="D122" i="5"/>
  <c r="O102" i="5"/>
  <c r="R102" i="5"/>
  <c r="Q102" i="5"/>
  <c r="P102" i="5"/>
  <c r="N102" i="5"/>
  <c r="M102" i="5"/>
  <c r="L102" i="5"/>
  <c r="AF13" i="5"/>
  <c r="AE13" i="5"/>
  <c r="AC13" i="5"/>
  <c r="AB13" i="5"/>
  <c r="Z13" i="5"/>
  <c r="Y13" i="5"/>
  <c r="X13" i="5"/>
  <c r="W13" i="5"/>
  <c r="U13" i="5"/>
  <c r="T13" i="5"/>
  <c r="S13" i="5"/>
  <c r="R13" i="5"/>
  <c r="P13" i="5"/>
  <c r="O13" i="5"/>
  <c r="N13" i="5"/>
  <c r="M13" i="5"/>
  <c r="K13" i="5"/>
  <c r="J13" i="5"/>
  <c r="I13" i="5"/>
  <c r="G13" i="5"/>
  <c r="F13" i="5"/>
  <c r="E13" i="5"/>
  <c r="D13" i="5"/>
  <c r="C13" i="5"/>
  <c r="B5" i="5"/>
  <c r="F69" i="5"/>
  <c r="G69" i="5"/>
  <c r="H69" i="5"/>
  <c r="BD89" i="5"/>
  <c r="C102" i="5"/>
  <c r="D102" i="5"/>
  <c r="E102" i="5"/>
  <c r="F102" i="5"/>
  <c r="G102" i="5"/>
  <c r="H102" i="5"/>
  <c r="I102" i="5"/>
  <c r="J102" i="5"/>
  <c r="AU106" i="5"/>
  <c r="I106" i="5" s="1"/>
  <c r="BD107" i="5"/>
  <c r="BD108" i="5"/>
  <c r="BD109" i="5"/>
  <c r="AU110" i="5"/>
  <c r="I110" i="5" s="1"/>
  <c r="BD111" i="5"/>
  <c r="AU112" i="5"/>
  <c r="I112" i="5" s="1"/>
  <c r="D114" i="5"/>
  <c r="E114" i="5"/>
  <c r="F114" i="5"/>
  <c r="G114" i="5"/>
  <c r="H114" i="5"/>
  <c r="BD118" i="5"/>
  <c r="I119" i="5"/>
  <c r="F181" i="45"/>
  <c r="O181" i="45"/>
  <c r="N181" i="45"/>
  <c r="M181" i="45"/>
  <c r="L181" i="45"/>
  <c r="K181" i="45"/>
  <c r="J181" i="45"/>
  <c r="I181" i="45"/>
  <c r="H181" i="45"/>
  <c r="G181" i="45"/>
  <c r="E181" i="45"/>
  <c r="F109" i="45"/>
  <c r="C109" i="45"/>
  <c r="G109" i="45"/>
  <c r="E109" i="45"/>
  <c r="D109" i="45"/>
  <c r="CH12" i="45"/>
  <c r="CI12" i="45"/>
  <c r="AV22" i="45"/>
  <c r="AW22" i="45"/>
  <c r="CQ46" i="38" l="1"/>
  <c r="CT46" i="38"/>
  <c r="CF46" i="38"/>
  <c r="CP46" i="38"/>
  <c r="CD46" i="38"/>
  <c r="CR46" i="38"/>
  <c r="CE46" i="38"/>
  <c r="CS46" i="38"/>
  <c r="CG46" i="38"/>
  <c r="CU46" i="38"/>
  <c r="CH46" i="38"/>
  <c r="CI46" i="38"/>
  <c r="CH79" i="38"/>
  <c r="CR79" i="38"/>
  <c r="CS79" i="38"/>
  <c r="CT79" i="38"/>
  <c r="CF79" i="38"/>
  <c r="CP79" i="38"/>
  <c r="CE79" i="38"/>
  <c r="CG79" i="38"/>
  <c r="CQ79" i="38"/>
  <c r="CD79" i="38"/>
  <c r="CE117" i="38"/>
  <c r="CR117" i="38"/>
  <c r="CF117" i="38"/>
  <c r="CS117" i="38"/>
  <c r="CG117" i="38"/>
  <c r="CT117" i="38"/>
  <c r="CH117" i="38"/>
  <c r="CP117" i="38"/>
  <c r="CQ117" i="38"/>
  <c r="CD117" i="38"/>
  <c r="CR31" i="38"/>
  <c r="CP31" i="38"/>
  <c r="CT31" i="38"/>
  <c r="CU31" i="38"/>
  <c r="CG31" i="38"/>
  <c r="CQ31" i="38"/>
  <c r="CI31" i="38"/>
  <c r="CS31" i="38"/>
  <c r="CD31" i="38"/>
  <c r="CE31" i="38"/>
  <c r="CF31" i="38"/>
  <c r="CH31" i="38"/>
  <c r="CT89" i="38"/>
  <c r="CD89" i="38"/>
  <c r="CE89" i="38"/>
  <c r="CH89" i="38"/>
  <c r="CR89" i="38"/>
  <c r="CF89" i="38"/>
  <c r="CG89" i="38"/>
  <c r="CP89" i="38"/>
  <c r="CQ89" i="38"/>
  <c r="CS89" i="38"/>
  <c r="CQ20" i="38"/>
  <c r="CS20" i="38"/>
  <c r="CT20" i="38"/>
  <c r="CF20" i="38"/>
  <c r="CH20" i="38"/>
  <c r="CI20" i="38"/>
  <c r="CP20" i="38"/>
  <c r="CR20" i="38"/>
  <c r="CU20" i="38"/>
  <c r="CD20" i="38"/>
  <c r="T20" i="38" s="1"/>
  <c r="CE20" i="38"/>
  <c r="CG20" i="38"/>
  <c r="CU28" i="38"/>
  <c r="CT28" i="38"/>
  <c r="CD28" i="38"/>
  <c r="CP28" i="38"/>
  <c r="CS28" i="38"/>
  <c r="CE28" i="38"/>
  <c r="CF28" i="38"/>
  <c r="CG28" i="38"/>
  <c r="CH28" i="38"/>
  <c r="CI28" i="38"/>
  <c r="CQ28" i="38"/>
  <c r="CR28" i="38"/>
  <c r="CR36" i="38"/>
  <c r="CD36" i="38"/>
  <c r="CI36" i="38"/>
  <c r="CP36" i="38"/>
  <c r="CQ36" i="38"/>
  <c r="CE36" i="38"/>
  <c r="CS36" i="38"/>
  <c r="CG36" i="38"/>
  <c r="CT36" i="38"/>
  <c r="CH36" i="38"/>
  <c r="CU36" i="38"/>
  <c r="CF36" i="38"/>
  <c r="CR44" i="38"/>
  <c r="CD44" i="38"/>
  <c r="CQ44" i="38"/>
  <c r="CG44" i="38"/>
  <c r="CS44" i="38"/>
  <c r="CH44" i="38"/>
  <c r="CT44" i="38"/>
  <c r="CI44" i="38"/>
  <c r="CU44" i="38"/>
  <c r="CP44" i="38"/>
  <c r="CF44" i="38"/>
  <c r="CE44" i="38"/>
  <c r="CQ62" i="38"/>
  <c r="CG62" i="38"/>
  <c r="CR62" i="38"/>
  <c r="CF62" i="38"/>
  <c r="CT62" i="38"/>
  <c r="CD62" i="38"/>
  <c r="CH62" i="38"/>
  <c r="CE62" i="38"/>
  <c r="CS62" i="38"/>
  <c r="CP62" i="38"/>
  <c r="CG86" i="38"/>
  <c r="CQ86" i="38"/>
  <c r="CH86" i="38"/>
  <c r="CR86" i="38"/>
  <c r="CS86" i="38"/>
  <c r="CT86" i="38"/>
  <c r="CE86" i="38"/>
  <c r="CD86" i="38"/>
  <c r="T86" i="38" s="1"/>
  <c r="CF86" i="38"/>
  <c r="CP86" i="38"/>
  <c r="CE100" i="38"/>
  <c r="CR100" i="38"/>
  <c r="CF100" i="38"/>
  <c r="CS100" i="38"/>
  <c r="CG100" i="38"/>
  <c r="CT100" i="38"/>
  <c r="CH100" i="38"/>
  <c r="CP100" i="38"/>
  <c r="CQ100" i="38"/>
  <c r="CD100" i="38"/>
  <c r="CP107" i="38"/>
  <c r="CD107" i="38"/>
  <c r="CQ107" i="38"/>
  <c r="CE107" i="38"/>
  <c r="CR107" i="38"/>
  <c r="CF107" i="38"/>
  <c r="CS107" i="38"/>
  <c r="CT107" i="38"/>
  <c r="CG107" i="38"/>
  <c r="CH107" i="38"/>
  <c r="CP115" i="38"/>
  <c r="CD115" i="38"/>
  <c r="CQ115" i="38"/>
  <c r="CG115" i="38"/>
  <c r="CT115" i="38"/>
  <c r="CH115" i="38"/>
  <c r="CR115" i="38"/>
  <c r="CS115" i="38"/>
  <c r="CE115" i="38"/>
  <c r="CF115" i="38"/>
  <c r="CF68" i="38"/>
  <c r="CS68" i="38"/>
  <c r="CG68" i="38"/>
  <c r="CT68" i="38"/>
  <c r="CD68" i="38"/>
  <c r="CQ68" i="38"/>
  <c r="CE68" i="38"/>
  <c r="CH68" i="38"/>
  <c r="CP68" i="38"/>
  <c r="CR68" i="38"/>
  <c r="CP102" i="38"/>
  <c r="CD102" i="38"/>
  <c r="CQ102" i="38"/>
  <c r="CG102" i="38"/>
  <c r="CT102" i="38"/>
  <c r="CR102" i="38"/>
  <c r="CS102" i="38"/>
  <c r="CE102" i="38"/>
  <c r="CF102" i="38"/>
  <c r="CH102" i="38"/>
  <c r="CR13" i="38"/>
  <c r="CS13" i="38"/>
  <c r="CU13" i="38"/>
  <c r="CP13" i="38"/>
  <c r="CD13" i="38"/>
  <c r="CG13" i="38"/>
  <c r="CQ13" i="38"/>
  <c r="CF13" i="38"/>
  <c r="CH13" i="38"/>
  <c r="CT13" i="38"/>
  <c r="CI13" i="38"/>
  <c r="CE13" i="38"/>
  <c r="CR21" i="38"/>
  <c r="CP21" i="38"/>
  <c r="CG21" i="38"/>
  <c r="CQ21" i="38"/>
  <c r="CS21" i="38"/>
  <c r="CT21" i="38"/>
  <c r="CU21" i="38"/>
  <c r="CD21" i="38"/>
  <c r="T21" i="38" s="1"/>
  <c r="CE21" i="38"/>
  <c r="CH21" i="38"/>
  <c r="CF21" i="38"/>
  <c r="CI21" i="38"/>
  <c r="CP29" i="38"/>
  <c r="CR29" i="38"/>
  <c r="CE29" i="38"/>
  <c r="CS29" i="38"/>
  <c r="CD29" i="38"/>
  <c r="CF29" i="38"/>
  <c r="CQ29" i="38"/>
  <c r="CG29" i="38"/>
  <c r="CT29" i="38"/>
  <c r="CH29" i="38"/>
  <c r="CU29" i="38"/>
  <c r="CI29" i="38"/>
  <c r="CP37" i="38"/>
  <c r="CS37" i="38"/>
  <c r="CE37" i="38"/>
  <c r="CQ37" i="38"/>
  <c r="CR37" i="38"/>
  <c r="CD37" i="38"/>
  <c r="CT37" i="38"/>
  <c r="CF37" i="38"/>
  <c r="CU37" i="38"/>
  <c r="CG37" i="38"/>
  <c r="CI37" i="38"/>
  <c r="CH37" i="38"/>
  <c r="CP45" i="38"/>
  <c r="CS45" i="38"/>
  <c r="CE45" i="38"/>
  <c r="CU45" i="38"/>
  <c r="CI45" i="38"/>
  <c r="CQ45" i="38"/>
  <c r="CD45" i="38"/>
  <c r="CT45" i="38"/>
  <c r="CF45" i="38"/>
  <c r="CG45" i="38"/>
  <c r="CH45" i="38"/>
  <c r="CR45" i="38"/>
  <c r="CD63" i="38"/>
  <c r="CQ63" i="38"/>
  <c r="CE63" i="38"/>
  <c r="CR63" i="38"/>
  <c r="CF63" i="38"/>
  <c r="CS63" i="38"/>
  <c r="CG63" i="38"/>
  <c r="CT63" i="38"/>
  <c r="CH63" i="38"/>
  <c r="CP63" i="38"/>
  <c r="O74" i="38"/>
  <c r="CG78" i="38"/>
  <c r="CR78" i="38"/>
  <c r="CH78" i="38"/>
  <c r="CS78" i="38"/>
  <c r="CT78" i="38"/>
  <c r="CP78" i="38"/>
  <c r="CE78" i="38"/>
  <c r="CD78" i="38"/>
  <c r="CF78" i="38"/>
  <c r="CQ78" i="38"/>
  <c r="CH87" i="38"/>
  <c r="CR87" i="38"/>
  <c r="CS87" i="38"/>
  <c r="CT87" i="38"/>
  <c r="CF87" i="38"/>
  <c r="CP87" i="38"/>
  <c r="CG87" i="38"/>
  <c r="CQ87" i="38"/>
  <c r="CD87" i="38"/>
  <c r="CE87" i="38"/>
  <c r="CG101" i="38"/>
  <c r="CT101" i="38"/>
  <c r="CH101" i="38"/>
  <c r="CE101" i="38"/>
  <c r="CR101" i="38"/>
  <c r="CQ101" i="38"/>
  <c r="CS101" i="38"/>
  <c r="CD101" i="38"/>
  <c r="CF101" i="38"/>
  <c r="CP101" i="38"/>
  <c r="CE108" i="38"/>
  <c r="CR108" i="38"/>
  <c r="CF108" i="38"/>
  <c r="CS108" i="38"/>
  <c r="CG108" i="38"/>
  <c r="CT108" i="38"/>
  <c r="CH108" i="38"/>
  <c r="CP108" i="38"/>
  <c r="CD108" i="38"/>
  <c r="CQ108" i="38"/>
  <c r="CP116" i="38"/>
  <c r="CD116" i="38"/>
  <c r="CQ116" i="38"/>
  <c r="CE116" i="38"/>
  <c r="CR116" i="38"/>
  <c r="CF116" i="38"/>
  <c r="CS116" i="38"/>
  <c r="CH116" i="38"/>
  <c r="CT116" i="38"/>
  <c r="CG116" i="38"/>
  <c r="CR23" i="38"/>
  <c r="CP23" i="38"/>
  <c r="CS23" i="38"/>
  <c r="CG23" i="38"/>
  <c r="CT23" i="38"/>
  <c r="CD23" i="38"/>
  <c r="CE23" i="38"/>
  <c r="CF23" i="38"/>
  <c r="CQ23" i="38"/>
  <c r="CU23" i="38"/>
  <c r="CH23" i="38"/>
  <c r="CI23" i="38"/>
  <c r="CG118" i="38"/>
  <c r="CT118" i="38"/>
  <c r="CH118" i="38"/>
  <c r="CE118" i="38"/>
  <c r="CR118" i="38"/>
  <c r="CP118" i="38"/>
  <c r="CQ118" i="38"/>
  <c r="CS118" i="38"/>
  <c r="CD118" i="38"/>
  <c r="CF118" i="38"/>
  <c r="CU16" i="38"/>
  <c r="CS16" i="38"/>
  <c r="CQ16" i="38"/>
  <c r="CG16" i="38"/>
  <c r="CR16" i="38"/>
  <c r="CP16" i="38"/>
  <c r="CF16" i="38"/>
  <c r="CT16" i="38"/>
  <c r="CH16" i="38"/>
  <c r="CI16" i="38"/>
  <c r="CE16" i="38"/>
  <c r="CD16" i="38"/>
  <c r="CS24" i="38"/>
  <c r="CQ24" i="38"/>
  <c r="CR24" i="38"/>
  <c r="CT24" i="38"/>
  <c r="CH24" i="38"/>
  <c r="CD24" i="38"/>
  <c r="CP24" i="38"/>
  <c r="CE24" i="38"/>
  <c r="CU24" i="38"/>
  <c r="CF24" i="38"/>
  <c r="CG24" i="38"/>
  <c r="CI24" i="38"/>
  <c r="CS32" i="38"/>
  <c r="CQ32" i="38"/>
  <c r="CP32" i="38"/>
  <c r="CH32" i="38"/>
  <c r="CR32" i="38"/>
  <c r="CD32" i="38"/>
  <c r="CT32" i="38"/>
  <c r="CE32" i="38"/>
  <c r="CU32" i="38"/>
  <c r="CF32" i="38"/>
  <c r="CG32" i="38"/>
  <c r="CI32" i="38"/>
  <c r="CS40" i="38"/>
  <c r="CH40" i="38"/>
  <c r="CP40" i="38"/>
  <c r="CI40" i="38"/>
  <c r="CQ40" i="38"/>
  <c r="CR40" i="38"/>
  <c r="CT40" i="38"/>
  <c r="CU40" i="38"/>
  <c r="CD40" i="38"/>
  <c r="T40" i="38" s="1"/>
  <c r="CF40" i="38"/>
  <c r="CE40" i="38"/>
  <c r="CG40" i="38"/>
  <c r="CS48" i="38"/>
  <c r="CH48" i="38"/>
  <c r="CU48" i="38"/>
  <c r="CF48" i="38"/>
  <c r="CG48" i="38"/>
  <c r="CI48" i="38"/>
  <c r="CP48" i="38"/>
  <c r="CQ48" i="38"/>
  <c r="CD48" i="38"/>
  <c r="CE48" i="38"/>
  <c r="CR48" i="38"/>
  <c r="CT48" i="38"/>
  <c r="CH69" i="38"/>
  <c r="CP69" i="38"/>
  <c r="CF69" i="38"/>
  <c r="CS69" i="38"/>
  <c r="CD69" i="38"/>
  <c r="CE69" i="38"/>
  <c r="CG69" i="38"/>
  <c r="CQ69" i="38"/>
  <c r="CR69" i="38"/>
  <c r="CT69" i="38"/>
  <c r="CT81" i="38"/>
  <c r="CD81" i="38"/>
  <c r="CE81" i="38"/>
  <c r="CH81" i="38"/>
  <c r="CR81" i="38"/>
  <c r="CF81" i="38"/>
  <c r="CP81" i="38"/>
  <c r="CG81" i="38"/>
  <c r="CQ81" i="38"/>
  <c r="CS81" i="38"/>
  <c r="CD90" i="38"/>
  <c r="CE90" i="38"/>
  <c r="CF90" i="38"/>
  <c r="CP90" i="38"/>
  <c r="CS90" i="38"/>
  <c r="CT90" i="38"/>
  <c r="CG90" i="38"/>
  <c r="CQ90" i="38"/>
  <c r="CR90" i="38"/>
  <c r="CH90" i="38"/>
  <c r="CP103" i="38"/>
  <c r="CD103" i="38"/>
  <c r="CQ103" i="38"/>
  <c r="CE103" i="38"/>
  <c r="CR103" i="38"/>
  <c r="CF103" i="38"/>
  <c r="CS103" i="38"/>
  <c r="CT103" i="38"/>
  <c r="CG103" i="38"/>
  <c r="CH103" i="38"/>
  <c r="CP119" i="38"/>
  <c r="CD119" i="38"/>
  <c r="CQ119" i="38"/>
  <c r="CG119" i="38"/>
  <c r="CT119" i="38"/>
  <c r="CR119" i="38"/>
  <c r="CS119" i="38"/>
  <c r="CF119" i="38"/>
  <c r="CH119" i="38"/>
  <c r="CE119" i="38"/>
  <c r="CQ38" i="38"/>
  <c r="CT38" i="38"/>
  <c r="CF38" i="38"/>
  <c r="CS38" i="38"/>
  <c r="CD38" i="38"/>
  <c r="CU38" i="38"/>
  <c r="CE38" i="38"/>
  <c r="CG38" i="38"/>
  <c r="CH38" i="38"/>
  <c r="CI38" i="38"/>
  <c r="CP38" i="38"/>
  <c r="CR38" i="38"/>
  <c r="CT15" i="38"/>
  <c r="CU15" i="38"/>
  <c r="CR15" i="38"/>
  <c r="CF15" i="38"/>
  <c r="CP15" i="38"/>
  <c r="CI15" i="38"/>
  <c r="CQ15" i="38"/>
  <c r="CD15" i="38"/>
  <c r="CE15" i="38"/>
  <c r="CG15" i="38"/>
  <c r="CH15" i="38"/>
  <c r="CS15" i="38"/>
  <c r="CT17" i="38"/>
  <c r="CU17" i="38"/>
  <c r="CH17" i="38"/>
  <c r="CP17" i="38"/>
  <c r="CI17" i="38"/>
  <c r="CQ17" i="38"/>
  <c r="CR17" i="38"/>
  <c r="CD17" i="38"/>
  <c r="CS17" i="38"/>
  <c r="CE17" i="38"/>
  <c r="CF17" i="38"/>
  <c r="CG17" i="38"/>
  <c r="CT25" i="38"/>
  <c r="CR25" i="38"/>
  <c r="CI25" i="38"/>
  <c r="CP25" i="38"/>
  <c r="CF25" i="38"/>
  <c r="CG25" i="38"/>
  <c r="CH25" i="38"/>
  <c r="CQ25" i="38"/>
  <c r="CS25" i="38"/>
  <c r="CU25" i="38"/>
  <c r="CD25" i="38"/>
  <c r="T25" i="38" s="1"/>
  <c r="CE25" i="38"/>
  <c r="CT33" i="38"/>
  <c r="CR33" i="38"/>
  <c r="CP33" i="38"/>
  <c r="CU33" i="38"/>
  <c r="CI33" i="38"/>
  <c r="CD33" i="38"/>
  <c r="CE33" i="38"/>
  <c r="CF33" i="38"/>
  <c r="CG33" i="38"/>
  <c r="CH33" i="38"/>
  <c r="CS33" i="38"/>
  <c r="CQ33" i="38"/>
  <c r="CT41" i="38"/>
  <c r="CI41" i="38"/>
  <c r="CR41" i="38"/>
  <c r="CS41" i="38"/>
  <c r="CU41" i="38"/>
  <c r="CD41" i="38"/>
  <c r="CE41" i="38"/>
  <c r="CF41" i="38"/>
  <c r="CP41" i="38"/>
  <c r="CG41" i="38"/>
  <c r="CQ41" i="38"/>
  <c r="CH41" i="38"/>
  <c r="CT49" i="38"/>
  <c r="CI49" i="38"/>
  <c r="CH49" i="38"/>
  <c r="CS49" i="38"/>
  <c r="CP49" i="38"/>
  <c r="CQ49" i="38"/>
  <c r="CR49" i="38"/>
  <c r="CD49" i="38"/>
  <c r="CU49" i="38"/>
  <c r="CE49" i="38"/>
  <c r="CF49" i="38"/>
  <c r="CG49" i="38"/>
  <c r="CP70" i="38"/>
  <c r="CE70" i="38"/>
  <c r="CR70" i="38"/>
  <c r="CH70" i="38"/>
  <c r="CS70" i="38"/>
  <c r="CT70" i="38"/>
  <c r="CD70" i="38"/>
  <c r="CF70" i="38"/>
  <c r="CG70" i="38"/>
  <c r="CQ70" i="38"/>
  <c r="CD83" i="38"/>
  <c r="T83" i="38" s="1"/>
  <c r="CE83" i="38"/>
  <c r="CF83" i="38"/>
  <c r="CP83" i="38"/>
  <c r="CG83" i="38"/>
  <c r="CQ83" i="38"/>
  <c r="CT83" i="38"/>
  <c r="CH83" i="38"/>
  <c r="CR83" i="38"/>
  <c r="CS83" i="38"/>
  <c r="CF91" i="38"/>
  <c r="CE91" i="38"/>
  <c r="CD91" i="38"/>
  <c r="CP91" i="38"/>
  <c r="CQ91" i="38"/>
  <c r="CH91" i="38"/>
  <c r="CT91" i="38"/>
  <c r="CR91" i="38"/>
  <c r="CS91" i="38"/>
  <c r="CG91" i="38"/>
  <c r="CE104" i="38"/>
  <c r="CR104" i="38"/>
  <c r="CF104" i="38"/>
  <c r="CS104" i="38"/>
  <c r="CG104" i="38"/>
  <c r="CT104" i="38"/>
  <c r="CH104" i="38"/>
  <c r="CP104" i="38"/>
  <c r="CD104" i="38"/>
  <c r="CQ104" i="38"/>
  <c r="CP120" i="38"/>
  <c r="CD120" i="38"/>
  <c r="CQ120" i="38"/>
  <c r="CE120" i="38"/>
  <c r="CR120" i="38"/>
  <c r="CF120" i="38"/>
  <c r="CS120" i="38"/>
  <c r="CT120" i="38"/>
  <c r="CH120" i="38"/>
  <c r="CG120" i="38"/>
  <c r="CS14" i="38"/>
  <c r="CT14" i="38"/>
  <c r="CQ14" i="38"/>
  <c r="CR14" i="38"/>
  <c r="CE14" i="38"/>
  <c r="CU14" i="38"/>
  <c r="CH14" i="38"/>
  <c r="CP14" i="38"/>
  <c r="CD14" i="38"/>
  <c r="T14" i="38" s="1"/>
  <c r="CF14" i="38"/>
  <c r="CG14" i="38"/>
  <c r="CI14" i="38"/>
  <c r="CF64" i="38"/>
  <c r="CS64" i="38"/>
  <c r="CG64" i="38"/>
  <c r="CT64" i="38"/>
  <c r="CH64" i="38"/>
  <c r="CD64" i="38"/>
  <c r="CQ64" i="38"/>
  <c r="CE64" i="38"/>
  <c r="CP64" i="38"/>
  <c r="CR64" i="38"/>
  <c r="CS88" i="38"/>
  <c r="CT88" i="38"/>
  <c r="CD88" i="38"/>
  <c r="T88" i="38" s="1"/>
  <c r="CG88" i="38"/>
  <c r="CQ88" i="38"/>
  <c r="CE88" i="38"/>
  <c r="CF88" i="38"/>
  <c r="CH88" i="38"/>
  <c r="CP88" i="38"/>
  <c r="CR88" i="38"/>
  <c r="CR39" i="38"/>
  <c r="CU39" i="38"/>
  <c r="CG39" i="38"/>
  <c r="CF39" i="38"/>
  <c r="CH39" i="38"/>
  <c r="CI39" i="38"/>
  <c r="CP39" i="38"/>
  <c r="CQ39" i="38"/>
  <c r="CS39" i="38"/>
  <c r="CE39" i="38"/>
  <c r="CT39" i="38"/>
  <c r="CD39" i="38"/>
  <c r="CS80" i="38"/>
  <c r="CT80" i="38"/>
  <c r="CD80" i="38"/>
  <c r="CG80" i="38"/>
  <c r="CQ80" i="38"/>
  <c r="CE80" i="38"/>
  <c r="CF80" i="38"/>
  <c r="CH80" i="38"/>
  <c r="CP80" i="38"/>
  <c r="CR80" i="38"/>
  <c r="CU18" i="38"/>
  <c r="CI18" i="38"/>
  <c r="CQ18" i="38"/>
  <c r="CD18" i="38"/>
  <c r="CR18" i="38"/>
  <c r="CS18" i="38"/>
  <c r="CT18" i="38"/>
  <c r="CE18" i="38"/>
  <c r="CF18" i="38"/>
  <c r="CG18" i="38"/>
  <c r="CH18" i="38"/>
  <c r="CP18" i="38"/>
  <c r="CU26" i="38"/>
  <c r="CS26" i="38"/>
  <c r="CP26" i="38"/>
  <c r="CR26" i="38"/>
  <c r="CT26" i="38"/>
  <c r="CQ26" i="38"/>
  <c r="CH26" i="38"/>
  <c r="CI26" i="38"/>
  <c r="CD26" i="38"/>
  <c r="CE26" i="38"/>
  <c r="CG26" i="38"/>
  <c r="CF26" i="38"/>
  <c r="CS34" i="38"/>
  <c r="CT34" i="38"/>
  <c r="CF34" i="38"/>
  <c r="CP34" i="38"/>
  <c r="CG34" i="38"/>
  <c r="CQ34" i="38"/>
  <c r="CH34" i="38"/>
  <c r="CR34" i="38"/>
  <c r="CI34" i="38"/>
  <c r="CU34" i="38"/>
  <c r="CD34" i="38"/>
  <c r="T34" i="38" s="1"/>
  <c r="CE34" i="38"/>
  <c r="CU42" i="38"/>
  <c r="CP42" i="38"/>
  <c r="CD42" i="38"/>
  <c r="CE42" i="38"/>
  <c r="CF42" i="38"/>
  <c r="CG42" i="38"/>
  <c r="CQ42" i="38"/>
  <c r="CH42" i="38"/>
  <c r="CR42" i="38"/>
  <c r="CS42" i="38"/>
  <c r="CI42" i="38"/>
  <c r="CT42" i="38"/>
  <c r="CU50" i="38"/>
  <c r="CP50" i="38"/>
  <c r="CQ50" i="38"/>
  <c r="CR50" i="38"/>
  <c r="CS50" i="38"/>
  <c r="CT50" i="38"/>
  <c r="CE50" i="38"/>
  <c r="CF50" i="38"/>
  <c r="CG50" i="38"/>
  <c r="CH50" i="38"/>
  <c r="CI50" i="38"/>
  <c r="CD50" i="38"/>
  <c r="CE84" i="38"/>
  <c r="CF84" i="38"/>
  <c r="CP84" i="38"/>
  <c r="CG84" i="38"/>
  <c r="CQ84" i="38"/>
  <c r="CH84" i="38"/>
  <c r="CR84" i="38"/>
  <c r="CS84" i="38"/>
  <c r="CT84" i="38"/>
  <c r="CD84" i="38"/>
  <c r="CQ97" i="38"/>
  <c r="CD97" i="38"/>
  <c r="CP97" i="38"/>
  <c r="CS97" i="38"/>
  <c r="CF97" i="38"/>
  <c r="CH97" i="38"/>
  <c r="CG97" i="38"/>
  <c r="CE97" i="38"/>
  <c r="CT97" i="38"/>
  <c r="CR97" i="38"/>
  <c r="CG105" i="38"/>
  <c r="CT105" i="38"/>
  <c r="CH105" i="38"/>
  <c r="CE105" i="38"/>
  <c r="CR105" i="38"/>
  <c r="CS105" i="38"/>
  <c r="CD105" i="38"/>
  <c r="CF105" i="38"/>
  <c r="CP105" i="38"/>
  <c r="CQ105" i="38"/>
  <c r="CE121" i="38"/>
  <c r="CR121" i="38"/>
  <c r="CF121" i="38"/>
  <c r="CS121" i="38"/>
  <c r="CG121" i="38"/>
  <c r="CT121" i="38"/>
  <c r="CH121" i="38"/>
  <c r="CP121" i="38"/>
  <c r="CQ121" i="38"/>
  <c r="CD121" i="38"/>
  <c r="CQ30" i="38"/>
  <c r="CP30" i="38"/>
  <c r="CR30" i="38"/>
  <c r="CT30" i="38"/>
  <c r="CF30" i="38"/>
  <c r="CU30" i="38"/>
  <c r="CG30" i="38"/>
  <c r="CH30" i="38"/>
  <c r="CI30" i="38"/>
  <c r="CE30" i="38"/>
  <c r="CS30" i="38"/>
  <c r="CD30" i="38"/>
  <c r="CR47" i="38"/>
  <c r="CU47" i="38"/>
  <c r="CG47" i="38"/>
  <c r="CQ47" i="38"/>
  <c r="CD47" i="38"/>
  <c r="CS47" i="38"/>
  <c r="CE47" i="38"/>
  <c r="CT47" i="38"/>
  <c r="CF47" i="38"/>
  <c r="CH47" i="38"/>
  <c r="CI47" i="38"/>
  <c r="CP47" i="38"/>
  <c r="CP19" i="38"/>
  <c r="CQ19" i="38"/>
  <c r="CR19" i="38"/>
  <c r="CT19" i="38"/>
  <c r="CE19" i="38"/>
  <c r="CU19" i="38"/>
  <c r="CF19" i="38"/>
  <c r="CG19" i="38"/>
  <c r="CH19" i="38"/>
  <c r="CS19" i="38"/>
  <c r="CI19" i="38"/>
  <c r="CD19" i="38"/>
  <c r="CT27" i="38"/>
  <c r="CR27" i="38"/>
  <c r="CS27" i="38"/>
  <c r="CI27" i="38"/>
  <c r="CP27" i="38"/>
  <c r="CQ27" i="38"/>
  <c r="CD27" i="38"/>
  <c r="CU27" i="38"/>
  <c r="CE27" i="38"/>
  <c r="CH27" i="38"/>
  <c r="CG27" i="38"/>
  <c r="CF27" i="38"/>
  <c r="CT35" i="38"/>
  <c r="CP35" i="38"/>
  <c r="CS35" i="38"/>
  <c r="CG35" i="38"/>
  <c r="CU35" i="38"/>
  <c r="CH35" i="38"/>
  <c r="CI35" i="38"/>
  <c r="CQ35" i="38"/>
  <c r="CD35" i="38"/>
  <c r="CR35" i="38"/>
  <c r="CE35" i="38"/>
  <c r="CF35" i="38"/>
  <c r="CQ43" i="38"/>
  <c r="CE43" i="38"/>
  <c r="CP43" i="38"/>
  <c r="CF43" i="38"/>
  <c r="CR43" i="38"/>
  <c r="CG43" i="38"/>
  <c r="CS43" i="38"/>
  <c r="CH43" i="38"/>
  <c r="CT43" i="38"/>
  <c r="CI43" i="38"/>
  <c r="CU43" i="38"/>
  <c r="CD43" i="38"/>
  <c r="CQ51" i="38"/>
  <c r="CT51" i="38"/>
  <c r="CE51" i="38"/>
  <c r="CU51" i="38"/>
  <c r="CD51" i="38"/>
  <c r="CF51" i="38"/>
  <c r="CG51" i="38"/>
  <c r="CP51" i="38"/>
  <c r="CH51" i="38"/>
  <c r="CI51" i="38"/>
  <c r="CR51" i="38"/>
  <c r="CS51" i="38"/>
  <c r="CF85" i="38"/>
  <c r="CP85" i="38"/>
  <c r="CG85" i="38"/>
  <c r="CQ85" i="38"/>
  <c r="CH85" i="38"/>
  <c r="CR85" i="38"/>
  <c r="CS85" i="38"/>
  <c r="CD85" i="38"/>
  <c r="CT85" i="38"/>
  <c r="CE85" i="38"/>
  <c r="CP98" i="38"/>
  <c r="CD98" i="38"/>
  <c r="CQ98" i="38"/>
  <c r="CG98" i="38"/>
  <c r="CT98" i="38"/>
  <c r="CR98" i="38"/>
  <c r="CS98" i="38"/>
  <c r="CH98" i="38"/>
  <c r="CE98" i="38"/>
  <c r="CF98" i="38"/>
  <c r="CP106" i="38"/>
  <c r="CD106" i="38"/>
  <c r="CQ106" i="38"/>
  <c r="CG106" i="38"/>
  <c r="CT106" i="38"/>
  <c r="CR106" i="38"/>
  <c r="CS106" i="38"/>
  <c r="CE106" i="38"/>
  <c r="CF106" i="38"/>
  <c r="CH106" i="38"/>
  <c r="CG114" i="38"/>
  <c r="CT114" i="38"/>
  <c r="CH114" i="38"/>
  <c r="CE114" i="38"/>
  <c r="CR114" i="38"/>
  <c r="CP114" i="38"/>
  <c r="CQ114" i="38"/>
  <c r="CS114" i="38"/>
  <c r="CD114" i="38"/>
  <c r="CF114" i="38"/>
  <c r="CG122" i="38"/>
  <c r="CT122" i="38"/>
  <c r="CH122" i="38"/>
  <c r="CE122" i="38"/>
  <c r="CR122" i="38"/>
  <c r="CQ122" i="38"/>
  <c r="CS122" i="38"/>
  <c r="CD122" i="38"/>
  <c r="CF122" i="38"/>
  <c r="CP122" i="38"/>
  <c r="CP99" i="38"/>
  <c r="CD99" i="38"/>
  <c r="CQ99" i="38"/>
  <c r="CE99" i="38"/>
  <c r="CR99" i="38"/>
  <c r="CF99" i="38"/>
  <c r="CS99" i="38"/>
  <c r="CT99" i="38"/>
  <c r="CG99" i="38"/>
  <c r="CH99" i="38"/>
  <c r="CI19" i="37"/>
  <c r="CM47" i="37"/>
  <c r="CH51" i="37"/>
  <c r="CO20" i="37"/>
  <c r="CM41" i="37"/>
  <c r="CL20" i="37"/>
  <c r="CL49" i="37"/>
  <c r="CK53" i="37"/>
  <c r="BD113" i="5"/>
  <c r="AU113" i="5"/>
  <c r="CD22" i="38"/>
  <c r="CE22" i="38"/>
  <c r="CF22" i="38"/>
  <c r="CG22" i="38"/>
  <c r="B200" i="38"/>
  <c r="E17" i="18" s="1"/>
  <c r="CH22" i="38"/>
  <c r="CI22" i="38"/>
  <c r="CP22" i="38"/>
  <c r="CQ22" i="38"/>
  <c r="CR22" i="38"/>
  <c r="CS22" i="38"/>
  <c r="CT22" i="38"/>
  <c r="CU22" i="38"/>
  <c r="CM84" i="37"/>
  <c r="CD84" i="37"/>
  <c r="CM83" i="37"/>
  <c r="CD83" i="37"/>
  <c r="CD82" i="37"/>
  <c r="CM82" i="37"/>
  <c r="CC83" i="37"/>
  <c r="CL83" i="37"/>
  <c r="CC84" i="37"/>
  <c r="CL84" i="37"/>
  <c r="CL82" i="37"/>
  <c r="CC82" i="37"/>
  <c r="CF17" i="37"/>
  <c r="CN23" i="37"/>
  <c r="CM45" i="37"/>
  <c r="CB103" i="37"/>
  <c r="CB100" i="37"/>
  <c r="CM39" i="37"/>
  <c r="CR49" i="37"/>
  <c r="CL22" i="37"/>
  <c r="CL28" i="37"/>
  <c r="CR59" i="37"/>
  <c r="CL64" i="37"/>
  <c r="CC66" i="37"/>
  <c r="CN96" i="37"/>
  <c r="CM34" i="37"/>
  <c r="CC16" i="37"/>
  <c r="CM40" i="37"/>
  <c r="CL24" i="37"/>
  <c r="CL85" i="37"/>
  <c r="CC102" i="37"/>
  <c r="CC14" i="37"/>
  <c r="CL26" i="37"/>
  <c r="CR35" i="37"/>
  <c r="CC39" i="37"/>
  <c r="CC44" i="37"/>
  <c r="CL80" i="37"/>
  <c r="CC103" i="37"/>
  <c r="CM123" i="37"/>
  <c r="CB132" i="37"/>
  <c r="Q132" i="37" s="1"/>
  <c r="CK132" i="37"/>
  <c r="CB140" i="37"/>
  <c r="Q140" i="37" s="1"/>
  <c r="CK140" i="37"/>
  <c r="CB148" i="37"/>
  <c r="Q148" i="37" s="1"/>
  <c r="CK148" i="37"/>
  <c r="CB139" i="37"/>
  <c r="Q139" i="37" s="1"/>
  <c r="CK139" i="37"/>
  <c r="CL14" i="37"/>
  <c r="CC32" i="37"/>
  <c r="CR45" i="37"/>
  <c r="CC51" i="37"/>
  <c r="CC53" i="37"/>
  <c r="CC87" i="37"/>
  <c r="CB95" i="37"/>
  <c r="CB99" i="37"/>
  <c r="CB133" i="37"/>
  <c r="Q133" i="37" s="1"/>
  <c r="CK133" i="37"/>
  <c r="CB141" i="37"/>
  <c r="Q141" i="37" s="1"/>
  <c r="CK141" i="37"/>
  <c r="CB131" i="37"/>
  <c r="Q131" i="37" s="1"/>
  <c r="CK131" i="37"/>
  <c r="CK147" i="37"/>
  <c r="CB147" i="37"/>
  <c r="Q147" i="37" s="1"/>
  <c r="CM35" i="37"/>
  <c r="CL42" i="37"/>
  <c r="CL53" i="37"/>
  <c r="CI66" i="37"/>
  <c r="CE76" i="37"/>
  <c r="CO86" i="37"/>
  <c r="CC95" i="37"/>
  <c r="CC97" i="37"/>
  <c r="CG100" i="37"/>
  <c r="CK134" i="37"/>
  <c r="CB134" i="37"/>
  <c r="Q134" i="37" s="1"/>
  <c r="CB135" i="37"/>
  <c r="Q135" i="37" s="1"/>
  <c r="CK135" i="37"/>
  <c r="CK143" i="37"/>
  <c r="CB143" i="37"/>
  <c r="Q143" i="37" s="1"/>
  <c r="CL13" i="37"/>
  <c r="CC13" i="37"/>
  <c r="CI16" i="37"/>
  <c r="CM38" i="37"/>
  <c r="CC45" i="37"/>
  <c r="CR48" i="37"/>
  <c r="CG103" i="37"/>
  <c r="CB136" i="37"/>
  <c r="Q136" i="37" s="1"/>
  <c r="CK136" i="37"/>
  <c r="CB144" i="37"/>
  <c r="Q144" i="37" s="1"/>
  <c r="CK144" i="37"/>
  <c r="CF39" i="37"/>
  <c r="CR44" i="37"/>
  <c r="CL86" i="37"/>
  <c r="CC98" i="37"/>
  <c r="CB137" i="37"/>
  <c r="Q137" i="37" s="1"/>
  <c r="CK137" i="37"/>
  <c r="CB145" i="37"/>
  <c r="Q145" i="37" s="1"/>
  <c r="CK145" i="37"/>
  <c r="CD13" i="37"/>
  <c r="CC21" i="37"/>
  <c r="CC23" i="37"/>
  <c r="CD48" i="37"/>
  <c r="CC59" i="37"/>
  <c r="CD80" i="37"/>
  <c r="CF95" i="37"/>
  <c r="CB96" i="37"/>
  <c r="CF99" i="37"/>
  <c r="CK130" i="37"/>
  <c r="CB130" i="37"/>
  <c r="Q130" i="37" s="1"/>
  <c r="CK138" i="37"/>
  <c r="CB138" i="37"/>
  <c r="Q138" i="37" s="1"/>
  <c r="CB146" i="37"/>
  <c r="Q146" i="37" s="1"/>
  <c r="CK146" i="37"/>
  <c r="CB142" i="37"/>
  <c r="Q142" i="37" s="1"/>
  <c r="CK142" i="37"/>
  <c r="Q129" i="37"/>
  <c r="CK129" i="37"/>
  <c r="BJ31" i="5"/>
  <c r="BI31" i="5"/>
  <c r="BH31" i="5"/>
  <c r="BG31" i="5"/>
  <c r="BA31" i="5"/>
  <c r="AZ31" i="5"/>
  <c r="AY31" i="5"/>
  <c r="D123" i="38"/>
  <c r="C74" i="38"/>
  <c r="L109" i="38"/>
  <c r="D92" i="38"/>
  <c r="C11" i="38"/>
  <c r="C152" i="5"/>
  <c r="CF85" i="37"/>
  <c r="CB85" i="37"/>
  <c r="CK85" i="37"/>
  <c r="CH38" i="37"/>
  <c r="CR38" i="37"/>
  <c r="CE38" i="37"/>
  <c r="CK26" i="37"/>
  <c r="CE26" i="37"/>
  <c r="CL41" i="37"/>
  <c r="CL18" i="37"/>
  <c r="CM19" i="37"/>
  <c r="CC26" i="37"/>
  <c r="CC27" i="37"/>
  <c r="CC30" i="37"/>
  <c r="CR34" i="37"/>
  <c r="CC38" i="37"/>
  <c r="CF40" i="37"/>
  <c r="CH41" i="37"/>
  <c r="CD44" i="37"/>
  <c r="CF45" i="37"/>
  <c r="CC46" i="37"/>
  <c r="CC47" i="37"/>
  <c r="CF51" i="37"/>
  <c r="CL55" i="37"/>
  <c r="CC57" i="37"/>
  <c r="CL58" i="37"/>
  <c r="CE59" i="37"/>
  <c r="CC67" i="37"/>
  <c r="CC68" i="37"/>
  <c r="CC70" i="37"/>
  <c r="CI72" i="37"/>
  <c r="CL72" i="37"/>
  <c r="CM80" i="37"/>
  <c r="CD94" i="37"/>
  <c r="CB98" i="37"/>
  <c r="CC99" i="37"/>
  <c r="CC100" i="37"/>
  <c r="CB101" i="37"/>
  <c r="CD104" i="37"/>
  <c r="CD19" i="37"/>
  <c r="CB20" i="37"/>
  <c r="CQ20" i="37"/>
  <c r="CM14" i="37"/>
  <c r="CL43" i="37"/>
  <c r="CO14" i="37"/>
  <c r="CN18" i="37"/>
  <c r="CM18" i="37"/>
  <c r="CN19" i="37"/>
  <c r="CE20" i="37"/>
  <c r="CR28" i="37"/>
  <c r="CC29" i="37"/>
  <c r="CN32" i="37"/>
  <c r="CL34" i="37"/>
  <c r="CC35" i="37"/>
  <c r="CO43" i="37"/>
  <c r="CM43" i="37"/>
  <c r="CM48" i="37"/>
  <c r="CF49" i="37"/>
  <c r="CM53" i="37"/>
  <c r="CN55" i="37"/>
  <c r="CQ61" i="37"/>
  <c r="CC63" i="37"/>
  <c r="CK64" i="37"/>
  <c r="CM66" i="37"/>
  <c r="CM72" i="37"/>
  <c r="CC77" i="37"/>
  <c r="CH78" i="37"/>
  <c r="CL88" i="37"/>
  <c r="CC89" i="37"/>
  <c r="CB97" i="37"/>
  <c r="CM100" i="37"/>
  <c r="CB102" i="37"/>
  <c r="CD123" i="37"/>
  <c r="AN123" i="37" s="1"/>
  <c r="CI59" i="37"/>
  <c r="CN74" i="37"/>
  <c r="CN100" i="37"/>
  <c r="D180" i="37"/>
  <c r="CF20" i="37"/>
  <c r="CN47" i="37"/>
  <c r="CM49" i="37"/>
  <c r="CK59" i="37"/>
  <c r="CC60" i="37"/>
  <c r="CL61" i="37"/>
  <c r="CB67" i="37"/>
  <c r="CB94" i="37"/>
  <c r="CN98" i="37"/>
  <c r="CE101" i="37"/>
  <c r="CB104" i="37"/>
  <c r="E180" i="37"/>
  <c r="CE14" i="37"/>
  <c r="CI30" i="37"/>
  <c r="CC31" i="37"/>
  <c r="CN35" i="37"/>
  <c r="CC40" i="37"/>
  <c r="CF14" i="37"/>
  <c r="CC19" i="37"/>
  <c r="CR22" i="37"/>
  <c r="CM22" i="37"/>
  <c r="CQ24" i="37"/>
  <c r="CM30" i="37"/>
  <c r="CD31" i="37"/>
  <c r="CQ36" i="37"/>
  <c r="CO49" i="37"/>
  <c r="CM52" i="37"/>
  <c r="CB63" i="37"/>
  <c r="CC94" i="37"/>
  <c r="CD97" i="37"/>
  <c r="CE102" i="37"/>
  <c r="CM103" i="37"/>
  <c r="CC104" i="37"/>
  <c r="CB105" i="37"/>
  <c r="CB49" i="37"/>
  <c r="CO59" i="37"/>
  <c r="CN103" i="37"/>
  <c r="CC105" i="37"/>
  <c r="CC73" i="37"/>
  <c r="CL73" i="37"/>
  <c r="CB14" i="37"/>
  <c r="CC17" i="37"/>
  <c r="CH19" i="37"/>
  <c r="CF26" i="37"/>
  <c r="CR30" i="37"/>
  <c r="CC33" i="37"/>
  <c r="CN41" i="37"/>
  <c r="CI45" i="37"/>
  <c r="CO45" i="37"/>
  <c r="CN45" i="37"/>
  <c r="CB45" i="37"/>
  <c r="CK45" i="37"/>
  <c r="CH45" i="37"/>
  <c r="CB79" i="37"/>
  <c r="CM79" i="37"/>
  <c r="CD79" i="37"/>
  <c r="CE98" i="37"/>
  <c r="CO98" i="37"/>
  <c r="CD98" i="37"/>
  <c r="CB23" i="37"/>
  <c r="CK23" i="37"/>
  <c r="CQ23" i="37"/>
  <c r="CF23" i="37"/>
  <c r="CO23" i="37"/>
  <c r="CE23" i="37"/>
  <c r="CD122" i="37"/>
  <c r="AN122" i="37" s="1"/>
  <c r="CM122" i="37"/>
  <c r="CM13" i="37"/>
  <c r="CD17" i="37"/>
  <c r="CD27" i="37"/>
  <c r="CD29" i="37"/>
  <c r="CM31" i="37"/>
  <c r="CB35" i="37"/>
  <c r="CK35" i="37"/>
  <c r="CI35" i="37"/>
  <c r="CQ35" i="37"/>
  <c r="CF35" i="37"/>
  <c r="CO35" i="37"/>
  <c r="CE35" i="37"/>
  <c r="CQ45" i="37"/>
  <c r="CB27" i="37"/>
  <c r="CK27" i="37"/>
  <c r="CI27" i="37"/>
  <c r="CQ27" i="37"/>
  <c r="CF27" i="37"/>
  <c r="CO27" i="37"/>
  <c r="CE27" i="37"/>
  <c r="CN22" i="37"/>
  <c r="CI22" i="37"/>
  <c r="CK22" i="37"/>
  <c r="CD23" i="37"/>
  <c r="CN26" i="37"/>
  <c r="CB26" i="37"/>
  <c r="CI26" i="37"/>
  <c r="CR26" i="37"/>
  <c r="CH26" i="37"/>
  <c r="CH27" i="37"/>
  <c r="CQ38" i="37"/>
  <c r="CF38" i="37"/>
  <c r="CO38" i="37"/>
  <c r="CN38" i="37"/>
  <c r="CB38" i="37"/>
  <c r="CK38" i="37"/>
  <c r="CI38" i="37"/>
  <c r="CI51" i="37"/>
  <c r="CN51" i="37"/>
  <c r="CE51" i="37"/>
  <c r="CR51" i="37"/>
  <c r="CQ51" i="37"/>
  <c r="CB51" i="37"/>
  <c r="CK51" i="37"/>
  <c r="CO51" i="37"/>
  <c r="CM56" i="37"/>
  <c r="CD56" i="37"/>
  <c r="CM58" i="37"/>
  <c r="CD58" i="37"/>
  <c r="CM62" i="37"/>
  <c r="CD62" i="37"/>
  <c r="CN63" i="37"/>
  <c r="CB18" i="37"/>
  <c r="CD25" i="37"/>
  <c r="CL56" i="37"/>
  <c r="CC56" i="37"/>
  <c r="CG94" i="37"/>
  <c r="CP94" i="37"/>
  <c r="CO94" i="37"/>
  <c r="CQ17" i="37"/>
  <c r="CB17" i="37"/>
  <c r="CE44" i="37"/>
  <c r="CO44" i="37"/>
  <c r="CK44" i="37"/>
  <c r="CL54" i="37"/>
  <c r="CC54" i="37"/>
  <c r="CP96" i="37"/>
  <c r="CE96" i="37"/>
  <c r="CD96" i="37"/>
  <c r="CD37" i="37"/>
  <c r="CB19" i="37"/>
  <c r="CK19" i="37"/>
  <c r="CQ19" i="37"/>
  <c r="CF19" i="37"/>
  <c r="CO19" i="37"/>
  <c r="CE19" i="37"/>
  <c r="CD21" i="37"/>
  <c r="CI23" i="37"/>
  <c r="CO26" i="37"/>
  <c r="CN27" i="37"/>
  <c r="CB31" i="37"/>
  <c r="CK31" i="37"/>
  <c r="CI31" i="37"/>
  <c r="CQ31" i="37"/>
  <c r="CF31" i="37"/>
  <c r="CO31" i="37"/>
  <c r="CE31" i="37"/>
  <c r="CD35" i="37"/>
  <c r="CF44" i="37"/>
  <c r="CI47" i="37"/>
  <c r="CE47" i="37"/>
  <c r="CQ47" i="37"/>
  <c r="CO47" i="37"/>
  <c r="CB47" i="37"/>
  <c r="CB48" i="37"/>
  <c r="CM50" i="37"/>
  <c r="CI55" i="37"/>
  <c r="CR64" i="37"/>
  <c r="CM65" i="37"/>
  <c r="CD65" i="37"/>
  <c r="CQ67" i="37"/>
  <c r="CD33" i="37"/>
  <c r="CQ40" i="37"/>
  <c r="CI40" i="37"/>
  <c r="CM60" i="37"/>
  <c r="CD60" i="37"/>
  <c r="CR23" i="37"/>
  <c r="CC15" i="37"/>
  <c r="CQ18" i="37"/>
  <c r="CH23" i="37"/>
  <c r="CM27" i="37"/>
  <c r="CN14" i="37"/>
  <c r="CI14" i="37"/>
  <c r="CR14" i="37"/>
  <c r="CH14" i="37"/>
  <c r="CK14" i="37"/>
  <c r="CD15" i="37"/>
  <c r="CM17" i="37"/>
  <c r="CR19" i="37"/>
  <c r="CI20" i="37"/>
  <c r="CR20" i="37"/>
  <c r="CH20" i="37"/>
  <c r="CN20" i="37"/>
  <c r="CK20" i="37"/>
  <c r="CO22" i="37"/>
  <c r="CM23" i="37"/>
  <c r="CC25" i="37"/>
  <c r="CQ26" i="37"/>
  <c r="CR27" i="37"/>
  <c r="CE30" i="37"/>
  <c r="CN34" i="37"/>
  <c r="CB34" i="37"/>
  <c r="CI34" i="37"/>
  <c r="CH34" i="37"/>
  <c r="CH35" i="37"/>
  <c r="CC37" i="37"/>
  <c r="CR39" i="37"/>
  <c r="CR43" i="37"/>
  <c r="CE45" i="37"/>
  <c r="CL48" i="37"/>
  <c r="CC48" i="37"/>
  <c r="CC52" i="37"/>
  <c r="CD81" i="37"/>
  <c r="CM81" i="37"/>
  <c r="CM16" i="37"/>
  <c r="CM20" i="37"/>
  <c r="CM24" i="37"/>
  <c r="CM28" i="37"/>
  <c r="CM32" i="37"/>
  <c r="CM36" i="37"/>
  <c r="CQ49" i="37"/>
  <c r="CD51" i="37"/>
  <c r="CM51" i="37"/>
  <c r="CH53" i="37"/>
  <c r="CF57" i="37"/>
  <c r="CF59" i="37"/>
  <c r="CM67" i="37"/>
  <c r="CD67" i="37"/>
  <c r="CE97" i="37"/>
  <c r="CO97" i="37"/>
  <c r="CN28" i="37"/>
  <c r="CE49" i="37"/>
  <c r="CD55" i="37"/>
  <c r="CM55" i="37"/>
  <c r="CQ57" i="37"/>
  <c r="CH57" i="37"/>
  <c r="CQ59" i="37"/>
  <c r="CH59" i="37"/>
  <c r="CH61" i="37"/>
  <c r="CM68" i="37"/>
  <c r="CL69" i="37"/>
  <c r="CC71" i="37"/>
  <c r="CR72" i="37"/>
  <c r="CF32" i="37"/>
  <c r="CN49" i="37"/>
  <c r="CI49" i="37"/>
  <c r="CH49" i="37"/>
  <c r="CC65" i="37"/>
  <c r="CL65" i="37"/>
  <c r="CM69" i="37"/>
  <c r="CD69" i="37"/>
  <c r="CN77" i="37"/>
  <c r="CE77" i="37"/>
  <c r="CR77" i="37"/>
  <c r="CI77" i="37"/>
  <c r="CQ77" i="37"/>
  <c r="CH77" i="37"/>
  <c r="CK77" i="37"/>
  <c r="CF77" i="37"/>
  <c r="CO77" i="37"/>
  <c r="CB77" i="37"/>
  <c r="CN78" i="37"/>
  <c r="CL79" i="37"/>
  <c r="CC79" i="37"/>
  <c r="CR32" i="37"/>
  <c r="CK49" i="37"/>
  <c r="CF66" i="37"/>
  <c r="CO74" i="37"/>
  <c r="CF74" i="37"/>
  <c r="CK74" i="37"/>
  <c r="CB74" i="37"/>
  <c r="CR74" i="37"/>
  <c r="CI74" i="37"/>
  <c r="CH74" i="37"/>
  <c r="CQ74" i="37"/>
  <c r="CL75" i="37"/>
  <c r="CC75" i="37"/>
  <c r="CR86" i="37"/>
  <c r="CI86" i="37"/>
  <c r="CQ86" i="37"/>
  <c r="CH86" i="37"/>
  <c r="CN86" i="37"/>
  <c r="CE86" i="37"/>
  <c r="CK86" i="37"/>
  <c r="CF86" i="37"/>
  <c r="CB86" i="37"/>
  <c r="CM87" i="37"/>
  <c r="CD87" i="37"/>
  <c r="CP99" i="37"/>
  <c r="CF28" i="37"/>
  <c r="CD42" i="37"/>
  <c r="CD46" i="37"/>
  <c r="CC50" i="37"/>
  <c r="CM54" i="37"/>
  <c r="CB57" i="37"/>
  <c r="CN57" i="37"/>
  <c r="CB59" i="37"/>
  <c r="CN59" i="37"/>
  <c r="CL71" i="37"/>
  <c r="CM73" i="37"/>
  <c r="CD73" i="37"/>
  <c r="CL74" i="37"/>
  <c r="CC74" i="37"/>
  <c r="CM86" i="37"/>
  <c r="CD86" i="37"/>
  <c r="CN89" i="37"/>
  <c r="CE89" i="37"/>
  <c r="CR89" i="37"/>
  <c r="CI89" i="37"/>
  <c r="CQ89" i="37"/>
  <c r="CH89" i="37"/>
  <c r="CF89" i="37"/>
  <c r="CO89" i="37"/>
  <c r="CC62" i="37"/>
  <c r="CM64" i="37"/>
  <c r="CB70" i="37"/>
  <c r="CL78" i="37"/>
  <c r="CO80" i="37"/>
  <c r="CF80" i="37"/>
  <c r="CN80" i="37"/>
  <c r="CE80" i="37"/>
  <c r="CK80" i="37"/>
  <c r="CB80" i="37"/>
  <c r="CR80" i="37"/>
  <c r="CI80" i="37"/>
  <c r="CL81" i="37"/>
  <c r="CM89" i="37"/>
  <c r="CD89" i="37"/>
  <c r="CQ80" i="37"/>
  <c r="CN85" i="37"/>
  <c r="CE85" i="37"/>
  <c r="CR85" i="37"/>
  <c r="CI85" i="37"/>
  <c r="CQ85" i="37"/>
  <c r="CH85" i="37"/>
  <c r="CN70" i="37"/>
  <c r="CE70" i="37"/>
  <c r="CQ70" i="37"/>
  <c r="CH70" i="37"/>
  <c r="CM85" i="37"/>
  <c r="CD85" i="37"/>
  <c r="CO85" i="37"/>
  <c r="CR88" i="37"/>
  <c r="CI88" i="37"/>
  <c r="CQ88" i="37"/>
  <c r="CH88" i="37"/>
  <c r="CN88" i="37"/>
  <c r="CE88" i="37"/>
  <c r="CD57" i="37"/>
  <c r="CD59" i="37"/>
  <c r="CD61" i="37"/>
  <c r="CD63" i="37"/>
  <c r="CI70" i="37"/>
  <c r="CM71" i="37"/>
  <c r="CD71" i="37"/>
  <c r="CH80" i="37"/>
  <c r="CM88" i="37"/>
  <c r="CD88" i="37"/>
  <c r="CO88" i="37"/>
  <c r="CC76" i="37"/>
  <c r="CD100" i="37"/>
  <c r="CO100" i="37"/>
  <c r="CO101" i="37"/>
  <c r="CD102" i="37"/>
  <c r="CD103" i="37"/>
  <c r="CO103" i="37"/>
  <c r="CD105" i="37"/>
  <c r="CO105" i="37"/>
  <c r="C180" i="37"/>
  <c r="CE100" i="37"/>
  <c r="CP100" i="37"/>
  <c r="CE103" i="37"/>
  <c r="CP103" i="37"/>
  <c r="CP104" i="37"/>
  <c r="CE105" i="37"/>
  <c r="CP105" i="37"/>
  <c r="CD124" i="37"/>
  <c r="AN124" i="37" s="1"/>
  <c r="CF100" i="37"/>
  <c r="CF101" i="37"/>
  <c r="CF102" i="37"/>
  <c r="CF103" i="37"/>
  <c r="CF104" i="37"/>
  <c r="CF105" i="37"/>
  <c r="AU108" i="5"/>
  <c r="I108" i="5" s="1"/>
  <c r="AU111" i="5"/>
  <c r="I111" i="5" s="1"/>
  <c r="AU107" i="5"/>
  <c r="I107" i="5" s="1"/>
  <c r="BD110" i="5"/>
  <c r="H13" i="5"/>
  <c r="Q13" i="5"/>
  <c r="BE119" i="5"/>
  <c r="I113" i="5"/>
  <c r="AA13" i="5"/>
  <c r="V13" i="5"/>
  <c r="BD106" i="5"/>
  <c r="L13" i="5"/>
  <c r="AD13" i="5"/>
  <c r="BD112" i="5"/>
  <c r="AU109" i="5"/>
  <c r="I109" i="5" s="1"/>
  <c r="C114" i="5"/>
  <c r="BD114" i="5" s="1"/>
  <c r="D181" i="45"/>
  <c r="C181" i="45"/>
  <c r="CR12" i="45"/>
  <c r="CS12" i="45"/>
  <c r="T79" i="38" l="1"/>
  <c r="T91" i="38"/>
  <c r="T24" i="38"/>
  <c r="T46" i="38"/>
  <c r="T36" i="38"/>
  <c r="T33" i="38"/>
  <c r="V103" i="38"/>
  <c r="T16" i="38"/>
  <c r="V101" i="38"/>
  <c r="T85" i="38"/>
  <c r="T51" i="38"/>
  <c r="T38" i="38"/>
  <c r="T87" i="38"/>
  <c r="T37" i="38"/>
  <c r="V107" i="38"/>
  <c r="T89" i="38"/>
  <c r="T19" i="38"/>
  <c r="T30" i="38"/>
  <c r="V97" i="38"/>
  <c r="T15" i="38"/>
  <c r="Y68" i="38"/>
  <c r="T28" i="38"/>
  <c r="T27" i="38"/>
  <c r="V105" i="38"/>
  <c r="T42" i="38"/>
  <c r="V104" i="38"/>
  <c r="Y70" i="38"/>
  <c r="T90" i="38"/>
  <c r="Y69" i="38"/>
  <c r="T48" i="38"/>
  <c r="V102" i="38"/>
  <c r="V100" i="38"/>
  <c r="Y62" i="38"/>
  <c r="T44" i="38"/>
  <c r="V106" i="38"/>
  <c r="T84" i="38"/>
  <c r="T39" i="38"/>
  <c r="T41" i="38"/>
  <c r="T81" i="38"/>
  <c r="T23" i="38"/>
  <c r="T78" i="38"/>
  <c r="T45" i="38"/>
  <c r="T35" i="38"/>
  <c r="T47" i="38"/>
  <c r="T26" i="38"/>
  <c r="T80" i="38"/>
  <c r="V108" i="38"/>
  <c r="V99" i="38"/>
  <c r="V98" i="38"/>
  <c r="T43" i="38"/>
  <c r="T50" i="38"/>
  <c r="T18" i="38"/>
  <c r="Y64" i="38"/>
  <c r="T49" i="38"/>
  <c r="T17" i="38"/>
  <c r="T32" i="38"/>
  <c r="Y63" i="38"/>
  <c r="T29" i="38"/>
  <c r="T13" i="38"/>
  <c r="T31" i="38"/>
  <c r="CH32" i="37"/>
  <c r="CR53" i="37"/>
  <c r="CQ16" i="37"/>
  <c r="CR24" i="37"/>
  <c r="CI53" i="37"/>
  <c r="CQ53" i="37"/>
  <c r="CN53" i="37"/>
  <c r="CK16" i="37"/>
  <c r="AW49" i="37"/>
  <c r="CO16" i="37"/>
  <c r="CK55" i="37"/>
  <c r="CN16" i="37"/>
  <c r="CE16" i="37"/>
  <c r="CB53" i="37"/>
  <c r="CO55" i="37"/>
  <c r="CR16" i="37"/>
  <c r="CE53" i="37"/>
  <c r="CO53" i="37"/>
  <c r="AU103" i="37"/>
  <c r="CB55" i="37"/>
  <c r="CH16" i="37"/>
  <c r="CB30" i="37"/>
  <c r="CF53" i="37"/>
  <c r="AW53" i="37" s="1"/>
  <c r="CR36" i="37"/>
  <c r="CQ32" i="37"/>
  <c r="CQ55" i="37"/>
  <c r="CN30" i="37"/>
  <c r="C204" i="5"/>
  <c r="Q31" i="5"/>
  <c r="AU114" i="5"/>
  <c r="I114" i="5" s="1"/>
  <c r="BP48" i="28"/>
  <c r="BR48" i="28"/>
  <c r="BS48" i="28"/>
  <c r="BT48" i="28"/>
  <c r="BW48" i="28"/>
  <c r="BV48" i="28"/>
  <c r="BX48" i="28"/>
  <c r="BZ48" i="28"/>
  <c r="BY48" i="28"/>
  <c r="BQ48" i="28"/>
  <c r="C200" i="38"/>
  <c r="D17" i="18" s="1"/>
  <c r="T22" i="38"/>
  <c r="CR83" i="37"/>
  <c r="CI83" i="37"/>
  <c r="CK83" i="37"/>
  <c r="CE83" i="37"/>
  <c r="CQ83" i="37"/>
  <c r="CO83" i="37"/>
  <c r="CB83" i="37"/>
  <c r="CF83" i="37"/>
  <c r="CH83" i="37"/>
  <c r="CN83" i="37"/>
  <c r="CR84" i="37"/>
  <c r="CE84" i="37"/>
  <c r="CH84" i="37"/>
  <c r="CB84" i="37"/>
  <c r="CQ84" i="37"/>
  <c r="CF84" i="37"/>
  <c r="CN84" i="37"/>
  <c r="CI84" i="37"/>
  <c r="CO84" i="37"/>
  <c r="CK84" i="37"/>
  <c r="CR82" i="37"/>
  <c r="CE82" i="37"/>
  <c r="CQ82" i="37"/>
  <c r="CN82" i="37"/>
  <c r="CK82" i="37"/>
  <c r="CH82" i="37"/>
  <c r="CO82" i="37"/>
  <c r="CF82" i="37"/>
  <c r="CI82" i="37"/>
  <c r="CB82" i="37"/>
  <c r="AW82" i="37" s="1"/>
  <c r="CR17" i="37"/>
  <c r="CI17" i="37"/>
  <c r="CN17" i="37"/>
  <c r="CK17" i="37"/>
  <c r="CE17" i="37"/>
  <c r="CO17" i="37"/>
  <c r="CH17" i="37"/>
  <c r="B202" i="37"/>
  <c r="E16" i="18" s="1"/>
  <c r="CO64" i="37"/>
  <c r="CH48" i="37"/>
  <c r="CK41" i="37"/>
  <c r="CE104" i="37"/>
  <c r="CO102" i="37"/>
  <c r="CH28" i="37"/>
  <c r="CG99" i="37"/>
  <c r="AU99" i="37" s="1"/>
  <c r="CM97" i="37"/>
  <c r="CH44" i="37"/>
  <c r="CB40" i="37"/>
  <c r="CI67" i="37"/>
  <c r="CH64" i="37"/>
  <c r="CI48" i="37"/>
  <c r="CO96" i="37"/>
  <c r="CN44" i="37"/>
  <c r="CE94" i="37"/>
  <c r="CQ41" i="37"/>
  <c r="CF98" i="37"/>
  <c r="CB41" i="37"/>
  <c r="CH40" i="37"/>
  <c r="CE64" i="37"/>
  <c r="CQ48" i="37"/>
  <c r="CK43" i="37"/>
  <c r="CG96" i="37"/>
  <c r="CQ44" i="37"/>
  <c r="CF94" i="37"/>
  <c r="AU94" i="37" s="1"/>
  <c r="CI41" i="37"/>
  <c r="CK13" i="37"/>
  <c r="CI64" i="37"/>
  <c r="CF48" i="37"/>
  <c r="CN99" i="37"/>
  <c r="CD99" i="37"/>
  <c r="CF36" i="37"/>
  <c r="CG97" i="37"/>
  <c r="CN40" i="37"/>
  <c r="CE67" i="37"/>
  <c r="CQ64" i="37"/>
  <c r="CN64" i="37"/>
  <c r="CN48" i="37"/>
  <c r="CE43" i="37"/>
  <c r="CF96" i="37"/>
  <c r="AU96" i="37" s="1"/>
  <c r="CB44" i="37"/>
  <c r="CM94" i="37"/>
  <c r="CP98" i="37"/>
  <c r="CR76" i="37"/>
  <c r="CK48" i="37"/>
  <c r="CO41" i="37"/>
  <c r="CP102" i="37"/>
  <c r="CD101" i="37"/>
  <c r="CP97" i="37"/>
  <c r="CK40" i="37"/>
  <c r="CH76" i="37"/>
  <c r="CO99" i="37"/>
  <c r="CN36" i="37"/>
  <c r="CR40" i="37"/>
  <c r="CO40" i="37"/>
  <c r="CN67" i="37"/>
  <c r="CB64" i="37"/>
  <c r="CO48" i="37"/>
  <c r="CQ43" i="37"/>
  <c r="CM96" i="37"/>
  <c r="CN94" i="37"/>
  <c r="CI76" i="37"/>
  <c r="CN76" i="37"/>
  <c r="CM99" i="37"/>
  <c r="CE41" i="37"/>
  <c r="CI43" i="37"/>
  <c r="CH36" i="37"/>
  <c r="CO104" i="37"/>
  <c r="CP101" i="37"/>
  <c r="CF97" i="37"/>
  <c r="AU97" i="37" s="1"/>
  <c r="CE99" i="37"/>
  <c r="CE40" i="37"/>
  <c r="CF67" i="37"/>
  <c r="CF64" i="37"/>
  <c r="CE48" i="37"/>
  <c r="CN43" i="37"/>
  <c r="CI44" i="37"/>
  <c r="AW44" i="37" s="1"/>
  <c r="CB72" i="37"/>
  <c r="CM95" i="37"/>
  <c r="CR66" i="37"/>
  <c r="CF78" i="37"/>
  <c r="CE72" i="37"/>
  <c r="CI39" i="37"/>
  <c r="CH18" i="37"/>
  <c r="CO63" i="37"/>
  <c r="CH30" i="37"/>
  <c r="CI24" i="37"/>
  <c r="CK18" i="37"/>
  <c r="CF16" i="37"/>
  <c r="CB16" i="37"/>
  <c r="CN95" i="37"/>
  <c r="CH66" i="37"/>
  <c r="CO78" i="37"/>
  <c r="CN72" i="37"/>
  <c r="CF61" i="37"/>
  <c r="CE18" i="37"/>
  <c r="CK39" i="37"/>
  <c r="CR18" i="37"/>
  <c r="CE63" i="37"/>
  <c r="CR13" i="37"/>
  <c r="CH13" i="37"/>
  <c r="CB13" i="37"/>
  <c r="CO66" i="37"/>
  <c r="CD95" i="37"/>
  <c r="CQ66" i="37"/>
  <c r="CI78" i="37"/>
  <c r="CE13" i="37"/>
  <c r="CB39" i="37"/>
  <c r="CI18" i="37"/>
  <c r="CH63" i="37"/>
  <c r="CN61" i="37"/>
  <c r="CO13" i="37"/>
  <c r="CO39" i="37"/>
  <c r="CQ63" i="37"/>
  <c r="CO95" i="37"/>
  <c r="CE66" i="37"/>
  <c r="CR78" i="37"/>
  <c r="CK72" i="37"/>
  <c r="CB61" i="37"/>
  <c r="CE95" i="37"/>
  <c r="CN66" i="37"/>
  <c r="CB78" i="37"/>
  <c r="CH72" i="37"/>
  <c r="CF13" i="37"/>
  <c r="CE39" i="37"/>
  <c r="CI63" i="37"/>
  <c r="CN13" i="37"/>
  <c r="CP95" i="37"/>
  <c r="CQ78" i="37"/>
  <c r="CK78" i="37"/>
  <c r="CQ72" i="37"/>
  <c r="CQ13" i="37"/>
  <c r="CQ39" i="37"/>
  <c r="CK63" i="37"/>
  <c r="CI13" i="37"/>
  <c r="CG95" i="37"/>
  <c r="CK66" i="37"/>
  <c r="CE78" i="37"/>
  <c r="CN39" i="37"/>
  <c r="CH24" i="37"/>
  <c r="CH39" i="37"/>
  <c r="CB66" i="37"/>
  <c r="CQ76" i="37"/>
  <c r="CF76" i="37"/>
  <c r="CB76" i="37"/>
  <c r="CO76" i="37"/>
  <c r="CK76" i="37"/>
  <c r="AW85" i="37"/>
  <c r="AU100" i="37"/>
  <c r="CN97" i="37"/>
  <c r="AW20" i="37"/>
  <c r="CH67" i="37"/>
  <c r="CR67" i="37"/>
  <c r="CR55" i="37"/>
  <c r="CR47" i="37"/>
  <c r="CB43" i="37"/>
  <c r="CH22" i="37"/>
  <c r="CM98" i="37"/>
  <c r="CG98" i="37"/>
  <c r="AU98" i="37" s="1"/>
  <c r="CN24" i="37"/>
  <c r="CF63" i="37"/>
  <c r="CR63" i="37"/>
  <c r="CK30" i="37"/>
  <c r="CF30" i="37"/>
  <c r="CQ30" i="37"/>
  <c r="CO30" i="37"/>
  <c r="CG105" i="37"/>
  <c r="AU105" i="37" s="1"/>
  <c r="CN105" i="37"/>
  <c r="CM105" i="37"/>
  <c r="CH31" i="37"/>
  <c r="CN31" i="37"/>
  <c r="CR31" i="37"/>
  <c r="CO18" i="37"/>
  <c r="CF18" i="37"/>
  <c r="CF41" i="37"/>
  <c r="CR41" i="37"/>
  <c r="AW86" i="37"/>
  <c r="CH55" i="37"/>
  <c r="CK47" i="37"/>
  <c r="CG102" i="37"/>
  <c r="AU102" i="37" s="1"/>
  <c r="CN102" i="37"/>
  <c r="CM102" i="37"/>
  <c r="CK89" i="37"/>
  <c r="CB89" i="37"/>
  <c r="AW89" i="37" s="1"/>
  <c r="CR57" i="37"/>
  <c r="CK57" i="37"/>
  <c r="CI57" i="37"/>
  <c r="CE57" i="37"/>
  <c r="AW57" i="37" s="1"/>
  <c r="CO57" i="37"/>
  <c r="CG104" i="37"/>
  <c r="AU104" i="37" s="1"/>
  <c r="CM104" i="37"/>
  <c r="CN104" i="37"/>
  <c r="CF88" i="37"/>
  <c r="CB88" i="37"/>
  <c r="CK88" i="37"/>
  <c r="AW16" i="37"/>
  <c r="CF24" i="37"/>
  <c r="CE24" i="37"/>
  <c r="CB24" i="37"/>
  <c r="CO24" i="37"/>
  <c r="CO70" i="37"/>
  <c r="CK70" i="37"/>
  <c r="CF70" i="37"/>
  <c r="AW70" i="37" s="1"/>
  <c r="CR70" i="37"/>
  <c r="CR61" i="37"/>
  <c r="CE61" i="37"/>
  <c r="CO61" i="37"/>
  <c r="CK61" i="37"/>
  <c r="CI61" i="37"/>
  <c r="CF43" i="37"/>
  <c r="CH43" i="37"/>
  <c r="CI28" i="37"/>
  <c r="CQ28" i="37"/>
  <c r="CB28" i="37"/>
  <c r="CO28" i="37"/>
  <c r="CK28" i="37"/>
  <c r="CE28" i="37"/>
  <c r="AW74" i="37"/>
  <c r="AW27" i="37"/>
  <c r="CK67" i="37"/>
  <c r="CO67" i="37"/>
  <c r="CF55" i="37"/>
  <c r="CE55" i="37"/>
  <c r="CQ34" i="37"/>
  <c r="CE34" i="37"/>
  <c r="AW34" i="37" s="1"/>
  <c r="CO34" i="37"/>
  <c r="CK34" i="37"/>
  <c r="CF34" i="37"/>
  <c r="CI36" i="37"/>
  <c r="CK36" i="37"/>
  <c r="CE36" i="37"/>
  <c r="CB36" i="37"/>
  <c r="CO36" i="37"/>
  <c r="CF22" i="37"/>
  <c r="CB22" i="37"/>
  <c r="CQ22" i="37"/>
  <c r="CG101" i="37"/>
  <c r="AU101" i="37" s="1"/>
  <c r="CN101" i="37"/>
  <c r="CM101" i="37"/>
  <c r="CF47" i="37"/>
  <c r="CH47" i="37"/>
  <c r="CF72" i="37"/>
  <c r="CO72" i="37"/>
  <c r="CK24" i="37"/>
  <c r="CE22" i="37"/>
  <c r="CI32" i="37"/>
  <c r="CB32" i="37"/>
  <c r="CO32" i="37"/>
  <c r="CK32" i="37"/>
  <c r="CE32" i="37"/>
  <c r="CR65" i="37"/>
  <c r="CI65" i="37"/>
  <c r="CQ65" i="37"/>
  <c r="CF65" i="37"/>
  <c r="CB65" i="37"/>
  <c r="CE65" i="37"/>
  <c r="CN65" i="37"/>
  <c r="CK65" i="37"/>
  <c r="CO65" i="37"/>
  <c r="CH65" i="37"/>
  <c r="AW45" i="37"/>
  <c r="CR71" i="37"/>
  <c r="CI71" i="37"/>
  <c r="CK71" i="37"/>
  <c r="CH71" i="37"/>
  <c r="CE71" i="37"/>
  <c r="CO71" i="37"/>
  <c r="CF71" i="37"/>
  <c r="CQ71" i="37"/>
  <c r="CN71" i="37"/>
  <c r="CB71" i="37"/>
  <c r="CK81" i="37"/>
  <c r="CB81" i="37"/>
  <c r="CR81" i="37"/>
  <c r="CI81" i="37"/>
  <c r="CO81" i="37"/>
  <c r="CF81" i="37"/>
  <c r="CN81" i="37"/>
  <c r="CE81" i="37"/>
  <c r="CQ81" i="37"/>
  <c r="CH81" i="37"/>
  <c r="AW40" i="37"/>
  <c r="CQ62" i="37"/>
  <c r="CH62" i="37"/>
  <c r="CB62" i="37"/>
  <c r="CO62" i="37"/>
  <c r="CN62" i="37"/>
  <c r="CI62" i="37"/>
  <c r="CF62" i="37"/>
  <c r="CE62" i="37"/>
  <c r="CR62" i="37"/>
  <c r="CK62" i="37"/>
  <c r="CQ56" i="37"/>
  <c r="CF56" i="37"/>
  <c r="CB56" i="37"/>
  <c r="CK56" i="37"/>
  <c r="CI56" i="37"/>
  <c r="CH56" i="37"/>
  <c r="CR56" i="37"/>
  <c r="CN56" i="37"/>
  <c r="CE56" i="37"/>
  <c r="CO56" i="37"/>
  <c r="AW35" i="37"/>
  <c r="CK75" i="37"/>
  <c r="CO75" i="37"/>
  <c r="CF75" i="37"/>
  <c r="CQ75" i="37"/>
  <c r="CB75" i="37"/>
  <c r="CI75" i="37"/>
  <c r="CH75" i="37"/>
  <c r="CR75" i="37"/>
  <c r="CN75" i="37"/>
  <c r="CE75" i="37"/>
  <c r="CB15" i="37"/>
  <c r="CK15" i="37"/>
  <c r="CQ15" i="37"/>
  <c r="CF15" i="37"/>
  <c r="CO15" i="37"/>
  <c r="CE15" i="37"/>
  <c r="CH15" i="37"/>
  <c r="CR15" i="37"/>
  <c r="CI15" i="37"/>
  <c r="CN15" i="37"/>
  <c r="CR73" i="37"/>
  <c r="CI73" i="37"/>
  <c r="CN73" i="37"/>
  <c r="CE73" i="37"/>
  <c r="CQ73" i="37"/>
  <c r="CB73" i="37"/>
  <c r="CK73" i="37"/>
  <c r="CH73" i="37"/>
  <c r="CO73" i="37"/>
  <c r="CF73" i="37"/>
  <c r="AW31" i="37"/>
  <c r="AW23" i="37"/>
  <c r="AW80" i="37"/>
  <c r="AW59" i="37"/>
  <c r="AW77" i="37"/>
  <c r="CQ33" i="37"/>
  <c r="CF33" i="37"/>
  <c r="CO33" i="37"/>
  <c r="CE33" i="37"/>
  <c r="CN33" i="37"/>
  <c r="CB33" i="37"/>
  <c r="CK33" i="37"/>
  <c r="CR33" i="37"/>
  <c r="CI33" i="37"/>
  <c r="CH33" i="37"/>
  <c r="CB50" i="37"/>
  <c r="CQ50" i="37"/>
  <c r="CF50" i="37"/>
  <c r="CO50" i="37"/>
  <c r="CN50" i="37"/>
  <c r="CI50" i="37"/>
  <c r="CH50" i="37"/>
  <c r="CR50" i="37"/>
  <c r="CK50" i="37"/>
  <c r="CE50" i="37"/>
  <c r="CQ25" i="37"/>
  <c r="CF25" i="37"/>
  <c r="CO25" i="37"/>
  <c r="CE25" i="37"/>
  <c r="CN25" i="37"/>
  <c r="CB25" i="37"/>
  <c r="CK25" i="37"/>
  <c r="CR25" i="37"/>
  <c r="CI25" i="37"/>
  <c r="CH25" i="37"/>
  <c r="AW14" i="37"/>
  <c r="AW19" i="37"/>
  <c r="CQ58" i="37"/>
  <c r="CH58" i="37"/>
  <c r="CN58" i="37"/>
  <c r="CB58" i="37"/>
  <c r="CK58" i="37"/>
  <c r="CR58" i="37"/>
  <c r="CF58" i="37"/>
  <c r="CE58" i="37"/>
  <c r="CO58" i="37"/>
  <c r="CI58" i="37"/>
  <c r="AW51" i="37"/>
  <c r="AW38" i="37"/>
  <c r="CQ29" i="37"/>
  <c r="CF29" i="37"/>
  <c r="CE29" i="37"/>
  <c r="CN29" i="37"/>
  <c r="CO29" i="37"/>
  <c r="CB29" i="37"/>
  <c r="CK29" i="37"/>
  <c r="CI29" i="37"/>
  <c r="CH29" i="37"/>
  <c r="CR29" i="37"/>
  <c r="CB54" i="37"/>
  <c r="CQ54" i="37"/>
  <c r="CF54" i="37"/>
  <c r="CO54" i="37"/>
  <c r="CE54" i="37"/>
  <c r="CK54" i="37"/>
  <c r="CI54" i="37"/>
  <c r="CR54" i="37"/>
  <c r="CN54" i="37"/>
  <c r="CH54" i="37"/>
  <c r="CQ42" i="37"/>
  <c r="CF42" i="37"/>
  <c r="CO42" i="37"/>
  <c r="CN42" i="37"/>
  <c r="CB42" i="37"/>
  <c r="CK42" i="37"/>
  <c r="CI42" i="37"/>
  <c r="CR42" i="37"/>
  <c r="CH42" i="37"/>
  <c r="CE42" i="37"/>
  <c r="CQ60" i="37"/>
  <c r="CH60" i="37"/>
  <c r="CN60" i="37"/>
  <c r="CB60" i="37"/>
  <c r="CK60" i="37"/>
  <c r="CR60" i="37"/>
  <c r="CF60" i="37"/>
  <c r="CO60" i="37"/>
  <c r="CI60" i="37"/>
  <c r="CE60" i="37"/>
  <c r="CR69" i="37"/>
  <c r="CI69" i="37"/>
  <c r="CH69" i="37"/>
  <c r="CO69" i="37"/>
  <c r="CN69" i="37"/>
  <c r="CB69" i="37"/>
  <c r="CE69" i="37"/>
  <c r="CQ69" i="37"/>
  <c r="CK69" i="37"/>
  <c r="CF69" i="37"/>
  <c r="AW55" i="37"/>
  <c r="AW47" i="37"/>
  <c r="AW26" i="37"/>
  <c r="CK79" i="37"/>
  <c r="CR79" i="37"/>
  <c r="CI79" i="37"/>
  <c r="CO79" i="37"/>
  <c r="CF79" i="37"/>
  <c r="CN79" i="37"/>
  <c r="CE79" i="37"/>
  <c r="CH79" i="37"/>
  <c r="CQ79" i="37"/>
  <c r="CQ52" i="37"/>
  <c r="CF52" i="37"/>
  <c r="CB52" i="37"/>
  <c r="CK52" i="37"/>
  <c r="CN52" i="37"/>
  <c r="CI52" i="37"/>
  <c r="CE52" i="37"/>
  <c r="CH52" i="37"/>
  <c r="CR52" i="37"/>
  <c r="CO52" i="37"/>
  <c r="CN87" i="37"/>
  <c r="CE87" i="37"/>
  <c r="CR87" i="37"/>
  <c r="CI87" i="37"/>
  <c r="CQ87" i="37"/>
  <c r="CH87" i="37"/>
  <c r="CB87" i="37"/>
  <c r="CK87" i="37"/>
  <c r="CF87" i="37"/>
  <c r="CO87" i="37"/>
  <c r="CN68" i="37"/>
  <c r="CE68" i="37"/>
  <c r="CQ68" i="37"/>
  <c r="CH68" i="37"/>
  <c r="CR68" i="37"/>
  <c r="CF68" i="37"/>
  <c r="CB68" i="37"/>
  <c r="CO68" i="37"/>
  <c r="CK68" i="37"/>
  <c r="CI68" i="37"/>
  <c r="CQ46" i="37"/>
  <c r="CF46" i="37"/>
  <c r="CO46" i="37"/>
  <c r="CN46" i="37"/>
  <c r="CB46" i="37"/>
  <c r="CK46" i="37"/>
  <c r="CI46" i="37"/>
  <c r="CR46" i="37"/>
  <c r="CH46" i="37"/>
  <c r="CE46" i="37"/>
  <c r="CQ37" i="37"/>
  <c r="CF37" i="37"/>
  <c r="CO37" i="37"/>
  <c r="CE37" i="37"/>
  <c r="CN37" i="37"/>
  <c r="CB37" i="37"/>
  <c r="CK37" i="37"/>
  <c r="CI37" i="37"/>
  <c r="CH37" i="37"/>
  <c r="CR37" i="37"/>
  <c r="CQ21" i="37"/>
  <c r="CF21" i="37"/>
  <c r="CO21" i="37"/>
  <c r="CE21" i="37"/>
  <c r="CB21" i="37"/>
  <c r="CK21" i="37"/>
  <c r="CH21" i="37"/>
  <c r="CI21" i="37"/>
  <c r="CR21" i="37"/>
  <c r="CN21" i="37"/>
  <c r="AW41" i="37"/>
  <c r="CN12" i="45"/>
  <c r="CO12" i="45"/>
  <c r="CJ12" i="45"/>
  <c r="CT12" i="45"/>
  <c r="CL12" i="45"/>
  <c r="CG12" i="45"/>
  <c r="CF12" i="45"/>
  <c r="CM12" i="45"/>
  <c r="CQ12" i="45"/>
  <c r="CE12" i="45"/>
  <c r="CC12" i="45"/>
  <c r="CP12" i="45"/>
  <c r="CD12" i="45"/>
  <c r="CB12" i="45"/>
  <c r="AW48" i="37" l="1"/>
  <c r="AW30" i="37"/>
  <c r="AW13" i="37"/>
  <c r="AW72" i="37"/>
  <c r="AW39" i="37"/>
  <c r="AW18" i="37"/>
  <c r="AW64" i="37"/>
  <c r="AW28" i="37"/>
  <c r="AW78" i="37"/>
  <c r="AW63" i="37"/>
  <c r="AW67" i="37"/>
  <c r="AW76" i="37"/>
  <c r="AW22" i="37"/>
  <c r="AW29" i="37"/>
  <c r="AU48" i="28"/>
  <c r="AW83" i="37"/>
  <c r="AW84" i="37"/>
  <c r="AW17" i="37"/>
  <c r="C202" i="37"/>
  <c r="D16" i="18" s="1"/>
  <c r="AW66" i="37"/>
  <c r="AU95" i="37"/>
  <c r="AW36" i="37"/>
  <c r="AW88" i="37"/>
  <c r="AW24" i="37"/>
  <c r="AW61" i="37"/>
  <c r="AW32" i="37"/>
  <c r="AW56" i="37"/>
  <c r="AW81" i="37"/>
  <c r="AW73" i="37"/>
  <c r="AW43" i="37"/>
  <c r="AW75" i="37"/>
  <c r="AW46" i="37"/>
  <c r="AW68" i="37"/>
  <c r="AW50" i="37"/>
  <c r="AW15" i="37"/>
  <c r="AW65" i="37"/>
  <c r="AW52" i="37"/>
  <c r="AW25" i="37"/>
  <c r="AW87" i="37"/>
  <c r="AW54" i="37"/>
  <c r="AW21" i="37"/>
  <c r="AW37" i="37"/>
  <c r="AW79" i="37"/>
  <c r="AW42" i="37"/>
  <c r="AW60" i="37"/>
  <c r="AW69" i="37"/>
  <c r="AW58" i="37"/>
  <c r="AW33" i="37"/>
  <c r="AW62" i="37"/>
  <c r="AW71" i="37"/>
  <c r="AX12" i="45"/>
  <c r="C113" i="48" l="1"/>
  <c r="C105" i="48"/>
  <c r="CO29" i="48"/>
  <c r="CD29" i="48" s="1"/>
  <c r="CR29" i="48"/>
  <c r="CG29" i="48" s="1"/>
  <c r="CQ29" i="48"/>
  <c r="CF29" i="48" s="1"/>
  <c r="CP29" i="48"/>
  <c r="CE29" i="48" s="1"/>
  <c r="C249" i="48" l="1"/>
  <c r="C97" i="48"/>
  <c r="AA7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AA69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I61" i="48"/>
  <c r="H61" i="48"/>
  <c r="G61" i="48"/>
  <c r="F61" i="48"/>
  <c r="E61" i="48"/>
  <c r="D61" i="48"/>
  <c r="CN35" i="48"/>
  <c r="CC35" i="48" s="1"/>
  <c r="CO58" i="48" l="1"/>
  <c r="CN58" i="48"/>
  <c r="CP58" i="48"/>
  <c r="CB58" i="48"/>
  <c r="CC58" i="48"/>
  <c r="CD58" i="48"/>
  <c r="CN38" i="48"/>
  <c r="CC38" i="48" s="1"/>
  <c r="CN48" i="48"/>
  <c r="CC48" i="48" s="1"/>
  <c r="CC59" i="48"/>
  <c r="CB59" i="48"/>
  <c r="CD59" i="48"/>
  <c r="CO59" i="48"/>
  <c r="CP59" i="48"/>
  <c r="CN59" i="48"/>
  <c r="CB60" i="48"/>
  <c r="CC60" i="48"/>
  <c r="CD60" i="48"/>
  <c r="CN60" i="48"/>
  <c r="CO60" i="48"/>
  <c r="CP60" i="48"/>
  <c r="CD57" i="48"/>
  <c r="CN57" i="48"/>
  <c r="CO57" i="48"/>
  <c r="CP57" i="48"/>
  <c r="CB57" i="48"/>
  <c r="CC57" i="48"/>
  <c r="CP56" i="48"/>
  <c r="CO56" i="48"/>
  <c r="CN56" i="48"/>
  <c r="CD56" i="48"/>
  <c r="CC56" i="48"/>
  <c r="CB56" i="48"/>
  <c r="CN51" i="48"/>
  <c r="CC51" i="48" s="1"/>
  <c r="AR51" i="48" s="1"/>
  <c r="CC68" i="48"/>
  <c r="CB68" i="48"/>
  <c r="CN33" i="48"/>
  <c r="CC33" i="48" s="1"/>
  <c r="CN41" i="48"/>
  <c r="CC41" i="48" s="1"/>
  <c r="CN47" i="48"/>
  <c r="CC47" i="48" s="1"/>
  <c r="CC73" i="48"/>
  <c r="CB73" i="48"/>
  <c r="CB74" i="48"/>
  <c r="CC74" i="48"/>
  <c r="CC75" i="48"/>
  <c r="CB75" i="48"/>
  <c r="CC76" i="48"/>
  <c r="CB76" i="48"/>
  <c r="CN46" i="48"/>
  <c r="CC46" i="48" s="1"/>
  <c r="C69" i="48"/>
  <c r="CO65" i="48"/>
  <c r="CC65" i="48"/>
  <c r="CN65" i="48"/>
  <c r="CB65" i="48"/>
  <c r="CB66" i="48"/>
  <c r="CC66" i="48"/>
  <c r="CN122" i="48"/>
  <c r="CB122" i="48"/>
  <c r="CN36" i="48"/>
  <c r="CC36" i="48" s="1"/>
  <c r="CN44" i="48"/>
  <c r="CC44" i="48" s="1"/>
  <c r="CC67" i="48"/>
  <c r="CB67" i="48"/>
  <c r="CN39" i="48"/>
  <c r="CC39" i="48" s="1"/>
  <c r="CN42" i="48"/>
  <c r="CC42" i="48" s="1"/>
  <c r="CN40" i="48"/>
  <c r="CC40" i="48" s="1"/>
  <c r="CN43" i="48"/>
  <c r="CC43" i="48" s="1"/>
  <c r="CN37" i="48"/>
  <c r="CC37" i="48" s="1"/>
  <c r="CN52" i="48"/>
  <c r="CC52" i="48" s="1"/>
  <c r="CN31" i="48"/>
  <c r="CC31" i="48" s="1"/>
  <c r="CN34" i="48"/>
  <c r="CC34" i="48" s="1"/>
  <c r="CN32" i="48"/>
  <c r="CC32" i="48" s="1"/>
  <c r="C77" i="48"/>
  <c r="CN30" i="48"/>
  <c r="CC30" i="48" s="1"/>
  <c r="C61" i="48"/>
  <c r="AB75" i="48" l="1"/>
  <c r="J59" i="48"/>
  <c r="J60" i="48"/>
  <c r="J58" i="48"/>
  <c r="AB66" i="48"/>
  <c r="AB65" i="48"/>
  <c r="CN49" i="48"/>
  <c r="CC49" i="48" s="1"/>
  <c r="AR49" i="48" s="1"/>
  <c r="AB74" i="48"/>
  <c r="J57" i="48"/>
  <c r="CN45" i="48"/>
  <c r="CC45" i="48" s="1"/>
  <c r="J56" i="48"/>
  <c r="CN50" i="48"/>
  <c r="CC50" i="48" s="1"/>
  <c r="AR50" i="48" s="1"/>
  <c r="CN28" i="48"/>
  <c r="AB73" i="48"/>
  <c r="AB67" i="48"/>
  <c r="AB76" i="48"/>
  <c r="CN29" i="48"/>
  <c r="CC29" i="48" s="1"/>
  <c r="AB68" i="48"/>
  <c r="CF67" i="41"/>
  <c r="CG64" i="41"/>
  <c r="CF64" i="41"/>
  <c r="CC68" i="41"/>
  <c r="CC67" i="41"/>
  <c r="CC64" i="41"/>
  <c r="CB64" i="41"/>
  <c r="CC63" i="41"/>
  <c r="CB63" i="41"/>
  <c r="CB59" i="41"/>
  <c r="CC59" i="41"/>
  <c r="CF68" i="41"/>
  <c r="CG67" i="41"/>
  <c r="CC66" i="41"/>
  <c r="CB65" i="41"/>
  <c r="CB68" i="41" l="1"/>
  <c r="CG66" i="41"/>
  <c r="CG65" i="41"/>
  <c r="CC65" i="41"/>
  <c r="CF65" i="41"/>
  <c r="CB66" i="41"/>
  <c r="CG68" i="41"/>
  <c r="CF66" i="41"/>
  <c r="CB67" i="41"/>
  <c r="CB29" i="48"/>
  <c r="AK235" i="13"/>
  <c r="AK236" i="13"/>
  <c r="CP163" i="13"/>
  <c r="CC341" i="13"/>
  <c r="CQ341" i="13"/>
  <c r="CC342" i="13"/>
  <c r="CQ342" i="13"/>
  <c r="CC343" i="13"/>
  <c r="CQ343" i="13"/>
  <c r="CC344" i="13"/>
  <c r="CQ344" i="13"/>
  <c r="CQ340" i="13"/>
  <c r="CC340" i="13"/>
  <c r="CQ251" i="13"/>
  <c r="CQ252" i="13"/>
  <c r="CQ253" i="13"/>
  <c r="CQ254" i="13"/>
  <c r="CQ255" i="13"/>
  <c r="CQ256" i="13"/>
  <c r="CQ257" i="13"/>
  <c r="CQ258" i="13"/>
  <c r="CQ259" i="13"/>
  <c r="CQ260" i="13"/>
  <c r="CQ261" i="13"/>
  <c r="CQ262" i="13"/>
  <c r="CQ263" i="13"/>
  <c r="CQ282" i="13"/>
  <c r="CQ283" i="13"/>
  <c r="CQ284" i="13"/>
  <c r="CQ285" i="13"/>
  <c r="CQ286" i="13"/>
  <c r="CQ287" i="13"/>
  <c r="CQ288" i="13"/>
  <c r="CQ289" i="13"/>
  <c r="CQ290" i="13"/>
  <c r="CQ291" i="13"/>
  <c r="CQ292" i="13"/>
  <c r="CQ293" i="13"/>
  <c r="CQ294" i="13"/>
  <c r="CQ295" i="13"/>
  <c r="CQ296" i="13"/>
  <c r="CQ297" i="13"/>
  <c r="CQ298" i="13"/>
  <c r="CQ299" i="13"/>
  <c r="CQ300" i="13"/>
  <c r="CQ301" i="13"/>
  <c r="CQ302" i="13"/>
  <c r="CQ303" i="13"/>
  <c r="CQ304" i="13"/>
  <c r="CQ305" i="13"/>
  <c r="CQ306" i="13"/>
  <c r="CQ307" i="13"/>
  <c r="CQ308" i="13"/>
  <c r="CQ309" i="13"/>
  <c r="CQ310" i="13"/>
  <c r="CQ311" i="13"/>
  <c r="CQ312" i="13"/>
  <c r="CQ313" i="13"/>
  <c r="CQ314" i="13"/>
  <c r="CQ315" i="13"/>
  <c r="CQ316" i="13"/>
  <c r="CQ317" i="13"/>
  <c r="CQ318" i="13"/>
  <c r="CQ319" i="13"/>
  <c r="CQ320" i="13"/>
  <c r="CQ321" i="13"/>
  <c r="CQ322" i="13"/>
  <c r="CQ323" i="13"/>
  <c r="CQ324" i="13"/>
  <c r="CQ325" i="13"/>
  <c r="CQ326" i="13"/>
  <c r="CQ327" i="13"/>
  <c r="CQ328" i="13"/>
  <c r="CQ329" i="13"/>
  <c r="CQ250" i="13"/>
  <c r="CC251" i="13"/>
  <c r="CC252" i="13"/>
  <c r="CC253" i="13"/>
  <c r="CC254" i="13"/>
  <c r="CC255" i="13"/>
  <c r="CC256" i="13"/>
  <c r="CC257" i="13"/>
  <c r="CC258" i="13"/>
  <c r="CC259" i="13"/>
  <c r="CC260" i="13"/>
  <c r="CC261" i="13"/>
  <c r="CC262" i="13"/>
  <c r="CC263" i="13"/>
  <c r="CC282" i="13"/>
  <c r="CC283" i="13"/>
  <c r="CC284" i="13"/>
  <c r="CC285" i="13"/>
  <c r="CC286" i="13"/>
  <c r="CC287" i="13"/>
  <c r="CC288" i="13"/>
  <c r="CC289" i="13"/>
  <c r="CC290" i="13"/>
  <c r="CC291" i="13"/>
  <c r="CC292" i="13"/>
  <c r="CC293" i="13"/>
  <c r="CC294" i="13"/>
  <c r="CC295" i="13"/>
  <c r="CC296" i="13"/>
  <c r="CC297" i="13"/>
  <c r="CC298" i="13"/>
  <c r="CC299" i="13"/>
  <c r="CC300" i="13"/>
  <c r="CC301" i="13"/>
  <c r="CC302" i="13"/>
  <c r="CC303" i="13"/>
  <c r="CC304" i="13"/>
  <c r="CC305" i="13"/>
  <c r="CC306" i="13"/>
  <c r="CC307" i="13"/>
  <c r="CC308" i="13"/>
  <c r="CC309" i="13"/>
  <c r="CC310" i="13"/>
  <c r="CC311" i="13"/>
  <c r="CC312" i="13"/>
  <c r="CC313" i="13"/>
  <c r="CC314" i="13"/>
  <c r="CC315" i="13"/>
  <c r="CC316" i="13"/>
  <c r="CC317" i="13"/>
  <c r="CC318" i="13"/>
  <c r="CC319" i="13"/>
  <c r="CC320" i="13"/>
  <c r="CC321" i="13"/>
  <c r="CC322" i="13"/>
  <c r="CC323" i="13"/>
  <c r="CC324" i="13"/>
  <c r="CC325" i="13"/>
  <c r="CC326" i="13"/>
  <c r="CC327" i="13"/>
  <c r="CC328" i="13"/>
  <c r="CC329" i="13"/>
  <c r="AW333" i="13"/>
  <c r="H201" i="13"/>
  <c r="CD163" i="13"/>
  <c r="CD164" i="13"/>
  <c r="CD165" i="13"/>
  <c r="CD166" i="13"/>
  <c r="CD167" i="13"/>
  <c r="CD168" i="13"/>
  <c r="CD169" i="13"/>
  <c r="CD170" i="13"/>
  <c r="CD171" i="13"/>
  <c r="CD172" i="13"/>
  <c r="CD173" i="13"/>
  <c r="CB164" i="13"/>
  <c r="CP164" i="13"/>
  <c r="CR164" i="13"/>
  <c r="CB165" i="13"/>
  <c r="CP165" i="13"/>
  <c r="CR165" i="13"/>
  <c r="CB166" i="13"/>
  <c r="CP166" i="13"/>
  <c r="CR166" i="13"/>
  <c r="CB167" i="13"/>
  <c r="CP167" i="13"/>
  <c r="CR167" i="13"/>
  <c r="CB168" i="13"/>
  <c r="CP168" i="13"/>
  <c r="CR168" i="13"/>
  <c r="CB169" i="13"/>
  <c r="CP169" i="13"/>
  <c r="CR169" i="13"/>
  <c r="CB170" i="13"/>
  <c r="CP170" i="13"/>
  <c r="CR170" i="13"/>
  <c r="CB171" i="13"/>
  <c r="CP171" i="13"/>
  <c r="CR171" i="13"/>
  <c r="CB172" i="13"/>
  <c r="CP172" i="13"/>
  <c r="CR172" i="13"/>
  <c r="CB173" i="13"/>
  <c r="CP173" i="13"/>
  <c r="CR173" i="13"/>
  <c r="CR163" i="13"/>
  <c r="CB163" i="13"/>
  <c r="CS129" i="13"/>
  <c r="CS121" i="13"/>
  <c r="CS122" i="13"/>
  <c r="CS123" i="13"/>
  <c r="CS124" i="13"/>
  <c r="CS125" i="13"/>
  <c r="CS126" i="13"/>
  <c r="CS127" i="13"/>
  <c r="CS128" i="13"/>
  <c r="CS130" i="13"/>
  <c r="CS131" i="13"/>
  <c r="CS132" i="13"/>
  <c r="CS133" i="13"/>
  <c r="CS134" i="13"/>
  <c r="CS135" i="13"/>
  <c r="CS136" i="13"/>
  <c r="CS137" i="13"/>
  <c r="CS138" i="13"/>
  <c r="CS139" i="13"/>
  <c r="CS140" i="13"/>
  <c r="CS141" i="13"/>
  <c r="CS142" i="13"/>
  <c r="CS120" i="13"/>
  <c r="CS119" i="13"/>
  <c r="CS118" i="13"/>
  <c r="CS117" i="13"/>
  <c r="CS116" i="13"/>
  <c r="CS115" i="13"/>
  <c r="CS114" i="13"/>
  <c r="CS113" i="13"/>
  <c r="CS112" i="13"/>
  <c r="CS111" i="13"/>
  <c r="CS110" i="13"/>
  <c r="CS109" i="13"/>
  <c r="CS108" i="13"/>
  <c r="CS107" i="13"/>
  <c r="CS106" i="13"/>
  <c r="CS104" i="13"/>
  <c r="CS92" i="13"/>
  <c r="CS93" i="13"/>
  <c r="CS94" i="13"/>
  <c r="CS95" i="13"/>
  <c r="CS96" i="13"/>
  <c r="CS97" i="13"/>
  <c r="CS98" i="13"/>
  <c r="CS99" i="13"/>
  <c r="CS100" i="13"/>
  <c r="CS101" i="13"/>
  <c r="CS102" i="13"/>
  <c r="CS103" i="13"/>
  <c r="CS91" i="13"/>
  <c r="CE92" i="13"/>
  <c r="CE93" i="13"/>
  <c r="CE94" i="13"/>
  <c r="CE95" i="13"/>
  <c r="CE96" i="13"/>
  <c r="CE97" i="13"/>
  <c r="CE98" i="13"/>
  <c r="CE99" i="13"/>
  <c r="CE100" i="13"/>
  <c r="CE101" i="13"/>
  <c r="CE102" i="13"/>
  <c r="CE103" i="13"/>
  <c r="CE104" i="13"/>
  <c r="CE106" i="13"/>
  <c r="CE107" i="13"/>
  <c r="CE108" i="13"/>
  <c r="CE109" i="13"/>
  <c r="CE111" i="13"/>
  <c r="CE112" i="13"/>
  <c r="CE114" i="13"/>
  <c r="CE115" i="13"/>
  <c r="CE116" i="13"/>
  <c r="CE117" i="13"/>
  <c r="CE118" i="13"/>
  <c r="CE119" i="13"/>
  <c r="CE120" i="13"/>
  <c r="CE121" i="13"/>
  <c r="CE122" i="13"/>
  <c r="CE123" i="13"/>
  <c r="CE124" i="13"/>
  <c r="CE125" i="13"/>
  <c r="CE126" i="13"/>
  <c r="CE127" i="13"/>
  <c r="CE128" i="13"/>
  <c r="CE129" i="13"/>
  <c r="CE130" i="13"/>
  <c r="CE131" i="13"/>
  <c r="CE132" i="13"/>
  <c r="CE133" i="13"/>
  <c r="CE134" i="13"/>
  <c r="CE135" i="13"/>
  <c r="CE136" i="13"/>
  <c r="CE137" i="13"/>
  <c r="CE138" i="13"/>
  <c r="CE139" i="13"/>
  <c r="CE140" i="13"/>
  <c r="CE141" i="13"/>
  <c r="CE142" i="13"/>
  <c r="CE91" i="13"/>
  <c r="AZ57" i="13"/>
  <c r="CR66" i="13"/>
  <c r="CP66" i="13"/>
  <c r="CD66" i="13"/>
  <c r="CB66" i="13"/>
  <c r="CR65" i="13"/>
  <c r="CP65" i="13"/>
  <c r="CD65" i="13"/>
  <c r="CB65" i="13"/>
  <c r="CR64" i="13"/>
  <c r="CP64" i="13"/>
  <c r="CD64" i="13"/>
  <c r="CR62" i="13"/>
  <c r="CP62" i="13"/>
  <c r="CD62" i="13"/>
  <c r="CB62" i="13"/>
  <c r="CR61" i="13"/>
  <c r="CP61" i="13"/>
  <c r="CD61" i="13"/>
  <c r="CB61" i="13"/>
  <c r="CR60" i="13"/>
  <c r="CP60" i="13"/>
  <c r="CD60" i="13"/>
  <c r="CB60" i="13"/>
  <c r="CR59" i="13"/>
  <c r="CP59" i="13"/>
  <c r="CD59" i="13"/>
  <c r="CB59" i="13"/>
  <c r="CR58" i="13"/>
  <c r="CP58" i="13"/>
  <c r="CD58" i="13"/>
  <c r="CB58" i="13"/>
  <c r="CP45" i="13"/>
  <c r="CP46" i="13"/>
  <c r="CP47" i="13"/>
  <c r="CR47" i="13"/>
  <c r="CP48" i="13"/>
  <c r="CR48" i="13"/>
  <c r="CP49" i="13"/>
  <c r="CR49" i="13"/>
  <c r="CP50" i="13"/>
  <c r="CR50" i="13"/>
  <c r="CP51" i="13"/>
  <c r="CR51" i="13"/>
  <c r="CP52" i="13"/>
  <c r="CR52" i="13"/>
  <c r="CP53" i="13"/>
  <c r="CR53" i="13"/>
  <c r="CP54" i="13"/>
  <c r="CR54" i="13"/>
  <c r="CP55" i="13"/>
  <c r="CR55" i="13"/>
  <c r="CP56" i="13"/>
  <c r="CR56" i="13"/>
  <c r="CD48" i="13"/>
  <c r="CD49" i="13"/>
  <c r="CB46" i="13"/>
  <c r="CB49" i="13"/>
  <c r="CD56" i="13"/>
  <c r="CB56" i="13"/>
  <c r="CD55" i="13"/>
  <c r="CB55" i="13"/>
  <c r="CD54" i="13"/>
  <c r="CB54" i="13"/>
  <c r="CD53" i="13"/>
  <c r="CB53" i="13"/>
  <c r="CD52" i="13"/>
  <c r="CB52" i="13"/>
  <c r="CD51" i="13"/>
  <c r="CB51" i="13"/>
  <c r="CD50" i="13"/>
  <c r="CB50" i="13"/>
  <c r="CD47" i="13"/>
  <c r="CB47" i="13"/>
  <c r="CB45" i="13"/>
  <c r="CC241" i="13" l="1"/>
  <c r="CF241" i="13"/>
  <c r="CQ241" i="13"/>
  <c r="CP241" i="13"/>
  <c r="CR241" i="13"/>
  <c r="CB241" i="13"/>
  <c r="CE241" i="13"/>
  <c r="CS241" i="13"/>
  <c r="CD241" i="13"/>
  <c r="CT241" i="13"/>
  <c r="CB22" i="13"/>
  <c r="CD22" i="13"/>
  <c r="CB23" i="13"/>
  <c r="CD23" i="13"/>
  <c r="CB24" i="13"/>
  <c r="CD24" i="13"/>
  <c r="CB25" i="13"/>
  <c r="CD25" i="13"/>
  <c r="CB26" i="13"/>
  <c r="CD26" i="13"/>
  <c r="CB27" i="13"/>
  <c r="CD27" i="13"/>
  <c r="CB28" i="13"/>
  <c r="CD28" i="13"/>
  <c r="CB29" i="13"/>
  <c r="CD29" i="13"/>
  <c r="CB30" i="13"/>
  <c r="CD30" i="13"/>
  <c r="CB31" i="13"/>
  <c r="CD31" i="13"/>
  <c r="CB32" i="13"/>
  <c r="CD32" i="13"/>
  <c r="CB33" i="13"/>
  <c r="CD33" i="13"/>
  <c r="CB34" i="13"/>
  <c r="CD34" i="13"/>
  <c r="CB35" i="13"/>
  <c r="CD35" i="13"/>
  <c r="CB36" i="13"/>
  <c r="CD36" i="13"/>
  <c r="CB37" i="13"/>
  <c r="CD37" i="13"/>
  <c r="CB38" i="13"/>
  <c r="CD38" i="13"/>
  <c r="CP38" i="13"/>
  <c r="CR38" i="13"/>
  <c r="CR37" i="13"/>
  <c r="CP37" i="13"/>
  <c r="CR36" i="13"/>
  <c r="CP36" i="13"/>
  <c r="CR35" i="13"/>
  <c r="CP35" i="13"/>
  <c r="CR34" i="13"/>
  <c r="CP34" i="13"/>
  <c r="CR33" i="13"/>
  <c r="CP33" i="13"/>
  <c r="CR32" i="13"/>
  <c r="CP32" i="13"/>
  <c r="CR31" i="13"/>
  <c r="CP31" i="13"/>
  <c r="CR30" i="13"/>
  <c r="CP30" i="13"/>
  <c r="CR29" i="13"/>
  <c r="CP29" i="13"/>
  <c r="CR28" i="13"/>
  <c r="CP28" i="13"/>
  <c r="CR27" i="13"/>
  <c r="CP27" i="13"/>
  <c r="CR26" i="13"/>
  <c r="CP26" i="13"/>
  <c r="CR25" i="13"/>
  <c r="CP25" i="13"/>
  <c r="CR24" i="13"/>
  <c r="CP24" i="13"/>
  <c r="CR23" i="13"/>
  <c r="CP23" i="13"/>
  <c r="CR22" i="13"/>
  <c r="CP22" i="13"/>
  <c r="CR21" i="13"/>
  <c r="CP21" i="13"/>
  <c r="CD21" i="13"/>
  <c r="CB21" i="13"/>
  <c r="CP13" i="13"/>
  <c r="CR13" i="13"/>
  <c r="CP14" i="13"/>
  <c r="CR14" i="13"/>
  <c r="CP15" i="13"/>
  <c r="CR15" i="13"/>
  <c r="CP16" i="13"/>
  <c r="CR16" i="13"/>
  <c r="CP17" i="13"/>
  <c r="CR17" i="13"/>
  <c r="CR12" i="13"/>
  <c r="CB13" i="13"/>
  <c r="CD13" i="13"/>
  <c r="CB14" i="13"/>
  <c r="CD14" i="13"/>
  <c r="CB15" i="13"/>
  <c r="CD15" i="13"/>
  <c r="CB16" i="13"/>
  <c r="CD16" i="13"/>
  <c r="CB17" i="13"/>
  <c r="CD17" i="13"/>
  <c r="Q335" i="13"/>
  <c r="R335" i="13"/>
  <c r="S335" i="13"/>
  <c r="T335" i="13"/>
  <c r="U335" i="13"/>
  <c r="V335" i="13"/>
  <c r="W335" i="13"/>
  <c r="P335" i="13"/>
  <c r="Q333" i="13"/>
  <c r="P333" i="13"/>
  <c r="P334" i="13"/>
  <c r="K335" i="13"/>
  <c r="L335" i="13"/>
  <c r="M335" i="13"/>
  <c r="N335" i="13"/>
  <c r="O335" i="13"/>
  <c r="J335" i="13"/>
  <c r="I335" i="13"/>
  <c r="H335" i="13"/>
  <c r="H334" i="13"/>
  <c r="H333" i="13"/>
  <c r="H332" i="13"/>
  <c r="H331" i="13"/>
  <c r="H330" i="13"/>
  <c r="CB250" i="13"/>
  <c r="AL174" i="13"/>
  <c r="L174" i="13"/>
  <c r="H174" i="13"/>
  <c r="N158" i="13"/>
  <c r="M158" i="13" a="1"/>
  <c r="M158" i="13" s="1"/>
  <c r="K158" i="13"/>
  <c r="H158" i="13"/>
  <c r="G158" i="13"/>
  <c r="D158" i="13"/>
  <c r="AY143" i="13"/>
  <c r="AU143" i="13"/>
  <c r="AV143" i="13"/>
  <c r="AW143" i="13"/>
  <c r="AX143" i="13"/>
  <c r="AT143" i="13"/>
  <c r="AS143" i="13"/>
  <c r="AR143" i="13"/>
  <c r="AQ143" i="13"/>
  <c r="AP143" i="13"/>
  <c r="AC143" i="13"/>
  <c r="AB143" i="13"/>
  <c r="AA143" i="13"/>
  <c r="Z143" i="13"/>
  <c r="R143" i="13"/>
  <c r="H143" i="13"/>
  <c r="CC91" i="13"/>
  <c r="CC64" i="13"/>
  <c r="CQ22" i="13"/>
  <c r="CQ34" i="13"/>
  <c r="CV193" i="13"/>
  <c r="CV194" i="13"/>
  <c r="CV195" i="13"/>
  <c r="F196" i="13"/>
  <c r="E196" i="13" s="1"/>
  <c r="CV192" i="13"/>
  <c r="AY335" i="13"/>
  <c r="AX335" i="13"/>
  <c r="AV335" i="13"/>
  <c r="AU335" i="13"/>
  <c r="AT335" i="13"/>
  <c r="AS335" i="13"/>
  <c r="AY334" i="13"/>
  <c r="AX334" i="13"/>
  <c r="AV334" i="13"/>
  <c r="AU334" i="13"/>
  <c r="AT334" i="13"/>
  <c r="AS334" i="13"/>
  <c r="W334" i="13"/>
  <c r="V334" i="13"/>
  <c r="U334" i="13"/>
  <c r="T334" i="13"/>
  <c r="S334" i="13"/>
  <c r="R334" i="13"/>
  <c r="Q334" i="13"/>
  <c r="O334" i="13"/>
  <c r="N334" i="13"/>
  <c r="M334" i="13"/>
  <c r="L334" i="13"/>
  <c r="K334" i="13"/>
  <c r="J334" i="13"/>
  <c r="I334" i="13"/>
  <c r="AY333" i="13"/>
  <c r="AX333" i="13"/>
  <c r="AV333" i="13"/>
  <c r="AU333" i="13"/>
  <c r="AT333" i="13"/>
  <c r="AS333" i="13"/>
  <c r="W333" i="13"/>
  <c r="V333" i="13"/>
  <c r="U333" i="13"/>
  <c r="T333" i="13"/>
  <c r="S333" i="13"/>
  <c r="R333" i="13"/>
  <c r="O333" i="13"/>
  <c r="N333" i="13"/>
  <c r="M333" i="13"/>
  <c r="L333" i="13"/>
  <c r="K333" i="13"/>
  <c r="J333" i="13"/>
  <c r="I333" i="13"/>
  <c r="AY332" i="13"/>
  <c r="AX332" i="13"/>
  <c r="AV332" i="13"/>
  <c r="AU332" i="13"/>
  <c r="AT332" i="13"/>
  <c r="AS332" i="13"/>
  <c r="W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AY331" i="13"/>
  <c r="AX331" i="13"/>
  <c r="AV331" i="13"/>
  <c r="AU331" i="13"/>
  <c r="AT331" i="13"/>
  <c r="AS331" i="13"/>
  <c r="AR331" i="13"/>
  <c r="W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AY330" i="13"/>
  <c r="AX330" i="13"/>
  <c r="AV330" i="13"/>
  <c r="AU330" i="13"/>
  <c r="AT330" i="13"/>
  <c r="AS330" i="13"/>
  <c r="AR330" i="13"/>
  <c r="AQ330" i="13"/>
  <c r="AP330" i="13"/>
  <c r="W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CV226" i="13"/>
  <c r="CV225" i="13"/>
  <c r="CV223" i="13"/>
  <c r="AY201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AY183" i="13"/>
  <c r="AX183" i="13"/>
  <c r="AW183" i="13"/>
  <c r="AV183" i="13"/>
  <c r="AU183" i="13"/>
  <c r="AT183" i="13"/>
  <c r="AS183" i="13"/>
  <c r="AR183" i="13"/>
  <c r="AQ183" i="13"/>
  <c r="AO183" i="13"/>
  <c r="AM183" i="13"/>
  <c r="AK183" i="13"/>
  <c r="AI183" i="13"/>
  <c r="AG183" i="13"/>
  <c r="AE183" i="13"/>
  <c r="CV181" i="13"/>
  <c r="CV180" i="13"/>
  <c r="CS179" i="13"/>
  <c r="AY174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K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K174" i="13"/>
  <c r="J174" i="13"/>
  <c r="I174" i="13"/>
  <c r="O158" i="13"/>
  <c r="L158" i="13"/>
  <c r="I158" i="13"/>
  <c r="F158" i="13"/>
  <c r="E158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Y143" i="13"/>
  <c r="X143" i="13"/>
  <c r="W143" i="13"/>
  <c r="V143" i="13"/>
  <c r="U143" i="13"/>
  <c r="T143" i="13"/>
  <c r="S143" i="13"/>
  <c r="Q143" i="13"/>
  <c r="P143" i="13"/>
  <c r="O143" i="13"/>
  <c r="N143" i="13"/>
  <c r="M143" i="13"/>
  <c r="L143" i="13"/>
  <c r="K143" i="13"/>
  <c r="J143" i="13"/>
  <c r="I143" i="13"/>
  <c r="CB78" i="13"/>
  <c r="P78" i="13" s="1"/>
  <c r="CB77" i="13"/>
  <c r="P77" i="13" s="1"/>
  <c r="CB74" i="13"/>
  <c r="P74" i="13" s="1"/>
  <c r="CB73" i="13"/>
  <c r="P73" i="13" s="1"/>
  <c r="CQ38" i="13"/>
  <c r="CC17" i="13"/>
  <c r="CQ16" i="13"/>
  <c r="CQ15" i="13"/>
  <c r="CC14" i="13"/>
  <c r="CQ13" i="13"/>
  <c r="CB75" i="13" l="1"/>
  <c r="P75" i="13" s="1"/>
  <c r="CB79" i="13"/>
  <c r="P79" i="13" s="1"/>
  <c r="CQ12" i="13"/>
  <c r="CC12" i="13"/>
  <c r="CU191" i="13"/>
  <c r="CG191" i="13"/>
  <c r="CC44" i="13"/>
  <c r="CQ44" i="13"/>
  <c r="CB80" i="13"/>
  <c r="P80" i="13" s="1"/>
  <c r="CB81" i="13"/>
  <c r="P81" i="13" s="1"/>
  <c r="CB76" i="13"/>
  <c r="P76" i="13" s="1"/>
  <c r="CB72" i="32"/>
  <c r="CV182" i="13"/>
  <c r="CB72" i="13"/>
  <c r="P72" i="13" s="1"/>
  <c r="CB71" i="13"/>
  <c r="P71" i="13" s="1"/>
  <c r="CP71" i="13"/>
  <c r="M241" i="13"/>
  <c r="CC244" i="13"/>
  <c r="CD244" i="13"/>
  <c r="CB244" i="13"/>
  <c r="CE244" i="13"/>
  <c r="CF244" i="13"/>
  <c r="CV179" i="13"/>
  <c r="CU187" i="13"/>
  <c r="CV187" i="13"/>
  <c r="CV222" i="13"/>
  <c r="CU222" i="13"/>
  <c r="CV200" i="13"/>
  <c r="CU200" i="13"/>
  <c r="CB342" i="13"/>
  <c r="AT342" i="13" s="1"/>
  <c r="CP342" i="13"/>
  <c r="CU188" i="13"/>
  <c r="CV188" i="13"/>
  <c r="CT271" i="13"/>
  <c r="CU199" i="13"/>
  <c r="CV199" i="13"/>
  <c r="CU189" i="13"/>
  <c r="CV189" i="13"/>
  <c r="CU224" i="13"/>
  <c r="CV224" i="13"/>
  <c r="CP343" i="13"/>
  <c r="CB343" i="13"/>
  <c r="AT343" i="13" s="1"/>
  <c r="CU198" i="13"/>
  <c r="CV198" i="13"/>
  <c r="CU197" i="13"/>
  <c r="CV197" i="13"/>
  <c r="CV186" i="13"/>
  <c r="CU186" i="13"/>
  <c r="CV191" i="13"/>
  <c r="CB341" i="13"/>
  <c r="AT341" i="13" s="1"/>
  <c r="CP341" i="13"/>
  <c r="CV196" i="13"/>
  <c r="CU196" i="13"/>
  <c r="CV190" i="13"/>
  <c r="CU190" i="13"/>
  <c r="CU184" i="13"/>
  <c r="CV184" i="13"/>
  <c r="CB344" i="13"/>
  <c r="AT344" i="13" s="1"/>
  <c r="CP344" i="13"/>
  <c r="CU185" i="13"/>
  <c r="CV185" i="13"/>
  <c r="CF294" i="13"/>
  <c r="CP340" i="13"/>
  <c r="CB340" i="13"/>
  <c r="AT340" i="13" s="1"/>
  <c r="CT294" i="13"/>
  <c r="CU294" i="13"/>
  <c r="CE294" i="13"/>
  <c r="CX294" i="13"/>
  <c r="DA294" i="13"/>
  <c r="CM294" i="13"/>
  <c r="CP258" i="13"/>
  <c r="CB258" i="13"/>
  <c r="CP308" i="13"/>
  <c r="CB308" i="13"/>
  <c r="CP81" i="13"/>
  <c r="CC101" i="13"/>
  <c r="CQ101" i="13"/>
  <c r="CC133" i="13"/>
  <c r="CQ133" i="13"/>
  <c r="CP251" i="13"/>
  <c r="CB251" i="13"/>
  <c r="CB296" i="13"/>
  <c r="CP296" i="13"/>
  <c r="CP329" i="13"/>
  <c r="CB329" i="13"/>
  <c r="CW223" i="13"/>
  <c r="CH223" i="13"/>
  <c r="CR223" i="13"/>
  <c r="CQ223" i="13"/>
  <c r="CI223" i="13"/>
  <c r="CE223" i="13"/>
  <c r="CD223" i="13"/>
  <c r="CC223" i="13"/>
  <c r="CT223" i="13"/>
  <c r="CS223" i="13"/>
  <c r="CF223" i="13"/>
  <c r="CF271" i="13"/>
  <c r="CM271" i="13"/>
  <c r="CZ271" i="13"/>
  <c r="CL271" i="13"/>
  <c r="CJ271" i="13"/>
  <c r="CP292" i="13"/>
  <c r="CB292" i="13"/>
  <c r="CP317" i="13"/>
  <c r="CB317" i="13"/>
  <c r="CQ114" i="13"/>
  <c r="CC114" i="13"/>
  <c r="CQ97" i="13"/>
  <c r="CC97" i="13"/>
  <c r="CQ116" i="13"/>
  <c r="CC116" i="13"/>
  <c r="CQ134" i="13"/>
  <c r="CC134" i="13"/>
  <c r="CQ166" i="13"/>
  <c r="CC166" i="13"/>
  <c r="CR203" i="13"/>
  <c r="CC203" i="13"/>
  <c r="CG224" i="13"/>
  <c r="CF224" i="13"/>
  <c r="CS224" i="13"/>
  <c r="CD224" i="13"/>
  <c r="CH224" i="13"/>
  <c r="CE224" i="13"/>
  <c r="CC224" i="13"/>
  <c r="CW224" i="13"/>
  <c r="CT224" i="13"/>
  <c r="CR224" i="13"/>
  <c r="CQ224" i="13"/>
  <c r="CI224" i="13"/>
  <c r="CP252" i="13"/>
  <c r="CB252" i="13"/>
  <c r="CP256" i="13"/>
  <c r="CB256" i="13"/>
  <c r="CB262" i="13"/>
  <c r="CP262" i="13"/>
  <c r="CP266" i="13"/>
  <c r="CB266" i="13"/>
  <c r="CP283" i="13"/>
  <c r="CB283" i="13"/>
  <c r="CP297" i="13"/>
  <c r="CB297" i="13"/>
  <c r="CS199" i="13"/>
  <c r="CD199" i="13"/>
  <c r="CG199" i="13"/>
  <c r="CQ199" i="13"/>
  <c r="CH199" i="13"/>
  <c r="CW199" i="13"/>
  <c r="CE199" i="13"/>
  <c r="CC199" i="13"/>
  <c r="CT199" i="13"/>
  <c r="CR199" i="13"/>
  <c r="CI199" i="13"/>
  <c r="CF199" i="13"/>
  <c r="CP300" i="13"/>
  <c r="CB300" i="13"/>
  <c r="CP303" i="13"/>
  <c r="CB303" i="13"/>
  <c r="CB312" i="13"/>
  <c r="CP312" i="13"/>
  <c r="CI48" i="13"/>
  <c r="CC48" i="13"/>
  <c r="CQ48" i="13"/>
  <c r="CQ106" i="13"/>
  <c r="CC106" i="13"/>
  <c r="CQ137" i="13"/>
  <c r="CC137" i="13"/>
  <c r="CP255" i="13"/>
  <c r="CB255" i="13"/>
  <c r="CT192" i="13"/>
  <c r="CD192" i="13"/>
  <c r="CQ192" i="13"/>
  <c r="CS192" i="13"/>
  <c r="CI192" i="13"/>
  <c r="CH192" i="13"/>
  <c r="CF192" i="13"/>
  <c r="CE192" i="13"/>
  <c r="CC192" i="13"/>
  <c r="CW192" i="13"/>
  <c r="CR192" i="13"/>
  <c r="CQ163" i="13"/>
  <c r="CC163" i="13"/>
  <c r="CC38" i="13"/>
  <c r="CI49" i="13"/>
  <c r="CC49" i="13"/>
  <c r="CQ49" i="13"/>
  <c r="CP321" i="13"/>
  <c r="CB321" i="13"/>
  <c r="CW200" i="13"/>
  <c r="CH200" i="13"/>
  <c r="CT200" i="13"/>
  <c r="CE200" i="13"/>
  <c r="CD200" i="13"/>
  <c r="CS200" i="13"/>
  <c r="CR200" i="13"/>
  <c r="CQ200" i="13"/>
  <c r="CI200" i="13"/>
  <c r="CF200" i="13"/>
  <c r="CC200" i="13"/>
  <c r="CG200" i="13"/>
  <c r="CQ64" i="13"/>
  <c r="CQ122" i="13"/>
  <c r="CC122" i="13"/>
  <c r="CP74" i="13"/>
  <c r="CP78" i="13"/>
  <c r="CC102" i="13"/>
  <c r="CQ102" i="13"/>
  <c r="CQ124" i="13"/>
  <c r="CC124" i="13"/>
  <c r="CQ138" i="13"/>
  <c r="CC138" i="13"/>
  <c r="CQ170" i="13"/>
  <c r="CC170" i="13"/>
  <c r="CG189" i="13"/>
  <c r="CW189" i="13"/>
  <c r="CF189" i="13"/>
  <c r="CS189" i="13"/>
  <c r="CD189" i="13"/>
  <c r="CR189" i="13"/>
  <c r="CC189" i="13"/>
  <c r="AZ189" i="13" s="1"/>
  <c r="CQ189" i="13"/>
  <c r="CI189" i="13"/>
  <c r="CH189" i="13"/>
  <c r="CE189" i="13"/>
  <c r="CT189" i="13"/>
  <c r="CC50" i="13"/>
  <c r="CQ50" i="13"/>
  <c r="CF180" i="13"/>
  <c r="CI180" i="13"/>
  <c r="CE180" i="13"/>
  <c r="CH180" i="13"/>
  <c r="CQ180" i="13"/>
  <c r="CR180" i="13"/>
  <c r="CS180" i="13"/>
  <c r="CT180" i="13"/>
  <c r="CC180" i="13"/>
  <c r="AZ180" i="13" s="1"/>
  <c r="CW180" i="13"/>
  <c r="CD180" i="13"/>
  <c r="CQ190" i="13"/>
  <c r="CG190" i="13"/>
  <c r="CW190" i="13"/>
  <c r="CH190" i="13"/>
  <c r="CF190" i="13"/>
  <c r="CT190" i="13"/>
  <c r="CS190" i="13"/>
  <c r="CR190" i="13"/>
  <c r="CI190" i="13"/>
  <c r="CE190" i="13"/>
  <c r="CD190" i="13"/>
  <c r="CC190" i="13"/>
  <c r="CR225" i="13"/>
  <c r="CC225" i="13"/>
  <c r="CI225" i="13"/>
  <c r="CS225" i="13"/>
  <c r="CQ225" i="13"/>
  <c r="CH225" i="13"/>
  <c r="CF225" i="13"/>
  <c r="CE225" i="13"/>
  <c r="CD225" i="13"/>
  <c r="CW225" i="13"/>
  <c r="CT225" i="13"/>
  <c r="CP242" i="13"/>
  <c r="CR242" i="13"/>
  <c r="CB242" i="13"/>
  <c r="CS242" i="13"/>
  <c r="CC242" i="13"/>
  <c r="CE242" i="13"/>
  <c r="CF242" i="13"/>
  <c r="CQ242" i="13"/>
  <c r="CT242" i="13"/>
  <c r="CD242" i="13"/>
  <c r="CP289" i="13"/>
  <c r="CB289" i="13"/>
  <c r="CP293" i="13"/>
  <c r="CB293" i="13"/>
  <c r="CB314" i="13"/>
  <c r="CP314" i="13"/>
  <c r="CP318" i="13"/>
  <c r="CB318" i="13"/>
  <c r="CB322" i="13"/>
  <c r="CP322" i="13"/>
  <c r="CP326" i="13"/>
  <c r="CB326" i="13"/>
  <c r="CW198" i="13"/>
  <c r="CH198" i="13"/>
  <c r="CG198" i="13"/>
  <c r="CQ198" i="13"/>
  <c r="CF198" i="13"/>
  <c r="CE198" i="13"/>
  <c r="CD198" i="13"/>
  <c r="CT198" i="13"/>
  <c r="CC198" i="13"/>
  <c r="CS198" i="13"/>
  <c r="CI198" i="13"/>
  <c r="CR198" i="13"/>
  <c r="CQ113" i="13"/>
  <c r="CC113" i="13"/>
  <c r="CC118" i="13"/>
  <c r="CQ118" i="13"/>
  <c r="CQ126" i="13"/>
  <c r="CC126" i="13"/>
  <c r="CP269" i="13"/>
  <c r="CB269" i="13"/>
  <c r="CP311" i="13"/>
  <c r="CB311" i="13"/>
  <c r="CP307" i="13"/>
  <c r="CB307" i="13"/>
  <c r="CQ100" i="13"/>
  <c r="CC100" i="13"/>
  <c r="CQ96" i="13"/>
  <c r="CC96" i="13"/>
  <c r="CQ123" i="13"/>
  <c r="CC123" i="13"/>
  <c r="CC169" i="13"/>
  <c r="CQ169" i="13"/>
  <c r="CW222" i="13"/>
  <c r="CI222" i="13"/>
  <c r="CH222" i="13"/>
  <c r="CT222" i="13"/>
  <c r="CF222" i="13"/>
  <c r="CG222" i="13"/>
  <c r="CE222" i="13"/>
  <c r="CD222" i="13"/>
  <c r="CC222" i="13"/>
  <c r="CS222" i="13"/>
  <c r="CR222" i="13"/>
  <c r="CQ222" i="13"/>
  <c r="CP265" i="13"/>
  <c r="CB265" i="13"/>
  <c r="CQ193" i="13"/>
  <c r="CI193" i="13"/>
  <c r="CR193" i="13"/>
  <c r="CH193" i="13"/>
  <c r="CF193" i="13"/>
  <c r="CW193" i="13"/>
  <c r="CE193" i="13"/>
  <c r="CD193" i="13"/>
  <c r="CT193" i="13"/>
  <c r="CC193" i="13"/>
  <c r="CS193" i="13"/>
  <c r="CB304" i="13"/>
  <c r="CP304" i="13"/>
  <c r="CR188" i="13"/>
  <c r="CC188" i="13"/>
  <c r="CI188" i="13"/>
  <c r="CS188" i="13"/>
  <c r="CG188" i="13"/>
  <c r="CQ188" i="13"/>
  <c r="CH188" i="13"/>
  <c r="CF188" i="13"/>
  <c r="CE188" i="13"/>
  <c r="CW188" i="13"/>
  <c r="CD188" i="13"/>
  <c r="CT188" i="13"/>
  <c r="CP287" i="13"/>
  <c r="CB287" i="13"/>
  <c r="CP313" i="13"/>
  <c r="CB313" i="13"/>
  <c r="CP325" i="13"/>
  <c r="CB325" i="13"/>
  <c r="CC110" i="13"/>
  <c r="CQ110" i="13"/>
  <c r="CQ92" i="13"/>
  <c r="CC92" i="13"/>
  <c r="CQ107" i="13"/>
  <c r="CC107" i="13"/>
  <c r="CQ130" i="13"/>
  <c r="CC130" i="13"/>
  <c r="CQ142" i="13"/>
  <c r="CC142" i="13"/>
  <c r="CR179" i="13"/>
  <c r="CI179" i="13"/>
  <c r="CC179" i="13"/>
  <c r="CT179" i="13"/>
  <c r="CQ179" i="13"/>
  <c r="CH179" i="13"/>
  <c r="CF179" i="13"/>
  <c r="CE179" i="13"/>
  <c r="CW179" i="13"/>
  <c r="CD179" i="13"/>
  <c r="CC45" i="13"/>
  <c r="CQ45" i="13"/>
  <c r="CP75" i="13"/>
  <c r="CP79" i="13"/>
  <c r="CC93" i="13"/>
  <c r="CQ93" i="13"/>
  <c r="CQ98" i="13"/>
  <c r="CC98" i="13"/>
  <c r="CC103" i="13"/>
  <c r="CQ103" i="13"/>
  <c r="CQ108" i="13"/>
  <c r="CC108" i="13"/>
  <c r="CQ117" i="13"/>
  <c r="CC117" i="13"/>
  <c r="CQ125" i="13"/>
  <c r="CC125" i="13"/>
  <c r="CQ131" i="13"/>
  <c r="CC131" i="13"/>
  <c r="CQ135" i="13"/>
  <c r="CC135" i="13"/>
  <c r="CQ139" i="13"/>
  <c r="CC139" i="13"/>
  <c r="CC167" i="13"/>
  <c r="CQ167" i="13"/>
  <c r="CQ171" i="13"/>
  <c r="CC171" i="13"/>
  <c r="CC181" i="13"/>
  <c r="CR181" i="13"/>
  <c r="CD181" i="13"/>
  <c r="CS181" i="13"/>
  <c r="CF181" i="13"/>
  <c r="CH181" i="13"/>
  <c r="CI181" i="13"/>
  <c r="CQ181" i="13"/>
  <c r="CT181" i="13"/>
  <c r="CW181" i="13"/>
  <c r="CE181" i="13"/>
  <c r="CE191" i="13"/>
  <c r="CT191" i="13"/>
  <c r="CD191" i="13"/>
  <c r="CR191" i="13"/>
  <c r="CQ191" i="13"/>
  <c r="CW191" i="13"/>
  <c r="CS191" i="13"/>
  <c r="CI191" i="13"/>
  <c r="CH191" i="13"/>
  <c r="CF191" i="13"/>
  <c r="CC191" i="13"/>
  <c r="CF226" i="13"/>
  <c r="CR226" i="13"/>
  <c r="CC226" i="13"/>
  <c r="CI226" i="13"/>
  <c r="CE226" i="13"/>
  <c r="CS226" i="13"/>
  <c r="CQ226" i="13"/>
  <c r="CH226" i="13"/>
  <c r="CD226" i="13"/>
  <c r="CW226" i="13"/>
  <c r="CT226" i="13"/>
  <c r="CE243" i="13"/>
  <c r="CP243" i="13"/>
  <c r="CQ243" i="13"/>
  <c r="CD243" i="13"/>
  <c r="CR243" i="13"/>
  <c r="CS243" i="13"/>
  <c r="CT243" i="13"/>
  <c r="CB243" i="13"/>
  <c r="CC243" i="13"/>
  <c r="CF243" i="13"/>
  <c r="CP253" i="13"/>
  <c r="CB253" i="13"/>
  <c r="CP259" i="13"/>
  <c r="CB259" i="13"/>
  <c r="CP263" i="13"/>
  <c r="CB263" i="13"/>
  <c r="CP267" i="13"/>
  <c r="CB267" i="13"/>
  <c r="CP284" i="13"/>
  <c r="CB284" i="13"/>
  <c r="CB298" i="13"/>
  <c r="CP298" i="13"/>
  <c r="CF197" i="13"/>
  <c r="CS197" i="13"/>
  <c r="CD197" i="13"/>
  <c r="CR197" i="13"/>
  <c r="CI197" i="13"/>
  <c r="CH197" i="13"/>
  <c r="CE197" i="13"/>
  <c r="CW197" i="13"/>
  <c r="CC197" i="13"/>
  <c r="CT197" i="13"/>
  <c r="CQ197" i="13"/>
  <c r="CG197" i="13"/>
  <c r="CQ119" i="13"/>
  <c r="CC119" i="13"/>
  <c r="CP250" i="13"/>
  <c r="CP285" i="13"/>
  <c r="CB285" i="13"/>
  <c r="CB306" i="13"/>
  <c r="CP306" i="13"/>
  <c r="CP302" i="13"/>
  <c r="CB302" i="13"/>
  <c r="CP77" i="13"/>
  <c r="CQ129" i="13"/>
  <c r="CC129" i="13"/>
  <c r="CQ165" i="13"/>
  <c r="CC165" i="13"/>
  <c r="CR196" i="13"/>
  <c r="CC196" i="13"/>
  <c r="CD196" i="13"/>
  <c r="CG196" i="13"/>
  <c r="CS196" i="13"/>
  <c r="CQ196" i="13"/>
  <c r="CI196" i="13"/>
  <c r="CH196" i="13"/>
  <c r="CF196" i="13"/>
  <c r="CW196" i="13"/>
  <c r="CT196" i="13"/>
  <c r="CE196" i="13"/>
  <c r="CQ91" i="13"/>
  <c r="CQ112" i="13"/>
  <c r="CC112" i="13"/>
  <c r="CQ128" i="13"/>
  <c r="CC128" i="13"/>
  <c r="CP310" i="13"/>
  <c r="CB310" i="13"/>
  <c r="CP73" i="13"/>
  <c r="CC115" i="13"/>
  <c r="CQ115" i="13"/>
  <c r="CQ141" i="13"/>
  <c r="CC141" i="13"/>
  <c r="CQ173" i="13"/>
  <c r="CC173" i="13"/>
  <c r="CI187" i="13"/>
  <c r="CF187" i="13"/>
  <c r="CG187" i="13"/>
  <c r="CT187" i="13"/>
  <c r="CE187" i="13"/>
  <c r="CR187" i="13"/>
  <c r="CQ187" i="13"/>
  <c r="CH187" i="13"/>
  <c r="CD187" i="13"/>
  <c r="CC187" i="13"/>
  <c r="CW187" i="13"/>
  <c r="CS187" i="13"/>
  <c r="CP261" i="13"/>
  <c r="CB261" i="13"/>
  <c r="CB282" i="13"/>
  <c r="CP282" i="13"/>
  <c r="CP294" i="13"/>
  <c r="CB294" i="13"/>
  <c r="CC94" i="13"/>
  <c r="CQ94" i="13"/>
  <c r="CD182" i="13"/>
  <c r="CS182" i="13"/>
  <c r="CF182" i="13"/>
  <c r="CH182" i="13"/>
  <c r="CW182" i="13"/>
  <c r="CE182" i="13"/>
  <c r="CI182" i="13"/>
  <c r="CQ182" i="13"/>
  <c r="CR182" i="13"/>
  <c r="CT182" i="13"/>
  <c r="CC182" i="13"/>
  <c r="CG184" i="13"/>
  <c r="CW184" i="13"/>
  <c r="CH184" i="13"/>
  <c r="CT184" i="13"/>
  <c r="CE184" i="13"/>
  <c r="CS184" i="13"/>
  <c r="CD184" i="13"/>
  <c r="CR184" i="13"/>
  <c r="CQ184" i="13"/>
  <c r="CI184" i="13"/>
  <c r="CF184" i="13"/>
  <c r="CC184" i="13"/>
  <c r="G201" i="13"/>
  <c r="CT244" i="13"/>
  <c r="CQ244" i="13"/>
  <c r="CS244" i="13"/>
  <c r="CP244" i="13"/>
  <c r="CR244" i="13"/>
  <c r="CB290" i="13"/>
  <c r="CP290" i="13"/>
  <c r="CP315" i="13"/>
  <c r="CB315" i="13"/>
  <c r="CP319" i="13"/>
  <c r="CB319" i="13"/>
  <c r="CP323" i="13"/>
  <c r="CB323" i="13"/>
  <c r="CP327" i="13"/>
  <c r="CB327" i="13"/>
  <c r="CC46" i="13"/>
  <c r="CQ46" i="13"/>
  <c r="CP76" i="13"/>
  <c r="CP80" i="13"/>
  <c r="CC95" i="13"/>
  <c r="CQ95" i="13"/>
  <c r="CC99" i="13"/>
  <c r="CQ99" i="13"/>
  <c r="CQ105" i="13"/>
  <c r="CC105" i="13"/>
  <c r="CQ109" i="13"/>
  <c r="CC109" i="13"/>
  <c r="CQ120" i="13"/>
  <c r="CC120" i="13"/>
  <c r="CQ127" i="13"/>
  <c r="CC127" i="13"/>
  <c r="CQ132" i="13"/>
  <c r="CC132" i="13"/>
  <c r="CQ136" i="13"/>
  <c r="CC136" i="13"/>
  <c r="CQ140" i="13"/>
  <c r="CC140" i="13"/>
  <c r="CQ164" i="13"/>
  <c r="CC164" i="13"/>
  <c r="CQ168" i="13"/>
  <c r="CC168" i="13"/>
  <c r="CQ172" i="13"/>
  <c r="CC172" i="13"/>
  <c r="CQ185" i="13"/>
  <c r="CG185" i="13"/>
  <c r="CI185" i="13"/>
  <c r="CW185" i="13"/>
  <c r="CH185" i="13"/>
  <c r="CS185" i="13"/>
  <c r="CR185" i="13"/>
  <c r="CF185" i="13"/>
  <c r="CE185" i="13"/>
  <c r="CD185" i="13"/>
  <c r="CC185" i="13"/>
  <c r="CT185" i="13"/>
  <c r="F201" i="13"/>
  <c r="CC233" i="13"/>
  <c r="CS245" i="13"/>
  <c r="CB245" i="13"/>
  <c r="CD245" i="13"/>
  <c r="CE245" i="13"/>
  <c r="CT245" i="13"/>
  <c r="CC245" i="13"/>
  <c r="CF245" i="13"/>
  <c r="CP245" i="13"/>
  <c r="CQ245" i="13"/>
  <c r="CR245" i="13"/>
  <c r="CB254" i="13"/>
  <c r="CP254" i="13"/>
  <c r="CP260" i="13"/>
  <c r="CB260" i="13"/>
  <c r="CP264" i="13"/>
  <c r="CB264" i="13"/>
  <c r="CB268" i="13"/>
  <c r="CP268" i="13"/>
  <c r="CP295" i="13"/>
  <c r="CB295" i="13"/>
  <c r="CP299" i="13"/>
  <c r="CB299" i="13"/>
  <c r="CI195" i="13"/>
  <c r="CF195" i="13"/>
  <c r="CE195" i="13"/>
  <c r="CT195" i="13"/>
  <c r="CC195" i="13"/>
  <c r="CS195" i="13"/>
  <c r="CR195" i="13"/>
  <c r="CQ195" i="13"/>
  <c r="CD195" i="13"/>
  <c r="CW195" i="13"/>
  <c r="CH195" i="13"/>
  <c r="CB288" i="13"/>
  <c r="CP288" i="13"/>
  <c r="CP305" i="13"/>
  <c r="CB305" i="13"/>
  <c r="CP301" i="13"/>
  <c r="CB301" i="13"/>
  <c r="CQ47" i="13"/>
  <c r="CC47" i="13"/>
  <c r="CT186" i="13"/>
  <c r="CE186" i="13"/>
  <c r="CG186" i="13"/>
  <c r="CR186" i="13"/>
  <c r="CC186" i="13"/>
  <c r="CQ186" i="13"/>
  <c r="CS186" i="13"/>
  <c r="CI186" i="13"/>
  <c r="CH186" i="13"/>
  <c r="CF186" i="13"/>
  <c r="CD186" i="13"/>
  <c r="CW186" i="13"/>
  <c r="CQ233" i="13"/>
  <c r="CP286" i="13"/>
  <c r="CB286" i="13"/>
  <c r="CP291" i="13"/>
  <c r="CB291" i="13"/>
  <c r="CJ302" i="13"/>
  <c r="CW302" i="13"/>
  <c r="CX302" i="13"/>
  <c r="CU302" i="13"/>
  <c r="CI302" i="13"/>
  <c r="DA302" i="13"/>
  <c r="CZ302" i="13"/>
  <c r="CM302" i="13"/>
  <c r="CL302" i="13"/>
  <c r="CG302" i="13"/>
  <c r="CP316" i="13"/>
  <c r="CB316" i="13"/>
  <c r="CB320" i="13"/>
  <c r="CP320" i="13"/>
  <c r="CP324" i="13"/>
  <c r="CB324" i="13"/>
  <c r="CB328" i="13"/>
  <c r="CP328" i="13"/>
  <c r="CT194" i="13"/>
  <c r="CE194" i="13"/>
  <c r="CR194" i="13"/>
  <c r="CC194" i="13"/>
  <c r="CI194" i="13"/>
  <c r="CF194" i="13"/>
  <c r="CW194" i="13"/>
  <c r="CD194" i="13"/>
  <c r="CS194" i="13"/>
  <c r="CQ194" i="13"/>
  <c r="CH194" i="13"/>
  <c r="CQ104" i="13"/>
  <c r="CC104" i="13"/>
  <c r="CQ111" i="13"/>
  <c r="CC111" i="13"/>
  <c r="CQ121" i="13"/>
  <c r="CC121" i="13"/>
  <c r="CP257" i="13"/>
  <c r="CB257" i="13"/>
  <c r="CP309" i="13"/>
  <c r="CB309" i="13"/>
  <c r="CP72" i="13"/>
  <c r="CC34" i="13"/>
  <c r="CC22" i="13"/>
  <c r="CV220" i="13"/>
  <c r="CC16" i="13"/>
  <c r="C158" i="13"/>
  <c r="G331" i="13"/>
  <c r="CQ17" i="13"/>
  <c r="CQ14" i="13"/>
  <c r="G330" i="13"/>
  <c r="F174" i="13"/>
  <c r="G174" i="13"/>
  <c r="G143" i="13"/>
  <c r="CV211" i="13"/>
  <c r="CC13" i="13"/>
  <c r="CC15" i="13"/>
  <c r="J158" i="13"/>
  <c r="CV206" i="13"/>
  <c r="CV210" i="13"/>
  <c r="F334" i="13"/>
  <c r="G334" i="13"/>
  <c r="G332" i="13"/>
  <c r="F330" i="13"/>
  <c r="F335" i="13"/>
  <c r="CV269" i="13"/>
  <c r="CV205" i="13"/>
  <c r="CV216" i="13"/>
  <c r="CC234" i="13"/>
  <c r="CV267" i="13"/>
  <c r="G335" i="13"/>
  <c r="G333" i="13"/>
  <c r="CV268" i="13"/>
  <c r="F331" i="13"/>
  <c r="G183" i="13"/>
  <c r="E183" i="13" s="1"/>
  <c r="CV214" i="13"/>
  <c r="CV221" i="13"/>
  <c r="CV265" i="13"/>
  <c r="F332" i="13"/>
  <c r="F333" i="13"/>
  <c r="CV208" i="13"/>
  <c r="CV266" i="13"/>
  <c r="F143" i="13"/>
  <c r="CF38" i="13"/>
  <c r="AZ198" i="13" l="1"/>
  <c r="AZ186" i="13"/>
  <c r="AZ187" i="13"/>
  <c r="AZ193" i="13"/>
  <c r="CG12" i="13"/>
  <c r="CE12" i="13"/>
  <c r="CF12" i="13"/>
  <c r="CG294" i="13"/>
  <c r="CQ231" i="13"/>
  <c r="CB231" i="13"/>
  <c r="AZ190" i="13"/>
  <c r="AZ192" i="13"/>
  <c r="AZ181" i="13"/>
  <c r="AZ188" i="13"/>
  <c r="CT44" i="13"/>
  <c r="CF44" i="13"/>
  <c r="CS44" i="13"/>
  <c r="CE44" i="13"/>
  <c r="CW44" i="13"/>
  <c r="CV44" i="13"/>
  <c r="CH44" i="13"/>
  <c r="CU44" i="13"/>
  <c r="CG44" i="13"/>
  <c r="CI44" i="13"/>
  <c r="AZ195" i="13"/>
  <c r="AZ185" i="13"/>
  <c r="AZ184" i="13"/>
  <c r="AZ200" i="13"/>
  <c r="CW294" i="13"/>
  <c r="AZ197" i="13"/>
  <c r="AZ194" i="13"/>
  <c r="AZ191" i="13"/>
  <c r="AZ199" i="13"/>
  <c r="CZ294" i="13"/>
  <c r="CR294" i="13"/>
  <c r="CC231" i="13"/>
  <c r="AZ182" i="13"/>
  <c r="CI271" i="13"/>
  <c r="CU271" i="13"/>
  <c r="DA271" i="13"/>
  <c r="AZ302" i="13"/>
  <c r="E330" i="13"/>
  <c r="M242" i="13"/>
  <c r="M244" i="13"/>
  <c r="M243" i="13"/>
  <c r="M245" i="13"/>
  <c r="E201" i="13"/>
  <c r="AZ196" i="13"/>
  <c r="AZ225" i="13"/>
  <c r="AZ226" i="13"/>
  <c r="AZ224" i="13"/>
  <c r="AZ223" i="13"/>
  <c r="AZ222" i="13"/>
  <c r="AZ179" i="13"/>
  <c r="CU203" i="13"/>
  <c r="CV203" i="13"/>
  <c r="CU172" i="13"/>
  <c r="CV172" i="13"/>
  <c r="CU163" i="13"/>
  <c r="CV163" i="13"/>
  <c r="CV170" i="13"/>
  <c r="CU170" i="13"/>
  <c r="CQ203" i="13"/>
  <c r="CE203" i="13"/>
  <c r="CX271" i="13"/>
  <c r="CI294" i="13"/>
  <c r="CS294" i="13"/>
  <c r="CU207" i="13"/>
  <c r="CV207" i="13"/>
  <c r="CU202" i="13"/>
  <c r="CV202" i="13"/>
  <c r="CV280" i="13"/>
  <c r="CH280" i="13"/>
  <c r="CH281" i="13"/>
  <c r="CV281" i="13"/>
  <c r="CH277" i="13"/>
  <c r="CV277" i="13"/>
  <c r="CD203" i="13"/>
  <c r="CS203" i="13"/>
  <c r="CG271" i="13"/>
  <c r="CL294" i="13"/>
  <c r="CD294" i="13"/>
  <c r="CU213" i="13"/>
  <c r="CV213" i="13"/>
  <c r="CH278" i="13"/>
  <c r="CV278" i="13"/>
  <c r="CF203" i="13"/>
  <c r="CG203" i="13"/>
  <c r="CU165" i="13"/>
  <c r="CV165" i="13"/>
  <c r="CU173" i="13"/>
  <c r="CV173" i="13"/>
  <c r="CV276" i="13"/>
  <c r="CH276" i="13"/>
  <c r="CU171" i="13"/>
  <c r="CV171" i="13"/>
  <c r="CU169" i="13"/>
  <c r="CV169" i="13"/>
  <c r="CU264" i="13"/>
  <c r="CV264" i="13"/>
  <c r="CU219" i="13"/>
  <c r="CV219" i="13"/>
  <c r="CU167" i="13"/>
  <c r="CV167" i="13"/>
  <c r="CW203" i="13"/>
  <c r="CW271" i="13"/>
  <c r="CJ294" i="13"/>
  <c r="CU218" i="13"/>
  <c r="CV218" i="13"/>
  <c r="CU164" i="13"/>
  <c r="CV164" i="13"/>
  <c r="CV212" i="13"/>
  <c r="CU212" i="13"/>
  <c r="CH203" i="13"/>
  <c r="CU209" i="13"/>
  <c r="CV209" i="13"/>
  <c r="CU204" i="13"/>
  <c r="CV204" i="13"/>
  <c r="CU166" i="13"/>
  <c r="CV166" i="13"/>
  <c r="CI203" i="13"/>
  <c r="CU215" i="13"/>
  <c r="CV215" i="13"/>
  <c r="CV279" i="13"/>
  <c r="CH279" i="13"/>
  <c r="CU168" i="13"/>
  <c r="CV168" i="13"/>
  <c r="CV217" i="13"/>
  <c r="CU217" i="13"/>
  <c r="CT203" i="13"/>
  <c r="CU92" i="13"/>
  <c r="CJ92" i="13"/>
  <c r="CV92" i="13"/>
  <c r="CW92" i="13"/>
  <c r="CD92" i="13"/>
  <c r="CP92" i="13"/>
  <c r="CX92" i="13"/>
  <c r="CF92" i="13"/>
  <c r="CR92" i="13"/>
  <c r="CH92" i="13"/>
  <c r="CT92" i="13"/>
  <c r="CI92" i="13"/>
  <c r="CG92" i="13"/>
  <c r="CS312" i="13"/>
  <c r="CR312" i="13"/>
  <c r="CW312" i="13"/>
  <c r="CF312" i="13"/>
  <c r="CJ312" i="13"/>
  <c r="CE312" i="13"/>
  <c r="CT312" i="13"/>
  <c r="CD312" i="13"/>
  <c r="CZ312" i="13"/>
  <c r="CG312" i="13"/>
  <c r="DA312" i="13"/>
  <c r="CX312" i="13"/>
  <c r="CL312" i="13"/>
  <c r="CM312" i="13"/>
  <c r="CU312" i="13"/>
  <c r="CI312" i="13"/>
  <c r="CW274" i="13"/>
  <c r="CU274" i="13"/>
  <c r="CJ274" i="13"/>
  <c r="CI274" i="13"/>
  <c r="DA274" i="13"/>
  <c r="CZ274" i="13"/>
  <c r="CX274" i="13"/>
  <c r="CM274" i="13"/>
  <c r="CL274" i="13"/>
  <c r="CG274" i="13"/>
  <c r="CR113" i="13"/>
  <c r="CX113" i="13"/>
  <c r="CP113" i="13"/>
  <c r="CI113" i="13"/>
  <c r="CW113" i="13"/>
  <c r="CJ113" i="13"/>
  <c r="CV113" i="13"/>
  <c r="CU113" i="13"/>
  <c r="CT113" i="13"/>
  <c r="CD113" i="13"/>
  <c r="CG113" i="13"/>
  <c r="CH113" i="13"/>
  <c r="CF113" i="13"/>
  <c r="CY138" i="13"/>
  <c r="CU138" i="13"/>
  <c r="CX138" i="13"/>
  <c r="CF138" i="13"/>
  <c r="CR138" i="13"/>
  <c r="CP138" i="13"/>
  <c r="CT138" i="13"/>
  <c r="CV138" i="13"/>
  <c r="CJ138" i="13"/>
  <c r="CI138" i="13"/>
  <c r="CK138" i="13"/>
  <c r="CG138" i="13"/>
  <c r="CD138" i="13"/>
  <c r="CH138" i="13"/>
  <c r="CW138" i="13"/>
  <c r="CU48" i="13"/>
  <c r="CV48" i="13"/>
  <c r="CT48" i="13"/>
  <c r="CS48" i="13"/>
  <c r="CW48" i="13"/>
  <c r="CE48" i="13"/>
  <c r="CG48" i="13"/>
  <c r="CH48" i="13"/>
  <c r="CF48" i="13"/>
  <c r="CX106" i="13"/>
  <c r="CP106" i="13"/>
  <c r="CW106" i="13"/>
  <c r="CG106" i="13"/>
  <c r="CV106" i="13"/>
  <c r="CH106" i="13"/>
  <c r="CU106" i="13"/>
  <c r="CI106" i="13"/>
  <c r="CT106" i="13"/>
  <c r="CJ106" i="13"/>
  <c r="CR106" i="13"/>
  <c r="CD106" i="13"/>
  <c r="CF106" i="13"/>
  <c r="CG172" i="13"/>
  <c r="AZ172" i="13" s="1"/>
  <c r="CI172" i="13"/>
  <c r="CW172" i="13"/>
  <c r="CE172" i="13"/>
  <c r="CF172" i="13"/>
  <c r="CH172" i="13"/>
  <c r="CS172" i="13"/>
  <c r="CT172" i="13"/>
  <c r="CH214" i="13"/>
  <c r="CF214" i="13"/>
  <c r="CI214" i="13"/>
  <c r="CW214" i="13"/>
  <c r="CT214" i="13"/>
  <c r="CQ214" i="13"/>
  <c r="CC214" i="13"/>
  <c r="CI163" i="13"/>
  <c r="CW163" i="13"/>
  <c r="CH163" i="13"/>
  <c r="CG163" i="13"/>
  <c r="CF163" i="13"/>
  <c r="CE163" i="13"/>
  <c r="CS163" i="13"/>
  <c r="CT163" i="13"/>
  <c r="CM313" i="13"/>
  <c r="CF313" i="13"/>
  <c r="CZ313" i="13"/>
  <c r="CG313" i="13"/>
  <c r="CT313" i="13"/>
  <c r="CW313" i="13"/>
  <c r="CU313" i="13"/>
  <c r="DA313" i="13"/>
  <c r="CX313" i="13"/>
  <c r="CL313" i="13"/>
  <c r="CJ313" i="13"/>
  <c r="CI313" i="13"/>
  <c r="CH269" i="13"/>
  <c r="CZ269" i="13"/>
  <c r="CG269" i="13"/>
  <c r="CM269" i="13"/>
  <c r="CW269" i="13"/>
  <c r="CJ269" i="13"/>
  <c r="CI269" i="13"/>
  <c r="DA269" i="13"/>
  <c r="CL269" i="13"/>
  <c r="CX269" i="13"/>
  <c r="CU269" i="13"/>
  <c r="CT124" i="13"/>
  <c r="CV124" i="13"/>
  <c r="CW124" i="13"/>
  <c r="CX124" i="13"/>
  <c r="CF124" i="13"/>
  <c r="CR124" i="13"/>
  <c r="CY124" i="13"/>
  <c r="CJ124" i="13"/>
  <c r="CG124" i="13"/>
  <c r="CH124" i="13"/>
  <c r="CI124" i="13"/>
  <c r="CK124" i="13"/>
  <c r="CU124" i="13"/>
  <c r="CD124" i="13"/>
  <c r="CM287" i="13"/>
  <c r="CL287" i="13"/>
  <c r="CZ287" i="13"/>
  <c r="CG287" i="13"/>
  <c r="CX287" i="13"/>
  <c r="CW287" i="13"/>
  <c r="CU287" i="13"/>
  <c r="CJ287" i="13"/>
  <c r="DA287" i="13"/>
  <c r="CI287" i="13"/>
  <c r="CF295" i="13"/>
  <c r="CM295" i="13"/>
  <c r="CL295" i="13"/>
  <c r="CT295" i="13"/>
  <c r="CZ295" i="13"/>
  <c r="CG295" i="13"/>
  <c r="DA295" i="13"/>
  <c r="CW295" i="13"/>
  <c r="CU295" i="13"/>
  <c r="CJ295" i="13"/>
  <c r="CI295" i="13"/>
  <c r="CX295" i="13"/>
  <c r="CM317" i="13"/>
  <c r="CJ317" i="13"/>
  <c r="CZ317" i="13"/>
  <c r="CG317" i="13"/>
  <c r="CW317" i="13"/>
  <c r="CU317" i="13"/>
  <c r="CL317" i="13"/>
  <c r="CI317" i="13"/>
  <c r="DA317" i="13"/>
  <c r="CX317" i="13"/>
  <c r="CH173" i="13"/>
  <c r="CS173" i="13"/>
  <c r="CT173" i="13"/>
  <c r="CE173" i="13"/>
  <c r="CF173" i="13"/>
  <c r="CW173" i="13"/>
  <c r="CG173" i="13"/>
  <c r="CI173" i="13"/>
  <c r="CI211" i="13"/>
  <c r="CW211" i="13"/>
  <c r="CH211" i="13"/>
  <c r="CT211" i="13"/>
  <c r="CE211" i="13"/>
  <c r="CR211" i="13"/>
  <c r="CQ211" i="13"/>
  <c r="CF211" i="13"/>
  <c r="CD211" i="13"/>
  <c r="CS211" i="13"/>
  <c r="CC211" i="13"/>
  <c r="CZ281" i="13"/>
  <c r="CG281" i="13"/>
  <c r="CX281" i="13"/>
  <c r="CM281" i="13"/>
  <c r="DA281" i="13"/>
  <c r="CL281" i="13"/>
  <c r="CJ281" i="13"/>
  <c r="CI281" i="13"/>
  <c r="CW281" i="13"/>
  <c r="CU281" i="13"/>
  <c r="CS45" i="13"/>
  <c r="CE45" i="13"/>
  <c r="CW45" i="13"/>
  <c r="CT45" i="13"/>
  <c r="CF45" i="13"/>
  <c r="CG45" i="13"/>
  <c r="CU45" i="13"/>
  <c r="CV45" i="13"/>
  <c r="CH45" i="13"/>
  <c r="CI45" i="13"/>
  <c r="CP142" i="13"/>
  <c r="CX142" i="13"/>
  <c r="CW142" i="13"/>
  <c r="CY142" i="13"/>
  <c r="CG142" i="13"/>
  <c r="CR142" i="13"/>
  <c r="CT142" i="13"/>
  <c r="CU142" i="13"/>
  <c r="CJ142" i="13"/>
  <c r="CK142" i="13"/>
  <c r="CH142" i="13"/>
  <c r="CD142" i="13"/>
  <c r="CI142" i="13"/>
  <c r="CV142" i="13"/>
  <c r="CF142" i="13"/>
  <c r="CF96" i="13"/>
  <c r="CR96" i="13"/>
  <c r="CH96" i="13"/>
  <c r="CT96" i="13"/>
  <c r="CI96" i="13"/>
  <c r="CU96" i="13"/>
  <c r="CJ96" i="13"/>
  <c r="CW96" i="13"/>
  <c r="CD96" i="13"/>
  <c r="CV96" i="13"/>
  <c r="CX96" i="13"/>
  <c r="CG96" i="13"/>
  <c r="CP96" i="13"/>
  <c r="CX107" i="13"/>
  <c r="CP107" i="13"/>
  <c r="CW107" i="13"/>
  <c r="CV107" i="13"/>
  <c r="CF107" i="13"/>
  <c r="CU107" i="13"/>
  <c r="CG107" i="13"/>
  <c r="CT107" i="13"/>
  <c r="CH107" i="13"/>
  <c r="CR107" i="13"/>
  <c r="CJ107" i="13"/>
  <c r="CD107" i="13"/>
  <c r="CI107" i="13"/>
  <c r="CH266" i="13"/>
  <c r="CW266" i="13"/>
  <c r="CJ266" i="13"/>
  <c r="CM266" i="13"/>
  <c r="CG266" i="13"/>
  <c r="DA266" i="13"/>
  <c r="CZ266" i="13"/>
  <c r="CX266" i="13"/>
  <c r="CL266" i="13"/>
  <c r="CI266" i="13"/>
  <c r="CU266" i="13"/>
  <c r="CF169" i="13"/>
  <c r="CT169" i="13"/>
  <c r="CG169" i="13"/>
  <c r="CS169" i="13"/>
  <c r="CE169" i="13"/>
  <c r="CW169" i="13"/>
  <c r="CH169" i="13"/>
  <c r="CI169" i="13"/>
  <c r="CW286" i="13"/>
  <c r="CU286" i="13"/>
  <c r="CJ286" i="13"/>
  <c r="DA286" i="13"/>
  <c r="CM286" i="13"/>
  <c r="CL286" i="13"/>
  <c r="CI286" i="13"/>
  <c r="CG286" i="13"/>
  <c r="CZ286" i="13"/>
  <c r="CX286" i="13"/>
  <c r="CV109" i="13"/>
  <c r="CU109" i="13"/>
  <c r="CT109" i="13"/>
  <c r="CD109" i="13"/>
  <c r="CR109" i="13"/>
  <c r="CF109" i="13"/>
  <c r="CX109" i="13"/>
  <c r="CP109" i="13"/>
  <c r="CH109" i="13"/>
  <c r="CI109" i="13"/>
  <c r="CJ109" i="13"/>
  <c r="CG109" i="13"/>
  <c r="CW109" i="13"/>
  <c r="CZ254" i="13"/>
  <c r="CW254" i="13"/>
  <c r="CL254" i="13"/>
  <c r="CJ254" i="13"/>
  <c r="CI254" i="13"/>
  <c r="DA254" i="13"/>
  <c r="CG254" i="13"/>
  <c r="CX254" i="13"/>
  <c r="CU254" i="13"/>
  <c r="CM254" i="13"/>
  <c r="CH217" i="13"/>
  <c r="CG217" i="13"/>
  <c r="CS217" i="13"/>
  <c r="CE217" i="13"/>
  <c r="CT217" i="13"/>
  <c r="CR217" i="13"/>
  <c r="CQ217" i="13"/>
  <c r="CI217" i="13"/>
  <c r="CF217" i="13"/>
  <c r="CD217" i="13"/>
  <c r="CW217" i="13"/>
  <c r="CC217" i="13"/>
  <c r="CT119" i="13"/>
  <c r="CR119" i="13"/>
  <c r="CJ119" i="13"/>
  <c r="CX119" i="13"/>
  <c r="CP119" i="13"/>
  <c r="CW119" i="13"/>
  <c r="CV119" i="13"/>
  <c r="CF119" i="13"/>
  <c r="CI119" i="13"/>
  <c r="CH119" i="13"/>
  <c r="CD119" i="13"/>
  <c r="CG119" i="13"/>
  <c r="AZ119" i="13" s="1"/>
  <c r="CU119" i="13"/>
  <c r="CY127" i="13"/>
  <c r="CT127" i="13"/>
  <c r="CU127" i="13"/>
  <c r="CV127" i="13"/>
  <c r="CJ127" i="13"/>
  <c r="CW127" i="13"/>
  <c r="CX127" i="13"/>
  <c r="CF127" i="13"/>
  <c r="CI127" i="13"/>
  <c r="CK127" i="13"/>
  <c r="CG127" i="13"/>
  <c r="CR127" i="13"/>
  <c r="CD127" i="13"/>
  <c r="CH127" i="13"/>
  <c r="CU129" i="13"/>
  <c r="CW129" i="13"/>
  <c r="CR129" i="13"/>
  <c r="CX129" i="13"/>
  <c r="CP129" i="13"/>
  <c r="CT129" i="13"/>
  <c r="CV129" i="13"/>
  <c r="CG129" i="13"/>
  <c r="CD129" i="13"/>
  <c r="CJ129" i="13"/>
  <c r="CF129" i="13"/>
  <c r="CH129" i="13"/>
  <c r="CI129" i="13"/>
  <c r="CH102" i="13"/>
  <c r="CU102" i="13"/>
  <c r="CJ102" i="13"/>
  <c r="CV102" i="13"/>
  <c r="CW102" i="13"/>
  <c r="CD102" i="13"/>
  <c r="CF102" i="13"/>
  <c r="CR102" i="13"/>
  <c r="CP102" i="13"/>
  <c r="CT102" i="13"/>
  <c r="CX102" i="13"/>
  <c r="CG102" i="13"/>
  <c r="CI102" i="13"/>
  <c r="CS329" i="13"/>
  <c r="CE329" i="13"/>
  <c r="CT329" i="13"/>
  <c r="CD329" i="13"/>
  <c r="CM329" i="13"/>
  <c r="CJ329" i="13"/>
  <c r="CZ329" i="13"/>
  <c r="CG329" i="13"/>
  <c r="CR329" i="13"/>
  <c r="CF329" i="13"/>
  <c r="CW329" i="13"/>
  <c r="CI329" i="13"/>
  <c r="CU329" i="13"/>
  <c r="DA329" i="13"/>
  <c r="CX329" i="13"/>
  <c r="CL329" i="13"/>
  <c r="CF259" i="13"/>
  <c r="CJ259" i="13"/>
  <c r="CW259" i="13"/>
  <c r="CZ259" i="13"/>
  <c r="CT259" i="13"/>
  <c r="CM259" i="13"/>
  <c r="CL259" i="13"/>
  <c r="CI259" i="13"/>
  <c r="CG259" i="13"/>
  <c r="DA259" i="13"/>
  <c r="CX259" i="13"/>
  <c r="CU259" i="13"/>
  <c r="CW328" i="13"/>
  <c r="CD328" i="13"/>
  <c r="CM328" i="13"/>
  <c r="CR328" i="13"/>
  <c r="CE328" i="13"/>
  <c r="CS328" i="13"/>
  <c r="CF328" i="13"/>
  <c r="CJ328" i="13"/>
  <c r="CT328" i="13"/>
  <c r="CZ328" i="13"/>
  <c r="CG328" i="13"/>
  <c r="CX328" i="13"/>
  <c r="CU328" i="13"/>
  <c r="CI328" i="13"/>
  <c r="DA328" i="13"/>
  <c r="CL328" i="13"/>
  <c r="CD258" i="13"/>
  <c r="CT258" i="13"/>
  <c r="CE258" i="13"/>
  <c r="CS258" i="13"/>
  <c r="CR258" i="13"/>
  <c r="CM258" i="13"/>
  <c r="CZ258" i="13"/>
  <c r="CG258" i="13"/>
  <c r="CX258" i="13"/>
  <c r="CL258" i="13"/>
  <c r="CF258" i="13"/>
  <c r="CJ258" i="13"/>
  <c r="CI258" i="13"/>
  <c r="DA258" i="13"/>
  <c r="CW258" i="13"/>
  <c r="CU258" i="13"/>
  <c r="CT324" i="13"/>
  <c r="CD324" i="13"/>
  <c r="CS324" i="13"/>
  <c r="CW324" i="13"/>
  <c r="CM324" i="13"/>
  <c r="CJ324" i="13"/>
  <c r="CF324" i="13"/>
  <c r="CE324" i="13"/>
  <c r="CZ324" i="13"/>
  <c r="CG324" i="13"/>
  <c r="CR324" i="13"/>
  <c r="CX324" i="13"/>
  <c r="DA324" i="13"/>
  <c r="CL324" i="13"/>
  <c r="CI324" i="13"/>
  <c r="CU324" i="13"/>
  <c r="CZ323" i="13"/>
  <c r="CG323" i="13"/>
  <c r="CW323" i="13"/>
  <c r="CM323" i="13"/>
  <c r="CJ323" i="13"/>
  <c r="DA323" i="13"/>
  <c r="CX323" i="13"/>
  <c r="CI323" i="13"/>
  <c r="CU323" i="13"/>
  <c r="CL323" i="13"/>
  <c r="CZ256" i="13"/>
  <c r="CG256" i="13"/>
  <c r="CM256" i="13"/>
  <c r="CW256" i="13"/>
  <c r="CJ256" i="13"/>
  <c r="CI256" i="13"/>
  <c r="DA256" i="13"/>
  <c r="CX256" i="13"/>
  <c r="CU256" i="13"/>
  <c r="CL256" i="13"/>
  <c r="CR112" i="13"/>
  <c r="CI112" i="13"/>
  <c r="CX112" i="13"/>
  <c r="CP112" i="13"/>
  <c r="CJ112" i="13"/>
  <c r="CW112" i="13"/>
  <c r="CV112" i="13"/>
  <c r="CU112" i="13"/>
  <c r="CD112" i="13"/>
  <c r="CF112" i="13"/>
  <c r="CG112" i="13"/>
  <c r="CH112" i="13"/>
  <c r="CT112" i="13"/>
  <c r="CS300" i="13"/>
  <c r="CR300" i="13"/>
  <c r="CW300" i="13"/>
  <c r="CF300" i="13"/>
  <c r="CE300" i="13"/>
  <c r="CT300" i="13"/>
  <c r="CD300" i="13"/>
  <c r="CU300" i="13"/>
  <c r="CM300" i="13"/>
  <c r="CI300" i="13"/>
  <c r="CG300" i="13"/>
  <c r="DA300" i="13"/>
  <c r="CZ300" i="13"/>
  <c r="CX300" i="13"/>
  <c r="CL300" i="13"/>
  <c r="CJ300" i="13"/>
  <c r="CM262" i="13"/>
  <c r="CZ262" i="13"/>
  <c r="CG262" i="13"/>
  <c r="CW262" i="13"/>
  <c r="CU262" i="13"/>
  <c r="CL262" i="13"/>
  <c r="CJ262" i="13"/>
  <c r="DA262" i="13"/>
  <c r="CX262" i="13"/>
  <c r="CI262" i="13"/>
  <c r="CS264" i="13"/>
  <c r="CR264" i="13"/>
  <c r="CH264" i="13"/>
  <c r="CF264" i="13"/>
  <c r="CG264" i="13"/>
  <c r="CE264" i="13"/>
  <c r="CJ264" i="13"/>
  <c r="CT264" i="13"/>
  <c r="CD264" i="13"/>
  <c r="CI264" i="13"/>
  <c r="CW264" i="13"/>
  <c r="CL264" i="13"/>
  <c r="DA264" i="13"/>
  <c r="CZ264" i="13"/>
  <c r="CX264" i="13"/>
  <c r="CM264" i="13"/>
  <c r="CU135" i="13"/>
  <c r="CP135" i="13"/>
  <c r="CX135" i="13"/>
  <c r="CR135" i="13"/>
  <c r="CI135" i="13"/>
  <c r="CT135" i="13"/>
  <c r="CV135" i="13"/>
  <c r="CW135" i="13"/>
  <c r="CF135" i="13"/>
  <c r="CG135" i="13"/>
  <c r="CH135" i="13"/>
  <c r="CD135" i="13"/>
  <c r="CJ135" i="13"/>
  <c r="CT123" i="13"/>
  <c r="CU123" i="13"/>
  <c r="CV123" i="13"/>
  <c r="CG123" i="13"/>
  <c r="CW123" i="13"/>
  <c r="CX123" i="13"/>
  <c r="CK123" i="13"/>
  <c r="CF123" i="13"/>
  <c r="CH123" i="13"/>
  <c r="CR123" i="13"/>
  <c r="CI123" i="13"/>
  <c r="CJ123" i="13"/>
  <c r="CY123" i="13"/>
  <c r="CD123" i="13"/>
  <c r="CM309" i="13"/>
  <c r="CK309" i="13"/>
  <c r="CZ309" i="13"/>
  <c r="CG309" i="13"/>
  <c r="CY309" i="13"/>
  <c r="CW309" i="13"/>
  <c r="CI309" i="13"/>
  <c r="CX309" i="13"/>
  <c r="DA309" i="13"/>
  <c r="CU309" i="13"/>
  <c r="CL309" i="13"/>
  <c r="CJ309" i="13"/>
  <c r="CY273" i="13"/>
  <c r="CK273" i="13"/>
  <c r="CZ273" i="13"/>
  <c r="CG273" i="13"/>
  <c r="CX273" i="13"/>
  <c r="CM273" i="13"/>
  <c r="CW273" i="13"/>
  <c r="CU273" i="13"/>
  <c r="CL273" i="13"/>
  <c r="CJ273" i="13"/>
  <c r="DA273" i="13"/>
  <c r="CI273" i="13"/>
  <c r="CF253" i="13"/>
  <c r="CT253" i="13"/>
  <c r="CZ253" i="13"/>
  <c r="CG253" i="13"/>
  <c r="CU253" i="13"/>
  <c r="CM253" i="13"/>
  <c r="CL253" i="13"/>
  <c r="CJ253" i="13"/>
  <c r="DA253" i="13"/>
  <c r="CX253" i="13"/>
  <c r="CW253" i="13"/>
  <c r="CI253" i="13"/>
  <c r="CW219" i="13"/>
  <c r="CI219" i="13"/>
  <c r="CG219" i="13"/>
  <c r="CQ219" i="13"/>
  <c r="CH219" i="13"/>
  <c r="CF219" i="13"/>
  <c r="CE219" i="13"/>
  <c r="CD219" i="13"/>
  <c r="CT219" i="13"/>
  <c r="CC219" i="13"/>
  <c r="CS219" i="13"/>
  <c r="CR219" i="13"/>
  <c r="CV104" i="13"/>
  <c r="CG104" i="13"/>
  <c r="CW104" i="13"/>
  <c r="CY104" i="13"/>
  <c r="CX104" i="13"/>
  <c r="CI104" i="13"/>
  <c r="CJ104" i="13"/>
  <c r="CR104" i="13"/>
  <c r="CK104" i="13"/>
  <c r="CT104" i="13"/>
  <c r="CH104" i="13"/>
  <c r="CU104" i="13"/>
  <c r="CD104" i="13"/>
  <c r="CF104" i="13"/>
  <c r="CI213" i="13"/>
  <c r="CW213" i="13"/>
  <c r="CG213" i="13"/>
  <c r="CC213" i="13"/>
  <c r="CT213" i="13"/>
  <c r="CQ213" i="13"/>
  <c r="CH213" i="13"/>
  <c r="CF213" i="13"/>
  <c r="CH94" i="13"/>
  <c r="CT94" i="13"/>
  <c r="CU94" i="13"/>
  <c r="CJ94" i="13"/>
  <c r="CV94" i="13"/>
  <c r="CW94" i="13"/>
  <c r="CD94" i="13"/>
  <c r="CP94" i="13"/>
  <c r="CX94" i="13"/>
  <c r="CF94" i="13"/>
  <c r="CG94" i="13"/>
  <c r="CI94" i="13"/>
  <c r="CR94" i="13"/>
  <c r="CU100" i="13"/>
  <c r="CJ100" i="13"/>
  <c r="CV100" i="13"/>
  <c r="CW100" i="13"/>
  <c r="CD100" i="13"/>
  <c r="CP100" i="13"/>
  <c r="CX100" i="13"/>
  <c r="CF100" i="13"/>
  <c r="CH100" i="13"/>
  <c r="CR100" i="13"/>
  <c r="CT100" i="13"/>
  <c r="CG100" i="13"/>
  <c r="CI100" i="13"/>
  <c r="CT120" i="13"/>
  <c r="CR120" i="13"/>
  <c r="CI120" i="13"/>
  <c r="CP120" i="13"/>
  <c r="CX120" i="13"/>
  <c r="CW120" i="13"/>
  <c r="CV120" i="13"/>
  <c r="CH120" i="13"/>
  <c r="CD120" i="13"/>
  <c r="CF120" i="13"/>
  <c r="CU120" i="13"/>
  <c r="CG120" i="13"/>
  <c r="CJ120" i="13"/>
  <c r="CZ315" i="13"/>
  <c r="CG315" i="13"/>
  <c r="CK315" i="13"/>
  <c r="CW315" i="13"/>
  <c r="CM315" i="13"/>
  <c r="CY315" i="13"/>
  <c r="CJ315" i="13"/>
  <c r="DA315" i="13"/>
  <c r="CX315" i="13"/>
  <c r="CI315" i="13"/>
  <c r="CU315" i="13"/>
  <c r="CL315" i="13"/>
  <c r="CJ314" i="13"/>
  <c r="CZ314" i="13"/>
  <c r="CG314" i="13"/>
  <c r="CW314" i="13"/>
  <c r="CM314" i="13"/>
  <c r="CL314" i="13"/>
  <c r="CI314" i="13"/>
  <c r="CX314" i="13"/>
  <c r="CU314" i="13"/>
  <c r="DA314" i="13"/>
  <c r="CT216" i="13"/>
  <c r="CQ216" i="13"/>
  <c r="CI216" i="13"/>
  <c r="CW216" i="13"/>
  <c r="CH216" i="13"/>
  <c r="CF216" i="13"/>
  <c r="CC216" i="13"/>
  <c r="CW204" i="13"/>
  <c r="CI204" i="13"/>
  <c r="CH204" i="13"/>
  <c r="CT204" i="13"/>
  <c r="CF204" i="13"/>
  <c r="CE204" i="13"/>
  <c r="CD204" i="13"/>
  <c r="CC204" i="13"/>
  <c r="CS204" i="13"/>
  <c r="CR204" i="13"/>
  <c r="CQ204" i="13"/>
  <c r="CG204" i="13"/>
  <c r="CP231" i="13"/>
  <c r="CD231" i="13"/>
  <c r="CE231" i="13"/>
  <c r="CZ311" i="13"/>
  <c r="CG311" i="13"/>
  <c r="CM311" i="13"/>
  <c r="CJ311" i="13"/>
  <c r="CW311" i="13"/>
  <c r="CU311" i="13"/>
  <c r="DA311" i="13"/>
  <c r="CX311" i="13"/>
  <c r="CL311" i="13"/>
  <c r="CI311" i="13"/>
  <c r="CW218" i="13"/>
  <c r="CI218" i="13"/>
  <c r="CH218" i="13"/>
  <c r="CT218" i="13"/>
  <c r="CF218" i="13"/>
  <c r="CR218" i="13"/>
  <c r="CQ218" i="13"/>
  <c r="CG218" i="13"/>
  <c r="CE218" i="13"/>
  <c r="CD218" i="13"/>
  <c r="CC218" i="13"/>
  <c r="CS218" i="13"/>
  <c r="CR209" i="13"/>
  <c r="CD209" i="13"/>
  <c r="CQ209" i="13"/>
  <c r="CC209" i="13"/>
  <c r="CW209" i="13"/>
  <c r="CI209" i="13"/>
  <c r="CE209" i="13"/>
  <c r="CT209" i="13"/>
  <c r="CS209" i="13"/>
  <c r="CH209" i="13"/>
  <c r="CG209" i="13"/>
  <c r="CF209" i="13"/>
  <c r="CW98" i="13"/>
  <c r="CD98" i="13"/>
  <c r="AZ98" i="13" s="1"/>
  <c r="CP98" i="13"/>
  <c r="CX98" i="13"/>
  <c r="CF98" i="13"/>
  <c r="CR98" i="13"/>
  <c r="CG98" i="13"/>
  <c r="CH98" i="13"/>
  <c r="CU98" i="13"/>
  <c r="CJ98" i="13"/>
  <c r="CT98" i="13"/>
  <c r="CI98" i="13"/>
  <c r="CV98" i="13"/>
  <c r="CW304" i="13"/>
  <c r="CJ304" i="13"/>
  <c r="CZ304" i="13"/>
  <c r="CX304" i="13"/>
  <c r="CL304" i="13"/>
  <c r="CU304" i="13"/>
  <c r="CM304" i="13"/>
  <c r="CI304" i="13"/>
  <c r="CG304" i="13"/>
  <c r="DA304" i="13"/>
  <c r="CY303" i="13"/>
  <c r="CZ303" i="13"/>
  <c r="CG303" i="13"/>
  <c r="CM303" i="13"/>
  <c r="CK303" i="13"/>
  <c r="CX303" i="13"/>
  <c r="CW303" i="13"/>
  <c r="CJ303" i="13"/>
  <c r="CL303" i="13"/>
  <c r="DA303" i="13"/>
  <c r="CU303" i="13"/>
  <c r="CI303" i="13"/>
  <c r="CH268" i="13"/>
  <c r="CJ268" i="13"/>
  <c r="CW268" i="13"/>
  <c r="CU268" i="13"/>
  <c r="CI268" i="13"/>
  <c r="CG268" i="13"/>
  <c r="DA268" i="13"/>
  <c r="CZ268" i="13"/>
  <c r="CX268" i="13"/>
  <c r="CM268" i="13"/>
  <c r="CL268" i="13"/>
  <c r="CU118" i="13"/>
  <c r="CT118" i="13"/>
  <c r="CR118" i="13"/>
  <c r="CD118" i="13"/>
  <c r="CX118" i="13"/>
  <c r="CP118" i="13"/>
  <c r="CW118" i="13"/>
  <c r="CG118" i="13"/>
  <c r="CI118" i="13"/>
  <c r="CV118" i="13"/>
  <c r="CJ118" i="13"/>
  <c r="CH118" i="13"/>
  <c r="CF118" i="13"/>
  <c r="CK297" i="13"/>
  <c r="CY297" i="13"/>
  <c r="CJ297" i="13"/>
  <c r="DA297" i="13"/>
  <c r="CG297" i="13"/>
  <c r="CZ297" i="13"/>
  <c r="CU297" i="13"/>
  <c r="CL297" i="13"/>
  <c r="CX297" i="13"/>
  <c r="CW297" i="13"/>
  <c r="CM297" i="13"/>
  <c r="CI297" i="13"/>
  <c r="CJ296" i="13"/>
  <c r="DA296" i="13"/>
  <c r="CI296" i="13"/>
  <c r="CW296" i="13"/>
  <c r="CZ296" i="13"/>
  <c r="CX296" i="13"/>
  <c r="CU296" i="13"/>
  <c r="CM296" i="13"/>
  <c r="CL296" i="13"/>
  <c r="CG296" i="13"/>
  <c r="CH207" i="13"/>
  <c r="CG207" i="13"/>
  <c r="CS207" i="13"/>
  <c r="CE207" i="13"/>
  <c r="CF207" i="13"/>
  <c r="CW207" i="13"/>
  <c r="CC207" i="13"/>
  <c r="CT207" i="13"/>
  <c r="CR207" i="13"/>
  <c r="CQ207" i="13"/>
  <c r="CD207" i="13"/>
  <c r="CI207" i="13"/>
  <c r="CT202" i="13"/>
  <c r="CF202" i="13"/>
  <c r="CR202" i="13"/>
  <c r="CD202" i="13"/>
  <c r="CW202" i="13"/>
  <c r="CG202" i="13"/>
  <c r="CC202" i="13"/>
  <c r="CS202" i="13"/>
  <c r="CQ202" i="13"/>
  <c r="CI202" i="13"/>
  <c r="CH202" i="13"/>
  <c r="CE202" i="13"/>
  <c r="CZ293" i="13"/>
  <c r="CG293" i="13"/>
  <c r="CX293" i="13"/>
  <c r="CM293" i="13"/>
  <c r="CL293" i="13"/>
  <c r="CI293" i="13"/>
  <c r="DA293" i="13"/>
  <c r="CW293" i="13"/>
  <c r="CU293" i="13"/>
  <c r="CJ293" i="13"/>
  <c r="CP137" i="13"/>
  <c r="CU137" i="13"/>
  <c r="CX137" i="13"/>
  <c r="CV137" i="13"/>
  <c r="CW137" i="13"/>
  <c r="CG137" i="13"/>
  <c r="CR137" i="13"/>
  <c r="CI137" i="13"/>
  <c r="CJ137" i="13"/>
  <c r="CT137" i="13"/>
  <c r="CD137" i="13"/>
  <c r="CF137" i="13"/>
  <c r="CH137" i="13"/>
  <c r="CX115" i="13"/>
  <c r="CP115" i="13"/>
  <c r="CW115" i="13"/>
  <c r="CV115" i="13"/>
  <c r="CG115" i="13"/>
  <c r="CU115" i="13"/>
  <c r="CH115" i="13"/>
  <c r="CT115" i="13"/>
  <c r="CR115" i="13"/>
  <c r="CD115" i="13"/>
  <c r="CF115" i="13"/>
  <c r="CI115" i="13"/>
  <c r="CJ115" i="13"/>
  <c r="CJ272" i="13"/>
  <c r="DA272" i="13"/>
  <c r="CW272" i="13"/>
  <c r="CZ272" i="13"/>
  <c r="CM272" i="13"/>
  <c r="CL272" i="13"/>
  <c r="CI272" i="13"/>
  <c r="CG272" i="13"/>
  <c r="CX272" i="13"/>
  <c r="CU272" i="13"/>
  <c r="CW257" i="13"/>
  <c r="CJ257" i="13"/>
  <c r="CX257" i="13"/>
  <c r="CL257" i="13"/>
  <c r="CI257" i="13"/>
  <c r="CG257" i="13"/>
  <c r="DA257" i="13"/>
  <c r="CU257" i="13"/>
  <c r="CM257" i="13"/>
  <c r="CZ257" i="13"/>
  <c r="CF289" i="13"/>
  <c r="CT289" i="13"/>
  <c r="CZ289" i="13"/>
  <c r="CG289" i="13"/>
  <c r="CX289" i="13"/>
  <c r="CM289" i="13"/>
  <c r="CU289" i="13"/>
  <c r="CJ289" i="13"/>
  <c r="CI289" i="13"/>
  <c r="DA289" i="13"/>
  <c r="CL289" i="13"/>
  <c r="CW289" i="13"/>
  <c r="CJ280" i="13"/>
  <c r="DA280" i="13"/>
  <c r="CI280" i="13"/>
  <c r="CW280" i="13"/>
  <c r="CU280" i="13"/>
  <c r="CG280" i="13"/>
  <c r="CZ280" i="13"/>
  <c r="CX280" i="13"/>
  <c r="CM280" i="13"/>
  <c r="CL280" i="13"/>
  <c r="CR220" i="13"/>
  <c r="CC220" i="13"/>
  <c r="CQ220" i="13"/>
  <c r="CI220" i="13"/>
  <c r="CH220" i="13"/>
  <c r="CF220" i="13"/>
  <c r="CE220" i="13"/>
  <c r="CW220" i="13"/>
  <c r="CD220" i="13"/>
  <c r="CT220" i="13"/>
  <c r="CS220" i="13"/>
  <c r="CH265" i="13"/>
  <c r="CF265" i="13"/>
  <c r="CT265" i="13"/>
  <c r="CZ265" i="13"/>
  <c r="CG265" i="13"/>
  <c r="CM265" i="13"/>
  <c r="CL265" i="13"/>
  <c r="DA265" i="13"/>
  <c r="CX265" i="13"/>
  <c r="CW265" i="13"/>
  <c r="CU265" i="13"/>
  <c r="CJ265" i="13"/>
  <c r="CI265" i="13"/>
  <c r="CJ263" i="13"/>
  <c r="CW263" i="13"/>
  <c r="CG263" i="13"/>
  <c r="CX263" i="13"/>
  <c r="CU263" i="13"/>
  <c r="CM263" i="13"/>
  <c r="CL263" i="13"/>
  <c r="CI263" i="13"/>
  <c r="DA263" i="13"/>
  <c r="CZ263" i="13"/>
  <c r="CS288" i="13"/>
  <c r="CR288" i="13"/>
  <c r="CF288" i="13"/>
  <c r="CE288" i="13"/>
  <c r="CT288" i="13"/>
  <c r="CD288" i="13"/>
  <c r="CJ288" i="13"/>
  <c r="DA288" i="13"/>
  <c r="CI288" i="13"/>
  <c r="CW288" i="13"/>
  <c r="CL288" i="13"/>
  <c r="CZ288" i="13"/>
  <c r="CX288" i="13"/>
  <c r="CU288" i="13"/>
  <c r="CM288" i="13"/>
  <c r="CG288" i="13"/>
  <c r="CZ299" i="13"/>
  <c r="CG299" i="13"/>
  <c r="CW299" i="13"/>
  <c r="CU299" i="13"/>
  <c r="CJ299" i="13"/>
  <c r="CX299" i="13"/>
  <c r="CM299" i="13"/>
  <c r="CL299" i="13"/>
  <c r="CI299" i="13"/>
  <c r="DA299" i="13"/>
  <c r="CF171" i="13"/>
  <c r="CT171" i="13"/>
  <c r="CH171" i="13"/>
  <c r="CI171" i="13"/>
  <c r="CW171" i="13"/>
  <c r="CG171" i="13"/>
  <c r="CS171" i="13"/>
  <c r="CE171" i="13"/>
  <c r="AZ171" i="13" s="1"/>
  <c r="CW278" i="13"/>
  <c r="CU278" i="13"/>
  <c r="CJ278" i="13"/>
  <c r="CG278" i="13"/>
  <c r="CZ278" i="13"/>
  <c r="CX278" i="13"/>
  <c r="CM278" i="13"/>
  <c r="CL278" i="13"/>
  <c r="DA278" i="13"/>
  <c r="CI278" i="13"/>
  <c r="CW308" i="13"/>
  <c r="CJ308" i="13"/>
  <c r="CG308" i="13"/>
  <c r="DA308" i="13"/>
  <c r="CU308" i="13"/>
  <c r="CM308" i="13"/>
  <c r="CI308" i="13"/>
  <c r="CZ308" i="13"/>
  <c r="CX308" i="13"/>
  <c r="CL308" i="13"/>
  <c r="CU141" i="13"/>
  <c r="CX141" i="13"/>
  <c r="CV141" i="13"/>
  <c r="CW141" i="13"/>
  <c r="CP141" i="13"/>
  <c r="CI141" i="13"/>
  <c r="CY141" i="13"/>
  <c r="CR141" i="13"/>
  <c r="CJ141" i="13"/>
  <c r="CK141" i="13"/>
  <c r="CT141" i="13"/>
  <c r="CD141" i="13"/>
  <c r="AZ141" i="13" s="1"/>
  <c r="CF141" i="13"/>
  <c r="CG141" i="13"/>
  <c r="CH141" i="13"/>
  <c r="CP97" i="13"/>
  <c r="CX97" i="13"/>
  <c r="CR97" i="13"/>
  <c r="CG97" i="13"/>
  <c r="CH97" i="13"/>
  <c r="CT97" i="13"/>
  <c r="CI97" i="13"/>
  <c r="CV97" i="13"/>
  <c r="CJ97" i="13"/>
  <c r="CF97" i="13"/>
  <c r="CU97" i="13"/>
  <c r="CW97" i="13"/>
  <c r="CD97" i="13"/>
  <c r="AZ97" i="13" s="1"/>
  <c r="CY121" i="13"/>
  <c r="CT121" i="13"/>
  <c r="CX121" i="13"/>
  <c r="CI121" i="13"/>
  <c r="CR121" i="13"/>
  <c r="CU121" i="13"/>
  <c r="CV121" i="13"/>
  <c r="CW121" i="13"/>
  <c r="CD121" i="13"/>
  <c r="AZ121" i="13" s="1"/>
  <c r="CK121" i="13"/>
  <c r="CF121" i="13"/>
  <c r="CG121" i="13"/>
  <c r="CJ121" i="13"/>
  <c r="CH121" i="13"/>
  <c r="CT125" i="13"/>
  <c r="CX125" i="13"/>
  <c r="CR125" i="13"/>
  <c r="CY125" i="13"/>
  <c r="CU125" i="13"/>
  <c r="CV125" i="13"/>
  <c r="CI125" i="13"/>
  <c r="CW125" i="13"/>
  <c r="CG125" i="13"/>
  <c r="CH125" i="13"/>
  <c r="CJ125" i="13"/>
  <c r="CF125" i="13"/>
  <c r="CK125" i="13"/>
  <c r="CD125" i="13"/>
  <c r="CU136" i="13"/>
  <c r="CX136" i="13"/>
  <c r="CT136" i="13"/>
  <c r="CV136" i="13"/>
  <c r="CH136" i="13"/>
  <c r="CW136" i="13"/>
  <c r="CP136" i="13"/>
  <c r="CD136" i="13"/>
  <c r="CR136" i="13"/>
  <c r="CG136" i="13"/>
  <c r="CI136" i="13"/>
  <c r="CJ136" i="13"/>
  <c r="CF136" i="13"/>
  <c r="CJ322" i="13"/>
  <c r="CZ322" i="13"/>
  <c r="CG322" i="13"/>
  <c r="CW322" i="13"/>
  <c r="CM322" i="13"/>
  <c r="CL322" i="13"/>
  <c r="CI322" i="13"/>
  <c r="CU322" i="13"/>
  <c r="DA322" i="13"/>
  <c r="CX322" i="13"/>
  <c r="CK255" i="13"/>
  <c r="CY255" i="13"/>
  <c r="CW255" i="13"/>
  <c r="CU255" i="13"/>
  <c r="CJ255" i="13"/>
  <c r="CI255" i="13"/>
  <c r="DA255" i="13"/>
  <c r="CG255" i="13"/>
  <c r="CZ255" i="13"/>
  <c r="CX255" i="13"/>
  <c r="CM255" i="13"/>
  <c r="CL255" i="13"/>
  <c r="CF283" i="13"/>
  <c r="CM283" i="13"/>
  <c r="CL283" i="13"/>
  <c r="CT283" i="13"/>
  <c r="CZ283" i="13"/>
  <c r="CG283" i="13"/>
  <c r="CI283" i="13"/>
  <c r="DA283" i="13"/>
  <c r="CX283" i="13"/>
  <c r="CW283" i="13"/>
  <c r="CU283" i="13"/>
  <c r="CJ283" i="13"/>
  <c r="CM321" i="13"/>
  <c r="CJ321" i="13"/>
  <c r="CY321" i="13"/>
  <c r="CZ321" i="13"/>
  <c r="CG321" i="13"/>
  <c r="CW321" i="13"/>
  <c r="CU321" i="13"/>
  <c r="CX321" i="13"/>
  <c r="CL321" i="13"/>
  <c r="CI321" i="13"/>
  <c r="CK321" i="13"/>
  <c r="DA321" i="13"/>
  <c r="CM251" i="13"/>
  <c r="DA251" i="13"/>
  <c r="CI251" i="13"/>
  <c r="CZ251" i="13"/>
  <c r="CG251" i="13"/>
  <c r="CX251" i="13"/>
  <c r="CW251" i="13"/>
  <c r="CU251" i="13"/>
  <c r="CL251" i="13"/>
  <c r="CJ251" i="13"/>
  <c r="CJ292" i="13"/>
  <c r="DA292" i="13"/>
  <c r="CI292" i="13"/>
  <c r="CW292" i="13"/>
  <c r="CG292" i="13"/>
  <c r="CZ292" i="13"/>
  <c r="CX292" i="13"/>
  <c r="CU292" i="13"/>
  <c r="CM292" i="13"/>
  <c r="CL292" i="13"/>
  <c r="CF319" i="13"/>
  <c r="CZ319" i="13"/>
  <c r="CG319" i="13"/>
  <c r="CW319" i="13"/>
  <c r="CM319" i="13"/>
  <c r="CJ319" i="13"/>
  <c r="CT319" i="13"/>
  <c r="CI319" i="13"/>
  <c r="DA319" i="13"/>
  <c r="CX319" i="13"/>
  <c r="CL319" i="13"/>
  <c r="CU319" i="13"/>
  <c r="CS234" i="13"/>
  <c r="CE234" i="13"/>
  <c r="CP234" i="13"/>
  <c r="CD234" i="13"/>
  <c r="CR234" i="13"/>
  <c r="CB234" i="13"/>
  <c r="CW108" i="13"/>
  <c r="CV108" i="13"/>
  <c r="CU108" i="13"/>
  <c r="CT108" i="13"/>
  <c r="CF108" i="13"/>
  <c r="CG108" i="13"/>
  <c r="CR108" i="13"/>
  <c r="CI108" i="13"/>
  <c r="CD108" i="13"/>
  <c r="CH108" i="13"/>
  <c r="CP108" i="13"/>
  <c r="CJ108" i="13"/>
  <c r="CX108" i="13"/>
  <c r="CS252" i="13"/>
  <c r="CR252" i="13"/>
  <c r="CD252" i="13"/>
  <c r="CF252" i="13"/>
  <c r="CE252" i="13"/>
  <c r="CT252" i="13"/>
  <c r="CJ252" i="13"/>
  <c r="CX252" i="13"/>
  <c r="CW252" i="13"/>
  <c r="CU252" i="13"/>
  <c r="CM252" i="13"/>
  <c r="CZ252" i="13"/>
  <c r="CL252" i="13"/>
  <c r="CI252" i="13"/>
  <c r="CG252" i="13"/>
  <c r="DA252" i="13"/>
  <c r="CF306" i="13"/>
  <c r="CJ306" i="13"/>
  <c r="CT306" i="13"/>
  <c r="CD306" i="13"/>
  <c r="CS306" i="13"/>
  <c r="CR306" i="13"/>
  <c r="CW306" i="13"/>
  <c r="DA306" i="13"/>
  <c r="CE306" i="13"/>
  <c r="CZ306" i="13"/>
  <c r="CM306" i="13"/>
  <c r="CX306" i="13"/>
  <c r="CL306" i="13"/>
  <c r="CI306" i="13"/>
  <c r="CG306" i="13"/>
  <c r="CU306" i="13"/>
  <c r="CZ260" i="13"/>
  <c r="CG260" i="13"/>
  <c r="CM260" i="13"/>
  <c r="DA260" i="13"/>
  <c r="CU260" i="13"/>
  <c r="CL260" i="13"/>
  <c r="CJ260" i="13"/>
  <c r="CI260" i="13"/>
  <c r="CW260" i="13"/>
  <c r="CX260" i="13"/>
  <c r="CG250" i="13"/>
  <c r="CW250" i="13"/>
  <c r="CI250" i="13"/>
  <c r="CJ250" i="13"/>
  <c r="DA250" i="13"/>
  <c r="CM250" i="13"/>
  <c r="CZ250" i="13"/>
  <c r="CL250" i="13"/>
  <c r="CU250" i="13"/>
  <c r="CX250" i="13"/>
  <c r="CU131" i="13"/>
  <c r="CX131" i="13"/>
  <c r="CP131" i="13"/>
  <c r="CR131" i="13"/>
  <c r="CT131" i="13"/>
  <c r="CV131" i="13"/>
  <c r="CW131" i="13"/>
  <c r="CI131" i="13"/>
  <c r="CD131" i="13"/>
  <c r="CJ131" i="13"/>
  <c r="CF131" i="13"/>
  <c r="CG131" i="13"/>
  <c r="CH131" i="13"/>
  <c r="CS46" i="13"/>
  <c r="CU46" i="13"/>
  <c r="CF46" i="13"/>
  <c r="CT46" i="13"/>
  <c r="CV46" i="13"/>
  <c r="CG46" i="13"/>
  <c r="CH46" i="13"/>
  <c r="CE46" i="13"/>
  <c r="CW46" i="13"/>
  <c r="CI46" i="13"/>
  <c r="CC212" i="13"/>
  <c r="CT212" i="13"/>
  <c r="CQ212" i="13"/>
  <c r="CI212" i="13"/>
  <c r="CH212" i="13"/>
  <c r="CG212" i="13"/>
  <c r="CW212" i="13"/>
  <c r="CF212" i="13"/>
  <c r="CK285" i="13"/>
  <c r="CY285" i="13"/>
  <c r="CZ285" i="13"/>
  <c r="CG285" i="13"/>
  <c r="CX285" i="13"/>
  <c r="CM285" i="13"/>
  <c r="CW285" i="13"/>
  <c r="CJ285" i="13"/>
  <c r="CI285" i="13"/>
  <c r="CU285" i="13"/>
  <c r="CL285" i="13"/>
  <c r="DA285" i="13"/>
  <c r="CS47" i="13"/>
  <c r="CI47" i="13"/>
  <c r="CG47" i="13"/>
  <c r="CE47" i="13"/>
  <c r="CT47" i="13"/>
  <c r="CH47" i="13"/>
  <c r="CU47" i="13"/>
  <c r="CW47" i="13"/>
  <c r="CV47" i="13"/>
  <c r="CF47" i="13"/>
  <c r="CQ234" i="13"/>
  <c r="CE49" i="13"/>
  <c r="CW49" i="13"/>
  <c r="CF49" i="13"/>
  <c r="CS49" i="13"/>
  <c r="CT49" i="13"/>
  <c r="CG49" i="13"/>
  <c r="CU49" i="13"/>
  <c r="CH49" i="13"/>
  <c r="CV49" i="13"/>
  <c r="CT101" i="13"/>
  <c r="CI101" i="13"/>
  <c r="CU101" i="13"/>
  <c r="CV101" i="13"/>
  <c r="CW101" i="13"/>
  <c r="CD101" i="13"/>
  <c r="CP101" i="13"/>
  <c r="CX101" i="13"/>
  <c r="CR101" i="13"/>
  <c r="CG101" i="13"/>
  <c r="CF101" i="13"/>
  <c r="CH101" i="13"/>
  <c r="CJ101" i="13"/>
  <c r="CV117" i="13"/>
  <c r="CU117" i="13"/>
  <c r="CT117" i="13"/>
  <c r="CD117" i="13"/>
  <c r="CR117" i="13"/>
  <c r="CX117" i="13"/>
  <c r="CP117" i="13"/>
  <c r="CH117" i="13"/>
  <c r="CF117" i="13"/>
  <c r="CG117" i="13"/>
  <c r="CI117" i="13"/>
  <c r="CW117" i="13"/>
  <c r="CJ117" i="13"/>
  <c r="CI208" i="13"/>
  <c r="CF208" i="13"/>
  <c r="CD208" i="13"/>
  <c r="CT208" i="13"/>
  <c r="CS208" i="13"/>
  <c r="CR208" i="13"/>
  <c r="CQ208" i="13"/>
  <c r="CH208" i="13"/>
  <c r="CW208" i="13"/>
  <c r="CE208" i="13"/>
  <c r="CC208" i="13"/>
  <c r="CT206" i="13"/>
  <c r="CE206" i="13"/>
  <c r="CS206" i="13"/>
  <c r="CD206" i="13"/>
  <c r="CQ206" i="13"/>
  <c r="CH206" i="13"/>
  <c r="CC206" i="13"/>
  <c r="CW206" i="13"/>
  <c r="CR206" i="13"/>
  <c r="CI206" i="13"/>
  <c r="CF206" i="13"/>
  <c r="CE232" i="13"/>
  <c r="CP232" i="13"/>
  <c r="CR232" i="13"/>
  <c r="CB232" i="13"/>
  <c r="CD232" i="13"/>
  <c r="CS232" i="13"/>
  <c r="CF215" i="13"/>
  <c r="CC215" i="13"/>
  <c r="CQ215" i="13"/>
  <c r="CH215" i="13"/>
  <c r="CG215" i="13"/>
  <c r="CW215" i="13"/>
  <c r="CI215" i="13"/>
  <c r="CT215" i="13"/>
  <c r="CF221" i="13"/>
  <c r="CT221" i="13"/>
  <c r="CE221" i="13"/>
  <c r="CR221" i="13"/>
  <c r="CC221" i="13"/>
  <c r="CI221" i="13"/>
  <c r="CH221" i="13"/>
  <c r="CD221" i="13"/>
  <c r="CW221" i="13"/>
  <c r="CS221" i="13"/>
  <c r="CQ221" i="13"/>
  <c r="CI166" i="13"/>
  <c r="CW166" i="13"/>
  <c r="CS166" i="13"/>
  <c r="CT166" i="13"/>
  <c r="CE166" i="13"/>
  <c r="CF166" i="13"/>
  <c r="CG166" i="13"/>
  <c r="CH166" i="13"/>
  <c r="CU134" i="13"/>
  <c r="CP134" i="13"/>
  <c r="CX134" i="13"/>
  <c r="CJ134" i="13"/>
  <c r="CR134" i="13"/>
  <c r="CT134" i="13"/>
  <c r="CV134" i="13"/>
  <c r="CF134" i="13"/>
  <c r="CG134" i="13"/>
  <c r="CH134" i="13"/>
  <c r="CW134" i="13"/>
  <c r="CI134" i="13"/>
  <c r="CD134" i="13"/>
  <c r="CJ318" i="13"/>
  <c r="CT318" i="13"/>
  <c r="CD318" i="13"/>
  <c r="CZ318" i="13"/>
  <c r="CG318" i="13"/>
  <c r="CS318" i="13"/>
  <c r="CR318" i="13"/>
  <c r="CW318" i="13"/>
  <c r="CF318" i="13"/>
  <c r="CM318" i="13"/>
  <c r="CE318" i="13"/>
  <c r="DA318" i="13"/>
  <c r="CL318" i="13"/>
  <c r="CX318" i="13"/>
  <c r="CU318" i="13"/>
  <c r="CI318" i="13"/>
  <c r="CT122" i="13"/>
  <c r="CY122" i="13"/>
  <c r="CR122" i="13"/>
  <c r="CH122" i="13"/>
  <c r="CU122" i="13"/>
  <c r="CV122" i="13"/>
  <c r="CW122" i="13"/>
  <c r="CX122" i="13"/>
  <c r="CD122" i="13"/>
  <c r="CF122" i="13"/>
  <c r="CG122" i="13"/>
  <c r="CI122" i="13"/>
  <c r="CJ122" i="13"/>
  <c r="CK122" i="13"/>
  <c r="CT326" i="13"/>
  <c r="CJ326" i="13"/>
  <c r="CZ326" i="13"/>
  <c r="CG326" i="13"/>
  <c r="CD326" i="13"/>
  <c r="CW326" i="13"/>
  <c r="CR326" i="13"/>
  <c r="CE326" i="13"/>
  <c r="CS326" i="13"/>
  <c r="CF326" i="13"/>
  <c r="CM326" i="13"/>
  <c r="DA326" i="13"/>
  <c r="CL326" i="13"/>
  <c r="CX326" i="13"/>
  <c r="CU326" i="13"/>
  <c r="CI326" i="13"/>
  <c r="CR95" i="13"/>
  <c r="CG95" i="13"/>
  <c r="CT95" i="13"/>
  <c r="CI95" i="13"/>
  <c r="CU95" i="13"/>
  <c r="CJ95" i="13"/>
  <c r="CV95" i="13"/>
  <c r="CW95" i="13"/>
  <c r="CP95" i="13"/>
  <c r="CX95" i="13"/>
  <c r="CD95" i="13"/>
  <c r="CH95" i="13"/>
  <c r="CF95" i="13"/>
  <c r="CR128" i="13"/>
  <c r="CP128" i="13"/>
  <c r="CT128" i="13"/>
  <c r="CU128" i="13"/>
  <c r="CX128" i="13"/>
  <c r="CH128" i="13"/>
  <c r="CV128" i="13"/>
  <c r="CD128" i="13"/>
  <c r="CJ128" i="13"/>
  <c r="CG128" i="13"/>
  <c r="CI128" i="13"/>
  <c r="CW128" i="13"/>
  <c r="CF128" i="13"/>
  <c r="CM275" i="13"/>
  <c r="CL275" i="13"/>
  <c r="CZ275" i="13"/>
  <c r="CG275" i="13"/>
  <c r="CU275" i="13"/>
  <c r="DA275" i="13"/>
  <c r="CX275" i="13"/>
  <c r="CJ275" i="13"/>
  <c r="CI275" i="13"/>
  <c r="CW275" i="13"/>
  <c r="CE168" i="13"/>
  <c r="CS168" i="13"/>
  <c r="CF168" i="13"/>
  <c r="CT168" i="13"/>
  <c r="CW168" i="13"/>
  <c r="CG168" i="13"/>
  <c r="CH168" i="13"/>
  <c r="CI168" i="13"/>
  <c r="CE170" i="13"/>
  <c r="CS170" i="13"/>
  <c r="CG170" i="13"/>
  <c r="CH170" i="13"/>
  <c r="CT170" i="13"/>
  <c r="CW170" i="13"/>
  <c r="CF170" i="13"/>
  <c r="CI170" i="13"/>
  <c r="CM325" i="13"/>
  <c r="CR325" i="13"/>
  <c r="CE325" i="13"/>
  <c r="CJ325" i="13"/>
  <c r="CS325" i="13"/>
  <c r="CF325" i="13"/>
  <c r="CT325" i="13"/>
  <c r="CZ325" i="13"/>
  <c r="CG325" i="13"/>
  <c r="CW325" i="13"/>
  <c r="CD325" i="13"/>
  <c r="DA325" i="13"/>
  <c r="CU325" i="13"/>
  <c r="CL325" i="13"/>
  <c r="CX325" i="13"/>
  <c r="CI325" i="13"/>
  <c r="CY126" i="13"/>
  <c r="CT126" i="13"/>
  <c r="CR126" i="13"/>
  <c r="CP126" i="13"/>
  <c r="CK126" i="13"/>
  <c r="CU126" i="13"/>
  <c r="CV126" i="13"/>
  <c r="CW126" i="13"/>
  <c r="CX126" i="13"/>
  <c r="CG126" i="13"/>
  <c r="CH126" i="13"/>
  <c r="CI126" i="13"/>
  <c r="CF126" i="13"/>
  <c r="CJ126" i="13"/>
  <c r="CD126" i="13"/>
  <c r="CU140" i="13"/>
  <c r="CX140" i="13"/>
  <c r="CT140" i="13"/>
  <c r="CV140" i="13"/>
  <c r="CJ140" i="13"/>
  <c r="CP140" i="13"/>
  <c r="CW140" i="13"/>
  <c r="CF140" i="13"/>
  <c r="CI140" i="13"/>
  <c r="CG140" i="13"/>
  <c r="CR140" i="13"/>
  <c r="CD140" i="13"/>
  <c r="CH140" i="13"/>
  <c r="CQ232" i="13"/>
  <c r="CE167" i="13"/>
  <c r="CS167" i="13"/>
  <c r="CI167" i="13"/>
  <c r="CT167" i="13"/>
  <c r="CF167" i="13"/>
  <c r="CG167" i="13"/>
  <c r="AZ167" i="13" s="1"/>
  <c r="CH167" i="13"/>
  <c r="CW167" i="13"/>
  <c r="CX114" i="13"/>
  <c r="CP114" i="13"/>
  <c r="CW114" i="13"/>
  <c r="CH114" i="13"/>
  <c r="CV114" i="13"/>
  <c r="CI114" i="13"/>
  <c r="CU114" i="13"/>
  <c r="CT114" i="13"/>
  <c r="CD114" i="13"/>
  <c r="CR114" i="13"/>
  <c r="CG114" i="13"/>
  <c r="CF114" i="13"/>
  <c r="CJ114" i="13"/>
  <c r="CT210" i="13"/>
  <c r="CE210" i="13"/>
  <c r="CS210" i="13"/>
  <c r="CD210" i="13"/>
  <c r="CQ210" i="13"/>
  <c r="CW210" i="13"/>
  <c r="CR210" i="13"/>
  <c r="CI210" i="13"/>
  <c r="CH210" i="13"/>
  <c r="CF210" i="13"/>
  <c r="CC210" i="13"/>
  <c r="CW116" i="13"/>
  <c r="CV116" i="13"/>
  <c r="CU116" i="13"/>
  <c r="CF116" i="13"/>
  <c r="CY116" i="13"/>
  <c r="CT116" i="13"/>
  <c r="CG116" i="13"/>
  <c r="CR116" i="13"/>
  <c r="CJ116" i="13"/>
  <c r="CD116" i="13"/>
  <c r="CH116" i="13"/>
  <c r="CI116" i="13"/>
  <c r="CK116" i="13"/>
  <c r="CP116" i="13"/>
  <c r="CX116" i="13"/>
  <c r="CM305" i="13"/>
  <c r="CZ305" i="13"/>
  <c r="CG305" i="13"/>
  <c r="DA305" i="13"/>
  <c r="CX305" i="13"/>
  <c r="CL305" i="13"/>
  <c r="CI305" i="13"/>
  <c r="CW305" i="13"/>
  <c r="CU305" i="13"/>
  <c r="CJ305" i="13"/>
  <c r="CU130" i="13"/>
  <c r="CW130" i="13"/>
  <c r="CX130" i="13"/>
  <c r="CP130" i="13"/>
  <c r="CF130" i="13"/>
  <c r="CR130" i="13"/>
  <c r="CT130" i="13"/>
  <c r="CJ130" i="13"/>
  <c r="CD130" i="13"/>
  <c r="CI130" i="13"/>
  <c r="CV130" i="13"/>
  <c r="CG130" i="13"/>
  <c r="CH130" i="13"/>
  <c r="CQ205" i="13"/>
  <c r="CW205" i="13"/>
  <c r="CH205" i="13"/>
  <c r="CF205" i="13"/>
  <c r="CD205" i="13"/>
  <c r="CC205" i="13"/>
  <c r="CT205" i="13"/>
  <c r="CS205" i="13"/>
  <c r="CR205" i="13"/>
  <c r="CI205" i="13"/>
  <c r="CE205" i="13"/>
  <c r="CV99" i="13"/>
  <c r="CW99" i="13"/>
  <c r="CP99" i="13"/>
  <c r="CX99" i="13"/>
  <c r="CF99" i="13"/>
  <c r="CR99" i="13"/>
  <c r="CG99" i="13"/>
  <c r="CT99" i="13"/>
  <c r="CI99" i="13"/>
  <c r="CJ99" i="13"/>
  <c r="CU99" i="13"/>
  <c r="CD99" i="13"/>
  <c r="CH99" i="13"/>
  <c r="CT93" i="13"/>
  <c r="CI93" i="13"/>
  <c r="CU93" i="13"/>
  <c r="CV93" i="13"/>
  <c r="CW93" i="13"/>
  <c r="CD93" i="13"/>
  <c r="CP93" i="13"/>
  <c r="CX93" i="13"/>
  <c r="CR93" i="13"/>
  <c r="CG93" i="13"/>
  <c r="CF93" i="13"/>
  <c r="CH93" i="13"/>
  <c r="CJ93" i="13"/>
  <c r="CK291" i="13"/>
  <c r="CY291" i="13"/>
  <c r="CM291" i="13"/>
  <c r="CL291" i="13"/>
  <c r="CZ291" i="13"/>
  <c r="CG291" i="13"/>
  <c r="CX291" i="13"/>
  <c r="CW291" i="13"/>
  <c r="CU291" i="13"/>
  <c r="CJ291" i="13"/>
  <c r="CI291" i="13"/>
  <c r="DA291" i="13"/>
  <c r="CW290" i="13"/>
  <c r="CU290" i="13"/>
  <c r="CJ290" i="13"/>
  <c r="CZ290" i="13"/>
  <c r="CM290" i="13"/>
  <c r="CL290" i="13"/>
  <c r="CI290" i="13"/>
  <c r="CG290" i="13"/>
  <c r="DA290" i="13"/>
  <c r="CX290" i="13"/>
  <c r="CU132" i="13"/>
  <c r="CX132" i="13"/>
  <c r="CP132" i="13"/>
  <c r="CT132" i="13"/>
  <c r="CV132" i="13"/>
  <c r="CD132" i="13"/>
  <c r="AZ132" i="13" s="1"/>
  <c r="CW132" i="13"/>
  <c r="CH132" i="13"/>
  <c r="CR132" i="13"/>
  <c r="CF132" i="13"/>
  <c r="CG132" i="13"/>
  <c r="CI132" i="13"/>
  <c r="CJ132" i="13"/>
  <c r="CB233" i="13"/>
  <c r="CE233" i="13"/>
  <c r="CR233" i="13"/>
  <c r="CP233" i="13"/>
  <c r="CD233" i="13"/>
  <c r="CS233" i="13"/>
  <c r="CC232" i="13"/>
  <c r="CU139" i="13"/>
  <c r="CX139" i="13"/>
  <c r="CR139" i="13"/>
  <c r="CD139" i="13"/>
  <c r="CT139" i="13"/>
  <c r="CY139" i="13"/>
  <c r="CP139" i="13"/>
  <c r="CV139" i="13"/>
  <c r="CW139" i="13"/>
  <c r="CH139" i="13"/>
  <c r="CJ139" i="13"/>
  <c r="CK139" i="13"/>
  <c r="CF139" i="13"/>
  <c r="CG139" i="13"/>
  <c r="CI139" i="13"/>
  <c r="CK279" i="13"/>
  <c r="CY279" i="13"/>
  <c r="CM279" i="13"/>
  <c r="CL279" i="13"/>
  <c r="CZ279" i="13"/>
  <c r="CG279" i="13"/>
  <c r="CJ279" i="13"/>
  <c r="DA279" i="13"/>
  <c r="CX279" i="13"/>
  <c r="CW279" i="13"/>
  <c r="CU279" i="13"/>
  <c r="CI279" i="13"/>
  <c r="CF282" i="13"/>
  <c r="CT282" i="13"/>
  <c r="CD282" i="13"/>
  <c r="CS282" i="13"/>
  <c r="CR282" i="13"/>
  <c r="CW282" i="13"/>
  <c r="CU282" i="13"/>
  <c r="CJ282" i="13"/>
  <c r="CE282" i="13"/>
  <c r="CX282" i="13"/>
  <c r="CM282" i="13"/>
  <c r="CL282" i="13"/>
  <c r="CI282" i="13"/>
  <c r="CG282" i="13"/>
  <c r="DA282" i="13"/>
  <c r="CZ282" i="13"/>
  <c r="CW91" i="13"/>
  <c r="CU91" i="13"/>
  <c r="CG91" i="13"/>
  <c r="CT91" i="13"/>
  <c r="CV91" i="13"/>
  <c r="CD91" i="13"/>
  <c r="CR91" i="13"/>
  <c r="CJ91" i="13"/>
  <c r="CP91" i="13"/>
  <c r="CI91" i="13"/>
  <c r="CH91" i="13"/>
  <c r="CX91" i="13"/>
  <c r="CF91" i="13"/>
  <c r="CU110" i="13"/>
  <c r="CT110" i="13"/>
  <c r="CR110" i="13"/>
  <c r="CD110" i="13"/>
  <c r="CX110" i="13"/>
  <c r="CP110" i="13"/>
  <c r="CW110" i="13"/>
  <c r="CG110" i="13"/>
  <c r="CV110" i="13"/>
  <c r="CI110" i="13"/>
  <c r="CF110" i="13"/>
  <c r="CJ110" i="13"/>
  <c r="CH110" i="13"/>
  <c r="CF307" i="13"/>
  <c r="CZ307" i="13"/>
  <c r="CG307" i="13"/>
  <c r="CM307" i="13"/>
  <c r="CT307" i="13"/>
  <c r="DA307" i="13"/>
  <c r="CU307" i="13"/>
  <c r="CX307" i="13"/>
  <c r="CW307" i="13"/>
  <c r="CL307" i="13"/>
  <c r="CJ307" i="13"/>
  <c r="CI307" i="13"/>
  <c r="CW64" i="13"/>
  <c r="CI64" i="13"/>
  <c r="CV64" i="13"/>
  <c r="CH64" i="13"/>
  <c r="CU64" i="13"/>
  <c r="CG64" i="13"/>
  <c r="CT64" i="13"/>
  <c r="CF64" i="13"/>
  <c r="CS64" i="13"/>
  <c r="CE64" i="13"/>
  <c r="CJ310" i="13"/>
  <c r="CW310" i="13"/>
  <c r="CM310" i="13"/>
  <c r="CL310" i="13"/>
  <c r="CI310" i="13"/>
  <c r="DA310" i="13"/>
  <c r="CU310" i="13"/>
  <c r="CZ310" i="13"/>
  <c r="CX310" i="13"/>
  <c r="CG310" i="13"/>
  <c r="CF270" i="13"/>
  <c r="CT270" i="13"/>
  <c r="CD270" i="13"/>
  <c r="CS270" i="13"/>
  <c r="CR270" i="13"/>
  <c r="CW270" i="13"/>
  <c r="CE270" i="13"/>
  <c r="CJ270" i="13"/>
  <c r="CX270" i="13"/>
  <c r="CL270" i="13"/>
  <c r="CI270" i="13"/>
  <c r="CG270" i="13"/>
  <c r="DA270" i="13"/>
  <c r="CZ270" i="13"/>
  <c r="CU270" i="13"/>
  <c r="CM270" i="13"/>
  <c r="CP105" i="13"/>
  <c r="CX105" i="13"/>
  <c r="CH105" i="13"/>
  <c r="CW105" i="13"/>
  <c r="CI105" i="13"/>
  <c r="CV105" i="13"/>
  <c r="CJ105" i="13"/>
  <c r="CU105" i="13"/>
  <c r="CT105" i="13"/>
  <c r="CD105" i="13"/>
  <c r="CF105" i="13"/>
  <c r="CG105" i="13"/>
  <c r="CR105" i="13"/>
  <c r="CR103" i="13"/>
  <c r="CG103" i="13"/>
  <c r="CT103" i="13"/>
  <c r="CI103" i="13"/>
  <c r="CU103" i="13"/>
  <c r="CJ103" i="13"/>
  <c r="CV103" i="13"/>
  <c r="CP103" i="13"/>
  <c r="CX103" i="13"/>
  <c r="CD103" i="13"/>
  <c r="AZ103" i="13" s="1"/>
  <c r="CF103" i="13"/>
  <c r="CW103" i="13"/>
  <c r="CH103" i="13"/>
  <c r="CX298" i="13"/>
  <c r="CW298" i="13"/>
  <c r="CL298" i="13"/>
  <c r="CU298" i="13"/>
  <c r="CJ298" i="13"/>
  <c r="CI298" i="13"/>
  <c r="CG298" i="13"/>
  <c r="DA298" i="13"/>
  <c r="CZ298" i="13"/>
  <c r="CM298" i="13"/>
  <c r="CG164" i="13"/>
  <c r="CI164" i="13"/>
  <c r="CW164" i="13"/>
  <c r="CS164" i="13"/>
  <c r="CT164" i="13"/>
  <c r="CE164" i="13"/>
  <c r="CF164" i="13"/>
  <c r="CH164" i="13"/>
  <c r="CK261" i="13"/>
  <c r="CY261" i="13"/>
  <c r="CW261" i="13"/>
  <c r="CJ261" i="13"/>
  <c r="DA261" i="13"/>
  <c r="CU261" i="13"/>
  <c r="CM261" i="13"/>
  <c r="CL261" i="13"/>
  <c r="CI261" i="13"/>
  <c r="CZ261" i="13"/>
  <c r="CX261" i="13"/>
  <c r="CG261" i="13"/>
  <c r="CU50" i="13"/>
  <c r="CV50" i="13"/>
  <c r="CE50" i="13"/>
  <c r="CW50" i="13"/>
  <c r="CI50" i="13"/>
  <c r="CT50" i="13"/>
  <c r="CH50" i="13"/>
  <c r="CS50" i="13"/>
  <c r="CG50" i="13"/>
  <c r="CF50" i="13"/>
  <c r="CH165" i="13"/>
  <c r="CF165" i="13"/>
  <c r="CW165" i="13"/>
  <c r="CG165" i="13"/>
  <c r="CI165" i="13"/>
  <c r="CS165" i="13"/>
  <c r="CT165" i="13"/>
  <c r="CE165" i="13"/>
  <c r="CJ284" i="13"/>
  <c r="DA284" i="13"/>
  <c r="CI284" i="13"/>
  <c r="CW284" i="13"/>
  <c r="CM284" i="13"/>
  <c r="CZ284" i="13"/>
  <c r="CX284" i="13"/>
  <c r="CU284" i="13"/>
  <c r="CL284" i="13"/>
  <c r="CG284" i="13"/>
  <c r="CM301" i="13"/>
  <c r="CF301" i="13"/>
  <c r="CZ301" i="13"/>
  <c r="CG301" i="13"/>
  <c r="CT301" i="13"/>
  <c r="CW301" i="13"/>
  <c r="CU301" i="13"/>
  <c r="CI301" i="13"/>
  <c r="CX301" i="13"/>
  <c r="CJ301" i="13"/>
  <c r="DA301" i="13"/>
  <c r="CL301" i="13"/>
  <c r="CT111" i="13"/>
  <c r="CR111" i="13"/>
  <c r="CJ111" i="13"/>
  <c r="CX111" i="13"/>
  <c r="CP111" i="13"/>
  <c r="CW111" i="13"/>
  <c r="CV111" i="13"/>
  <c r="CF111" i="13"/>
  <c r="CD111" i="13"/>
  <c r="CU111" i="13"/>
  <c r="CG111" i="13"/>
  <c r="CH111" i="13"/>
  <c r="CI111" i="13"/>
  <c r="CH267" i="13"/>
  <c r="CK267" i="13"/>
  <c r="CY267" i="13"/>
  <c r="CM267" i="13"/>
  <c r="CZ267" i="13"/>
  <c r="CG267" i="13"/>
  <c r="CU267" i="13"/>
  <c r="CI267" i="13"/>
  <c r="DA267" i="13"/>
  <c r="CX267" i="13"/>
  <c r="CW267" i="13"/>
  <c r="CL267" i="13"/>
  <c r="CJ267" i="13"/>
  <c r="CD327" i="13"/>
  <c r="CR327" i="13"/>
  <c r="CE327" i="13"/>
  <c r="CK327" i="13"/>
  <c r="CZ327" i="13"/>
  <c r="CG327" i="13"/>
  <c r="CT327" i="13"/>
  <c r="CW327" i="13"/>
  <c r="CY327" i="13"/>
  <c r="CM327" i="13"/>
  <c r="CJ327" i="13"/>
  <c r="CU327" i="13"/>
  <c r="CI327" i="13"/>
  <c r="DA327" i="13"/>
  <c r="CS327" i="13"/>
  <c r="CX327" i="13"/>
  <c r="CF327" i="13"/>
  <c r="CL327" i="13"/>
  <c r="CW316" i="13"/>
  <c r="CM316" i="13"/>
  <c r="CJ316" i="13"/>
  <c r="CZ316" i="13"/>
  <c r="CG316" i="13"/>
  <c r="CX316" i="13"/>
  <c r="CU316" i="13"/>
  <c r="CL316" i="13"/>
  <c r="CI316" i="13"/>
  <c r="DA316" i="13"/>
  <c r="CF277" i="13"/>
  <c r="CT277" i="13"/>
  <c r="CZ277" i="13"/>
  <c r="CG277" i="13"/>
  <c r="CX277" i="13"/>
  <c r="CM277" i="13"/>
  <c r="CU277" i="13"/>
  <c r="CL277" i="13"/>
  <c r="CJ277" i="13"/>
  <c r="CI277" i="13"/>
  <c r="DA277" i="13"/>
  <c r="CW277" i="13"/>
  <c r="CU133" i="13"/>
  <c r="CX133" i="13"/>
  <c r="CV133" i="13"/>
  <c r="CW133" i="13"/>
  <c r="CR133" i="13"/>
  <c r="CG133" i="13"/>
  <c r="CF133" i="13"/>
  <c r="CP133" i="13"/>
  <c r="CH133" i="13"/>
  <c r="CI133" i="13"/>
  <c r="CT133" i="13"/>
  <c r="CJ133" i="13"/>
  <c r="CD133" i="13"/>
  <c r="AZ133" i="13" s="1"/>
  <c r="CS276" i="13"/>
  <c r="CR276" i="13"/>
  <c r="CF276" i="13"/>
  <c r="CE276" i="13"/>
  <c r="CT276" i="13"/>
  <c r="CD276" i="13"/>
  <c r="CJ276" i="13"/>
  <c r="DA276" i="13"/>
  <c r="CI276" i="13"/>
  <c r="CW276" i="13"/>
  <c r="CX276" i="13"/>
  <c r="CL276" i="13"/>
  <c r="CG276" i="13"/>
  <c r="CZ276" i="13"/>
  <c r="CU276" i="13"/>
  <c r="CM276" i="13"/>
  <c r="CW320" i="13"/>
  <c r="CM320" i="13"/>
  <c r="CJ320" i="13"/>
  <c r="CZ320" i="13"/>
  <c r="CG320" i="13"/>
  <c r="CX320" i="13"/>
  <c r="CU320" i="13"/>
  <c r="DA320" i="13"/>
  <c r="CL320" i="13"/>
  <c r="CI320" i="13"/>
  <c r="CS231" i="13"/>
  <c r="CR231" i="13"/>
  <c r="CV38" i="13"/>
  <c r="CE38" i="13"/>
  <c r="CU38" i="13"/>
  <c r="CT38" i="13"/>
  <c r="CG38" i="13"/>
  <c r="CS38" i="13"/>
  <c r="CH38" i="13"/>
  <c r="CI38" i="13"/>
  <c r="CW38" i="13"/>
  <c r="E331" i="13"/>
  <c r="E332" i="13"/>
  <c r="CU14" i="13"/>
  <c r="CV14" i="13"/>
  <c r="CW14" i="13"/>
  <c r="CS14" i="13"/>
  <c r="CT14" i="13"/>
  <c r="CU15" i="13"/>
  <c r="CV15" i="13"/>
  <c r="CW15" i="13"/>
  <c r="CS15" i="13"/>
  <c r="CT15" i="13"/>
  <c r="CU13" i="13"/>
  <c r="CV13" i="13"/>
  <c r="CW13" i="13"/>
  <c r="CT13" i="13"/>
  <c r="CS13" i="13"/>
  <c r="CV12" i="13"/>
  <c r="CW12" i="13"/>
  <c r="CU12" i="13"/>
  <c r="CT12" i="13"/>
  <c r="CS12" i="13"/>
  <c r="CU16" i="13"/>
  <c r="CV16" i="13"/>
  <c r="CW16" i="13"/>
  <c r="CS16" i="13"/>
  <c r="CT16" i="13"/>
  <c r="CU17" i="13"/>
  <c r="CV17" i="13"/>
  <c r="CW17" i="13"/>
  <c r="CS17" i="13"/>
  <c r="CT17" i="13"/>
  <c r="CH16" i="13"/>
  <c r="CE16" i="13"/>
  <c r="CI16" i="13"/>
  <c r="CF16" i="13"/>
  <c r="CG16" i="13"/>
  <c r="E174" i="13"/>
  <c r="CE14" i="13"/>
  <c r="CG14" i="13"/>
  <c r="CF14" i="13"/>
  <c r="CH14" i="13"/>
  <c r="CI14" i="13"/>
  <c r="CE15" i="13"/>
  <c r="CF15" i="13"/>
  <c r="CG15" i="13"/>
  <c r="CH15" i="13"/>
  <c r="CI15" i="13"/>
  <c r="CG13" i="13"/>
  <c r="CH13" i="13"/>
  <c r="CI13" i="13"/>
  <c r="CE13" i="13"/>
  <c r="CF13" i="13"/>
  <c r="CH12" i="13"/>
  <c r="AZ12" i="13" s="1"/>
  <c r="CI12" i="13"/>
  <c r="CH17" i="13"/>
  <c r="CE17" i="13"/>
  <c r="CF17" i="13"/>
  <c r="CG17" i="13"/>
  <c r="CI17" i="13"/>
  <c r="E334" i="13"/>
  <c r="E333" i="13"/>
  <c r="E335" i="13"/>
  <c r="E143" i="13"/>
  <c r="AZ314" i="13" l="1"/>
  <c r="AZ284" i="13"/>
  <c r="AZ210" i="13"/>
  <c r="AZ208" i="13"/>
  <c r="AZ203" i="13"/>
  <c r="AZ219" i="13"/>
  <c r="AZ173" i="13"/>
  <c r="AZ165" i="13"/>
  <c r="AZ164" i="13"/>
  <c r="AZ170" i="13"/>
  <c r="AZ166" i="13"/>
  <c r="AZ169" i="13"/>
  <c r="AZ168" i="13"/>
  <c r="AZ142" i="13"/>
  <c r="AZ106" i="13"/>
  <c r="AZ99" i="13"/>
  <c r="AZ115" i="13"/>
  <c r="AZ118" i="13"/>
  <c r="AZ138" i="13"/>
  <c r="AZ128" i="13"/>
  <c r="AZ108" i="13"/>
  <c r="AZ140" i="13"/>
  <c r="AZ111" i="13"/>
  <c r="AZ104" i="13"/>
  <c r="AZ129" i="13"/>
  <c r="AZ105" i="13"/>
  <c r="AZ117" i="13"/>
  <c r="AZ130" i="13"/>
  <c r="AZ116" i="13"/>
  <c r="AZ126" i="13"/>
  <c r="AZ122" i="13"/>
  <c r="AZ136" i="13"/>
  <c r="AZ125" i="13"/>
  <c r="AZ109" i="13"/>
  <c r="AZ134" i="13"/>
  <c r="AZ137" i="13"/>
  <c r="AZ120" i="13"/>
  <c r="AZ135" i="13"/>
  <c r="AZ124" i="13"/>
  <c r="AZ92" i="13"/>
  <c r="AZ114" i="13"/>
  <c r="AZ139" i="13"/>
  <c r="AZ93" i="13"/>
  <c r="AZ131" i="13"/>
  <c r="AZ123" i="13"/>
  <c r="AZ102" i="13"/>
  <c r="AZ127" i="13"/>
  <c r="AZ107" i="13"/>
  <c r="AZ96" i="13"/>
  <c r="AZ113" i="13"/>
  <c r="AZ112" i="13"/>
  <c r="AZ48" i="13"/>
  <c r="AZ44" i="13"/>
  <c r="AZ15" i="13"/>
  <c r="AZ16" i="13"/>
  <c r="AK231" i="13"/>
  <c r="AZ17" i="13"/>
  <c r="AK233" i="13"/>
  <c r="AZ290" i="13"/>
  <c r="AK232" i="13"/>
  <c r="AZ285" i="13"/>
  <c r="AZ46" i="13"/>
  <c r="AZ45" i="13"/>
  <c r="AZ218" i="13"/>
  <c r="AZ163" i="13"/>
  <c r="AZ91" i="13"/>
  <c r="AZ205" i="13"/>
  <c r="AZ212" i="13"/>
  <c r="AZ220" i="13"/>
  <c r="AZ309" i="13"/>
  <c r="AZ211" i="13"/>
  <c r="AZ214" i="13"/>
  <c r="AZ215" i="13"/>
  <c r="AK234" i="13"/>
  <c r="AZ207" i="13"/>
  <c r="AZ209" i="13"/>
  <c r="AZ221" i="13"/>
  <c r="AZ204" i="13"/>
  <c r="AZ216" i="13"/>
  <c r="AZ213" i="13"/>
  <c r="AZ300" i="13"/>
  <c r="AZ271" i="13"/>
  <c r="AZ291" i="13"/>
  <c r="AZ217" i="13"/>
  <c r="AZ326" i="13"/>
  <c r="AZ38" i="13"/>
  <c r="AZ324" i="13"/>
  <c r="AZ329" i="13"/>
  <c r="AZ318" i="13"/>
  <c r="AZ305" i="13"/>
  <c r="AZ315" i="13"/>
  <c r="AZ317" i="13"/>
  <c r="AZ269" i="13"/>
  <c r="AZ301" i="13"/>
  <c r="AZ321" i="13"/>
  <c r="AZ311" i="13"/>
  <c r="AZ259" i="13"/>
  <c r="AZ320" i="13"/>
  <c r="AZ306" i="13"/>
  <c r="AZ325" i="13"/>
  <c r="AZ308" i="13"/>
  <c r="AZ323" i="13"/>
  <c r="AZ328" i="13"/>
  <c r="AZ316" i="13"/>
  <c r="AZ307" i="13"/>
  <c r="AZ319" i="13"/>
  <c r="AZ251" i="13"/>
  <c r="AZ322" i="13"/>
  <c r="AZ303" i="13"/>
  <c r="AZ310" i="13"/>
  <c r="AZ254" i="13"/>
  <c r="AZ265" i="13"/>
  <c r="AZ304" i="13"/>
  <c r="AZ312" i="13"/>
  <c r="AZ327" i="13"/>
  <c r="AZ313" i="13"/>
  <c r="AZ257" i="13"/>
  <c r="AZ283" i="13"/>
  <c r="AZ293" i="13"/>
  <c r="AZ264" i="13"/>
  <c r="AZ262" i="13"/>
  <c r="AZ267" i="13"/>
  <c r="AZ275" i="13"/>
  <c r="AZ260" i="13"/>
  <c r="AZ263" i="13"/>
  <c r="AZ258" i="13"/>
  <c r="AZ287" i="13"/>
  <c r="AZ268" i="13"/>
  <c r="AZ266" i="13"/>
  <c r="AZ272" i="13"/>
  <c r="AZ274" i="13"/>
  <c r="AZ256" i="13"/>
  <c r="AZ292" i="13"/>
  <c r="AZ289" i="13"/>
  <c r="AZ282" i="13"/>
  <c r="AZ261" i="13"/>
  <c r="AZ286" i="13"/>
  <c r="AZ280" i="13"/>
  <c r="AZ278" i="13"/>
  <c r="AZ273" i="13"/>
  <c r="AZ277" i="13"/>
  <c r="AZ276" i="13"/>
  <c r="AZ279" i="13"/>
  <c r="AZ281" i="13"/>
  <c r="AZ252" i="13"/>
  <c r="AZ255" i="13"/>
  <c r="AZ253" i="13"/>
  <c r="AZ250" i="13"/>
  <c r="AZ296" i="13"/>
  <c r="AZ294" i="13"/>
  <c r="AZ299" i="13"/>
  <c r="AZ298" i="13"/>
  <c r="AZ297" i="13"/>
  <c r="AZ295" i="13"/>
  <c r="AZ110" i="13"/>
  <c r="AZ270" i="13"/>
  <c r="AZ202" i="13"/>
  <c r="AZ206" i="13"/>
  <c r="AZ288" i="13"/>
  <c r="AZ101" i="13"/>
  <c r="AZ100" i="13"/>
  <c r="AZ95" i="13"/>
  <c r="AZ94" i="13"/>
  <c r="AZ47" i="13"/>
  <c r="AZ64" i="13"/>
  <c r="AZ50" i="13"/>
  <c r="AZ49" i="13"/>
  <c r="AZ13" i="13"/>
  <c r="AZ14" i="13"/>
  <c r="AX162" i="46"/>
  <c r="AW162" i="46"/>
  <c r="AV162" i="46"/>
  <c r="AU162" i="46"/>
  <c r="CC145" i="46" l="1"/>
  <c r="CP198" i="46" l="1"/>
  <c r="CD198" i="46"/>
  <c r="CP197" i="46"/>
  <c r="CD197" i="46"/>
  <c r="CP200" i="46"/>
  <c r="CD200" i="46"/>
  <c r="CU202" i="46"/>
  <c r="CI202" i="46"/>
  <c r="CN144" i="46"/>
  <c r="CP144" i="46"/>
  <c r="CO144" i="46"/>
  <c r="CJ202" i="46"/>
  <c r="CV202" i="46"/>
  <c r="CJ197" i="46"/>
  <c r="CV197" i="46"/>
  <c r="CI197" i="46"/>
  <c r="CU197" i="46"/>
  <c r="CI198" i="46"/>
  <c r="CU198" i="46"/>
  <c r="CJ198" i="46"/>
  <c r="CV198" i="46"/>
  <c r="CU196" i="46"/>
  <c r="CU201" i="46"/>
  <c r="CI201" i="46"/>
  <c r="CP145" i="46"/>
  <c r="CN145" i="46"/>
  <c r="CO145" i="46"/>
  <c r="CR199" i="46"/>
  <c r="CG199" i="46"/>
  <c r="CS199" i="46"/>
  <c r="CH199" i="46"/>
  <c r="CT199" i="46"/>
  <c r="CE199" i="46"/>
  <c r="CQ199" i="46"/>
  <c r="CF199" i="46"/>
  <c r="CJ200" i="46"/>
  <c r="CV200" i="46"/>
  <c r="CJ199" i="46"/>
  <c r="CV199" i="46"/>
  <c r="CU200" i="46"/>
  <c r="CI200" i="46"/>
  <c r="CI199" i="46"/>
  <c r="CU199" i="46"/>
  <c r="CV201" i="46"/>
  <c r="CJ201" i="46"/>
  <c r="CV196" i="46"/>
  <c r="CC144" i="46"/>
  <c r="CD144" i="46"/>
  <c r="CE144" i="46"/>
  <c r="CD145" i="46"/>
  <c r="CE145" i="46"/>
  <c r="AC199" i="46" l="1"/>
  <c r="CH196" i="46"/>
  <c r="CG196" i="46"/>
  <c r="CF196" i="46"/>
  <c r="CE196" i="46"/>
  <c r="CC196" i="46"/>
  <c r="CF202" i="46"/>
  <c r="CG202" i="46"/>
  <c r="CH202" i="46"/>
  <c r="CQ202" i="46"/>
  <c r="CS202" i="46"/>
  <c r="CE202" i="46"/>
  <c r="CR202" i="46"/>
  <c r="CT202" i="46"/>
  <c r="CQ198" i="46"/>
  <c r="CR198" i="46"/>
  <c r="CS198" i="46"/>
  <c r="CF198" i="46"/>
  <c r="CH198" i="46"/>
  <c r="CE198" i="46"/>
  <c r="CG198" i="46"/>
  <c r="CT198" i="46"/>
  <c r="CE201" i="46"/>
  <c r="CQ201" i="46"/>
  <c r="CF201" i="46"/>
  <c r="CT201" i="46"/>
  <c r="CR201" i="46"/>
  <c r="CG201" i="46"/>
  <c r="CS201" i="46"/>
  <c r="CH201" i="46"/>
  <c r="CR200" i="46"/>
  <c r="CE200" i="46"/>
  <c r="CH200" i="46"/>
  <c r="CS200" i="46"/>
  <c r="CF200" i="46"/>
  <c r="CQ200" i="46"/>
  <c r="CG200" i="46"/>
  <c r="CT200" i="46"/>
  <c r="CT197" i="46"/>
  <c r="CQ197" i="46"/>
  <c r="CF197" i="46"/>
  <c r="CG197" i="46"/>
  <c r="CR197" i="46"/>
  <c r="CE197" i="46"/>
  <c r="CS197" i="46"/>
  <c r="CH197" i="46"/>
  <c r="CS196" i="46"/>
  <c r="CO196" i="46"/>
  <c r="CT196" i="46"/>
  <c r="CR196" i="46"/>
  <c r="CQ196" i="46"/>
  <c r="AC200" i="46" l="1"/>
  <c r="AC202" i="46"/>
  <c r="AC196" i="46"/>
  <c r="AC201" i="46"/>
  <c r="AC198" i="46"/>
  <c r="AC197" i="46"/>
  <c r="K222" i="34"/>
  <c r="CB231" i="34"/>
  <c r="CC231" i="34"/>
  <c r="CL231" i="34"/>
  <c r="CM231" i="34"/>
  <c r="CM230" i="34"/>
  <c r="CL230" i="34"/>
  <c r="CC230" i="34"/>
  <c r="CB230" i="34"/>
  <c r="CB224" i="34"/>
  <c r="CC224" i="34"/>
  <c r="CB225" i="34"/>
  <c r="CC225" i="34"/>
  <c r="CB226" i="34"/>
  <c r="CC226" i="34"/>
  <c r="CC223" i="34"/>
  <c r="CB223" i="34"/>
  <c r="CB221" i="34"/>
  <c r="CC221" i="34"/>
  <c r="CL221" i="34"/>
  <c r="CM221" i="34"/>
  <c r="CL223" i="34"/>
  <c r="CM223" i="34"/>
  <c r="CL224" i="34"/>
  <c r="CM224" i="34"/>
  <c r="CL225" i="34"/>
  <c r="CM225" i="34"/>
  <c r="CL226" i="34"/>
  <c r="CM226" i="34"/>
  <c r="CB220" i="34"/>
  <c r="CC220" i="34"/>
  <c r="CL220" i="34"/>
  <c r="CM220" i="34"/>
  <c r="CL219" i="34"/>
  <c r="CM219" i="34"/>
  <c r="CB219" i="34"/>
  <c r="CC219" i="34"/>
  <c r="G97" i="34"/>
  <c r="J91" i="34"/>
  <c r="CL91" i="34"/>
  <c r="J92" i="34"/>
  <c r="CL92" i="34"/>
  <c r="J93" i="34"/>
  <c r="CL90" i="34"/>
  <c r="J90" i="34"/>
  <c r="CL87" i="34"/>
  <c r="CB87" i="34" s="1"/>
  <c r="CM87" i="34"/>
  <c r="CC87" i="34" s="1"/>
  <c r="CN87" i="34"/>
  <c r="CD87" i="34" s="1"/>
  <c r="CO87" i="34"/>
  <c r="CE87" i="34" s="1"/>
  <c r="CP87" i="34"/>
  <c r="CF87" i="34" s="1"/>
  <c r="CP86" i="34"/>
  <c r="CF86" i="34" s="1"/>
  <c r="CO86" i="34"/>
  <c r="CE86" i="34" s="1"/>
  <c r="CN86" i="34"/>
  <c r="CD86" i="34" s="1"/>
  <c r="CM86" i="34"/>
  <c r="CC86" i="34" s="1"/>
  <c r="CL86" i="34"/>
  <c r="CB86" i="34" s="1"/>
  <c r="CB64" i="34"/>
  <c r="CB67" i="34"/>
  <c r="CB66" i="34"/>
  <c r="CB65" i="34"/>
  <c r="CC64" i="34"/>
  <c r="CB63" i="34"/>
  <c r="CB62" i="34"/>
  <c r="CL61" i="34"/>
  <c r="J54" i="34"/>
  <c r="F54" i="34"/>
  <c r="G232" i="34"/>
  <c r="F232" i="34"/>
  <c r="E232" i="34"/>
  <c r="D232" i="34"/>
  <c r="K227" i="34"/>
  <c r="J227" i="34"/>
  <c r="G227" i="34"/>
  <c r="F227" i="34"/>
  <c r="J222" i="34"/>
  <c r="I222" i="34"/>
  <c r="H222" i="34"/>
  <c r="G222" i="34"/>
  <c r="F222" i="34"/>
  <c r="G201" i="34"/>
  <c r="T201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L223" i="34" l="1"/>
  <c r="L225" i="34"/>
  <c r="CL260" i="34"/>
  <c r="H231" i="34"/>
  <c r="CD200" i="34"/>
  <c r="H87" i="34"/>
  <c r="H86" i="34"/>
  <c r="CB213" i="34"/>
  <c r="CM199" i="34"/>
  <c r="L226" i="34"/>
  <c r="H230" i="34"/>
  <c r="L220" i="34"/>
  <c r="L221" i="34"/>
  <c r="L224" i="34"/>
  <c r="L219" i="34"/>
  <c r="CB260" i="34"/>
  <c r="R260" i="34" s="1"/>
  <c r="CC65" i="34"/>
  <c r="CC67" i="34"/>
  <c r="CB61" i="34"/>
  <c r="CC61" i="34"/>
  <c r="F201" i="34"/>
  <c r="CM61" i="34"/>
  <c r="CC63" i="34"/>
  <c r="CC66" i="34"/>
  <c r="CC62" i="34"/>
  <c r="E201" i="34"/>
  <c r="CC112" i="34"/>
  <c r="N61" i="34" l="1"/>
  <c r="CM200" i="34"/>
  <c r="CL200" i="34"/>
  <c r="CO200" i="34"/>
  <c r="CC200" i="34"/>
  <c r="CE200" i="34"/>
  <c r="CM122" i="34"/>
  <c r="CL122" i="34"/>
  <c r="CE199" i="34"/>
  <c r="CN200" i="34"/>
  <c r="CB200" i="34"/>
  <c r="CF200" i="34"/>
  <c r="CG200" i="34"/>
  <c r="CQ200" i="34"/>
  <c r="CP200" i="34"/>
  <c r="CG199" i="34"/>
  <c r="CF199" i="34"/>
  <c r="CD199" i="34"/>
  <c r="CQ199" i="34"/>
  <c r="CP199" i="34"/>
  <c r="D201" i="34"/>
  <c r="CO199" i="34"/>
  <c r="CL199" i="34"/>
  <c r="CC199" i="34"/>
  <c r="CC213" i="34"/>
  <c r="AH213" i="34" s="1"/>
  <c r="CC122" i="34"/>
  <c r="CB122" i="34"/>
  <c r="CB199" i="34"/>
  <c r="CB262" i="34"/>
  <c r="R262" i="34" s="1"/>
  <c r="CL262" i="34"/>
  <c r="CN199" i="34"/>
  <c r="CB261" i="34"/>
  <c r="R261" i="34" s="1"/>
  <c r="CL261" i="34"/>
  <c r="CC46" i="34"/>
  <c r="CB46" i="34"/>
  <c r="CB215" i="34"/>
  <c r="CC215" i="34"/>
  <c r="CM117" i="34"/>
  <c r="CB117" i="34"/>
  <c r="CC117" i="34"/>
  <c r="CL117" i="34"/>
  <c r="CB113" i="34"/>
  <c r="CC113" i="34"/>
  <c r="CL113" i="34"/>
  <c r="CM113" i="34"/>
  <c r="CM112" i="34"/>
  <c r="CL112" i="34"/>
  <c r="CB112" i="34"/>
  <c r="Y112" i="34" s="1"/>
  <c r="CB115" i="34"/>
  <c r="CC115" i="34"/>
  <c r="CL115" i="34"/>
  <c r="CM115" i="34"/>
  <c r="CM116" i="34"/>
  <c r="CB116" i="34"/>
  <c r="CC116" i="34"/>
  <c r="CL116" i="34"/>
  <c r="CB55" i="34"/>
  <c r="CC55" i="34"/>
  <c r="CL55" i="34"/>
  <c r="CC214" i="34"/>
  <c r="CB214" i="34"/>
  <c r="CM114" i="34"/>
  <c r="CC114" i="34"/>
  <c r="CL114" i="34"/>
  <c r="CB114" i="34"/>
  <c r="AE122" i="34" l="1"/>
  <c r="U200" i="34"/>
  <c r="U199" i="34"/>
  <c r="Y116" i="34"/>
  <c r="T46" i="34"/>
  <c r="Y113" i="34"/>
  <c r="AH215" i="34"/>
  <c r="L55" i="34"/>
  <c r="Y117" i="34"/>
  <c r="AH214" i="34"/>
  <c r="Y115" i="34"/>
  <c r="Y114" i="34"/>
  <c r="CB39" i="32" l="1"/>
  <c r="CV37" i="32"/>
  <c r="CF38" i="32"/>
  <c r="CW197" i="32"/>
  <c r="CV197" i="32"/>
  <c r="CB190" i="32"/>
  <c r="CC190" i="32"/>
  <c r="CV190" i="32"/>
  <c r="CW190" i="32"/>
  <c r="CB191" i="32"/>
  <c r="J191" i="32" s="1"/>
  <c r="CC191" i="32"/>
  <c r="CV191" i="32"/>
  <c r="CW191" i="32"/>
  <c r="CB192" i="32"/>
  <c r="CC192" i="32"/>
  <c r="CV192" i="32"/>
  <c r="CW192" i="32"/>
  <c r="CB193" i="32"/>
  <c r="CC193" i="32"/>
  <c r="CV193" i="32"/>
  <c r="CW193" i="32"/>
  <c r="CB194" i="32"/>
  <c r="CC194" i="32"/>
  <c r="CV194" i="32"/>
  <c r="CW194" i="32"/>
  <c r="CB195" i="32"/>
  <c r="J195" i="32" s="1"/>
  <c r="CC195" i="32"/>
  <c r="CV195" i="32"/>
  <c r="CW195" i="32"/>
  <c r="CB196" i="32"/>
  <c r="CC196" i="32"/>
  <c r="CV196" i="32"/>
  <c r="CW196" i="32"/>
  <c r="CB197" i="32"/>
  <c r="CC197" i="32"/>
  <c r="CB198" i="32"/>
  <c r="CC198" i="32"/>
  <c r="CV198" i="32"/>
  <c r="CW198" i="32"/>
  <c r="CB199" i="32"/>
  <c r="CC199" i="32"/>
  <c r="CV199" i="32"/>
  <c r="CW199" i="32"/>
  <c r="CC189" i="32"/>
  <c r="CB189" i="32"/>
  <c r="J189" i="32" s="1"/>
  <c r="CW189" i="32"/>
  <c r="CV189" i="32"/>
  <c r="CW172" i="32"/>
  <c r="CV172" i="32"/>
  <c r="CV156" i="32"/>
  <c r="CV157" i="32"/>
  <c r="CV158" i="32"/>
  <c r="CV159" i="32"/>
  <c r="CV160" i="32"/>
  <c r="CV161" i="32"/>
  <c r="CV162" i="32"/>
  <c r="CV163" i="32"/>
  <c r="CV164" i="32"/>
  <c r="CV165" i="32"/>
  <c r="CV155" i="32"/>
  <c r="CC172" i="32"/>
  <c r="CB172" i="32"/>
  <c r="J172" i="32" s="1"/>
  <c r="CB156" i="32"/>
  <c r="O156" i="32" s="1"/>
  <c r="CB157" i="32"/>
  <c r="O157" i="32" s="1"/>
  <c r="CB158" i="32"/>
  <c r="O158" i="32" s="1"/>
  <c r="CB159" i="32"/>
  <c r="O159" i="32" s="1"/>
  <c r="CB160" i="32"/>
  <c r="O160" i="32" s="1"/>
  <c r="CB161" i="32"/>
  <c r="O161" i="32" s="1"/>
  <c r="CB162" i="32"/>
  <c r="O162" i="32" s="1"/>
  <c r="CB163" i="32"/>
  <c r="O163" i="32" s="1"/>
  <c r="CB164" i="32"/>
  <c r="O164" i="32" s="1"/>
  <c r="CB165" i="32"/>
  <c r="O165" i="32" s="1"/>
  <c r="CB155" i="32"/>
  <c r="O155" i="32" s="1"/>
  <c r="CB173" i="32"/>
  <c r="CC173" i="32"/>
  <c r="CV173" i="32"/>
  <c r="CW173" i="32"/>
  <c r="CB174" i="32"/>
  <c r="CC174" i="32"/>
  <c r="CV174" i="32"/>
  <c r="CW174" i="32"/>
  <c r="CB175" i="32"/>
  <c r="J175" i="32" s="1"/>
  <c r="CC175" i="32"/>
  <c r="CV175" i="32"/>
  <c r="CW175" i="32"/>
  <c r="CB176" i="32"/>
  <c r="CC176" i="32"/>
  <c r="CV176" i="32"/>
  <c r="CW176" i="32"/>
  <c r="CB177" i="32"/>
  <c r="J177" i="32" s="1"/>
  <c r="CC177" i="32"/>
  <c r="CV177" i="32"/>
  <c r="CW177" i="32"/>
  <c r="CB178" i="32"/>
  <c r="CC178" i="32"/>
  <c r="CV178" i="32"/>
  <c r="CW178" i="32"/>
  <c r="CB179" i="32"/>
  <c r="J179" i="32" s="1"/>
  <c r="CC179" i="32"/>
  <c r="CV179" i="32"/>
  <c r="CW179" i="32"/>
  <c r="CB180" i="32"/>
  <c r="CC180" i="32"/>
  <c r="CV180" i="32"/>
  <c r="CW180" i="32"/>
  <c r="CB181" i="32"/>
  <c r="J181" i="32" s="1"/>
  <c r="CC181" i="32"/>
  <c r="CV181" i="32"/>
  <c r="CW181" i="32"/>
  <c r="CB182" i="32"/>
  <c r="CC182" i="32"/>
  <c r="CV182" i="32"/>
  <c r="CW182" i="32"/>
  <c r="CW78" i="32"/>
  <c r="CY78" i="32"/>
  <c r="CC72" i="32"/>
  <c r="CD72" i="32"/>
  <c r="CE72" i="32"/>
  <c r="CX39" i="32"/>
  <c r="CX36" i="32"/>
  <c r="CW36" i="32"/>
  <c r="CH37" i="32"/>
  <c r="CF39" i="32"/>
  <c r="CG39" i="32"/>
  <c r="CH39" i="32"/>
  <c r="CD39" i="32"/>
  <c r="CC38" i="32"/>
  <c r="CC37" i="32"/>
  <c r="CD37" i="32"/>
  <c r="J180" i="32" l="1"/>
  <c r="J176" i="32"/>
  <c r="J182" i="32"/>
  <c r="J199" i="32"/>
  <c r="J178" i="32"/>
  <c r="J174" i="32"/>
  <c r="J196" i="32"/>
  <c r="J194" i="32"/>
  <c r="J190" i="32"/>
  <c r="J198" i="32"/>
  <c r="J193" i="32"/>
  <c r="DB36" i="32"/>
  <c r="CB36" i="32"/>
  <c r="CV38" i="32"/>
  <c r="CG38" i="32"/>
  <c r="DA36" i="32"/>
  <c r="CZ36" i="32"/>
  <c r="CB37" i="32"/>
  <c r="CG37" i="32"/>
  <c r="CF37" i="32"/>
  <c r="CE37" i="32"/>
  <c r="CE78" i="32"/>
  <c r="CX78" i="32"/>
  <c r="J197" i="32"/>
  <c r="N72" i="32"/>
  <c r="J192" i="32"/>
  <c r="CE39" i="32"/>
  <c r="AP39" i="32" s="1"/>
  <c r="CV39" i="32"/>
  <c r="CE38" i="32"/>
  <c r="CB38" i="32"/>
  <c r="CH38" i="32"/>
  <c r="CY36" i="32"/>
  <c r="J173" i="32"/>
  <c r="CC78" i="32"/>
  <c r="O78" i="32" s="1"/>
  <c r="CD78" i="32"/>
  <c r="CC36" i="32"/>
  <c r="CD36" i="32"/>
  <c r="AP37" i="32" l="1"/>
  <c r="AP38" i="32"/>
  <c r="CJ12" i="32"/>
  <c r="CK12" i="32"/>
  <c r="CL12" i="32"/>
  <c r="CM12" i="32"/>
  <c r="CK13" i="32"/>
  <c r="CJ14" i="32"/>
  <c r="CK14" i="32"/>
  <c r="CM14" i="32"/>
  <c r="CJ15" i="32"/>
  <c r="CK15" i="32"/>
  <c r="CM15" i="32"/>
  <c r="CJ16" i="32"/>
  <c r="CK16" i="32"/>
  <c r="CM16" i="32"/>
  <c r="CJ17" i="32"/>
  <c r="CK17" i="32"/>
  <c r="CM17" i="32"/>
  <c r="CJ18" i="32"/>
  <c r="CK18" i="32"/>
  <c r="CM18" i="32"/>
  <c r="CJ19" i="32"/>
  <c r="CK19" i="32"/>
  <c r="CM19" i="32"/>
  <c r="CJ20" i="32"/>
  <c r="CK20" i="32"/>
  <c r="CM20" i="32"/>
  <c r="CJ21" i="32"/>
  <c r="CK21" i="32"/>
  <c r="CM21" i="32"/>
  <c r="CJ22" i="32"/>
  <c r="CK22" i="32"/>
  <c r="CK29" i="32"/>
  <c r="CK31" i="32"/>
  <c r="CL31" i="32"/>
  <c r="CK32" i="32"/>
  <c r="CL32" i="32"/>
  <c r="CJ11" i="32"/>
  <c r="CW11" i="32"/>
  <c r="CW12" i="32"/>
  <c r="CC11" i="32"/>
  <c r="CV11" i="32"/>
  <c r="CW21" i="32"/>
  <c r="CW22" i="32"/>
  <c r="CW15" i="32"/>
  <c r="CW16" i="32"/>
  <c r="CW17" i="32"/>
  <c r="CW18" i="32"/>
  <c r="CW19" i="32"/>
  <c r="CW20" i="32"/>
  <c r="CW14" i="32"/>
  <c r="CX19" i="32"/>
  <c r="DE29" i="32"/>
  <c r="DE30" i="32"/>
  <c r="DE31" i="32"/>
  <c r="DF31" i="32"/>
  <c r="DE32" i="32"/>
  <c r="DF32" i="32"/>
  <c r="CZ12" i="32"/>
  <c r="DA12" i="32"/>
  <c r="DB12" i="32"/>
  <c r="DC12" i="32"/>
  <c r="DD12" i="32"/>
  <c r="DE12" i="32"/>
  <c r="DF12" i="32"/>
  <c r="DG12" i="32"/>
  <c r="DE13" i="32"/>
  <c r="CZ14" i="32"/>
  <c r="DA14" i="32"/>
  <c r="DB14" i="32"/>
  <c r="DC14" i="32"/>
  <c r="DD14" i="32"/>
  <c r="DE14" i="32"/>
  <c r="DG14" i="32"/>
  <c r="CZ15" i="32"/>
  <c r="DA15" i="32"/>
  <c r="DB15" i="32"/>
  <c r="DC15" i="32"/>
  <c r="DD15" i="32"/>
  <c r="DE15" i="32"/>
  <c r="DG15" i="32"/>
  <c r="CZ16" i="32"/>
  <c r="DA16" i="32"/>
  <c r="DB16" i="32"/>
  <c r="DC16" i="32"/>
  <c r="DD16" i="32"/>
  <c r="DE16" i="32"/>
  <c r="DG16" i="32"/>
  <c r="CZ17" i="32"/>
  <c r="DA17" i="32"/>
  <c r="DB17" i="32"/>
  <c r="DC17" i="32"/>
  <c r="DD17" i="32"/>
  <c r="DE17" i="32"/>
  <c r="DG17" i="32"/>
  <c r="CZ18" i="32"/>
  <c r="DA18" i="32"/>
  <c r="DB18" i="32"/>
  <c r="DC18" i="32"/>
  <c r="DD18" i="32"/>
  <c r="DE18" i="32"/>
  <c r="DG18" i="32"/>
  <c r="CZ19" i="32"/>
  <c r="DA19" i="32"/>
  <c r="DB19" i="32"/>
  <c r="DC19" i="32"/>
  <c r="DD19" i="32"/>
  <c r="DE19" i="32"/>
  <c r="DG19" i="32"/>
  <c r="CZ20" i="32"/>
  <c r="DA20" i="32"/>
  <c r="DB20" i="32"/>
  <c r="DC20" i="32"/>
  <c r="DD20" i="32"/>
  <c r="DE20" i="32"/>
  <c r="DG20" i="32"/>
  <c r="CZ21" i="32"/>
  <c r="DA21" i="32"/>
  <c r="DB21" i="32"/>
  <c r="DC21" i="32"/>
  <c r="DD21" i="32"/>
  <c r="DE21" i="32"/>
  <c r="DG21" i="32"/>
  <c r="CZ22" i="32"/>
  <c r="DA22" i="32"/>
  <c r="DB22" i="32"/>
  <c r="DC22" i="32"/>
  <c r="DD22" i="32"/>
  <c r="DE22" i="32"/>
  <c r="DG22" i="32"/>
  <c r="DE28" i="32"/>
  <c r="DG11" i="32"/>
  <c r="DF11" i="32"/>
  <c r="DE11" i="32"/>
  <c r="DD11" i="32"/>
  <c r="DC11" i="32"/>
  <c r="DB11" i="32"/>
  <c r="DA11" i="32"/>
  <c r="CZ11" i="32"/>
  <c r="CY12" i="32"/>
  <c r="CB12" i="32"/>
  <c r="CB14" i="32"/>
  <c r="CB15" i="32"/>
  <c r="CB16" i="32"/>
  <c r="CB17" i="32"/>
  <c r="CB18" i="32"/>
  <c r="CB19" i="32"/>
  <c r="CB20" i="32"/>
  <c r="CB21" i="32"/>
  <c r="CB22" i="32"/>
  <c r="CB11" i="32"/>
  <c r="CC12" i="32"/>
  <c r="CC14" i="32"/>
  <c r="CC15" i="32"/>
  <c r="CC16" i="32"/>
  <c r="CC17" i="32"/>
  <c r="CC18" i="32"/>
  <c r="CC19" i="32"/>
  <c r="CC20" i="32"/>
  <c r="CC21" i="32"/>
  <c r="CC22" i="32"/>
  <c r="CD20" i="32"/>
  <c r="CD21" i="32"/>
  <c r="CD22" i="32"/>
  <c r="CD19" i="32"/>
  <c r="CE12" i="32"/>
  <c r="CF12" i="32"/>
  <c r="CG12" i="32"/>
  <c r="CH12" i="32"/>
  <c r="CI12" i="32"/>
  <c r="CF14" i="32"/>
  <c r="CG14" i="32"/>
  <c r="CH14" i="32"/>
  <c r="CI14" i="32"/>
  <c r="CF15" i="32"/>
  <c r="CG15" i="32"/>
  <c r="CH15" i="32"/>
  <c r="CI15" i="32"/>
  <c r="CF16" i="32"/>
  <c r="CG16" i="32"/>
  <c r="CH16" i="32"/>
  <c r="CI16" i="32"/>
  <c r="CF17" i="32"/>
  <c r="CG17" i="32"/>
  <c r="CH17" i="32"/>
  <c r="CI17" i="32"/>
  <c r="CF18" i="32"/>
  <c r="CG18" i="32"/>
  <c r="CH18" i="32"/>
  <c r="CI18" i="32"/>
  <c r="CF19" i="32"/>
  <c r="CG19" i="32"/>
  <c r="CH19" i="32"/>
  <c r="CI19" i="32"/>
  <c r="CF20" i="32"/>
  <c r="CG20" i="32"/>
  <c r="CH20" i="32"/>
  <c r="CI20" i="32"/>
  <c r="CF21" i="32"/>
  <c r="CG21" i="32"/>
  <c r="CH21" i="32"/>
  <c r="CI21" i="32"/>
  <c r="CF22" i="32"/>
  <c r="CG22" i="32"/>
  <c r="CH22" i="32"/>
  <c r="CI22" i="32"/>
  <c r="CF23" i="32"/>
  <c r="CF11" i="32"/>
  <c r="CE11" i="32"/>
  <c r="CI11" i="32"/>
  <c r="AI11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CB15" i="33" l="1"/>
  <c r="DB23" i="32"/>
  <c r="CI23" i="32"/>
  <c r="CG23" i="32"/>
  <c r="CG12" i="33"/>
  <c r="CD23" i="32"/>
  <c r="CZ23" i="32"/>
  <c r="CB23" i="32"/>
  <c r="DA23" i="32"/>
  <c r="CJ23" i="32"/>
  <c r="CV44" i="32"/>
  <c r="DD23" i="32"/>
  <c r="DC23" i="32"/>
  <c r="CH23" i="32"/>
  <c r="AJ18" i="32"/>
  <c r="AJ17" i="32"/>
  <c r="AJ16" i="32"/>
  <c r="AJ15" i="32"/>
  <c r="AJ22" i="32"/>
  <c r="AJ14" i="32"/>
  <c r="AJ21" i="32"/>
  <c r="AJ12" i="32"/>
  <c r="AJ20" i="32"/>
  <c r="AJ19" i="32"/>
  <c r="CE36" i="32"/>
  <c r="CV36" i="32"/>
  <c r="CH36" i="32"/>
  <c r="CG36" i="32"/>
  <c r="CF36" i="32"/>
  <c r="CV23" i="32"/>
  <c r="CG11" i="32"/>
  <c r="CH11" i="32"/>
  <c r="E11" i="33"/>
  <c r="CB16" i="33"/>
  <c r="CC16" i="33"/>
  <c r="CB13" i="33"/>
  <c r="CC13" i="33"/>
  <c r="CC15" i="33"/>
  <c r="D11" i="33"/>
  <c r="AJ15" i="33" l="1"/>
  <c r="AJ13" i="33"/>
  <c r="AJ16" i="33"/>
  <c r="CB12" i="33"/>
  <c r="AJ12" i="33" s="1"/>
  <c r="CC12" i="33"/>
  <c r="AJ23" i="32"/>
  <c r="AJ11" i="32"/>
  <c r="CW44" i="32"/>
  <c r="CC44" i="32"/>
  <c r="CB44" i="32"/>
  <c r="CD44" i="32"/>
  <c r="CX44" i="32"/>
  <c r="AP36" i="32"/>
  <c r="CB17" i="33"/>
  <c r="CC17" i="33"/>
  <c r="C11" i="33"/>
  <c r="CB14" i="33"/>
  <c r="CC14" i="33"/>
  <c r="AJ17" i="33" l="1"/>
  <c r="AJ14" i="33"/>
  <c r="AR44" i="32"/>
  <c r="M111" i="32"/>
  <c r="L111" i="32"/>
  <c r="K111" i="32"/>
  <c r="J111" i="32"/>
  <c r="I111" i="32"/>
  <c r="H111" i="32"/>
  <c r="G111" i="32"/>
  <c r="F111" i="32"/>
  <c r="E111" i="32"/>
  <c r="D111" i="32"/>
  <c r="CB98" i="32"/>
  <c r="N98" i="32" s="1"/>
  <c r="CB106" i="32" l="1"/>
  <c r="N106" i="32" s="1"/>
  <c r="CV106" i="32"/>
  <c r="CV99" i="32"/>
  <c r="CB99" i="32"/>
  <c r="N99" i="32" s="1"/>
  <c r="CV100" i="32"/>
  <c r="CB100" i="32"/>
  <c r="N100" i="32" s="1"/>
  <c r="CB109" i="32"/>
  <c r="N109" i="32" s="1"/>
  <c r="CV109" i="32"/>
  <c r="CV110" i="32"/>
  <c r="CB110" i="32"/>
  <c r="N110" i="32" s="1"/>
  <c r="CV103" i="32"/>
  <c r="CB103" i="32"/>
  <c r="N103" i="32" s="1"/>
  <c r="CV98" i="32"/>
  <c r="CB107" i="32"/>
  <c r="N107" i="32" s="1"/>
  <c r="CV107" i="32"/>
  <c r="CB108" i="32"/>
  <c r="N108" i="32" s="1"/>
  <c r="CV108" i="32"/>
  <c r="CV101" i="32"/>
  <c r="CB101" i="32"/>
  <c r="N101" i="32" s="1"/>
  <c r="CV102" i="32"/>
  <c r="CB102" i="32"/>
  <c r="N102" i="32" s="1"/>
  <c r="CB105" i="32"/>
  <c r="N105" i="32" s="1"/>
  <c r="CV105" i="32"/>
  <c r="C111" i="32"/>
  <c r="CB104" i="32"/>
  <c r="N104" i="32" s="1"/>
  <c r="CV104" i="32"/>
  <c r="CB149" i="31"/>
  <c r="CB148" i="31"/>
  <c r="CL95" i="31"/>
  <c r="CL94" i="31"/>
  <c r="CL93" i="31"/>
  <c r="CL92" i="31"/>
  <c r="CL91" i="31"/>
  <c r="CL90" i="31"/>
  <c r="CL89" i="31"/>
  <c r="CL88" i="31"/>
  <c r="CL87" i="31"/>
  <c r="CL86" i="31"/>
  <c r="CL85" i="31"/>
  <c r="CL84" i="31"/>
  <c r="CL83" i="31"/>
  <c r="CL82" i="31"/>
  <c r="CL81" i="31"/>
  <c r="CL80" i="31"/>
  <c r="CL79" i="31"/>
  <c r="CL78" i="31"/>
  <c r="CL77" i="31"/>
  <c r="CL76" i="31"/>
  <c r="CL75" i="31"/>
  <c r="CL74" i="31"/>
  <c r="CL73" i="31"/>
  <c r="CL72" i="31"/>
  <c r="CL71" i="31"/>
  <c r="CL70" i="31"/>
  <c r="CL68" i="31"/>
  <c r="CL67" i="31"/>
  <c r="CL65" i="31"/>
  <c r="CL64" i="31"/>
  <c r="CL63" i="31"/>
  <c r="CL62" i="31"/>
  <c r="CL61" i="31"/>
  <c r="CL60" i="31"/>
  <c r="CL59" i="31"/>
  <c r="CL58" i="31"/>
  <c r="CL57" i="31"/>
  <c r="CS17" i="31" l="1"/>
  <c r="CI17" i="31"/>
  <c r="CS45" i="31"/>
  <c r="CI45" i="31"/>
  <c r="CS38" i="31"/>
  <c r="CI38" i="31"/>
  <c r="CI46" i="31"/>
  <c r="CS46" i="31"/>
  <c r="CS19" i="31"/>
  <c r="CI19" i="31"/>
  <c r="CS13" i="31"/>
  <c r="CI13" i="31"/>
  <c r="CS21" i="31"/>
  <c r="CI21" i="31"/>
  <c r="CI33" i="31"/>
  <c r="CS33" i="31"/>
  <c r="CS41" i="31"/>
  <c r="CI41" i="31"/>
  <c r="CI49" i="31"/>
  <c r="CS49" i="31"/>
  <c r="CF28" i="31"/>
  <c r="CS28" i="31"/>
  <c r="CI28" i="31"/>
  <c r="CI30" i="31"/>
  <c r="CS30" i="31"/>
  <c r="CS47" i="31"/>
  <c r="CI47" i="31"/>
  <c r="CI48" i="31"/>
  <c r="CS48" i="31"/>
  <c r="CI14" i="31"/>
  <c r="CS14" i="31"/>
  <c r="CC25" i="31"/>
  <c r="CI25" i="31"/>
  <c r="CS25" i="31"/>
  <c r="CS34" i="31"/>
  <c r="CI34" i="31"/>
  <c r="CS42" i="31"/>
  <c r="CI42" i="31"/>
  <c r="CS50" i="31"/>
  <c r="CI50" i="31"/>
  <c r="CS37" i="31"/>
  <c r="CI37" i="31"/>
  <c r="CS29" i="31"/>
  <c r="CI29" i="31"/>
  <c r="CS20" i="31"/>
  <c r="CI20" i="31"/>
  <c r="CI40" i="31"/>
  <c r="CS40" i="31"/>
  <c r="CS15" i="31"/>
  <c r="CI15" i="31"/>
  <c r="CS26" i="31"/>
  <c r="CI26" i="31"/>
  <c r="CI35" i="31"/>
  <c r="CS35" i="31"/>
  <c r="CI43" i="31"/>
  <c r="CS43" i="31"/>
  <c r="CS18" i="31"/>
  <c r="CI18" i="31"/>
  <c r="CS39" i="31"/>
  <c r="CI39" i="31"/>
  <c r="CI32" i="31"/>
  <c r="CS32" i="31"/>
  <c r="CI16" i="31"/>
  <c r="CS16" i="31"/>
  <c r="CI27" i="31"/>
  <c r="CS27" i="31"/>
  <c r="CS36" i="31"/>
  <c r="CI36" i="31"/>
  <c r="CS44" i="31"/>
  <c r="CI44" i="31"/>
  <c r="CS11" i="31"/>
  <c r="CI11" i="31"/>
  <c r="CR11" i="31"/>
  <c r="CH11" i="31"/>
  <c r="CC154" i="31"/>
  <c r="CM154" i="31"/>
  <c r="CM153" i="31"/>
  <c r="CC153" i="31"/>
  <c r="CD11" i="31"/>
  <c r="CL153" i="31"/>
  <c r="CB153" i="31"/>
  <c r="CF26" i="31"/>
  <c r="CP26" i="31"/>
  <c r="CB56" i="31"/>
  <c r="K56" i="31" s="1"/>
  <c r="CL56" i="31"/>
  <c r="CL96" i="31"/>
  <c r="CB96" i="31"/>
  <c r="K96" i="31" s="1"/>
  <c r="CB215" i="31"/>
  <c r="AJ215" i="31" s="1"/>
  <c r="CR38" i="31"/>
  <c r="CH38" i="31"/>
  <c r="CB77" i="31"/>
  <c r="K77" i="31" s="1"/>
  <c r="CR14" i="31"/>
  <c r="CH14" i="31"/>
  <c r="CR22" i="31"/>
  <c r="CH22" i="31"/>
  <c r="CH31" i="31"/>
  <c r="CR31" i="31"/>
  <c r="CH39" i="31"/>
  <c r="CR39" i="31"/>
  <c r="CM47" i="31"/>
  <c r="CR47" i="31"/>
  <c r="CH47" i="31"/>
  <c r="CB60" i="31"/>
  <c r="K60" i="31" s="1"/>
  <c r="CB70" i="31"/>
  <c r="K70" i="31" s="1"/>
  <c r="CB78" i="31"/>
  <c r="K78" i="31" s="1"/>
  <c r="CB86" i="31"/>
  <c r="K86" i="31" s="1"/>
  <c r="CB94" i="31"/>
  <c r="K94" i="31" s="1"/>
  <c r="CL167" i="31"/>
  <c r="CH30" i="31"/>
  <c r="CR30" i="31"/>
  <c r="CR15" i="31"/>
  <c r="CH15" i="31"/>
  <c r="CR23" i="31"/>
  <c r="CH23" i="31"/>
  <c r="CH32" i="31"/>
  <c r="CR32" i="31"/>
  <c r="CH40" i="31"/>
  <c r="CR40" i="31"/>
  <c r="CM48" i="31"/>
  <c r="CH48" i="31"/>
  <c r="CR48" i="31"/>
  <c r="CB61" i="31"/>
  <c r="K61" i="31" s="1"/>
  <c r="CB71" i="31"/>
  <c r="K71" i="31" s="1"/>
  <c r="CB79" i="31"/>
  <c r="K79" i="31" s="1"/>
  <c r="CB87" i="31"/>
  <c r="K87" i="31" s="1"/>
  <c r="CB95" i="31"/>
  <c r="K95" i="31" s="1"/>
  <c r="CB160" i="31"/>
  <c r="CL160" i="31"/>
  <c r="CL168" i="31"/>
  <c r="CB85" i="31"/>
  <c r="K85" i="31" s="1"/>
  <c r="CB158" i="31"/>
  <c r="CL158" i="31"/>
  <c r="CH16" i="31"/>
  <c r="CR16" i="31"/>
  <c r="CH25" i="31"/>
  <c r="CR25" i="31"/>
  <c r="CH33" i="31"/>
  <c r="CR33" i="31"/>
  <c r="CH41" i="31"/>
  <c r="CR41" i="31"/>
  <c r="CO49" i="31"/>
  <c r="CR49" i="31"/>
  <c r="CH49" i="31"/>
  <c r="CB62" i="31"/>
  <c r="K62" i="31" s="1"/>
  <c r="CB72" i="31"/>
  <c r="K72" i="31" s="1"/>
  <c r="CB80" i="31"/>
  <c r="K80" i="31" s="1"/>
  <c r="CB88" i="31"/>
  <c r="K88" i="31" s="1"/>
  <c r="CB161" i="31"/>
  <c r="CL161" i="31"/>
  <c r="CG49" i="31"/>
  <c r="CH21" i="31"/>
  <c r="CR21" i="31"/>
  <c r="CB93" i="31"/>
  <c r="K93" i="31" s="1"/>
  <c r="CH17" i="31"/>
  <c r="CR17" i="31"/>
  <c r="CR26" i="31"/>
  <c r="CH26" i="31"/>
  <c r="CR34" i="31"/>
  <c r="CH34" i="31"/>
  <c r="CR42" i="31"/>
  <c r="CH42" i="31"/>
  <c r="CC50" i="31"/>
  <c r="CR50" i="31"/>
  <c r="CH50" i="31"/>
  <c r="CB63" i="31"/>
  <c r="K63" i="31" s="1"/>
  <c r="CB73" i="31"/>
  <c r="K73" i="31" s="1"/>
  <c r="CB81" i="31"/>
  <c r="K81" i="31" s="1"/>
  <c r="CB89" i="31"/>
  <c r="K89" i="31" s="1"/>
  <c r="CL154" i="31"/>
  <c r="CB154" i="31"/>
  <c r="CL162" i="31"/>
  <c r="CB162" i="31"/>
  <c r="CO46" i="31"/>
  <c r="CR46" i="31"/>
  <c r="CH46" i="31"/>
  <c r="CB59" i="31"/>
  <c r="K59" i="31" s="1"/>
  <c r="CR18" i="31"/>
  <c r="CH18" i="31"/>
  <c r="CR27" i="31"/>
  <c r="CH27" i="31"/>
  <c r="CR35" i="31"/>
  <c r="CH35" i="31"/>
  <c r="CR43" i="31"/>
  <c r="CH43" i="31"/>
  <c r="CQ51" i="31"/>
  <c r="CR51" i="31"/>
  <c r="CH51" i="31"/>
  <c r="CB64" i="31"/>
  <c r="K64" i="31" s="1"/>
  <c r="CB74" i="31"/>
  <c r="K74" i="31" s="1"/>
  <c r="CB82" i="31"/>
  <c r="K82" i="31" s="1"/>
  <c r="CB90" i="31"/>
  <c r="K90" i="31" s="1"/>
  <c r="CL155" i="31"/>
  <c r="CB155" i="31"/>
  <c r="CL163" i="31"/>
  <c r="CB163" i="31"/>
  <c r="CB68" i="31"/>
  <c r="K68" i="31" s="1"/>
  <c r="CB166" i="31"/>
  <c r="CL166" i="31"/>
  <c r="CQ11" i="31"/>
  <c r="CR19" i="31"/>
  <c r="CH19" i="31"/>
  <c r="CR28" i="31"/>
  <c r="CH28" i="31"/>
  <c r="CR36" i="31"/>
  <c r="CH36" i="31"/>
  <c r="CR44" i="31"/>
  <c r="CH44" i="31"/>
  <c r="CR52" i="31"/>
  <c r="CH52" i="31"/>
  <c r="CB57" i="31"/>
  <c r="K57" i="31" s="1"/>
  <c r="CB65" i="31"/>
  <c r="K65" i="31" s="1"/>
  <c r="CB75" i="31"/>
  <c r="K75" i="31" s="1"/>
  <c r="CB83" i="31"/>
  <c r="K83" i="31" s="1"/>
  <c r="CB91" i="31"/>
  <c r="K91" i="31" s="1"/>
  <c r="CB156" i="31"/>
  <c r="CL156" i="31"/>
  <c r="CB164" i="31"/>
  <c r="CL164" i="31"/>
  <c r="CH13" i="31"/>
  <c r="CR13" i="31"/>
  <c r="CR12" i="31"/>
  <c r="CH12" i="31"/>
  <c r="CG20" i="31"/>
  <c r="CR20" i="31"/>
  <c r="CH20" i="31"/>
  <c r="CR29" i="31"/>
  <c r="CH29" i="31"/>
  <c r="CR37" i="31"/>
  <c r="CH37" i="31"/>
  <c r="CH45" i="31"/>
  <c r="CR45" i="31"/>
  <c r="CB58" i="31"/>
  <c r="K58" i="31" s="1"/>
  <c r="CB67" i="31"/>
  <c r="K67" i="31" s="1"/>
  <c r="CB76" i="31"/>
  <c r="K76" i="31" s="1"/>
  <c r="CB84" i="31"/>
  <c r="K84" i="31" s="1"/>
  <c r="CB92" i="31"/>
  <c r="K92" i="31" s="1"/>
  <c r="CB157" i="31"/>
  <c r="CL157" i="31"/>
  <c r="CB165" i="31"/>
  <c r="CL165" i="31"/>
  <c r="CG11" i="31"/>
  <c r="CF11" i="31"/>
  <c r="CM49" i="31"/>
  <c r="CL208" i="31"/>
  <c r="CP52" i="31"/>
  <c r="CF51" i="31"/>
  <c r="CE49" i="31"/>
  <c r="CC49" i="31"/>
  <c r="CE47" i="31"/>
  <c r="CE51" i="31"/>
  <c r="CP51" i="31"/>
  <c r="CO51" i="31"/>
  <c r="CD51" i="31"/>
  <c r="CN51" i="31"/>
  <c r="CQ50" i="31"/>
  <c r="CF49" i="31"/>
  <c r="CP50" i="31"/>
  <c r="CO50" i="31"/>
  <c r="CD49" i="31"/>
  <c r="CN49" i="31"/>
  <c r="CQ48" i="31"/>
  <c r="CD47" i="31"/>
  <c r="CP48" i="31"/>
  <c r="CC47" i="31"/>
  <c r="CQ46" i="31"/>
  <c r="CG51" i="31"/>
  <c r="CQ52" i="31"/>
  <c r="CF46" i="31"/>
  <c r="CO48" i="31"/>
  <c r="CM46" i="31"/>
  <c r="CG48" i="31"/>
  <c r="CE46" i="31"/>
  <c r="CF48" i="31"/>
  <c r="CD46" i="31"/>
  <c r="CG50" i="31"/>
  <c r="CE48" i="31"/>
  <c r="CC46" i="31"/>
  <c r="CN50" i="31"/>
  <c r="CQ47" i="31"/>
  <c r="CO52" i="31"/>
  <c r="CF50" i="31"/>
  <c r="CD48" i="31"/>
  <c r="CG52" i="31"/>
  <c r="CM50" i="31"/>
  <c r="CP47" i="31"/>
  <c r="CN52" i="31"/>
  <c r="CN48" i="31"/>
  <c r="CN46" i="31"/>
  <c r="CC48" i="31"/>
  <c r="CQ49" i="31"/>
  <c r="CO47" i="31"/>
  <c r="CD50" i="31"/>
  <c r="CG47" i="31"/>
  <c r="CE52" i="31"/>
  <c r="CP49" i="31"/>
  <c r="CN47" i="31"/>
  <c r="CG46" i="31"/>
  <c r="CE50" i="31"/>
  <c r="CF52" i="31"/>
  <c r="CF47" i="31"/>
  <c r="CP46" i="31"/>
  <c r="J148" i="31"/>
  <c r="E98" i="31"/>
  <c r="AK47" i="31" l="1"/>
  <c r="AK49" i="31"/>
  <c r="AK48" i="31"/>
  <c r="AK52" i="31"/>
  <c r="AK50" i="31"/>
  <c r="AK46" i="31"/>
  <c r="AK51" i="31"/>
  <c r="CL215" i="31"/>
  <c r="T153" i="31"/>
  <c r="T157" i="31"/>
  <c r="T162" i="31"/>
  <c r="T155" i="31"/>
  <c r="T160" i="31"/>
  <c r="T158" i="31"/>
  <c r="T166" i="31"/>
  <c r="T164" i="31"/>
  <c r="T161" i="31"/>
  <c r="T167" i="31"/>
  <c r="T168" i="31"/>
  <c r="CB208" i="31"/>
  <c r="T165" i="31"/>
  <c r="T156" i="31"/>
  <c r="T163" i="31"/>
  <c r="T154" i="31"/>
  <c r="D153" i="19"/>
  <c r="I41" i="19"/>
  <c r="F23" i="19"/>
  <c r="E23" i="19"/>
  <c r="CB110" i="36"/>
  <c r="CC110" i="36"/>
  <c r="CH110" i="36"/>
  <c r="CI110" i="36"/>
  <c r="CU246" i="47"/>
  <c r="CV246" i="47"/>
  <c r="CU247" i="47"/>
  <c r="CV247" i="47"/>
  <c r="CU248" i="47"/>
  <c r="CV248" i="47"/>
  <c r="CU245" i="47"/>
  <c r="CU240" i="47"/>
  <c r="DZ245" i="47"/>
  <c r="DZ246" i="47"/>
  <c r="EA246" i="47"/>
  <c r="DZ247" i="47"/>
  <c r="EA247" i="47"/>
  <c r="DZ248" i="47"/>
  <c r="EA248" i="47"/>
  <c r="EC237" i="47"/>
  <c r="EB237" i="47"/>
  <c r="EA259" i="47"/>
  <c r="DZ259" i="47"/>
  <c r="DI259" i="47"/>
  <c r="DH259" i="47"/>
  <c r="CV259" i="47"/>
  <c r="CU259" i="47"/>
  <c r="CD259" i="47"/>
  <c r="CC259" i="47"/>
  <c r="EA258" i="47"/>
  <c r="DZ258" i="47"/>
  <c r="DI258" i="47"/>
  <c r="DH258" i="47"/>
  <c r="CV258" i="47"/>
  <c r="CU258" i="47"/>
  <c r="CD258" i="47"/>
  <c r="CC258" i="47"/>
  <c r="EA257" i="47"/>
  <c r="DZ257" i="47"/>
  <c r="DI257" i="47"/>
  <c r="DH257" i="47"/>
  <c r="CV257" i="47"/>
  <c r="CU257" i="47"/>
  <c r="CD257" i="47"/>
  <c r="CC257" i="47"/>
  <c r="EA256" i="47"/>
  <c r="DZ256" i="47"/>
  <c r="DI256" i="47"/>
  <c r="DH256" i="47"/>
  <c r="CV256" i="47"/>
  <c r="CU256" i="47"/>
  <c r="CD256" i="47"/>
  <c r="CC256" i="47"/>
  <c r="EA255" i="47"/>
  <c r="DZ255" i="47"/>
  <c r="DI255" i="47"/>
  <c r="DH255" i="47"/>
  <c r="CV255" i="47"/>
  <c r="CU255" i="47"/>
  <c r="CD255" i="47"/>
  <c r="CC255" i="47"/>
  <c r="EA254" i="47"/>
  <c r="DZ254" i="47"/>
  <c r="DI254" i="47"/>
  <c r="DH254" i="47"/>
  <c r="CV254" i="47"/>
  <c r="CU254" i="47"/>
  <c r="CD254" i="47"/>
  <c r="CC254" i="47"/>
  <c r="EA253" i="47"/>
  <c r="DZ253" i="47"/>
  <c r="DI253" i="47"/>
  <c r="DH253" i="47"/>
  <c r="CV253" i="47"/>
  <c r="CU253" i="47"/>
  <c r="CD253" i="47"/>
  <c r="CC253" i="47"/>
  <c r="EA252" i="47"/>
  <c r="DZ252" i="47"/>
  <c r="DI252" i="47"/>
  <c r="DH252" i="47"/>
  <c r="CV252" i="47"/>
  <c r="CU252" i="47"/>
  <c r="CD252" i="47"/>
  <c r="CC252" i="47"/>
  <c r="EA251" i="47"/>
  <c r="DZ251" i="47"/>
  <c r="DI251" i="47"/>
  <c r="DH251" i="47"/>
  <c r="CV251" i="47"/>
  <c r="CU251" i="47"/>
  <c r="CD251" i="47"/>
  <c r="CC251" i="47"/>
  <c r="EA250" i="47"/>
  <c r="DZ250" i="47"/>
  <c r="DI250" i="47"/>
  <c r="DH250" i="47"/>
  <c r="CV250" i="47"/>
  <c r="CU250" i="47"/>
  <c r="CD250" i="47"/>
  <c r="CC250" i="47"/>
  <c r="EA249" i="47"/>
  <c r="DZ249" i="47"/>
  <c r="DI249" i="47"/>
  <c r="DH249" i="47"/>
  <c r="CV249" i="47"/>
  <c r="CU249" i="47"/>
  <c r="CD249" i="47"/>
  <c r="CC249" i="47"/>
  <c r="DI248" i="47"/>
  <c r="DH248" i="47"/>
  <c r="CD248" i="47"/>
  <c r="CC248" i="47"/>
  <c r="DI247" i="47"/>
  <c r="DH247" i="47"/>
  <c r="CD247" i="47"/>
  <c r="CC247" i="47"/>
  <c r="DI246" i="47"/>
  <c r="DH246" i="47"/>
  <c r="CD246" i="47"/>
  <c r="CC246" i="47"/>
  <c r="EA245" i="47"/>
  <c r="DI245" i="47"/>
  <c r="DH245" i="47"/>
  <c r="CV245" i="47"/>
  <c r="CD245" i="47"/>
  <c r="CC245" i="47"/>
  <c r="EA244" i="47"/>
  <c r="DZ244" i="47"/>
  <c r="DI244" i="47"/>
  <c r="DH244" i="47"/>
  <c r="CV244" i="47"/>
  <c r="CU244" i="47"/>
  <c r="CD244" i="47"/>
  <c r="CC244" i="47"/>
  <c r="EA243" i="47"/>
  <c r="DZ243" i="47"/>
  <c r="DI243" i="47"/>
  <c r="DH243" i="47"/>
  <c r="CV243" i="47"/>
  <c r="CU243" i="47"/>
  <c r="CD243" i="47"/>
  <c r="CC243" i="47"/>
  <c r="EA242" i="47"/>
  <c r="DZ242" i="47"/>
  <c r="DI242" i="47"/>
  <c r="DH242" i="47"/>
  <c r="CV242" i="47"/>
  <c r="CU242" i="47"/>
  <c r="CD242" i="47"/>
  <c r="CC242" i="47"/>
  <c r="EA241" i="47"/>
  <c r="DZ241" i="47"/>
  <c r="DI241" i="47"/>
  <c r="DH241" i="47"/>
  <c r="CV241" i="47"/>
  <c r="CU241" i="47"/>
  <c r="CD241" i="47"/>
  <c r="CC241" i="47"/>
  <c r="EA240" i="47"/>
  <c r="DZ240" i="47"/>
  <c r="DI240" i="47"/>
  <c r="DH240" i="47"/>
  <c r="CV240" i="47"/>
  <c r="CD240" i="47"/>
  <c r="CC240" i="47"/>
  <c r="EA239" i="47"/>
  <c r="DZ239" i="47"/>
  <c r="DI239" i="47"/>
  <c r="CV239" i="47"/>
  <c r="CU239" i="47"/>
  <c r="CD239" i="47"/>
  <c r="EA238" i="47"/>
  <c r="DZ238" i="47"/>
  <c r="DI238" i="47"/>
  <c r="CV238" i="47"/>
  <c r="CU238" i="47"/>
  <c r="CD238" i="47"/>
  <c r="EA237" i="47"/>
  <c r="DZ237" i="47"/>
  <c r="DI237" i="47"/>
  <c r="CV237" i="47"/>
  <c r="CU237" i="47"/>
  <c r="CD237" i="47"/>
  <c r="CV210" i="47"/>
  <c r="CU210" i="47"/>
  <c r="CV209" i="47"/>
  <c r="CU209" i="47"/>
  <c r="CV208" i="47"/>
  <c r="CU208" i="47"/>
  <c r="CV207" i="47"/>
  <c r="CU207" i="47"/>
  <c r="CV206" i="47"/>
  <c r="CU206" i="47"/>
  <c r="CV205" i="47"/>
  <c r="CU205" i="47"/>
  <c r="CV204" i="47"/>
  <c r="CU204" i="47"/>
  <c r="CV203" i="47"/>
  <c r="CU203" i="47"/>
  <c r="CV202" i="47"/>
  <c r="CU202" i="47"/>
  <c r="CV201" i="47"/>
  <c r="CU201" i="47"/>
  <c r="CV200" i="47"/>
  <c r="CU200" i="47"/>
  <c r="CV196" i="47"/>
  <c r="CU196" i="47"/>
  <c r="CV195" i="47"/>
  <c r="CU195" i="47"/>
  <c r="CV194" i="47"/>
  <c r="CU194" i="47"/>
  <c r="CV193" i="47"/>
  <c r="CU193" i="47"/>
  <c r="CV192" i="47"/>
  <c r="CU192" i="47"/>
  <c r="CV191" i="47"/>
  <c r="CU191" i="47"/>
  <c r="CV190" i="47"/>
  <c r="CU190" i="47"/>
  <c r="CV189" i="47"/>
  <c r="CU189" i="47"/>
  <c r="CV188" i="47"/>
  <c r="CU188" i="47"/>
  <c r="DZ188" i="47"/>
  <c r="DZ174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DH164" i="47"/>
  <c r="DI161" i="47"/>
  <c r="CV173" i="47"/>
  <c r="CV183" i="47"/>
  <c r="CU183" i="47"/>
  <c r="CV182" i="47"/>
  <c r="CU182" i="47"/>
  <c r="CV181" i="47"/>
  <c r="CU181" i="47"/>
  <c r="CV180" i="47"/>
  <c r="CU180" i="47"/>
  <c r="CV179" i="47"/>
  <c r="CU179" i="47"/>
  <c r="CV178" i="47"/>
  <c r="CU178" i="47"/>
  <c r="CV177" i="47"/>
  <c r="CU177" i="47"/>
  <c r="CV176" i="47"/>
  <c r="CU176" i="47"/>
  <c r="CV175" i="47"/>
  <c r="CU175" i="47"/>
  <c r="CV174" i="47"/>
  <c r="CU174" i="47"/>
  <c r="CU173" i="47"/>
  <c r="CU162" i="47"/>
  <c r="CV162" i="47"/>
  <c r="CU163" i="47"/>
  <c r="CV163" i="47"/>
  <c r="CU164" i="47"/>
  <c r="CV164" i="47"/>
  <c r="CU165" i="47"/>
  <c r="CV165" i="47"/>
  <c r="CU166" i="47"/>
  <c r="CV166" i="47"/>
  <c r="CU167" i="47"/>
  <c r="CV167" i="47"/>
  <c r="CU168" i="47"/>
  <c r="CV168" i="47"/>
  <c r="CU169" i="47"/>
  <c r="CV169" i="47"/>
  <c r="CV161" i="47"/>
  <c r="CU161" i="47"/>
  <c r="CD161" i="47"/>
  <c r="CB152" i="47"/>
  <c r="DH144" i="47"/>
  <c r="DG144" i="47"/>
  <c r="CJ144" i="47"/>
  <c r="CI144" i="47"/>
  <c r="CH144" i="47"/>
  <c r="CG144" i="47"/>
  <c r="CF144" i="47"/>
  <c r="CE144" i="47"/>
  <c r="CD144" i="47"/>
  <c r="CC144" i="47"/>
  <c r="CB144" i="47"/>
  <c r="CK13" i="47"/>
  <c r="DX137" i="47"/>
  <c r="DW137" i="47"/>
  <c r="DW140" i="47"/>
  <c r="DW139" i="47"/>
  <c r="DW138" i="47"/>
  <c r="DW136" i="47"/>
  <c r="DW135" i="47"/>
  <c r="DW134" i="47"/>
  <c r="DW133" i="47"/>
  <c r="DW131" i="47"/>
  <c r="DW130" i="47"/>
  <c r="DW129" i="47"/>
  <c r="DW128" i="47"/>
  <c r="DW127" i="47"/>
  <c r="DW126" i="47"/>
  <c r="DW125" i="47"/>
  <c r="DW124" i="47"/>
  <c r="DW123" i="47"/>
  <c r="DW118" i="47"/>
  <c r="DW117" i="47"/>
  <c r="DW116" i="47"/>
  <c r="DW115" i="47"/>
  <c r="DW114" i="47"/>
  <c r="DW113" i="47"/>
  <c r="DW112" i="47"/>
  <c r="DW111" i="47"/>
  <c r="DW109" i="47"/>
  <c r="DW108" i="47"/>
  <c r="DW107" i="47"/>
  <c r="DW106" i="47"/>
  <c r="DW105" i="47"/>
  <c r="DW104" i="47"/>
  <c r="DW103" i="47"/>
  <c r="DW102" i="47"/>
  <c r="DW101" i="47"/>
  <c r="DW96" i="47"/>
  <c r="DW95" i="47"/>
  <c r="DW94" i="47"/>
  <c r="DW93" i="47"/>
  <c r="DW92" i="47"/>
  <c r="DW91" i="47"/>
  <c r="DW90" i="47"/>
  <c r="DW89" i="47"/>
  <c r="DW80" i="47"/>
  <c r="DW81" i="47"/>
  <c r="DW82" i="47"/>
  <c r="DW83" i="47"/>
  <c r="DW84" i="47"/>
  <c r="DW85" i="47"/>
  <c r="DW86" i="47"/>
  <c r="DW87" i="47"/>
  <c r="DX79" i="47"/>
  <c r="DW79" i="47"/>
  <c r="DV79" i="47"/>
  <c r="CR140" i="47"/>
  <c r="CR139" i="47"/>
  <c r="CR138" i="47"/>
  <c r="CR137" i="47"/>
  <c r="CR136" i="47"/>
  <c r="CR135" i="47"/>
  <c r="CR134" i="47"/>
  <c r="CR133" i="47"/>
  <c r="CR131" i="47"/>
  <c r="CR123" i="47"/>
  <c r="CR130" i="47"/>
  <c r="CR129" i="47"/>
  <c r="CR128" i="47"/>
  <c r="CR127" i="47"/>
  <c r="CR126" i="47"/>
  <c r="CR125" i="47"/>
  <c r="CR124" i="47"/>
  <c r="CR118" i="47"/>
  <c r="CR117" i="47"/>
  <c r="CR116" i="47"/>
  <c r="CR115" i="47"/>
  <c r="CR114" i="47"/>
  <c r="CR113" i="47"/>
  <c r="CR112" i="47"/>
  <c r="CR111" i="47"/>
  <c r="CR102" i="47"/>
  <c r="CR103" i="47"/>
  <c r="CR104" i="47"/>
  <c r="CR105" i="47"/>
  <c r="CR106" i="47"/>
  <c r="CR107" i="47"/>
  <c r="CR108" i="47"/>
  <c r="CR109" i="47"/>
  <c r="CR101" i="47"/>
  <c r="CR96" i="47"/>
  <c r="CR95" i="47"/>
  <c r="CR94" i="47"/>
  <c r="CR93" i="47"/>
  <c r="CR92" i="47"/>
  <c r="CR91" i="47"/>
  <c r="CR90" i="47"/>
  <c r="CR89" i="47"/>
  <c r="CR80" i="47"/>
  <c r="CR81" i="47"/>
  <c r="CR82" i="47"/>
  <c r="CR83" i="47"/>
  <c r="CR84" i="47"/>
  <c r="CR85" i="47"/>
  <c r="CR86" i="47"/>
  <c r="CR87" i="47"/>
  <c r="CR79" i="47"/>
  <c r="CS79" i="47"/>
  <c r="CQ79" i="47"/>
  <c r="DW74" i="47"/>
  <c r="DW73" i="47"/>
  <c r="DW72" i="47"/>
  <c r="DW71" i="47"/>
  <c r="DW70" i="47"/>
  <c r="DW69" i="47"/>
  <c r="DW68" i="47"/>
  <c r="DW67" i="47"/>
  <c r="DW58" i="47"/>
  <c r="DW59" i="47"/>
  <c r="DW60" i="47"/>
  <c r="DW61" i="47"/>
  <c r="DW62" i="47"/>
  <c r="DW63" i="47"/>
  <c r="DW64" i="47"/>
  <c r="DW65" i="47"/>
  <c r="DW57" i="47"/>
  <c r="DV57" i="47"/>
  <c r="DX57" i="47"/>
  <c r="CS48" i="47"/>
  <c r="CR48" i="47"/>
  <c r="CQ48" i="47"/>
  <c r="CR52" i="47"/>
  <c r="CR51" i="47"/>
  <c r="CR50" i="47"/>
  <c r="CR49" i="47"/>
  <c r="CR47" i="47"/>
  <c r="CR46" i="47"/>
  <c r="CR45" i="47"/>
  <c r="CR36" i="47"/>
  <c r="CR37" i="47"/>
  <c r="CR38" i="47"/>
  <c r="CR39" i="47"/>
  <c r="CR40" i="47"/>
  <c r="CR41" i="47"/>
  <c r="CR42" i="47"/>
  <c r="CR43" i="47"/>
  <c r="CR35" i="47"/>
  <c r="CS67" i="47"/>
  <c r="CR67" i="47"/>
  <c r="CR74" i="47"/>
  <c r="CR73" i="47"/>
  <c r="CR72" i="47"/>
  <c r="CR71" i="47"/>
  <c r="CR70" i="47"/>
  <c r="CR69" i="47"/>
  <c r="CR68" i="47"/>
  <c r="CR58" i="47"/>
  <c r="CR59" i="47"/>
  <c r="CR60" i="47"/>
  <c r="CR61" i="47"/>
  <c r="CR62" i="47"/>
  <c r="CR63" i="47"/>
  <c r="CR64" i="47"/>
  <c r="CR65" i="47"/>
  <c r="CR57" i="47"/>
  <c r="CS57" i="47"/>
  <c r="CQ57" i="47"/>
  <c r="DW52" i="47"/>
  <c r="DW51" i="47"/>
  <c r="DW50" i="47"/>
  <c r="DW49" i="47"/>
  <c r="DW48" i="47"/>
  <c r="DW47" i="47"/>
  <c r="DW46" i="47"/>
  <c r="DW45" i="47"/>
  <c r="DW36" i="47"/>
  <c r="DW37" i="47"/>
  <c r="DW38" i="47"/>
  <c r="DW39" i="47"/>
  <c r="DW40" i="47"/>
  <c r="DW41" i="47"/>
  <c r="DW42" i="47"/>
  <c r="DW43" i="47"/>
  <c r="DX35" i="47"/>
  <c r="DW35" i="47"/>
  <c r="DV35" i="47"/>
  <c r="DU35" i="47"/>
  <c r="DT35" i="47"/>
  <c r="CS45" i="47"/>
  <c r="CS35" i="47"/>
  <c r="CQ35" i="47"/>
  <c r="CP35" i="47"/>
  <c r="ED26" i="47"/>
  <c r="EA26" i="47"/>
  <c r="DW26" i="47"/>
  <c r="DW30" i="47"/>
  <c r="DW29" i="47"/>
  <c r="DW28" i="47"/>
  <c r="DW27" i="47"/>
  <c r="DW25" i="47"/>
  <c r="DW24" i="47"/>
  <c r="DW23" i="47"/>
  <c r="DW14" i="47"/>
  <c r="DW15" i="47"/>
  <c r="DW16" i="47"/>
  <c r="DW17" i="47"/>
  <c r="DW18" i="47"/>
  <c r="DW19" i="47"/>
  <c r="DW20" i="47"/>
  <c r="DW21" i="47"/>
  <c r="DX13" i="47"/>
  <c r="DW13" i="47"/>
  <c r="DX21" i="47"/>
  <c r="DV21" i="47"/>
  <c r="DU21" i="47"/>
  <c r="DY21" i="47"/>
  <c r="ED21" i="47"/>
  <c r="DK21" i="47"/>
  <c r="DP13" i="47"/>
  <c r="CY13" i="47"/>
  <c r="CX13" i="47"/>
  <c r="CU13" i="47"/>
  <c r="CR25" i="47"/>
  <c r="CR24" i="47"/>
  <c r="CR30" i="47"/>
  <c r="CR29" i="47"/>
  <c r="CR28" i="47"/>
  <c r="CR27" i="47"/>
  <c r="CR26" i="47"/>
  <c r="CR23" i="47"/>
  <c r="CS21" i="47"/>
  <c r="CR14" i="47"/>
  <c r="CR15" i="47"/>
  <c r="CR16" i="47"/>
  <c r="CR17" i="47"/>
  <c r="CR18" i="47"/>
  <c r="CR19" i="47"/>
  <c r="CR20" i="47"/>
  <c r="CR21" i="47"/>
  <c r="CS13" i="47"/>
  <c r="CR13" i="47"/>
  <c r="CQ21" i="47"/>
  <c r="CP21" i="47"/>
  <c r="CO21" i="47"/>
  <c r="CN21" i="47"/>
  <c r="CM21" i="47"/>
  <c r="CL21" i="47"/>
  <c r="CK21" i="47"/>
  <c r="CJ21" i="47"/>
  <c r="CI21" i="47"/>
  <c r="CH21" i="47"/>
  <c r="CG21" i="47"/>
  <c r="CF21" i="47"/>
  <c r="CY30" i="47"/>
  <c r="D23" i="19" l="1"/>
  <c r="R144" i="47"/>
  <c r="CP12" i="13"/>
  <c r="CQ373" i="29"/>
  <c r="CP373" i="29"/>
  <c r="CC373" i="29"/>
  <c r="CB373" i="29"/>
  <c r="AU373" i="29" l="1"/>
  <c r="CQ86" i="29"/>
  <c r="CP86" i="29"/>
  <c r="CB86" i="29"/>
  <c r="CC86" i="29"/>
  <c r="D59" i="28"/>
  <c r="CR18" i="29"/>
  <c r="CQ18" i="29"/>
  <c r="CP18" i="29"/>
  <c r="CB19" i="29"/>
  <c r="CC19" i="29"/>
  <c r="CD19" i="29"/>
  <c r="CB20" i="29"/>
  <c r="CC20" i="29"/>
  <c r="CD20" i="29"/>
  <c r="CB21" i="29"/>
  <c r="CC21" i="29"/>
  <c r="CD21" i="29"/>
  <c r="CB22" i="29"/>
  <c r="CC22" i="29"/>
  <c r="CD22" i="29"/>
  <c r="CB23" i="29"/>
  <c r="CC23" i="29"/>
  <c r="CD23" i="29"/>
  <c r="CB24" i="29"/>
  <c r="CC24" i="29"/>
  <c r="CD24" i="29"/>
  <c r="CB25" i="29"/>
  <c r="CC25" i="29"/>
  <c r="CD25" i="29"/>
  <c r="CB26" i="29"/>
  <c r="CC26" i="29"/>
  <c r="CD26" i="29"/>
  <c r="CB27" i="29"/>
  <c r="CC27" i="29"/>
  <c r="CD27" i="29"/>
  <c r="CB28" i="29"/>
  <c r="CC28" i="29"/>
  <c r="CD28" i="29"/>
  <c r="CB29" i="29"/>
  <c r="CC29" i="29"/>
  <c r="CD29" i="29"/>
  <c r="CB30" i="29"/>
  <c r="CC30" i="29"/>
  <c r="CD30" i="29"/>
  <c r="CB31" i="29"/>
  <c r="CC31" i="29"/>
  <c r="CD31" i="29"/>
  <c r="CB18" i="29"/>
  <c r="AN75" i="28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103" i="43"/>
  <c r="E103" i="43"/>
  <c r="D103" i="43"/>
  <c r="C103" i="43"/>
  <c r="J77" i="43"/>
  <c r="I77" i="43"/>
  <c r="H77" i="43"/>
  <c r="G77" i="43"/>
  <c r="F77" i="43"/>
  <c r="E77" i="43"/>
  <c r="D77" i="43"/>
  <c r="C77" i="43"/>
  <c r="H68" i="43"/>
  <c r="G68" i="43"/>
  <c r="F68" i="43"/>
  <c r="E68" i="43"/>
  <c r="D68" i="43"/>
  <c r="C68" i="43"/>
  <c r="V48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48" i="43" l="1"/>
  <c r="E75" i="28"/>
  <c r="F75" i="28"/>
  <c r="CB380" i="29"/>
  <c r="F15" i="43"/>
  <c r="E15" i="43"/>
  <c r="E32" i="43"/>
  <c r="D32" i="43"/>
  <c r="D15" i="43"/>
  <c r="C57" i="43"/>
  <c r="C32" i="43"/>
  <c r="F57" i="43"/>
  <c r="F32" i="43"/>
  <c r="E48" i="43"/>
  <c r="C15" i="43"/>
  <c r="D57" i="43"/>
  <c r="C48" i="43"/>
  <c r="E57" i="43"/>
  <c r="D48" i="43"/>
  <c r="CP380" i="29"/>
  <c r="CC380" i="29"/>
  <c r="CQ380" i="29"/>
  <c r="F86" i="29"/>
  <c r="CH198" i="29"/>
  <c r="CH197" i="29"/>
  <c r="CH196" i="29"/>
  <c r="CH195" i="29"/>
  <c r="G162" i="29"/>
  <c r="G111" i="29"/>
  <c r="CB95" i="29"/>
  <c r="CB89" i="29"/>
  <c r="CC49" i="29"/>
  <c r="CI11" i="29"/>
  <c r="CL207" i="24"/>
  <c r="CL206" i="24"/>
  <c r="CC202" i="24"/>
  <c r="CM200" i="24"/>
  <c r="CL200" i="24"/>
  <c r="CC200" i="24"/>
  <c r="CB200" i="24"/>
  <c r="AP151" i="24"/>
  <c r="AT151" i="24"/>
  <c r="AS151" i="24"/>
  <c r="AR151" i="24"/>
  <c r="AQ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CG145" i="24"/>
  <c r="AP140" i="24"/>
  <c r="AT140" i="24"/>
  <c r="AS140" i="24"/>
  <c r="AR140" i="24"/>
  <c r="AQ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CM125" i="24"/>
  <c r="CM124" i="24"/>
  <c r="CK123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M117" i="24"/>
  <c r="CC117" i="24"/>
  <c r="CI117" i="24"/>
  <c r="CM116" i="24"/>
  <c r="CC116" i="24"/>
  <c r="CR116" i="24"/>
  <c r="X112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M111" i="24"/>
  <c r="CL111" i="24"/>
  <c r="CD111" i="24"/>
  <c r="CC111" i="24"/>
  <c r="CR111" i="24"/>
  <c r="CK110" i="24"/>
  <c r="CJ110" i="24"/>
  <c r="CB110" i="24"/>
  <c r="CA110" i="24"/>
  <c r="CL110" i="24"/>
  <c r="CK109" i="24"/>
  <c r="CJ109" i="24"/>
  <c r="CB109" i="24"/>
  <c r="CA109" i="24"/>
  <c r="CL109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CQ103" i="24"/>
  <c r="CN96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E90" i="24"/>
  <c r="AD90" i="24"/>
  <c r="AC90" i="24"/>
  <c r="AB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I90" i="24"/>
  <c r="H90" i="24"/>
  <c r="G90" i="24"/>
  <c r="F90" i="24"/>
  <c r="D90" i="24"/>
  <c r="CQ88" i="24"/>
  <c r="CF87" i="24"/>
  <c r="CO86" i="24"/>
  <c r="CB85" i="24"/>
  <c r="CQ84" i="24"/>
  <c r="CQ83" i="24"/>
  <c r="CR82" i="24"/>
  <c r="CB81" i="24"/>
  <c r="CQ80" i="24"/>
  <c r="CQ79" i="24"/>
  <c r="CR78" i="24"/>
  <c r="CB77" i="24"/>
  <c r="CH76" i="24"/>
  <c r="CQ75" i="24"/>
  <c r="CR74" i="24"/>
  <c r="CG73" i="24"/>
  <c r="CE72" i="24"/>
  <c r="CQ71" i="24"/>
  <c r="CR70" i="24"/>
  <c r="CP69" i="24"/>
  <c r="CQ68" i="24"/>
  <c r="CQ67" i="24"/>
  <c r="CR66" i="24"/>
  <c r="CO65" i="24"/>
  <c r="CG64" i="24"/>
  <c r="CG63" i="24"/>
  <c r="CR62" i="24"/>
  <c r="CF61" i="24"/>
  <c r="CG60" i="24"/>
  <c r="CQ58" i="24"/>
  <c r="CH57" i="24"/>
  <c r="CB56" i="24"/>
  <c r="CO55" i="24"/>
  <c r="CQ54" i="24"/>
  <c r="CR53" i="24"/>
  <c r="CB52" i="24"/>
  <c r="CO51" i="24"/>
  <c r="CQ50" i="24"/>
  <c r="CR49" i="24"/>
  <c r="CB48" i="24"/>
  <c r="CO47" i="24"/>
  <c r="CQ46" i="24"/>
  <c r="CR45" i="24"/>
  <c r="CB44" i="24"/>
  <c r="CO43" i="24"/>
  <c r="CQ42" i="24"/>
  <c r="CR41" i="24"/>
  <c r="CB40" i="24"/>
  <c r="CO39" i="24"/>
  <c r="CQ38" i="24"/>
  <c r="CR37" i="24"/>
  <c r="CB36" i="24"/>
  <c r="CO35" i="24"/>
  <c r="CM29" i="24"/>
  <c r="CN28" i="24"/>
  <c r="F24" i="24"/>
  <c r="E24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L15" i="24"/>
  <c r="CP14" i="24"/>
  <c r="CM13" i="24"/>
  <c r="CL12" i="24"/>
  <c r="B138" i="43" l="1"/>
  <c r="E27" i="18" s="1"/>
  <c r="CC36" i="29"/>
  <c r="CB36" i="29"/>
  <c r="CG49" i="29"/>
  <c r="CU49" i="29"/>
  <c r="BP194" i="28"/>
  <c r="BQ194" i="28"/>
  <c r="BR194" i="28"/>
  <c r="BV194" i="28"/>
  <c r="BW194" i="28"/>
  <c r="BX194" i="28"/>
  <c r="BW195" i="28"/>
  <c r="BX195" i="28"/>
  <c r="BP195" i="28"/>
  <c r="BR195" i="28"/>
  <c r="BQ195" i="28"/>
  <c r="BV195" i="28"/>
  <c r="BV196" i="28"/>
  <c r="BW196" i="28"/>
  <c r="BX196" i="28"/>
  <c r="BP196" i="28"/>
  <c r="BQ196" i="28"/>
  <c r="BR196" i="28"/>
  <c r="BP197" i="28"/>
  <c r="BQ197" i="28"/>
  <c r="BV197" i="28"/>
  <c r="BW197" i="28"/>
  <c r="BX197" i="28"/>
  <c r="BR197" i="28"/>
  <c r="BR198" i="28"/>
  <c r="BV198" i="28"/>
  <c r="BP198" i="28"/>
  <c r="BW198" i="28"/>
  <c r="BX198" i="28"/>
  <c r="BQ198" i="28"/>
  <c r="CG36" i="29"/>
  <c r="CU36" i="29"/>
  <c r="CL11" i="24"/>
  <c r="CN99" i="24"/>
  <c r="CE149" i="24"/>
  <c r="CB55" i="29"/>
  <c r="CG55" i="29"/>
  <c r="CF55" i="29"/>
  <c r="AU380" i="29"/>
  <c r="CB11" i="29"/>
  <c r="CF130" i="24"/>
  <c r="CP136" i="24"/>
  <c r="CH70" i="24"/>
  <c r="CL70" i="24"/>
  <c r="CO70" i="24"/>
  <c r="CM131" i="24"/>
  <c r="CM137" i="24"/>
  <c r="CO45" i="24"/>
  <c r="CN82" i="24"/>
  <c r="CL64" i="24"/>
  <c r="CO82" i="24"/>
  <c r="CM134" i="24"/>
  <c r="CQ64" i="24"/>
  <c r="CM96" i="24"/>
  <c r="CF142" i="24"/>
  <c r="D75" i="28"/>
  <c r="CD195" i="29"/>
  <c r="CY195" i="29"/>
  <c r="CK195" i="29"/>
  <c r="CC195" i="29"/>
  <c r="CB195" i="29"/>
  <c r="CX195" i="29"/>
  <c r="CJ195" i="29"/>
  <c r="CI195" i="29"/>
  <c r="CE195" i="29"/>
  <c r="CY196" i="29"/>
  <c r="CK196" i="29"/>
  <c r="CD196" i="29"/>
  <c r="CI196" i="29"/>
  <c r="CX196" i="29"/>
  <c r="CJ196" i="29"/>
  <c r="CC196" i="29"/>
  <c r="CE196" i="29"/>
  <c r="CB196" i="29"/>
  <c r="CD197" i="29"/>
  <c r="CY197" i="29"/>
  <c r="CK197" i="29"/>
  <c r="CI197" i="29"/>
  <c r="CC197" i="29"/>
  <c r="CE197" i="29"/>
  <c r="CB197" i="29"/>
  <c r="CX197" i="29"/>
  <c r="CJ197" i="29"/>
  <c r="CY198" i="29"/>
  <c r="CK198" i="29"/>
  <c r="CD198" i="29"/>
  <c r="CX198" i="29"/>
  <c r="CI198" i="29"/>
  <c r="CJ198" i="29"/>
  <c r="CE198" i="29"/>
  <c r="CC198" i="29"/>
  <c r="CB198" i="29"/>
  <c r="CW11" i="29"/>
  <c r="CT11" i="29"/>
  <c r="CY36" i="29"/>
  <c r="CX36" i="29"/>
  <c r="CW36" i="29"/>
  <c r="CD36" i="29"/>
  <c r="CV36" i="29"/>
  <c r="CK36" i="29"/>
  <c r="CJ36" i="29"/>
  <c r="CI36" i="29"/>
  <c r="CH36" i="29"/>
  <c r="CB49" i="29"/>
  <c r="CD49" i="29"/>
  <c r="CH49" i="29"/>
  <c r="CI49" i="29"/>
  <c r="CJ49" i="29"/>
  <c r="CK49" i="29"/>
  <c r="CL49" i="29"/>
  <c r="CV55" i="29"/>
  <c r="CU55" i="29"/>
  <c r="CT55" i="29"/>
  <c r="CW55" i="29"/>
  <c r="CC55" i="29"/>
  <c r="CH11" i="29"/>
  <c r="CG11" i="29"/>
  <c r="CF11" i="29"/>
  <c r="CE11" i="29"/>
  <c r="CD11" i="29"/>
  <c r="CC11" i="29"/>
  <c r="CV11" i="29"/>
  <c r="CU11" i="29"/>
  <c r="CR11" i="29"/>
  <c r="CQ11" i="29"/>
  <c r="CP11" i="29"/>
  <c r="CE74" i="24"/>
  <c r="CE77" i="24"/>
  <c r="CO74" i="24"/>
  <c r="CG77" i="24"/>
  <c r="CH143" i="24"/>
  <c r="CR71" i="24"/>
  <c r="CN77" i="24"/>
  <c r="CP77" i="24"/>
  <c r="CD77" i="24"/>
  <c r="CG88" i="24"/>
  <c r="CG111" i="24"/>
  <c r="CM139" i="24"/>
  <c r="CR150" i="24"/>
  <c r="CM66" i="24"/>
  <c r="CM70" i="24"/>
  <c r="CH88" i="24"/>
  <c r="CI111" i="24"/>
  <c r="CR56" i="24"/>
  <c r="CB70" i="24"/>
  <c r="CM82" i="24"/>
  <c r="CN45" i="24"/>
  <c r="CE70" i="24"/>
  <c r="CL82" i="24"/>
  <c r="CP86" i="24"/>
  <c r="CC73" i="24"/>
  <c r="CR86" i="24"/>
  <c r="CP116" i="24"/>
  <c r="CB163" i="24"/>
  <c r="CL156" i="24"/>
  <c r="CE43" i="24"/>
  <c r="CG40" i="24"/>
  <c r="CB50" i="24"/>
  <c r="CN52" i="24"/>
  <c r="CH75" i="24"/>
  <c r="CD125" i="24"/>
  <c r="CG75" i="24"/>
  <c r="CE13" i="24"/>
  <c r="CP43" i="24"/>
  <c r="CF13" i="24"/>
  <c r="CR40" i="24"/>
  <c r="CG50" i="24"/>
  <c r="CO52" i="24"/>
  <c r="CF69" i="24"/>
  <c r="CN70" i="24"/>
  <c r="CL75" i="24"/>
  <c r="CR77" i="24"/>
  <c r="CC81" i="24"/>
  <c r="CO125" i="24"/>
  <c r="CH50" i="24"/>
  <c r="CD81" i="24"/>
  <c r="CR125" i="24"/>
  <c r="CG69" i="24"/>
  <c r="CO13" i="24"/>
  <c r="CN50" i="24"/>
  <c r="CM53" i="24"/>
  <c r="CD56" i="24"/>
  <c r="CO66" i="24"/>
  <c r="CO69" i="24"/>
  <c r="CC74" i="24"/>
  <c r="CN81" i="24"/>
  <c r="CC13" i="24"/>
  <c r="CD13" i="24"/>
  <c r="CG13" i="24"/>
  <c r="CP37" i="24"/>
  <c r="CG56" i="24"/>
  <c r="CD74" i="24"/>
  <c r="CO81" i="24"/>
  <c r="CC135" i="24"/>
  <c r="CD52" i="24"/>
  <c r="CG52" i="24"/>
  <c r="CN66" i="24"/>
  <c r="CF14" i="24"/>
  <c r="CO53" i="24"/>
  <c r="CN56" i="24"/>
  <c r="CD132" i="24"/>
  <c r="CO56" i="24"/>
  <c r="CR64" i="24"/>
  <c r="CH74" i="24"/>
  <c r="CM77" i="24"/>
  <c r="CP84" i="24"/>
  <c r="CF102" i="24"/>
  <c r="CF111" i="24"/>
  <c r="CM146" i="24"/>
  <c r="CM207" i="24"/>
  <c r="CD61" i="24"/>
  <c r="CP123" i="24"/>
  <c r="CH145" i="24"/>
  <c r="CC48" i="24"/>
  <c r="CL168" i="24"/>
  <c r="CD36" i="24"/>
  <c r="CH54" i="24"/>
  <c r="CN36" i="24"/>
  <c r="CN54" i="24"/>
  <c r="CG98" i="24"/>
  <c r="CQ13" i="24"/>
  <c r="CO36" i="24"/>
  <c r="CG46" i="24"/>
  <c r="CB49" i="24"/>
  <c r="CC53" i="24"/>
  <c r="CR54" i="24"/>
  <c r="CG57" i="24"/>
  <c r="CE60" i="24"/>
  <c r="CC65" i="24"/>
  <c r="CH67" i="24"/>
  <c r="CL74" i="24"/>
  <c r="CE76" i="24"/>
  <c r="CL79" i="24"/>
  <c r="CD85" i="24"/>
  <c r="CC87" i="24"/>
  <c r="CE116" i="24"/>
  <c r="CN117" i="24"/>
  <c r="CL160" i="24"/>
  <c r="CL202" i="24"/>
  <c r="CC61" i="24"/>
  <c r="CC54" i="24"/>
  <c r="CE39" i="24"/>
  <c r="CH46" i="24"/>
  <c r="CD49" i="24"/>
  <c r="CE53" i="24"/>
  <c r="CO57" i="24"/>
  <c r="CL60" i="24"/>
  <c r="CP65" i="24"/>
  <c r="CR67" i="24"/>
  <c r="CM71" i="24"/>
  <c r="CF76" i="24"/>
  <c r="CM78" i="24"/>
  <c r="CN79" i="24"/>
  <c r="CC82" i="24"/>
  <c r="CH83" i="24"/>
  <c r="CN85" i="24"/>
  <c r="CF116" i="24"/>
  <c r="CM202" i="24"/>
  <c r="CM36" i="24"/>
  <c r="CB79" i="24"/>
  <c r="CL123" i="24"/>
  <c r="CC44" i="24"/>
  <c r="CD117" i="24"/>
  <c r="CB46" i="24"/>
  <c r="CH79" i="24"/>
  <c r="CC85" i="24"/>
  <c r="CE14" i="24"/>
  <c r="CP39" i="24"/>
  <c r="CB45" i="24"/>
  <c r="CN46" i="24"/>
  <c r="CE49" i="24"/>
  <c r="CP51" i="24"/>
  <c r="CH53" i="24"/>
  <c r="CO60" i="24"/>
  <c r="CQ65" i="24"/>
  <c r="CC70" i="24"/>
  <c r="CG71" i="24"/>
  <c r="CD73" i="24"/>
  <c r="CB78" i="24"/>
  <c r="CB82" i="24"/>
  <c r="CL83" i="24"/>
  <c r="CO85" i="24"/>
  <c r="CG116" i="24"/>
  <c r="CC125" i="24"/>
  <c r="CG79" i="24"/>
  <c r="CM123" i="24"/>
  <c r="CP41" i="24"/>
  <c r="CP60" i="24"/>
  <c r="CE73" i="24"/>
  <c r="CC78" i="24"/>
  <c r="CI116" i="24"/>
  <c r="CA123" i="24"/>
  <c r="CC159" i="24"/>
  <c r="CD45" i="24"/>
  <c r="CH49" i="24"/>
  <c r="CL53" i="24"/>
  <c r="CQ14" i="24"/>
  <c r="CN37" i="24"/>
  <c r="CE45" i="24"/>
  <c r="CQ60" i="24"/>
  <c r="CC66" i="24"/>
  <c r="CD70" i="24"/>
  <c r="CL71" i="24"/>
  <c r="CF73" i="24"/>
  <c r="CD78" i="24"/>
  <c r="CC80" i="24"/>
  <c r="CE82" i="24"/>
  <c r="CR83" i="24"/>
  <c r="CD88" i="24"/>
  <c r="CE100" i="24"/>
  <c r="CL116" i="24"/>
  <c r="CG125" i="24"/>
  <c r="CB116" i="24"/>
  <c r="CH71" i="24"/>
  <c r="CD82" i="24"/>
  <c r="CN83" i="24"/>
  <c r="CB13" i="24"/>
  <c r="CO37" i="24"/>
  <c r="CH45" i="24"/>
  <c r="CC47" i="24"/>
  <c r="CC52" i="24"/>
  <c r="CN53" i="24"/>
  <c r="CM56" i="24"/>
  <c r="CP58" i="24"/>
  <c r="CR60" i="24"/>
  <c r="CN71" i="24"/>
  <c r="CB75" i="24"/>
  <c r="CE78" i="24"/>
  <c r="CH82" i="24"/>
  <c r="CE88" i="24"/>
  <c r="CC101" i="24"/>
  <c r="CN125" i="24"/>
  <c r="CD144" i="24"/>
  <c r="CF148" i="24"/>
  <c r="CB207" i="24"/>
  <c r="C24" i="24"/>
  <c r="CM69" i="24"/>
  <c r="CM74" i="24"/>
  <c r="CM81" i="24"/>
  <c r="CO116" i="24"/>
  <c r="CE97" i="24"/>
  <c r="CF97" i="24"/>
  <c r="CB97" i="24"/>
  <c r="CM97" i="24"/>
  <c r="CR130" i="24"/>
  <c r="CN130" i="24"/>
  <c r="CM138" i="24"/>
  <c r="CO138" i="24"/>
  <c r="CN138" i="24"/>
  <c r="CC138" i="24"/>
  <c r="CM133" i="24"/>
  <c r="CO133" i="24"/>
  <c r="CF133" i="24"/>
  <c r="CN133" i="24"/>
  <c r="CC133" i="24"/>
  <c r="CR133" i="24"/>
  <c r="CB62" i="24"/>
  <c r="CC137" i="24"/>
  <c r="CM158" i="24"/>
  <c r="C16" i="24"/>
  <c r="CB42" i="24"/>
  <c r="CL88" i="24"/>
  <c r="CN103" i="24"/>
  <c r="CC124" i="24"/>
  <c r="CC131" i="24"/>
  <c r="CN137" i="24"/>
  <c r="CC201" i="24"/>
  <c r="CL49" i="24"/>
  <c r="CC109" i="24"/>
  <c r="CC37" i="24"/>
  <c r="CD41" i="24"/>
  <c r="CM49" i="24"/>
  <c r="CC55" i="24"/>
  <c r="CD62" i="24"/>
  <c r="CB65" i="24"/>
  <c r="CF68" i="24"/>
  <c r="CP73" i="24"/>
  <c r="CR75" i="24"/>
  <c r="CL78" i="24"/>
  <c r="CM86" i="24"/>
  <c r="CN88" i="24"/>
  <c r="CD109" i="24"/>
  <c r="CO111" i="24"/>
  <c r="CQ116" i="24"/>
  <c r="CD124" i="24"/>
  <c r="CO137" i="24"/>
  <c r="CB206" i="24"/>
  <c r="CG11" i="24"/>
  <c r="CM62" i="24"/>
  <c r="CR65" i="24"/>
  <c r="CC41" i="24"/>
  <c r="CM65" i="24"/>
  <c r="CP66" i="24"/>
  <c r="CM87" i="24"/>
  <c r="CM170" i="24"/>
  <c r="CB201" i="24"/>
  <c r="CB41" i="24"/>
  <c r="CR50" i="24"/>
  <c r="CB58" i="24"/>
  <c r="CN75" i="24"/>
  <c r="CH78" i="24"/>
  <c r="CD12" i="24"/>
  <c r="CM40" i="24"/>
  <c r="CG42" i="24"/>
  <c r="CG48" i="24"/>
  <c r="CD58" i="24"/>
  <c r="CE12" i="24"/>
  <c r="CN13" i="24"/>
  <c r="CE35" i="24"/>
  <c r="CB37" i="24"/>
  <c r="CB38" i="24"/>
  <c r="CE41" i="24"/>
  <c r="CH42" i="24"/>
  <c r="CD44" i="24"/>
  <c r="CL45" i="24"/>
  <c r="CR46" i="24"/>
  <c r="CN48" i="24"/>
  <c r="CN49" i="24"/>
  <c r="CR52" i="24"/>
  <c r="CP53" i="24"/>
  <c r="CE55" i="24"/>
  <c r="CE58" i="24"/>
  <c r="CM61" i="24"/>
  <c r="CE62" i="24"/>
  <c r="CB66" i="24"/>
  <c r="CC67" i="24"/>
  <c r="CG68" i="24"/>
  <c r="CP70" i="24"/>
  <c r="CQ73" i="24"/>
  <c r="CN74" i="24"/>
  <c r="CO77" i="24"/>
  <c r="CR79" i="24"/>
  <c r="CP82" i="24"/>
  <c r="CC84" i="24"/>
  <c r="CC86" i="24"/>
  <c r="CE87" i="24"/>
  <c r="CO88" i="24"/>
  <c r="CE109" i="24"/>
  <c r="CP111" i="24"/>
  <c r="CS116" i="24"/>
  <c r="CG124" i="24"/>
  <c r="E140" i="24"/>
  <c r="CL201" i="24"/>
  <c r="CC206" i="24"/>
  <c r="CC45" i="24"/>
  <c r="CN29" i="24"/>
  <c r="CM58" i="24"/>
  <c r="CM44" i="24"/>
  <c r="CC58" i="24"/>
  <c r="CD48" i="24"/>
  <c r="CC62" i="24"/>
  <c r="CC38" i="24"/>
  <c r="CM12" i="24"/>
  <c r="CP35" i="24"/>
  <c r="CD37" i="24"/>
  <c r="CG38" i="24"/>
  <c r="CH41" i="24"/>
  <c r="CN42" i="24"/>
  <c r="CG44" i="24"/>
  <c r="CM45" i="24"/>
  <c r="CO48" i="24"/>
  <c r="CO49" i="24"/>
  <c r="CC51" i="24"/>
  <c r="CP55" i="24"/>
  <c r="CG58" i="24"/>
  <c r="CH62" i="24"/>
  <c r="CD64" i="24"/>
  <c r="CD65" i="24"/>
  <c r="CB67" i="24"/>
  <c r="CH68" i="24"/>
  <c r="CR73" i="24"/>
  <c r="CN78" i="24"/>
  <c r="CE84" i="24"/>
  <c r="CD86" i="24"/>
  <c r="CQ87" i="24"/>
  <c r="CP88" i="24"/>
  <c r="CG109" i="24"/>
  <c r="CQ111" i="24"/>
  <c r="CN124" i="24"/>
  <c r="F140" i="24"/>
  <c r="CM201" i="24"/>
  <c r="CM206" i="24"/>
  <c r="CO109" i="24"/>
  <c r="CC39" i="24"/>
  <c r="CQ109" i="24"/>
  <c r="CC169" i="24"/>
  <c r="CB12" i="24"/>
  <c r="CE68" i="24"/>
  <c r="CC40" i="24"/>
  <c r="CN12" i="24"/>
  <c r="CP13" i="24"/>
  <c r="CE37" i="24"/>
  <c r="CH38" i="24"/>
  <c r="CD40" i="24"/>
  <c r="CL41" i="24"/>
  <c r="CR42" i="24"/>
  <c r="CN44" i="24"/>
  <c r="CR48" i="24"/>
  <c r="CP49" i="24"/>
  <c r="CE51" i="24"/>
  <c r="CB57" i="24"/>
  <c r="CH58" i="24"/>
  <c r="CD60" i="24"/>
  <c r="CL62" i="24"/>
  <c r="CE64" i="24"/>
  <c r="CE65" i="24"/>
  <c r="CD66" i="24"/>
  <c r="CG67" i="24"/>
  <c r="CP68" i="24"/>
  <c r="CH72" i="24"/>
  <c r="CP74" i="24"/>
  <c r="CO78" i="24"/>
  <c r="CF84" i="24"/>
  <c r="CE86" i="24"/>
  <c r="CR87" i="24"/>
  <c r="CR88" i="24"/>
  <c r="CL96" i="24"/>
  <c r="CB111" i="24"/>
  <c r="CS111" i="24"/>
  <c r="CO124" i="24"/>
  <c r="CR131" i="24"/>
  <c r="W200" i="24"/>
  <c r="CR58" i="24"/>
  <c r="BZ109" i="24"/>
  <c r="CB161" i="24"/>
  <c r="CM41" i="24"/>
  <c r="CO44" i="24"/>
  <c r="CN62" i="24"/>
  <c r="CP78" i="24"/>
  <c r="CQ12" i="24"/>
  <c r="CL37" i="24"/>
  <c r="CR38" i="24"/>
  <c r="CN40" i="24"/>
  <c r="CN41" i="24"/>
  <c r="CR44" i="24"/>
  <c r="CP45" i="24"/>
  <c r="CE47" i="24"/>
  <c r="CB53" i="24"/>
  <c r="CB54" i="24"/>
  <c r="CL57" i="24"/>
  <c r="CN58" i="24"/>
  <c r="CF60" i="24"/>
  <c r="CP61" i="24"/>
  <c r="CO62" i="24"/>
  <c r="CO64" i="24"/>
  <c r="CN65" i="24"/>
  <c r="CH66" i="24"/>
  <c r="CL67" i="24"/>
  <c r="CR68" i="24"/>
  <c r="CB71" i="24"/>
  <c r="CM75" i="24"/>
  <c r="CB83" i="24"/>
  <c r="CN86" i="24"/>
  <c r="CM109" i="24"/>
  <c r="CH117" i="24"/>
  <c r="CB123" i="24"/>
  <c r="CC160" i="24"/>
  <c r="CB202" i="24"/>
  <c r="CC207" i="24"/>
  <c r="CM48" i="24"/>
  <c r="CB157" i="24"/>
  <c r="CC63" i="24"/>
  <c r="CP12" i="24"/>
  <c r="CH37" i="24"/>
  <c r="CN38" i="24"/>
  <c r="CL58" i="24"/>
  <c r="CF65" i="24"/>
  <c r="CE66" i="24"/>
  <c r="CG86" i="24"/>
  <c r="CR124" i="24"/>
  <c r="CC36" i="24"/>
  <c r="CM37" i="24"/>
  <c r="CO40" i="24"/>
  <c r="CO41" i="24"/>
  <c r="CC43" i="24"/>
  <c r="CP47" i="24"/>
  <c r="CC49" i="24"/>
  <c r="CM52" i="24"/>
  <c r="CD53" i="24"/>
  <c r="CG54" i="24"/>
  <c r="CC56" i="24"/>
  <c r="CN57" i="24"/>
  <c r="CO58" i="24"/>
  <c r="CQ61" i="24"/>
  <c r="CP62" i="24"/>
  <c r="CP64" i="24"/>
  <c r="CL66" i="24"/>
  <c r="CN67" i="24"/>
  <c r="CC71" i="24"/>
  <c r="CB74" i="24"/>
  <c r="CC75" i="24"/>
  <c r="CG83" i="24"/>
  <c r="CM85" i="24"/>
  <c r="CN109" i="24"/>
  <c r="CE111" i="24"/>
  <c r="CE123" i="24"/>
  <c r="F151" i="24"/>
  <c r="CS250" i="29"/>
  <c r="CE250" i="29"/>
  <c r="CT250" i="29"/>
  <c r="CF250" i="29"/>
  <c r="CR250" i="29"/>
  <c r="CQ250" i="29"/>
  <c r="CD250" i="29"/>
  <c r="CC250" i="29"/>
  <c r="CF247" i="29"/>
  <c r="CR247" i="29"/>
  <c r="CQ247" i="29"/>
  <c r="CD247" i="29"/>
  <c r="CC247" i="29"/>
  <c r="CT247" i="29"/>
  <c r="CS247" i="29"/>
  <c r="CE247" i="29"/>
  <c r="CE248" i="29"/>
  <c r="CS248" i="29"/>
  <c r="CR248" i="29"/>
  <c r="CD248" i="29"/>
  <c r="CQ248" i="29"/>
  <c r="CC248" i="29"/>
  <c r="CF248" i="29"/>
  <c r="CT248" i="29"/>
  <c r="CE249" i="29"/>
  <c r="CS249" i="29"/>
  <c r="CC249" i="29"/>
  <c r="CR249" i="29"/>
  <c r="CQ249" i="29"/>
  <c r="CT249" i="29"/>
  <c r="CF249" i="29"/>
  <c r="CD249" i="29"/>
  <c r="CP197" i="29"/>
  <c r="CW197" i="29"/>
  <c r="CS197" i="29"/>
  <c r="CQ197" i="29"/>
  <c r="CR198" i="29"/>
  <c r="CV198" i="29"/>
  <c r="CQ198" i="29"/>
  <c r="CP198" i="29"/>
  <c r="CW198" i="29"/>
  <c r="CS198" i="29"/>
  <c r="CR195" i="29"/>
  <c r="CV195" i="29"/>
  <c r="CS195" i="29"/>
  <c r="CP195" i="29"/>
  <c r="CW195" i="29"/>
  <c r="CQ195" i="29"/>
  <c r="CV196" i="29"/>
  <c r="CR196" i="29"/>
  <c r="CS196" i="29"/>
  <c r="CQ196" i="29"/>
  <c r="CP196" i="29"/>
  <c r="CW196" i="29"/>
  <c r="CV197" i="29"/>
  <c r="CR197" i="29"/>
  <c r="CW49" i="29"/>
  <c r="CP49" i="29"/>
  <c r="CX49" i="29"/>
  <c r="CY49" i="29"/>
  <c r="CR49" i="29"/>
  <c r="CZ49" i="29"/>
  <c r="CV49" i="29"/>
  <c r="CZ36" i="29"/>
  <c r="CR36" i="29"/>
  <c r="CL36" i="29"/>
  <c r="CP36" i="29"/>
  <c r="CQ55" i="29"/>
  <c r="CP55" i="29"/>
  <c r="CI55" i="29"/>
  <c r="CH55" i="29"/>
  <c r="CC64" i="29"/>
  <c r="CB64" i="29"/>
  <c r="CP64" i="29"/>
  <c r="CQ89" i="29"/>
  <c r="CP89" i="29"/>
  <c r="CC89" i="29"/>
  <c r="CB138" i="29"/>
  <c r="CP59" i="24"/>
  <c r="CE59" i="24"/>
  <c r="CO59" i="24"/>
  <c r="CD59" i="24"/>
  <c r="CG59" i="24"/>
  <c r="CF59" i="24"/>
  <c r="CR59" i="24"/>
  <c r="CQ59" i="24"/>
  <c r="CB59" i="24"/>
  <c r="CN59" i="24"/>
  <c r="CL59" i="24"/>
  <c r="CC50" i="24"/>
  <c r="CF11" i="24"/>
  <c r="CN11" i="24"/>
  <c r="CB11" i="24"/>
  <c r="CQ11" i="24"/>
  <c r="CE11" i="24"/>
  <c r="CO11" i="24"/>
  <c r="CP11" i="24"/>
  <c r="CD11" i="24"/>
  <c r="CC11" i="24"/>
  <c r="CM11" i="24"/>
  <c r="CC42" i="24"/>
  <c r="CC83" i="24"/>
  <c r="CM83" i="24"/>
  <c r="CC59" i="24"/>
  <c r="CC68" i="24"/>
  <c r="CM68" i="24"/>
  <c r="CM28" i="24"/>
  <c r="CL28" i="24"/>
  <c r="CD28" i="24"/>
  <c r="CC28" i="24"/>
  <c r="CB28" i="24"/>
  <c r="CH59" i="24"/>
  <c r="CC60" i="24"/>
  <c r="CM60" i="24"/>
  <c r="CF15" i="24"/>
  <c r="CQ15" i="24"/>
  <c r="CE15" i="24"/>
  <c r="CP15" i="24"/>
  <c r="CD15" i="24"/>
  <c r="CC15" i="24"/>
  <c r="CN15" i="24"/>
  <c r="CO15" i="24"/>
  <c r="CB15" i="24"/>
  <c r="CM15" i="24"/>
  <c r="CC46" i="24"/>
  <c r="CG15" i="24"/>
  <c r="CC57" i="24"/>
  <c r="CF39" i="24"/>
  <c r="CF47" i="24"/>
  <c r="CQ47" i="24"/>
  <c r="CQ51" i="24"/>
  <c r="CP63" i="24"/>
  <c r="CE63" i="24"/>
  <c r="CO63" i="24"/>
  <c r="CD63" i="24"/>
  <c r="CH63" i="24"/>
  <c r="CL72" i="24"/>
  <c r="CO89" i="24"/>
  <c r="CD89" i="24"/>
  <c r="CH89" i="24"/>
  <c r="CF89" i="24"/>
  <c r="CR89" i="24"/>
  <c r="CE89" i="24"/>
  <c r="CQ89" i="24"/>
  <c r="CP89" i="24"/>
  <c r="CB89" i="24"/>
  <c r="CN89" i="24"/>
  <c r="CC12" i="24"/>
  <c r="CO12" i="24"/>
  <c r="CG14" i="24"/>
  <c r="AA90" i="24"/>
  <c r="CG35" i="24"/>
  <c r="CR35" i="24"/>
  <c r="CE36" i="24"/>
  <c r="CP36" i="24"/>
  <c r="CL38" i="24"/>
  <c r="CG39" i="24"/>
  <c r="CR39" i="24"/>
  <c r="CE40" i="24"/>
  <c r="CP40" i="24"/>
  <c r="CL42" i="24"/>
  <c r="CG43" i="24"/>
  <c r="CR43" i="24"/>
  <c r="CE44" i="24"/>
  <c r="CP44" i="24"/>
  <c r="CL46" i="24"/>
  <c r="CG47" i="24"/>
  <c r="CR47" i="24"/>
  <c r="CE48" i="24"/>
  <c r="CP48" i="24"/>
  <c r="CL50" i="24"/>
  <c r="CG51" i="24"/>
  <c r="CR51" i="24"/>
  <c r="CE52" i="24"/>
  <c r="CP52" i="24"/>
  <c r="CL54" i="24"/>
  <c r="CG55" i="24"/>
  <c r="CR55" i="24"/>
  <c r="CE56" i="24"/>
  <c r="CP56" i="24"/>
  <c r="CM57" i="24"/>
  <c r="CM59" i="24"/>
  <c r="CE61" i="24"/>
  <c r="CR61" i="24"/>
  <c r="CL63" i="24"/>
  <c r="CB69" i="24"/>
  <c r="CL69" i="24"/>
  <c r="CH69" i="24"/>
  <c r="CN69" i="24"/>
  <c r="CP72" i="24"/>
  <c r="CG76" i="24"/>
  <c r="CO80" i="24"/>
  <c r="CD80" i="24"/>
  <c r="CN80" i="24"/>
  <c r="CB80" i="24"/>
  <c r="CL80" i="24"/>
  <c r="CH80" i="24"/>
  <c r="CR80" i="24"/>
  <c r="CG80" i="24"/>
  <c r="CC89" i="24"/>
  <c r="CM89" i="24"/>
  <c r="E151" i="24"/>
  <c r="CF35" i="24"/>
  <c r="CF43" i="24"/>
  <c r="CL14" i="24"/>
  <c r="CB29" i="24"/>
  <c r="AF90" i="24"/>
  <c r="CH35" i="24"/>
  <c r="CF36" i="24"/>
  <c r="CQ36" i="24"/>
  <c r="CM38" i="24"/>
  <c r="CH39" i="24"/>
  <c r="CF40" i="24"/>
  <c r="CQ40" i="24"/>
  <c r="CM42" i="24"/>
  <c r="CH43" i="24"/>
  <c r="CF44" i="24"/>
  <c r="CQ44" i="24"/>
  <c r="CM46" i="24"/>
  <c r="CH47" i="24"/>
  <c r="CF48" i="24"/>
  <c r="CQ48" i="24"/>
  <c r="CM50" i="24"/>
  <c r="CH51" i="24"/>
  <c r="CF52" i="24"/>
  <c r="CQ52" i="24"/>
  <c r="CM54" i="24"/>
  <c r="CH55" i="24"/>
  <c r="CF56" i="24"/>
  <c r="CQ56" i="24"/>
  <c r="CM63" i="24"/>
  <c r="CM67" i="24"/>
  <c r="CC72" i="24"/>
  <c r="CM72" i="24"/>
  <c r="CQ72" i="24"/>
  <c r="CC77" i="24"/>
  <c r="CC79" i="24"/>
  <c r="CM79" i="24"/>
  <c r="CM14" i="24"/>
  <c r="CC29" i="24"/>
  <c r="CL43" i="24"/>
  <c r="CL51" i="24"/>
  <c r="CL55" i="24"/>
  <c r="CL61" i="24"/>
  <c r="CH61" i="24"/>
  <c r="CG61" i="24"/>
  <c r="CN63" i="24"/>
  <c r="CR72" i="24"/>
  <c r="CO76" i="24"/>
  <c r="CD76" i="24"/>
  <c r="CN76" i="24"/>
  <c r="CB76" i="24"/>
  <c r="CL76" i="24"/>
  <c r="CG89" i="24"/>
  <c r="CR142" i="24"/>
  <c r="CN142" i="24"/>
  <c r="CR147" i="24"/>
  <c r="CF147" i="24"/>
  <c r="CQ147" i="24"/>
  <c r="CE147" i="24"/>
  <c r="CP147" i="24"/>
  <c r="CD147" i="24"/>
  <c r="CO147" i="24"/>
  <c r="CC147" i="24"/>
  <c r="CN147" i="24"/>
  <c r="CM147" i="24"/>
  <c r="CH147" i="24"/>
  <c r="CG147" i="24"/>
  <c r="CQ149" i="24"/>
  <c r="CH149" i="24"/>
  <c r="CQ35" i="24"/>
  <c r="CQ39" i="24"/>
  <c r="CQ43" i="24"/>
  <c r="CF51" i="24"/>
  <c r="CL35" i="24"/>
  <c r="CG36" i="24"/>
  <c r="CF12" i="24"/>
  <c r="CL13" i="24"/>
  <c r="CB14" i="24"/>
  <c r="CN14" i="24"/>
  <c r="CD29" i="24"/>
  <c r="CB35" i="24"/>
  <c r="CM35" i="24"/>
  <c r="CH36" i="24"/>
  <c r="CF37" i="24"/>
  <c r="CQ37" i="24"/>
  <c r="CD38" i="24"/>
  <c r="CO38" i="24"/>
  <c r="CB39" i="24"/>
  <c r="CM39" i="24"/>
  <c r="CH40" i="24"/>
  <c r="CF41" i="24"/>
  <c r="CQ41" i="24"/>
  <c r="CD42" i="24"/>
  <c r="CO42" i="24"/>
  <c r="CB43" i="24"/>
  <c r="CM43" i="24"/>
  <c r="CH44" i="24"/>
  <c r="CF45" i="24"/>
  <c r="CQ45" i="24"/>
  <c r="CD46" i="24"/>
  <c r="CO46" i="24"/>
  <c r="CB47" i="24"/>
  <c r="CM47" i="24"/>
  <c r="CH48" i="24"/>
  <c r="CF49" i="24"/>
  <c r="CQ49" i="24"/>
  <c r="CD50" i="24"/>
  <c r="CO50" i="24"/>
  <c r="CB51" i="24"/>
  <c r="CM51" i="24"/>
  <c r="CH52" i="24"/>
  <c r="CF53" i="24"/>
  <c r="CQ53" i="24"/>
  <c r="CD54" i="24"/>
  <c r="CO54" i="24"/>
  <c r="CB55" i="24"/>
  <c r="CM55" i="24"/>
  <c r="CH56" i="24"/>
  <c r="CD57" i="24"/>
  <c r="CP57" i="24"/>
  <c r="CB63" i="24"/>
  <c r="CQ63" i="24"/>
  <c r="CF64" i="24"/>
  <c r="CL65" i="24"/>
  <c r="CH65" i="24"/>
  <c r="CG65" i="24"/>
  <c r="CC69" i="24"/>
  <c r="CQ69" i="24"/>
  <c r="CB73" i="24"/>
  <c r="CL73" i="24"/>
  <c r="CH73" i="24"/>
  <c r="CN73" i="24"/>
  <c r="CP76" i="24"/>
  <c r="CE80" i="24"/>
  <c r="CL89" i="24"/>
  <c r="CL99" i="24"/>
  <c r="CD99" i="24"/>
  <c r="CO99" i="24"/>
  <c r="CM99" i="24"/>
  <c r="CE99" i="24"/>
  <c r="CF55" i="24"/>
  <c r="CQ55" i="24"/>
  <c r="CC64" i="24"/>
  <c r="CM64" i="24"/>
  <c r="CO72" i="24"/>
  <c r="CD72" i="24"/>
  <c r="CN72" i="24"/>
  <c r="CB72" i="24"/>
  <c r="CR36" i="24"/>
  <c r="CL39" i="24"/>
  <c r="CL47" i="24"/>
  <c r="CG12" i="24"/>
  <c r="CC14" i="24"/>
  <c r="CO14" i="24"/>
  <c r="CL29" i="24"/>
  <c r="CC35" i="24"/>
  <c r="CN35" i="24"/>
  <c r="CL36" i="24"/>
  <c r="CG37" i="24"/>
  <c r="CE38" i="24"/>
  <c r="CP38" i="24"/>
  <c r="CN39" i="24"/>
  <c r="CL40" i="24"/>
  <c r="CG41" i="24"/>
  <c r="CE42" i="24"/>
  <c r="CP42" i="24"/>
  <c r="CN43" i="24"/>
  <c r="CL44" i="24"/>
  <c r="CG45" i="24"/>
  <c r="CE46" i="24"/>
  <c r="CP46" i="24"/>
  <c r="CN47" i="24"/>
  <c r="CL48" i="24"/>
  <c r="CG49" i="24"/>
  <c r="CE50" i="24"/>
  <c r="CP50" i="24"/>
  <c r="CN51" i="24"/>
  <c r="CL52" i="24"/>
  <c r="CG53" i="24"/>
  <c r="CE54" i="24"/>
  <c r="CP54" i="24"/>
  <c r="CN55" i="24"/>
  <c r="CL56" i="24"/>
  <c r="CE57" i="24"/>
  <c r="CQ57" i="24"/>
  <c r="CN60" i="24"/>
  <c r="CB60" i="24"/>
  <c r="CH60" i="24"/>
  <c r="CN61" i="24"/>
  <c r="CR63" i="24"/>
  <c r="CO68" i="24"/>
  <c r="CD68" i="24"/>
  <c r="CN68" i="24"/>
  <c r="CB68" i="24"/>
  <c r="CL68" i="24"/>
  <c r="CD69" i="24"/>
  <c r="CR69" i="24"/>
  <c r="CF72" i="24"/>
  <c r="CM73" i="24"/>
  <c r="CO73" i="24"/>
  <c r="CC76" i="24"/>
  <c r="CM76" i="24"/>
  <c r="CQ76" i="24"/>
  <c r="CF80" i="24"/>
  <c r="CD150" i="24"/>
  <c r="CC150" i="24"/>
  <c r="CN150" i="24"/>
  <c r="CH150" i="24"/>
  <c r="CG150" i="24"/>
  <c r="CD14" i="24"/>
  <c r="CD35" i="24"/>
  <c r="CF38" i="24"/>
  <c r="CD39" i="24"/>
  <c r="CF42" i="24"/>
  <c r="CD43" i="24"/>
  <c r="CF46" i="24"/>
  <c r="CD47" i="24"/>
  <c r="CF50" i="24"/>
  <c r="CD51" i="24"/>
  <c r="CF54" i="24"/>
  <c r="CD55" i="24"/>
  <c r="CF57" i="24"/>
  <c r="CR57" i="24"/>
  <c r="CB61" i="24"/>
  <c r="CO61" i="24"/>
  <c r="CF63" i="24"/>
  <c r="CN64" i="24"/>
  <c r="CB64" i="24"/>
  <c r="CH64" i="24"/>
  <c r="CE69" i="24"/>
  <c r="CG72" i="24"/>
  <c r="CR76" i="24"/>
  <c r="CP80" i="24"/>
  <c r="CO84" i="24"/>
  <c r="CD84" i="24"/>
  <c r="CN84" i="24"/>
  <c r="CB84" i="24"/>
  <c r="CL84" i="24"/>
  <c r="CH84" i="24"/>
  <c r="CR84" i="24"/>
  <c r="CG84" i="24"/>
  <c r="E104" i="24"/>
  <c r="CL103" i="24"/>
  <c r="CG103" i="24"/>
  <c r="CP103" i="24"/>
  <c r="CD103" i="24"/>
  <c r="CO103" i="24"/>
  <c r="CC103" i="24"/>
  <c r="CM103" i="24"/>
  <c r="CF103" i="24"/>
  <c r="CE103" i="24"/>
  <c r="CB103" i="24"/>
  <c r="CE81" i="24"/>
  <c r="CP81" i="24"/>
  <c r="CE85" i="24"/>
  <c r="CP85" i="24"/>
  <c r="F104" i="24"/>
  <c r="CF77" i="24"/>
  <c r="CQ77" i="24"/>
  <c r="CF81" i="24"/>
  <c r="CQ81" i="24"/>
  <c r="CF85" i="24"/>
  <c r="CQ85" i="24"/>
  <c r="CH87" i="24"/>
  <c r="CO87" i="24"/>
  <c r="CD87" i="24"/>
  <c r="CG87" i="24"/>
  <c r="CG96" i="24"/>
  <c r="CP96" i="24"/>
  <c r="CD96" i="24"/>
  <c r="CO96" i="24"/>
  <c r="CC96" i="24"/>
  <c r="CQ96" i="24"/>
  <c r="BZ110" i="24"/>
  <c r="CQ110" i="24"/>
  <c r="CG110" i="24"/>
  <c r="CO110" i="24"/>
  <c r="CE110" i="24"/>
  <c r="CN110" i="24"/>
  <c r="CD110" i="24"/>
  <c r="CM110" i="24"/>
  <c r="C112" i="24"/>
  <c r="CG81" i="24"/>
  <c r="CR81" i="24"/>
  <c r="CG85" i="24"/>
  <c r="CR85" i="24"/>
  <c r="CL87" i="24"/>
  <c r="CM88" i="24"/>
  <c r="CL97" i="24"/>
  <c r="CG97" i="24"/>
  <c r="CP97" i="24"/>
  <c r="CD97" i="24"/>
  <c r="CO97" i="24"/>
  <c r="CC97" i="24"/>
  <c r="CN97" i="24"/>
  <c r="CP101" i="24"/>
  <c r="CD101" i="24"/>
  <c r="CO101" i="24"/>
  <c r="CP110" i="24"/>
  <c r="CF143" i="24"/>
  <c r="CC143" i="24"/>
  <c r="CM143" i="24"/>
  <c r="CF58" i="24"/>
  <c r="CF62" i="24"/>
  <c r="CQ62" i="24"/>
  <c r="CF66" i="24"/>
  <c r="CQ66" i="24"/>
  <c r="CD67" i="24"/>
  <c r="CO67" i="24"/>
  <c r="CF70" i="24"/>
  <c r="CQ70" i="24"/>
  <c r="CD71" i="24"/>
  <c r="CO71" i="24"/>
  <c r="CF74" i="24"/>
  <c r="CQ74" i="24"/>
  <c r="CD75" i="24"/>
  <c r="CO75" i="24"/>
  <c r="CH77" i="24"/>
  <c r="CF78" i="24"/>
  <c r="CQ78" i="24"/>
  <c r="CD79" i="24"/>
  <c r="CO79" i="24"/>
  <c r="CM80" i="24"/>
  <c r="CH81" i="24"/>
  <c r="CF82" i="24"/>
  <c r="CQ82" i="24"/>
  <c r="CD83" i="24"/>
  <c r="CO83" i="24"/>
  <c r="CM84" i="24"/>
  <c r="CH85" i="24"/>
  <c r="CB86" i="24"/>
  <c r="CQ86" i="24"/>
  <c r="CF86" i="24"/>
  <c r="CH86" i="24"/>
  <c r="CB96" i="24"/>
  <c r="CQ97" i="24"/>
  <c r="CG62" i="24"/>
  <c r="CG66" i="24"/>
  <c r="CE67" i="24"/>
  <c r="CP67" i="24"/>
  <c r="CG70" i="24"/>
  <c r="CE71" i="24"/>
  <c r="CP71" i="24"/>
  <c r="CG74" i="24"/>
  <c r="CE75" i="24"/>
  <c r="CP75" i="24"/>
  <c r="CL77" i="24"/>
  <c r="CG78" i="24"/>
  <c r="CE79" i="24"/>
  <c r="CP79" i="24"/>
  <c r="CL81" i="24"/>
  <c r="CG82" i="24"/>
  <c r="CE83" i="24"/>
  <c r="CP83" i="24"/>
  <c r="CL85" i="24"/>
  <c r="CL86" i="24"/>
  <c r="CN87" i="24"/>
  <c r="CC88" i="24"/>
  <c r="CE96" i="24"/>
  <c r="CC110" i="24"/>
  <c r="CQ117" i="24"/>
  <c r="CG117" i="24"/>
  <c r="CP117" i="24"/>
  <c r="CF117" i="24"/>
  <c r="CO117" i="24"/>
  <c r="CE117" i="24"/>
  <c r="CL117" i="24"/>
  <c r="CB117" i="24"/>
  <c r="CR117" i="24"/>
  <c r="CR145" i="24"/>
  <c r="CF145" i="24"/>
  <c r="CQ145" i="24"/>
  <c r="CE145" i="24"/>
  <c r="CP145" i="24"/>
  <c r="CD145" i="24"/>
  <c r="CO145" i="24"/>
  <c r="CC145" i="24"/>
  <c r="CN145" i="24"/>
  <c r="CM145" i="24"/>
  <c r="CF67" i="24"/>
  <c r="CF71" i="24"/>
  <c r="CF75" i="24"/>
  <c r="CF79" i="24"/>
  <c r="CF83" i="24"/>
  <c r="CB87" i="24"/>
  <c r="CP87" i="24"/>
  <c r="C90" i="24"/>
  <c r="CF96" i="24"/>
  <c r="CF110" i="24"/>
  <c r="CS117" i="24"/>
  <c r="CM156" i="24"/>
  <c r="CB160" i="24"/>
  <c r="CM160" i="24"/>
  <c r="CB162" i="24"/>
  <c r="CB168" i="24"/>
  <c r="CB88" i="24"/>
  <c r="CF109" i="24"/>
  <c r="CP109" i="24"/>
  <c r="CN111" i="24"/>
  <c r="CD116" i="24"/>
  <c r="CN116" i="24"/>
  <c r="C118" i="24"/>
  <c r="CC123" i="24"/>
  <c r="CN123" i="24"/>
  <c r="CE124" i="24"/>
  <c r="CP124" i="24"/>
  <c r="CE125" i="24"/>
  <c r="CP125" i="24"/>
  <c r="CD130" i="24"/>
  <c r="CD133" i="24"/>
  <c r="CP133" i="24"/>
  <c r="CD136" i="24"/>
  <c r="CD137" i="24"/>
  <c r="CP137" i="24"/>
  <c r="CD138" i="24"/>
  <c r="CP138" i="24"/>
  <c r="CD123" i="24"/>
  <c r="CO123" i="24"/>
  <c r="CF124" i="24"/>
  <c r="CQ124" i="24"/>
  <c r="CF125" i="24"/>
  <c r="CQ125" i="24"/>
  <c r="CE130" i="24"/>
  <c r="CE133" i="24"/>
  <c r="CQ133" i="24"/>
  <c r="CE136" i="24"/>
  <c r="CE137" i="24"/>
  <c r="CQ137" i="24"/>
  <c r="CE138" i="24"/>
  <c r="CQ138" i="24"/>
  <c r="CF137" i="24"/>
  <c r="CR137" i="24"/>
  <c r="CF138" i="24"/>
  <c r="CR138" i="24"/>
  <c r="CF123" i="24"/>
  <c r="CH124" i="24"/>
  <c r="CH125" i="24"/>
  <c r="CG133" i="24"/>
  <c r="CG136" i="24"/>
  <c r="CG137" i="24"/>
  <c r="CG138" i="24"/>
  <c r="CF88" i="24"/>
  <c r="CH111" i="24"/>
  <c r="CH116" i="24"/>
  <c r="CJ123" i="24"/>
  <c r="CL124" i="24"/>
  <c r="CL125" i="24"/>
  <c r="CH133" i="24"/>
  <c r="CH137" i="24"/>
  <c r="CH138" i="24"/>
  <c r="BZ123" i="24"/>
  <c r="CB124" i="24"/>
  <c r="CB125" i="24"/>
  <c r="CC136" i="24" l="1"/>
  <c r="CF149" i="24"/>
  <c r="CN136" i="24"/>
  <c r="CG130" i="24"/>
  <c r="CR136" i="24"/>
  <c r="CP99" i="24"/>
  <c r="CN149" i="24"/>
  <c r="CR149" i="24"/>
  <c r="CO130" i="24"/>
  <c r="CF136" i="24"/>
  <c r="CM149" i="24"/>
  <c r="CQ130" i="24"/>
  <c r="CP130" i="24"/>
  <c r="CB99" i="24"/>
  <c r="CG99" i="24"/>
  <c r="CC149" i="24"/>
  <c r="AV149" i="24" s="1"/>
  <c r="CF101" i="24"/>
  <c r="CM130" i="24"/>
  <c r="CO136" i="24"/>
  <c r="CQ99" i="24"/>
  <c r="CM136" i="24"/>
  <c r="B236" i="24"/>
  <c r="E29" i="18" s="1"/>
  <c r="CO149" i="24"/>
  <c r="CH136" i="24"/>
  <c r="CF99" i="24"/>
  <c r="CD149" i="24"/>
  <c r="CD146" i="24"/>
  <c r="CC130" i="24"/>
  <c r="CP149" i="24"/>
  <c r="CH130" i="24"/>
  <c r="CQ136" i="24"/>
  <c r="CC99" i="24"/>
  <c r="AW99" i="24" s="1"/>
  <c r="CG149" i="24"/>
  <c r="Z11" i="29"/>
  <c r="J195" i="28"/>
  <c r="J198" i="28"/>
  <c r="J197" i="28"/>
  <c r="J196" i="28"/>
  <c r="J194" i="28"/>
  <c r="CO131" i="24"/>
  <c r="CG131" i="24"/>
  <c r="CQ135" i="24"/>
  <c r="CH135" i="24"/>
  <c r="CP135" i="24"/>
  <c r="CC168" i="24"/>
  <c r="AK168" i="24" s="1"/>
  <c r="CF131" i="24"/>
  <c r="CD135" i="24"/>
  <c r="CB100" i="24"/>
  <c r="CR148" i="24"/>
  <c r="CE135" i="24"/>
  <c r="CG135" i="24"/>
  <c r="CD131" i="24"/>
  <c r="CM168" i="24"/>
  <c r="Z55" i="29"/>
  <c r="CO142" i="24"/>
  <c r="CD142" i="24"/>
  <c r="CP142" i="24"/>
  <c r="CG142" i="24"/>
  <c r="CE142" i="24"/>
  <c r="CH142" i="24"/>
  <c r="CQ142" i="24"/>
  <c r="CC142" i="24"/>
  <c r="CM142" i="24"/>
  <c r="CP134" i="24"/>
  <c r="CM150" i="24"/>
  <c r="CP131" i="24"/>
  <c r="CO150" i="24"/>
  <c r="CN131" i="24"/>
  <c r="CM169" i="24"/>
  <c r="CB169" i="24"/>
  <c r="AK169" i="24" s="1"/>
  <c r="CE150" i="24"/>
  <c r="CE131" i="24"/>
  <c r="CQ150" i="24"/>
  <c r="CQ131" i="24"/>
  <c r="CF150" i="24"/>
  <c r="CP150" i="24"/>
  <c r="CH131" i="24"/>
  <c r="CL163" i="24"/>
  <c r="CQ134" i="24"/>
  <c r="CE134" i="24"/>
  <c r="CB156" i="24"/>
  <c r="AK156" i="24" s="1"/>
  <c r="CP143" i="24"/>
  <c r="CO146" i="24"/>
  <c r="CO134" i="24"/>
  <c r="CR143" i="24"/>
  <c r="CG134" i="24"/>
  <c r="CH134" i="24"/>
  <c r="CN100" i="24"/>
  <c r="CD134" i="24"/>
  <c r="CO100" i="24"/>
  <c r="CC156" i="24"/>
  <c r="CC134" i="24"/>
  <c r="CR134" i="24"/>
  <c r="CN134" i="24"/>
  <c r="CF134" i="24"/>
  <c r="CE146" i="24"/>
  <c r="CO135" i="24"/>
  <c r="CG143" i="24"/>
  <c r="CN143" i="24"/>
  <c r="CO143" i="24"/>
  <c r="CD143" i="24"/>
  <c r="CM101" i="24"/>
  <c r="CH146" i="24"/>
  <c r="CE143" i="24"/>
  <c r="CN146" i="24"/>
  <c r="CQ143" i="24"/>
  <c r="CC146" i="24"/>
  <c r="CQ139" i="24"/>
  <c r="CF132" i="24"/>
  <c r="AK160" i="24"/>
  <c r="CN139" i="24"/>
  <c r="CO139" i="24"/>
  <c r="CP139" i="24"/>
  <c r="CG139" i="24"/>
  <c r="CC139" i="24"/>
  <c r="CH139" i="24"/>
  <c r="CD139" i="24"/>
  <c r="CF139" i="24"/>
  <c r="CE139" i="24"/>
  <c r="CR139" i="24"/>
  <c r="CH132" i="24"/>
  <c r="CL196" i="29"/>
  <c r="CG196" i="29"/>
  <c r="CF196" i="29"/>
  <c r="CL195" i="29"/>
  <c r="CG195" i="29"/>
  <c r="CF195" i="29"/>
  <c r="CJ103" i="29"/>
  <c r="CI103" i="29"/>
  <c r="CH103" i="29"/>
  <c r="CX103" i="29"/>
  <c r="CW103" i="29"/>
  <c r="CV103" i="29"/>
  <c r="CG198" i="29"/>
  <c r="CF198" i="29"/>
  <c r="CL198" i="29"/>
  <c r="CG197" i="29"/>
  <c r="CF197" i="29"/>
  <c r="CL197" i="29"/>
  <c r="CR95" i="29"/>
  <c r="CD95" i="29"/>
  <c r="CC95" i="29"/>
  <c r="CP146" i="24"/>
  <c r="N207" i="24"/>
  <c r="CF135" i="24"/>
  <c r="CR135" i="24"/>
  <c r="CG148" i="24"/>
  <c r="CN135" i="24"/>
  <c r="CQ146" i="24"/>
  <c r="CM135" i="24"/>
  <c r="CL159" i="24"/>
  <c r="CF146" i="24"/>
  <c r="CM159" i="24"/>
  <c r="CB159" i="24"/>
  <c r="AK159" i="24" s="1"/>
  <c r="CR146" i="24"/>
  <c r="CN132" i="24"/>
  <c r="CG146" i="24"/>
  <c r="CN102" i="24"/>
  <c r="CL102" i="24"/>
  <c r="CC102" i="24"/>
  <c r="CO102" i="24"/>
  <c r="CG101" i="24"/>
  <c r="CP144" i="24"/>
  <c r="W202" i="24"/>
  <c r="CF100" i="24"/>
  <c r="CD102" i="24"/>
  <c r="CQ102" i="24"/>
  <c r="CP102" i="24"/>
  <c r="CQ101" i="24"/>
  <c r="CL101" i="24"/>
  <c r="CE144" i="24"/>
  <c r="CM100" i="24"/>
  <c r="CO132" i="24"/>
  <c r="AU40" i="24"/>
  <c r="D140" i="24"/>
  <c r="CG132" i="24"/>
  <c r="CQ98" i="24"/>
  <c r="CG102" i="24"/>
  <c r="CQ144" i="24"/>
  <c r="CR132" i="24"/>
  <c r="CB101" i="24"/>
  <c r="CQ100" i="24"/>
  <c r="AB13" i="24"/>
  <c r="CC132" i="24"/>
  <c r="CF144" i="24"/>
  <c r="CQ132" i="24"/>
  <c r="CN98" i="24"/>
  <c r="CD100" i="24"/>
  <c r="CE101" i="24"/>
  <c r="CM102" i="24"/>
  <c r="CM132" i="24"/>
  <c r="CE132" i="24"/>
  <c r="CC163" i="24"/>
  <c r="AK163" i="24" s="1"/>
  <c r="CE102" i="24"/>
  <c r="CD98" i="24"/>
  <c r="CP132" i="24"/>
  <c r="CN101" i="24"/>
  <c r="CM163" i="24"/>
  <c r="CB102" i="24"/>
  <c r="CH148" i="24"/>
  <c r="V116" i="24"/>
  <c r="CB98" i="24"/>
  <c r="AU48" i="24"/>
  <c r="CC98" i="24"/>
  <c r="CN148" i="24"/>
  <c r="CR144" i="24"/>
  <c r="CO98" i="24"/>
  <c r="CC148" i="24"/>
  <c r="CC100" i="24"/>
  <c r="AU49" i="24"/>
  <c r="CG144" i="24"/>
  <c r="D151" i="24"/>
  <c r="CE98" i="24"/>
  <c r="CM148" i="24"/>
  <c r="AU82" i="24"/>
  <c r="CC161" i="24"/>
  <c r="AK161" i="24" s="1"/>
  <c r="AU77" i="24"/>
  <c r="CM144" i="24"/>
  <c r="CM98" i="24"/>
  <c r="CP148" i="24"/>
  <c r="CP100" i="24"/>
  <c r="CN144" i="24"/>
  <c r="Y109" i="24"/>
  <c r="CO148" i="24"/>
  <c r="CP98" i="24"/>
  <c r="CD148" i="24"/>
  <c r="CL98" i="24"/>
  <c r="CE148" i="24"/>
  <c r="CG100" i="24"/>
  <c r="CC144" i="24"/>
  <c r="AU65" i="24"/>
  <c r="CF98" i="24"/>
  <c r="CB170" i="24"/>
  <c r="CQ148" i="24"/>
  <c r="AU70" i="24"/>
  <c r="CL100" i="24"/>
  <c r="CO144" i="24"/>
  <c r="AU46" i="24"/>
  <c r="CH144" i="24"/>
  <c r="AC124" i="24"/>
  <c r="AV138" i="24"/>
  <c r="CC157" i="24"/>
  <c r="AK157" i="24" s="1"/>
  <c r="CL158" i="24"/>
  <c r="CC158" i="24"/>
  <c r="AU87" i="24"/>
  <c r="AU67" i="24"/>
  <c r="AU42" i="24"/>
  <c r="AU35" i="24"/>
  <c r="AU56" i="24"/>
  <c r="CL170" i="24"/>
  <c r="CC170" i="24"/>
  <c r="AU59" i="24"/>
  <c r="W201" i="24"/>
  <c r="CB158" i="24"/>
  <c r="CL161" i="24"/>
  <c r="CM161" i="24"/>
  <c r="AV136" i="24"/>
  <c r="AV130" i="24"/>
  <c r="AU78" i="24"/>
  <c r="AU52" i="24"/>
  <c r="AU36" i="24"/>
  <c r="CL157" i="24"/>
  <c r="AU41" i="24"/>
  <c r="CL162" i="24"/>
  <c r="CC162" i="24"/>
  <c r="AK162" i="24" s="1"/>
  <c r="AC123" i="24"/>
  <c r="AU54" i="24"/>
  <c r="AU44" i="24"/>
  <c r="AU73" i="24"/>
  <c r="AU75" i="24"/>
  <c r="AU62" i="24"/>
  <c r="CM157" i="24"/>
  <c r="AU85" i="24"/>
  <c r="AU81" i="24"/>
  <c r="AU83" i="24"/>
  <c r="AU58" i="24"/>
  <c r="AU84" i="24"/>
  <c r="AU50" i="24"/>
  <c r="AU57" i="24"/>
  <c r="CL169" i="24"/>
  <c r="AU66" i="24"/>
  <c r="Y111" i="24"/>
  <c r="AU74" i="24"/>
  <c r="AW97" i="24"/>
  <c r="N206" i="24"/>
  <c r="CM162" i="24"/>
  <c r="AU86" i="24"/>
  <c r="AU45" i="24"/>
  <c r="AU38" i="24"/>
  <c r="AB12" i="24"/>
  <c r="CV250" i="29"/>
  <c r="CI250" i="29"/>
  <c r="CU250" i="29"/>
  <c r="CH250" i="29"/>
  <c r="CX250" i="29"/>
  <c r="CJ250" i="29"/>
  <c r="CG250" i="29"/>
  <c r="CW250" i="29"/>
  <c r="CQ384" i="29"/>
  <c r="CP384" i="29"/>
  <c r="CC384" i="29"/>
  <c r="CB384" i="29"/>
  <c r="CU247" i="29"/>
  <c r="CX247" i="29"/>
  <c r="CH247" i="29"/>
  <c r="CG247" i="29"/>
  <c r="CW247" i="29"/>
  <c r="CJ247" i="29"/>
  <c r="CV247" i="29"/>
  <c r="CI247" i="29"/>
  <c r="CQ388" i="29"/>
  <c r="CP388" i="29"/>
  <c r="CC388" i="29"/>
  <c r="CB388" i="29"/>
  <c r="CX249" i="29"/>
  <c r="CW249" i="29"/>
  <c r="CJ249" i="29"/>
  <c r="CV249" i="29"/>
  <c r="CI249" i="29"/>
  <c r="CH249" i="29"/>
  <c r="CU249" i="29"/>
  <c r="CG249" i="29"/>
  <c r="CQ387" i="29"/>
  <c r="CP387" i="29"/>
  <c r="CC387" i="29"/>
  <c r="CB387" i="29"/>
  <c r="CQ386" i="29"/>
  <c r="CP386" i="29"/>
  <c r="CC386" i="29"/>
  <c r="CB386" i="29"/>
  <c r="CQ389" i="29"/>
  <c r="CP389" i="29"/>
  <c r="CC389" i="29"/>
  <c r="CB389" i="29"/>
  <c r="CQ385" i="29"/>
  <c r="CP385" i="29"/>
  <c r="CC385" i="29"/>
  <c r="CB385" i="29"/>
  <c r="CX248" i="29"/>
  <c r="CJ248" i="29"/>
  <c r="CW248" i="29"/>
  <c r="CI248" i="29"/>
  <c r="CV248" i="29"/>
  <c r="CH248" i="29"/>
  <c r="CU248" i="29"/>
  <c r="CG248" i="29"/>
  <c r="CU196" i="29"/>
  <c r="CT196" i="29"/>
  <c r="CZ196" i="29"/>
  <c r="CD138" i="29"/>
  <c r="CR138" i="29"/>
  <c r="CC138" i="29"/>
  <c r="CQ138" i="29"/>
  <c r="CP138" i="29"/>
  <c r="CZ198" i="29"/>
  <c r="CU198" i="29"/>
  <c r="CT198" i="29"/>
  <c r="CT195" i="29"/>
  <c r="CZ195" i="29"/>
  <c r="CU195" i="29"/>
  <c r="CU197" i="29"/>
  <c r="CT197" i="29"/>
  <c r="CZ197" i="29"/>
  <c r="T64" i="29"/>
  <c r="AC36" i="29"/>
  <c r="CP124" i="29"/>
  <c r="CB124" i="29"/>
  <c r="CQ124" i="29"/>
  <c r="CC124" i="29"/>
  <c r="CQ95" i="29"/>
  <c r="CP95" i="29"/>
  <c r="AC49" i="29"/>
  <c r="CF95" i="24"/>
  <c r="CO95" i="24"/>
  <c r="CC95" i="24"/>
  <c r="CN95" i="24"/>
  <c r="CB95" i="24"/>
  <c r="CL95" i="24"/>
  <c r="CG95" i="24"/>
  <c r="CE95" i="24"/>
  <c r="CD95" i="24"/>
  <c r="D104" i="24"/>
  <c r="CQ95" i="24"/>
  <c r="CP95" i="24"/>
  <c r="CM95" i="24"/>
  <c r="AU53" i="24"/>
  <c r="AU39" i="24"/>
  <c r="AU80" i="24"/>
  <c r="AV137" i="24"/>
  <c r="AV133" i="24"/>
  <c r="Y110" i="24"/>
  <c r="AU43" i="24"/>
  <c r="AU76" i="24"/>
  <c r="AA29" i="24"/>
  <c r="AU69" i="24"/>
  <c r="AW96" i="24"/>
  <c r="AU60" i="24"/>
  <c r="AU47" i="24"/>
  <c r="AB14" i="24"/>
  <c r="AU79" i="24"/>
  <c r="AU71" i="24"/>
  <c r="AC125" i="24"/>
  <c r="AV145" i="24"/>
  <c r="AU61" i="24"/>
  <c r="AU68" i="24"/>
  <c r="AU72" i="24"/>
  <c r="AU51" i="24"/>
  <c r="AV147" i="24"/>
  <c r="AU89" i="24"/>
  <c r="AB15" i="24"/>
  <c r="AU88" i="24"/>
  <c r="V117" i="24"/>
  <c r="CR141" i="24"/>
  <c r="CF141" i="24"/>
  <c r="CQ141" i="24"/>
  <c r="CE141" i="24"/>
  <c r="CP141" i="24"/>
  <c r="CD141" i="24"/>
  <c r="CO141" i="24"/>
  <c r="CC141" i="24"/>
  <c r="CN141" i="24"/>
  <c r="CM141" i="24"/>
  <c r="CH141" i="24"/>
  <c r="CG141" i="24"/>
  <c r="AU55" i="24"/>
  <c r="AU37" i="24"/>
  <c r="AA28" i="24"/>
  <c r="AB11" i="24"/>
  <c r="AU64" i="24"/>
  <c r="AW103" i="24"/>
  <c r="AU63" i="24"/>
  <c r="AV135" i="24" l="1"/>
  <c r="AV142" i="24"/>
  <c r="AV131" i="24"/>
  <c r="AU389" i="29"/>
  <c r="AU384" i="29"/>
  <c r="AU388" i="29"/>
  <c r="AU387" i="29"/>
  <c r="AU385" i="29"/>
  <c r="AZ195" i="29"/>
  <c r="AZ197" i="29"/>
  <c r="AZ198" i="29"/>
  <c r="AZ196" i="29"/>
  <c r="AV150" i="24"/>
  <c r="AU386" i="29"/>
  <c r="AY95" i="29"/>
  <c r="AK124" i="29"/>
  <c r="AV143" i="24"/>
  <c r="AV134" i="24"/>
  <c r="AV146" i="24"/>
  <c r="AV139" i="24"/>
  <c r="AZ247" i="29"/>
  <c r="AW102" i="24"/>
  <c r="AW101" i="24"/>
  <c r="AV132" i="24"/>
  <c r="AV144" i="24"/>
  <c r="AW98" i="24"/>
  <c r="AK170" i="24"/>
  <c r="AW100" i="24"/>
  <c r="AV148" i="24"/>
  <c r="AK158" i="24"/>
  <c r="C236" i="24"/>
  <c r="D29" i="18" s="1"/>
  <c r="AZ248" i="29"/>
  <c r="AZ250" i="29"/>
  <c r="AZ249" i="29"/>
  <c r="AN103" i="29"/>
  <c r="AW95" i="24"/>
  <c r="AV141" i="24"/>
  <c r="H125" i="49" l="1"/>
  <c r="G125" i="49"/>
  <c r="F125" i="49"/>
  <c r="E125" i="49"/>
  <c r="D125" i="49"/>
  <c r="CM105" i="49"/>
  <c r="CB105" i="49"/>
  <c r="AA105" i="49" s="1"/>
  <c r="CM104" i="49"/>
  <c r="CB104" i="49"/>
  <c r="AA104" i="49" s="1"/>
  <c r="CM94" i="49"/>
  <c r="CM90" i="49"/>
  <c r="CM86" i="49"/>
  <c r="CM68" i="49"/>
  <c r="AJ58" i="49"/>
  <c r="U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CB56" i="49"/>
  <c r="AK56" i="49" s="1"/>
  <c r="AK50" i="49"/>
  <c r="V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AK46" i="49"/>
  <c r="V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CB41" i="49"/>
  <c r="AL41" i="49" s="1"/>
  <c r="AK40" i="49"/>
  <c r="V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AK34" i="49"/>
  <c r="V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F33" i="49"/>
  <c r="E33" i="49"/>
  <c r="D33" i="49" s="1"/>
  <c r="CM33" i="49"/>
  <c r="L24" i="49"/>
  <c r="K24" i="49"/>
  <c r="J24" i="49"/>
  <c r="I24" i="49"/>
  <c r="H24" i="49"/>
  <c r="G24" i="49"/>
  <c r="F24" i="49"/>
  <c r="E24" i="49"/>
  <c r="D24" i="49"/>
  <c r="AO16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CB48" i="49" l="1"/>
  <c r="AL48" i="49" s="1"/>
  <c r="CB32" i="49"/>
  <c r="AL32" i="49" s="1"/>
  <c r="CM70" i="49"/>
  <c r="CM91" i="49"/>
  <c r="E50" i="49"/>
  <c r="E40" i="49"/>
  <c r="F50" i="49"/>
  <c r="CM64" i="49"/>
  <c r="CM31" i="49"/>
  <c r="CB45" i="49"/>
  <c r="AL45" i="49" s="1"/>
  <c r="CM45" i="49"/>
  <c r="CB49" i="49"/>
  <c r="AL49" i="49" s="1"/>
  <c r="CM49" i="49"/>
  <c r="CB38" i="49"/>
  <c r="AL38" i="49" s="1"/>
  <c r="CM38" i="49"/>
  <c r="CM39" i="49"/>
  <c r="CM32" i="49"/>
  <c r="F46" i="49"/>
  <c r="E58" i="49"/>
  <c r="CM41" i="49"/>
  <c r="CB42" i="49"/>
  <c r="AL42" i="49" s="1"/>
  <c r="CB35" i="49"/>
  <c r="AL35" i="49" s="1"/>
  <c r="CM37" i="49"/>
  <c r="CM43" i="49"/>
  <c r="E34" i="49"/>
  <c r="E46" i="49"/>
  <c r="F40" i="49"/>
  <c r="CM56" i="49"/>
  <c r="CB44" i="49"/>
  <c r="AL44" i="49" s="1"/>
  <c r="F34" i="49"/>
  <c r="CM66" i="49"/>
  <c r="CM87" i="49"/>
  <c r="F16" i="49"/>
  <c r="CM13" i="49"/>
  <c r="C24" i="49"/>
  <c r="CM15" i="49"/>
  <c r="E16" i="49"/>
  <c r="CM14" i="49"/>
  <c r="CM30" i="49"/>
  <c r="CB30" i="49"/>
  <c r="AL30" i="49" s="1"/>
  <c r="CM69" i="49"/>
  <c r="CB69" i="49"/>
  <c r="AL69" i="49" s="1"/>
  <c r="CM57" i="49"/>
  <c r="CB57" i="49"/>
  <c r="AK57" i="49" s="1"/>
  <c r="CB87" i="49"/>
  <c r="X87" i="49" s="1"/>
  <c r="CB71" i="49"/>
  <c r="AL71" i="49" s="1"/>
  <c r="CM71" i="49"/>
  <c r="CM92" i="49"/>
  <c r="CB92" i="49"/>
  <c r="X92" i="49" s="1"/>
  <c r="CM36" i="49"/>
  <c r="CB36" i="49"/>
  <c r="AL36" i="49" s="1"/>
  <c r="CB55" i="49"/>
  <c r="AK55" i="49" s="1"/>
  <c r="CM55" i="49"/>
  <c r="CB67" i="49"/>
  <c r="AL67" i="49" s="1"/>
  <c r="CM67" i="49"/>
  <c r="CM88" i="49"/>
  <c r="CB88" i="49"/>
  <c r="X88" i="49" s="1"/>
  <c r="CB89" i="49"/>
  <c r="X89" i="49" s="1"/>
  <c r="CM89" i="49"/>
  <c r="CM29" i="49"/>
  <c r="CB29" i="49"/>
  <c r="AL29" i="49" s="1"/>
  <c r="CB93" i="49"/>
  <c r="X93" i="49" s="1"/>
  <c r="CM93" i="49"/>
  <c r="CM65" i="49"/>
  <c r="CB65" i="49"/>
  <c r="AL65" i="49" s="1"/>
  <c r="CB33" i="49"/>
  <c r="AL33" i="49" s="1"/>
  <c r="CB64" i="49"/>
  <c r="AL64" i="49" s="1"/>
  <c r="CB68" i="49"/>
  <c r="AL68" i="49" s="1"/>
  <c r="CB86" i="49"/>
  <c r="X86" i="49" s="1"/>
  <c r="CB90" i="49"/>
  <c r="X90" i="49" s="1"/>
  <c r="CB94" i="49"/>
  <c r="X94" i="49" s="1"/>
  <c r="D58" i="49"/>
  <c r="CB66" i="49" l="1"/>
  <c r="AL66" i="49" s="1"/>
  <c r="D50" i="49"/>
  <c r="CB91" i="49"/>
  <c r="X91" i="49" s="1"/>
  <c r="CB43" i="49"/>
  <c r="AL43" i="49" s="1"/>
  <c r="CB70" i="49"/>
  <c r="AL70" i="49" s="1"/>
  <c r="CM48" i="49"/>
  <c r="C58" i="49"/>
  <c r="CB37" i="49"/>
  <c r="AL37" i="49" s="1"/>
  <c r="CM35" i="49"/>
  <c r="CM47" i="49"/>
  <c r="CB47" i="49"/>
  <c r="AL47" i="49" s="1"/>
  <c r="D34" i="49"/>
  <c r="CB31" i="49"/>
  <c r="AL31" i="49" s="1"/>
  <c r="D40" i="49"/>
  <c r="CM42" i="49"/>
  <c r="D46" i="49"/>
  <c r="CB39" i="49"/>
  <c r="AL39" i="49" s="1"/>
  <c r="CM44" i="49"/>
  <c r="CB13" i="49"/>
  <c r="AP13" i="49" s="1"/>
  <c r="D16" i="49"/>
  <c r="CB15" i="49"/>
  <c r="AP15" i="49" s="1"/>
  <c r="C150" i="49"/>
  <c r="D31" i="18" s="1"/>
  <c r="CB14" i="49"/>
  <c r="AP14" i="49" s="1"/>
  <c r="B150" i="49"/>
  <c r="E31" i="18" s="1"/>
  <c r="CR96" i="29"/>
  <c r="CB96" i="29"/>
  <c r="CC96" i="29"/>
  <c r="CD96" i="29"/>
  <c r="CP96" i="29"/>
  <c r="CQ96" i="29"/>
  <c r="CP98" i="29"/>
  <c r="CQ98" i="29"/>
  <c r="CR98" i="29"/>
  <c r="CD98" i="29"/>
  <c r="CB98" i="29"/>
  <c r="CC98" i="29"/>
  <c r="CP97" i="29"/>
  <c r="CQ97" i="29"/>
  <c r="CR97" i="29"/>
  <c r="CB97" i="29"/>
  <c r="CC97" i="29"/>
  <c r="CD97" i="29"/>
  <c r="CH17" i="33"/>
  <c r="CH16" i="33"/>
  <c r="CG16" i="33"/>
  <c r="CH15" i="33"/>
  <c r="CG15" i="33"/>
  <c r="CG14" i="33"/>
  <c r="CG13" i="33"/>
  <c r="CH13" i="33"/>
  <c r="I200" i="32"/>
  <c r="G200" i="32"/>
  <c r="F200" i="32"/>
  <c r="E200" i="32"/>
  <c r="D200" i="32"/>
  <c r="I183" i="32"/>
  <c r="H183" i="32"/>
  <c r="G183" i="32"/>
  <c r="F183" i="32"/>
  <c r="E183" i="32"/>
  <c r="D183" i="32"/>
  <c r="N166" i="32"/>
  <c r="M166" i="32"/>
  <c r="L166" i="32"/>
  <c r="K166" i="32"/>
  <c r="J166" i="32"/>
  <c r="I166" i="32"/>
  <c r="H166" i="32"/>
  <c r="G166" i="32"/>
  <c r="F166" i="32"/>
  <c r="E166" i="32"/>
  <c r="D166" i="32"/>
  <c r="M149" i="32"/>
  <c r="L149" i="32"/>
  <c r="K149" i="32"/>
  <c r="J149" i="32"/>
  <c r="I149" i="32"/>
  <c r="H149" i="32"/>
  <c r="G149" i="32"/>
  <c r="F149" i="32"/>
  <c r="E149" i="32"/>
  <c r="D149" i="32"/>
  <c r="M130" i="32"/>
  <c r="L130" i="32"/>
  <c r="K130" i="32"/>
  <c r="J130" i="32"/>
  <c r="I130" i="32"/>
  <c r="H130" i="32"/>
  <c r="G130" i="32"/>
  <c r="F130" i="32"/>
  <c r="E130" i="32"/>
  <c r="D130" i="32"/>
  <c r="CX47" i="32"/>
  <c r="CM28" i="32"/>
  <c r="DG31" i="32" l="1"/>
  <c r="DH31" i="32"/>
  <c r="CM27" i="32"/>
  <c r="DG27" i="32"/>
  <c r="AY97" i="29"/>
  <c r="AY98" i="29"/>
  <c r="CW66" i="32"/>
  <c r="CC66" i="32"/>
  <c r="CB66" i="32"/>
  <c r="CC55" i="32"/>
  <c r="CB55" i="32"/>
  <c r="CB143" i="32"/>
  <c r="N143" i="32" s="1"/>
  <c r="CV143" i="32"/>
  <c r="CV124" i="32"/>
  <c r="CB124" i="32"/>
  <c r="N124" i="32" s="1"/>
  <c r="CV136" i="32"/>
  <c r="CB136" i="32"/>
  <c r="N136" i="32" s="1"/>
  <c r="CB144" i="32"/>
  <c r="N144" i="32" s="1"/>
  <c r="CV144" i="32"/>
  <c r="CB117" i="32"/>
  <c r="N117" i="32" s="1"/>
  <c r="CV117" i="32"/>
  <c r="CV125" i="32"/>
  <c r="CB125" i="32"/>
  <c r="N125" i="32" s="1"/>
  <c r="CB137" i="32"/>
  <c r="N137" i="32" s="1"/>
  <c r="CV137" i="32"/>
  <c r="CB145" i="32"/>
  <c r="N145" i="32" s="1"/>
  <c r="CV145" i="32"/>
  <c r="DD29" i="32"/>
  <c r="CI29" i="32"/>
  <c r="CB29" i="32"/>
  <c r="DG29" i="32"/>
  <c r="CM29" i="32"/>
  <c r="CJ29" i="32"/>
  <c r="DB29" i="32"/>
  <c r="DC29" i="32"/>
  <c r="CH29" i="32"/>
  <c r="CC31" i="32"/>
  <c r="DA31" i="32"/>
  <c r="CW31" i="32"/>
  <c r="CZ31" i="32"/>
  <c r="DB31" i="32"/>
  <c r="CN31" i="32"/>
  <c r="CY31" i="32"/>
  <c r="DC31" i="32"/>
  <c r="CB31" i="32"/>
  <c r="CH31" i="32"/>
  <c r="CJ31" i="32"/>
  <c r="DD31" i="32"/>
  <c r="CG31" i="32"/>
  <c r="CI31" i="32"/>
  <c r="CE31" i="32"/>
  <c r="CF31" i="32"/>
  <c r="CM31" i="32"/>
  <c r="DA24" i="32"/>
  <c r="DD24" i="32"/>
  <c r="CZ24" i="32"/>
  <c r="DC24" i="32"/>
  <c r="CF24" i="32"/>
  <c r="CG24" i="32"/>
  <c r="CJ24" i="32"/>
  <c r="CB24" i="32"/>
  <c r="CH24" i="32"/>
  <c r="CD24" i="32"/>
  <c r="CI24" i="32"/>
  <c r="DB24" i="32"/>
  <c r="CJ32" i="32"/>
  <c r="CY32" i="32"/>
  <c r="DB32" i="32"/>
  <c r="DC32" i="32"/>
  <c r="CG32" i="32"/>
  <c r="CZ32" i="32"/>
  <c r="CN32" i="32"/>
  <c r="DD32" i="32"/>
  <c r="CF32" i="32"/>
  <c r="CM32" i="32"/>
  <c r="CE32" i="32"/>
  <c r="CI32" i="32"/>
  <c r="CB32" i="32"/>
  <c r="DG32" i="32"/>
  <c r="DH32" i="32"/>
  <c r="CH32" i="32"/>
  <c r="CW32" i="32"/>
  <c r="DA32" i="32"/>
  <c r="CC32" i="32"/>
  <c r="CW60" i="32"/>
  <c r="CB118" i="32"/>
  <c r="N118" i="32" s="1"/>
  <c r="CV118" i="32"/>
  <c r="CB126" i="32"/>
  <c r="N126" i="32" s="1"/>
  <c r="CV126" i="32"/>
  <c r="CV138" i="32"/>
  <c r="CB138" i="32"/>
  <c r="N138" i="32" s="1"/>
  <c r="CB146" i="32"/>
  <c r="N146" i="32" s="1"/>
  <c r="CV146" i="32"/>
  <c r="CV119" i="32"/>
  <c r="CB119" i="32"/>
  <c r="N119" i="32" s="1"/>
  <c r="CB127" i="32"/>
  <c r="N127" i="32" s="1"/>
  <c r="CV127" i="32"/>
  <c r="CB139" i="32"/>
  <c r="N139" i="32" s="1"/>
  <c r="CV139" i="32"/>
  <c r="CV147" i="32"/>
  <c r="CB147" i="32"/>
  <c r="N147" i="32" s="1"/>
  <c r="CV45" i="32"/>
  <c r="CV120" i="32"/>
  <c r="CB120" i="32"/>
  <c r="N120" i="32" s="1"/>
  <c r="CV128" i="32"/>
  <c r="CB128" i="32"/>
  <c r="N128" i="32" s="1"/>
  <c r="CV140" i="32"/>
  <c r="CB140" i="32"/>
  <c r="N140" i="32" s="1"/>
  <c r="CV148" i="32"/>
  <c r="CB148" i="32"/>
  <c r="N148" i="32" s="1"/>
  <c r="CZ27" i="32"/>
  <c r="DB27" i="32"/>
  <c r="CE27" i="32"/>
  <c r="CH27" i="32"/>
  <c r="CI27" i="32"/>
  <c r="CY27" i="32"/>
  <c r="DC27" i="32"/>
  <c r="CJ27" i="32"/>
  <c r="DA27" i="32"/>
  <c r="DD27" i="32"/>
  <c r="CF27" i="32"/>
  <c r="CG27" i="32"/>
  <c r="CB27" i="32"/>
  <c r="CB121" i="32"/>
  <c r="N121" i="32" s="1"/>
  <c r="CV121" i="32"/>
  <c r="CB129" i="32"/>
  <c r="N129" i="32" s="1"/>
  <c r="CV129" i="32"/>
  <c r="C149" i="32"/>
  <c r="CB47" i="32"/>
  <c r="CD47" i="32"/>
  <c r="CC47" i="32"/>
  <c r="CV123" i="32"/>
  <c r="CB123" i="32"/>
  <c r="N123" i="32" s="1"/>
  <c r="CJ30" i="32"/>
  <c r="CH30" i="32"/>
  <c r="DG30" i="32"/>
  <c r="CB30" i="32"/>
  <c r="CI30" i="32"/>
  <c r="DB30" i="32"/>
  <c r="DC30" i="32"/>
  <c r="DD30" i="32"/>
  <c r="CH25" i="32"/>
  <c r="CI25" i="32"/>
  <c r="CD25" i="32"/>
  <c r="CG25" i="32"/>
  <c r="DB25" i="32"/>
  <c r="CJ25" i="32"/>
  <c r="DA25" i="32"/>
  <c r="DC25" i="32"/>
  <c r="CB25" i="32"/>
  <c r="CZ25" i="32"/>
  <c r="DD25" i="32"/>
  <c r="CF25" i="32"/>
  <c r="DA26" i="32"/>
  <c r="DB26" i="32"/>
  <c r="CF26" i="32"/>
  <c r="CG26" i="32"/>
  <c r="CZ26" i="32"/>
  <c r="DC26" i="32"/>
  <c r="CB26" i="32"/>
  <c r="CD26" i="32"/>
  <c r="DD26" i="32"/>
  <c r="CH26" i="32"/>
  <c r="CJ26" i="32"/>
  <c r="CI26" i="32"/>
  <c r="CJ28" i="32"/>
  <c r="DD28" i="32"/>
  <c r="CB28" i="32"/>
  <c r="CF28" i="32"/>
  <c r="DG28" i="32"/>
  <c r="CG28" i="32"/>
  <c r="DB28" i="32"/>
  <c r="DC28" i="32"/>
  <c r="DA28" i="32"/>
  <c r="CH28" i="32"/>
  <c r="CZ28" i="32"/>
  <c r="CI28" i="32"/>
  <c r="CY28" i="32"/>
  <c r="CE28" i="32"/>
  <c r="CW50" i="32"/>
  <c r="CB122" i="32"/>
  <c r="N122" i="32" s="1"/>
  <c r="CV122" i="32"/>
  <c r="C130" i="32"/>
  <c r="CB142" i="32"/>
  <c r="N142" i="32" s="1"/>
  <c r="CV142" i="32"/>
  <c r="AY96" i="29"/>
  <c r="CW59" i="32"/>
  <c r="CB141" i="32"/>
  <c r="N141" i="32" s="1"/>
  <c r="CV141" i="32"/>
  <c r="CJ13" i="32"/>
  <c r="CM13" i="32"/>
  <c r="CW13" i="32"/>
  <c r="CZ13" i="32"/>
  <c r="DA13" i="32"/>
  <c r="DB13" i="32"/>
  <c r="DC13" i="32"/>
  <c r="DD13" i="32"/>
  <c r="DG13" i="32"/>
  <c r="CB13" i="32"/>
  <c r="CC13" i="32"/>
  <c r="CF13" i="32"/>
  <c r="CG13" i="32"/>
  <c r="CH13" i="32"/>
  <c r="CI13" i="32"/>
  <c r="CV19" i="32"/>
  <c r="CV31" i="32"/>
  <c r="CV24" i="32"/>
  <c r="CX26" i="32"/>
  <c r="CV61" i="32"/>
  <c r="CV16" i="32"/>
  <c r="CV14" i="32"/>
  <c r="CV29" i="32"/>
  <c r="CV32" i="32"/>
  <c r="CX25" i="32"/>
  <c r="CV25" i="32"/>
  <c r="CV13" i="32"/>
  <c r="CV20" i="32"/>
  <c r="CV22" i="32"/>
  <c r="CV21" i="32"/>
  <c r="CV27" i="32"/>
  <c r="CV26" i="32"/>
  <c r="CV12" i="32"/>
  <c r="CV15" i="32"/>
  <c r="CV30" i="32"/>
  <c r="CV17" i="32"/>
  <c r="CV18" i="32"/>
  <c r="CV28" i="32"/>
  <c r="CH14" i="33"/>
  <c r="CG17" i="33"/>
  <c r="CW58" i="32"/>
  <c r="CV51" i="32"/>
  <c r="CW51" i="32"/>
  <c r="CV53" i="32"/>
  <c r="CW53" i="32"/>
  <c r="CW45" i="32"/>
  <c r="CX21" i="32"/>
  <c r="CX20" i="32"/>
  <c r="CX23" i="32"/>
  <c r="CV48" i="32"/>
  <c r="CX22" i="32"/>
  <c r="CV64" i="32"/>
  <c r="CV66" i="32"/>
  <c r="CW54" i="32"/>
  <c r="CV54" i="32"/>
  <c r="CV46" i="32"/>
  <c r="CW52" i="32"/>
  <c r="CV52" i="32"/>
  <c r="CV60" i="32"/>
  <c r="CV56" i="32"/>
  <c r="CW56" i="32"/>
  <c r="CV49" i="32"/>
  <c r="CV47" i="32"/>
  <c r="CV55" i="32"/>
  <c r="CW47" i="32"/>
  <c r="CW55" i="32"/>
  <c r="CW63" i="32"/>
  <c r="CX24" i="32"/>
  <c r="AR66" i="32" l="1"/>
  <c r="AJ24" i="32"/>
  <c r="CW61" i="32"/>
  <c r="CV50" i="32"/>
  <c r="CB65" i="32"/>
  <c r="CC65" i="32"/>
  <c r="CW64" i="32"/>
  <c r="CB61" i="32"/>
  <c r="AR61" i="32" s="1"/>
  <c r="CC61" i="32"/>
  <c r="CC58" i="32"/>
  <c r="CB58" i="32"/>
  <c r="AJ26" i="32"/>
  <c r="CV57" i="32"/>
  <c r="CC57" i="32"/>
  <c r="CB57" i="32"/>
  <c r="CW62" i="32"/>
  <c r="CC62" i="32"/>
  <c r="CB62" i="32"/>
  <c r="CC53" i="32"/>
  <c r="CB53" i="32"/>
  <c r="CC63" i="32"/>
  <c r="CB63" i="32"/>
  <c r="CC54" i="32"/>
  <c r="CB54" i="32"/>
  <c r="AR54" i="32" s="1"/>
  <c r="CC50" i="32"/>
  <c r="CB50" i="32"/>
  <c r="AR50" i="32" s="1"/>
  <c r="CB45" i="32"/>
  <c r="CC45" i="32"/>
  <c r="CD45" i="32"/>
  <c r="CX45" i="32"/>
  <c r="CW65" i="32"/>
  <c r="CB52" i="32"/>
  <c r="AR52" i="32" s="1"/>
  <c r="CC52" i="32"/>
  <c r="CB51" i="32"/>
  <c r="AR51" i="32" s="1"/>
  <c r="CC51" i="32"/>
  <c r="CD46" i="32"/>
  <c r="CC46" i="32"/>
  <c r="CB46" i="32"/>
  <c r="CX46" i="32"/>
  <c r="AJ30" i="32"/>
  <c r="CC60" i="32"/>
  <c r="CB60" i="32"/>
  <c r="AR60" i="32" s="1"/>
  <c r="AR55" i="32"/>
  <c r="CB56" i="32"/>
  <c r="CC56" i="32"/>
  <c r="CC49" i="32"/>
  <c r="CB49" i="32"/>
  <c r="AR49" i="32" s="1"/>
  <c r="AJ28" i="32"/>
  <c r="AJ25" i="32"/>
  <c r="CV63" i="32"/>
  <c r="CW46" i="32"/>
  <c r="CV58" i="32"/>
  <c r="AR47" i="32"/>
  <c r="AJ32" i="32"/>
  <c r="AJ29" i="32"/>
  <c r="CV65" i="32"/>
  <c r="CB64" i="32"/>
  <c r="CC64" i="32"/>
  <c r="CV62" i="32"/>
  <c r="CW48" i="32"/>
  <c r="CB48" i="32"/>
  <c r="CC48" i="32"/>
  <c r="AJ27" i="32"/>
  <c r="AJ31" i="32"/>
  <c r="CV59" i="32"/>
  <c r="CB59" i="32"/>
  <c r="CC59" i="32"/>
  <c r="AJ13" i="32"/>
  <c r="CW57" i="32"/>
  <c r="CH12" i="33"/>
  <c r="CW49" i="32"/>
  <c r="AR57" i="32" l="1"/>
  <c r="AR56" i="32"/>
  <c r="AR53" i="32"/>
  <c r="AR62" i="32"/>
  <c r="AR58" i="32"/>
  <c r="AR59" i="32"/>
  <c r="AR45" i="32"/>
  <c r="AR64" i="32"/>
  <c r="AR46" i="32"/>
  <c r="AR63" i="32"/>
  <c r="AR48" i="32"/>
  <c r="AR65" i="32"/>
  <c r="CB112" i="36" l="1"/>
  <c r="CC112" i="36"/>
  <c r="CH112" i="36"/>
  <c r="CI112" i="36"/>
  <c r="CI100" i="36"/>
  <c r="CH100" i="36"/>
  <c r="CB100" i="36"/>
  <c r="CC100" i="36"/>
  <c r="CB104" i="36"/>
  <c r="CC104" i="36"/>
  <c r="CH104" i="36"/>
  <c r="CI104" i="36"/>
  <c r="CB101" i="36"/>
  <c r="CC101" i="36"/>
  <c r="CH101" i="36"/>
  <c r="CI101" i="36"/>
  <c r="CC102" i="36"/>
  <c r="CB102" i="36"/>
  <c r="CH102" i="36"/>
  <c r="CI102" i="36"/>
  <c r="CH113" i="36"/>
  <c r="CB113" i="36"/>
  <c r="CC113" i="36"/>
  <c r="CI113" i="36"/>
  <c r="CB105" i="36"/>
  <c r="CH105" i="36"/>
  <c r="CI105" i="36"/>
  <c r="CC105" i="36"/>
  <c r="CI109" i="36"/>
  <c r="CH109" i="36"/>
  <c r="CC109" i="36"/>
  <c r="CB109" i="36"/>
  <c r="CB103" i="36"/>
  <c r="CC103" i="36"/>
  <c r="CH103" i="36"/>
  <c r="CI103" i="36"/>
  <c r="CI111" i="36"/>
  <c r="CC111" i="36"/>
  <c r="CB111" i="36"/>
  <c r="CH111" i="36"/>
  <c r="E63" i="29"/>
  <c r="F63" i="29"/>
  <c r="G63" i="29"/>
  <c r="H63" i="29"/>
  <c r="I63" i="29"/>
  <c r="J63" i="29"/>
  <c r="K63" i="29"/>
  <c r="L63" i="29"/>
  <c r="M63" i="29"/>
  <c r="N63" i="29"/>
  <c r="P63" i="29"/>
  <c r="Q63" i="29"/>
  <c r="R63" i="29"/>
  <c r="S63" i="29"/>
  <c r="CB74" i="29" l="1"/>
  <c r="CC74" i="29"/>
  <c r="CB80" i="29"/>
  <c r="CC80" i="29"/>
  <c r="CB66" i="29"/>
  <c r="CC66" i="29"/>
  <c r="CC73" i="29"/>
  <c r="CB73" i="29"/>
  <c r="CC72" i="29"/>
  <c r="CB72" i="29"/>
  <c r="CB71" i="29"/>
  <c r="CC71" i="29"/>
  <c r="CB70" i="29"/>
  <c r="CC70" i="29"/>
  <c r="CB82" i="29"/>
  <c r="CC82" i="29"/>
  <c r="CB81" i="29"/>
  <c r="CC81" i="29"/>
  <c r="CB79" i="29"/>
  <c r="CC79" i="29"/>
  <c r="CC77" i="29"/>
  <c r="CB77" i="29"/>
  <c r="CB69" i="29"/>
  <c r="CC69" i="29"/>
  <c r="CQ65" i="29"/>
  <c r="CB65" i="29"/>
  <c r="CC65" i="29"/>
  <c r="CB78" i="29"/>
  <c r="CC78" i="29"/>
  <c r="CB76" i="29"/>
  <c r="CC76" i="29"/>
  <c r="CC68" i="29"/>
  <c r="CB68" i="29"/>
  <c r="CB75" i="29"/>
  <c r="CC75" i="29"/>
  <c r="CB67" i="29"/>
  <c r="CC67" i="29"/>
  <c r="CB83" i="29"/>
  <c r="CC83" i="29"/>
  <c r="CQ77" i="29"/>
  <c r="CP77" i="29"/>
  <c r="CQ82" i="29"/>
  <c r="CP65" i="29"/>
  <c r="CQ70" i="29"/>
  <c r="CQ81" i="29"/>
  <c r="CP70" i="29"/>
  <c r="CQ79" i="29"/>
  <c r="CP74" i="29"/>
  <c r="CQ69" i="29"/>
  <c r="CQ75" i="29"/>
  <c r="CQ67" i="29"/>
  <c r="CQ64" i="29"/>
  <c r="CP69" i="29"/>
  <c r="CQ83" i="29"/>
  <c r="CP78" i="29"/>
  <c r="CQ73" i="29"/>
  <c r="CQ71" i="29"/>
  <c r="CQ66" i="29"/>
  <c r="CP81" i="29"/>
  <c r="CQ78" i="29"/>
  <c r="CP73" i="29"/>
  <c r="CP66" i="29"/>
  <c r="CP82" i="29"/>
  <c r="CQ74" i="29"/>
  <c r="D63" i="29"/>
  <c r="CP83" i="29"/>
  <c r="CP79" i="29"/>
  <c r="CP75" i="29"/>
  <c r="CP71" i="29"/>
  <c r="CP67" i="29"/>
  <c r="CQ80" i="29"/>
  <c r="CQ76" i="29"/>
  <c r="CQ72" i="29"/>
  <c r="CQ68" i="29"/>
  <c r="CP80" i="29"/>
  <c r="CP76" i="29"/>
  <c r="CP72" i="29"/>
  <c r="CP68" i="29"/>
  <c r="T80" i="29"/>
  <c r="T66" i="29" l="1"/>
  <c r="T70" i="29"/>
  <c r="T73" i="29"/>
  <c r="T82" i="29"/>
  <c r="T77" i="29"/>
  <c r="T75" i="29"/>
  <c r="T69" i="29"/>
  <c r="T78" i="29"/>
  <c r="T72" i="29"/>
  <c r="T79" i="29"/>
  <c r="T71" i="29"/>
  <c r="T81" i="29"/>
  <c r="T76" i="29"/>
  <c r="T67" i="29"/>
  <c r="T74" i="29"/>
  <c r="T68" i="29"/>
  <c r="T83" i="29"/>
  <c r="T65" i="29"/>
  <c r="BP176" i="28" l="1"/>
  <c r="BV176" i="28"/>
  <c r="BW176" i="28"/>
  <c r="BQ176" i="28"/>
  <c r="BP179" i="28"/>
  <c r="BQ179" i="28"/>
  <c r="BV179" i="28"/>
  <c r="BW179" i="28"/>
  <c r="AG179" i="28" l="1"/>
  <c r="BP182" i="28"/>
  <c r="BQ182" i="28"/>
  <c r="BV182" i="28"/>
  <c r="BW182" i="28"/>
  <c r="BV180" i="28"/>
  <c r="BP180" i="28"/>
  <c r="BW180" i="28"/>
  <c r="BQ180" i="28"/>
  <c r="BV181" i="28"/>
  <c r="BW181" i="28"/>
  <c r="BP181" i="28"/>
  <c r="BQ181" i="28"/>
  <c r="BP183" i="28"/>
  <c r="BQ183" i="28"/>
  <c r="BV183" i="28"/>
  <c r="BW183" i="28"/>
  <c r="BP178" i="28"/>
  <c r="BQ178" i="28"/>
  <c r="AG178" i="28" s="1"/>
  <c r="BW178" i="28"/>
  <c r="BV178" i="28"/>
  <c r="BV177" i="28"/>
  <c r="BW177" i="28"/>
  <c r="BP177" i="28"/>
  <c r="BQ177" i="28"/>
  <c r="AG176" i="28"/>
  <c r="CC372" i="29"/>
  <c r="CB372" i="29"/>
  <c r="CB14" i="29"/>
  <c r="CT14" i="29"/>
  <c r="CC14" i="29"/>
  <c r="CD14" i="29"/>
  <c r="CI14" i="29"/>
  <c r="CE14" i="29"/>
  <c r="CF14" i="29"/>
  <c r="CP14" i="29"/>
  <c r="CG14" i="29"/>
  <c r="CQ14" i="29"/>
  <c r="CH14" i="29"/>
  <c r="CR14" i="29"/>
  <c r="CU14" i="29"/>
  <c r="CV14" i="29"/>
  <c r="CW14" i="29"/>
  <c r="CV13" i="29"/>
  <c r="CW13" i="29"/>
  <c r="CT13" i="29"/>
  <c r="CD13" i="29"/>
  <c r="CH13" i="29"/>
  <c r="CP13" i="29"/>
  <c r="CC13" i="29"/>
  <c r="CB13" i="29"/>
  <c r="CE13" i="29"/>
  <c r="CQ13" i="29"/>
  <c r="CF13" i="29"/>
  <c r="CR13" i="29"/>
  <c r="CG13" i="29"/>
  <c r="CI13" i="29"/>
  <c r="CU13" i="29"/>
  <c r="CB12" i="29"/>
  <c r="CP12" i="29"/>
  <c r="CC12" i="29"/>
  <c r="CQ12" i="29"/>
  <c r="CD12" i="29"/>
  <c r="CR12" i="29"/>
  <c r="CE12" i="29"/>
  <c r="CF12" i="29"/>
  <c r="CT12" i="29"/>
  <c r="CG12" i="29"/>
  <c r="CU12" i="29"/>
  <c r="CH12" i="29"/>
  <c r="CV12" i="29"/>
  <c r="CI12" i="29"/>
  <c r="CW12" i="29"/>
  <c r="CQ378" i="29"/>
  <c r="CP378" i="29"/>
  <c r="CC378" i="29"/>
  <c r="CB378" i="29"/>
  <c r="CQ381" i="29"/>
  <c r="CP381" i="29"/>
  <c r="CC381" i="29"/>
  <c r="CB381" i="29"/>
  <c r="CQ376" i="29"/>
  <c r="CP376" i="29"/>
  <c r="CC376" i="29"/>
  <c r="CB376" i="29"/>
  <c r="CQ379" i="29"/>
  <c r="CP379" i="29"/>
  <c r="CC379" i="29"/>
  <c r="CB379" i="29"/>
  <c r="CQ375" i="29"/>
  <c r="CP375" i="29"/>
  <c r="CC375" i="29"/>
  <c r="CB375" i="29"/>
  <c r="AU375" i="29" s="1"/>
  <c r="CQ382" i="29"/>
  <c r="CP382" i="29"/>
  <c r="CC382" i="29"/>
  <c r="CB382" i="29"/>
  <c r="CQ372" i="29"/>
  <c r="CP372" i="29"/>
  <c r="AU376" i="29" l="1"/>
  <c r="AG181" i="28"/>
  <c r="AU379" i="29"/>
  <c r="AU378" i="29"/>
  <c r="AG182" i="28"/>
  <c r="AU382" i="29"/>
  <c r="AU381" i="29"/>
  <c r="Z12" i="29"/>
  <c r="AG180" i="28"/>
  <c r="AG183" i="28"/>
  <c r="AG177" i="28"/>
  <c r="Z14" i="29"/>
  <c r="Z13" i="29"/>
  <c r="AU372" i="29"/>
  <c r="W142" i="19" l="1"/>
  <c r="V142" i="19"/>
  <c r="U142" i="19"/>
  <c r="T142" i="19"/>
  <c r="W130" i="19"/>
  <c r="V130" i="19"/>
  <c r="U130" i="19"/>
  <c r="T130" i="19"/>
  <c r="W84" i="19"/>
  <c r="V84" i="19"/>
  <c r="U84" i="19"/>
  <c r="T84" i="19"/>
  <c r="U73" i="19"/>
  <c r="T73" i="19"/>
  <c r="W73" i="19"/>
  <c r="V73" i="19"/>
  <c r="U66" i="19"/>
  <c r="T66" i="19"/>
  <c r="W66" i="19"/>
  <c r="V66" i="19"/>
  <c r="X41" i="19"/>
  <c r="W41" i="19"/>
  <c r="V41" i="19"/>
  <c r="U41" i="19"/>
  <c r="W23" i="19"/>
  <c r="V23" i="19"/>
  <c r="U23" i="19"/>
  <c r="T23" i="19"/>
  <c r="BR53" i="28" l="1"/>
  <c r="BQ53" i="28"/>
  <c r="BP53" i="28"/>
  <c r="BV54" i="28"/>
  <c r="BW54" i="28"/>
  <c r="BX54" i="28"/>
  <c r="BP54" i="28"/>
  <c r="BQ54" i="28"/>
  <c r="BR54" i="28"/>
  <c r="BX53" i="28"/>
  <c r="BW53" i="28"/>
  <c r="BV53" i="28"/>
  <c r="AE54" i="28" l="1"/>
  <c r="AE53" i="28"/>
  <c r="BR33" i="28"/>
  <c r="BS33" i="28"/>
  <c r="BT33" i="28"/>
  <c r="BV33" i="28"/>
  <c r="BW33" i="28"/>
  <c r="BX33" i="28"/>
  <c r="BP33" i="28"/>
  <c r="BY33" i="28"/>
  <c r="BQ33" i="28"/>
  <c r="BZ33" i="28"/>
  <c r="DN140" i="47"/>
  <c r="DN139" i="47"/>
  <c r="DN138" i="47"/>
  <c r="DN135" i="47"/>
  <c r="DN131" i="47"/>
  <c r="DN118" i="47"/>
  <c r="DN117" i="47"/>
  <c r="DN116" i="47"/>
  <c r="DN113" i="47"/>
  <c r="DN109" i="47"/>
  <c r="DN96" i="47"/>
  <c r="DN95" i="47"/>
  <c r="DN94" i="47"/>
  <c r="DN91" i="47"/>
  <c r="DN87" i="47"/>
  <c r="DN74" i="47"/>
  <c r="DN73" i="47"/>
  <c r="DN72" i="47"/>
  <c r="DN69" i="47"/>
  <c r="DN65" i="47"/>
  <c r="DN52" i="47"/>
  <c r="DN51" i="47"/>
  <c r="DN50" i="47"/>
  <c r="DN47" i="47"/>
  <c r="DN29" i="47"/>
  <c r="DN30" i="47"/>
  <c r="DN28" i="47"/>
  <c r="DN25" i="47"/>
  <c r="DN21" i="47"/>
  <c r="DN43" i="47"/>
  <c r="AU33" i="28" l="1"/>
  <c r="EA210" i="47"/>
  <c r="EA209" i="47"/>
  <c r="EA208" i="47"/>
  <c r="EA207" i="47"/>
  <c r="EA206" i="47"/>
  <c r="EA205" i="47"/>
  <c r="EA204" i="47"/>
  <c r="EA203" i="47"/>
  <c r="EA202" i="47"/>
  <c r="EA201" i="47"/>
  <c r="EA200" i="47"/>
  <c r="EA189" i="47"/>
  <c r="EA190" i="47"/>
  <c r="EA191" i="47"/>
  <c r="EA192" i="47"/>
  <c r="EA193" i="47"/>
  <c r="EA194" i="47"/>
  <c r="EA195" i="47"/>
  <c r="EA196" i="47"/>
  <c r="EA188" i="47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CH30" i="47"/>
  <c r="CG30" i="47"/>
  <c r="EB238" i="47" l="1"/>
  <c r="EC238" i="47"/>
  <c r="EB239" i="47"/>
  <c r="EC239" i="47"/>
  <c r="EB240" i="47"/>
  <c r="EC240" i="47"/>
  <c r="EB241" i="47"/>
  <c r="EC241" i="47"/>
  <c r="EB242" i="47"/>
  <c r="EC242" i="47"/>
  <c r="EB243" i="47"/>
  <c r="EC243" i="47"/>
  <c r="EB244" i="47"/>
  <c r="EC244" i="47"/>
  <c r="EB245" i="47"/>
  <c r="EC245" i="47"/>
  <c r="EB246" i="47"/>
  <c r="EC246" i="47"/>
  <c r="EB247" i="47"/>
  <c r="EC247" i="47"/>
  <c r="EB248" i="47"/>
  <c r="EC248" i="47"/>
  <c r="EB249" i="47"/>
  <c r="EC249" i="47"/>
  <c r="EB250" i="47"/>
  <c r="EC250" i="47"/>
  <c r="EB251" i="47"/>
  <c r="EC251" i="47"/>
  <c r="EB252" i="47"/>
  <c r="EC252" i="47"/>
  <c r="EB253" i="47"/>
  <c r="EC253" i="47"/>
  <c r="EB254" i="47"/>
  <c r="EC254" i="47"/>
  <c r="EB255" i="47"/>
  <c r="EC255" i="47"/>
  <c r="EB256" i="47"/>
  <c r="EC256" i="47"/>
  <c r="EB257" i="47"/>
  <c r="EC257" i="47"/>
  <c r="EB258" i="47"/>
  <c r="EC258" i="47"/>
  <c r="EB259" i="47"/>
  <c r="EC259" i="47"/>
  <c r="CB96" i="36" l="1"/>
  <c r="CB95" i="36"/>
  <c r="CB92" i="36"/>
  <c r="CB91" i="36"/>
  <c r="CB57" i="36"/>
  <c r="CB58" i="36"/>
  <c r="CB59" i="36"/>
  <c r="CB56" i="36"/>
  <c r="CB51" i="36"/>
  <c r="CB52" i="36"/>
  <c r="CB53" i="36"/>
  <c r="CB50" i="36"/>
  <c r="CB36" i="36"/>
  <c r="CB35" i="36"/>
  <c r="CB23" i="36"/>
  <c r="CB22" i="36"/>
  <c r="CW38" i="32" l="1"/>
  <c r="BR64" i="28" l="1"/>
  <c r="BR63" i="28"/>
  <c r="BR61" i="28"/>
  <c r="BR60" i="28"/>
  <c r="DI210" i="47" l="1"/>
  <c r="DH210" i="47"/>
  <c r="CD210" i="47"/>
  <c r="CC210" i="47"/>
  <c r="DI209" i="47"/>
  <c r="DH209" i="47"/>
  <c r="CD209" i="47"/>
  <c r="CC209" i="47"/>
  <c r="DI208" i="47"/>
  <c r="DH208" i="47"/>
  <c r="CD208" i="47"/>
  <c r="CC208" i="47"/>
  <c r="DI207" i="47"/>
  <c r="DH207" i="47"/>
  <c r="CD207" i="47"/>
  <c r="CC207" i="47"/>
  <c r="DI206" i="47"/>
  <c r="DH206" i="47"/>
  <c r="CD206" i="47"/>
  <c r="CC206" i="47"/>
  <c r="DI205" i="47"/>
  <c r="DH205" i="47"/>
  <c r="CD205" i="47"/>
  <c r="CC205" i="47"/>
  <c r="DI204" i="47"/>
  <c r="DH204" i="47"/>
  <c r="CD204" i="47"/>
  <c r="CC204" i="47"/>
  <c r="DI203" i="47"/>
  <c r="DH203" i="47"/>
  <c r="CD203" i="47"/>
  <c r="CC203" i="47"/>
  <c r="DI202" i="47"/>
  <c r="DH202" i="47"/>
  <c r="CD202" i="47"/>
  <c r="CC202" i="47"/>
  <c r="DI201" i="47"/>
  <c r="DH201" i="47"/>
  <c r="CD201" i="47"/>
  <c r="CC201" i="47"/>
  <c r="DI200" i="47"/>
  <c r="DH200" i="47"/>
  <c r="CD200" i="47"/>
  <c r="CC200" i="47"/>
  <c r="DI199" i="47"/>
  <c r="DH199" i="47"/>
  <c r="CD199" i="47"/>
  <c r="CC199" i="47"/>
  <c r="DI198" i="47"/>
  <c r="DH198" i="47"/>
  <c r="CD198" i="47"/>
  <c r="CC198" i="47"/>
  <c r="DI197" i="47"/>
  <c r="DH197" i="47"/>
  <c r="CD197" i="47"/>
  <c r="CC197" i="47"/>
  <c r="DI196" i="47"/>
  <c r="DH196" i="47"/>
  <c r="CD196" i="47"/>
  <c r="CC196" i="47"/>
  <c r="DI195" i="47"/>
  <c r="DH195" i="47"/>
  <c r="CD195" i="47"/>
  <c r="CC195" i="47"/>
  <c r="DI194" i="47"/>
  <c r="DH194" i="47"/>
  <c r="CD194" i="47"/>
  <c r="CC194" i="47"/>
  <c r="DI193" i="47"/>
  <c r="DH193" i="47"/>
  <c r="CD193" i="47"/>
  <c r="CC193" i="47"/>
  <c r="DI192" i="47"/>
  <c r="DH192" i="47"/>
  <c r="CD192" i="47"/>
  <c r="CC192" i="47"/>
  <c r="DI191" i="47"/>
  <c r="DH191" i="47"/>
  <c r="CD191" i="47"/>
  <c r="CC191" i="47"/>
  <c r="DI190" i="47"/>
  <c r="CD190" i="47"/>
  <c r="DI189" i="47"/>
  <c r="CD189" i="47"/>
  <c r="DI188" i="47"/>
  <c r="CD188" i="47"/>
  <c r="CB308" i="29"/>
  <c r="CB309" i="29"/>
  <c r="CB310" i="29"/>
  <c r="CB311" i="29"/>
  <c r="CB312" i="29"/>
  <c r="CB313" i="29"/>
  <c r="CB314" i="29"/>
  <c r="CB315" i="29"/>
  <c r="CB317" i="29"/>
  <c r="CB318" i="29"/>
  <c r="CB319" i="29"/>
  <c r="CB320" i="29"/>
  <c r="CB321" i="29"/>
  <c r="CB322" i="29"/>
  <c r="CB323" i="29"/>
  <c r="CB324" i="29"/>
  <c r="BX146" i="28" l="1"/>
  <c r="BW146" i="28"/>
  <c r="BV146" i="28"/>
  <c r="BP146" i="28"/>
  <c r="BS146" i="28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CD18" i="29"/>
  <c r="CC18" i="29"/>
  <c r="CW37" i="32"/>
  <c r="CX37" i="32"/>
  <c r="H27" i="29" l="1"/>
  <c r="H29" i="29"/>
  <c r="H20" i="29"/>
  <c r="H28" i="29"/>
  <c r="H19" i="29"/>
  <c r="H22" i="29"/>
  <c r="H31" i="29"/>
  <c r="H25" i="29"/>
  <c r="H23" i="29"/>
  <c r="H30" i="29"/>
  <c r="H24" i="29"/>
  <c r="H26" i="29"/>
  <c r="H21" i="29"/>
  <c r="H18" i="29"/>
  <c r="CP324" i="29" l="1"/>
  <c r="CP323" i="29"/>
  <c r="CP322" i="29"/>
  <c r="CP321" i="29"/>
  <c r="CP320" i="29"/>
  <c r="CP319" i="29"/>
  <c r="CP318" i="29"/>
  <c r="CP317" i="29"/>
  <c r="CP316" i="29"/>
  <c r="CP315" i="29"/>
  <c r="CP314" i="29"/>
  <c r="CP313" i="29"/>
  <c r="CP312" i="29"/>
  <c r="CP311" i="29"/>
  <c r="CP310" i="29"/>
  <c r="CP309" i="29"/>
  <c r="CP308" i="29"/>
  <c r="CS260" i="29"/>
  <c r="CO12" i="46" l="1"/>
  <c r="BX64" i="28" l="1"/>
  <c r="BX63" i="28"/>
  <c r="BX61" i="28"/>
  <c r="BX60" i="28"/>
  <c r="CI96" i="36" l="1"/>
  <c r="CH96" i="36"/>
  <c r="CI95" i="36"/>
  <c r="CH95" i="36"/>
  <c r="CC96" i="36"/>
  <c r="CC95" i="36"/>
  <c r="CI92" i="36"/>
  <c r="CI91" i="36"/>
  <c r="CH92" i="36"/>
  <c r="CH91" i="36"/>
  <c r="CC92" i="36"/>
  <c r="CC91" i="36"/>
  <c r="CI57" i="36"/>
  <c r="CI58" i="36"/>
  <c r="CI59" i="36"/>
  <c r="CI56" i="36"/>
  <c r="CH57" i="36"/>
  <c r="CH58" i="36"/>
  <c r="CH59" i="36"/>
  <c r="CH56" i="36"/>
  <c r="CC57" i="36"/>
  <c r="CC58" i="36"/>
  <c r="CC59" i="36"/>
  <c r="CC56" i="36"/>
  <c r="CI51" i="36"/>
  <c r="CI52" i="36"/>
  <c r="CI53" i="36"/>
  <c r="CI50" i="36"/>
  <c r="CH51" i="36"/>
  <c r="CH52" i="36"/>
  <c r="CH53" i="36"/>
  <c r="CH50" i="36"/>
  <c r="CC51" i="36"/>
  <c r="CC52" i="36"/>
  <c r="CC53" i="36"/>
  <c r="CC50" i="36"/>
  <c r="CI36" i="36"/>
  <c r="CI35" i="36"/>
  <c r="CH36" i="36"/>
  <c r="CH35" i="36"/>
  <c r="CC36" i="36"/>
  <c r="F36" i="36" s="1"/>
  <c r="CC35" i="36"/>
  <c r="F35" i="36" s="1"/>
  <c r="CI23" i="36"/>
  <c r="CI22" i="36"/>
  <c r="CH23" i="36"/>
  <c r="CH22" i="36"/>
  <c r="CC23" i="36"/>
  <c r="CC22" i="36"/>
  <c r="CP307" i="29" l="1"/>
  <c r="CR19" i="29" l="1"/>
  <c r="CR20" i="29"/>
  <c r="CR21" i="29"/>
  <c r="CR22" i="29"/>
  <c r="CR23" i="29"/>
  <c r="CR24" i="29"/>
  <c r="CR25" i="29"/>
  <c r="CR26" i="29"/>
  <c r="CR27" i="29"/>
  <c r="CR28" i="29"/>
  <c r="CR29" i="29"/>
  <c r="CR30" i="29"/>
  <c r="CR31" i="29"/>
  <c r="CQ19" i="29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DH153" i="47" l="1"/>
  <c r="DH154" i="47"/>
  <c r="DH155" i="47"/>
  <c r="DH156" i="47"/>
  <c r="DH152" i="47"/>
  <c r="DH145" i="47"/>
  <c r="DH146" i="47"/>
  <c r="DH147" i="47"/>
  <c r="DH148" i="47"/>
  <c r="F57" i="36" l="1"/>
  <c r="F58" i="36"/>
  <c r="F59" i="36"/>
  <c r="F51" i="36"/>
  <c r="F52" i="36"/>
  <c r="F53" i="36"/>
  <c r="F23" i="36"/>
  <c r="O14" i="36"/>
  <c r="O17" i="36"/>
  <c r="F91" i="36" l="1"/>
  <c r="F96" i="36"/>
  <c r="F56" i="36"/>
  <c r="F92" i="36"/>
  <c r="F95" i="36"/>
  <c r="F50" i="36"/>
  <c r="F22" i="36"/>
  <c r="B5" i="23" l="1"/>
  <c r="B5" i="41"/>
  <c r="B5" i="48"/>
  <c r="B5" i="31"/>
  <c r="B5" i="27"/>
  <c r="B5" i="19"/>
  <c r="B5" i="36"/>
  <c r="B5" i="47"/>
  <c r="B5" i="13"/>
  <c r="B5" i="46"/>
  <c r="B5" i="45"/>
  <c r="B5" i="29"/>
  <c r="B5" i="28"/>
  <c r="B5" i="34"/>
  <c r="B5" i="33"/>
  <c r="B5" i="32"/>
  <c r="F19" i="48" l="1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AT19" i="48"/>
  <c r="D97" i="48"/>
  <c r="E97" i="48"/>
  <c r="F97" i="48"/>
  <c r="D105" i="48"/>
  <c r="E105" i="48"/>
  <c r="F105" i="48"/>
  <c r="D113" i="48"/>
  <c r="E113" i="48"/>
  <c r="F113" i="48"/>
  <c r="CB123" i="48"/>
  <c r="CB124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AP178" i="48"/>
  <c r="CB188" i="48"/>
  <c r="Z188" i="48" s="1"/>
  <c r="CB189" i="48"/>
  <c r="Z189" i="48" s="1"/>
  <c r="CB190" i="48"/>
  <c r="Z190" i="48" s="1"/>
  <c r="CB191" i="48"/>
  <c r="Z191" i="48" s="1"/>
  <c r="CB192" i="48"/>
  <c r="Z192" i="48" s="1"/>
  <c r="CB193" i="48"/>
  <c r="Z193" i="48" s="1"/>
  <c r="CB194" i="48"/>
  <c r="Z194" i="48" s="1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Y195" i="48"/>
  <c r="CB200" i="48"/>
  <c r="Z200" i="48" s="1"/>
  <c r="CB201" i="48"/>
  <c r="Z201" i="48" s="1"/>
  <c r="CB202" i="48"/>
  <c r="Z202" i="48" s="1"/>
  <c r="CB203" i="48"/>
  <c r="Z203" i="48" s="1"/>
  <c r="CB204" i="48"/>
  <c r="Z204" i="48" s="1"/>
  <c r="CB205" i="48"/>
  <c r="Z205" i="48" s="1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Y206" i="48"/>
  <c r="CB211" i="48"/>
  <c r="Z211" i="48" s="1"/>
  <c r="CB213" i="48"/>
  <c r="Z213" i="48" s="1"/>
  <c r="CB214" i="48"/>
  <c r="Z214" i="48" s="1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Y215" i="48"/>
  <c r="DI183" i="47"/>
  <c r="DH183" i="47"/>
  <c r="CD183" i="47"/>
  <c r="CC183" i="47"/>
  <c r="DI182" i="47"/>
  <c r="DH182" i="47"/>
  <c r="CD182" i="47"/>
  <c r="CC182" i="47"/>
  <c r="DI181" i="47"/>
  <c r="DH181" i="47"/>
  <c r="CD181" i="47"/>
  <c r="CC181" i="47"/>
  <c r="DI180" i="47"/>
  <c r="DH180" i="47"/>
  <c r="CD180" i="47"/>
  <c r="CC180" i="47"/>
  <c r="DI179" i="47"/>
  <c r="DH179" i="47"/>
  <c r="CD179" i="47"/>
  <c r="CC179" i="47"/>
  <c r="DI178" i="47"/>
  <c r="DH178" i="47"/>
  <c r="CD178" i="47"/>
  <c r="CC178" i="47"/>
  <c r="DI177" i="47"/>
  <c r="DH177" i="47"/>
  <c r="CD177" i="47"/>
  <c r="CC177" i="47"/>
  <c r="DI176" i="47"/>
  <c r="DH176" i="47"/>
  <c r="CD176" i="47"/>
  <c r="CC176" i="47"/>
  <c r="DI175" i="47"/>
  <c r="DH175" i="47"/>
  <c r="CD175" i="47"/>
  <c r="CC175" i="47"/>
  <c r="DI174" i="47"/>
  <c r="DH174" i="47"/>
  <c r="CD174" i="47"/>
  <c r="CC174" i="47"/>
  <c r="DI173" i="47"/>
  <c r="DH173" i="47"/>
  <c r="CD173" i="47"/>
  <c r="CC173" i="47"/>
  <c r="DI172" i="47"/>
  <c r="DH172" i="47"/>
  <c r="CD172" i="47"/>
  <c r="CC172" i="47"/>
  <c r="DI171" i="47"/>
  <c r="DH171" i="47"/>
  <c r="CD171" i="47"/>
  <c r="CC171" i="47"/>
  <c r="DI170" i="47"/>
  <c r="DH170" i="47"/>
  <c r="CD170" i="47"/>
  <c r="CC170" i="47"/>
  <c r="DI169" i="47"/>
  <c r="DH169" i="47"/>
  <c r="CD169" i="47"/>
  <c r="CC169" i="47"/>
  <c r="DI168" i="47"/>
  <c r="DH168" i="47"/>
  <c r="CD168" i="47"/>
  <c r="CC168" i="47"/>
  <c r="DI167" i="47"/>
  <c r="DH167" i="47"/>
  <c r="CD167" i="47"/>
  <c r="CC167" i="47"/>
  <c r="DI166" i="47"/>
  <c r="DH166" i="47"/>
  <c r="CD166" i="47"/>
  <c r="CC166" i="47"/>
  <c r="DI165" i="47"/>
  <c r="DH165" i="47"/>
  <c r="CD165" i="47"/>
  <c r="CC165" i="47"/>
  <c r="DI164" i="47"/>
  <c r="CD164" i="47"/>
  <c r="CC164" i="47"/>
  <c r="DI163" i="47"/>
  <c r="CD163" i="47"/>
  <c r="DI162" i="47"/>
  <c r="CD162" i="47"/>
  <c r="DO156" i="47"/>
  <c r="DN156" i="47"/>
  <c r="DM156" i="47"/>
  <c r="DL156" i="47"/>
  <c r="DK156" i="47"/>
  <c r="DJ156" i="47"/>
  <c r="DI156" i="47"/>
  <c r="DG156" i="47"/>
  <c r="CJ156" i="47"/>
  <c r="CI156" i="47"/>
  <c r="CH156" i="47"/>
  <c r="CG156" i="47"/>
  <c r="CF156" i="47"/>
  <c r="CE156" i="47"/>
  <c r="CD156" i="47"/>
  <c r="CC156" i="47"/>
  <c r="CB156" i="47"/>
  <c r="DO155" i="47"/>
  <c r="DN155" i="47"/>
  <c r="DM155" i="47"/>
  <c r="DL155" i="47"/>
  <c r="DK155" i="47"/>
  <c r="DJ155" i="47"/>
  <c r="DI155" i="47"/>
  <c r="DG155" i="47"/>
  <c r="CJ155" i="47"/>
  <c r="CI155" i="47"/>
  <c r="CH155" i="47"/>
  <c r="CG155" i="47"/>
  <c r="CF155" i="47"/>
  <c r="CE155" i="47"/>
  <c r="CD155" i="47"/>
  <c r="CC155" i="47"/>
  <c r="CB155" i="47"/>
  <c r="DO154" i="47"/>
  <c r="DN154" i="47"/>
  <c r="DM154" i="47"/>
  <c r="DL154" i="47"/>
  <c r="DK154" i="47"/>
  <c r="DJ154" i="47"/>
  <c r="DI154" i="47"/>
  <c r="DG154" i="47"/>
  <c r="CJ154" i="47"/>
  <c r="CI154" i="47"/>
  <c r="CH154" i="47"/>
  <c r="CG154" i="47"/>
  <c r="CF154" i="47"/>
  <c r="CE154" i="47"/>
  <c r="CD154" i="47"/>
  <c r="CC154" i="47"/>
  <c r="CB154" i="47"/>
  <c r="DO153" i="47"/>
  <c r="DN153" i="47"/>
  <c r="DM153" i="47"/>
  <c r="DL153" i="47"/>
  <c r="DK153" i="47"/>
  <c r="DJ153" i="47"/>
  <c r="DI153" i="47"/>
  <c r="DG153" i="47"/>
  <c r="CJ153" i="47"/>
  <c r="CI153" i="47"/>
  <c r="CH153" i="47"/>
  <c r="CG153" i="47"/>
  <c r="CF153" i="47"/>
  <c r="CE153" i="47"/>
  <c r="CD153" i="47"/>
  <c r="CC153" i="47"/>
  <c r="CB153" i="47"/>
  <c r="DO152" i="47"/>
  <c r="DN152" i="47"/>
  <c r="DM152" i="47"/>
  <c r="DL152" i="47"/>
  <c r="DK152" i="47"/>
  <c r="DJ152" i="47"/>
  <c r="DI152" i="47"/>
  <c r="DG152" i="47"/>
  <c r="CJ152" i="47"/>
  <c r="CI152" i="47"/>
  <c r="CH152" i="47"/>
  <c r="CG152" i="47"/>
  <c r="CF152" i="47"/>
  <c r="CE152" i="47"/>
  <c r="CD152" i="47"/>
  <c r="CC152" i="47"/>
  <c r="DO148" i="47"/>
  <c r="DN148" i="47"/>
  <c r="DM148" i="47"/>
  <c r="DL148" i="47"/>
  <c r="DK148" i="47"/>
  <c r="DJ148" i="47"/>
  <c r="DI148" i="47"/>
  <c r="DG148" i="47"/>
  <c r="CJ148" i="47"/>
  <c r="CI148" i="47"/>
  <c r="CH148" i="47"/>
  <c r="CG148" i="47"/>
  <c r="CF148" i="47"/>
  <c r="CE148" i="47"/>
  <c r="CD148" i="47"/>
  <c r="CC148" i="47"/>
  <c r="CB148" i="47"/>
  <c r="DO147" i="47"/>
  <c r="DN147" i="47"/>
  <c r="DM147" i="47"/>
  <c r="DL147" i="47"/>
  <c r="DK147" i="47"/>
  <c r="DJ147" i="47"/>
  <c r="DI147" i="47"/>
  <c r="DG147" i="47"/>
  <c r="CJ147" i="47"/>
  <c r="CI147" i="47"/>
  <c r="CH147" i="47"/>
  <c r="CG147" i="47"/>
  <c r="CF147" i="47"/>
  <c r="CE147" i="47"/>
  <c r="CD147" i="47"/>
  <c r="CC147" i="47"/>
  <c r="CB147" i="47"/>
  <c r="DO146" i="47"/>
  <c r="DN146" i="47"/>
  <c r="DM146" i="47"/>
  <c r="DL146" i="47"/>
  <c r="DK146" i="47"/>
  <c r="DJ146" i="47"/>
  <c r="DI146" i="47"/>
  <c r="DG146" i="47"/>
  <c r="CJ146" i="47"/>
  <c r="CI146" i="47"/>
  <c r="CH146" i="47"/>
  <c r="CG146" i="47"/>
  <c r="CF146" i="47"/>
  <c r="CE146" i="47"/>
  <c r="CD146" i="47"/>
  <c r="CC146" i="47"/>
  <c r="CB146" i="47"/>
  <c r="DO145" i="47"/>
  <c r="DN145" i="47"/>
  <c r="DM145" i="47"/>
  <c r="DL145" i="47"/>
  <c r="DK145" i="47"/>
  <c r="DJ145" i="47"/>
  <c r="DI145" i="47"/>
  <c r="DG145" i="47"/>
  <c r="CJ145" i="47"/>
  <c r="CI145" i="47"/>
  <c r="CH145" i="47"/>
  <c r="CG145" i="47"/>
  <c r="CF145" i="47"/>
  <c r="CE145" i="47"/>
  <c r="CD145" i="47"/>
  <c r="CC145" i="47"/>
  <c r="CB145" i="47"/>
  <c r="DO144" i="47"/>
  <c r="DN144" i="47"/>
  <c r="DM144" i="47"/>
  <c r="DL144" i="47"/>
  <c r="DK144" i="47"/>
  <c r="DJ144" i="47"/>
  <c r="DI144" i="47"/>
  <c r="ED140" i="47"/>
  <c r="EC140" i="47"/>
  <c r="EB140" i="47"/>
  <c r="EA140" i="47"/>
  <c r="DZ140" i="47"/>
  <c r="DY140" i="47"/>
  <c r="DX140" i="47"/>
  <c r="DV140" i="47"/>
  <c r="DU140" i="47"/>
  <c r="DT140" i="47"/>
  <c r="DS140" i="47"/>
  <c r="DR140" i="47"/>
  <c r="DQ140" i="47"/>
  <c r="DP140" i="47"/>
  <c r="DO140" i="47"/>
  <c r="DM140" i="47"/>
  <c r="DL140" i="47"/>
  <c r="DK140" i="47"/>
  <c r="CY140" i="47"/>
  <c r="CX140" i="47"/>
  <c r="CW140" i="47"/>
  <c r="CV140" i="47"/>
  <c r="CU140" i="47"/>
  <c r="CT140" i="47"/>
  <c r="CS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ED139" i="47"/>
  <c r="EC139" i="47"/>
  <c r="EB139" i="47"/>
  <c r="EA139" i="47"/>
  <c r="DZ139" i="47"/>
  <c r="DY139" i="47"/>
  <c r="DX139" i="47"/>
  <c r="DV139" i="47"/>
  <c r="DU139" i="47"/>
  <c r="DT139" i="47"/>
  <c r="DS139" i="47"/>
  <c r="DR139" i="47"/>
  <c r="DQ139" i="47"/>
  <c r="DP139" i="47"/>
  <c r="DO139" i="47"/>
  <c r="DM139" i="47"/>
  <c r="DL139" i="47"/>
  <c r="DK139" i="47"/>
  <c r="CY139" i="47"/>
  <c r="CX139" i="47"/>
  <c r="CW139" i="47"/>
  <c r="CV139" i="47"/>
  <c r="CU139" i="47"/>
  <c r="CT139" i="47"/>
  <c r="CS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ED138" i="47"/>
  <c r="EC138" i="47"/>
  <c r="EB138" i="47"/>
  <c r="EA138" i="47"/>
  <c r="DZ138" i="47"/>
  <c r="DY138" i="47"/>
  <c r="DX138" i="47"/>
  <c r="DV138" i="47"/>
  <c r="DU138" i="47"/>
  <c r="DT138" i="47"/>
  <c r="DS138" i="47"/>
  <c r="DR138" i="47"/>
  <c r="DQ138" i="47"/>
  <c r="DP138" i="47"/>
  <c r="DO138" i="47"/>
  <c r="DM138" i="47"/>
  <c r="DL138" i="47"/>
  <c r="DK138" i="47"/>
  <c r="CY138" i="47"/>
  <c r="CX138" i="47"/>
  <c r="CW138" i="47"/>
  <c r="CV138" i="47"/>
  <c r="CU138" i="47"/>
  <c r="CT138" i="47"/>
  <c r="CS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DZ137" i="47"/>
  <c r="DY137" i="47"/>
  <c r="DV137" i="47"/>
  <c r="DU137" i="47"/>
  <c r="DT137" i="47"/>
  <c r="DS137" i="47"/>
  <c r="DR137" i="47"/>
  <c r="DQ137" i="47"/>
  <c r="CU137" i="47"/>
  <c r="CT137" i="47"/>
  <c r="CS137" i="47"/>
  <c r="CQ137" i="47"/>
  <c r="CP137" i="47"/>
  <c r="CO137" i="47"/>
  <c r="CN137" i="47"/>
  <c r="CM137" i="47"/>
  <c r="CL137" i="47"/>
  <c r="ED136" i="47"/>
  <c r="EC136" i="47"/>
  <c r="EB136" i="47"/>
  <c r="EA136" i="47"/>
  <c r="DZ136" i="47"/>
  <c r="DY136" i="47"/>
  <c r="DX136" i="47"/>
  <c r="DV136" i="47"/>
  <c r="DU136" i="47"/>
  <c r="DT136" i="47"/>
  <c r="DS136" i="47"/>
  <c r="DR136" i="47"/>
  <c r="DQ136" i="47"/>
  <c r="CY136" i="47"/>
  <c r="CX136" i="47"/>
  <c r="CW136" i="47"/>
  <c r="CV136" i="47"/>
  <c r="CU136" i="47"/>
  <c r="CT136" i="47"/>
  <c r="CS136" i="47"/>
  <c r="CQ136" i="47"/>
  <c r="CP136" i="47"/>
  <c r="CO136" i="47"/>
  <c r="CN136" i="47"/>
  <c r="CM136" i="47"/>
  <c r="CL136" i="47"/>
  <c r="ED135" i="47"/>
  <c r="EC135" i="47"/>
  <c r="EB135" i="47"/>
  <c r="EA135" i="47"/>
  <c r="DZ135" i="47"/>
  <c r="DY135" i="47"/>
  <c r="DX135" i="47"/>
  <c r="DV135" i="47"/>
  <c r="DU135" i="47"/>
  <c r="DT135" i="47"/>
  <c r="DS135" i="47"/>
  <c r="DR135" i="47"/>
  <c r="DQ135" i="47"/>
  <c r="DP135" i="47"/>
  <c r="DO135" i="47"/>
  <c r="DM135" i="47"/>
  <c r="DL135" i="47"/>
  <c r="DK135" i="47"/>
  <c r="CY135" i="47"/>
  <c r="CX135" i="47"/>
  <c r="CW135" i="47"/>
  <c r="CV135" i="47"/>
  <c r="CU135" i="47"/>
  <c r="CT135" i="47"/>
  <c r="CS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ED134" i="47"/>
  <c r="EC134" i="47"/>
  <c r="EB134" i="47"/>
  <c r="EA134" i="47"/>
  <c r="DZ134" i="47"/>
  <c r="DY134" i="47"/>
  <c r="DX134" i="47"/>
  <c r="DV134" i="47"/>
  <c r="DU134" i="47"/>
  <c r="DT134" i="47"/>
  <c r="DS134" i="47"/>
  <c r="DR134" i="47"/>
  <c r="DQ134" i="47"/>
  <c r="DP134" i="47"/>
  <c r="CY134" i="47"/>
  <c r="CX134" i="47"/>
  <c r="CW134" i="47"/>
  <c r="CV134" i="47"/>
  <c r="CU134" i="47"/>
  <c r="CT134" i="47"/>
  <c r="CS134" i="47"/>
  <c r="CQ134" i="47"/>
  <c r="CP134" i="47"/>
  <c r="CO134" i="47"/>
  <c r="CN134" i="47"/>
  <c r="CM134" i="47"/>
  <c r="CL134" i="47"/>
  <c r="CK134" i="47"/>
  <c r="ED133" i="47"/>
  <c r="EC133" i="47"/>
  <c r="EB133" i="47"/>
  <c r="EA133" i="47"/>
  <c r="DZ133" i="47"/>
  <c r="DY133" i="47"/>
  <c r="DX133" i="47"/>
  <c r="DV133" i="47"/>
  <c r="DU133" i="47"/>
  <c r="DT133" i="47"/>
  <c r="DS133" i="47"/>
  <c r="DR133" i="47"/>
  <c r="DQ133" i="47"/>
  <c r="CY133" i="47"/>
  <c r="CX133" i="47"/>
  <c r="CW133" i="47"/>
  <c r="CV133" i="47"/>
  <c r="CU133" i="47"/>
  <c r="CT133" i="47"/>
  <c r="CS133" i="47"/>
  <c r="CQ133" i="47"/>
  <c r="CP133" i="47"/>
  <c r="CO133" i="47"/>
  <c r="CN133" i="47"/>
  <c r="CM133" i="47"/>
  <c r="CL133" i="47"/>
  <c r="DM132" i="47"/>
  <c r="DL132" i="47"/>
  <c r="DK132" i="47"/>
  <c r="CH132" i="47"/>
  <c r="CG132" i="47"/>
  <c r="CF132" i="47"/>
  <c r="ED131" i="47"/>
  <c r="EC131" i="47"/>
  <c r="EB131" i="47"/>
  <c r="EA131" i="47"/>
  <c r="DZ131" i="47"/>
  <c r="DY131" i="47"/>
  <c r="DX131" i="47"/>
  <c r="DV131" i="47"/>
  <c r="DU131" i="47"/>
  <c r="DT131" i="47"/>
  <c r="DS131" i="47"/>
  <c r="DR131" i="47"/>
  <c r="DQ131" i="47"/>
  <c r="DP131" i="47"/>
  <c r="DO131" i="47"/>
  <c r="DM131" i="47"/>
  <c r="DL131" i="47"/>
  <c r="DK131" i="47"/>
  <c r="CY131" i="47"/>
  <c r="CX131" i="47"/>
  <c r="CW131" i="47"/>
  <c r="CV131" i="47"/>
  <c r="CU131" i="47"/>
  <c r="CT131" i="47"/>
  <c r="CS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ED130" i="47"/>
  <c r="EC130" i="47"/>
  <c r="EB130" i="47"/>
  <c r="EA130" i="47"/>
  <c r="DZ130" i="47"/>
  <c r="DY130" i="47"/>
  <c r="DX130" i="47"/>
  <c r="DV130" i="47"/>
  <c r="DU130" i="47"/>
  <c r="DT130" i="47"/>
  <c r="DS130" i="47"/>
  <c r="DR130" i="47"/>
  <c r="DQ130" i="47"/>
  <c r="DP130" i="47"/>
  <c r="CY130" i="47"/>
  <c r="CX130" i="47"/>
  <c r="CW130" i="47"/>
  <c r="CV130" i="47"/>
  <c r="CU130" i="47"/>
  <c r="CT130" i="47"/>
  <c r="CS130" i="47"/>
  <c r="CQ130" i="47"/>
  <c r="CP130" i="47"/>
  <c r="CO130" i="47"/>
  <c r="CN130" i="47"/>
  <c r="CM130" i="47"/>
  <c r="CL130" i="47"/>
  <c r="CK130" i="47"/>
  <c r="ED129" i="47"/>
  <c r="EC129" i="47"/>
  <c r="EB129" i="47"/>
  <c r="EA129" i="47"/>
  <c r="DZ129" i="47"/>
  <c r="DY129" i="47"/>
  <c r="DX129" i="47"/>
  <c r="DV129" i="47"/>
  <c r="DU129" i="47"/>
  <c r="DT129" i="47"/>
  <c r="DS129" i="47"/>
  <c r="DR129" i="47"/>
  <c r="DQ129" i="47"/>
  <c r="DP129" i="47"/>
  <c r="CY129" i="47"/>
  <c r="CX129" i="47"/>
  <c r="CW129" i="47"/>
  <c r="CV129" i="47"/>
  <c r="CU129" i="47"/>
  <c r="CT129" i="47"/>
  <c r="CS129" i="47"/>
  <c r="CQ129" i="47"/>
  <c r="CP129" i="47"/>
  <c r="CO129" i="47"/>
  <c r="CN129" i="47"/>
  <c r="CM129" i="47"/>
  <c r="CL129" i="47"/>
  <c r="CK129" i="47"/>
  <c r="ED128" i="47"/>
  <c r="EC128" i="47"/>
  <c r="EB128" i="47"/>
  <c r="EA128" i="47"/>
  <c r="DZ128" i="47"/>
  <c r="DY128" i="47"/>
  <c r="DX128" i="47"/>
  <c r="DV128" i="47"/>
  <c r="DU128" i="47"/>
  <c r="DT128" i="47"/>
  <c r="DS128" i="47"/>
  <c r="DR128" i="47"/>
  <c r="DQ128" i="47"/>
  <c r="DP128" i="47"/>
  <c r="CY128" i="47"/>
  <c r="CX128" i="47"/>
  <c r="CW128" i="47"/>
  <c r="CV128" i="47"/>
  <c r="CU128" i="47"/>
  <c r="CT128" i="47"/>
  <c r="CS128" i="47"/>
  <c r="CQ128" i="47"/>
  <c r="CP128" i="47"/>
  <c r="CO128" i="47"/>
  <c r="CN128" i="47"/>
  <c r="CM128" i="47"/>
  <c r="CL128" i="47"/>
  <c r="CK128" i="47"/>
  <c r="ED127" i="47"/>
  <c r="EC127" i="47"/>
  <c r="EB127" i="47"/>
  <c r="EA127" i="47"/>
  <c r="DZ127" i="47"/>
  <c r="DY127" i="47"/>
  <c r="DX127" i="47"/>
  <c r="DV127" i="47"/>
  <c r="DU127" i="47"/>
  <c r="DT127" i="47"/>
  <c r="DS127" i="47"/>
  <c r="DR127" i="47"/>
  <c r="DQ127" i="47"/>
  <c r="DP127" i="47"/>
  <c r="CY127" i="47"/>
  <c r="CX127" i="47"/>
  <c r="CW127" i="47"/>
  <c r="CV127" i="47"/>
  <c r="CU127" i="47"/>
  <c r="CT127" i="47"/>
  <c r="CS127" i="47"/>
  <c r="CQ127" i="47"/>
  <c r="CP127" i="47"/>
  <c r="CO127" i="47"/>
  <c r="CN127" i="47"/>
  <c r="CM127" i="47"/>
  <c r="CL127" i="47"/>
  <c r="CK127" i="47"/>
  <c r="ED126" i="47"/>
  <c r="EC126" i="47"/>
  <c r="EB126" i="47"/>
  <c r="EA126" i="47"/>
  <c r="DZ126" i="47"/>
  <c r="DY126" i="47"/>
  <c r="DX126" i="47"/>
  <c r="DV126" i="47"/>
  <c r="DU126" i="47"/>
  <c r="DT126" i="47"/>
  <c r="DS126" i="47"/>
  <c r="DR126" i="47"/>
  <c r="DQ126" i="47"/>
  <c r="DP126" i="47"/>
  <c r="CY126" i="47"/>
  <c r="CX126" i="47"/>
  <c r="CW126" i="47"/>
  <c r="CV126" i="47"/>
  <c r="CU126" i="47"/>
  <c r="CT126" i="47"/>
  <c r="CS126" i="47"/>
  <c r="CQ126" i="47"/>
  <c r="CP126" i="47"/>
  <c r="CO126" i="47"/>
  <c r="CN126" i="47"/>
  <c r="CM126" i="47"/>
  <c r="CL126" i="47"/>
  <c r="CK126" i="47"/>
  <c r="ED125" i="47"/>
  <c r="EC125" i="47"/>
  <c r="EB125" i="47"/>
  <c r="EA125" i="47"/>
  <c r="DZ125" i="47"/>
  <c r="DY125" i="47"/>
  <c r="DX125" i="47"/>
  <c r="DV125" i="47"/>
  <c r="DU125" i="47"/>
  <c r="DT125" i="47"/>
  <c r="DS125" i="47"/>
  <c r="DR125" i="47"/>
  <c r="DQ125" i="47"/>
  <c r="DP125" i="47"/>
  <c r="CY125" i="47"/>
  <c r="CX125" i="47"/>
  <c r="CW125" i="47"/>
  <c r="CV125" i="47"/>
  <c r="CU125" i="47"/>
  <c r="CT125" i="47"/>
  <c r="CS125" i="47"/>
  <c r="CQ125" i="47"/>
  <c r="CP125" i="47"/>
  <c r="CO125" i="47"/>
  <c r="CN125" i="47"/>
  <c r="CM125" i="47"/>
  <c r="CL125" i="47"/>
  <c r="CK125" i="47"/>
  <c r="ED124" i="47"/>
  <c r="EC124" i="47"/>
  <c r="EB124" i="47"/>
  <c r="EA124" i="47"/>
  <c r="DZ124" i="47"/>
  <c r="DY124" i="47"/>
  <c r="DX124" i="47"/>
  <c r="DV124" i="47"/>
  <c r="DU124" i="47"/>
  <c r="DT124" i="47"/>
  <c r="DS124" i="47"/>
  <c r="DR124" i="47"/>
  <c r="DQ124" i="47"/>
  <c r="DP124" i="47"/>
  <c r="CY124" i="47"/>
  <c r="CX124" i="47"/>
  <c r="CW124" i="47"/>
  <c r="CV124" i="47"/>
  <c r="CU124" i="47"/>
  <c r="CT124" i="47"/>
  <c r="CS124" i="47"/>
  <c r="CQ124" i="47"/>
  <c r="CP124" i="47"/>
  <c r="CO124" i="47"/>
  <c r="CN124" i="47"/>
  <c r="CM124" i="47"/>
  <c r="CL124" i="47"/>
  <c r="CK124" i="47"/>
  <c r="ED123" i="47"/>
  <c r="EC123" i="47"/>
  <c r="EB123" i="47"/>
  <c r="EA123" i="47"/>
  <c r="DZ123" i="47"/>
  <c r="DY123" i="47"/>
  <c r="DX123" i="47"/>
  <c r="DV123" i="47"/>
  <c r="DU123" i="47"/>
  <c r="DT123" i="47"/>
  <c r="DS123" i="47"/>
  <c r="DR123" i="47"/>
  <c r="DQ123" i="47"/>
  <c r="DP123" i="47"/>
  <c r="CY123" i="47"/>
  <c r="CX123" i="47"/>
  <c r="CW123" i="47"/>
  <c r="CV123" i="47"/>
  <c r="CU123" i="47"/>
  <c r="CT123" i="47"/>
  <c r="CS123" i="47"/>
  <c r="CQ123" i="47"/>
  <c r="CP123" i="47"/>
  <c r="CO123" i="47"/>
  <c r="CN123" i="47"/>
  <c r="CM123" i="47"/>
  <c r="CL123" i="47"/>
  <c r="CK123" i="47"/>
  <c r="ED118" i="47"/>
  <c r="EC118" i="47"/>
  <c r="EB118" i="47"/>
  <c r="EA118" i="47"/>
  <c r="DZ118" i="47"/>
  <c r="DY118" i="47"/>
  <c r="DX118" i="47"/>
  <c r="DV118" i="47"/>
  <c r="DU118" i="47"/>
  <c r="DT118" i="47"/>
  <c r="DS118" i="47"/>
  <c r="DR118" i="47"/>
  <c r="DQ118" i="47"/>
  <c r="DP118" i="47"/>
  <c r="DO118" i="47"/>
  <c r="DM118" i="47"/>
  <c r="DL118" i="47"/>
  <c r="DK118" i="47"/>
  <c r="CY118" i="47"/>
  <c r="CX118" i="47"/>
  <c r="CW118" i="47"/>
  <c r="CV118" i="47"/>
  <c r="CU118" i="47"/>
  <c r="CT118" i="47"/>
  <c r="CS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ED117" i="47"/>
  <c r="EC117" i="47"/>
  <c r="EB117" i="47"/>
  <c r="EA117" i="47"/>
  <c r="DZ117" i="47"/>
  <c r="DY117" i="47"/>
  <c r="DX117" i="47"/>
  <c r="DV117" i="47"/>
  <c r="DU117" i="47"/>
  <c r="DT117" i="47"/>
  <c r="DS117" i="47"/>
  <c r="DR117" i="47"/>
  <c r="DQ117" i="47"/>
  <c r="DP117" i="47"/>
  <c r="DO117" i="47"/>
  <c r="DM117" i="47"/>
  <c r="DL117" i="47"/>
  <c r="DK117" i="47"/>
  <c r="CY117" i="47"/>
  <c r="CX117" i="47"/>
  <c r="CW117" i="47"/>
  <c r="CV117" i="47"/>
  <c r="CU117" i="47"/>
  <c r="CT117" i="47"/>
  <c r="CS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ED116" i="47"/>
  <c r="EC116" i="47"/>
  <c r="EB116" i="47"/>
  <c r="EA116" i="47"/>
  <c r="DZ116" i="47"/>
  <c r="DY116" i="47"/>
  <c r="DX116" i="47"/>
  <c r="DV116" i="47"/>
  <c r="DU116" i="47"/>
  <c r="DT116" i="47"/>
  <c r="DS116" i="47"/>
  <c r="DR116" i="47"/>
  <c r="DQ116" i="47"/>
  <c r="DP116" i="47"/>
  <c r="DO116" i="47"/>
  <c r="DM116" i="47"/>
  <c r="DL116" i="47"/>
  <c r="DK116" i="47"/>
  <c r="CY116" i="47"/>
  <c r="CX116" i="47"/>
  <c r="CW116" i="47"/>
  <c r="CV116" i="47"/>
  <c r="CU116" i="47"/>
  <c r="CT116" i="47"/>
  <c r="CS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DZ115" i="47"/>
  <c r="DY115" i="47"/>
  <c r="DX115" i="47"/>
  <c r="DV115" i="47"/>
  <c r="DU115" i="47"/>
  <c r="DT115" i="47"/>
  <c r="DS115" i="47"/>
  <c r="DR115" i="47"/>
  <c r="DQ115" i="47"/>
  <c r="CU115" i="47"/>
  <c r="CT115" i="47"/>
  <c r="CS115" i="47"/>
  <c r="CQ115" i="47"/>
  <c r="CP115" i="47"/>
  <c r="CO115" i="47"/>
  <c r="CN115" i="47"/>
  <c r="CM115" i="47"/>
  <c r="CL115" i="47"/>
  <c r="ED114" i="47"/>
  <c r="EC114" i="47"/>
  <c r="EB114" i="47"/>
  <c r="EA114" i="47"/>
  <c r="DZ114" i="47"/>
  <c r="DY114" i="47"/>
  <c r="DX114" i="47"/>
  <c r="DV114" i="47"/>
  <c r="DU114" i="47"/>
  <c r="DT114" i="47"/>
  <c r="DS114" i="47"/>
  <c r="DR114" i="47"/>
  <c r="DQ114" i="47"/>
  <c r="CY114" i="47"/>
  <c r="CX114" i="47"/>
  <c r="CW114" i="47"/>
  <c r="CV114" i="47"/>
  <c r="CU114" i="47"/>
  <c r="CT114" i="47"/>
  <c r="CS114" i="47"/>
  <c r="CQ114" i="47"/>
  <c r="CP114" i="47"/>
  <c r="CO114" i="47"/>
  <c r="CN114" i="47"/>
  <c r="CM114" i="47"/>
  <c r="CL114" i="47"/>
  <c r="ED113" i="47"/>
  <c r="EC113" i="47"/>
  <c r="EB113" i="47"/>
  <c r="EA113" i="47"/>
  <c r="DZ113" i="47"/>
  <c r="DY113" i="47"/>
  <c r="DX113" i="47"/>
  <c r="DV113" i="47"/>
  <c r="DU113" i="47"/>
  <c r="DT113" i="47"/>
  <c r="DS113" i="47"/>
  <c r="DR113" i="47"/>
  <c r="DQ113" i="47"/>
  <c r="DP113" i="47"/>
  <c r="DO113" i="47"/>
  <c r="DM113" i="47"/>
  <c r="DL113" i="47"/>
  <c r="DK113" i="47"/>
  <c r="CY113" i="47"/>
  <c r="CX113" i="47"/>
  <c r="CW113" i="47"/>
  <c r="CV113" i="47"/>
  <c r="CU113" i="47"/>
  <c r="CT113" i="47"/>
  <c r="CS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ED112" i="47"/>
  <c r="EC112" i="47"/>
  <c r="EB112" i="47"/>
  <c r="EA112" i="47"/>
  <c r="DZ112" i="47"/>
  <c r="DY112" i="47"/>
  <c r="DX112" i="47"/>
  <c r="DV112" i="47"/>
  <c r="DU112" i="47"/>
  <c r="DT112" i="47"/>
  <c r="DS112" i="47"/>
  <c r="DR112" i="47"/>
  <c r="DQ112" i="47"/>
  <c r="DP112" i="47"/>
  <c r="CY112" i="47"/>
  <c r="CX112" i="47"/>
  <c r="CW112" i="47"/>
  <c r="CV112" i="47"/>
  <c r="CU112" i="47"/>
  <c r="CT112" i="47"/>
  <c r="CS112" i="47"/>
  <c r="CQ112" i="47"/>
  <c r="CP112" i="47"/>
  <c r="CO112" i="47"/>
  <c r="CN112" i="47"/>
  <c r="CM112" i="47"/>
  <c r="CL112" i="47"/>
  <c r="CK112" i="47"/>
  <c r="ED111" i="47"/>
  <c r="EC111" i="47"/>
  <c r="EB111" i="47"/>
  <c r="EA111" i="47"/>
  <c r="DZ111" i="47"/>
  <c r="DY111" i="47"/>
  <c r="DX111" i="47"/>
  <c r="DV111" i="47"/>
  <c r="DU111" i="47"/>
  <c r="DT111" i="47"/>
  <c r="DS111" i="47"/>
  <c r="DR111" i="47"/>
  <c r="DQ111" i="47"/>
  <c r="CY111" i="47"/>
  <c r="CX111" i="47"/>
  <c r="CW111" i="47"/>
  <c r="CV111" i="47"/>
  <c r="CU111" i="47"/>
  <c r="CT111" i="47"/>
  <c r="CS111" i="47"/>
  <c r="CQ111" i="47"/>
  <c r="CP111" i="47"/>
  <c r="CO111" i="47"/>
  <c r="CN111" i="47"/>
  <c r="CM111" i="47"/>
  <c r="CL111" i="47"/>
  <c r="DM110" i="47"/>
  <c r="DL110" i="47"/>
  <c r="DK110" i="47"/>
  <c r="CH110" i="47"/>
  <c r="CG110" i="47"/>
  <c r="CF110" i="47"/>
  <c r="ED109" i="47"/>
  <c r="EC109" i="47"/>
  <c r="EB109" i="47"/>
  <c r="EA109" i="47"/>
  <c r="DZ109" i="47"/>
  <c r="DY109" i="47"/>
  <c r="DX109" i="47"/>
  <c r="DV109" i="47"/>
  <c r="DU109" i="47"/>
  <c r="DT109" i="47"/>
  <c r="DS109" i="47"/>
  <c r="DR109" i="47"/>
  <c r="DQ109" i="47"/>
  <c r="DP109" i="47"/>
  <c r="DO109" i="47"/>
  <c r="DM109" i="47"/>
  <c r="DL109" i="47"/>
  <c r="DK109" i="47"/>
  <c r="CY109" i="47"/>
  <c r="CX109" i="47"/>
  <c r="CW109" i="47"/>
  <c r="CV109" i="47"/>
  <c r="CU109" i="47"/>
  <c r="CT109" i="47"/>
  <c r="CS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ED108" i="47"/>
  <c r="EC108" i="47"/>
  <c r="EB108" i="47"/>
  <c r="EA108" i="47"/>
  <c r="DZ108" i="47"/>
  <c r="DY108" i="47"/>
  <c r="DX108" i="47"/>
  <c r="DV108" i="47"/>
  <c r="DU108" i="47"/>
  <c r="DT108" i="47"/>
  <c r="DS108" i="47"/>
  <c r="DR108" i="47"/>
  <c r="DQ108" i="47"/>
  <c r="DP108" i="47"/>
  <c r="CY108" i="47"/>
  <c r="CX108" i="47"/>
  <c r="CW108" i="47"/>
  <c r="CV108" i="47"/>
  <c r="CU108" i="47"/>
  <c r="CT108" i="47"/>
  <c r="CS108" i="47"/>
  <c r="CQ108" i="47"/>
  <c r="CP108" i="47"/>
  <c r="CO108" i="47"/>
  <c r="CN108" i="47"/>
  <c r="CM108" i="47"/>
  <c r="CL108" i="47"/>
  <c r="CK108" i="47"/>
  <c r="ED107" i="47"/>
  <c r="EC107" i="47"/>
  <c r="EB107" i="47"/>
  <c r="EA107" i="47"/>
  <c r="DZ107" i="47"/>
  <c r="DY107" i="47"/>
  <c r="DX107" i="47"/>
  <c r="DV107" i="47"/>
  <c r="DU107" i="47"/>
  <c r="DT107" i="47"/>
  <c r="DS107" i="47"/>
  <c r="DR107" i="47"/>
  <c r="DQ107" i="47"/>
  <c r="DP107" i="47"/>
  <c r="CY107" i="47"/>
  <c r="CX107" i="47"/>
  <c r="CW107" i="47"/>
  <c r="CV107" i="47"/>
  <c r="CU107" i="47"/>
  <c r="CT107" i="47"/>
  <c r="CS107" i="47"/>
  <c r="CQ107" i="47"/>
  <c r="CP107" i="47"/>
  <c r="CO107" i="47"/>
  <c r="CN107" i="47"/>
  <c r="CM107" i="47"/>
  <c r="CL107" i="47"/>
  <c r="CK107" i="47"/>
  <c r="ED106" i="47"/>
  <c r="EC106" i="47"/>
  <c r="EB106" i="47"/>
  <c r="EA106" i="47"/>
  <c r="DZ106" i="47"/>
  <c r="DY106" i="47"/>
  <c r="DX106" i="47"/>
  <c r="DV106" i="47"/>
  <c r="DU106" i="47"/>
  <c r="DT106" i="47"/>
  <c r="DS106" i="47"/>
  <c r="DR106" i="47"/>
  <c r="DQ106" i="47"/>
  <c r="DP106" i="47"/>
  <c r="CY106" i="47"/>
  <c r="CX106" i="47"/>
  <c r="CW106" i="47"/>
  <c r="CV106" i="47"/>
  <c r="CU106" i="47"/>
  <c r="CT106" i="47"/>
  <c r="CS106" i="47"/>
  <c r="CQ106" i="47"/>
  <c r="CP106" i="47"/>
  <c r="CO106" i="47"/>
  <c r="CN106" i="47"/>
  <c r="CM106" i="47"/>
  <c r="CL106" i="47"/>
  <c r="CK106" i="47"/>
  <c r="ED105" i="47"/>
  <c r="EC105" i="47"/>
  <c r="EB105" i="47"/>
  <c r="EA105" i="47"/>
  <c r="DZ105" i="47"/>
  <c r="DY105" i="47"/>
  <c r="DX105" i="47"/>
  <c r="DV105" i="47"/>
  <c r="DU105" i="47"/>
  <c r="DT105" i="47"/>
  <c r="DS105" i="47"/>
  <c r="DR105" i="47"/>
  <c r="DQ105" i="47"/>
  <c r="DP105" i="47"/>
  <c r="CY105" i="47"/>
  <c r="CX105" i="47"/>
  <c r="CW105" i="47"/>
  <c r="CV105" i="47"/>
  <c r="CU105" i="47"/>
  <c r="CT105" i="47"/>
  <c r="CS105" i="47"/>
  <c r="CQ105" i="47"/>
  <c r="CP105" i="47"/>
  <c r="CO105" i="47"/>
  <c r="CN105" i="47"/>
  <c r="CM105" i="47"/>
  <c r="CL105" i="47"/>
  <c r="CK105" i="47"/>
  <c r="ED104" i="47"/>
  <c r="EC104" i="47"/>
  <c r="EB104" i="47"/>
  <c r="EA104" i="47"/>
  <c r="DZ104" i="47"/>
  <c r="DY104" i="47"/>
  <c r="DX104" i="47"/>
  <c r="DV104" i="47"/>
  <c r="DU104" i="47"/>
  <c r="DT104" i="47"/>
  <c r="DS104" i="47"/>
  <c r="DR104" i="47"/>
  <c r="DQ104" i="47"/>
  <c r="DP104" i="47"/>
  <c r="CY104" i="47"/>
  <c r="CX104" i="47"/>
  <c r="CW104" i="47"/>
  <c r="CV104" i="47"/>
  <c r="CU104" i="47"/>
  <c r="CT104" i="47"/>
  <c r="CS104" i="47"/>
  <c r="CQ104" i="47"/>
  <c r="CP104" i="47"/>
  <c r="CO104" i="47"/>
  <c r="CN104" i="47"/>
  <c r="CM104" i="47"/>
  <c r="CL104" i="47"/>
  <c r="CK104" i="47"/>
  <c r="ED103" i="47"/>
  <c r="EC103" i="47"/>
  <c r="EB103" i="47"/>
  <c r="EA103" i="47"/>
  <c r="DZ103" i="47"/>
  <c r="DY103" i="47"/>
  <c r="DX103" i="47"/>
  <c r="DV103" i="47"/>
  <c r="DU103" i="47"/>
  <c r="DT103" i="47"/>
  <c r="DS103" i="47"/>
  <c r="DR103" i="47"/>
  <c r="DQ103" i="47"/>
  <c r="DP103" i="47"/>
  <c r="CY103" i="47"/>
  <c r="CX103" i="47"/>
  <c r="CW103" i="47"/>
  <c r="CV103" i="47"/>
  <c r="CU103" i="47"/>
  <c r="CT103" i="47"/>
  <c r="CS103" i="47"/>
  <c r="CQ103" i="47"/>
  <c r="CP103" i="47"/>
  <c r="CO103" i="47"/>
  <c r="CN103" i="47"/>
  <c r="CM103" i="47"/>
  <c r="CL103" i="47"/>
  <c r="CK103" i="47"/>
  <c r="ED102" i="47"/>
  <c r="EC102" i="47"/>
  <c r="EB102" i="47"/>
  <c r="EA102" i="47"/>
  <c r="DZ102" i="47"/>
  <c r="DY102" i="47"/>
  <c r="DX102" i="47"/>
  <c r="DV102" i="47"/>
  <c r="DU102" i="47"/>
  <c r="DT102" i="47"/>
  <c r="DS102" i="47"/>
  <c r="DR102" i="47"/>
  <c r="DQ102" i="47"/>
  <c r="DP102" i="47"/>
  <c r="CY102" i="47"/>
  <c r="CX102" i="47"/>
  <c r="CW102" i="47"/>
  <c r="CV102" i="47"/>
  <c r="CU102" i="47"/>
  <c r="CT102" i="47"/>
  <c r="CS102" i="47"/>
  <c r="CQ102" i="47"/>
  <c r="CP102" i="47"/>
  <c r="CO102" i="47"/>
  <c r="CN102" i="47"/>
  <c r="CM102" i="47"/>
  <c r="CL102" i="47"/>
  <c r="CK102" i="47"/>
  <c r="ED101" i="47"/>
  <c r="EC101" i="47"/>
  <c r="EB101" i="47"/>
  <c r="EA101" i="47"/>
  <c r="DZ101" i="47"/>
  <c r="DY101" i="47"/>
  <c r="DX101" i="47"/>
  <c r="DV101" i="47"/>
  <c r="DU101" i="47"/>
  <c r="DT101" i="47"/>
  <c r="DS101" i="47"/>
  <c r="DR101" i="47"/>
  <c r="DQ101" i="47"/>
  <c r="DP101" i="47"/>
  <c r="CY101" i="47"/>
  <c r="CX101" i="47"/>
  <c r="CW101" i="47"/>
  <c r="CV101" i="47"/>
  <c r="CU101" i="47"/>
  <c r="CT101" i="47"/>
  <c r="CS101" i="47"/>
  <c r="CQ101" i="47"/>
  <c r="CP101" i="47"/>
  <c r="CO101" i="47"/>
  <c r="CN101" i="47"/>
  <c r="CM101" i="47"/>
  <c r="CL101" i="47"/>
  <c r="CK101" i="47"/>
  <c r="ED96" i="47"/>
  <c r="EC96" i="47"/>
  <c r="EB96" i="47"/>
  <c r="EA96" i="47"/>
  <c r="DZ96" i="47"/>
  <c r="DY96" i="47"/>
  <c r="DX96" i="47"/>
  <c r="DV96" i="47"/>
  <c r="DU96" i="47"/>
  <c r="DT96" i="47"/>
  <c r="DS96" i="47"/>
  <c r="DR96" i="47"/>
  <c r="DQ96" i="47"/>
  <c r="DP96" i="47"/>
  <c r="DO96" i="47"/>
  <c r="DM96" i="47"/>
  <c r="DL96" i="47"/>
  <c r="DK96" i="47"/>
  <c r="CY96" i="47"/>
  <c r="CX96" i="47"/>
  <c r="CW96" i="47"/>
  <c r="CV96" i="47"/>
  <c r="CU96" i="47"/>
  <c r="CT96" i="47"/>
  <c r="CS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ED95" i="47"/>
  <c r="EC95" i="47"/>
  <c r="EB95" i="47"/>
  <c r="EA95" i="47"/>
  <c r="DZ95" i="47"/>
  <c r="DY95" i="47"/>
  <c r="DX95" i="47"/>
  <c r="DV95" i="47"/>
  <c r="DU95" i="47"/>
  <c r="DT95" i="47"/>
  <c r="DS95" i="47"/>
  <c r="DR95" i="47"/>
  <c r="DQ95" i="47"/>
  <c r="DP95" i="47"/>
  <c r="DO95" i="47"/>
  <c r="DM95" i="47"/>
  <c r="DL95" i="47"/>
  <c r="DK95" i="47"/>
  <c r="CY95" i="47"/>
  <c r="CX95" i="47"/>
  <c r="CW95" i="47"/>
  <c r="CV95" i="47"/>
  <c r="CU95" i="47"/>
  <c r="CT95" i="47"/>
  <c r="CS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ED94" i="47"/>
  <c r="EC94" i="47"/>
  <c r="EB94" i="47"/>
  <c r="EA94" i="47"/>
  <c r="DZ94" i="47"/>
  <c r="DY94" i="47"/>
  <c r="DX94" i="47"/>
  <c r="DV94" i="47"/>
  <c r="DU94" i="47"/>
  <c r="DT94" i="47"/>
  <c r="DS94" i="47"/>
  <c r="DR94" i="47"/>
  <c r="DQ94" i="47"/>
  <c r="DP94" i="47"/>
  <c r="DO94" i="47"/>
  <c r="DM94" i="47"/>
  <c r="DL94" i="47"/>
  <c r="DK94" i="47"/>
  <c r="CY94" i="47"/>
  <c r="CX94" i="47"/>
  <c r="CW94" i="47"/>
  <c r="CV94" i="47"/>
  <c r="CU94" i="47"/>
  <c r="CT94" i="47"/>
  <c r="CS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DZ93" i="47"/>
  <c r="DY93" i="47"/>
  <c r="DX93" i="47"/>
  <c r="DV93" i="47"/>
  <c r="DU93" i="47"/>
  <c r="DT93" i="47"/>
  <c r="DS93" i="47"/>
  <c r="DR93" i="47"/>
  <c r="DQ93" i="47"/>
  <c r="CU93" i="47"/>
  <c r="CT93" i="47"/>
  <c r="CS93" i="47"/>
  <c r="CQ93" i="47"/>
  <c r="CP93" i="47"/>
  <c r="CO93" i="47"/>
  <c r="CN93" i="47"/>
  <c r="CM93" i="47"/>
  <c r="CL93" i="47"/>
  <c r="ED92" i="47"/>
  <c r="EC92" i="47"/>
  <c r="EB92" i="47"/>
  <c r="EA92" i="47"/>
  <c r="DZ92" i="47"/>
  <c r="DY92" i="47"/>
  <c r="DX92" i="47"/>
  <c r="DV92" i="47"/>
  <c r="DU92" i="47"/>
  <c r="DT92" i="47"/>
  <c r="DS92" i="47"/>
  <c r="DR92" i="47"/>
  <c r="DQ92" i="47"/>
  <c r="CY92" i="47"/>
  <c r="CX92" i="47"/>
  <c r="CW92" i="47"/>
  <c r="CV92" i="47"/>
  <c r="CU92" i="47"/>
  <c r="CT92" i="47"/>
  <c r="CS92" i="47"/>
  <c r="CQ92" i="47"/>
  <c r="CP92" i="47"/>
  <c r="CO92" i="47"/>
  <c r="CN92" i="47"/>
  <c r="CM92" i="47"/>
  <c r="CL92" i="47"/>
  <c r="ED91" i="47"/>
  <c r="EC91" i="47"/>
  <c r="EB91" i="47"/>
  <c r="EA91" i="47"/>
  <c r="DZ91" i="47"/>
  <c r="DY91" i="47"/>
  <c r="DX91" i="47"/>
  <c r="DV91" i="47"/>
  <c r="DU91" i="47"/>
  <c r="DT91" i="47"/>
  <c r="DS91" i="47"/>
  <c r="DR91" i="47"/>
  <c r="DQ91" i="47"/>
  <c r="DP91" i="47"/>
  <c r="DO91" i="47"/>
  <c r="DM91" i="47"/>
  <c r="DL91" i="47"/>
  <c r="DK91" i="47"/>
  <c r="CY91" i="47"/>
  <c r="CX91" i="47"/>
  <c r="CW91" i="47"/>
  <c r="CV91" i="47"/>
  <c r="CU91" i="47"/>
  <c r="CT91" i="47"/>
  <c r="CS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ED90" i="47"/>
  <c r="EC90" i="47"/>
  <c r="EB90" i="47"/>
  <c r="EA90" i="47"/>
  <c r="DZ90" i="47"/>
  <c r="DY90" i="47"/>
  <c r="DX90" i="47"/>
  <c r="DV90" i="47"/>
  <c r="DU90" i="47"/>
  <c r="DT90" i="47"/>
  <c r="DS90" i="47"/>
  <c r="DR90" i="47"/>
  <c r="DQ90" i="47"/>
  <c r="DP90" i="47"/>
  <c r="CY90" i="47"/>
  <c r="CX90" i="47"/>
  <c r="CW90" i="47"/>
  <c r="CV90" i="47"/>
  <c r="CU90" i="47"/>
  <c r="CT90" i="47"/>
  <c r="CS90" i="47"/>
  <c r="CQ90" i="47"/>
  <c r="CP90" i="47"/>
  <c r="CO90" i="47"/>
  <c r="CN90" i="47"/>
  <c r="CM90" i="47"/>
  <c r="CL90" i="47"/>
  <c r="CK90" i="47"/>
  <c r="ED89" i="47"/>
  <c r="EC89" i="47"/>
  <c r="EB89" i="47"/>
  <c r="EA89" i="47"/>
  <c r="DZ89" i="47"/>
  <c r="DY89" i="47"/>
  <c r="DX89" i="47"/>
  <c r="DV89" i="47"/>
  <c r="DU89" i="47"/>
  <c r="DT89" i="47"/>
  <c r="DS89" i="47"/>
  <c r="DR89" i="47"/>
  <c r="DQ89" i="47"/>
  <c r="CY89" i="47"/>
  <c r="CX89" i="47"/>
  <c r="CW89" i="47"/>
  <c r="CV89" i="47"/>
  <c r="CU89" i="47"/>
  <c r="CT89" i="47"/>
  <c r="CS89" i="47"/>
  <c r="CQ89" i="47"/>
  <c r="CP89" i="47"/>
  <c r="CO89" i="47"/>
  <c r="CN89" i="47"/>
  <c r="CM89" i="47"/>
  <c r="CL89" i="47"/>
  <c r="DM88" i="47"/>
  <c r="DL88" i="47"/>
  <c r="DK88" i="47"/>
  <c r="CH88" i="47"/>
  <c r="CG88" i="47"/>
  <c r="CF88" i="47"/>
  <c r="ED87" i="47"/>
  <c r="EC87" i="47"/>
  <c r="EB87" i="47"/>
  <c r="EA87" i="47"/>
  <c r="DZ87" i="47"/>
  <c r="DY87" i="47"/>
  <c r="DX87" i="47"/>
  <c r="DV87" i="47"/>
  <c r="DU87" i="47"/>
  <c r="DT87" i="47"/>
  <c r="DS87" i="47"/>
  <c r="DR87" i="47"/>
  <c r="DQ87" i="47"/>
  <c r="DP87" i="47"/>
  <c r="DO87" i="47"/>
  <c r="DM87" i="47"/>
  <c r="DL87" i="47"/>
  <c r="DK87" i="47"/>
  <c r="CY87" i="47"/>
  <c r="CX87" i="47"/>
  <c r="CW87" i="47"/>
  <c r="CV87" i="47"/>
  <c r="CU87" i="47"/>
  <c r="CT87" i="47"/>
  <c r="CS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ED86" i="47"/>
  <c r="EC86" i="47"/>
  <c r="EB86" i="47"/>
  <c r="EA86" i="47"/>
  <c r="DZ86" i="47"/>
  <c r="DY86" i="47"/>
  <c r="DX86" i="47"/>
  <c r="DV86" i="47"/>
  <c r="DU86" i="47"/>
  <c r="DT86" i="47"/>
  <c r="DS86" i="47"/>
  <c r="DR86" i="47"/>
  <c r="DQ86" i="47"/>
  <c r="DP86" i="47"/>
  <c r="CY86" i="47"/>
  <c r="CX86" i="47"/>
  <c r="CW86" i="47"/>
  <c r="CV86" i="47"/>
  <c r="CU86" i="47"/>
  <c r="CT86" i="47"/>
  <c r="CS86" i="47"/>
  <c r="CQ86" i="47"/>
  <c r="CP86" i="47"/>
  <c r="CO86" i="47"/>
  <c r="CN86" i="47"/>
  <c r="CM86" i="47"/>
  <c r="CL86" i="47"/>
  <c r="CK86" i="47"/>
  <c r="ED85" i="47"/>
  <c r="EC85" i="47"/>
  <c r="EB85" i="47"/>
  <c r="EA85" i="47"/>
  <c r="DZ85" i="47"/>
  <c r="DY85" i="47"/>
  <c r="DX85" i="47"/>
  <c r="DV85" i="47"/>
  <c r="DU85" i="47"/>
  <c r="DT85" i="47"/>
  <c r="DS85" i="47"/>
  <c r="DR85" i="47"/>
  <c r="DQ85" i="47"/>
  <c r="DP85" i="47"/>
  <c r="CY85" i="47"/>
  <c r="CX85" i="47"/>
  <c r="CW85" i="47"/>
  <c r="CV85" i="47"/>
  <c r="CU85" i="47"/>
  <c r="CT85" i="47"/>
  <c r="CS85" i="47"/>
  <c r="CQ85" i="47"/>
  <c r="CP85" i="47"/>
  <c r="CO85" i="47"/>
  <c r="CN85" i="47"/>
  <c r="CM85" i="47"/>
  <c r="CL85" i="47"/>
  <c r="CK85" i="47"/>
  <c r="ED84" i="47"/>
  <c r="EC84" i="47"/>
  <c r="EB84" i="47"/>
  <c r="EA84" i="47"/>
  <c r="DZ84" i="47"/>
  <c r="DY84" i="47"/>
  <c r="DX84" i="47"/>
  <c r="DV84" i="47"/>
  <c r="DU84" i="47"/>
  <c r="DT84" i="47"/>
  <c r="DS84" i="47"/>
  <c r="DR84" i="47"/>
  <c r="DQ84" i="47"/>
  <c r="DP84" i="47"/>
  <c r="CY84" i="47"/>
  <c r="CX84" i="47"/>
  <c r="CW84" i="47"/>
  <c r="CV84" i="47"/>
  <c r="CU84" i="47"/>
  <c r="CT84" i="47"/>
  <c r="CS84" i="47"/>
  <c r="CQ84" i="47"/>
  <c r="CP84" i="47"/>
  <c r="CO84" i="47"/>
  <c r="CN84" i="47"/>
  <c r="CM84" i="47"/>
  <c r="CL84" i="47"/>
  <c r="CK84" i="47"/>
  <c r="ED83" i="47"/>
  <c r="EC83" i="47"/>
  <c r="EB83" i="47"/>
  <c r="EA83" i="47"/>
  <c r="DZ83" i="47"/>
  <c r="DY83" i="47"/>
  <c r="DX83" i="47"/>
  <c r="DV83" i="47"/>
  <c r="DU83" i="47"/>
  <c r="DT83" i="47"/>
  <c r="DS83" i="47"/>
  <c r="DR83" i="47"/>
  <c r="DQ83" i="47"/>
  <c r="DP83" i="47"/>
  <c r="CY83" i="47"/>
  <c r="CX83" i="47"/>
  <c r="CW83" i="47"/>
  <c r="CV83" i="47"/>
  <c r="CU83" i="47"/>
  <c r="CT83" i="47"/>
  <c r="CS83" i="47"/>
  <c r="CQ83" i="47"/>
  <c r="CP83" i="47"/>
  <c r="CO83" i="47"/>
  <c r="CN83" i="47"/>
  <c r="CM83" i="47"/>
  <c r="CL83" i="47"/>
  <c r="CK83" i="47"/>
  <c r="ED82" i="47"/>
  <c r="EC82" i="47"/>
  <c r="EB82" i="47"/>
  <c r="EA82" i="47"/>
  <c r="DZ82" i="47"/>
  <c r="DY82" i="47"/>
  <c r="DX82" i="47"/>
  <c r="DV82" i="47"/>
  <c r="DU82" i="47"/>
  <c r="DT82" i="47"/>
  <c r="DS82" i="47"/>
  <c r="DR82" i="47"/>
  <c r="DQ82" i="47"/>
  <c r="DP82" i="47"/>
  <c r="CY82" i="47"/>
  <c r="CX82" i="47"/>
  <c r="CW82" i="47"/>
  <c r="CV82" i="47"/>
  <c r="CU82" i="47"/>
  <c r="CT82" i="47"/>
  <c r="CS82" i="47"/>
  <c r="CQ82" i="47"/>
  <c r="CP82" i="47"/>
  <c r="CO82" i="47"/>
  <c r="CN82" i="47"/>
  <c r="CM82" i="47"/>
  <c r="CL82" i="47"/>
  <c r="CK82" i="47"/>
  <c r="ED81" i="47"/>
  <c r="EC81" i="47"/>
  <c r="EB81" i="47"/>
  <c r="EA81" i="47"/>
  <c r="DZ81" i="47"/>
  <c r="DY81" i="47"/>
  <c r="DX81" i="47"/>
  <c r="DV81" i="47"/>
  <c r="DU81" i="47"/>
  <c r="DT81" i="47"/>
  <c r="DS81" i="47"/>
  <c r="DR81" i="47"/>
  <c r="DQ81" i="47"/>
  <c r="DP81" i="47"/>
  <c r="CY81" i="47"/>
  <c r="CX81" i="47"/>
  <c r="CW81" i="47"/>
  <c r="CV81" i="47"/>
  <c r="CU81" i="47"/>
  <c r="CT81" i="47"/>
  <c r="CS81" i="47"/>
  <c r="CQ81" i="47"/>
  <c r="CP81" i="47"/>
  <c r="CO81" i="47"/>
  <c r="CN81" i="47"/>
  <c r="CM81" i="47"/>
  <c r="CL81" i="47"/>
  <c r="CK81" i="47"/>
  <c r="ED80" i="47"/>
  <c r="EC80" i="47"/>
  <c r="EB80" i="47"/>
  <c r="EA80" i="47"/>
  <c r="DZ80" i="47"/>
  <c r="DY80" i="47"/>
  <c r="DX80" i="47"/>
  <c r="DV80" i="47"/>
  <c r="DU80" i="47"/>
  <c r="DT80" i="47"/>
  <c r="DS80" i="47"/>
  <c r="DR80" i="47"/>
  <c r="DQ80" i="47"/>
  <c r="DP80" i="47"/>
  <c r="CY80" i="47"/>
  <c r="CX80" i="47"/>
  <c r="CW80" i="47"/>
  <c r="CV80" i="47"/>
  <c r="CU80" i="47"/>
  <c r="CT80" i="47"/>
  <c r="CS80" i="47"/>
  <c r="CQ80" i="47"/>
  <c r="CP80" i="47"/>
  <c r="CO80" i="47"/>
  <c r="CN80" i="47"/>
  <c r="CM80" i="47"/>
  <c r="CL80" i="47"/>
  <c r="CK80" i="47"/>
  <c r="ED79" i="47"/>
  <c r="EC79" i="47"/>
  <c r="EB79" i="47"/>
  <c r="EA79" i="47"/>
  <c r="DZ79" i="47"/>
  <c r="DY79" i="47"/>
  <c r="DU79" i="47"/>
  <c r="DT79" i="47"/>
  <c r="DS79" i="47"/>
  <c r="DR79" i="47"/>
  <c r="DQ79" i="47"/>
  <c r="DP79" i="47"/>
  <c r="CY79" i="47"/>
  <c r="CX79" i="47"/>
  <c r="CW79" i="47"/>
  <c r="CV79" i="47"/>
  <c r="CU79" i="47"/>
  <c r="CT79" i="47"/>
  <c r="CP79" i="47"/>
  <c r="CO79" i="47"/>
  <c r="CN79" i="47"/>
  <c r="CM79" i="47"/>
  <c r="CL79" i="47"/>
  <c r="CK79" i="47"/>
  <c r="ED74" i="47"/>
  <c r="EC74" i="47"/>
  <c r="EB74" i="47"/>
  <c r="EA74" i="47"/>
  <c r="DZ74" i="47"/>
  <c r="DY74" i="47"/>
  <c r="DX74" i="47"/>
  <c r="DV74" i="47"/>
  <c r="DU74" i="47"/>
  <c r="DT74" i="47"/>
  <c r="DS74" i="47"/>
  <c r="DR74" i="47"/>
  <c r="DQ74" i="47"/>
  <c r="DP74" i="47"/>
  <c r="DO74" i="47"/>
  <c r="DM74" i="47"/>
  <c r="DL74" i="47"/>
  <c r="DK74" i="47"/>
  <c r="CY74" i="47"/>
  <c r="CX74" i="47"/>
  <c r="CW74" i="47"/>
  <c r="CV74" i="47"/>
  <c r="CU74" i="47"/>
  <c r="CT74" i="47"/>
  <c r="CS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ED73" i="47"/>
  <c r="EC73" i="47"/>
  <c r="EB73" i="47"/>
  <c r="EA73" i="47"/>
  <c r="DZ73" i="47"/>
  <c r="DY73" i="47"/>
  <c r="DX73" i="47"/>
  <c r="DV73" i="47"/>
  <c r="DU73" i="47"/>
  <c r="DT73" i="47"/>
  <c r="DS73" i="47"/>
  <c r="DR73" i="47"/>
  <c r="DQ73" i="47"/>
  <c r="DP73" i="47"/>
  <c r="DO73" i="47"/>
  <c r="DM73" i="47"/>
  <c r="DL73" i="47"/>
  <c r="DK73" i="47"/>
  <c r="CY73" i="47"/>
  <c r="CX73" i="47"/>
  <c r="CW73" i="47"/>
  <c r="CV73" i="47"/>
  <c r="CU73" i="47"/>
  <c r="CT73" i="47"/>
  <c r="CS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ED72" i="47"/>
  <c r="EC72" i="47"/>
  <c r="EB72" i="47"/>
  <c r="EA72" i="47"/>
  <c r="DZ72" i="47"/>
  <c r="DY72" i="47"/>
  <c r="DX72" i="47"/>
  <c r="DV72" i="47"/>
  <c r="DU72" i="47"/>
  <c r="DT72" i="47"/>
  <c r="DS72" i="47"/>
  <c r="DR72" i="47"/>
  <c r="DQ72" i="47"/>
  <c r="DP72" i="47"/>
  <c r="DO72" i="47"/>
  <c r="DM72" i="47"/>
  <c r="DL72" i="47"/>
  <c r="DK72" i="47"/>
  <c r="CY72" i="47"/>
  <c r="CX72" i="47"/>
  <c r="CW72" i="47"/>
  <c r="CV72" i="47"/>
  <c r="CU72" i="47"/>
  <c r="CT72" i="47"/>
  <c r="CS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DZ71" i="47"/>
  <c r="DY71" i="47"/>
  <c r="DX71" i="47"/>
  <c r="DV71" i="47"/>
  <c r="DU71" i="47"/>
  <c r="DT71" i="47"/>
  <c r="DS71" i="47"/>
  <c r="DR71" i="47"/>
  <c r="DQ71" i="47"/>
  <c r="CU71" i="47"/>
  <c r="CT71" i="47"/>
  <c r="CS71" i="47"/>
  <c r="CQ71" i="47"/>
  <c r="CP71" i="47"/>
  <c r="CO71" i="47"/>
  <c r="CN71" i="47"/>
  <c r="CM71" i="47"/>
  <c r="CL71" i="47"/>
  <c r="ED70" i="47"/>
  <c r="EC70" i="47"/>
  <c r="EB70" i="47"/>
  <c r="EA70" i="47"/>
  <c r="DZ70" i="47"/>
  <c r="DY70" i="47"/>
  <c r="DX70" i="47"/>
  <c r="DV70" i="47"/>
  <c r="DU70" i="47"/>
  <c r="DT70" i="47"/>
  <c r="DS70" i="47"/>
  <c r="DR70" i="47"/>
  <c r="DQ70" i="47"/>
  <c r="CY70" i="47"/>
  <c r="CX70" i="47"/>
  <c r="CW70" i="47"/>
  <c r="CV70" i="47"/>
  <c r="CU70" i="47"/>
  <c r="CT70" i="47"/>
  <c r="CS70" i="47"/>
  <c r="CQ70" i="47"/>
  <c r="CP70" i="47"/>
  <c r="CO70" i="47"/>
  <c r="CN70" i="47"/>
  <c r="CM70" i="47"/>
  <c r="CL70" i="47"/>
  <c r="ED69" i="47"/>
  <c r="EC69" i="47"/>
  <c r="EB69" i="47"/>
  <c r="EA69" i="47"/>
  <c r="DZ69" i="47"/>
  <c r="DY69" i="47"/>
  <c r="DX69" i="47"/>
  <c r="DV69" i="47"/>
  <c r="DU69" i="47"/>
  <c r="DT69" i="47"/>
  <c r="DS69" i="47"/>
  <c r="DR69" i="47"/>
  <c r="DQ69" i="47"/>
  <c r="DP69" i="47"/>
  <c r="DO69" i="47"/>
  <c r="DM69" i="47"/>
  <c r="DL69" i="47"/>
  <c r="DK69" i="47"/>
  <c r="CY69" i="47"/>
  <c r="CX69" i="47"/>
  <c r="CW69" i="47"/>
  <c r="CV69" i="47"/>
  <c r="CU69" i="47"/>
  <c r="CT69" i="47"/>
  <c r="CS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ED68" i="47"/>
  <c r="EC68" i="47"/>
  <c r="EB68" i="47"/>
  <c r="EA68" i="47"/>
  <c r="DZ68" i="47"/>
  <c r="DY68" i="47"/>
  <c r="DX68" i="47"/>
  <c r="DV68" i="47"/>
  <c r="DU68" i="47"/>
  <c r="DT68" i="47"/>
  <c r="DS68" i="47"/>
  <c r="DR68" i="47"/>
  <c r="DQ68" i="47"/>
  <c r="DP68" i="47"/>
  <c r="CY68" i="47"/>
  <c r="CX68" i="47"/>
  <c r="CW68" i="47"/>
  <c r="CV68" i="47"/>
  <c r="CU68" i="47"/>
  <c r="CT68" i="47"/>
  <c r="CS68" i="47"/>
  <c r="CQ68" i="47"/>
  <c r="CP68" i="47"/>
  <c r="CO68" i="47"/>
  <c r="CN68" i="47"/>
  <c r="CM68" i="47"/>
  <c r="CL68" i="47"/>
  <c r="CK68" i="47"/>
  <c r="ED67" i="47"/>
  <c r="EC67" i="47"/>
  <c r="EB67" i="47"/>
  <c r="EA67" i="47"/>
  <c r="DZ67" i="47"/>
  <c r="DY67" i="47"/>
  <c r="DX67" i="47"/>
  <c r="DV67" i="47"/>
  <c r="DU67" i="47"/>
  <c r="DT67" i="47"/>
  <c r="DS67" i="47"/>
  <c r="DR67" i="47"/>
  <c r="DQ67" i="47"/>
  <c r="CY67" i="47"/>
  <c r="CX67" i="47"/>
  <c r="CW67" i="47"/>
  <c r="CV67" i="47"/>
  <c r="CU67" i="47"/>
  <c r="CT67" i="47"/>
  <c r="CQ67" i="47"/>
  <c r="CP67" i="47"/>
  <c r="CO67" i="47"/>
  <c r="CN67" i="47"/>
  <c r="CM67" i="47"/>
  <c r="CL67" i="47"/>
  <c r="DM66" i="47"/>
  <c r="DL66" i="47"/>
  <c r="DK66" i="47"/>
  <c r="CH66" i="47"/>
  <c r="CG66" i="47"/>
  <c r="CF66" i="47"/>
  <c r="ED65" i="47"/>
  <c r="EC65" i="47"/>
  <c r="EB65" i="47"/>
  <c r="EA65" i="47"/>
  <c r="DZ65" i="47"/>
  <c r="DY65" i="47"/>
  <c r="DX65" i="47"/>
  <c r="DV65" i="47"/>
  <c r="DU65" i="47"/>
  <c r="DT65" i="47"/>
  <c r="DS65" i="47"/>
  <c r="DR65" i="47"/>
  <c r="DQ65" i="47"/>
  <c r="DP65" i="47"/>
  <c r="DO65" i="47"/>
  <c r="DM65" i="47"/>
  <c r="DL65" i="47"/>
  <c r="DK65" i="47"/>
  <c r="CY65" i="47"/>
  <c r="CX65" i="47"/>
  <c r="CW65" i="47"/>
  <c r="CV65" i="47"/>
  <c r="CU65" i="47"/>
  <c r="CT65" i="47"/>
  <c r="CS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ED64" i="47"/>
  <c r="EC64" i="47"/>
  <c r="EB64" i="47"/>
  <c r="EA64" i="47"/>
  <c r="DZ64" i="47"/>
  <c r="DY64" i="47"/>
  <c r="DX64" i="47"/>
  <c r="DV64" i="47"/>
  <c r="DU64" i="47"/>
  <c r="DT64" i="47"/>
  <c r="DS64" i="47"/>
  <c r="DR64" i="47"/>
  <c r="DQ64" i="47"/>
  <c r="DP64" i="47"/>
  <c r="CY64" i="47"/>
  <c r="CX64" i="47"/>
  <c r="CW64" i="47"/>
  <c r="CV64" i="47"/>
  <c r="CU64" i="47"/>
  <c r="CT64" i="47"/>
  <c r="CS64" i="47"/>
  <c r="CQ64" i="47"/>
  <c r="CP64" i="47"/>
  <c r="CO64" i="47"/>
  <c r="CN64" i="47"/>
  <c r="CM64" i="47"/>
  <c r="CL64" i="47"/>
  <c r="CK64" i="47"/>
  <c r="ED63" i="47"/>
  <c r="EC63" i="47"/>
  <c r="EB63" i="47"/>
  <c r="EA63" i="47"/>
  <c r="DZ63" i="47"/>
  <c r="DY63" i="47"/>
  <c r="DX63" i="47"/>
  <c r="DV63" i="47"/>
  <c r="DU63" i="47"/>
  <c r="DT63" i="47"/>
  <c r="DS63" i="47"/>
  <c r="DR63" i="47"/>
  <c r="DQ63" i="47"/>
  <c r="DP63" i="47"/>
  <c r="CY63" i="47"/>
  <c r="CX63" i="47"/>
  <c r="CW63" i="47"/>
  <c r="CV63" i="47"/>
  <c r="CU63" i="47"/>
  <c r="CT63" i="47"/>
  <c r="CS63" i="47"/>
  <c r="CQ63" i="47"/>
  <c r="CP63" i="47"/>
  <c r="CO63" i="47"/>
  <c r="CN63" i="47"/>
  <c r="CM63" i="47"/>
  <c r="CL63" i="47"/>
  <c r="CK63" i="47"/>
  <c r="ED62" i="47"/>
  <c r="EC62" i="47"/>
  <c r="EB62" i="47"/>
  <c r="EA62" i="47"/>
  <c r="DZ62" i="47"/>
  <c r="DY62" i="47"/>
  <c r="DX62" i="47"/>
  <c r="DV62" i="47"/>
  <c r="DU62" i="47"/>
  <c r="DT62" i="47"/>
  <c r="DS62" i="47"/>
  <c r="DR62" i="47"/>
  <c r="DQ62" i="47"/>
  <c r="DP62" i="47"/>
  <c r="CY62" i="47"/>
  <c r="CX62" i="47"/>
  <c r="CW62" i="47"/>
  <c r="CV62" i="47"/>
  <c r="CU62" i="47"/>
  <c r="CT62" i="47"/>
  <c r="CS62" i="47"/>
  <c r="CQ62" i="47"/>
  <c r="CP62" i="47"/>
  <c r="CO62" i="47"/>
  <c r="CN62" i="47"/>
  <c r="CM62" i="47"/>
  <c r="CL62" i="47"/>
  <c r="CK62" i="47"/>
  <c r="ED61" i="47"/>
  <c r="EC61" i="47"/>
  <c r="EB61" i="47"/>
  <c r="EA61" i="47"/>
  <c r="DZ61" i="47"/>
  <c r="DY61" i="47"/>
  <c r="DX61" i="47"/>
  <c r="DV61" i="47"/>
  <c r="DU61" i="47"/>
  <c r="DT61" i="47"/>
  <c r="DS61" i="47"/>
  <c r="DR61" i="47"/>
  <c r="DQ61" i="47"/>
  <c r="DP61" i="47"/>
  <c r="CY61" i="47"/>
  <c r="CX61" i="47"/>
  <c r="CW61" i="47"/>
  <c r="CV61" i="47"/>
  <c r="CU61" i="47"/>
  <c r="CT61" i="47"/>
  <c r="CS61" i="47"/>
  <c r="CQ61" i="47"/>
  <c r="CP61" i="47"/>
  <c r="CO61" i="47"/>
  <c r="CN61" i="47"/>
  <c r="CM61" i="47"/>
  <c r="CL61" i="47"/>
  <c r="CK61" i="47"/>
  <c r="ED60" i="47"/>
  <c r="EC60" i="47"/>
  <c r="EB60" i="47"/>
  <c r="EA60" i="47"/>
  <c r="DZ60" i="47"/>
  <c r="DY60" i="47"/>
  <c r="DX60" i="47"/>
  <c r="DV60" i="47"/>
  <c r="DU60" i="47"/>
  <c r="DT60" i="47"/>
  <c r="DS60" i="47"/>
  <c r="DR60" i="47"/>
  <c r="DQ60" i="47"/>
  <c r="DP60" i="47"/>
  <c r="CY60" i="47"/>
  <c r="CX60" i="47"/>
  <c r="CW60" i="47"/>
  <c r="CV60" i="47"/>
  <c r="CU60" i="47"/>
  <c r="CT60" i="47"/>
  <c r="CS60" i="47"/>
  <c r="CQ60" i="47"/>
  <c r="CP60" i="47"/>
  <c r="CO60" i="47"/>
  <c r="CN60" i="47"/>
  <c r="CM60" i="47"/>
  <c r="CL60" i="47"/>
  <c r="CK60" i="47"/>
  <c r="ED59" i="47"/>
  <c r="EC59" i="47"/>
  <c r="EB59" i="47"/>
  <c r="EA59" i="47"/>
  <c r="DZ59" i="47"/>
  <c r="DY59" i="47"/>
  <c r="DX59" i="47"/>
  <c r="DV59" i="47"/>
  <c r="DU59" i="47"/>
  <c r="DT59" i="47"/>
  <c r="DS59" i="47"/>
  <c r="DR59" i="47"/>
  <c r="DQ59" i="47"/>
  <c r="DP59" i="47"/>
  <c r="CY59" i="47"/>
  <c r="CX59" i="47"/>
  <c r="CW59" i="47"/>
  <c r="CV59" i="47"/>
  <c r="CU59" i="47"/>
  <c r="CT59" i="47"/>
  <c r="CS59" i="47"/>
  <c r="CQ59" i="47"/>
  <c r="CP59" i="47"/>
  <c r="CO59" i="47"/>
  <c r="CN59" i="47"/>
  <c r="CM59" i="47"/>
  <c r="CL59" i="47"/>
  <c r="CK59" i="47"/>
  <c r="ED58" i="47"/>
  <c r="EC58" i="47"/>
  <c r="EB58" i="47"/>
  <c r="EA58" i="47"/>
  <c r="DZ58" i="47"/>
  <c r="DY58" i="47"/>
  <c r="DX58" i="47"/>
  <c r="DV58" i="47"/>
  <c r="DU58" i="47"/>
  <c r="DT58" i="47"/>
  <c r="DS58" i="47"/>
  <c r="DR58" i="47"/>
  <c r="DQ58" i="47"/>
  <c r="DP58" i="47"/>
  <c r="CY58" i="47"/>
  <c r="CX58" i="47"/>
  <c r="CW58" i="47"/>
  <c r="CV58" i="47"/>
  <c r="CU58" i="47"/>
  <c r="CT58" i="47"/>
  <c r="CS58" i="47"/>
  <c r="CQ58" i="47"/>
  <c r="CP58" i="47"/>
  <c r="CO58" i="47"/>
  <c r="CN58" i="47"/>
  <c r="CM58" i="47"/>
  <c r="CL58" i="47"/>
  <c r="CK58" i="47"/>
  <c r="ED57" i="47"/>
  <c r="EC57" i="47"/>
  <c r="EB57" i="47"/>
  <c r="EA57" i="47"/>
  <c r="DZ57" i="47"/>
  <c r="DY57" i="47"/>
  <c r="DU57" i="47"/>
  <c r="DT57" i="47"/>
  <c r="DS57" i="47"/>
  <c r="DR57" i="47"/>
  <c r="DQ57" i="47"/>
  <c r="DP57" i="47"/>
  <c r="CY57" i="47"/>
  <c r="CX57" i="47"/>
  <c r="CW57" i="47"/>
  <c r="CV57" i="47"/>
  <c r="CU57" i="47"/>
  <c r="CT57" i="47"/>
  <c r="CP57" i="47"/>
  <c r="CO57" i="47"/>
  <c r="CN57" i="47"/>
  <c r="CM57" i="47"/>
  <c r="CL57" i="47"/>
  <c r="CK57" i="47"/>
  <c r="ED52" i="47"/>
  <c r="EC52" i="47"/>
  <c r="EB52" i="47"/>
  <c r="EA52" i="47"/>
  <c r="DZ52" i="47"/>
  <c r="DY52" i="47"/>
  <c r="DX52" i="47"/>
  <c r="DV52" i="47"/>
  <c r="DU52" i="47"/>
  <c r="DT52" i="47"/>
  <c r="DS52" i="47"/>
  <c r="DR52" i="47"/>
  <c r="DQ52" i="47"/>
  <c r="DP52" i="47"/>
  <c r="DO52" i="47"/>
  <c r="DM52" i="47"/>
  <c r="DL52" i="47"/>
  <c r="DK52" i="47"/>
  <c r="CY52" i="47"/>
  <c r="CX52" i="47"/>
  <c r="CW52" i="47"/>
  <c r="CV52" i="47"/>
  <c r="CU52" i="47"/>
  <c r="CT52" i="47"/>
  <c r="CS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ED51" i="47"/>
  <c r="EC51" i="47"/>
  <c r="EB51" i="47"/>
  <c r="EA51" i="47"/>
  <c r="DZ51" i="47"/>
  <c r="DY51" i="47"/>
  <c r="DX51" i="47"/>
  <c r="DV51" i="47"/>
  <c r="DU51" i="47"/>
  <c r="DT51" i="47"/>
  <c r="DS51" i="47"/>
  <c r="DR51" i="47"/>
  <c r="DQ51" i="47"/>
  <c r="DP51" i="47"/>
  <c r="DO51" i="47"/>
  <c r="DM51" i="47"/>
  <c r="DL51" i="47"/>
  <c r="DK51" i="47"/>
  <c r="CY51" i="47"/>
  <c r="CX51" i="47"/>
  <c r="CW51" i="47"/>
  <c r="CV51" i="47"/>
  <c r="CU51" i="47"/>
  <c r="CT51" i="47"/>
  <c r="CS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ED50" i="47"/>
  <c r="EC50" i="47"/>
  <c r="EB50" i="47"/>
  <c r="EA50" i="47"/>
  <c r="DZ50" i="47"/>
  <c r="DY50" i="47"/>
  <c r="DX50" i="47"/>
  <c r="DV50" i="47"/>
  <c r="DU50" i="47"/>
  <c r="DT50" i="47"/>
  <c r="DS50" i="47"/>
  <c r="DR50" i="47"/>
  <c r="DQ50" i="47"/>
  <c r="DP50" i="47"/>
  <c r="DO50" i="47"/>
  <c r="DM50" i="47"/>
  <c r="DL50" i="47"/>
  <c r="DK50" i="47"/>
  <c r="CY50" i="47"/>
  <c r="CX50" i="47"/>
  <c r="CW50" i="47"/>
  <c r="CV50" i="47"/>
  <c r="CU50" i="47"/>
  <c r="CT50" i="47"/>
  <c r="CS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DZ49" i="47"/>
  <c r="DY49" i="47"/>
  <c r="DX49" i="47"/>
  <c r="DV49" i="47"/>
  <c r="DU49" i="47"/>
  <c r="DT49" i="47"/>
  <c r="DS49" i="47"/>
  <c r="DR49" i="47"/>
  <c r="DQ49" i="47"/>
  <c r="CU49" i="47"/>
  <c r="CT49" i="47"/>
  <c r="CS49" i="47"/>
  <c r="CQ49" i="47"/>
  <c r="CP49" i="47"/>
  <c r="CO49" i="47"/>
  <c r="CN49" i="47"/>
  <c r="CM49" i="47"/>
  <c r="CL49" i="47"/>
  <c r="ED48" i="47"/>
  <c r="EC48" i="47"/>
  <c r="EB48" i="47"/>
  <c r="EA48" i="47"/>
  <c r="DZ48" i="47"/>
  <c r="DY48" i="47"/>
  <c r="DX48" i="47"/>
  <c r="DV48" i="47"/>
  <c r="DU48" i="47"/>
  <c r="DT48" i="47"/>
  <c r="DS48" i="47"/>
  <c r="DR48" i="47"/>
  <c r="DQ48" i="47"/>
  <c r="CY48" i="47"/>
  <c r="CX48" i="47"/>
  <c r="CW48" i="47"/>
  <c r="CV48" i="47"/>
  <c r="CU48" i="47"/>
  <c r="CT48" i="47"/>
  <c r="CP48" i="47"/>
  <c r="CO48" i="47"/>
  <c r="CN48" i="47"/>
  <c r="CM48" i="47"/>
  <c r="CL48" i="47"/>
  <c r="ED47" i="47"/>
  <c r="EC47" i="47"/>
  <c r="EB47" i="47"/>
  <c r="EA47" i="47"/>
  <c r="DZ47" i="47"/>
  <c r="DY47" i="47"/>
  <c r="DX47" i="47"/>
  <c r="DV47" i="47"/>
  <c r="DU47" i="47"/>
  <c r="DT47" i="47"/>
  <c r="DS47" i="47"/>
  <c r="DR47" i="47"/>
  <c r="DQ47" i="47"/>
  <c r="DP47" i="47"/>
  <c r="DO47" i="47"/>
  <c r="DM47" i="47"/>
  <c r="DL47" i="47"/>
  <c r="DK47" i="47"/>
  <c r="CY47" i="47"/>
  <c r="CX47" i="47"/>
  <c r="CW47" i="47"/>
  <c r="CV47" i="47"/>
  <c r="CU47" i="47"/>
  <c r="CT47" i="47"/>
  <c r="CS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ED46" i="47"/>
  <c r="EC46" i="47"/>
  <c r="EB46" i="47"/>
  <c r="EA46" i="47"/>
  <c r="DZ46" i="47"/>
  <c r="DY46" i="47"/>
  <c r="DX46" i="47"/>
  <c r="DV46" i="47"/>
  <c r="DU46" i="47"/>
  <c r="DT46" i="47"/>
  <c r="DS46" i="47"/>
  <c r="DR46" i="47"/>
  <c r="DQ46" i="47"/>
  <c r="DP46" i="47"/>
  <c r="CY46" i="47"/>
  <c r="CX46" i="47"/>
  <c r="CW46" i="47"/>
  <c r="CV46" i="47"/>
  <c r="CU46" i="47"/>
  <c r="CT46" i="47"/>
  <c r="CS46" i="47"/>
  <c r="CQ46" i="47"/>
  <c r="CP46" i="47"/>
  <c r="CO46" i="47"/>
  <c r="CN46" i="47"/>
  <c r="CM46" i="47"/>
  <c r="CL46" i="47"/>
  <c r="CK46" i="47"/>
  <c r="ED45" i="47"/>
  <c r="EC45" i="47"/>
  <c r="EB45" i="47"/>
  <c r="EA45" i="47"/>
  <c r="DZ45" i="47"/>
  <c r="DY45" i="47"/>
  <c r="DX45" i="47"/>
  <c r="DV45" i="47"/>
  <c r="DU45" i="47"/>
  <c r="DT45" i="47"/>
  <c r="DS45" i="47"/>
  <c r="DR45" i="47"/>
  <c r="DQ45" i="47"/>
  <c r="CY45" i="47"/>
  <c r="CX45" i="47"/>
  <c r="CW45" i="47"/>
  <c r="CV45" i="47"/>
  <c r="CU45" i="47"/>
  <c r="CT45" i="47"/>
  <c r="CQ45" i="47"/>
  <c r="CP45" i="47"/>
  <c r="CO45" i="47"/>
  <c r="CN45" i="47"/>
  <c r="CM45" i="47"/>
  <c r="CL45" i="47"/>
  <c r="DM44" i="47"/>
  <c r="DL44" i="47"/>
  <c r="DK44" i="47"/>
  <c r="CH44" i="47"/>
  <c r="CG44" i="47"/>
  <c r="CF44" i="47"/>
  <c r="ED43" i="47"/>
  <c r="EC43" i="47"/>
  <c r="EB43" i="47"/>
  <c r="EA43" i="47"/>
  <c r="DZ43" i="47"/>
  <c r="DY43" i="47"/>
  <c r="DX43" i="47"/>
  <c r="DV43" i="47"/>
  <c r="DU43" i="47"/>
  <c r="DT43" i="47"/>
  <c r="DS43" i="47"/>
  <c r="DR43" i="47"/>
  <c r="DQ43" i="47"/>
  <c r="DP43" i="47"/>
  <c r="DO43" i="47"/>
  <c r="DM43" i="47"/>
  <c r="DL43" i="47"/>
  <c r="DK43" i="47"/>
  <c r="CY43" i="47"/>
  <c r="CX43" i="47"/>
  <c r="CW43" i="47"/>
  <c r="CV43" i="47"/>
  <c r="CU43" i="47"/>
  <c r="CT43" i="47"/>
  <c r="CS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ED42" i="47"/>
  <c r="EC42" i="47"/>
  <c r="EB42" i="47"/>
  <c r="EA42" i="47"/>
  <c r="DZ42" i="47"/>
  <c r="DY42" i="47"/>
  <c r="DX42" i="47"/>
  <c r="DV42" i="47"/>
  <c r="DU42" i="47"/>
  <c r="DT42" i="47"/>
  <c r="DS42" i="47"/>
  <c r="DR42" i="47"/>
  <c r="DQ42" i="47"/>
  <c r="DP42" i="47"/>
  <c r="CY42" i="47"/>
  <c r="CX42" i="47"/>
  <c r="CW42" i="47"/>
  <c r="CV42" i="47"/>
  <c r="CU42" i="47"/>
  <c r="CT42" i="47"/>
  <c r="CS42" i="47"/>
  <c r="CQ42" i="47"/>
  <c r="CP42" i="47"/>
  <c r="CO42" i="47"/>
  <c r="CN42" i="47"/>
  <c r="CM42" i="47"/>
  <c r="CL42" i="47"/>
  <c r="CK42" i="47"/>
  <c r="ED41" i="47"/>
  <c r="EC41" i="47"/>
  <c r="EB41" i="47"/>
  <c r="EA41" i="47"/>
  <c r="DZ41" i="47"/>
  <c r="DY41" i="47"/>
  <c r="DX41" i="47"/>
  <c r="DV41" i="47"/>
  <c r="DU41" i="47"/>
  <c r="DT41" i="47"/>
  <c r="DS41" i="47"/>
  <c r="DR41" i="47"/>
  <c r="DQ41" i="47"/>
  <c r="DP41" i="47"/>
  <c r="CY41" i="47"/>
  <c r="CX41" i="47"/>
  <c r="CW41" i="47"/>
  <c r="CV41" i="47"/>
  <c r="CU41" i="47"/>
  <c r="CT41" i="47"/>
  <c r="CS41" i="47"/>
  <c r="CQ41" i="47"/>
  <c r="CP41" i="47"/>
  <c r="CO41" i="47"/>
  <c r="CN41" i="47"/>
  <c r="CM41" i="47"/>
  <c r="CL41" i="47"/>
  <c r="CK41" i="47"/>
  <c r="ED40" i="47"/>
  <c r="EC40" i="47"/>
  <c r="EB40" i="47"/>
  <c r="EA40" i="47"/>
  <c r="DZ40" i="47"/>
  <c r="DY40" i="47"/>
  <c r="DX40" i="47"/>
  <c r="DV40" i="47"/>
  <c r="DU40" i="47"/>
  <c r="DT40" i="47"/>
  <c r="DS40" i="47"/>
  <c r="DR40" i="47"/>
  <c r="DQ40" i="47"/>
  <c r="DP40" i="47"/>
  <c r="CY40" i="47"/>
  <c r="CX40" i="47"/>
  <c r="CW40" i="47"/>
  <c r="CV40" i="47"/>
  <c r="CU40" i="47"/>
  <c r="CT40" i="47"/>
  <c r="CS40" i="47"/>
  <c r="CQ40" i="47"/>
  <c r="CP40" i="47"/>
  <c r="CO40" i="47"/>
  <c r="CN40" i="47"/>
  <c r="CM40" i="47"/>
  <c r="CL40" i="47"/>
  <c r="CK40" i="47"/>
  <c r="ED39" i="47"/>
  <c r="EC39" i="47"/>
  <c r="EB39" i="47"/>
  <c r="EA39" i="47"/>
  <c r="DZ39" i="47"/>
  <c r="DY39" i="47"/>
  <c r="DX39" i="47"/>
  <c r="DV39" i="47"/>
  <c r="DU39" i="47"/>
  <c r="DT39" i="47"/>
  <c r="DS39" i="47"/>
  <c r="DR39" i="47"/>
  <c r="DQ39" i="47"/>
  <c r="DP39" i="47"/>
  <c r="CY39" i="47"/>
  <c r="CX39" i="47"/>
  <c r="CW39" i="47"/>
  <c r="CV39" i="47"/>
  <c r="CU39" i="47"/>
  <c r="CT39" i="47"/>
  <c r="CS39" i="47"/>
  <c r="CQ39" i="47"/>
  <c r="CP39" i="47"/>
  <c r="CO39" i="47"/>
  <c r="CN39" i="47"/>
  <c r="CM39" i="47"/>
  <c r="CL39" i="47"/>
  <c r="CK39" i="47"/>
  <c r="ED38" i="47"/>
  <c r="EC38" i="47"/>
  <c r="EB38" i="47"/>
  <c r="EA38" i="47"/>
  <c r="DZ38" i="47"/>
  <c r="DY38" i="47"/>
  <c r="DX38" i="47"/>
  <c r="DV38" i="47"/>
  <c r="DU38" i="47"/>
  <c r="DT38" i="47"/>
  <c r="DS38" i="47"/>
  <c r="DR38" i="47"/>
  <c r="DQ38" i="47"/>
  <c r="DP38" i="47"/>
  <c r="CY38" i="47"/>
  <c r="CX38" i="47"/>
  <c r="CW38" i="47"/>
  <c r="CV38" i="47"/>
  <c r="CU38" i="47"/>
  <c r="CT38" i="47"/>
  <c r="CS38" i="47"/>
  <c r="CQ38" i="47"/>
  <c r="CP38" i="47"/>
  <c r="CO38" i="47"/>
  <c r="CN38" i="47"/>
  <c r="CM38" i="47"/>
  <c r="CL38" i="47"/>
  <c r="CK38" i="47"/>
  <c r="ED37" i="47"/>
  <c r="EC37" i="47"/>
  <c r="EB37" i="47"/>
  <c r="EA37" i="47"/>
  <c r="DZ37" i="47"/>
  <c r="DY37" i="47"/>
  <c r="DX37" i="47"/>
  <c r="DV37" i="47"/>
  <c r="DU37" i="47"/>
  <c r="DT37" i="47"/>
  <c r="DS37" i="47"/>
  <c r="DR37" i="47"/>
  <c r="DQ37" i="47"/>
  <c r="DP37" i="47"/>
  <c r="CY37" i="47"/>
  <c r="CX37" i="47"/>
  <c r="CW37" i="47"/>
  <c r="CV37" i="47"/>
  <c r="CU37" i="47"/>
  <c r="CT37" i="47"/>
  <c r="CS37" i="47"/>
  <c r="CQ37" i="47"/>
  <c r="CP37" i="47"/>
  <c r="CO37" i="47"/>
  <c r="CN37" i="47"/>
  <c r="CM37" i="47"/>
  <c r="CL37" i="47"/>
  <c r="CK37" i="47"/>
  <c r="ED36" i="47"/>
  <c r="EC36" i="47"/>
  <c r="EB36" i="47"/>
  <c r="EA36" i="47"/>
  <c r="DZ36" i="47"/>
  <c r="DY36" i="47"/>
  <c r="DX36" i="47"/>
  <c r="DV36" i="47"/>
  <c r="DU36" i="47"/>
  <c r="DT36" i="47"/>
  <c r="DS36" i="47"/>
  <c r="DR36" i="47"/>
  <c r="DQ36" i="47"/>
  <c r="DP36" i="47"/>
  <c r="CY36" i="47"/>
  <c r="CX36" i="47"/>
  <c r="CW36" i="47"/>
  <c r="CV36" i="47"/>
  <c r="CU36" i="47"/>
  <c r="CT36" i="47"/>
  <c r="CS36" i="47"/>
  <c r="CQ36" i="47"/>
  <c r="CP36" i="47"/>
  <c r="CO36" i="47"/>
  <c r="CN36" i="47"/>
  <c r="CM36" i="47"/>
  <c r="CL36" i="47"/>
  <c r="CK36" i="47"/>
  <c r="ED35" i="47"/>
  <c r="EC35" i="47"/>
  <c r="EB35" i="47"/>
  <c r="EA35" i="47"/>
  <c r="DZ35" i="47"/>
  <c r="DY35" i="47"/>
  <c r="DS35" i="47"/>
  <c r="DR35" i="47"/>
  <c r="DQ35" i="47"/>
  <c r="DP35" i="47"/>
  <c r="CY35" i="47"/>
  <c r="CX35" i="47"/>
  <c r="CW35" i="47"/>
  <c r="CV35" i="47"/>
  <c r="CU35" i="47"/>
  <c r="CT35" i="47"/>
  <c r="CO35" i="47"/>
  <c r="CN35" i="47"/>
  <c r="CM35" i="47"/>
  <c r="CL35" i="47"/>
  <c r="CK35" i="47"/>
  <c r="ED30" i="47"/>
  <c r="EC30" i="47"/>
  <c r="EB30" i="47"/>
  <c r="EA30" i="47"/>
  <c r="DZ30" i="47"/>
  <c r="DY30" i="47"/>
  <c r="DX30" i="47"/>
  <c r="DV30" i="47"/>
  <c r="DU30" i="47"/>
  <c r="DT30" i="47"/>
  <c r="DS30" i="47"/>
  <c r="DR30" i="47"/>
  <c r="DQ30" i="47"/>
  <c r="DP30" i="47"/>
  <c r="DO30" i="47"/>
  <c r="DM30" i="47"/>
  <c r="DL30" i="47"/>
  <c r="DK30" i="47"/>
  <c r="CX30" i="47"/>
  <c r="CW30" i="47"/>
  <c r="CV30" i="47"/>
  <c r="CU30" i="47"/>
  <c r="CT30" i="47"/>
  <c r="CS30" i="47"/>
  <c r="CQ30" i="47"/>
  <c r="CP30" i="47"/>
  <c r="CO30" i="47"/>
  <c r="CN30" i="47"/>
  <c r="CM30" i="47"/>
  <c r="CL30" i="47"/>
  <c r="CK30" i="47"/>
  <c r="CJ30" i="47"/>
  <c r="CI30" i="47"/>
  <c r="CF30" i="47"/>
  <c r="CB30" i="47"/>
  <c r="ED29" i="47"/>
  <c r="EC29" i="47"/>
  <c r="EB29" i="47"/>
  <c r="EA29" i="47"/>
  <c r="DZ29" i="47"/>
  <c r="DY29" i="47"/>
  <c r="DX29" i="47"/>
  <c r="DV29" i="47"/>
  <c r="DU29" i="47"/>
  <c r="DT29" i="47"/>
  <c r="DS29" i="47"/>
  <c r="DR29" i="47"/>
  <c r="DQ29" i="47"/>
  <c r="DP29" i="47"/>
  <c r="DO29" i="47"/>
  <c r="DM29" i="47"/>
  <c r="DL29" i="47"/>
  <c r="DK29" i="47"/>
  <c r="CY29" i="47"/>
  <c r="CX29" i="47"/>
  <c r="CW29" i="47"/>
  <c r="CV29" i="47"/>
  <c r="CU29" i="47"/>
  <c r="CT29" i="47"/>
  <c r="CS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ED28" i="47"/>
  <c r="EC28" i="47"/>
  <c r="EB28" i="47"/>
  <c r="EA28" i="47"/>
  <c r="DZ28" i="47"/>
  <c r="DY28" i="47"/>
  <c r="DX28" i="47"/>
  <c r="DV28" i="47"/>
  <c r="DU28" i="47"/>
  <c r="DT28" i="47"/>
  <c r="DS28" i="47"/>
  <c r="DR28" i="47"/>
  <c r="DQ28" i="47"/>
  <c r="DP28" i="47"/>
  <c r="DO28" i="47"/>
  <c r="DM28" i="47"/>
  <c r="DL28" i="47"/>
  <c r="DK28" i="47"/>
  <c r="CY28" i="47"/>
  <c r="CX28" i="47"/>
  <c r="CW28" i="47"/>
  <c r="CV28" i="47"/>
  <c r="CU28" i="47"/>
  <c r="CT28" i="47"/>
  <c r="CS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DZ27" i="47"/>
  <c r="DY27" i="47"/>
  <c r="DX27" i="47"/>
  <c r="DV27" i="47"/>
  <c r="DU27" i="47"/>
  <c r="DT27" i="47"/>
  <c r="DS27" i="47"/>
  <c r="DR27" i="47"/>
  <c r="DQ27" i="47"/>
  <c r="CU27" i="47"/>
  <c r="CT27" i="47"/>
  <c r="CS27" i="47"/>
  <c r="CQ27" i="47"/>
  <c r="CP27" i="47"/>
  <c r="CO27" i="47"/>
  <c r="CN27" i="47"/>
  <c r="CM27" i="47"/>
  <c r="CL27" i="47"/>
  <c r="EC26" i="47"/>
  <c r="EB26" i="47"/>
  <c r="DZ26" i="47"/>
  <c r="DY26" i="47"/>
  <c r="DX26" i="47"/>
  <c r="DV26" i="47"/>
  <c r="DU26" i="47"/>
  <c r="DT26" i="47"/>
  <c r="DS26" i="47"/>
  <c r="DR26" i="47"/>
  <c r="DQ26" i="47"/>
  <c r="CY26" i="47"/>
  <c r="CX26" i="47"/>
  <c r="CW26" i="47"/>
  <c r="CV26" i="47"/>
  <c r="CU26" i="47"/>
  <c r="CT26" i="47"/>
  <c r="CS26" i="47"/>
  <c r="CQ26" i="47"/>
  <c r="CP26" i="47"/>
  <c r="CO26" i="47"/>
  <c r="CN26" i="47"/>
  <c r="CM26" i="47"/>
  <c r="CL26" i="47"/>
  <c r="ED25" i="47"/>
  <c r="EC25" i="47"/>
  <c r="EB25" i="47"/>
  <c r="EA25" i="47"/>
  <c r="DZ25" i="47"/>
  <c r="DY25" i="47"/>
  <c r="DX25" i="47"/>
  <c r="DV25" i="47"/>
  <c r="DU25" i="47"/>
  <c r="DT25" i="47"/>
  <c r="DS25" i="47"/>
  <c r="DR25" i="47"/>
  <c r="DQ25" i="47"/>
  <c r="DP25" i="47"/>
  <c r="DO25" i="47"/>
  <c r="DM25" i="47"/>
  <c r="DL25" i="47"/>
  <c r="DK25" i="47"/>
  <c r="CY25" i="47"/>
  <c r="CX25" i="47"/>
  <c r="CW25" i="47"/>
  <c r="CV25" i="47"/>
  <c r="CU25" i="47"/>
  <c r="CT25" i="47"/>
  <c r="CS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ED24" i="47"/>
  <c r="EC24" i="47"/>
  <c r="EB24" i="47"/>
  <c r="EA24" i="47"/>
  <c r="DZ24" i="47"/>
  <c r="DY24" i="47"/>
  <c r="DX24" i="47"/>
  <c r="DV24" i="47"/>
  <c r="DU24" i="47"/>
  <c r="DT24" i="47"/>
  <c r="DS24" i="47"/>
  <c r="DR24" i="47"/>
  <c r="DQ24" i="47"/>
  <c r="DP24" i="47"/>
  <c r="CY24" i="47"/>
  <c r="CX24" i="47"/>
  <c r="CW24" i="47"/>
  <c r="CV24" i="47"/>
  <c r="CU24" i="47"/>
  <c r="CT24" i="47"/>
  <c r="CS24" i="47"/>
  <c r="CQ24" i="47"/>
  <c r="CP24" i="47"/>
  <c r="CO24" i="47"/>
  <c r="CN24" i="47"/>
  <c r="CM24" i="47"/>
  <c r="CL24" i="47"/>
  <c r="CK24" i="47"/>
  <c r="ED23" i="47"/>
  <c r="EC23" i="47"/>
  <c r="EB23" i="47"/>
  <c r="EA23" i="47"/>
  <c r="DZ23" i="47"/>
  <c r="DY23" i="47"/>
  <c r="DX23" i="47"/>
  <c r="DV23" i="47"/>
  <c r="DU23" i="47"/>
  <c r="DT23" i="47"/>
  <c r="DS23" i="47"/>
  <c r="DR23" i="47"/>
  <c r="DQ23" i="47"/>
  <c r="CY23" i="47"/>
  <c r="CX23" i="47"/>
  <c r="CW23" i="47"/>
  <c r="CV23" i="47"/>
  <c r="CU23" i="47"/>
  <c r="CT23" i="47"/>
  <c r="CS23" i="47"/>
  <c r="CQ23" i="47"/>
  <c r="CP23" i="47"/>
  <c r="CO23" i="47"/>
  <c r="CN23" i="47"/>
  <c r="CM23" i="47"/>
  <c r="CL23" i="47"/>
  <c r="DM22" i="47"/>
  <c r="DL22" i="47"/>
  <c r="DK22" i="47"/>
  <c r="CH22" i="47"/>
  <c r="CG22" i="47"/>
  <c r="CF22" i="47"/>
  <c r="EC21" i="47"/>
  <c r="EB21" i="47"/>
  <c r="EA21" i="47"/>
  <c r="DZ21" i="47"/>
  <c r="DT21" i="47"/>
  <c r="DS21" i="47"/>
  <c r="DR21" i="47"/>
  <c r="DQ21" i="47"/>
  <c r="DP21" i="47"/>
  <c r="DO21" i="47"/>
  <c r="DM21" i="47"/>
  <c r="DL21" i="47"/>
  <c r="CY21" i="47"/>
  <c r="CX21" i="47"/>
  <c r="CW21" i="47"/>
  <c r="CV21" i="47"/>
  <c r="CU21" i="47"/>
  <c r="CT21" i="47"/>
  <c r="CE21" i="47"/>
  <c r="ED20" i="47"/>
  <c r="EC20" i="47"/>
  <c r="EB20" i="47"/>
  <c r="EA20" i="47"/>
  <c r="DZ20" i="47"/>
  <c r="DY20" i="47"/>
  <c r="DX20" i="47"/>
  <c r="DV20" i="47"/>
  <c r="DU20" i="47"/>
  <c r="DT20" i="47"/>
  <c r="DS20" i="47"/>
  <c r="DR20" i="47"/>
  <c r="DQ20" i="47"/>
  <c r="DP20" i="47"/>
  <c r="CY20" i="47"/>
  <c r="CX20" i="47"/>
  <c r="CW20" i="47"/>
  <c r="CV20" i="47"/>
  <c r="CU20" i="47"/>
  <c r="CT20" i="47"/>
  <c r="CS20" i="47"/>
  <c r="CQ20" i="47"/>
  <c r="CP20" i="47"/>
  <c r="CO20" i="47"/>
  <c r="CN20" i="47"/>
  <c r="CM20" i="47"/>
  <c r="CL20" i="47"/>
  <c r="CK20" i="47"/>
  <c r="ED19" i="47"/>
  <c r="EC19" i="47"/>
  <c r="EB19" i="47"/>
  <c r="EA19" i="47"/>
  <c r="DZ19" i="47"/>
  <c r="DY19" i="47"/>
  <c r="DX19" i="47"/>
  <c r="DV19" i="47"/>
  <c r="DU19" i="47"/>
  <c r="DT19" i="47"/>
  <c r="DS19" i="47"/>
  <c r="DR19" i="47"/>
  <c r="DQ19" i="47"/>
  <c r="DP19" i="47"/>
  <c r="CY19" i="47"/>
  <c r="CX19" i="47"/>
  <c r="CW19" i="47"/>
  <c r="CV19" i="47"/>
  <c r="CU19" i="47"/>
  <c r="CT19" i="47"/>
  <c r="CS19" i="47"/>
  <c r="CQ19" i="47"/>
  <c r="CP19" i="47"/>
  <c r="CO19" i="47"/>
  <c r="CN19" i="47"/>
  <c r="CM19" i="47"/>
  <c r="CL19" i="47"/>
  <c r="CK19" i="47"/>
  <c r="ED18" i="47"/>
  <c r="EC18" i="47"/>
  <c r="EB18" i="47"/>
  <c r="EA18" i="47"/>
  <c r="DZ18" i="47"/>
  <c r="DY18" i="47"/>
  <c r="DX18" i="47"/>
  <c r="DV18" i="47"/>
  <c r="DU18" i="47"/>
  <c r="DT18" i="47"/>
  <c r="DS18" i="47"/>
  <c r="DR18" i="47"/>
  <c r="DQ18" i="47"/>
  <c r="DP18" i="47"/>
  <c r="CY18" i="47"/>
  <c r="CX18" i="47"/>
  <c r="CW18" i="47"/>
  <c r="CV18" i="47"/>
  <c r="CU18" i="47"/>
  <c r="CT18" i="47"/>
  <c r="CS18" i="47"/>
  <c r="CQ18" i="47"/>
  <c r="CP18" i="47"/>
  <c r="CO18" i="47"/>
  <c r="CN18" i="47"/>
  <c r="CM18" i="47"/>
  <c r="CL18" i="47"/>
  <c r="CK18" i="47"/>
  <c r="ED17" i="47"/>
  <c r="EC17" i="47"/>
  <c r="EB17" i="47"/>
  <c r="EA17" i="47"/>
  <c r="DZ17" i="47"/>
  <c r="DY17" i="47"/>
  <c r="DX17" i="47"/>
  <c r="DV17" i="47"/>
  <c r="DU17" i="47"/>
  <c r="DT17" i="47"/>
  <c r="DS17" i="47"/>
  <c r="DR17" i="47"/>
  <c r="DQ17" i="47"/>
  <c r="DP17" i="47"/>
  <c r="CY17" i="47"/>
  <c r="CX17" i="47"/>
  <c r="CW17" i="47"/>
  <c r="CV17" i="47"/>
  <c r="CU17" i="47"/>
  <c r="CT17" i="47"/>
  <c r="CS17" i="47"/>
  <c r="CQ17" i="47"/>
  <c r="CP17" i="47"/>
  <c r="CO17" i="47"/>
  <c r="CN17" i="47"/>
  <c r="CM17" i="47"/>
  <c r="CL17" i="47"/>
  <c r="CK17" i="47"/>
  <c r="ED16" i="47"/>
  <c r="EC16" i="47"/>
  <c r="EB16" i="47"/>
  <c r="EA16" i="47"/>
  <c r="DZ16" i="47"/>
  <c r="DY16" i="47"/>
  <c r="DX16" i="47"/>
  <c r="DV16" i="47"/>
  <c r="DU16" i="47"/>
  <c r="DT16" i="47"/>
  <c r="DS16" i="47"/>
  <c r="DR16" i="47"/>
  <c r="DQ16" i="47"/>
  <c r="DP16" i="47"/>
  <c r="CY16" i="47"/>
  <c r="CX16" i="47"/>
  <c r="CW16" i="47"/>
  <c r="CV16" i="47"/>
  <c r="CU16" i="47"/>
  <c r="CT16" i="47"/>
  <c r="CS16" i="47"/>
  <c r="CQ16" i="47"/>
  <c r="CP16" i="47"/>
  <c r="CO16" i="47"/>
  <c r="CN16" i="47"/>
  <c r="CM16" i="47"/>
  <c r="CL16" i="47"/>
  <c r="CK16" i="47"/>
  <c r="ED15" i="47"/>
  <c r="EC15" i="47"/>
  <c r="EB15" i="47"/>
  <c r="EA15" i="47"/>
  <c r="DZ15" i="47"/>
  <c r="DY15" i="47"/>
  <c r="DX15" i="47"/>
  <c r="DV15" i="47"/>
  <c r="DU15" i="47"/>
  <c r="DT15" i="47"/>
  <c r="DS15" i="47"/>
  <c r="DR15" i="47"/>
  <c r="DQ15" i="47"/>
  <c r="DP15" i="47"/>
  <c r="CY15" i="47"/>
  <c r="CX15" i="47"/>
  <c r="CW15" i="47"/>
  <c r="CV15" i="47"/>
  <c r="CU15" i="47"/>
  <c r="CT15" i="47"/>
  <c r="CS15" i="47"/>
  <c r="CQ15" i="47"/>
  <c r="CP15" i="47"/>
  <c r="CO15" i="47"/>
  <c r="CN15" i="47"/>
  <c r="CM15" i="47"/>
  <c r="CL15" i="47"/>
  <c r="CK15" i="47"/>
  <c r="ED14" i="47"/>
  <c r="EC14" i="47"/>
  <c r="EB14" i="47"/>
  <c r="EA14" i="47"/>
  <c r="DZ14" i="47"/>
  <c r="DY14" i="47"/>
  <c r="DX14" i="47"/>
  <c r="DV14" i="47"/>
  <c r="DU14" i="47"/>
  <c r="DT14" i="47"/>
  <c r="DS14" i="47"/>
  <c r="DR14" i="47"/>
  <c r="DQ14" i="47"/>
  <c r="DP14" i="47"/>
  <c r="CY14" i="47"/>
  <c r="CX14" i="47"/>
  <c r="CW14" i="47"/>
  <c r="CV14" i="47"/>
  <c r="CU14" i="47"/>
  <c r="CT14" i="47"/>
  <c r="CS14" i="47"/>
  <c r="CQ14" i="47"/>
  <c r="CP14" i="47"/>
  <c r="CO14" i="47"/>
  <c r="CN14" i="47"/>
  <c r="CM14" i="47"/>
  <c r="CL14" i="47"/>
  <c r="CK14" i="47"/>
  <c r="ED13" i="47"/>
  <c r="EC13" i="47"/>
  <c r="EB13" i="47"/>
  <c r="EA13" i="47"/>
  <c r="DZ13" i="47"/>
  <c r="DY13" i="47"/>
  <c r="DV13" i="47"/>
  <c r="DU13" i="47"/>
  <c r="DT13" i="47"/>
  <c r="DS13" i="47"/>
  <c r="DR13" i="47"/>
  <c r="DQ13" i="47"/>
  <c r="CW13" i="47"/>
  <c r="CV13" i="47"/>
  <c r="CT13" i="47"/>
  <c r="CQ13" i="47"/>
  <c r="CP13" i="47"/>
  <c r="CO13" i="47"/>
  <c r="CN13" i="47"/>
  <c r="CM13" i="47"/>
  <c r="CL13" i="47"/>
  <c r="CD177" i="46"/>
  <c r="CE177" i="46"/>
  <c r="CD176" i="46"/>
  <c r="CE176" i="46"/>
  <c r="CD175" i="46"/>
  <c r="CE175" i="46"/>
  <c r="CD174" i="46"/>
  <c r="CE174" i="46"/>
  <c r="CD173" i="46"/>
  <c r="CE173" i="46"/>
  <c r="CD172" i="46"/>
  <c r="CE172" i="46"/>
  <c r="CD171" i="46"/>
  <c r="CE171" i="46"/>
  <c r="CD170" i="46"/>
  <c r="CE170" i="46"/>
  <c r="CD169" i="46"/>
  <c r="CE169" i="46"/>
  <c r="CD168" i="46"/>
  <c r="CE168" i="46"/>
  <c r="AT162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N162" i="46"/>
  <c r="M162" i="46"/>
  <c r="L162" i="46"/>
  <c r="K162" i="46"/>
  <c r="J162" i="46"/>
  <c r="I162" i="46"/>
  <c r="H162" i="46"/>
  <c r="G162" i="46"/>
  <c r="W146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F146" i="46"/>
  <c r="E146" i="46"/>
  <c r="D146" i="46"/>
  <c r="AJ126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N126" i="46"/>
  <c r="M126" i="46"/>
  <c r="L126" i="46"/>
  <c r="J126" i="46"/>
  <c r="I126" i="46"/>
  <c r="H126" i="46"/>
  <c r="F126" i="46"/>
  <c r="E126" i="46"/>
  <c r="D126" i="46"/>
  <c r="C126" i="46"/>
  <c r="AH67" i="46"/>
  <c r="AG67" i="46"/>
  <c r="AF67" i="46"/>
  <c r="AE67" i="46"/>
  <c r="AD67" i="46"/>
  <c r="AB67" i="46"/>
  <c r="AA67" i="46"/>
  <c r="Z67" i="46"/>
  <c r="X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F67" i="46"/>
  <c r="E67" i="46"/>
  <c r="D67" i="46"/>
  <c r="CG168" i="45"/>
  <c r="CH168" i="45"/>
  <c r="Y167" i="45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CG166" i="45"/>
  <c r="CH166" i="45"/>
  <c r="CG165" i="45"/>
  <c r="CH165" i="45"/>
  <c r="CG164" i="45"/>
  <c r="CH164" i="45"/>
  <c r="Y163" i="45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CG162" i="45"/>
  <c r="CH162" i="45"/>
  <c r="CG161" i="45"/>
  <c r="CH161" i="45"/>
  <c r="CG160" i="45"/>
  <c r="CH160" i="45"/>
  <c r="AS138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G102" i="45"/>
  <c r="F102" i="45"/>
  <c r="E102" i="45"/>
  <c r="D102" i="45"/>
  <c r="C102" i="45"/>
  <c r="N38" i="45"/>
  <c r="M38" i="45"/>
  <c r="L38" i="45"/>
  <c r="K38" i="45"/>
  <c r="J38" i="45"/>
  <c r="I38" i="45"/>
  <c r="H38" i="45"/>
  <c r="G38" i="45"/>
  <c r="E38" i="45"/>
  <c r="D38" i="45"/>
  <c r="AV32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E32" i="45"/>
  <c r="D32" i="45"/>
  <c r="CH26" i="45"/>
  <c r="CI26" i="45"/>
  <c r="CH25" i="45"/>
  <c r="CI25" i="45"/>
  <c r="CH24" i="45"/>
  <c r="CI24" i="45"/>
  <c r="CH23" i="45"/>
  <c r="CI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CH21" i="45"/>
  <c r="CI21" i="45"/>
  <c r="CH20" i="45"/>
  <c r="CI20" i="45"/>
  <c r="CH19" i="45"/>
  <c r="CI19" i="45"/>
  <c r="CH18" i="45"/>
  <c r="CI18" i="45"/>
  <c r="CH17" i="45"/>
  <c r="CI17" i="45"/>
  <c r="CH16" i="45"/>
  <c r="CI16" i="45"/>
  <c r="CH15" i="45"/>
  <c r="CI15" i="45"/>
  <c r="CH14" i="45"/>
  <c r="CI14" i="45"/>
  <c r="CH13" i="45"/>
  <c r="CI13" i="45"/>
  <c r="CB212" i="48" l="1"/>
  <c r="Z212" i="48" s="1"/>
  <c r="CN212" i="48"/>
  <c r="CC118" i="48"/>
  <c r="CB118" i="48"/>
  <c r="CP118" i="48"/>
  <c r="CD118" i="48"/>
  <c r="CN118" i="48"/>
  <c r="CO118" i="48"/>
  <c r="CP117" i="48"/>
  <c r="CO117" i="48"/>
  <c r="CD117" i="48"/>
  <c r="CN117" i="48"/>
  <c r="CC117" i="48"/>
  <c r="CB117" i="48"/>
  <c r="C67" i="46"/>
  <c r="CP163" i="47"/>
  <c r="CQ163" i="47"/>
  <c r="CR163" i="47"/>
  <c r="CM163" i="47"/>
  <c r="CN165" i="47"/>
  <c r="CO165" i="47"/>
  <c r="CL165" i="47"/>
  <c r="CJ165" i="47"/>
  <c r="CL169" i="47"/>
  <c r="CJ169" i="47"/>
  <c r="CN169" i="47"/>
  <c r="CO169" i="47"/>
  <c r="CN173" i="47"/>
  <c r="CO173" i="47"/>
  <c r="CL173" i="47"/>
  <c r="CJ173" i="47"/>
  <c r="CL177" i="47"/>
  <c r="CJ177" i="47"/>
  <c r="CN177" i="47"/>
  <c r="CO177" i="47"/>
  <c r="CN181" i="47"/>
  <c r="CO181" i="47"/>
  <c r="CL181" i="47"/>
  <c r="CJ181" i="47"/>
  <c r="CL191" i="47"/>
  <c r="CN191" i="47"/>
  <c r="CO191" i="47"/>
  <c r="CO195" i="47"/>
  <c r="CN195" i="47"/>
  <c r="CL195" i="47"/>
  <c r="CN199" i="47"/>
  <c r="CO199" i="47"/>
  <c r="CL199" i="47"/>
  <c r="CO203" i="47"/>
  <c r="CN203" i="47"/>
  <c r="CL203" i="47"/>
  <c r="CN207" i="47"/>
  <c r="CO207" i="47"/>
  <c r="CL207" i="47"/>
  <c r="CF215" i="47"/>
  <c r="DK215" i="47"/>
  <c r="DI215" i="47"/>
  <c r="CC215" i="47"/>
  <c r="DH215" i="47"/>
  <c r="CE215" i="47"/>
  <c r="CD215" i="47"/>
  <c r="DJ215" i="47"/>
  <c r="DI219" i="47"/>
  <c r="CF219" i="47"/>
  <c r="DK219" i="47"/>
  <c r="DJ219" i="47"/>
  <c r="DH219" i="47"/>
  <c r="CE219" i="47"/>
  <c r="CD219" i="47"/>
  <c r="CC219" i="47"/>
  <c r="DI227" i="47"/>
  <c r="CF227" i="47"/>
  <c r="DH227" i="47"/>
  <c r="DJ227" i="47"/>
  <c r="DK227" i="47"/>
  <c r="CC227" i="47"/>
  <c r="CD227" i="47"/>
  <c r="CE227" i="47"/>
  <c r="DH231" i="47"/>
  <c r="CE231" i="47"/>
  <c r="DI231" i="47"/>
  <c r="CF231" i="47"/>
  <c r="CC231" i="47"/>
  <c r="CD231" i="47"/>
  <c r="DJ231" i="47"/>
  <c r="DK231" i="47"/>
  <c r="CL239" i="47"/>
  <c r="DQ239" i="47"/>
  <c r="DT239" i="47"/>
  <c r="CO239" i="47"/>
  <c r="DS239" i="47"/>
  <c r="CN239" i="47"/>
  <c r="DO239" i="47"/>
  <c r="CJ239" i="47"/>
  <c r="CN243" i="47"/>
  <c r="DT243" i="47"/>
  <c r="DS243" i="47"/>
  <c r="CJ243" i="47"/>
  <c r="DQ243" i="47"/>
  <c r="CO243" i="47"/>
  <c r="DO243" i="47"/>
  <c r="CL243" i="47"/>
  <c r="CL247" i="47"/>
  <c r="CJ247" i="47"/>
  <c r="DT247" i="47"/>
  <c r="DS247" i="47"/>
  <c r="DQ247" i="47"/>
  <c r="CO247" i="47"/>
  <c r="CN247" i="47"/>
  <c r="DO247" i="47"/>
  <c r="DT251" i="47"/>
  <c r="CL251" i="47"/>
  <c r="DS251" i="47"/>
  <c r="CJ251" i="47"/>
  <c r="DQ251" i="47"/>
  <c r="DO251" i="47"/>
  <c r="CO251" i="47"/>
  <c r="CN251" i="47"/>
  <c r="DT255" i="47"/>
  <c r="CL255" i="47"/>
  <c r="DS255" i="47"/>
  <c r="CJ255" i="47"/>
  <c r="DQ255" i="47"/>
  <c r="DO255" i="47"/>
  <c r="CO255" i="47"/>
  <c r="CN255" i="47"/>
  <c r="DT259" i="47"/>
  <c r="CL259" i="47"/>
  <c r="DS259" i="47"/>
  <c r="CJ259" i="47"/>
  <c r="DQ259" i="47"/>
  <c r="DO259" i="47"/>
  <c r="CO259" i="47"/>
  <c r="CN259" i="47"/>
  <c r="CO161" i="47"/>
  <c r="CJ161" i="47"/>
  <c r="CL161" i="47"/>
  <c r="CN161" i="47"/>
  <c r="CP165" i="47"/>
  <c r="CQ165" i="47"/>
  <c r="CR165" i="47"/>
  <c r="CM165" i="47"/>
  <c r="CR169" i="47"/>
  <c r="CM169" i="47"/>
  <c r="CP169" i="47"/>
  <c r="CQ169" i="47"/>
  <c r="CP173" i="47"/>
  <c r="CQ173" i="47"/>
  <c r="CR173" i="47"/>
  <c r="CM173" i="47"/>
  <c r="CR177" i="47"/>
  <c r="CM177" i="47"/>
  <c r="CP177" i="47"/>
  <c r="CQ177" i="47"/>
  <c r="CP181" i="47"/>
  <c r="CQ181" i="47"/>
  <c r="CR181" i="47"/>
  <c r="CM181" i="47"/>
  <c r="CM191" i="47"/>
  <c r="CR191" i="47"/>
  <c r="CQ191" i="47"/>
  <c r="CP191" i="47"/>
  <c r="CR195" i="47"/>
  <c r="CQ195" i="47"/>
  <c r="CP195" i="47"/>
  <c r="CM195" i="47"/>
  <c r="CR199" i="47"/>
  <c r="CQ199" i="47"/>
  <c r="CP199" i="47"/>
  <c r="CM199" i="47"/>
  <c r="CR203" i="47"/>
  <c r="CQ203" i="47"/>
  <c r="CP203" i="47"/>
  <c r="CM203" i="47"/>
  <c r="CR207" i="47"/>
  <c r="CM207" i="47"/>
  <c r="CQ207" i="47"/>
  <c r="CP207" i="47"/>
  <c r="CB215" i="47"/>
  <c r="DG215" i="47"/>
  <c r="CB219" i="47"/>
  <c r="DG219" i="47"/>
  <c r="CB227" i="47"/>
  <c r="DG227" i="47"/>
  <c r="CB231" i="47"/>
  <c r="DG231" i="47"/>
  <c r="DU239" i="47"/>
  <c r="DR239" i="47"/>
  <c r="CQ239" i="47"/>
  <c r="CB239" i="47"/>
  <c r="CP239" i="47"/>
  <c r="DW239" i="47"/>
  <c r="DV239" i="47"/>
  <c r="CR239" i="47"/>
  <c r="CM239" i="47"/>
  <c r="DG239" i="47"/>
  <c r="DV243" i="47"/>
  <c r="DU243" i="47"/>
  <c r="DG243" i="47"/>
  <c r="DR243" i="47"/>
  <c r="CR243" i="47"/>
  <c r="CP243" i="47"/>
  <c r="DW243" i="47"/>
  <c r="CM243" i="47"/>
  <c r="CQ243" i="47"/>
  <c r="CB243" i="47"/>
  <c r="DV247" i="47"/>
  <c r="DU247" i="47"/>
  <c r="DG247" i="47"/>
  <c r="CR247" i="47"/>
  <c r="CQ247" i="47"/>
  <c r="DR247" i="47"/>
  <c r="CP247" i="47"/>
  <c r="CB247" i="47"/>
  <c r="CM247" i="47"/>
  <c r="DW247" i="47"/>
  <c r="DR251" i="47"/>
  <c r="CR251" i="47"/>
  <c r="CQ251" i="47"/>
  <c r="CP251" i="47"/>
  <c r="CB251" i="47"/>
  <c r="DW251" i="47"/>
  <c r="DV251" i="47"/>
  <c r="CM251" i="47"/>
  <c r="DU251" i="47"/>
  <c r="DG251" i="47"/>
  <c r="DR255" i="47"/>
  <c r="CR255" i="47"/>
  <c r="CQ255" i="47"/>
  <c r="CP255" i="47"/>
  <c r="CB255" i="47"/>
  <c r="DW255" i="47"/>
  <c r="DU255" i="47"/>
  <c r="DG255" i="47"/>
  <c r="CM255" i="47"/>
  <c r="DV255" i="47"/>
  <c r="DR259" i="47"/>
  <c r="CR259" i="47"/>
  <c r="CQ259" i="47"/>
  <c r="CP259" i="47"/>
  <c r="CB259" i="47"/>
  <c r="DW259" i="47"/>
  <c r="DG259" i="47"/>
  <c r="DV259" i="47"/>
  <c r="CM259" i="47"/>
  <c r="DU259" i="47"/>
  <c r="DG161" i="47"/>
  <c r="CM161" i="47"/>
  <c r="CR161" i="47"/>
  <c r="CB161" i="47"/>
  <c r="CQ161" i="47"/>
  <c r="CP161" i="47"/>
  <c r="CL168" i="47"/>
  <c r="CJ168" i="47"/>
  <c r="CN168" i="47"/>
  <c r="CO168" i="47"/>
  <c r="CN172" i="47"/>
  <c r="CO172" i="47"/>
  <c r="CL172" i="47"/>
  <c r="CJ172" i="47"/>
  <c r="CJ176" i="47"/>
  <c r="CL176" i="47"/>
  <c r="CN176" i="47"/>
  <c r="CO176" i="47"/>
  <c r="CN180" i="47"/>
  <c r="CO180" i="47"/>
  <c r="CL180" i="47"/>
  <c r="CJ180" i="47"/>
  <c r="CO188" i="47"/>
  <c r="CN188" i="47"/>
  <c r="CL188" i="47"/>
  <c r="CN192" i="47"/>
  <c r="CL192" i="47"/>
  <c r="CO192" i="47"/>
  <c r="CO196" i="47"/>
  <c r="CN196" i="47"/>
  <c r="CL196" i="47"/>
  <c r="CO200" i="47"/>
  <c r="CL200" i="47"/>
  <c r="CN200" i="47"/>
  <c r="CO204" i="47"/>
  <c r="CN204" i="47"/>
  <c r="CL204" i="47"/>
  <c r="CO208" i="47"/>
  <c r="CL208" i="47"/>
  <c r="CN208" i="47"/>
  <c r="DH216" i="47"/>
  <c r="CF216" i="47"/>
  <c r="CE216" i="47"/>
  <c r="DK216" i="47"/>
  <c r="DJ216" i="47"/>
  <c r="DI216" i="47"/>
  <c r="CD216" i="47"/>
  <c r="CC216" i="47"/>
  <c r="CE220" i="47"/>
  <c r="DI220" i="47"/>
  <c r="DH220" i="47"/>
  <c r="CF220" i="47"/>
  <c r="CD220" i="47"/>
  <c r="CC220" i="47"/>
  <c r="DK220" i="47"/>
  <c r="DJ220" i="47"/>
  <c r="CD228" i="47"/>
  <c r="DH228" i="47"/>
  <c r="CE228" i="47"/>
  <c r="CF228" i="47"/>
  <c r="DI228" i="47"/>
  <c r="DJ228" i="47"/>
  <c r="DK228" i="47"/>
  <c r="CC228" i="47"/>
  <c r="DH232" i="47"/>
  <c r="CE232" i="47"/>
  <c r="DK232" i="47"/>
  <c r="DI232" i="47"/>
  <c r="DJ232" i="47"/>
  <c r="CC232" i="47"/>
  <c r="CD232" i="47"/>
  <c r="CF232" i="47"/>
  <c r="DT240" i="47"/>
  <c r="CJ240" i="47"/>
  <c r="DQ240" i="47"/>
  <c r="DO240" i="47"/>
  <c r="CO240" i="47"/>
  <c r="DS240" i="47"/>
  <c r="CN240" i="47"/>
  <c r="CL240" i="47"/>
  <c r="DT244" i="47"/>
  <c r="CL244" i="47"/>
  <c r="DS244" i="47"/>
  <c r="CJ244" i="47"/>
  <c r="DQ244" i="47"/>
  <c r="DO244" i="47"/>
  <c r="CO244" i="47"/>
  <c r="CN244" i="47"/>
  <c r="DO248" i="47"/>
  <c r="CN248" i="47"/>
  <c r="CL248" i="47"/>
  <c r="CJ248" i="47"/>
  <c r="DT248" i="47"/>
  <c r="DS248" i="47"/>
  <c r="CO248" i="47"/>
  <c r="DQ248" i="47"/>
  <c r="DQ252" i="47"/>
  <c r="DO252" i="47"/>
  <c r="CO252" i="47"/>
  <c r="CN252" i="47"/>
  <c r="CL252" i="47"/>
  <c r="CJ252" i="47"/>
  <c r="DT252" i="47"/>
  <c r="DS252" i="47"/>
  <c r="DQ256" i="47"/>
  <c r="DO256" i="47"/>
  <c r="CO256" i="47"/>
  <c r="CN256" i="47"/>
  <c r="CL256" i="47"/>
  <c r="CJ256" i="47"/>
  <c r="DT256" i="47"/>
  <c r="DS256" i="47"/>
  <c r="CJ163" i="47"/>
  <c r="CL163" i="47"/>
  <c r="CN163" i="47"/>
  <c r="CO163" i="47"/>
  <c r="CP174" i="47"/>
  <c r="CQ174" i="47"/>
  <c r="CR174" i="47"/>
  <c r="CM174" i="47"/>
  <c r="CP182" i="47"/>
  <c r="CQ182" i="47"/>
  <c r="CR182" i="47"/>
  <c r="CM182" i="47"/>
  <c r="CP194" i="47"/>
  <c r="CM194" i="47"/>
  <c r="CR194" i="47"/>
  <c r="CQ194" i="47"/>
  <c r="CM206" i="47"/>
  <c r="CR206" i="47"/>
  <c r="CQ206" i="47"/>
  <c r="CP206" i="47"/>
  <c r="CB218" i="47"/>
  <c r="DG218" i="47"/>
  <c r="DU238" i="47"/>
  <c r="DR238" i="47"/>
  <c r="CQ238" i="47"/>
  <c r="CB238" i="47"/>
  <c r="CP238" i="47"/>
  <c r="DG238" i="47"/>
  <c r="DW238" i="47"/>
  <c r="DV238" i="47"/>
  <c r="CR238" i="47"/>
  <c r="CM238" i="47"/>
  <c r="DV250" i="47"/>
  <c r="DU250" i="47"/>
  <c r="DG250" i="47"/>
  <c r="CM250" i="47"/>
  <c r="DR250" i="47"/>
  <c r="CR250" i="47"/>
  <c r="CQ250" i="47"/>
  <c r="CB250" i="47"/>
  <c r="CP250" i="47"/>
  <c r="DW250" i="47"/>
  <c r="CL162" i="47"/>
  <c r="CJ162" i="47"/>
  <c r="CN162" i="47"/>
  <c r="CO162" i="47"/>
  <c r="CO164" i="47"/>
  <c r="CL164" i="47"/>
  <c r="CJ164" i="47"/>
  <c r="CN164" i="47"/>
  <c r="CM168" i="47"/>
  <c r="CP168" i="47"/>
  <c r="CQ168" i="47"/>
  <c r="CR168" i="47"/>
  <c r="CM172" i="47"/>
  <c r="CP172" i="47"/>
  <c r="CQ172" i="47"/>
  <c r="CR172" i="47"/>
  <c r="CQ176" i="47"/>
  <c r="CR176" i="47"/>
  <c r="CM176" i="47"/>
  <c r="CP176" i="47"/>
  <c r="CM180" i="47"/>
  <c r="CP180" i="47"/>
  <c r="CQ180" i="47"/>
  <c r="CR180" i="47"/>
  <c r="CR188" i="47"/>
  <c r="CQ188" i="47"/>
  <c r="CP188" i="47"/>
  <c r="CM188" i="47"/>
  <c r="CM192" i="47"/>
  <c r="CR192" i="47"/>
  <c r="CQ192" i="47"/>
  <c r="CP192" i="47"/>
  <c r="CR196" i="47"/>
  <c r="CQ196" i="47"/>
  <c r="CP196" i="47"/>
  <c r="CM196" i="47"/>
  <c r="CM200" i="47"/>
  <c r="CR200" i="47"/>
  <c r="CQ200" i="47"/>
  <c r="CP200" i="47"/>
  <c r="CP204" i="47"/>
  <c r="CR204" i="47"/>
  <c r="CQ204" i="47"/>
  <c r="CM204" i="47"/>
  <c r="CR208" i="47"/>
  <c r="CQ208" i="47"/>
  <c r="CP208" i="47"/>
  <c r="CM208" i="47"/>
  <c r="CB216" i="47"/>
  <c r="DG216" i="47"/>
  <c r="CB220" i="47"/>
  <c r="DG220" i="47"/>
  <c r="DG228" i="47"/>
  <c r="CB228" i="47"/>
  <c r="CB232" i="47"/>
  <c r="DG232" i="47"/>
  <c r="CP240" i="47"/>
  <c r="CB240" i="47"/>
  <c r="DV240" i="47"/>
  <c r="CR240" i="47"/>
  <c r="DU240" i="47"/>
  <c r="CQ240" i="47"/>
  <c r="DR240" i="47"/>
  <c r="CM240" i="47"/>
  <c r="DG240" i="47"/>
  <c r="DW240" i="47"/>
  <c r="DR244" i="47"/>
  <c r="CR244" i="47"/>
  <c r="CQ244" i="47"/>
  <c r="CP244" i="47"/>
  <c r="CB244" i="47"/>
  <c r="DW244" i="47"/>
  <c r="DG244" i="47"/>
  <c r="DV244" i="47"/>
  <c r="CM244" i="47"/>
  <c r="DU244" i="47"/>
  <c r="DW248" i="47"/>
  <c r="CM248" i="47"/>
  <c r="DV248" i="47"/>
  <c r="DU248" i="47"/>
  <c r="DG248" i="47"/>
  <c r="CR248" i="47"/>
  <c r="CQ248" i="47"/>
  <c r="CP248" i="47"/>
  <c r="DR248" i="47"/>
  <c r="CB248" i="47"/>
  <c r="DR252" i="47"/>
  <c r="CR252" i="47"/>
  <c r="CQ252" i="47"/>
  <c r="CP252" i="47"/>
  <c r="CB252" i="47"/>
  <c r="DW252" i="47"/>
  <c r="DV252" i="47"/>
  <c r="DU252" i="47"/>
  <c r="DG252" i="47"/>
  <c r="CM252" i="47"/>
  <c r="DR256" i="47"/>
  <c r="CR256" i="47"/>
  <c r="CQ256" i="47"/>
  <c r="CP256" i="47"/>
  <c r="CB256" i="47"/>
  <c r="DW256" i="47"/>
  <c r="DV256" i="47"/>
  <c r="DU256" i="47"/>
  <c r="DG256" i="47"/>
  <c r="CM256" i="47"/>
  <c r="CM178" i="47"/>
  <c r="CP178" i="47"/>
  <c r="CQ178" i="47"/>
  <c r="CR178" i="47"/>
  <c r="CQ202" i="47"/>
  <c r="CM202" i="47"/>
  <c r="CR202" i="47"/>
  <c r="CP202" i="47"/>
  <c r="DG226" i="47"/>
  <c r="CB226" i="47"/>
  <c r="CP242" i="47"/>
  <c r="CB242" i="47"/>
  <c r="DU242" i="47"/>
  <c r="DG242" i="47"/>
  <c r="CM242" i="47"/>
  <c r="DW242" i="47"/>
  <c r="DV242" i="47"/>
  <c r="CR242" i="47"/>
  <c r="CQ242" i="47"/>
  <c r="DR242" i="47"/>
  <c r="DV254" i="47"/>
  <c r="DU254" i="47"/>
  <c r="DG254" i="47"/>
  <c r="CM254" i="47"/>
  <c r="DR254" i="47"/>
  <c r="CR254" i="47"/>
  <c r="CQ254" i="47"/>
  <c r="CP254" i="47"/>
  <c r="DW254" i="47"/>
  <c r="CB254" i="47"/>
  <c r="CQ162" i="47"/>
  <c r="CR162" i="47"/>
  <c r="CM162" i="47"/>
  <c r="CP162" i="47"/>
  <c r="CP164" i="47"/>
  <c r="CQ164" i="47"/>
  <c r="CR164" i="47"/>
  <c r="CM164" i="47"/>
  <c r="CL167" i="47"/>
  <c r="CN167" i="47"/>
  <c r="CO167" i="47"/>
  <c r="CJ167" i="47"/>
  <c r="CL171" i="47"/>
  <c r="CN171" i="47"/>
  <c r="CO171" i="47"/>
  <c r="CJ171" i="47"/>
  <c r="CL175" i="47"/>
  <c r="CJ175" i="47"/>
  <c r="CO175" i="47"/>
  <c r="CN175" i="47"/>
  <c r="CL179" i="47"/>
  <c r="CN179" i="47"/>
  <c r="CO179" i="47"/>
  <c r="CJ179" i="47"/>
  <c r="CL183" i="47"/>
  <c r="CJ183" i="47"/>
  <c r="CN183" i="47"/>
  <c r="CO183" i="47"/>
  <c r="CO189" i="47"/>
  <c r="CN189" i="47"/>
  <c r="CL189" i="47"/>
  <c r="CO193" i="47"/>
  <c r="CN193" i="47"/>
  <c r="CL193" i="47"/>
  <c r="CL197" i="47"/>
  <c r="CO197" i="47"/>
  <c r="CN197" i="47"/>
  <c r="CL201" i="47"/>
  <c r="CO201" i="47"/>
  <c r="CN201" i="47"/>
  <c r="CL205" i="47"/>
  <c r="CO205" i="47"/>
  <c r="CN205" i="47"/>
  <c r="CL209" i="47"/>
  <c r="CN209" i="47"/>
  <c r="CO209" i="47"/>
  <c r="DK217" i="47"/>
  <c r="CD217" i="47"/>
  <c r="DH217" i="47"/>
  <c r="DI217" i="47"/>
  <c r="CF217" i="47"/>
  <c r="CE217" i="47"/>
  <c r="CC217" i="47"/>
  <c r="DJ217" i="47"/>
  <c r="CE221" i="47"/>
  <c r="DK221" i="47"/>
  <c r="CD221" i="47"/>
  <c r="DJ221" i="47"/>
  <c r="DI221" i="47"/>
  <c r="DH221" i="47"/>
  <c r="CF221" i="47"/>
  <c r="CC221" i="47"/>
  <c r="CD229" i="47"/>
  <c r="DJ229" i="47"/>
  <c r="DK229" i="47"/>
  <c r="CC229" i="47"/>
  <c r="CE229" i="47"/>
  <c r="CF229" i="47"/>
  <c r="DH229" i="47"/>
  <c r="DI229" i="47"/>
  <c r="CL237" i="47"/>
  <c r="DQ237" i="47"/>
  <c r="CJ237" i="47"/>
  <c r="DT237" i="47"/>
  <c r="CO237" i="47"/>
  <c r="DS237" i="47"/>
  <c r="DO237" i="47"/>
  <c r="CN237" i="47"/>
  <c r="CO241" i="47"/>
  <c r="CN241" i="47"/>
  <c r="CL241" i="47"/>
  <c r="CJ241" i="47"/>
  <c r="DT241" i="47"/>
  <c r="DS241" i="47"/>
  <c r="DQ241" i="47"/>
  <c r="DO241" i="47"/>
  <c r="DS245" i="47"/>
  <c r="DQ245" i="47"/>
  <c r="DO245" i="47"/>
  <c r="CO245" i="47"/>
  <c r="CN245" i="47"/>
  <c r="DT245" i="47"/>
  <c r="CL245" i="47"/>
  <c r="CJ245" i="47"/>
  <c r="DO249" i="47"/>
  <c r="CO249" i="47"/>
  <c r="CN249" i="47"/>
  <c r="DT249" i="47"/>
  <c r="CL249" i="47"/>
  <c r="DS249" i="47"/>
  <c r="CJ249" i="47"/>
  <c r="DQ249" i="47"/>
  <c r="DO253" i="47"/>
  <c r="CO253" i="47"/>
  <c r="CN253" i="47"/>
  <c r="DT253" i="47"/>
  <c r="CL253" i="47"/>
  <c r="DS253" i="47"/>
  <c r="CJ253" i="47"/>
  <c r="DQ253" i="47"/>
  <c r="DO257" i="47"/>
  <c r="CO257" i="47"/>
  <c r="CN257" i="47"/>
  <c r="DT257" i="47"/>
  <c r="CL257" i="47"/>
  <c r="DS257" i="47"/>
  <c r="CJ257" i="47"/>
  <c r="DQ257" i="47"/>
  <c r="CM167" i="47"/>
  <c r="CP167" i="47"/>
  <c r="CQ167" i="47"/>
  <c r="CR167" i="47"/>
  <c r="CM171" i="47"/>
  <c r="CP171" i="47"/>
  <c r="CQ171" i="47"/>
  <c r="CR171" i="47"/>
  <c r="CP175" i="47"/>
  <c r="CQ175" i="47"/>
  <c r="CR175" i="47"/>
  <c r="CM175" i="47"/>
  <c r="CM179" i="47"/>
  <c r="CP179" i="47"/>
  <c r="CQ179" i="47"/>
  <c r="CR179" i="47"/>
  <c r="CP183" i="47"/>
  <c r="CQ183" i="47"/>
  <c r="CR183" i="47"/>
  <c r="CM183" i="47"/>
  <c r="CR189" i="47"/>
  <c r="CQ189" i="47"/>
  <c r="CP189" i="47"/>
  <c r="CM189" i="47"/>
  <c r="CM193" i="47"/>
  <c r="CR193" i="47"/>
  <c r="CQ193" i="47"/>
  <c r="CP193" i="47"/>
  <c r="CQ197" i="47"/>
  <c r="CM197" i="47"/>
  <c r="CR197" i="47"/>
  <c r="CP197" i="47"/>
  <c r="CP201" i="47"/>
  <c r="CM201" i="47"/>
  <c r="CR201" i="47"/>
  <c r="CQ201" i="47"/>
  <c r="CQ205" i="47"/>
  <c r="CP205" i="47"/>
  <c r="CM205" i="47"/>
  <c r="CR205" i="47"/>
  <c r="CP209" i="47"/>
  <c r="CM209" i="47"/>
  <c r="CR209" i="47"/>
  <c r="CQ209" i="47"/>
  <c r="DG217" i="47"/>
  <c r="CB217" i="47"/>
  <c r="DG221" i="47"/>
  <c r="CB221" i="47"/>
  <c r="DG229" i="47"/>
  <c r="CB229" i="47"/>
  <c r="DU237" i="47"/>
  <c r="CB237" i="47"/>
  <c r="DR237" i="47"/>
  <c r="CQ237" i="47"/>
  <c r="CP237" i="47"/>
  <c r="DG237" i="47"/>
  <c r="DW237" i="47"/>
  <c r="DV237" i="47"/>
  <c r="CR237" i="47"/>
  <c r="CM237" i="47"/>
  <c r="DR241" i="47"/>
  <c r="CR241" i="47"/>
  <c r="DW241" i="47"/>
  <c r="DV241" i="47"/>
  <c r="DG241" i="47"/>
  <c r="DU241" i="47"/>
  <c r="CB241" i="47"/>
  <c r="CQ241" i="47"/>
  <c r="CP241" i="47"/>
  <c r="CM241" i="47"/>
  <c r="CR245" i="47"/>
  <c r="DR245" i="47"/>
  <c r="CQ245" i="47"/>
  <c r="CP245" i="47"/>
  <c r="CB245" i="47"/>
  <c r="DW245" i="47"/>
  <c r="DV245" i="47"/>
  <c r="CM245" i="47"/>
  <c r="DU245" i="47"/>
  <c r="DG245" i="47"/>
  <c r="CP249" i="47"/>
  <c r="CB249" i="47"/>
  <c r="DW249" i="47"/>
  <c r="DV249" i="47"/>
  <c r="DU249" i="47"/>
  <c r="DG249" i="47"/>
  <c r="CM249" i="47"/>
  <c r="CR249" i="47"/>
  <c r="CQ249" i="47"/>
  <c r="DR249" i="47"/>
  <c r="CP253" i="47"/>
  <c r="CB253" i="47"/>
  <c r="DW253" i="47"/>
  <c r="DV253" i="47"/>
  <c r="DU253" i="47"/>
  <c r="DG253" i="47"/>
  <c r="CM253" i="47"/>
  <c r="CQ253" i="47"/>
  <c r="DR253" i="47"/>
  <c r="CR253" i="47"/>
  <c r="CP257" i="47"/>
  <c r="CB257" i="47"/>
  <c r="DW257" i="47"/>
  <c r="DV257" i="47"/>
  <c r="DU257" i="47"/>
  <c r="DG257" i="47"/>
  <c r="CM257" i="47"/>
  <c r="CR257" i="47"/>
  <c r="CQ257" i="47"/>
  <c r="DR257" i="47"/>
  <c r="CM166" i="47"/>
  <c r="CP166" i="47"/>
  <c r="CR166" i="47"/>
  <c r="CQ166" i="47"/>
  <c r="CM170" i="47"/>
  <c r="CP170" i="47"/>
  <c r="CQ170" i="47"/>
  <c r="CR170" i="47"/>
  <c r="CR190" i="47"/>
  <c r="CQ190" i="47"/>
  <c r="CP190" i="47"/>
  <c r="CM190" i="47"/>
  <c r="CM198" i="47"/>
  <c r="CR198" i="47"/>
  <c r="CP198" i="47"/>
  <c r="CQ198" i="47"/>
  <c r="CQ210" i="47"/>
  <c r="CM210" i="47"/>
  <c r="CR210" i="47"/>
  <c r="CP210" i="47"/>
  <c r="CB230" i="47"/>
  <c r="DG230" i="47"/>
  <c r="CR246" i="47"/>
  <c r="CQ246" i="47"/>
  <c r="DR246" i="47"/>
  <c r="CP246" i="47"/>
  <c r="CB246" i="47"/>
  <c r="DW246" i="47"/>
  <c r="CM246" i="47"/>
  <c r="DG246" i="47"/>
  <c r="DU246" i="47"/>
  <c r="DV246" i="47"/>
  <c r="DV258" i="47"/>
  <c r="DU258" i="47"/>
  <c r="DG258" i="47"/>
  <c r="CM258" i="47"/>
  <c r="DR258" i="47"/>
  <c r="CR258" i="47"/>
  <c r="CQ258" i="47"/>
  <c r="CP258" i="47"/>
  <c r="DW258" i="47"/>
  <c r="CB258" i="47"/>
  <c r="CJ166" i="47"/>
  <c r="CN166" i="47"/>
  <c r="CO166" i="47"/>
  <c r="CL166" i="47"/>
  <c r="CL170" i="47"/>
  <c r="CN170" i="47"/>
  <c r="CO170" i="47"/>
  <c r="CJ170" i="47"/>
  <c r="CO174" i="47"/>
  <c r="CJ174" i="47"/>
  <c r="CL174" i="47"/>
  <c r="CN174" i="47"/>
  <c r="CL178" i="47"/>
  <c r="CN178" i="47"/>
  <c r="CO178" i="47"/>
  <c r="CJ178" i="47"/>
  <c r="CO182" i="47"/>
  <c r="CJ182" i="47"/>
  <c r="CL182" i="47"/>
  <c r="CN182" i="47"/>
  <c r="CL190" i="47"/>
  <c r="CO190" i="47"/>
  <c r="CN190" i="47"/>
  <c r="CO194" i="47"/>
  <c r="CN194" i="47"/>
  <c r="CL194" i="47"/>
  <c r="CO198" i="47"/>
  <c r="CN198" i="47"/>
  <c r="CL198" i="47"/>
  <c r="CN202" i="47"/>
  <c r="CO202" i="47"/>
  <c r="CL202" i="47"/>
  <c r="CO206" i="47"/>
  <c r="CN206" i="47"/>
  <c r="CL206" i="47"/>
  <c r="CN210" i="47"/>
  <c r="CO210" i="47"/>
  <c r="CL210" i="47"/>
  <c r="DK218" i="47"/>
  <c r="CD218" i="47"/>
  <c r="DJ218" i="47"/>
  <c r="CC218" i="47"/>
  <c r="CE218" i="47"/>
  <c r="DI218" i="47"/>
  <c r="DH218" i="47"/>
  <c r="CF218" i="47"/>
  <c r="CF226" i="47"/>
  <c r="DK226" i="47"/>
  <c r="CD226" i="47"/>
  <c r="DJ226" i="47"/>
  <c r="DI226" i="47"/>
  <c r="DH226" i="47"/>
  <c r="CE226" i="47"/>
  <c r="CC226" i="47"/>
  <c r="DJ230" i="47"/>
  <c r="CC230" i="47"/>
  <c r="DH230" i="47"/>
  <c r="DI230" i="47"/>
  <c r="DK230" i="47"/>
  <c r="CD230" i="47"/>
  <c r="CE230" i="47"/>
  <c r="CF230" i="47"/>
  <c r="CL238" i="47"/>
  <c r="DQ238" i="47"/>
  <c r="DT238" i="47"/>
  <c r="CO238" i="47"/>
  <c r="DS238" i="47"/>
  <c r="CN238" i="47"/>
  <c r="CJ238" i="47"/>
  <c r="DO238" i="47"/>
  <c r="DO242" i="47"/>
  <c r="DT242" i="47"/>
  <c r="CL242" i="47"/>
  <c r="DS242" i="47"/>
  <c r="CO242" i="47"/>
  <c r="DQ242" i="47"/>
  <c r="CN242" i="47"/>
  <c r="CJ242" i="47"/>
  <c r="DT246" i="47"/>
  <c r="DS246" i="47"/>
  <c r="DQ246" i="47"/>
  <c r="CO246" i="47"/>
  <c r="DO246" i="47"/>
  <c r="CN246" i="47"/>
  <c r="CL246" i="47"/>
  <c r="CJ246" i="47"/>
  <c r="CN250" i="47"/>
  <c r="DT250" i="47"/>
  <c r="CL250" i="47"/>
  <c r="DS250" i="47"/>
  <c r="CJ250" i="47"/>
  <c r="DQ250" i="47"/>
  <c r="CO250" i="47"/>
  <c r="DO250" i="47"/>
  <c r="CN254" i="47"/>
  <c r="DT254" i="47"/>
  <c r="CL254" i="47"/>
  <c r="DS254" i="47"/>
  <c r="CJ254" i="47"/>
  <c r="DQ254" i="47"/>
  <c r="CO254" i="47"/>
  <c r="DO254" i="47"/>
  <c r="CN258" i="47"/>
  <c r="DT258" i="47"/>
  <c r="CL258" i="47"/>
  <c r="DS258" i="47"/>
  <c r="CJ258" i="47"/>
  <c r="DQ258" i="47"/>
  <c r="CO258" i="47"/>
  <c r="DO258" i="47"/>
  <c r="CE21" i="46"/>
  <c r="CE13" i="46"/>
  <c r="CE52" i="46"/>
  <c r="CE36" i="46"/>
  <c r="CE29" i="46"/>
  <c r="CE44" i="46"/>
  <c r="CE60" i="46"/>
  <c r="CE64" i="46"/>
  <c r="CE12" i="46"/>
  <c r="AI12" i="46" s="1"/>
  <c r="CE20" i="46"/>
  <c r="CE28" i="46"/>
  <c r="CE35" i="46"/>
  <c r="CE43" i="46"/>
  <c r="CE51" i="46"/>
  <c r="CE59" i="46"/>
  <c r="CE63" i="46"/>
  <c r="CE37" i="46"/>
  <c r="CE30" i="46"/>
  <c r="CE65" i="46"/>
  <c r="CE14" i="46"/>
  <c r="CE22" i="46"/>
  <c r="CE45" i="46"/>
  <c r="CE53" i="46"/>
  <c r="F22" i="45"/>
  <c r="C215" i="48"/>
  <c r="CC138" i="46"/>
  <c r="CE138" i="46"/>
  <c r="CD138" i="46"/>
  <c r="CE17" i="46"/>
  <c r="CC20" i="46"/>
  <c r="CD20" i="46"/>
  <c r="CE25" i="46"/>
  <c r="CC28" i="46"/>
  <c r="CD28" i="46"/>
  <c r="CE33" i="46"/>
  <c r="CC35" i="46"/>
  <c r="CD35" i="46"/>
  <c r="CE40" i="46"/>
  <c r="CC43" i="46"/>
  <c r="CD43" i="46"/>
  <c r="CE48" i="46"/>
  <c r="CC51" i="46"/>
  <c r="CD51" i="46"/>
  <c r="CE56" i="46"/>
  <c r="CC59" i="46"/>
  <c r="CD59" i="46"/>
  <c r="CC63" i="46"/>
  <c r="CD63" i="46"/>
  <c r="CE131" i="46"/>
  <c r="CD131" i="46"/>
  <c r="CC131" i="46"/>
  <c r="CE139" i="46"/>
  <c r="CC139" i="46"/>
  <c r="CD139" i="46"/>
  <c r="CC25" i="46"/>
  <c r="CD25" i="46"/>
  <c r="CC31" i="46"/>
  <c r="CD31" i="46"/>
  <c r="CD66" i="46"/>
  <c r="CC66" i="46"/>
  <c r="CE15" i="46"/>
  <c r="CC18" i="46"/>
  <c r="CD18" i="46"/>
  <c r="CE23" i="46"/>
  <c r="CC26" i="46"/>
  <c r="CD26" i="46"/>
  <c r="CE31" i="46"/>
  <c r="CE38" i="46"/>
  <c r="CC41" i="46"/>
  <c r="CD41" i="46"/>
  <c r="CE46" i="46"/>
  <c r="CC49" i="46"/>
  <c r="CD49" i="46"/>
  <c r="CE54" i="46"/>
  <c r="CC57" i="46"/>
  <c r="CD57" i="46"/>
  <c r="CE61" i="46"/>
  <c r="CC62" i="46"/>
  <c r="CD62" i="46"/>
  <c r="CE66" i="46"/>
  <c r="CD133" i="46"/>
  <c r="CC133" i="46"/>
  <c r="CE133" i="46"/>
  <c r="CD141" i="46"/>
  <c r="CC141" i="46"/>
  <c r="CE141" i="46"/>
  <c r="CE167" i="46"/>
  <c r="CQ167" i="46"/>
  <c r="CC33" i="46"/>
  <c r="CD33" i="46"/>
  <c r="CC40" i="46"/>
  <c r="CD40" i="46"/>
  <c r="CC132" i="46"/>
  <c r="CD132" i="46"/>
  <c r="CE132" i="46"/>
  <c r="CD13" i="46"/>
  <c r="CC13" i="46"/>
  <c r="CE18" i="46"/>
  <c r="CD21" i="46"/>
  <c r="CC21" i="46"/>
  <c r="CE26" i="46"/>
  <c r="CD29" i="46"/>
  <c r="CC29" i="46"/>
  <c r="CC36" i="46"/>
  <c r="CD36" i="46"/>
  <c r="CE41" i="46"/>
  <c r="CD44" i="46"/>
  <c r="CC44" i="46"/>
  <c r="CE49" i="46"/>
  <c r="CD52" i="46"/>
  <c r="CC52" i="46"/>
  <c r="CE57" i="46"/>
  <c r="CC60" i="46"/>
  <c r="CD60" i="46"/>
  <c r="CE62" i="46"/>
  <c r="CD64" i="46"/>
  <c r="CC64" i="46"/>
  <c r="CE134" i="46"/>
  <c r="CC134" i="46"/>
  <c r="CD134" i="46"/>
  <c r="CE142" i="46"/>
  <c r="CD142" i="46"/>
  <c r="CC142" i="46"/>
  <c r="CF153" i="46"/>
  <c r="CC153" i="46"/>
  <c r="CD153" i="46"/>
  <c r="CE153" i="46"/>
  <c r="CS153" i="46"/>
  <c r="CG153" i="46"/>
  <c r="CD167" i="46"/>
  <c r="CP167" i="46"/>
  <c r="CC17" i="46"/>
  <c r="CD17" i="46"/>
  <c r="CC48" i="46"/>
  <c r="CD48" i="46"/>
  <c r="CD38" i="46"/>
  <c r="CC38" i="46"/>
  <c r="CD46" i="46"/>
  <c r="CC46" i="46"/>
  <c r="CC16" i="46"/>
  <c r="CD16" i="46"/>
  <c r="CD24" i="46"/>
  <c r="CC24" i="46"/>
  <c r="CC32" i="46"/>
  <c r="CD32" i="46"/>
  <c r="CC39" i="46"/>
  <c r="CD39" i="46"/>
  <c r="CD47" i="46"/>
  <c r="CC47" i="46"/>
  <c r="CC55" i="46"/>
  <c r="CD55" i="46"/>
  <c r="CC135" i="46"/>
  <c r="CD135" i="46"/>
  <c r="CE135" i="46"/>
  <c r="CC143" i="46"/>
  <c r="CD143" i="46"/>
  <c r="CE143" i="46"/>
  <c r="CC56" i="46"/>
  <c r="CD56" i="46"/>
  <c r="CN130" i="46"/>
  <c r="CC130" i="46"/>
  <c r="CE130" i="46"/>
  <c r="CD130" i="46"/>
  <c r="CE16" i="46"/>
  <c r="CD19" i="46"/>
  <c r="CC19" i="46"/>
  <c r="CE24" i="46"/>
  <c r="CD27" i="46"/>
  <c r="CC27" i="46"/>
  <c r="CE32" i="46"/>
  <c r="CD34" i="46"/>
  <c r="CC34" i="46"/>
  <c r="CE39" i="46"/>
  <c r="CC42" i="46"/>
  <c r="CD42" i="46"/>
  <c r="CE47" i="46"/>
  <c r="CD50" i="46"/>
  <c r="CC50" i="46"/>
  <c r="CE55" i="46"/>
  <c r="CD58" i="46"/>
  <c r="CC58" i="46"/>
  <c r="CC136" i="46"/>
  <c r="CE136" i="46"/>
  <c r="CD136" i="46"/>
  <c r="CD15" i="46"/>
  <c r="CC15" i="46"/>
  <c r="CD23" i="46"/>
  <c r="CC23" i="46"/>
  <c r="CC54" i="46"/>
  <c r="CD54" i="46"/>
  <c r="CD61" i="46"/>
  <c r="CC61" i="46"/>
  <c r="CC140" i="46"/>
  <c r="CD140" i="46"/>
  <c r="CE140" i="46"/>
  <c r="CC14" i="46"/>
  <c r="CD14" i="46"/>
  <c r="CE19" i="46"/>
  <c r="CC22" i="46"/>
  <c r="CD22" i="46"/>
  <c r="CE27" i="46"/>
  <c r="CC30" i="46"/>
  <c r="CD30" i="46"/>
  <c r="CE34" i="46"/>
  <c r="CC37" i="46"/>
  <c r="CD37" i="46"/>
  <c r="CE42" i="46"/>
  <c r="CC45" i="46"/>
  <c r="CD45" i="46"/>
  <c r="CE50" i="46"/>
  <c r="CC53" i="46"/>
  <c r="CD53" i="46"/>
  <c r="CE58" i="46"/>
  <c r="CC65" i="46"/>
  <c r="CD65" i="46"/>
  <c r="CC129" i="46"/>
  <c r="CD129" i="46"/>
  <c r="CE129" i="46"/>
  <c r="CN129" i="46"/>
  <c r="CD137" i="46"/>
  <c r="CE137" i="46"/>
  <c r="CC137" i="46"/>
  <c r="CO131" i="46"/>
  <c r="CN131" i="46"/>
  <c r="CO139" i="46"/>
  <c r="CN139" i="46"/>
  <c r="CO142" i="46"/>
  <c r="CN142" i="46"/>
  <c r="CO135" i="46"/>
  <c r="CN135" i="46"/>
  <c r="CN136" i="46"/>
  <c r="CO136" i="46"/>
  <c r="CN132" i="46"/>
  <c r="CO132" i="46"/>
  <c r="CN140" i="46"/>
  <c r="CO140" i="46"/>
  <c r="CO134" i="46"/>
  <c r="CN134" i="46"/>
  <c r="CN133" i="46"/>
  <c r="CO133" i="46"/>
  <c r="CN141" i="46"/>
  <c r="CO141" i="46"/>
  <c r="CO143" i="46"/>
  <c r="CN143" i="46"/>
  <c r="CN137" i="46"/>
  <c r="CO137" i="46"/>
  <c r="CO130" i="46"/>
  <c r="CN138" i="46"/>
  <c r="CO138" i="46"/>
  <c r="CB40" i="47"/>
  <c r="DG40" i="47"/>
  <c r="CB18" i="47"/>
  <c r="DG18" i="47"/>
  <c r="CB13" i="47"/>
  <c r="CC13" i="47"/>
  <c r="CE13" i="47"/>
  <c r="CD13" i="47"/>
  <c r="CO129" i="46"/>
  <c r="DU164" i="47"/>
  <c r="DU165" i="47"/>
  <c r="DU166" i="47"/>
  <c r="DU167" i="47"/>
  <c r="DU168" i="47"/>
  <c r="DU169" i="47"/>
  <c r="DU170" i="47"/>
  <c r="DU171" i="47"/>
  <c r="DU172" i="47"/>
  <c r="DU173" i="47"/>
  <c r="DU174" i="47"/>
  <c r="DU175" i="47"/>
  <c r="DU176" i="47"/>
  <c r="DU177" i="47"/>
  <c r="DU178" i="47"/>
  <c r="DU179" i="47"/>
  <c r="DU180" i="47"/>
  <c r="DU181" i="47"/>
  <c r="DU182" i="47"/>
  <c r="DU183" i="47"/>
  <c r="DU163" i="47"/>
  <c r="DU162" i="47"/>
  <c r="DU161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H88" i="47"/>
  <c r="DH115" i="47"/>
  <c r="CC115" i="47"/>
  <c r="CD115" i="47"/>
  <c r="CE115" i="47"/>
  <c r="CC27" i="47"/>
  <c r="CE27" i="47"/>
  <c r="CD27" i="47"/>
  <c r="DH27" i="47"/>
  <c r="CC36" i="47"/>
  <c r="CD36" i="47"/>
  <c r="CE36" i="47"/>
  <c r="CC40" i="47"/>
  <c r="CD40" i="47"/>
  <c r="CE40" i="47"/>
  <c r="CC49" i="47"/>
  <c r="CD49" i="47"/>
  <c r="CE49" i="47"/>
  <c r="DH49" i="47"/>
  <c r="CC110" i="47"/>
  <c r="CD110" i="47"/>
  <c r="CE110" i="47"/>
  <c r="DH110" i="47"/>
  <c r="DH137" i="47"/>
  <c r="CC137" i="47"/>
  <c r="CD137" i="47"/>
  <c r="CE137" i="47"/>
  <c r="CD22" i="47"/>
  <c r="CE22" i="47"/>
  <c r="DH22" i="47"/>
  <c r="CC22" i="47"/>
  <c r="CE35" i="47"/>
  <c r="CD35" i="47"/>
  <c r="CC35" i="47"/>
  <c r="CC39" i="47"/>
  <c r="CD39" i="47"/>
  <c r="CE39" i="47"/>
  <c r="CE43" i="47"/>
  <c r="CD43" i="47"/>
  <c r="CC43" i="47"/>
  <c r="CC44" i="47"/>
  <c r="DH44" i="47"/>
  <c r="CD44" i="47"/>
  <c r="CE44" i="47"/>
  <c r="CC45" i="47"/>
  <c r="CD45" i="47"/>
  <c r="CE45" i="47"/>
  <c r="CE71" i="47"/>
  <c r="DH71" i="47"/>
  <c r="CD71" i="47"/>
  <c r="CC71" i="47"/>
  <c r="CC132" i="47"/>
  <c r="DH132" i="47"/>
  <c r="CD132" i="47"/>
  <c r="CE13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H66" i="47"/>
  <c r="CC66" i="47"/>
  <c r="CD66" i="47"/>
  <c r="CE66" i="47"/>
  <c r="DH93" i="47"/>
  <c r="CC93" i="47"/>
  <c r="CD93" i="47"/>
  <c r="CE93" i="47"/>
  <c r="CB204" i="47"/>
  <c r="CJ189" i="47"/>
  <c r="DO189" i="47"/>
  <c r="DO193" i="47"/>
  <c r="CJ193" i="47"/>
  <c r="CJ197" i="47"/>
  <c r="DO197" i="47"/>
  <c r="DO201" i="47"/>
  <c r="CJ201" i="47"/>
  <c r="CJ205" i="47"/>
  <c r="DO205" i="47"/>
  <c r="DO209" i="47"/>
  <c r="CJ209" i="47"/>
  <c r="CB200" i="47"/>
  <c r="CB189" i="47"/>
  <c r="CB193" i="47"/>
  <c r="CB197" i="47"/>
  <c r="CB201" i="47"/>
  <c r="CB205" i="47"/>
  <c r="CB209" i="47"/>
  <c r="CJ190" i="47"/>
  <c r="DO190" i="47"/>
  <c r="DO194" i="47"/>
  <c r="CJ194" i="47"/>
  <c r="DO198" i="47"/>
  <c r="CJ198" i="47"/>
  <c r="CJ202" i="47"/>
  <c r="DO202" i="47"/>
  <c r="CJ206" i="47"/>
  <c r="DO206" i="47"/>
  <c r="CJ210" i="47"/>
  <c r="DO210" i="47"/>
  <c r="CB192" i="47"/>
  <c r="CB190" i="47"/>
  <c r="CB194" i="47"/>
  <c r="CB198" i="47"/>
  <c r="CB202" i="47"/>
  <c r="CB206" i="47"/>
  <c r="CB210" i="47"/>
  <c r="CB208" i="47"/>
  <c r="DO191" i="47"/>
  <c r="CJ191" i="47"/>
  <c r="CJ195" i="47"/>
  <c r="DO195" i="47"/>
  <c r="DO199" i="47"/>
  <c r="CJ199" i="47"/>
  <c r="DO203" i="47"/>
  <c r="CJ203" i="47"/>
  <c r="DO207" i="47"/>
  <c r="CJ207" i="47"/>
  <c r="CB196" i="47"/>
  <c r="CB191" i="47"/>
  <c r="CB195" i="47"/>
  <c r="CB199" i="47"/>
  <c r="CB203" i="47"/>
  <c r="CB207" i="47"/>
  <c r="CB188" i="47"/>
  <c r="CJ188" i="47"/>
  <c r="DO188" i="47"/>
  <c r="DO192" i="47"/>
  <c r="CJ192" i="47"/>
  <c r="DO196" i="47"/>
  <c r="CJ196" i="47"/>
  <c r="DO200" i="47"/>
  <c r="CJ200" i="47"/>
  <c r="DO204" i="47"/>
  <c r="CJ204" i="47"/>
  <c r="DO208" i="47"/>
  <c r="CJ208" i="47"/>
  <c r="CB174" i="47"/>
  <c r="DO174" i="47"/>
  <c r="CB175" i="47"/>
  <c r="DO175" i="47"/>
  <c r="CB176" i="47"/>
  <c r="DO176" i="47"/>
  <c r="CB177" i="47"/>
  <c r="DO177" i="47"/>
  <c r="CB178" i="47"/>
  <c r="DO178" i="47"/>
  <c r="CB179" i="47"/>
  <c r="DO179" i="47"/>
  <c r="DO180" i="47"/>
  <c r="CB180" i="47"/>
  <c r="DO181" i="47"/>
  <c r="CB181" i="47"/>
  <c r="CB182" i="47"/>
  <c r="DO182" i="47"/>
  <c r="CB183" i="47"/>
  <c r="DO183" i="47"/>
  <c r="CB173" i="47"/>
  <c r="DO173" i="47"/>
  <c r="CB165" i="47"/>
  <c r="CB166" i="47"/>
  <c r="CB167" i="47"/>
  <c r="CB168" i="47"/>
  <c r="CB169" i="47"/>
  <c r="DO164" i="47"/>
  <c r="DO165" i="47"/>
  <c r="DO166" i="47"/>
  <c r="DO167" i="47"/>
  <c r="DO168" i="47"/>
  <c r="DO169" i="47"/>
  <c r="CB163" i="47"/>
  <c r="CB162" i="47"/>
  <c r="CB164" i="47"/>
  <c r="DO172" i="47"/>
  <c r="DO171" i="47"/>
  <c r="DO170" i="47"/>
  <c r="CB172" i="47"/>
  <c r="CB171" i="47"/>
  <c r="CB170" i="47"/>
  <c r="DO163" i="47"/>
  <c r="DO162" i="47"/>
  <c r="DO161" i="47"/>
  <c r="CE138" i="47"/>
  <c r="DH138" i="47"/>
  <c r="CC138" i="47"/>
  <c r="CD138" i="47"/>
  <c r="CC139" i="47"/>
  <c r="CD139" i="47"/>
  <c r="DH139" i="47"/>
  <c r="CE139" i="47"/>
  <c r="DH140" i="47"/>
  <c r="CC140" i="47"/>
  <c r="CD140" i="47"/>
  <c r="CE140" i="47"/>
  <c r="CE134" i="47"/>
  <c r="DH134" i="47"/>
  <c r="CC134" i="47"/>
  <c r="CD134" i="47"/>
  <c r="CC133" i="47"/>
  <c r="CD133" i="47"/>
  <c r="DH133" i="47"/>
  <c r="CE133" i="47"/>
  <c r="CC135" i="47"/>
  <c r="CD135" i="47"/>
  <c r="CE135" i="47"/>
  <c r="DH135" i="47"/>
  <c r="CC136" i="47"/>
  <c r="DH136" i="47"/>
  <c r="CD136" i="47"/>
  <c r="CE136" i="47"/>
  <c r="CC125" i="47"/>
  <c r="CD125" i="47"/>
  <c r="DH125" i="47"/>
  <c r="CE125" i="47"/>
  <c r="CD129" i="47"/>
  <c r="CE129" i="47"/>
  <c r="CC129" i="47"/>
  <c r="DH129" i="47"/>
  <c r="CC124" i="47"/>
  <c r="DH124" i="47"/>
  <c r="CD124" i="47"/>
  <c r="CE124" i="47"/>
  <c r="DH128" i="47"/>
  <c r="CC128" i="47"/>
  <c r="CE128" i="47"/>
  <c r="CD128" i="47"/>
  <c r="DH123" i="47"/>
  <c r="CE123" i="47"/>
  <c r="CD123" i="47"/>
  <c r="CC123" i="47"/>
  <c r="CC127" i="47"/>
  <c r="DH127" i="47"/>
  <c r="CD127" i="47"/>
  <c r="CE127" i="47"/>
  <c r="CE131" i="47"/>
  <c r="CD131" i="47"/>
  <c r="CC131" i="47"/>
  <c r="DH131" i="47"/>
  <c r="CE126" i="47"/>
  <c r="DH126" i="47"/>
  <c r="CC126" i="47"/>
  <c r="CD126" i="47"/>
  <c r="CC130" i="47"/>
  <c r="CD130" i="47"/>
  <c r="CE130" i="47"/>
  <c r="DH130" i="47"/>
  <c r="CE116" i="47"/>
  <c r="CC116" i="47"/>
  <c r="CD116" i="47"/>
  <c r="DH116" i="47"/>
  <c r="CE117" i="47"/>
  <c r="CC117" i="47"/>
  <c r="CD117" i="47"/>
  <c r="DH117" i="47"/>
  <c r="CD118" i="47"/>
  <c r="CE118" i="47"/>
  <c r="CC118" i="47"/>
  <c r="DH118" i="47"/>
  <c r="CC111" i="47"/>
  <c r="CD111" i="47"/>
  <c r="DH111" i="47"/>
  <c r="CE111" i="47"/>
  <c r="DH113" i="47"/>
  <c r="CC113" i="47"/>
  <c r="CD113" i="47"/>
  <c r="CE113" i="47"/>
  <c r="DH114" i="47"/>
  <c r="CE114" i="47"/>
  <c r="CC114" i="47"/>
  <c r="CD114" i="47"/>
  <c r="CD112" i="47"/>
  <c r="CE112" i="47"/>
  <c r="CC112" i="47"/>
  <c r="DH112" i="47"/>
  <c r="DH102" i="47"/>
  <c r="CC102" i="47"/>
  <c r="CD102" i="47"/>
  <c r="CE102" i="47"/>
  <c r="CE106" i="47"/>
  <c r="DH106" i="47"/>
  <c r="CC106" i="47"/>
  <c r="CD106" i="47"/>
  <c r="DH101" i="47"/>
  <c r="CC101" i="47"/>
  <c r="CE101" i="47"/>
  <c r="CD101" i="47"/>
  <c r="CE105" i="47"/>
  <c r="CC105" i="47"/>
  <c r="DH105" i="47"/>
  <c r="CD105" i="47"/>
  <c r="CD109" i="47"/>
  <c r="CE109" i="47"/>
  <c r="CC109" i="47"/>
  <c r="DH109" i="47"/>
  <c r="CC104" i="47"/>
  <c r="CD104" i="47"/>
  <c r="CE104" i="47"/>
  <c r="DH104" i="47"/>
  <c r="CD108" i="47"/>
  <c r="CC108" i="47"/>
  <c r="CE108" i="47"/>
  <c r="DH108" i="47"/>
  <c r="DH103" i="47"/>
  <c r="CC103" i="47"/>
  <c r="CD103" i="47"/>
  <c r="CE103" i="47"/>
  <c r="DH107" i="47"/>
  <c r="CC107" i="47"/>
  <c r="CD107" i="47"/>
  <c r="CE107" i="47"/>
  <c r="DH94" i="47"/>
  <c r="CE94" i="47"/>
  <c r="CC94" i="47"/>
  <c r="CD94" i="47"/>
  <c r="CE95" i="47"/>
  <c r="DH95" i="47"/>
  <c r="CC95" i="47"/>
  <c r="CD95" i="47"/>
  <c r="CC96" i="47"/>
  <c r="DH96" i="47"/>
  <c r="CD96" i="47"/>
  <c r="CE96" i="47"/>
  <c r="CC89" i="47"/>
  <c r="CE89" i="47"/>
  <c r="CD89" i="47"/>
  <c r="DH89" i="47"/>
  <c r="CC91" i="47"/>
  <c r="CD91" i="47"/>
  <c r="DH91" i="47"/>
  <c r="CE91" i="47"/>
  <c r="CD92" i="47"/>
  <c r="CC92" i="47"/>
  <c r="CE92" i="47"/>
  <c r="DH92" i="47"/>
  <c r="CE90" i="47"/>
  <c r="CC90" i="47"/>
  <c r="CD90" i="47"/>
  <c r="DH90" i="47"/>
  <c r="CD79" i="47"/>
  <c r="CC79" i="47"/>
  <c r="CE79" i="47"/>
  <c r="DH79" i="47"/>
  <c r="DH83" i="47"/>
  <c r="CC83" i="47"/>
  <c r="CD83" i="47"/>
  <c r="CE83" i="47"/>
  <c r="CC87" i="47"/>
  <c r="DH87" i="47"/>
  <c r="CD87" i="47"/>
  <c r="CE87" i="47"/>
  <c r="CE82" i="47"/>
  <c r="CC82" i="47"/>
  <c r="CD82" i="47"/>
  <c r="DH82" i="47"/>
  <c r="CE86" i="47"/>
  <c r="CC86" i="47"/>
  <c r="CD86" i="47"/>
  <c r="DH86" i="47"/>
  <c r="CC81" i="47"/>
  <c r="CD81" i="47"/>
  <c r="CE81" i="47"/>
  <c r="DH81" i="47"/>
  <c r="CD85" i="47"/>
  <c r="CE85" i="47"/>
  <c r="DH85" i="47"/>
  <c r="CC85" i="47"/>
  <c r="CC80" i="47"/>
  <c r="DH80" i="47"/>
  <c r="CD80" i="47"/>
  <c r="CE80" i="47"/>
  <c r="DH84" i="47"/>
  <c r="CD84" i="47"/>
  <c r="CC84" i="47"/>
  <c r="CE84" i="47"/>
  <c r="CE72" i="47"/>
  <c r="CD72" i="47"/>
  <c r="DH72" i="47"/>
  <c r="CC72" i="47"/>
  <c r="CC73" i="47"/>
  <c r="CD73" i="47"/>
  <c r="CE73" i="47"/>
  <c r="DH73" i="47"/>
  <c r="DH74" i="47"/>
  <c r="CD74" i="47"/>
  <c r="CC74" i="47"/>
  <c r="CE74" i="47"/>
  <c r="CC69" i="47"/>
  <c r="CD69" i="47"/>
  <c r="CE69" i="47"/>
  <c r="DH69" i="47"/>
  <c r="DH70" i="47"/>
  <c r="CE70" i="47"/>
  <c r="CC70" i="47"/>
  <c r="CD70" i="47"/>
  <c r="CE68" i="47"/>
  <c r="CD68" i="47"/>
  <c r="CC68" i="47"/>
  <c r="DH68" i="47"/>
  <c r="DH67" i="47"/>
  <c r="CC67" i="47"/>
  <c r="CD67" i="47"/>
  <c r="CE67" i="47"/>
  <c r="CC60" i="47"/>
  <c r="DH60" i="47"/>
  <c r="CD60" i="47"/>
  <c r="CE60" i="47"/>
  <c r="CD64" i="47"/>
  <c r="CC64" i="47"/>
  <c r="DH64" i="47"/>
  <c r="CE64" i="47"/>
  <c r="CC59" i="47"/>
  <c r="CD59" i="47"/>
  <c r="CE59" i="47"/>
  <c r="DH59" i="47"/>
  <c r="CE63" i="47"/>
  <c r="DH63" i="47"/>
  <c r="CD63" i="47"/>
  <c r="CC63" i="47"/>
  <c r="CC58" i="47"/>
  <c r="CD58" i="47"/>
  <c r="CE58" i="47"/>
  <c r="DH58" i="47"/>
  <c r="CC62" i="47"/>
  <c r="CD62" i="47"/>
  <c r="DH62" i="47"/>
  <c r="CE62" i="47"/>
  <c r="CD57" i="47"/>
  <c r="CE57" i="47"/>
  <c r="CC57" i="47"/>
  <c r="DH57" i="47"/>
  <c r="CC61" i="47"/>
  <c r="CE61" i="47"/>
  <c r="CD61" i="47"/>
  <c r="DH61" i="47"/>
  <c r="DH65" i="47"/>
  <c r="CC65" i="47"/>
  <c r="CD65" i="47"/>
  <c r="CE65" i="47"/>
  <c r="DH52" i="47"/>
  <c r="DH51" i="47"/>
  <c r="DH50" i="47"/>
  <c r="DH48" i="47"/>
  <c r="DH47" i="47"/>
  <c r="DH46" i="47"/>
  <c r="DH45" i="47"/>
  <c r="DH43" i="47"/>
  <c r="CB42" i="47"/>
  <c r="DH42" i="47"/>
  <c r="DH41" i="47"/>
  <c r="DH40" i="47"/>
  <c r="DH38" i="47"/>
  <c r="DH39" i="47"/>
  <c r="DH37" i="47"/>
  <c r="DH36" i="47"/>
  <c r="DH35" i="47"/>
  <c r="CD28" i="47"/>
  <c r="DH28" i="47"/>
  <c r="CE28" i="47"/>
  <c r="CC28" i="47"/>
  <c r="DH29" i="47"/>
  <c r="CD29" i="47"/>
  <c r="CE29" i="47"/>
  <c r="CC29" i="47"/>
  <c r="CC30" i="47"/>
  <c r="DH30" i="47"/>
  <c r="CD30" i="47"/>
  <c r="CE30" i="47"/>
  <c r="CE24" i="47"/>
  <c r="CC24" i="47"/>
  <c r="DH24" i="47"/>
  <c r="CD24" i="47"/>
  <c r="DH23" i="47"/>
  <c r="CE23" i="47"/>
  <c r="CC23" i="47"/>
  <c r="CD23" i="47"/>
  <c r="CC25" i="47"/>
  <c r="CE25" i="47"/>
  <c r="DH25" i="47"/>
  <c r="CD25" i="47"/>
  <c r="DH26" i="47"/>
  <c r="CC26" i="47"/>
  <c r="CD26" i="47"/>
  <c r="CE26" i="47"/>
  <c r="CD16" i="47"/>
  <c r="CE16" i="47"/>
  <c r="DH16" i="47"/>
  <c r="CC16" i="47"/>
  <c r="CE15" i="47"/>
  <c r="CC15" i="47"/>
  <c r="CD15" i="47"/>
  <c r="DH15" i="47"/>
  <c r="DH19" i="47"/>
  <c r="CD19" i="47"/>
  <c r="CC19" i="47"/>
  <c r="CE19" i="47"/>
  <c r="CE20" i="47"/>
  <c r="CC20" i="47"/>
  <c r="CD20" i="47"/>
  <c r="DH20" i="47"/>
  <c r="CC14" i="47"/>
  <c r="DH14" i="47"/>
  <c r="CD14" i="47"/>
  <c r="CE14" i="47"/>
  <c r="DH18" i="47"/>
  <c r="CD18" i="47"/>
  <c r="CE18" i="47"/>
  <c r="CC18" i="47"/>
  <c r="CE17" i="47"/>
  <c r="CC17" i="47"/>
  <c r="CD17" i="47"/>
  <c r="DH17" i="47"/>
  <c r="CD21" i="47"/>
  <c r="DH21" i="47"/>
  <c r="CC21" i="47"/>
  <c r="DH13" i="47"/>
  <c r="CL67" i="45"/>
  <c r="CM64" i="45"/>
  <c r="CS20" i="45"/>
  <c r="CQ175" i="46"/>
  <c r="DG188" i="47"/>
  <c r="DW188" i="47"/>
  <c r="DV188" i="47"/>
  <c r="DU188" i="47"/>
  <c r="DR188" i="47"/>
  <c r="DU204" i="47"/>
  <c r="DR204" i="47"/>
  <c r="DW204" i="47"/>
  <c r="DV204" i="47"/>
  <c r="DG204" i="47"/>
  <c r="CN214" i="48"/>
  <c r="CO74" i="48"/>
  <c r="CN74" i="48"/>
  <c r="DQ189" i="47"/>
  <c r="DT189" i="47"/>
  <c r="DS189" i="47"/>
  <c r="DT193" i="47"/>
  <c r="DS193" i="47"/>
  <c r="DQ193" i="47"/>
  <c r="DQ197" i="47"/>
  <c r="DT197" i="47"/>
  <c r="DS197" i="47"/>
  <c r="DT201" i="47"/>
  <c r="DS201" i="47"/>
  <c r="DQ201" i="47"/>
  <c r="DQ205" i="47"/>
  <c r="DT205" i="47"/>
  <c r="DS205" i="47"/>
  <c r="DQ209" i="47"/>
  <c r="DT209" i="47"/>
  <c r="DS209" i="47"/>
  <c r="CN213" i="48"/>
  <c r="CN191" i="48"/>
  <c r="DV208" i="47"/>
  <c r="DR208" i="47"/>
  <c r="DG208" i="47"/>
  <c r="DW208" i="47"/>
  <c r="DU208" i="47"/>
  <c r="CR21" i="45"/>
  <c r="CP168" i="46"/>
  <c r="CP172" i="46"/>
  <c r="CP176" i="46"/>
  <c r="DT190" i="47"/>
  <c r="DS190" i="47"/>
  <c r="DQ190" i="47"/>
  <c r="DT194" i="47"/>
  <c r="DS194" i="47"/>
  <c r="DQ194" i="47"/>
  <c r="DT198" i="47"/>
  <c r="DS198" i="47"/>
  <c r="DQ198" i="47"/>
  <c r="DT202" i="47"/>
  <c r="DS202" i="47"/>
  <c r="DQ202" i="47"/>
  <c r="DQ206" i="47"/>
  <c r="DS206" i="47"/>
  <c r="DT206" i="47"/>
  <c r="DQ210" i="47"/>
  <c r="DT210" i="47"/>
  <c r="DS210" i="47"/>
  <c r="CN204" i="48"/>
  <c r="CN189" i="48"/>
  <c r="CN67" i="48"/>
  <c r="CO67" i="48"/>
  <c r="CS16" i="45"/>
  <c r="CQ166" i="45"/>
  <c r="DR192" i="47"/>
  <c r="DW192" i="47"/>
  <c r="DG192" i="47"/>
  <c r="DV192" i="47"/>
  <c r="DU192" i="47"/>
  <c r="CS13" i="45"/>
  <c r="CQ168" i="46"/>
  <c r="DR197" i="47"/>
  <c r="DW197" i="47"/>
  <c r="DG197" i="47"/>
  <c r="DU197" i="47"/>
  <c r="DV197" i="47"/>
  <c r="DV209" i="47"/>
  <c r="DW209" i="47"/>
  <c r="DU209" i="47"/>
  <c r="DR209" i="47"/>
  <c r="DG209" i="47"/>
  <c r="CN205" i="48"/>
  <c r="CN190" i="48"/>
  <c r="CS14" i="45"/>
  <c r="CQ169" i="46"/>
  <c r="CQ177" i="46"/>
  <c r="DR190" i="47"/>
  <c r="DW190" i="47"/>
  <c r="DG190" i="47"/>
  <c r="DV190" i="47"/>
  <c r="DU190" i="47"/>
  <c r="DW194" i="47"/>
  <c r="DG194" i="47"/>
  <c r="DV194" i="47"/>
  <c r="DU194" i="47"/>
  <c r="DR194" i="47"/>
  <c r="DV198" i="47"/>
  <c r="DU198" i="47"/>
  <c r="DG198" i="47"/>
  <c r="DR198" i="47"/>
  <c r="DW198" i="47"/>
  <c r="DU202" i="47"/>
  <c r="DR202" i="47"/>
  <c r="DG202" i="47"/>
  <c r="DW202" i="47"/>
  <c r="DV202" i="47"/>
  <c r="DV206" i="47"/>
  <c r="DR206" i="47"/>
  <c r="DG206" i="47"/>
  <c r="DW206" i="47"/>
  <c r="DU206" i="47"/>
  <c r="DR210" i="47"/>
  <c r="DV210" i="47"/>
  <c r="DW210" i="47"/>
  <c r="DU210" i="47"/>
  <c r="DG210" i="47"/>
  <c r="CN203" i="48"/>
  <c r="CN66" i="48"/>
  <c r="CO66" i="48"/>
  <c r="CR24" i="45"/>
  <c r="CS17" i="45"/>
  <c r="CQ172" i="46"/>
  <c r="DR189" i="47"/>
  <c r="DG189" i="47"/>
  <c r="DW189" i="47"/>
  <c r="DV189" i="47"/>
  <c r="DU189" i="47"/>
  <c r="DV205" i="47"/>
  <c r="DW205" i="47"/>
  <c r="DU205" i="47"/>
  <c r="DR205" i="47"/>
  <c r="DG205" i="47"/>
  <c r="CR17" i="45"/>
  <c r="CS18" i="45"/>
  <c r="CR161" i="45"/>
  <c r="CQ173" i="46"/>
  <c r="CR14" i="45"/>
  <c r="CR18" i="45"/>
  <c r="CR26" i="45"/>
  <c r="CQ161" i="45"/>
  <c r="CR165" i="45"/>
  <c r="CQ168" i="45"/>
  <c r="CP169" i="46"/>
  <c r="CP173" i="46"/>
  <c r="CP177" i="46"/>
  <c r="DT191" i="47"/>
  <c r="DS191" i="47"/>
  <c r="DQ191" i="47"/>
  <c r="DT195" i="47"/>
  <c r="DQ195" i="47"/>
  <c r="DS195" i="47"/>
  <c r="DS199" i="47"/>
  <c r="DQ199" i="47"/>
  <c r="DT199" i="47"/>
  <c r="DT203" i="47"/>
  <c r="DS203" i="47"/>
  <c r="DQ203" i="47"/>
  <c r="DQ207" i="47"/>
  <c r="DT207" i="47"/>
  <c r="DS207" i="47"/>
  <c r="CN202" i="48"/>
  <c r="DW196" i="47"/>
  <c r="DG196" i="47"/>
  <c r="DU196" i="47"/>
  <c r="DR196" i="47"/>
  <c r="DV196" i="47"/>
  <c r="CN192" i="48"/>
  <c r="CR20" i="45"/>
  <c r="CP175" i="46"/>
  <c r="CS25" i="45"/>
  <c r="DU201" i="47"/>
  <c r="DR201" i="47"/>
  <c r="DW201" i="47"/>
  <c r="DV201" i="47"/>
  <c r="DG201" i="47"/>
  <c r="CR13" i="45"/>
  <c r="CQ164" i="45"/>
  <c r="CS15" i="45"/>
  <c r="CS19" i="45"/>
  <c r="CS23" i="45"/>
  <c r="CR162" i="45"/>
  <c r="CQ165" i="45"/>
  <c r="CQ170" i="46"/>
  <c r="CQ174" i="46"/>
  <c r="DR191" i="47"/>
  <c r="DG191" i="47"/>
  <c r="DW191" i="47"/>
  <c r="DV191" i="47"/>
  <c r="DU191" i="47"/>
  <c r="DW195" i="47"/>
  <c r="DG195" i="47"/>
  <c r="DV195" i="47"/>
  <c r="DU195" i="47"/>
  <c r="DR195" i="47"/>
  <c r="DR199" i="47"/>
  <c r="DW199" i="47"/>
  <c r="DG199" i="47"/>
  <c r="DU199" i="47"/>
  <c r="DV199" i="47"/>
  <c r="DU203" i="47"/>
  <c r="DR203" i="47"/>
  <c r="DW203" i="47"/>
  <c r="DV203" i="47"/>
  <c r="DG203" i="47"/>
  <c r="DV207" i="47"/>
  <c r="DW207" i="47"/>
  <c r="DU207" i="47"/>
  <c r="DR207" i="47"/>
  <c r="DG207" i="47"/>
  <c r="CN201" i="48"/>
  <c r="CN194" i="48"/>
  <c r="CN124" i="48"/>
  <c r="CN76" i="48"/>
  <c r="CO76" i="48"/>
  <c r="CS24" i="45"/>
  <c r="CQ171" i="46"/>
  <c r="DU200" i="47"/>
  <c r="DR200" i="47"/>
  <c r="DW200" i="47"/>
  <c r="DV200" i="47"/>
  <c r="DG200" i="47"/>
  <c r="CR16" i="45"/>
  <c r="CP171" i="46"/>
  <c r="CS21" i="45"/>
  <c r="CQ176" i="46"/>
  <c r="DR193" i="47"/>
  <c r="DG193" i="47"/>
  <c r="DW193" i="47"/>
  <c r="DV193" i="47"/>
  <c r="DU193" i="47"/>
  <c r="CN68" i="48"/>
  <c r="CO68" i="48"/>
  <c r="CR25" i="45"/>
  <c r="CR164" i="45"/>
  <c r="CS26" i="45"/>
  <c r="CR168" i="45"/>
  <c r="CR15" i="45"/>
  <c r="CR19" i="45"/>
  <c r="CR23" i="45"/>
  <c r="CQ162" i="45"/>
  <c r="CR166" i="45"/>
  <c r="CP170" i="46"/>
  <c r="CP174" i="46"/>
  <c r="DT188" i="47"/>
  <c r="DS188" i="47"/>
  <c r="DQ188" i="47"/>
  <c r="DT192" i="47"/>
  <c r="DS192" i="47"/>
  <c r="DQ192" i="47"/>
  <c r="DT196" i="47"/>
  <c r="DS196" i="47"/>
  <c r="DQ196" i="47"/>
  <c r="DT200" i="47"/>
  <c r="DS200" i="47"/>
  <c r="DQ200" i="47"/>
  <c r="DT204" i="47"/>
  <c r="DS204" i="47"/>
  <c r="DQ204" i="47"/>
  <c r="DQ208" i="47"/>
  <c r="DT208" i="47"/>
  <c r="DS208" i="47"/>
  <c r="CN193" i="48"/>
  <c r="CN123" i="48"/>
  <c r="CN75" i="48"/>
  <c r="CO75" i="48"/>
  <c r="CQ160" i="45"/>
  <c r="CR160" i="45"/>
  <c r="CN211" i="48"/>
  <c r="CN200" i="48"/>
  <c r="CN188" i="48"/>
  <c r="CO73" i="48"/>
  <c r="CN73" i="48"/>
  <c r="DR177" i="47"/>
  <c r="DG13" i="47"/>
  <c r="DT168" i="47"/>
  <c r="DS168" i="47"/>
  <c r="DT171" i="47"/>
  <c r="DS171" i="47"/>
  <c r="DT180" i="47"/>
  <c r="DS180" i="47"/>
  <c r="CO13" i="46"/>
  <c r="CO17" i="46"/>
  <c r="CN21" i="46"/>
  <c r="CO21" i="46"/>
  <c r="CO25" i="46"/>
  <c r="CO31" i="46"/>
  <c r="CO36" i="46"/>
  <c r="CN42" i="46"/>
  <c r="CO42" i="46"/>
  <c r="CO48" i="46"/>
  <c r="CO54" i="46"/>
  <c r="CO60" i="46"/>
  <c r="CP130" i="46"/>
  <c r="CP142" i="46"/>
  <c r="DS163" i="47"/>
  <c r="DT163" i="47"/>
  <c r="DT165" i="47"/>
  <c r="DS165" i="47"/>
  <c r="DS166" i="47"/>
  <c r="DT166" i="47"/>
  <c r="DR167" i="47"/>
  <c r="DW167" i="47"/>
  <c r="DV167" i="47"/>
  <c r="DR170" i="47"/>
  <c r="DW170" i="47"/>
  <c r="DV170" i="47"/>
  <c r="DW173" i="47"/>
  <c r="DV173" i="47"/>
  <c r="DG178" i="47"/>
  <c r="DW178" i="47"/>
  <c r="DV178" i="47"/>
  <c r="DG182" i="47"/>
  <c r="DW182" i="47"/>
  <c r="DV182" i="47"/>
  <c r="CN14" i="46"/>
  <c r="CO14" i="46"/>
  <c r="CO16" i="46"/>
  <c r="CN18" i="46"/>
  <c r="CO18" i="46"/>
  <c r="CO20" i="46"/>
  <c r="CO22" i="46"/>
  <c r="CN24" i="46"/>
  <c r="CO24" i="46"/>
  <c r="CO26" i="46"/>
  <c r="CO28" i="46"/>
  <c r="CN30" i="46"/>
  <c r="CO30" i="46"/>
  <c r="CO32" i="46"/>
  <c r="CN35" i="46"/>
  <c r="CO35" i="46"/>
  <c r="CO37" i="46"/>
  <c r="CO39" i="46"/>
  <c r="CN41" i="46"/>
  <c r="CO41" i="46"/>
  <c r="CO43" i="46"/>
  <c r="CO45" i="46"/>
  <c r="CO47" i="46"/>
  <c r="CO49" i="46"/>
  <c r="CO51" i="46"/>
  <c r="CO53" i="46"/>
  <c r="CO55" i="46"/>
  <c r="CO57" i="46"/>
  <c r="CO59" i="46"/>
  <c r="CO62" i="46"/>
  <c r="CO63" i="46"/>
  <c r="CO65" i="46"/>
  <c r="CP131" i="46"/>
  <c r="CP137" i="46"/>
  <c r="CP143" i="46"/>
  <c r="DQ161" i="47"/>
  <c r="DS161" i="47"/>
  <c r="DT161" i="47"/>
  <c r="DW163" i="47"/>
  <c r="DV163" i="47"/>
  <c r="DV165" i="47"/>
  <c r="DW165" i="47"/>
  <c r="DG166" i="47"/>
  <c r="DV166" i="47"/>
  <c r="DW166" i="47"/>
  <c r="DS169" i="47"/>
  <c r="DT169" i="47"/>
  <c r="DS172" i="47"/>
  <c r="DT172" i="47"/>
  <c r="DS181" i="47"/>
  <c r="DT181" i="47"/>
  <c r="CP139" i="46"/>
  <c r="DG176" i="47"/>
  <c r="DW176" i="47"/>
  <c r="DV176" i="47"/>
  <c r="DR176" i="47"/>
  <c r="DS179" i="47"/>
  <c r="DT179" i="47"/>
  <c r="CN15" i="46"/>
  <c r="CO15" i="46"/>
  <c r="CO23" i="46"/>
  <c r="CO29" i="46"/>
  <c r="CO34" i="46"/>
  <c r="CN40" i="46"/>
  <c r="CO40" i="46"/>
  <c r="CO46" i="46"/>
  <c r="CO50" i="46"/>
  <c r="CO56" i="46"/>
  <c r="CO61" i="46"/>
  <c r="CO64" i="46"/>
  <c r="CO66" i="46"/>
  <c r="CP140" i="46"/>
  <c r="CB37" i="47"/>
  <c r="CP136" i="46"/>
  <c r="CP132" i="46"/>
  <c r="CP138" i="46"/>
  <c r="CB16" i="47"/>
  <c r="DG37" i="47"/>
  <c r="CB64" i="47"/>
  <c r="AY64" i="47" s="1"/>
  <c r="DW161" i="47"/>
  <c r="DV161" i="47"/>
  <c r="DS164" i="47"/>
  <c r="DT164" i="47"/>
  <c r="DG169" i="47"/>
  <c r="DW169" i="47"/>
  <c r="DV169" i="47"/>
  <c r="DV172" i="47"/>
  <c r="DW172" i="47"/>
  <c r="DQ176" i="47"/>
  <c r="DS176" i="47"/>
  <c r="DT176" i="47"/>
  <c r="DW181" i="47"/>
  <c r="DV181" i="47"/>
  <c r="CL64" i="45"/>
  <c r="CP133" i="46"/>
  <c r="DT162" i="47"/>
  <c r="DS162" i="47"/>
  <c r="DR164" i="47"/>
  <c r="DW164" i="47"/>
  <c r="DV164" i="47"/>
  <c r="CO19" i="46"/>
  <c r="CN27" i="46"/>
  <c r="CO27" i="46"/>
  <c r="CN33" i="46"/>
  <c r="CO33" i="46"/>
  <c r="CN38" i="46"/>
  <c r="CO38" i="46"/>
  <c r="CO44" i="46"/>
  <c r="CO52" i="46"/>
  <c r="CO58" i="46"/>
  <c r="CP134" i="46"/>
  <c r="DV162" i="47"/>
  <c r="DW162" i="47"/>
  <c r="DV168" i="47"/>
  <c r="DW168" i="47"/>
  <c r="DW171" i="47"/>
  <c r="DV171" i="47"/>
  <c r="DT174" i="47"/>
  <c r="DS174" i="47"/>
  <c r="DS175" i="47"/>
  <c r="DT175" i="47"/>
  <c r="DT177" i="47"/>
  <c r="DS177" i="47"/>
  <c r="DR179" i="47"/>
  <c r="DW179" i="47"/>
  <c r="DV179" i="47"/>
  <c r="DW180" i="47"/>
  <c r="DV180" i="47"/>
  <c r="DT183" i="47"/>
  <c r="DS183" i="47"/>
  <c r="CB174" i="48"/>
  <c r="AQ174" i="48" s="1"/>
  <c r="CP135" i="46"/>
  <c r="CP141" i="46"/>
  <c r="DQ162" i="47"/>
  <c r="DS167" i="47"/>
  <c r="DT167" i="47"/>
  <c r="DS170" i="47"/>
  <c r="DT170" i="47"/>
  <c r="DS173" i="47"/>
  <c r="DT173" i="47"/>
  <c r="DR174" i="47"/>
  <c r="DV174" i="47"/>
  <c r="DW174" i="47"/>
  <c r="DW175" i="47"/>
  <c r="DV175" i="47"/>
  <c r="DW177" i="47"/>
  <c r="DV177" i="47"/>
  <c r="DQ178" i="47"/>
  <c r="DS178" i="47"/>
  <c r="DT178" i="47"/>
  <c r="DQ182" i="47"/>
  <c r="DS182" i="47"/>
  <c r="DT182" i="47"/>
  <c r="DV183" i="47"/>
  <c r="DW183" i="47"/>
  <c r="CL49" i="45"/>
  <c r="CP129" i="46"/>
  <c r="CC182" i="46"/>
  <c r="CP153" i="46"/>
  <c r="CQ153" i="46"/>
  <c r="CR153" i="46"/>
  <c r="CP44" i="46"/>
  <c r="CO153" i="46"/>
  <c r="E167" i="45"/>
  <c r="DG44" i="47"/>
  <c r="DJ44" i="47"/>
  <c r="DI44" i="47"/>
  <c r="DJ46" i="47"/>
  <c r="DI46" i="47"/>
  <c r="DJ47" i="47"/>
  <c r="DI47" i="47"/>
  <c r="DI52" i="47"/>
  <c r="DJ52" i="47"/>
  <c r="DJ65" i="47"/>
  <c r="DI65" i="47"/>
  <c r="DJ67" i="47"/>
  <c r="DI67" i="47"/>
  <c r="DJ71" i="47"/>
  <c r="DI71" i="47"/>
  <c r="DJ73" i="47"/>
  <c r="DI73" i="47"/>
  <c r="DR161" i="47"/>
  <c r="DR166" i="47"/>
  <c r="DR171" i="47"/>
  <c r="DR182" i="47"/>
  <c r="CP18" i="46"/>
  <c r="DJ17" i="47"/>
  <c r="DI17" i="47"/>
  <c r="DJ22" i="47"/>
  <c r="DI22" i="47"/>
  <c r="DI24" i="47"/>
  <c r="DJ24" i="47"/>
  <c r="DJ25" i="47"/>
  <c r="DI25" i="47"/>
  <c r="DJ30" i="47"/>
  <c r="DI30" i="47"/>
  <c r="DJ38" i="47"/>
  <c r="DI38" i="47"/>
  <c r="DJ39" i="47"/>
  <c r="DI39" i="47"/>
  <c r="DI40" i="47"/>
  <c r="DJ40" i="47"/>
  <c r="DJ41" i="47"/>
  <c r="DI41" i="47"/>
  <c r="DI42" i="47"/>
  <c r="DJ42" i="47"/>
  <c r="DJ88" i="47"/>
  <c r="DI88" i="47"/>
  <c r="DJ90" i="47"/>
  <c r="DI90" i="47"/>
  <c r="DG91" i="47"/>
  <c r="DJ91" i="47"/>
  <c r="DI91" i="47"/>
  <c r="DJ96" i="47"/>
  <c r="DI96" i="47"/>
  <c r="DJ104" i="47"/>
  <c r="DI104" i="47"/>
  <c r="DJ110" i="47"/>
  <c r="DI110" i="47"/>
  <c r="DJ112" i="47"/>
  <c r="DI112" i="47"/>
  <c r="DJ113" i="47"/>
  <c r="DI113" i="47"/>
  <c r="DJ118" i="47"/>
  <c r="DI118" i="47"/>
  <c r="DJ136" i="47"/>
  <c r="DI136" i="47"/>
  <c r="DJ138" i="47"/>
  <c r="DI138" i="47"/>
  <c r="DG172" i="47"/>
  <c r="B311" i="47"/>
  <c r="DI18" i="47"/>
  <c r="DJ18" i="47"/>
  <c r="DJ43" i="47"/>
  <c r="DI43" i="47"/>
  <c r="DJ45" i="47"/>
  <c r="DI45" i="47"/>
  <c r="DJ49" i="47"/>
  <c r="DI49" i="47"/>
  <c r="DJ51" i="47"/>
  <c r="DI51" i="47"/>
  <c r="DJ70" i="47"/>
  <c r="DI70" i="47"/>
  <c r="DJ72" i="47"/>
  <c r="DI72" i="47"/>
  <c r="DJ79" i="47"/>
  <c r="DI79" i="47"/>
  <c r="DJ80" i="47"/>
  <c r="DI80" i="47"/>
  <c r="DJ81" i="47"/>
  <c r="DI81" i="47"/>
  <c r="DJ105" i="47"/>
  <c r="DI105" i="47"/>
  <c r="DJ106" i="47"/>
  <c r="DI106" i="47"/>
  <c r="CP21" i="46"/>
  <c r="DJ19" i="47"/>
  <c r="DI19" i="47"/>
  <c r="DJ20" i="47"/>
  <c r="DI20" i="47"/>
  <c r="DJ21" i="47"/>
  <c r="DI21" i="47"/>
  <c r="DJ23" i="47"/>
  <c r="DI23" i="47"/>
  <c r="DJ27" i="47"/>
  <c r="DI27" i="47"/>
  <c r="DJ29" i="47"/>
  <c r="DI29" i="47"/>
  <c r="DJ82" i="47"/>
  <c r="DI82" i="47"/>
  <c r="DJ83" i="47"/>
  <c r="DI83" i="47"/>
  <c r="DJ84" i="47"/>
  <c r="DI84" i="47"/>
  <c r="DJ85" i="47"/>
  <c r="DI85" i="47"/>
  <c r="DJ86" i="47"/>
  <c r="DI86" i="47"/>
  <c r="DJ87" i="47"/>
  <c r="DI87" i="47"/>
  <c r="DJ89" i="47"/>
  <c r="DI89" i="47"/>
  <c r="DJ93" i="47"/>
  <c r="DI93" i="47"/>
  <c r="DJ95" i="47"/>
  <c r="DI95" i="47"/>
  <c r="DJ107" i="47"/>
  <c r="DI107" i="47"/>
  <c r="DJ108" i="47"/>
  <c r="DI108" i="47"/>
  <c r="DJ109" i="47"/>
  <c r="DI109" i="47"/>
  <c r="DJ111" i="47"/>
  <c r="DI111" i="47"/>
  <c r="DG115" i="47"/>
  <c r="DJ115" i="47"/>
  <c r="DI115" i="47"/>
  <c r="DJ117" i="47"/>
  <c r="DI117" i="47"/>
  <c r="DJ132" i="47"/>
  <c r="DI132" i="47"/>
  <c r="DJ134" i="47"/>
  <c r="DI134" i="47"/>
  <c r="DJ135" i="47"/>
  <c r="DI135" i="47"/>
  <c r="DJ140" i="47"/>
  <c r="DI140" i="47"/>
  <c r="DR178" i="47"/>
  <c r="DR183" i="47"/>
  <c r="CP41" i="46"/>
  <c r="DJ48" i="47"/>
  <c r="DI48" i="47"/>
  <c r="DJ50" i="47"/>
  <c r="DI50" i="47"/>
  <c r="DJ57" i="47"/>
  <c r="DI57" i="47"/>
  <c r="DJ58" i="47"/>
  <c r="DI58" i="47"/>
  <c r="DJ59" i="47"/>
  <c r="DI59" i="47"/>
  <c r="DJ60" i="47"/>
  <c r="DI60" i="47"/>
  <c r="DJ61" i="47"/>
  <c r="DI61" i="47"/>
  <c r="DI62" i="47"/>
  <c r="DJ62" i="47"/>
  <c r="DG66" i="47"/>
  <c r="DJ66" i="47"/>
  <c r="DI66" i="47"/>
  <c r="DI68" i="47"/>
  <c r="DJ68" i="47"/>
  <c r="DJ69" i="47"/>
  <c r="DI69" i="47"/>
  <c r="DI74" i="47"/>
  <c r="DJ74" i="47"/>
  <c r="DR172" i="47"/>
  <c r="D178" i="48"/>
  <c r="DJ13" i="47"/>
  <c r="DI13" i="47"/>
  <c r="DI14" i="47"/>
  <c r="DJ14" i="47"/>
  <c r="DJ15" i="47"/>
  <c r="DI15" i="47"/>
  <c r="DJ16" i="47"/>
  <c r="DI16" i="47"/>
  <c r="DI26" i="47"/>
  <c r="DJ26" i="47"/>
  <c r="DJ28" i="47"/>
  <c r="DI28" i="47"/>
  <c r="DJ35" i="47"/>
  <c r="DI35" i="47"/>
  <c r="DJ36" i="47"/>
  <c r="DI36" i="47"/>
  <c r="DJ37" i="47"/>
  <c r="DI37" i="47"/>
  <c r="DJ63" i="47"/>
  <c r="DI63" i="47"/>
  <c r="DJ64" i="47"/>
  <c r="DI64" i="47"/>
  <c r="DJ92" i="47"/>
  <c r="DI92" i="47"/>
  <c r="DJ94" i="47"/>
  <c r="DI94" i="47"/>
  <c r="DG101" i="47"/>
  <c r="DJ101" i="47"/>
  <c r="DI101" i="47"/>
  <c r="DJ102" i="47"/>
  <c r="DI102" i="47"/>
  <c r="DJ103" i="47"/>
  <c r="DI103" i="47"/>
  <c r="DJ114" i="47"/>
  <c r="DI114" i="47"/>
  <c r="DJ116" i="47"/>
  <c r="DI116" i="47"/>
  <c r="DJ123" i="47"/>
  <c r="DI123" i="47"/>
  <c r="DJ124" i="47"/>
  <c r="DI124" i="47"/>
  <c r="DJ125" i="47"/>
  <c r="DI125" i="47"/>
  <c r="DJ126" i="47"/>
  <c r="DI126" i="47"/>
  <c r="DJ127" i="47"/>
  <c r="DI127" i="47"/>
  <c r="DJ128" i="47"/>
  <c r="DI128" i="47"/>
  <c r="DJ129" i="47"/>
  <c r="DI129" i="47"/>
  <c r="DJ130" i="47"/>
  <c r="DI130" i="47"/>
  <c r="DJ131" i="47"/>
  <c r="DI131" i="47"/>
  <c r="DJ133" i="47"/>
  <c r="DI133" i="47"/>
  <c r="DJ137" i="47"/>
  <c r="DI137" i="47"/>
  <c r="DG139" i="47"/>
  <c r="DJ139" i="47"/>
  <c r="DI139" i="47"/>
  <c r="R156" i="47"/>
  <c r="DR173" i="47"/>
  <c r="CB172" i="48"/>
  <c r="AQ172" i="48" s="1"/>
  <c r="CB160" i="48"/>
  <c r="AQ160" i="48" s="1"/>
  <c r="CB154" i="48"/>
  <c r="AQ154" i="48" s="1"/>
  <c r="CB115" i="47"/>
  <c r="DG106" i="47"/>
  <c r="CB106" i="47"/>
  <c r="CB117" i="47"/>
  <c r="CB36" i="47"/>
  <c r="DG16" i="47"/>
  <c r="R154" i="47"/>
  <c r="R155" i="47"/>
  <c r="R145" i="47"/>
  <c r="R148" i="47"/>
  <c r="DG133" i="47"/>
  <c r="DG127" i="47"/>
  <c r="CB127" i="47"/>
  <c r="AY127" i="47" s="1"/>
  <c r="CB111" i="47"/>
  <c r="CB84" i="47"/>
  <c r="CB124" i="47"/>
  <c r="CB129" i="47"/>
  <c r="DQ163" i="47"/>
  <c r="DQ180" i="47"/>
  <c r="DG114" i="47"/>
  <c r="CB114" i="47"/>
  <c r="CB133" i="47"/>
  <c r="DR168" i="47"/>
  <c r="DR169" i="47"/>
  <c r="DR180" i="47"/>
  <c r="DR181" i="47"/>
  <c r="DG134" i="47"/>
  <c r="DR175" i="47"/>
  <c r="CB22" i="47"/>
  <c r="DG58" i="47"/>
  <c r="CB123" i="47"/>
  <c r="DG124" i="47"/>
  <c r="CB134" i="47"/>
  <c r="CB139" i="47"/>
  <c r="R147" i="47"/>
  <c r="DG168" i="47"/>
  <c r="DG180" i="47"/>
  <c r="DG128" i="47"/>
  <c r="DR165" i="47"/>
  <c r="DG174" i="47"/>
  <c r="DG138" i="47"/>
  <c r="CB130" i="47"/>
  <c r="DG130" i="47"/>
  <c r="CB138" i="47"/>
  <c r="AY138" i="47" s="1"/>
  <c r="R153" i="47"/>
  <c r="DG111" i="47"/>
  <c r="DG104" i="47"/>
  <c r="CB103" i="47"/>
  <c r="DG103" i="47"/>
  <c r="CB105" i="47"/>
  <c r="DG117" i="47"/>
  <c r="DG113" i="47"/>
  <c r="CB113" i="47"/>
  <c r="DG109" i="47"/>
  <c r="CB110" i="47"/>
  <c r="CB109" i="47"/>
  <c r="CB91" i="47"/>
  <c r="CB82" i="47"/>
  <c r="DG83" i="47"/>
  <c r="CB79" i="47"/>
  <c r="DG79" i="47"/>
  <c r="CB85" i="47"/>
  <c r="DG85" i="47"/>
  <c r="DG82" i="47"/>
  <c r="CB68" i="47"/>
  <c r="CB67" i="47"/>
  <c r="DG67" i="47"/>
  <c r="CB74" i="47"/>
  <c r="DG68" i="47"/>
  <c r="DG59" i="47"/>
  <c r="DG64" i="47"/>
  <c r="CB60" i="47"/>
  <c r="CB58" i="47"/>
  <c r="CB61" i="47"/>
  <c r="DG61" i="47"/>
  <c r="CB72" i="47"/>
  <c r="DG74" i="47"/>
  <c r="DG73" i="47"/>
  <c r="DG72" i="47"/>
  <c r="CB73" i="47"/>
  <c r="DG48" i="47"/>
  <c r="CB49" i="47"/>
  <c r="CB48" i="47"/>
  <c r="CB46" i="47"/>
  <c r="CB50" i="47"/>
  <c r="DG35" i="47"/>
  <c r="DG41" i="47"/>
  <c r="DG52" i="47"/>
  <c r="DG50" i="47"/>
  <c r="CB52" i="47"/>
  <c r="CB47" i="47"/>
  <c r="DG47" i="47"/>
  <c r="CB44" i="47"/>
  <c r="DG43" i="47"/>
  <c r="CB43" i="47"/>
  <c r="DG26" i="47"/>
  <c r="CB26" i="47"/>
  <c r="CB19" i="47"/>
  <c r="DG19" i="47"/>
  <c r="DG17" i="47"/>
  <c r="CB182" i="48"/>
  <c r="AQ182" i="48" s="1"/>
  <c r="CB177" i="48"/>
  <c r="AQ177" i="48" s="1"/>
  <c r="CB164" i="48"/>
  <c r="AQ164" i="48" s="1"/>
  <c r="CB165" i="48"/>
  <c r="AQ165" i="48" s="1"/>
  <c r="CB156" i="48"/>
  <c r="AQ156" i="48" s="1"/>
  <c r="CB153" i="48"/>
  <c r="AQ153" i="48" s="1"/>
  <c r="CB150" i="48"/>
  <c r="AQ150" i="48" s="1"/>
  <c r="CB161" i="48"/>
  <c r="AQ161" i="48" s="1"/>
  <c r="CB181" i="48"/>
  <c r="AQ181" i="48" s="1"/>
  <c r="CB170" i="48"/>
  <c r="AQ170" i="48" s="1"/>
  <c r="CB167" i="48"/>
  <c r="AQ167" i="48" s="1"/>
  <c r="CB175" i="48"/>
  <c r="AQ175" i="48" s="1"/>
  <c r="CB183" i="48"/>
  <c r="AQ183" i="48" s="1"/>
  <c r="CB180" i="48"/>
  <c r="AQ180" i="48" s="1"/>
  <c r="CB176" i="48"/>
  <c r="AQ176" i="48" s="1"/>
  <c r="CB166" i="48"/>
  <c r="AQ166" i="48" s="1"/>
  <c r="CB168" i="48"/>
  <c r="AQ168" i="48" s="1"/>
  <c r="CB171" i="48"/>
  <c r="AQ171" i="48" s="1"/>
  <c r="CB163" i="48"/>
  <c r="AQ163" i="48" s="1"/>
  <c r="CB155" i="48"/>
  <c r="AQ155" i="48" s="1"/>
  <c r="CB152" i="48"/>
  <c r="AQ152" i="48" s="1"/>
  <c r="CB179" i="48"/>
  <c r="AQ179" i="48" s="1"/>
  <c r="C195" i="48"/>
  <c r="CB169" i="48"/>
  <c r="AQ169" i="48" s="1"/>
  <c r="CB162" i="48"/>
  <c r="AQ162" i="48" s="1"/>
  <c r="E19" i="48"/>
  <c r="CB173" i="48"/>
  <c r="AQ173" i="48" s="1"/>
  <c r="E178" i="48"/>
  <c r="CB151" i="48"/>
  <c r="AQ151" i="48" s="1"/>
  <c r="CN23" i="46"/>
  <c r="CP33" i="46"/>
  <c r="CP64" i="46"/>
  <c r="CP56" i="46"/>
  <c r="CP28" i="46"/>
  <c r="CP37" i="46"/>
  <c r="CP38" i="46"/>
  <c r="CP62" i="46"/>
  <c r="CN20" i="46"/>
  <c r="CN39" i="46"/>
  <c r="CP50" i="46"/>
  <c r="CP35" i="46"/>
  <c r="CN37" i="46"/>
  <c r="CN45" i="46"/>
  <c r="CP47" i="46"/>
  <c r="CP43" i="46"/>
  <c r="CP15" i="46"/>
  <c r="O126" i="46"/>
  <c r="G126" i="46"/>
  <c r="CP45" i="46"/>
  <c r="CP25" i="46"/>
  <c r="CN26" i="46"/>
  <c r="CN51" i="46"/>
  <c r="CN52" i="46"/>
  <c r="CN58" i="46"/>
  <c r="CN65" i="46"/>
  <c r="CN66" i="46"/>
  <c r="CP29" i="46"/>
  <c r="F162" i="46"/>
  <c r="Y67" i="46"/>
  <c r="CP22" i="46"/>
  <c r="CN48" i="46"/>
  <c r="CN55" i="46"/>
  <c r="CN57" i="46"/>
  <c r="CN46" i="46"/>
  <c r="CN49" i="46"/>
  <c r="CN63" i="46"/>
  <c r="K126" i="46"/>
  <c r="F38" i="45"/>
  <c r="C32" i="45"/>
  <c r="E163" i="45"/>
  <c r="H32" i="45"/>
  <c r="E138" i="45"/>
  <c r="F163" i="45"/>
  <c r="F138" i="45"/>
  <c r="G32" i="45"/>
  <c r="F167" i="45"/>
  <c r="C38" i="45"/>
  <c r="CB158" i="48"/>
  <c r="AQ158" i="48" s="1"/>
  <c r="C206" i="48"/>
  <c r="CB157" i="48"/>
  <c r="AQ157" i="48" s="1"/>
  <c r="D19" i="48"/>
  <c r="CB159" i="48"/>
  <c r="AQ159" i="48" s="1"/>
  <c r="DG70" i="47"/>
  <c r="CB70" i="47"/>
  <c r="CB80" i="47"/>
  <c r="CB86" i="47"/>
  <c r="DG108" i="47"/>
  <c r="CB108" i="47"/>
  <c r="CB14" i="47"/>
  <c r="DG14" i="47"/>
  <c r="CB20" i="47"/>
  <c r="DG20" i="47"/>
  <c r="DG25" i="47"/>
  <c r="CB25" i="47"/>
  <c r="DG39" i="47"/>
  <c r="CB39" i="47"/>
  <c r="DG57" i="47"/>
  <c r="CB57" i="47"/>
  <c r="DG63" i="47"/>
  <c r="CB63" i="47"/>
  <c r="CB27" i="47"/>
  <c r="DG92" i="47"/>
  <c r="CB92" i="47"/>
  <c r="CB90" i="47"/>
  <c r="DG90" i="47"/>
  <c r="CB137" i="47"/>
  <c r="DG137" i="47"/>
  <c r="DQ164" i="47"/>
  <c r="DG164" i="47"/>
  <c r="DG28" i="47"/>
  <c r="CB28" i="47"/>
  <c r="DG80" i="47"/>
  <c r="CB24" i="47"/>
  <c r="DG24" i="47"/>
  <c r="CB38" i="47"/>
  <c r="AY38" i="47" s="1"/>
  <c r="DG38" i="47"/>
  <c r="DG45" i="47"/>
  <c r="CB45" i="47"/>
  <c r="DG51" i="47"/>
  <c r="CB51" i="47"/>
  <c r="CB62" i="47"/>
  <c r="DG62" i="47"/>
  <c r="CB66" i="47"/>
  <c r="CB88" i="47"/>
  <c r="CB89" i="47"/>
  <c r="DG89" i="47"/>
  <c r="DG15" i="47"/>
  <c r="CB15" i="47"/>
  <c r="DG21" i="47"/>
  <c r="CB21" i="47"/>
  <c r="DG27" i="47"/>
  <c r="DG86" i="47"/>
  <c r="DG30" i="47"/>
  <c r="DG81" i="47"/>
  <c r="CB81" i="47"/>
  <c r="CB87" i="47"/>
  <c r="DG87" i="47"/>
  <c r="DG88" i="47"/>
  <c r="CB93" i="47"/>
  <c r="AY93" i="47" s="1"/>
  <c r="DG93" i="47"/>
  <c r="DG116" i="47"/>
  <c r="CB116" i="47"/>
  <c r="AY116" i="47" s="1"/>
  <c r="CB17" i="47"/>
  <c r="CB23" i="47"/>
  <c r="DG23" i="47"/>
  <c r="CB29" i="47"/>
  <c r="DG29" i="47"/>
  <c r="CB35" i="47"/>
  <c r="DG36" i="47"/>
  <c r="CB41" i="47"/>
  <c r="AY41" i="47" s="1"/>
  <c r="DG42" i="47"/>
  <c r="DG46" i="47"/>
  <c r="DG49" i="47"/>
  <c r="CB59" i="47"/>
  <c r="DG60" i="47"/>
  <c r="CB65" i="47"/>
  <c r="DG65" i="47"/>
  <c r="CB69" i="47"/>
  <c r="DG69" i="47"/>
  <c r="CB71" i="47"/>
  <c r="CB83" i="47"/>
  <c r="DG84" i="47"/>
  <c r="DG112" i="47"/>
  <c r="CB112" i="47"/>
  <c r="DG126" i="47"/>
  <c r="CB126" i="47"/>
  <c r="AY126" i="47" s="1"/>
  <c r="DG135" i="47"/>
  <c r="CB135" i="47"/>
  <c r="DQ165" i="47"/>
  <c r="DG165" i="47"/>
  <c r="DG22" i="47"/>
  <c r="CB107" i="47"/>
  <c r="DG107" i="47"/>
  <c r="DR162" i="47"/>
  <c r="DQ170" i="47"/>
  <c r="DG170" i="47"/>
  <c r="DG71" i="47"/>
  <c r="DG118" i="47"/>
  <c r="CB118" i="47"/>
  <c r="AY118" i="47" s="1"/>
  <c r="CB125" i="47"/>
  <c r="DG125" i="47"/>
  <c r="DG131" i="47"/>
  <c r="CB131" i="47"/>
  <c r="DG95" i="47"/>
  <c r="CB95" i="47"/>
  <c r="CB101" i="47"/>
  <c r="DG102" i="47"/>
  <c r="CB102" i="47"/>
  <c r="CB140" i="47"/>
  <c r="DG140" i="47"/>
  <c r="DG162" i="47"/>
  <c r="DQ171" i="47"/>
  <c r="DG171" i="47"/>
  <c r="CB94" i="47"/>
  <c r="DG94" i="47"/>
  <c r="CB96" i="47"/>
  <c r="DG96" i="47"/>
  <c r="CB104" i="47"/>
  <c r="AY104" i="47" s="1"/>
  <c r="DG105" i="47"/>
  <c r="DG110" i="47"/>
  <c r="DG123" i="47"/>
  <c r="CB128" i="47"/>
  <c r="DG129" i="47"/>
  <c r="CB132" i="47"/>
  <c r="CB136" i="47"/>
  <c r="AY136" i="47" s="1"/>
  <c r="DG136" i="47"/>
  <c r="DQ166" i="47"/>
  <c r="DQ172" i="47"/>
  <c r="R146" i="47"/>
  <c r="DQ167" i="47"/>
  <c r="DQ173" i="47"/>
  <c r="DG132" i="47"/>
  <c r="DG163" i="47"/>
  <c r="DQ168" i="47"/>
  <c r="DQ174" i="47"/>
  <c r="R152" i="47"/>
  <c r="DR163" i="47"/>
  <c r="DG167" i="47"/>
  <c r="DQ169" i="47"/>
  <c r="DG173" i="47"/>
  <c r="DG175" i="47"/>
  <c r="DQ175" i="47"/>
  <c r="DG177" i="47"/>
  <c r="DQ177" i="47"/>
  <c r="DG179" i="47"/>
  <c r="DQ179" i="47"/>
  <c r="DG181" i="47"/>
  <c r="DQ181" i="47"/>
  <c r="DG183" i="47"/>
  <c r="DQ183" i="47"/>
  <c r="CN13" i="46"/>
  <c r="CP32" i="46"/>
  <c r="CP13" i="46"/>
  <c r="CP17" i="46"/>
  <c r="CN19" i="46"/>
  <c r="CP31" i="46"/>
  <c r="CP34" i="46"/>
  <c r="CN36" i="46"/>
  <c r="CP54" i="46"/>
  <c r="C146" i="46"/>
  <c r="CP16" i="46"/>
  <c r="CP20" i="46"/>
  <c r="CN22" i="46"/>
  <c r="CP24" i="46"/>
  <c r="CN29" i="46"/>
  <c r="CN44" i="46"/>
  <c r="E162" i="46"/>
  <c r="CN31" i="46"/>
  <c r="AC67" i="46"/>
  <c r="CN16" i="46"/>
  <c r="CN54" i="46"/>
  <c r="CP57" i="46"/>
  <c r="CP19" i="46"/>
  <c r="CP23" i="46"/>
  <c r="CN25" i="46"/>
  <c r="CP27" i="46"/>
  <c r="CN32" i="46"/>
  <c r="CP36" i="46"/>
  <c r="CP39" i="46"/>
  <c r="CP40" i="46"/>
  <c r="CN47" i="46"/>
  <c r="CN61" i="46"/>
  <c r="CP61" i="46"/>
  <c r="CN62" i="46"/>
  <c r="CP14" i="46"/>
  <c r="CP12" i="46"/>
  <c r="CN17" i="46"/>
  <c r="CP26" i="46"/>
  <c r="CN28" i="46"/>
  <c r="CP30" i="46"/>
  <c r="CN34" i="46"/>
  <c r="CP58" i="46"/>
  <c r="CP51" i="46"/>
  <c r="CN59" i="46"/>
  <c r="CP42" i="46"/>
  <c r="CP48" i="46"/>
  <c r="CP52" i="46"/>
  <c r="CN56" i="46"/>
  <c r="CP59" i="46"/>
  <c r="CN60" i="46"/>
  <c r="CP66" i="46"/>
  <c r="CP55" i="46"/>
  <c r="CN43" i="46"/>
  <c r="CP49" i="46"/>
  <c r="CN53" i="46"/>
  <c r="CP63" i="46"/>
  <c r="CP65" i="46"/>
  <c r="CN12" i="46"/>
  <c r="CP46" i="46"/>
  <c r="CN50" i="46"/>
  <c r="CP53" i="46"/>
  <c r="CP60" i="46"/>
  <c r="CN64" i="46"/>
  <c r="E22" i="45"/>
  <c r="CN17" i="48" l="1"/>
  <c r="CO17" i="48"/>
  <c r="CP17" i="48"/>
  <c r="CQ17" i="48"/>
  <c r="CQ16" i="48"/>
  <c r="CN16" i="48"/>
  <c r="CO16" i="48"/>
  <c r="CP16" i="48"/>
  <c r="CO18" i="48"/>
  <c r="CQ18" i="48"/>
  <c r="CN18" i="48"/>
  <c r="CP18" i="48"/>
  <c r="CQ22" i="48"/>
  <c r="CP22" i="48"/>
  <c r="CO22" i="48"/>
  <c r="CN22" i="48"/>
  <c r="CQ20" i="48"/>
  <c r="CP20" i="48"/>
  <c r="CO20" i="48"/>
  <c r="CN20" i="48"/>
  <c r="CN23" i="48"/>
  <c r="CQ23" i="48"/>
  <c r="CP23" i="48"/>
  <c r="CO23" i="48"/>
  <c r="CN15" i="48"/>
  <c r="CO15" i="48"/>
  <c r="CP15" i="48"/>
  <c r="CQ15" i="48"/>
  <c r="CN21" i="48"/>
  <c r="CP21" i="48"/>
  <c r="CQ21" i="48"/>
  <c r="CO21" i="48"/>
  <c r="CP24" i="48"/>
  <c r="CQ24" i="48"/>
  <c r="CO24" i="48"/>
  <c r="CN24" i="48"/>
  <c r="CB13" i="48"/>
  <c r="CE13" i="48"/>
  <c r="CC13" i="48"/>
  <c r="CD13" i="48"/>
  <c r="CQ13" i="48"/>
  <c r="CP13" i="48"/>
  <c r="CO13" i="48"/>
  <c r="CN13" i="48"/>
  <c r="CQ14" i="48"/>
  <c r="CN14" i="48"/>
  <c r="CP14" i="48"/>
  <c r="CO14" i="48"/>
  <c r="CB149" i="48"/>
  <c r="AQ149" i="48" s="1"/>
  <c r="CN149" i="48"/>
  <c r="AY80" i="47"/>
  <c r="AY85" i="47"/>
  <c r="AY133" i="47"/>
  <c r="AY111" i="47"/>
  <c r="AY135" i="47"/>
  <c r="AY108" i="47"/>
  <c r="AY50" i="47"/>
  <c r="AY113" i="47"/>
  <c r="AY114" i="47"/>
  <c r="AY71" i="47"/>
  <c r="AY87" i="47"/>
  <c r="AY51" i="47"/>
  <c r="AY90" i="47"/>
  <c r="AY131" i="47"/>
  <c r="AY81" i="47"/>
  <c r="AY92" i="47"/>
  <c r="AY46" i="47"/>
  <c r="AY72" i="47"/>
  <c r="AY74" i="47"/>
  <c r="AY79" i="47"/>
  <c r="AY36" i="47"/>
  <c r="AY69" i="47"/>
  <c r="AY140" i="47"/>
  <c r="AY89" i="47"/>
  <c r="AY45" i="47"/>
  <c r="AY86" i="47"/>
  <c r="AY117" i="47"/>
  <c r="AY129" i="47"/>
  <c r="AI28" i="46"/>
  <c r="AI24" i="46"/>
  <c r="CS151" i="46"/>
  <c r="CC151" i="46"/>
  <c r="B239" i="46"/>
  <c r="CG157" i="46"/>
  <c r="AY27" i="47"/>
  <c r="AY47" i="47"/>
  <c r="AY132" i="47"/>
  <c r="AY96" i="47"/>
  <c r="AY102" i="47"/>
  <c r="AY125" i="47"/>
  <c r="AY107" i="47"/>
  <c r="AY112" i="47"/>
  <c r="AY65" i="47"/>
  <c r="AY35" i="47"/>
  <c r="AY88" i="47"/>
  <c r="AY63" i="47"/>
  <c r="AY70" i="47"/>
  <c r="AY49" i="47"/>
  <c r="AY61" i="47"/>
  <c r="AY67" i="47"/>
  <c r="AY82" i="47"/>
  <c r="AY105" i="47"/>
  <c r="AY130" i="47"/>
  <c r="AY139" i="47"/>
  <c r="AY106" i="47"/>
  <c r="AY134" i="47"/>
  <c r="AY68" i="47"/>
  <c r="AY128" i="47"/>
  <c r="AY94" i="47"/>
  <c r="AY101" i="47"/>
  <c r="AY59" i="47"/>
  <c r="AY137" i="47"/>
  <c r="AY57" i="47"/>
  <c r="AY73" i="47"/>
  <c r="AY60" i="47"/>
  <c r="AY109" i="47"/>
  <c r="AY103" i="47"/>
  <c r="AY124" i="47"/>
  <c r="AY115" i="47"/>
  <c r="CC264" i="47"/>
  <c r="CB264" i="47"/>
  <c r="DG264" i="47"/>
  <c r="AY66" i="47"/>
  <c r="AY58" i="47"/>
  <c r="AY91" i="47"/>
  <c r="CB271" i="47"/>
  <c r="CC271" i="47"/>
  <c r="AY95" i="47"/>
  <c r="AY83" i="47"/>
  <c r="AY62" i="47"/>
  <c r="AY43" i="47"/>
  <c r="AY110" i="47"/>
  <c r="AY123" i="47"/>
  <c r="AY84" i="47"/>
  <c r="AY13" i="47"/>
  <c r="CB265" i="47"/>
  <c r="CC265" i="47"/>
  <c r="AY37" i="47"/>
  <c r="DG272" i="47"/>
  <c r="CB272" i="47"/>
  <c r="CC272" i="47"/>
  <c r="AY39" i="47"/>
  <c r="AY44" i="47"/>
  <c r="AY42" i="47"/>
  <c r="AY48" i="47"/>
  <c r="AY40" i="47"/>
  <c r="AY52" i="47"/>
  <c r="CM67" i="45"/>
  <c r="CL114" i="45"/>
  <c r="CM114" i="45"/>
  <c r="CC114" i="45"/>
  <c r="CB114" i="45"/>
  <c r="CD162" i="45"/>
  <c r="CC162" i="45"/>
  <c r="CB162" i="45"/>
  <c r="CF162" i="45"/>
  <c r="CE162" i="45"/>
  <c r="CC161" i="45"/>
  <c r="CB161" i="45"/>
  <c r="CF161" i="45"/>
  <c r="CE161" i="45"/>
  <c r="CD161" i="45"/>
  <c r="CB116" i="45"/>
  <c r="CC116" i="45"/>
  <c r="CF166" i="45"/>
  <c r="CE166" i="45"/>
  <c r="CB166" i="45"/>
  <c r="CD166" i="45"/>
  <c r="CC166" i="45"/>
  <c r="CB137" i="45"/>
  <c r="CC137" i="45"/>
  <c r="CF137" i="45"/>
  <c r="CD137" i="45"/>
  <c r="CE137" i="45"/>
  <c r="CC115" i="45"/>
  <c r="CB115" i="45"/>
  <c r="CF136" i="45"/>
  <c r="CB136" i="45"/>
  <c r="CC136" i="45"/>
  <c r="CD136" i="45"/>
  <c r="CE136" i="45"/>
  <c r="CP160" i="45"/>
  <c r="CB160" i="45"/>
  <c r="CE160" i="45"/>
  <c r="CF160" i="45"/>
  <c r="CM160" i="45"/>
  <c r="CD160" i="45"/>
  <c r="CL160" i="45"/>
  <c r="CC160" i="45"/>
  <c r="CE164" i="45"/>
  <c r="CD164" i="45"/>
  <c r="CC164" i="45"/>
  <c r="CB164" i="45"/>
  <c r="CF164" i="45"/>
  <c r="CD135" i="45"/>
  <c r="CC135" i="45"/>
  <c r="CB135" i="45"/>
  <c r="CL135" i="45"/>
  <c r="CF135" i="45"/>
  <c r="CE135" i="45"/>
  <c r="CF168" i="45"/>
  <c r="CC168" i="45"/>
  <c r="CE168" i="45"/>
  <c r="CD168" i="45"/>
  <c r="CB168" i="45"/>
  <c r="CF165" i="45"/>
  <c r="CE165" i="45"/>
  <c r="CD165" i="45"/>
  <c r="CC165" i="45"/>
  <c r="CB165" i="45"/>
  <c r="CG23" i="45"/>
  <c r="CF23" i="45"/>
  <c r="CE23" i="45"/>
  <c r="CD23" i="45"/>
  <c r="CC23" i="45"/>
  <c r="CJ23" i="45"/>
  <c r="CB23" i="45"/>
  <c r="CT23" i="45"/>
  <c r="CF31" i="45"/>
  <c r="CD31" i="45"/>
  <c r="CG31" i="45"/>
  <c r="CB31" i="45"/>
  <c r="CE31" i="45"/>
  <c r="CC31" i="45"/>
  <c r="CL55" i="45"/>
  <c r="CC55" i="45"/>
  <c r="CB55" i="45"/>
  <c r="CC63" i="45"/>
  <c r="CB63" i="45"/>
  <c r="CB58" i="45"/>
  <c r="CC58" i="45"/>
  <c r="CC59" i="45"/>
  <c r="CB59" i="45"/>
  <c r="CD49" i="45"/>
  <c r="CC49" i="45"/>
  <c r="CB49" i="45"/>
  <c r="CC67" i="45"/>
  <c r="CB67" i="45"/>
  <c r="AO67" i="45" s="1"/>
  <c r="CB70" i="45"/>
  <c r="CC70" i="45"/>
  <c r="CB76" i="45"/>
  <c r="CC76" i="45"/>
  <c r="CB56" i="45"/>
  <c r="CC56" i="45"/>
  <c r="CC66" i="45"/>
  <c r="CB66" i="45"/>
  <c r="CE20" i="45"/>
  <c r="CC20" i="45"/>
  <c r="CF20" i="45"/>
  <c r="CT20" i="45"/>
  <c r="CD20" i="45"/>
  <c r="CG20" i="45"/>
  <c r="CB20" i="45"/>
  <c r="CJ20" i="45"/>
  <c r="CG18" i="45"/>
  <c r="CE18" i="45"/>
  <c r="CB18" i="45"/>
  <c r="CJ18" i="45"/>
  <c r="CF18" i="45"/>
  <c r="CC18" i="45"/>
  <c r="CT18" i="45"/>
  <c r="CD18" i="45"/>
  <c r="CC74" i="45"/>
  <c r="CB74" i="45"/>
  <c r="CB68" i="45"/>
  <c r="CC68" i="45"/>
  <c r="CB60" i="45"/>
  <c r="CC60" i="45"/>
  <c r="CB30" i="45"/>
  <c r="CG30" i="45"/>
  <c r="CF30" i="45"/>
  <c r="CE30" i="45"/>
  <c r="CD30" i="45"/>
  <c r="CC30" i="45"/>
  <c r="CC71" i="45"/>
  <c r="CB71" i="45"/>
  <c r="CD50" i="45"/>
  <c r="CC50" i="45"/>
  <c r="CB50" i="45"/>
  <c r="CC75" i="45"/>
  <c r="CB75" i="45"/>
  <c r="CB16" i="45"/>
  <c r="CJ16" i="45"/>
  <c r="CC16" i="45"/>
  <c r="CT16" i="45"/>
  <c r="CD16" i="45"/>
  <c r="CE16" i="45"/>
  <c r="CF16" i="45"/>
  <c r="CG16" i="45"/>
  <c r="CF19" i="45"/>
  <c r="CG19" i="45"/>
  <c r="CD19" i="45"/>
  <c r="CB19" i="45"/>
  <c r="CJ19" i="45"/>
  <c r="CC19" i="45"/>
  <c r="CT19" i="45"/>
  <c r="CE19" i="45"/>
  <c r="CB65" i="45"/>
  <c r="CC65" i="45"/>
  <c r="CM55" i="45"/>
  <c r="CB73" i="45"/>
  <c r="CC73" i="45"/>
  <c r="CF24" i="45"/>
  <c r="CT24" i="45"/>
  <c r="CG24" i="45"/>
  <c r="CE24" i="45"/>
  <c r="CD24" i="45"/>
  <c r="CC24" i="45"/>
  <c r="CJ24" i="45"/>
  <c r="CB24" i="45"/>
  <c r="CT21" i="45"/>
  <c r="CD21" i="45"/>
  <c r="CE21" i="45"/>
  <c r="CJ21" i="45"/>
  <c r="CF21" i="45"/>
  <c r="CC21" i="45"/>
  <c r="CG21" i="45"/>
  <c r="CB21" i="45"/>
  <c r="CG17" i="45"/>
  <c r="CF17" i="45"/>
  <c r="CB17" i="45"/>
  <c r="CJ17" i="45"/>
  <c r="CC17" i="45"/>
  <c r="CT17" i="45"/>
  <c r="CD17" i="45"/>
  <c r="CE17" i="45"/>
  <c r="CC62" i="45"/>
  <c r="CB62" i="45"/>
  <c r="CB61" i="45"/>
  <c r="CC61" i="45"/>
  <c r="CB72" i="45"/>
  <c r="CC72" i="45"/>
  <c r="CC14" i="45"/>
  <c r="CT14" i="45"/>
  <c r="CD14" i="45"/>
  <c r="CE14" i="45"/>
  <c r="CF14" i="45"/>
  <c r="CB14" i="45"/>
  <c r="CG14" i="45"/>
  <c r="CJ14" i="45"/>
  <c r="CD26" i="45"/>
  <c r="CC26" i="45"/>
  <c r="CJ26" i="45"/>
  <c r="CB26" i="45"/>
  <c r="CE26" i="45"/>
  <c r="CT26" i="45"/>
  <c r="CG26" i="45"/>
  <c r="CF26" i="45"/>
  <c r="CB69" i="45"/>
  <c r="CC69" i="45"/>
  <c r="CT13" i="45"/>
  <c r="CD13" i="45"/>
  <c r="CE13" i="45"/>
  <c r="CB13" i="45"/>
  <c r="CC13" i="45"/>
  <c r="CF13" i="45"/>
  <c r="CG13" i="45"/>
  <c r="CJ13" i="45"/>
  <c r="CB15" i="45"/>
  <c r="CJ15" i="45"/>
  <c r="CC15" i="45"/>
  <c r="CT15" i="45"/>
  <c r="CD15" i="45"/>
  <c r="CE15" i="45"/>
  <c r="CF15" i="45"/>
  <c r="CG15" i="45"/>
  <c r="CB57" i="45"/>
  <c r="CC57" i="45"/>
  <c r="CE25" i="45"/>
  <c r="CD25" i="45"/>
  <c r="CC25" i="45"/>
  <c r="CJ25" i="45"/>
  <c r="CB25" i="45"/>
  <c r="CT25" i="45"/>
  <c r="CG25" i="45"/>
  <c r="CF25" i="45"/>
  <c r="CB64" i="45"/>
  <c r="CC64" i="45"/>
  <c r="CC24" i="48"/>
  <c r="CD24" i="48"/>
  <c r="CE24" i="48"/>
  <c r="CB24" i="48"/>
  <c r="CD18" i="48"/>
  <c r="CE18" i="48"/>
  <c r="CB18" i="48"/>
  <c r="CC18" i="48"/>
  <c r="CB16" i="48"/>
  <c r="CD16" i="48"/>
  <c r="CC16" i="48"/>
  <c r="CE16" i="48"/>
  <c r="CC22" i="48"/>
  <c r="CD22" i="48"/>
  <c r="CE22" i="48"/>
  <c r="CB22" i="48"/>
  <c r="CB17" i="48"/>
  <c r="CC17" i="48"/>
  <c r="CD17" i="48"/>
  <c r="CE17" i="48"/>
  <c r="CE23" i="48"/>
  <c r="CB23" i="48"/>
  <c r="CC23" i="48"/>
  <c r="CD23" i="48"/>
  <c r="CC20" i="48"/>
  <c r="CD20" i="48"/>
  <c r="CE20" i="48"/>
  <c r="CB20" i="48"/>
  <c r="CE14" i="48"/>
  <c r="CB14" i="48"/>
  <c r="CC14" i="48"/>
  <c r="CD14" i="48"/>
  <c r="CB15" i="48"/>
  <c r="CC15" i="48"/>
  <c r="CD15" i="48"/>
  <c r="CE15" i="48"/>
  <c r="CB21" i="48"/>
  <c r="CE21" i="48"/>
  <c r="CC21" i="48"/>
  <c r="CD21" i="48"/>
  <c r="C178" i="48"/>
  <c r="CF171" i="46"/>
  <c r="CG171" i="46"/>
  <c r="CH171" i="46"/>
  <c r="CI171" i="46"/>
  <c r="CC171" i="46"/>
  <c r="CS159" i="46"/>
  <c r="CE159" i="46"/>
  <c r="CC159" i="46"/>
  <c r="CD159" i="46"/>
  <c r="CF159" i="46"/>
  <c r="CG159" i="46"/>
  <c r="CC168" i="46"/>
  <c r="CF168" i="46"/>
  <c r="CG168" i="46"/>
  <c r="CH168" i="46"/>
  <c r="CI168" i="46"/>
  <c r="CD161" i="46"/>
  <c r="CE161" i="46"/>
  <c r="CF161" i="46"/>
  <c r="CC161" i="46"/>
  <c r="CG161" i="46"/>
  <c r="CS161" i="46"/>
  <c r="CE158" i="46"/>
  <c r="CS158" i="46"/>
  <c r="CF158" i="46"/>
  <c r="CG158" i="46"/>
  <c r="CC158" i="46"/>
  <c r="CD158" i="46"/>
  <c r="CG173" i="46"/>
  <c r="CH173" i="46"/>
  <c r="CI173" i="46"/>
  <c r="CC173" i="46"/>
  <c r="CF173" i="46"/>
  <c r="CD182" i="46"/>
  <c r="CC160" i="46"/>
  <c r="CG160" i="46"/>
  <c r="CD160" i="46"/>
  <c r="CS160" i="46"/>
  <c r="CE160" i="46"/>
  <c r="CF160" i="46"/>
  <c r="CI170" i="46"/>
  <c r="CF170" i="46"/>
  <c r="CG170" i="46"/>
  <c r="CH170" i="46"/>
  <c r="CC170" i="46"/>
  <c r="CI175" i="46"/>
  <c r="CC175" i="46"/>
  <c r="CF175" i="46"/>
  <c r="CG175" i="46"/>
  <c r="CH175" i="46"/>
  <c r="AY153" i="46"/>
  <c r="CS156" i="46"/>
  <c r="CC156" i="46"/>
  <c r="CD156" i="46"/>
  <c r="CE156" i="46"/>
  <c r="CG156" i="46"/>
  <c r="CF156" i="46"/>
  <c r="CG155" i="46"/>
  <c r="CC155" i="46"/>
  <c r="CD155" i="46"/>
  <c r="CE155" i="46"/>
  <c r="CS155" i="46"/>
  <c r="CF155" i="46"/>
  <c r="CF172" i="46"/>
  <c r="CG172" i="46"/>
  <c r="CH172" i="46"/>
  <c r="CI172" i="46"/>
  <c r="CC172" i="46"/>
  <c r="CF152" i="46"/>
  <c r="CG152" i="46"/>
  <c r="CC152" i="46"/>
  <c r="CS152" i="46"/>
  <c r="CD152" i="46"/>
  <c r="CE152" i="46"/>
  <c r="CC177" i="46"/>
  <c r="CF177" i="46"/>
  <c r="CH177" i="46"/>
  <c r="CG177" i="46"/>
  <c r="CI177" i="46"/>
  <c r="CC169" i="46"/>
  <c r="CH169" i="46"/>
  <c r="CF169" i="46"/>
  <c r="CG169" i="46"/>
  <c r="CI169" i="46"/>
  <c r="CO167" i="46"/>
  <c r="CH167" i="46"/>
  <c r="CG167" i="46"/>
  <c r="CC167" i="46"/>
  <c r="CU167" i="46"/>
  <c r="CF167" i="46"/>
  <c r="CR167" i="46"/>
  <c r="CT167" i="46"/>
  <c r="CS167" i="46"/>
  <c r="CI167" i="46"/>
  <c r="CH174" i="46"/>
  <c r="CI174" i="46"/>
  <c r="CC174" i="46"/>
  <c r="CF174" i="46"/>
  <c r="CG174" i="46"/>
  <c r="CC176" i="46"/>
  <c r="CF176" i="46"/>
  <c r="CG176" i="46"/>
  <c r="CH176" i="46"/>
  <c r="CI176" i="46"/>
  <c r="CD154" i="46"/>
  <c r="CE154" i="46"/>
  <c r="CF154" i="46"/>
  <c r="CG154" i="46"/>
  <c r="CS154" i="46"/>
  <c r="CC154" i="46"/>
  <c r="CF157" i="46"/>
  <c r="CD157" i="46"/>
  <c r="CC157" i="46"/>
  <c r="CE157" i="46"/>
  <c r="CS157" i="46"/>
  <c r="CG151" i="46"/>
  <c r="CR151" i="46"/>
  <c r="CF151" i="46"/>
  <c r="CE151" i="46"/>
  <c r="CD151" i="46"/>
  <c r="X133" i="46"/>
  <c r="X131" i="46"/>
  <c r="X129" i="46"/>
  <c r="X130" i="46"/>
  <c r="X143" i="46"/>
  <c r="X136" i="46"/>
  <c r="X142" i="46"/>
  <c r="X140" i="46"/>
  <c r="X141" i="46"/>
  <c r="X132" i="46"/>
  <c r="X139" i="46"/>
  <c r="X138" i="46"/>
  <c r="X137" i="46"/>
  <c r="X134" i="46"/>
  <c r="X135" i="46"/>
  <c r="AY18" i="47"/>
  <c r="AY20" i="47"/>
  <c r="AY15" i="47"/>
  <c r="AY21" i="47"/>
  <c r="AY28" i="47"/>
  <c r="AY26" i="47"/>
  <c r="AY30" i="47"/>
  <c r="AY23" i="47"/>
  <c r="AY25" i="47"/>
  <c r="AY29" i="47"/>
  <c r="AY24" i="47"/>
  <c r="AY16" i="47"/>
  <c r="AY14" i="47"/>
  <c r="AY22" i="47"/>
  <c r="AY17" i="47"/>
  <c r="AY19" i="47"/>
  <c r="AZ183" i="47"/>
  <c r="AZ256" i="47"/>
  <c r="AZ244" i="47"/>
  <c r="AZ259" i="47"/>
  <c r="AZ171" i="47"/>
  <c r="AZ163" i="47"/>
  <c r="AZ178" i="47"/>
  <c r="AZ175" i="47"/>
  <c r="AZ179" i="47"/>
  <c r="AZ180" i="47"/>
  <c r="AZ174" i="47"/>
  <c r="AZ240" i="47"/>
  <c r="AZ239" i="47"/>
  <c r="AZ166" i="47"/>
  <c r="AZ169" i="47"/>
  <c r="AZ252" i="47"/>
  <c r="AZ255" i="47"/>
  <c r="AZ242" i="47"/>
  <c r="AZ241" i="47"/>
  <c r="AZ165" i="47"/>
  <c r="AZ173" i="47"/>
  <c r="AZ167" i="47"/>
  <c r="AZ176" i="47"/>
  <c r="CM73" i="45"/>
  <c r="AZ254" i="47"/>
  <c r="AZ257" i="47"/>
  <c r="AZ161" i="47"/>
  <c r="AZ162" i="47"/>
  <c r="CL70" i="45"/>
  <c r="AZ248" i="47"/>
  <c r="AZ258" i="47"/>
  <c r="AZ238" i="47"/>
  <c r="AZ172" i="47"/>
  <c r="AZ164" i="47"/>
  <c r="AZ182" i="47"/>
  <c r="AZ251" i="47"/>
  <c r="AZ247" i="47"/>
  <c r="AZ249" i="47"/>
  <c r="AZ181" i="47"/>
  <c r="AZ177" i="47"/>
  <c r="AZ168" i="47"/>
  <c r="AZ250" i="47"/>
  <c r="AZ253" i="47"/>
  <c r="AZ245" i="47"/>
  <c r="AZ170" i="47"/>
  <c r="AZ243" i="47"/>
  <c r="CC187" i="46"/>
  <c r="CD187" i="46"/>
  <c r="CC191" i="46"/>
  <c r="CD191" i="46"/>
  <c r="CC184" i="46"/>
  <c r="CD184" i="46"/>
  <c r="CC186" i="46"/>
  <c r="CD186" i="46"/>
  <c r="CC189" i="46"/>
  <c r="CD189" i="46"/>
  <c r="CC183" i="46"/>
  <c r="CD183" i="46"/>
  <c r="CD188" i="46"/>
  <c r="CC188" i="46"/>
  <c r="CC190" i="46"/>
  <c r="CD190" i="46"/>
  <c r="CC185" i="46"/>
  <c r="CD185" i="46"/>
  <c r="AI66" i="46"/>
  <c r="CL61" i="45"/>
  <c r="AZ246" i="47"/>
  <c r="AZ237" i="47"/>
  <c r="AZ206" i="47"/>
  <c r="AZ198" i="47"/>
  <c r="CN159" i="48"/>
  <c r="CO172" i="46"/>
  <c r="CU172" i="46"/>
  <c r="CT172" i="46"/>
  <c r="CS172" i="46"/>
  <c r="CR172" i="46"/>
  <c r="AZ203" i="47"/>
  <c r="AZ199" i="47"/>
  <c r="AZ204" i="47"/>
  <c r="CN155" i="48"/>
  <c r="CN158" i="48"/>
  <c r="CO20" i="45"/>
  <c r="CP20" i="45"/>
  <c r="CQ20" i="45"/>
  <c r="CN20" i="45"/>
  <c r="CL20" i="45"/>
  <c r="CM20" i="45"/>
  <c r="CN169" i="48"/>
  <c r="CN179" i="48"/>
  <c r="CN171" i="48"/>
  <c r="CN183" i="48"/>
  <c r="CN153" i="48"/>
  <c r="CN177" i="48"/>
  <c r="CO169" i="46"/>
  <c r="CU169" i="46"/>
  <c r="CS169" i="46"/>
  <c r="CR169" i="46"/>
  <c r="CT169" i="46"/>
  <c r="AZ193" i="47"/>
  <c r="AZ188" i="47"/>
  <c r="CN176" i="48"/>
  <c r="CO18" i="45"/>
  <c r="CP18" i="45"/>
  <c r="CQ18" i="45"/>
  <c r="CM18" i="45"/>
  <c r="CL18" i="45"/>
  <c r="CN18" i="45"/>
  <c r="CM164" i="45"/>
  <c r="CL164" i="45"/>
  <c r="CP164" i="45"/>
  <c r="CO164" i="45"/>
  <c r="CN164" i="45"/>
  <c r="AR52" i="48"/>
  <c r="CN156" i="48"/>
  <c r="CN182" i="48"/>
  <c r="CP166" i="45"/>
  <c r="CO166" i="45"/>
  <c r="CN166" i="45"/>
  <c r="CM166" i="45"/>
  <c r="CL166" i="45"/>
  <c r="AZ207" i="47"/>
  <c r="AZ201" i="47"/>
  <c r="AZ202" i="47"/>
  <c r="AZ194" i="47"/>
  <c r="AZ197" i="47"/>
  <c r="CU175" i="46"/>
  <c r="CT175" i="46"/>
  <c r="CS175" i="46"/>
  <c r="CR175" i="46"/>
  <c r="CO175" i="46"/>
  <c r="CL161" i="45"/>
  <c r="CM161" i="45"/>
  <c r="CN161" i="45"/>
  <c r="CO161" i="45"/>
  <c r="CP161" i="45"/>
  <c r="CN181" i="48"/>
  <c r="CU171" i="46"/>
  <c r="CT171" i="46"/>
  <c r="CS171" i="46"/>
  <c r="CR171" i="46"/>
  <c r="CO171" i="46"/>
  <c r="CO168" i="46"/>
  <c r="CU168" i="46"/>
  <c r="CT168" i="46"/>
  <c r="CS168" i="46"/>
  <c r="CR168" i="46"/>
  <c r="CN157" i="48"/>
  <c r="CO16" i="45"/>
  <c r="CP16" i="45"/>
  <c r="CQ16" i="45"/>
  <c r="CN16" i="45"/>
  <c r="CL16" i="45"/>
  <c r="CM16" i="45"/>
  <c r="CN151" i="48"/>
  <c r="CN161" i="48"/>
  <c r="CN165" i="48"/>
  <c r="CN154" i="48"/>
  <c r="AZ191" i="47"/>
  <c r="AZ190" i="47"/>
  <c r="AZ209" i="47"/>
  <c r="AZ208" i="47"/>
  <c r="CN150" i="48"/>
  <c r="CS174" i="46"/>
  <c r="CR174" i="46"/>
  <c r="CO174" i="46"/>
  <c r="CT174" i="46"/>
  <c r="CU174" i="46"/>
  <c r="CO21" i="45"/>
  <c r="CP21" i="45"/>
  <c r="CQ21" i="45"/>
  <c r="CL21" i="45"/>
  <c r="CM21" i="45"/>
  <c r="CN21" i="45"/>
  <c r="CO14" i="45"/>
  <c r="CP14" i="45"/>
  <c r="CQ14" i="45"/>
  <c r="CL14" i="45"/>
  <c r="CM14" i="45"/>
  <c r="CN14" i="45"/>
  <c r="CO19" i="45"/>
  <c r="CP19" i="45"/>
  <c r="CQ19" i="45"/>
  <c r="CL19" i="45"/>
  <c r="CM19" i="45"/>
  <c r="CN19" i="45"/>
  <c r="CN168" i="48"/>
  <c r="CN175" i="48"/>
  <c r="CN164" i="48"/>
  <c r="CN160" i="48"/>
  <c r="CO165" i="45"/>
  <c r="CN165" i="45"/>
  <c r="CM165" i="45"/>
  <c r="CL165" i="45"/>
  <c r="CP165" i="45"/>
  <c r="CN162" i="45"/>
  <c r="CO162" i="45"/>
  <c r="CP162" i="45"/>
  <c r="CM162" i="45"/>
  <c r="CL162" i="45"/>
  <c r="AZ195" i="47"/>
  <c r="AZ205" i="47"/>
  <c r="AZ189" i="47"/>
  <c r="CN170" i="48"/>
  <c r="CN162" i="48"/>
  <c r="CN163" i="48"/>
  <c r="CP23" i="45"/>
  <c r="CO23" i="45"/>
  <c r="CN23" i="45"/>
  <c r="CM23" i="45"/>
  <c r="CL23" i="45"/>
  <c r="CQ23" i="45"/>
  <c r="CO17" i="45"/>
  <c r="CP17" i="45"/>
  <c r="CQ17" i="45"/>
  <c r="CL17" i="45"/>
  <c r="CN17" i="45"/>
  <c r="CM17" i="45"/>
  <c r="CO173" i="46"/>
  <c r="CU173" i="46"/>
  <c r="CS173" i="46"/>
  <c r="CT173" i="46"/>
  <c r="CR173" i="46"/>
  <c r="CN173" i="48"/>
  <c r="CN172" i="48"/>
  <c r="CN174" i="48"/>
  <c r="AZ196" i="47"/>
  <c r="AZ192" i="47"/>
  <c r="CO177" i="46"/>
  <c r="CU177" i="46"/>
  <c r="CS177" i="46"/>
  <c r="CR177" i="46"/>
  <c r="CT177" i="46"/>
  <c r="CN180" i="48"/>
  <c r="CP26" i="45"/>
  <c r="CO26" i="45"/>
  <c r="CN26" i="45"/>
  <c r="CM26" i="45"/>
  <c r="CL26" i="45"/>
  <c r="CQ26" i="45"/>
  <c r="CO176" i="46"/>
  <c r="CU176" i="46"/>
  <c r="CT176" i="46"/>
  <c r="CS176" i="46"/>
  <c r="CR176" i="46"/>
  <c r="CO13" i="45"/>
  <c r="CP13" i="45"/>
  <c r="CQ13" i="45"/>
  <c r="CN13" i="45"/>
  <c r="CL13" i="45"/>
  <c r="CM13" i="45"/>
  <c r="CO15" i="45"/>
  <c r="CP15" i="45"/>
  <c r="CQ15" i="45"/>
  <c r="CL15" i="45"/>
  <c r="CM15" i="45"/>
  <c r="CN15" i="45"/>
  <c r="CP24" i="45"/>
  <c r="CO24" i="45"/>
  <c r="CN24" i="45"/>
  <c r="CM24" i="45"/>
  <c r="CL24" i="45"/>
  <c r="CQ24" i="45"/>
  <c r="CP168" i="45"/>
  <c r="CO168" i="45"/>
  <c r="CN168" i="45"/>
  <c r="CM168" i="45"/>
  <c r="CL168" i="45"/>
  <c r="CP25" i="45"/>
  <c r="CO25" i="45"/>
  <c r="CN25" i="45"/>
  <c r="CM25" i="45"/>
  <c r="CL25" i="45"/>
  <c r="CQ25" i="45"/>
  <c r="CS170" i="46"/>
  <c r="CR170" i="46"/>
  <c r="CO170" i="46"/>
  <c r="CT170" i="46"/>
  <c r="CU170" i="46"/>
  <c r="CN152" i="48"/>
  <c r="CN166" i="48"/>
  <c r="CN167" i="48"/>
  <c r="AZ200" i="47"/>
  <c r="AZ210" i="47"/>
  <c r="CP31" i="45"/>
  <c r="CQ31" i="45"/>
  <c r="CQ30" i="45"/>
  <c r="CP30" i="45"/>
  <c r="CM70" i="45"/>
  <c r="AO55" i="45"/>
  <c r="CM61" i="45"/>
  <c r="CL73" i="45"/>
  <c r="AR43" i="48"/>
  <c r="DH272" i="47"/>
  <c r="AI55" i="46"/>
  <c r="CO187" i="46"/>
  <c r="CP187" i="46"/>
  <c r="CL75" i="45"/>
  <c r="CM75" i="45"/>
  <c r="CL58" i="45"/>
  <c r="CM58" i="45"/>
  <c r="CM72" i="45"/>
  <c r="CL72" i="45"/>
  <c r="CN135" i="45"/>
  <c r="CP135" i="45"/>
  <c r="CM135" i="45"/>
  <c r="CO135" i="45"/>
  <c r="CO186" i="46"/>
  <c r="CP186" i="46"/>
  <c r="CP136" i="45"/>
  <c r="CN136" i="45"/>
  <c r="CL136" i="45"/>
  <c r="CO136" i="45"/>
  <c r="CM136" i="45"/>
  <c r="CP185" i="46"/>
  <c r="CO185" i="46"/>
  <c r="CL71" i="45"/>
  <c r="CM71" i="45"/>
  <c r="CM66" i="45"/>
  <c r="CL66" i="45"/>
  <c r="CL115" i="45"/>
  <c r="CM115" i="45"/>
  <c r="CP137" i="45"/>
  <c r="CN137" i="45"/>
  <c r="CL137" i="45"/>
  <c r="CO137" i="45"/>
  <c r="CM137" i="45"/>
  <c r="CN31" i="45"/>
  <c r="CM31" i="45"/>
  <c r="CL31" i="45"/>
  <c r="CO31" i="45"/>
  <c r="CP188" i="46"/>
  <c r="CO188" i="46"/>
  <c r="CO190" i="46"/>
  <c r="CP190" i="46"/>
  <c r="CO189" i="46"/>
  <c r="CP189" i="46"/>
  <c r="AR33" i="48"/>
  <c r="CL69" i="45"/>
  <c r="CM69" i="45"/>
  <c r="CL59" i="45"/>
  <c r="CM59" i="45"/>
  <c r="CL57" i="45"/>
  <c r="CM57" i="45"/>
  <c r="CO183" i="46"/>
  <c r="CP183" i="46"/>
  <c r="CL76" i="45"/>
  <c r="CM76" i="45"/>
  <c r="CO182" i="46"/>
  <c r="CP182" i="46"/>
  <c r="CM68" i="45"/>
  <c r="CL68" i="45"/>
  <c r="CL65" i="45"/>
  <c r="CM65" i="45"/>
  <c r="CM74" i="45"/>
  <c r="CL74" i="45"/>
  <c r="DH264" i="47"/>
  <c r="CM62" i="45"/>
  <c r="CL62" i="45"/>
  <c r="CL63" i="45"/>
  <c r="CM63" i="45"/>
  <c r="DG265" i="47"/>
  <c r="C311" i="47" s="1"/>
  <c r="DH265" i="47"/>
  <c r="AR41" i="48"/>
  <c r="CM60" i="45"/>
  <c r="CL60" i="45"/>
  <c r="D167" i="45"/>
  <c r="CP191" i="46"/>
  <c r="CO191" i="46"/>
  <c r="CL116" i="45"/>
  <c r="CM116" i="45"/>
  <c r="DH271" i="47"/>
  <c r="DG271" i="47"/>
  <c r="AS231" i="47"/>
  <c r="AS227" i="47"/>
  <c r="AS226" i="47"/>
  <c r="AS228" i="47"/>
  <c r="AS216" i="47"/>
  <c r="AS219" i="47"/>
  <c r="AS215" i="47"/>
  <c r="AS232" i="47"/>
  <c r="AS221" i="47"/>
  <c r="AS218" i="47"/>
  <c r="AS229" i="47"/>
  <c r="AS220" i="47"/>
  <c r="AS217" i="47"/>
  <c r="AS230" i="47"/>
  <c r="CO184" i="46"/>
  <c r="CP184" i="46"/>
  <c r="CL56" i="45"/>
  <c r="CM56" i="45"/>
  <c r="CM50" i="45"/>
  <c r="CL50" i="45"/>
  <c r="CN50" i="45"/>
  <c r="CN49" i="45"/>
  <c r="CM49" i="45"/>
  <c r="CO30" i="45"/>
  <c r="CL30" i="45"/>
  <c r="CM30" i="45"/>
  <c r="CN30" i="45"/>
  <c r="CO160" i="45"/>
  <c r="CN160" i="45"/>
  <c r="AI64" i="46"/>
  <c r="AI60" i="46"/>
  <c r="AI22" i="46"/>
  <c r="AI43" i="46"/>
  <c r="AI42" i="46"/>
  <c r="CP155" i="46"/>
  <c r="CQ155" i="46"/>
  <c r="CR155" i="46"/>
  <c r="CP158" i="46"/>
  <c r="CQ158" i="46"/>
  <c r="CR158" i="46"/>
  <c r="AI33" i="46"/>
  <c r="CR152" i="46"/>
  <c r="CP152" i="46"/>
  <c r="CQ152" i="46"/>
  <c r="CP151" i="46"/>
  <c r="CQ151" i="46"/>
  <c r="CP154" i="46"/>
  <c r="CQ154" i="46"/>
  <c r="CR154" i="46"/>
  <c r="CP161" i="46"/>
  <c r="CR161" i="46"/>
  <c r="CQ161" i="46"/>
  <c r="AI35" i="46"/>
  <c r="CQ157" i="46"/>
  <c r="CR157" i="46"/>
  <c r="CP157" i="46"/>
  <c r="AI56" i="46"/>
  <c r="AI30" i="46"/>
  <c r="CP159" i="46"/>
  <c r="CQ159" i="46"/>
  <c r="CR159" i="46"/>
  <c r="AI61" i="46"/>
  <c r="AI45" i="46"/>
  <c r="CR156" i="46"/>
  <c r="CQ156" i="46"/>
  <c r="CP156" i="46"/>
  <c r="AI57" i="46"/>
  <c r="CP160" i="46"/>
  <c r="CQ160" i="46"/>
  <c r="CR160" i="46"/>
  <c r="AI36" i="46"/>
  <c r="CO156" i="46"/>
  <c r="CO158" i="46"/>
  <c r="CO157" i="46"/>
  <c r="CO155" i="46"/>
  <c r="CO159" i="46"/>
  <c r="CO160" i="46"/>
  <c r="CO152" i="46"/>
  <c r="AI58" i="46"/>
  <c r="AI52" i="46"/>
  <c r="CO161" i="46"/>
  <c r="CO151" i="46"/>
  <c r="CO154" i="46"/>
  <c r="D22" i="45"/>
  <c r="AR48" i="48"/>
  <c r="AI19" i="46"/>
  <c r="AI53" i="46"/>
  <c r="E14" i="18"/>
  <c r="AI25" i="46"/>
  <c r="M122" i="48"/>
  <c r="AI27" i="46"/>
  <c r="F32" i="45"/>
  <c r="B205" i="45" s="1"/>
  <c r="AR37" i="48"/>
  <c r="C19" i="48"/>
  <c r="B350" i="48" s="1"/>
  <c r="AR42" i="48"/>
  <c r="AR46" i="48"/>
  <c r="AI44" i="46"/>
  <c r="AI38" i="46"/>
  <c r="AI40" i="46"/>
  <c r="AI47" i="46"/>
  <c r="AI41" i="46"/>
  <c r="AI62" i="46"/>
  <c r="AI50" i="46"/>
  <c r="D162" i="46"/>
  <c r="AI59" i="46"/>
  <c r="AI21" i="46"/>
  <c r="AI49" i="46"/>
  <c r="AI18" i="46"/>
  <c r="AI15" i="46"/>
  <c r="AI46" i="46"/>
  <c r="AI48" i="46"/>
  <c r="AI14" i="46"/>
  <c r="AI23" i="46"/>
  <c r="AI20" i="46"/>
  <c r="AI31" i="46"/>
  <c r="AI63" i="46"/>
  <c r="D138" i="45"/>
  <c r="D163" i="45"/>
  <c r="AR44" i="48"/>
  <c r="AR34" i="48"/>
  <c r="M124" i="48"/>
  <c r="AR47" i="48"/>
  <c r="M123" i="48"/>
  <c r="AI51" i="46"/>
  <c r="AI29" i="46"/>
  <c r="AI17" i="46"/>
  <c r="AI26" i="46"/>
  <c r="AI16" i="46"/>
  <c r="AI54" i="46"/>
  <c r="AI39" i="46"/>
  <c r="AI32" i="46"/>
  <c r="AI13" i="46"/>
  <c r="AI34" i="46"/>
  <c r="AI65" i="46"/>
  <c r="AI37" i="46"/>
  <c r="C350" i="48" l="1"/>
  <c r="AU13" i="48"/>
  <c r="C205" i="45"/>
  <c r="D10" i="18" s="1"/>
  <c r="C239" i="46"/>
  <c r="D11" i="18" s="1"/>
  <c r="AY161" i="46"/>
  <c r="AY159" i="46"/>
  <c r="AY160" i="46"/>
  <c r="AY157" i="46"/>
  <c r="AO64" i="45"/>
  <c r="AX17" i="45"/>
  <c r="AX18" i="45"/>
  <c r="AX13" i="45"/>
  <c r="AX26" i="45"/>
  <c r="AX23" i="45"/>
  <c r="AX16" i="45"/>
  <c r="AX15" i="45"/>
  <c r="AX21" i="45"/>
  <c r="AX24" i="45"/>
  <c r="AX25" i="45"/>
  <c r="AX19" i="45"/>
  <c r="AX20" i="45"/>
  <c r="AX14" i="45"/>
  <c r="AR30" i="48"/>
  <c r="AX167" i="46"/>
  <c r="AX169" i="46"/>
  <c r="AX172" i="46"/>
  <c r="AT182" i="46"/>
  <c r="AY158" i="46"/>
  <c r="AX174" i="46"/>
  <c r="AY152" i="46"/>
  <c r="AX168" i="46"/>
  <c r="AY154" i="46"/>
  <c r="AX175" i="46"/>
  <c r="AX171" i="46"/>
  <c r="AY156" i="46"/>
  <c r="AX170" i="46"/>
  <c r="AX176" i="46"/>
  <c r="AX177" i="46"/>
  <c r="AY155" i="46"/>
  <c r="AX173" i="46"/>
  <c r="AY151" i="46"/>
  <c r="D14" i="18"/>
  <c r="AU23" i="48"/>
  <c r="E11" i="18"/>
  <c r="E10" i="18"/>
  <c r="AT191" i="46"/>
  <c r="AO73" i="45"/>
  <c r="AO70" i="45"/>
  <c r="AT186" i="46"/>
  <c r="AU15" i="48"/>
  <c r="AO61" i="45"/>
  <c r="AW31" i="45"/>
  <c r="AW30" i="45"/>
  <c r="AO69" i="45"/>
  <c r="AU20" i="48"/>
  <c r="AU21" i="48"/>
  <c r="AR38" i="48"/>
  <c r="AT188" i="46"/>
  <c r="R114" i="45"/>
  <c r="AN272" i="47"/>
  <c r="AF264" i="47"/>
  <c r="R116" i="45"/>
  <c r="AO58" i="45"/>
  <c r="AU24" i="48"/>
  <c r="AR32" i="48"/>
  <c r="AO63" i="45"/>
  <c r="AO62" i="45"/>
  <c r="AT137" i="45"/>
  <c r="AO65" i="45"/>
  <c r="AO76" i="45"/>
  <c r="AO59" i="45"/>
  <c r="AT136" i="45"/>
  <c r="AO60" i="45"/>
  <c r="AO68" i="45"/>
  <c r="AO57" i="45"/>
  <c r="AO71" i="45"/>
  <c r="AR40" i="48"/>
  <c r="AR39" i="48"/>
  <c r="AO74" i="45"/>
  <c r="AO75" i="45"/>
  <c r="AN271" i="47"/>
  <c r="AO66" i="45"/>
  <c r="AT135" i="45"/>
  <c r="AO72" i="45"/>
  <c r="AO56" i="45"/>
  <c r="AP50" i="45"/>
  <c r="AP49" i="45"/>
  <c r="AU22" i="48"/>
  <c r="AT183" i="46"/>
  <c r="AT185" i="46"/>
  <c r="AT187" i="46"/>
  <c r="AT184" i="46"/>
  <c r="AT190" i="46"/>
  <c r="AT189" i="46"/>
  <c r="AR31" i="48"/>
  <c r="R115" i="45"/>
  <c r="AF265" i="47"/>
  <c r="AR36" i="48"/>
  <c r="E24" i="18"/>
  <c r="AR35" i="48"/>
  <c r="AR45" i="48"/>
  <c r="AU14" i="48"/>
  <c r="AU18" i="48"/>
  <c r="AU17" i="48"/>
  <c r="AU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H203" i="29" l="1"/>
  <c r="CH202" i="29"/>
  <c r="CK202" i="29" l="1"/>
  <c r="CD202" i="29"/>
  <c r="CY202" i="29"/>
  <c r="CJ202" i="29"/>
  <c r="CI202" i="29"/>
  <c r="CX202" i="29"/>
  <c r="CE202" i="29"/>
  <c r="CC202" i="29"/>
  <c r="CB202" i="29"/>
  <c r="CK203" i="29"/>
  <c r="CD203" i="29"/>
  <c r="CY203" i="29"/>
  <c r="CC203" i="29"/>
  <c r="CB203" i="29"/>
  <c r="CJ203" i="29"/>
  <c r="CI203" i="29"/>
  <c r="CX203" i="29"/>
  <c r="CE203" i="29"/>
  <c r="CS254" i="29"/>
  <c r="CE254" i="29"/>
  <c r="CT254" i="29"/>
  <c r="CQ254" i="29"/>
  <c r="CF254" i="29"/>
  <c r="CR254" i="29"/>
  <c r="CD254" i="29"/>
  <c r="CC254" i="29"/>
  <c r="CS255" i="29"/>
  <c r="CE255" i="29"/>
  <c r="CT255" i="29"/>
  <c r="CF255" i="29"/>
  <c r="CR255" i="29"/>
  <c r="CQ255" i="29"/>
  <c r="CD255" i="29"/>
  <c r="CC255" i="29"/>
  <c r="CR203" i="29"/>
  <c r="CV203" i="29"/>
  <c r="CQ202" i="29"/>
  <c r="CP202" i="29"/>
  <c r="CS202" i="29"/>
  <c r="CW202" i="29"/>
  <c r="CR202" i="29"/>
  <c r="CV202" i="29"/>
  <c r="CS203" i="29"/>
  <c r="CQ203" i="29"/>
  <c r="CP203" i="29"/>
  <c r="CW203" i="29"/>
  <c r="C129" i="41" l="1"/>
  <c r="CG63" i="41"/>
  <c r="CF63" i="41"/>
  <c r="CG59" i="41"/>
  <c r="CF59" i="41"/>
  <c r="CB39" i="41" l="1"/>
  <c r="CC39" i="41"/>
  <c r="CB47" i="41"/>
  <c r="CC47" i="41"/>
  <c r="CB55" i="41"/>
  <c r="CC55" i="41"/>
  <c r="CC62" i="41"/>
  <c r="CB62" i="41"/>
  <c r="CC56" i="41"/>
  <c r="CB56" i="41"/>
  <c r="CB46" i="41"/>
  <c r="CC46" i="41"/>
  <c r="CC32" i="41"/>
  <c r="CB32" i="41"/>
  <c r="CC40" i="41"/>
  <c r="CB40" i="41"/>
  <c r="CC48" i="41"/>
  <c r="CB48" i="41"/>
  <c r="CB41" i="41"/>
  <c r="CC41" i="41"/>
  <c r="CB49" i="41"/>
  <c r="CC49" i="41"/>
  <c r="CB57" i="41"/>
  <c r="CC57" i="41"/>
  <c r="S57" i="41" s="1"/>
  <c r="CB34" i="41"/>
  <c r="CC34" i="41"/>
  <c r="CC42" i="41"/>
  <c r="CB42" i="41"/>
  <c r="CC50" i="41"/>
  <c r="CB50" i="41"/>
  <c r="CB58" i="41"/>
  <c r="CC58" i="41"/>
  <c r="CC54" i="41"/>
  <c r="CB54" i="41"/>
  <c r="CB35" i="41"/>
  <c r="CC35" i="41"/>
  <c r="CC43" i="41"/>
  <c r="CB43" i="41"/>
  <c r="CC51" i="41"/>
  <c r="CB51" i="41"/>
  <c r="S51" i="41" s="1"/>
  <c r="CC44" i="41"/>
  <c r="CB44" i="41"/>
  <c r="CB38" i="41"/>
  <c r="CC38" i="41"/>
  <c r="CC36" i="41"/>
  <c r="CB36" i="41"/>
  <c r="CC52" i="41"/>
  <c r="CB52" i="41"/>
  <c r="CB37" i="41"/>
  <c r="S37" i="41" s="1"/>
  <c r="CC37" i="41"/>
  <c r="CC45" i="41"/>
  <c r="CB45" i="41"/>
  <c r="S45" i="41" s="1"/>
  <c r="CC53" i="41"/>
  <c r="CB53" i="41"/>
  <c r="CC61" i="41"/>
  <c r="CB61" i="41"/>
  <c r="S61" i="41" s="1"/>
  <c r="E26" i="18"/>
  <c r="CF34" i="41"/>
  <c r="CF40" i="41"/>
  <c r="CF46" i="41"/>
  <c r="CF52" i="41"/>
  <c r="CF58" i="41"/>
  <c r="CF38" i="41"/>
  <c r="CF44" i="41"/>
  <c r="CF50" i="41"/>
  <c r="CF56" i="41"/>
  <c r="CF42" i="41"/>
  <c r="CF48" i="41"/>
  <c r="CF54" i="41"/>
  <c r="CG62" i="41"/>
  <c r="CF36" i="41"/>
  <c r="CG32" i="41"/>
  <c r="S56" i="41"/>
  <c r="CG56" i="41"/>
  <c r="S59" i="41"/>
  <c r="CG50" i="41"/>
  <c r="S38" i="41"/>
  <c r="CG44" i="41"/>
  <c r="S64" i="41"/>
  <c r="CG38" i="41"/>
  <c r="S63" i="41"/>
  <c r="CG36" i="41"/>
  <c r="CG42" i="41"/>
  <c r="CG48" i="41"/>
  <c r="CG54" i="41"/>
  <c r="CG34" i="41"/>
  <c r="CG40" i="41"/>
  <c r="CG46" i="41"/>
  <c r="CG52" i="41"/>
  <c r="CG58" i="41"/>
  <c r="CF43" i="41"/>
  <c r="CF47" i="41"/>
  <c r="CF51" i="41"/>
  <c r="CF57" i="41"/>
  <c r="CF32" i="41"/>
  <c r="CG35" i="41"/>
  <c r="CG37" i="41"/>
  <c r="CG39" i="41"/>
  <c r="CG41" i="41"/>
  <c r="CG43" i="41"/>
  <c r="CG45" i="41"/>
  <c r="CG47" i="41"/>
  <c r="CG49" i="41"/>
  <c r="CG51" i="41"/>
  <c r="CG53" i="41"/>
  <c r="CG55" i="41"/>
  <c r="CG57" i="41"/>
  <c r="CG61" i="41"/>
  <c r="CF35" i="41"/>
  <c r="CF45" i="41"/>
  <c r="CF49" i="41"/>
  <c r="CF55" i="41"/>
  <c r="CF61" i="41"/>
  <c r="S35" i="41"/>
  <c r="S39" i="41"/>
  <c r="S41" i="41"/>
  <c r="S43" i="41"/>
  <c r="S47" i="41"/>
  <c r="S49" i="41"/>
  <c r="S53" i="41"/>
  <c r="S55" i="41"/>
  <c r="CF62" i="41"/>
  <c r="CF37" i="41"/>
  <c r="CF39" i="41"/>
  <c r="CF41" i="41"/>
  <c r="CF53" i="41"/>
  <c r="CG13" i="41" l="1"/>
  <c r="CC13" i="41"/>
  <c r="CB13" i="41"/>
  <c r="CG12" i="41"/>
  <c r="CF12" i="41"/>
  <c r="CC12" i="41"/>
  <c r="CB12" i="41"/>
  <c r="V12" i="41" s="1"/>
  <c r="CG15" i="41"/>
  <c r="CC15" i="41"/>
  <c r="CB15" i="41"/>
  <c r="CG14" i="41"/>
  <c r="CB14" i="41"/>
  <c r="CC14" i="41"/>
  <c r="CF27" i="41"/>
  <c r="CB27" i="41"/>
  <c r="CC27" i="41"/>
  <c r="CF28" i="41"/>
  <c r="CC28" i="41"/>
  <c r="CB28" i="41"/>
  <c r="CG24" i="41"/>
  <c r="CB24" i="41"/>
  <c r="CC24" i="41"/>
  <c r="CF25" i="41"/>
  <c r="CC25" i="41"/>
  <c r="CB25" i="41"/>
  <c r="CC21" i="41"/>
  <c r="CB21" i="41"/>
  <c r="CF22" i="41"/>
  <c r="CC22" i="41"/>
  <c r="CB22" i="41"/>
  <c r="CF19" i="41"/>
  <c r="CB19" i="41"/>
  <c r="CC19" i="41"/>
  <c r="CG17" i="41"/>
  <c r="CC17" i="41"/>
  <c r="CB17" i="41"/>
  <c r="CC20" i="41"/>
  <c r="CB20" i="41"/>
  <c r="B202" i="41"/>
  <c r="E25" i="18" s="1"/>
  <c r="CG18" i="41"/>
  <c r="CC18" i="41"/>
  <c r="CB18" i="41"/>
  <c r="S44" i="41"/>
  <c r="CF21" i="41"/>
  <c r="S42" i="41"/>
  <c r="CF14" i="41"/>
  <c r="S40" i="41"/>
  <c r="S36" i="41"/>
  <c r="CG25" i="41"/>
  <c r="S62" i="41"/>
  <c r="S54" i="41"/>
  <c r="S48" i="41"/>
  <c r="S58" i="41"/>
  <c r="S52" i="41"/>
  <c r="CG21" i="41"/>
  <c r="CF17" i="41"/>
  <c r="S46" i="41"/>
  <c r="S34" i="41"/>
  <c r="CG28" i="41"/>
  <c r="CG27" i="41"/>
  <c r="S32" i="41"/>
  <c r="S50" i="41"/>
  <c r="CF24" i="41"/>
  <c r="CG19" i="41"/>
  <c r="CG20" i="41"/>
  <c r="CF20" i="41"/>
  <c r="CF18" i="41"/>
  <c r="CG22" i="41"/>
  <c r="CF15" i="41"/>
  <c r="CF13" i="41"/>
  <c r="V20" i="41" l="1"/>
  <c r="C202" i="41"/>
  <c r="D25" i="18" s="1"/>
  <c r="V17" i="41"/>
  <c r="V21" i="41"/>
  <c r="V14" i="41"/>
  <c r="V13" i="41"/>
  <c r="V27" i="41"/>
  <c r="V24" i="41"/>
  <c r="V22" i="41"/>
  <c r="S60" i="41"/>
  <c r="S33" i="41"/>
  <c r="V25" i="41"/>
  <c r="V15" i="41"/>
  <c r="V28" i="41"/>
  <c r="V19" i="41"/>
  <c r="V18" i="41"/>
  <c r="CB88" i="36" l="1"/>
  <c r="CB87" i="36"/>
  <c r="CB86" i="36"/>
  <c r="CB84" i="36"/>
  <c r="CB83" i="36"/>
  <c r="CB82" i="36"/>
  <c r="CB80" i="36"/>
  <c r="CB79" i="36"/>
  <c r="CB78" i="36"/>
  <c r="CB73" i="36"/>
  <c r="CB71" i="36"/>
  <c r="CB70" i="36"/>
  <c r="CB68" i="36"/>
  <c r="CB67" i="36"/>
  <c r="CB65" i="36"/>
  <c r="CB64" i="36"/>
  <c r="CB47" i="36"/>
  <c r="CB46" i="36"/>
  <c r="CB45" i="36"/>
  <c r="CB44" i="36"/>
  <c r="CB43" i="36"/>
  <c r="CB42" i="36"/>
  <c r="CB41" i="36"/>
  <c r="CB40" i="36"/>
  <c r="CB32" i="36"/>
  <c r="CB31" i="36"/>
  <c r="CB30" i="36"/>
  <c r="CB29" i="36"/>
  <c r="CB28" i="36"/>
  <c r="CB27" i="36"/>
  <c r="CB19" i="36"/>
  <c r="CB18" i="36"/>
  <c r="CB16" i="36"/>
  <c r="CB15" i="36"/>
  <c r="CB13" i="36"/>
  <c r="AJ208" i="34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CE206" i="34"/>
  <c r="V194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R186" i="34"/>
  <c r="Q186" i="34"/>
  <c r="P186" i="34"/>
  <c r="O186" i="34"/>
  <c r="N186" i="34"/>
  <c r="M186" i="34"/>
  <c r="L186" i="34"/>
  <c r="K186" i="34"/>
  <c r="J186" i="34"/>
  <c r="I186" i="34"/>
  <c r="H186" i="34"/>
  <c r="G186" i="34"/>
  <c r="AB152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J97" i="34"/>
  <c r="I97" i="34"/>
  <c r="H97" i="34"/>
  <c r="C79" i="34"/>
  <c r="CL66" i="34"/>
  <c r="CM65" i="34"/>
  <c r="CL64" i="34"/>
  <c r="CM63" i="34"/>
  <c r="K54" i="34"/>
  <c r="I54" i="34"/>
  <c r="H54" i="34"/>
  <c r="G54" i="34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M74" i="32"/>
  <c r="L74" i="32"/>
  <c r="K74" i="32"/>
  <c r="J74" i="32"/>
  <c r="I74" i="32"/>
  <c r="H74" i="32"/>
  <c r="F74" i="32"/>
  <c r="E74" i="32"/>
  <c r="CY39" i="32"/>
  <c r="CB12" i="36" l="1"/>
  <c r="B150" i="36"/>
  <c r="E15" i="18" s="1"/>
  <c r="CD206" i="34"/>
  <c r="CN206" i="34"/>
  <c r="CB82" i="32"/>
  <c r="CE82" i="32"/>
  <c r="CC82" i="32"/>
  <c r="CD82" i="32"/>
  <c r="CY82" i="32"/>
  <c r="CY80" i="32"/>
  <c r="CD80" i="32"/>
  <c r="CW80" i="32"/>
  <c r="CB80" i="32"/>
  <c r="CE80" i="32"/>
  <c r="CV80" i="32"/>
  <c r="CC80" i="32"/>
  <c r="CX80" i="32"/>
  <c r="CB81" i="32"/>
  <c r="CV81" i="32"/>
  <c r="CC81" i="32"/>
  <c r="CW81" i="32"/>
  <c r="CD81" i="32"/>
  <c r="CX81" i="32"/>
  <c r="CE81" i="32"/>
  <c r="CY81" i="32"/>
  <c r="CV79" i="32"/>
  <c r="CC79" i="32"/>
  <c r="CB79" i="32"/>
  <c r="CW79" i="32"/>
  <c r="CD79" i="32"/>
  <c r="CX79" i="32"/>
  <c r="CE79" i="32"/>
  <c r="CY79" i="32"/>
  <c r="CV70" i="32"/>
  <c r="CB70" i="32"/>
  <c r="CY70" i="32"/>
  <c r="CC70" i="32"/>
  <c r="CW70" i="32"/>
  <c r="CX70" i="32"/>
  <c r="CD70" i="32"/>
  <c r="CE70" i="32"/>
  <c r="CW82" i="32"/>
  <c r="CX82" i="32"/>
  <c r="CV82" i="32"/>
  <c r="CD71" i="32"/>
  <c r="CB71" i="32"/>
  <c r="CE71" i="32"/>
  <c r="CC71" i="32"/>
  <c r="CD73" i="32"/>
  <c r="CE73" i="32"/>
  <c r="CB73" i="32"/>
  <c r="CC73" i="32"/>
  <c r="CY73" i="32"/>
  <c r="E152" i="34"/>
  <c r="E54" i="34"/>
  <c r="CB206" i="34"/>
  <c r="CL206" i="34"/>
  <c r="CC206" i="34"/>
  <c r="CM206" i="34"/>
  <c r="CO206" i="34"/>
  <c r="CD207" i="34"/>
  <c r="CE207" i="34"/>
  <c r="CC207" i="34"/>
  <c r="DA37" i="32"/>
  <c r="CY37" i="32"/>
  <c r="DB37" i="32"/>
  <c r="CZ37" i="32"/>
  <c r="DB39" i="32"/>
  <c r="CZ39" i="32"/>
  <c r="DA39" i="32"/>
  <c r="CZ38" i="32"/>
  <c r="CY38" i="32"/>
  <c r="DB38" i="32"/>
  <c r="DA38" i="32"/>
  <c r="CN207" i="34"/>
  <c r="CL207" i="34"/>
  <c r="CO207" i="34"/>
  <c r="CM207" i="34"/>
  <c r="CL20" i="34"/>
  <c r="CI13" i="36"/>
  <c r="CH13" i="36"/>
  <c r="CC13" i="36"/>
  <c r="CI28" i="36"/>
  <c r="CH28" i="36"/>
  <c r="CC28" i="36"/>
  <c r="CH47" i="36"/>
  <c r="CC47" i="36"/>
  <c r="CI47" i="36"/>
  <c r="CI71" i="36"/>
  <c r="CC71" i="36"/>
  <c r="O71" i="36" s="1"/>
  <c r="CH71" i="36"/>
  <c r="E194" i="34"/>
  <c r="CH15" i="36"/>
  <c r="CC15" i="36"/>
  <c r="O15" i="36" s="1"/>
  <c r="CI15" i="36"/>
  <c r="CI29" i="36"/>
  <c r="CH29" i="36"/>
  <c r="CC29" i="36"/>
  <c r="CI42" i="36"/>
  <c r="CH42" i="36"/>
  <c r="CC42" i="36"/>
  <c r="CH64" i="36"/>
  <c r="CC64" i="36"/>
  <c r="CI64" i="36"/>
  <c r="CH73" i="36"/>
  <c r="CC73" i="36"/>
  <c r="O73" i="36" s="1"/>
  <c r="CI73" i="36"/>
  <c r="CH84" i="36"/>
  <c r="CC84" i="36"/>
  <c r="CI84" i="36"/>
  <c r="CH41" i="36"/>
  <c r="CC41" i="36"/>
  <c r="O41" i="36" s="1"/>
  <c r="CI41" i="36"/>
  <c r="CI83" i="36"/>
  <c r="CC83" i="36"/>
  <c r="CH83" i="36"/>
  <c r="CC16" i="36"/>
  <c r="O16" i="36" s="1"/>
  <c r="CI16" i="36"/>
  <c r="CH16" i="36"/>
  <c r="CI30" i="36"/>
  <c r="CH30" i="36"/>
  <c r="CC30" i="36"/>
  <c r="CI43" i="36"/>
  <c r="CH43" i="36"/>
  <c r="CC43" i="36"/>
  <c r="CC65" i="36"/>
  <c r="CI65" i="36"/>
  <c r="CH65" i="36"/>
  <c r="CI78" i="36"/>
  <c r="CC78" i="36"/>
  <c r="CH78" i="36"/>
  <c r="CI86" i="36"/>
  <c r="CC86" i="36"/>
  <c r="CH86" i="36"/>
  <c r="CH19" i="36"/>
  <c r="CI19" i="36"/>
  <c r="CC19" i="36"/>
  <c r="CI32" i="36"/>
  <c r="CH32" i="36"/>
  <c r="CC32" i="36"/>
  <c r="CC45" i="36"/>
  <c r="CI45" i="36"/>
  <c r="CH45" i="36"/>
  <c r="CH68" i="36"/>
  <c r="CC68" i="36"/>
  <c r="O68" i="36" s="1"/>
  <c r="CI68" i="36"/>
  <c r="CH80" i="36"/>
  <c r="CI80" i="36"/>
  <c r="CC80" i="36"/>
  <c r="O80" i="36" s="1"/>
  <c r="CH88" i="36"/>
  <c r="CI88" i="36"/>
  <c r="CC88" i="36"/>
  <c r="CC18" i="36"/>
  <c r="CI18" i="36"/>
  <c r="CH18" i="36"/>
  <c r="CI31" i="36"/>
  <c r="CH31" i="36"/>
  <c r="CC31" i="36"/>
  <c r="CC44" i="36"/>
  <c r="CI44" i="36"/>
  <c r="CH44" i="36"/>
  <c r="CI67" i="36"/>
  <c r="CC67" i="36"/>
  <c r="O67" i="36" s="1"/>
  <c r="CH67" i="36"/>
  <c r="CI79" i="36"/>
  <c r="CC79" i="36"/>
  <c r="CH79" i="36"/>
  <c r="CI87" i="36"/>
  <c r="CC87" i="36"/>
  <c r="O87" i="36" s="1"/>
  <c r="CH87" i="36"/>
  <c r="CL25" i="34"/>
  <c r="CI12" i="36"/>
  <c r="CH12" i="36"/>
  <c r="CC12" i="36"/>
  <c r="CH27" i="36"/>
  <c r="CI27" i="36"/>
  <c r="CC27" i="36"/>
  <c r="CI40" i="36"/>
  <c r="CH40" i="36"/>
  <c r="CC40" i="36"/>
  <c r="CH46" i="36"/>
  <c r="CC46" i="36"/>
  <c r="O46" i="36" s="1"/>
  <c r="CI46" i="36"/>
  <c r="CC70" i="36"/>
  <c r="CI70" i="36"/>
  <c r="CH70" i="36"/>
  <c r="CI82" i="36"/>
  <c r="CC82" i="36"/>
  <c r="O82" i="36" s="1"/>
  <c r="CH82" i="36"/>
  <c r="E21" i="33"/>
  <c r="CD21" i="33" s="1"/>
  <c r="CX72" i="32"/>
  <c r="CY72" i="32"/>
  <c r="CX71" i="32"/>
  <c r="CY71" i="32"/>
  <c r="CX73" i="32"/>
  <c r="CW72" i="32"/>
  <c r="CV72" i="32"/>
  <c r="CV71" i="32"/>
  <c r="CW71" i="32"/>
  <c r="CV73" i="32"/>
  <c r="CW73" i="32"/>
  <c r="E97" i="34"/>
  <c r="F194" i="34"/>
  <c r="F208" i="34"/>
  <c r="CL215" i="34"/>
  <c r="CM39" i="34"/>
  <c r="CM64" i="34"/>
  <c r="CL57" i="34"/>
  <c r="CM66" i="34"/>
  <c r="F97" i="34"/>
  <c r="F186" i="34"/>
  <c r="E208" i="34"/>
  <c r="B258" i="32"/>
  <c r="D54" i="34"/>
  <c r="CM55" i="34"/>
  <c r="G74" i="32"/>
  <c r="CM67" i="34"/>
  <c r="CL62" i="34"/>
  <c r="CM62" i="34"/>
  <c r="CL34" i="34"/>
  <c r="CL63" i="34"/>
  <c r="CL65" i="34"/>
  <c r="CL67" i="34"/>
  <c r="E186" i="34"/>
  <c r="F152" i="34"/>
  <c r="CH25" i="33"/>
  <c r="CG25" i="33"/>
  <c r="D21" i="33"/>
  <c r="CV89" i="32"/>
  <c r="D74" i="32"/>
  <c r="C150" i="36" l="1"/>
  <c r="CM148" i="34"/>
  <c r="CL148" i="34"/>
  <c r="CC148" i="34"/>
  <c r="CB148" i="34"/>
  <c r="AE148" i="34" s="1"/>
  <c r="CL134" i="34"/>
  <c r="CM134" i="34"/>
  <c r="CB134" i="34"/>
  <c r="CC134" i="34"/>
  <c r="CL143" i="34"/>
  <c r="CM143" i="34"/>
  <c r="CB143" i="34"/>
  <c r="CC143" i="34"/>
  <c r="CL72" i="34"/>
  <c r="CM72" i="34"/>
  <c r="CL126" i="34"/>
  <c r="CM126" i="34"/>
  <c r="CL135" i="34"/>
  <c r="CM135" i="34"/>
  <c r="CB135" i="34"/>
  <c r="CC135" i="34"/>
  <c r="CM139" i="34"/>
  <c r="CL139" i="34"/>
  <c r="CC139" i="34"/>
  <c r="CB139" i="34"/>
  <c r="AE139" i="34" s="1"/>
  <c r="CM133" i="34"/>
  <c r="CL133" i="34"/>
  <c r="CB133" i="34"/>
  <c r="CC133" i="34"/>
  <c r="AE133" i="34" s="1"/>
  <c r="CM145" i="34"/>
  <c r="CL145" i="34"/>
  <c r="CB145" i="34"/>
  <c r="CC145" i="34"/>
  <c r="CM142" i="34"/>
  <c r="CL142" i="34"/>
  <c r="CB142" i="34"/>
  <c r="CC142" i="34"/>
  <c r="CM132" i="34"/>
  <c r="CL132" i="34"/>
  <c r="CC132" i="34"/>
  <c r="CB132" i="34"/>
  <c r="CL127" i="34"/>
  <c r="CM127" i="34"/>
  <c r="CM125" i="34"/>
  <c r="CL125" i="34"/>
  <c r="CL130" i="34"/>
  <c r="CM130" i="34"/>
  <c r="CM136" i="34"/>
  <c r="CL136" i="34"/>
  <c r="CC136" i="34"/>
  <c r="CB136" i="34"/>
  <c r="AE136" i="34" s="1"/>
  <c r="CM151" i="34"/>
  <c r="CL151" i="34"/>
  <c r="CB151" i="34"/>
  <c r="CC151" i="34"/>
  <c r="CM124" i="34"/>
  <c r="CL124" i="34"/>
  <c r="CL147" i="34"/>
  <c r="CM147" i="34"/>
  <c r="CB147" i="34"/>
  <c r="CC147" i="34"/>
  <c r="AE147" i="34" s="1"/>
  <c r="CL150" i="34"/>
  <c r="CM150" i="34"/>
  <c r="CB150" i="34"/>
  <c r="CC150" i="34"/>
  <c r="CL141" i="34"/>
  <c r="CM141" i="34"/>
  <c r="CB141" i="34"/>
  <c r="CC141" i="34"/>
  <c r="CM149" i="34"/>
  <c r="CL149" i="34"/>
  <c r="CB149" i="34"/>
  <c r="CC149" i="34"/>
  <c r="CM146" i="34"/>
  <c r="CL146" i="34"/>
  <c r="CC146" i="34"/>
  <c r="CB146" i="34"/>
  <c r="AE146" i="34" s="1"/>
  <c r="CM144" i="34"/>
  <c r="CL144" i="34"/>
  <c r="CC144" i="34"/>
  <c r="CB144" i="34"/>
  <c r="AE144" i="34" s="1"/>
  <c r="CM137" i="34"/>
  <c r="CL137" i="34"/>
  <c r="CB137" i="34"/>
  <c r="CC137" i="34"/>
  <c r="CL129" i="34"/>
  <c r="CM129" i="34"/>
  <c r="CM128" i="34"/>
  <c r="CL128" i="34"/>
  <c r="CL138" i="34"/>
  <c r="CM138" i="34"/>
  <c r="CB138" i="34"/>
  <c r="CC138" i="34"/>
  <c r="CM140" i="34"/>
  <c r="CL140" i="34"/>
  <c r="CC140" i="34"/>
  <c r="CB140" i="34"/>
  <c r="AE140" i="34" s="1"/>
  <c r="CL131" i="34"/>
  <c r="CM131" i="34"/>
  <c r="CL123" i="34"/>
  <c r="CM123" i="34"/>
  <c r="CB123" i="34"/>
  <c r="CC123" i="34"/>
  <c r="CB30" i="33"/>
  <c r="CC30" i="33"/>
  <c r="CB29" i="33"/>
  <c r="AJ29" i="33" s="1"/>
  <c r="CC29" i="33"/>
  <c r="O81" i="32"/>
  <c r="N70" i="32"/>
  <c r="O80" i="32"/>
  <c r="O79" i="32"/>
  <c r="O82" i="32"/>
  <c r="CC154" i="34"/>
  <c r="CB154" i="34"/>
  <c r="CB128" i="34"/>
  <c r="CC128" i="34"/>
  <c r="CB127" i="34"/>
  <c r="CC127" i="34"/>
  <c r="CB126" i="34"/>
  <c r="CC126" i="34"/>
  <c r="CB130" i="34"/>
  <c r="CC130" i="34"/>
  <c r="CB129" i="34"/>
  <c r="CC129" i="34"/>
  <c r="CB124" i="34"/>
  <c r="CC124" i="34"/>
  <c r="CB131" i="34"/>
  <c r="CC131" i="34"/>
  <c r="CB125" i="34"/>
  <c r="CC125" i="34"/>
  <c r="CC35" i="33"/>
  <c r="CB35" i="33"/>
  <c r="CH24" i="33"/>
  <c r="CB24" i="33"/>
  <c r="CC24" i="33"/>
  <c r="N73" i="32"/>
  <c r="CW88" i="32"/>
  <c r="CC88" i="32"/>
  <c r="CB88" i="32"/>
  <c r="CB90" i="32"/>
  <c r="CC90" i="32"/>
  <c r="E5" i="18"/>
  <c r="CB93" i="32"/>
  <c r="CC93" i="32"/>
  <c r="CC92" i="32"/>
  <c r="CB92" i="32"/>
  <c r="CB89" i="32"/>
  <c r="CC89" i="32"/>
  <c r="CC91" i="32"/>
  <c r="CB91" i="32"/>
  <c r="N71" i="32"/>
  <c r="CC157" i="34"/>
  <c r="CB157" i="34"/>
  <c r="CB25" i="33"/>
  <c r="AJ25" i="33" s="1"/>
  <c r="CC25" i="33"/>
  <c r="CG22" i="33"/>
  <c r="CC22" i="33"/>
  <c r="CB22" i="33"/>
  <c r="AJ22" i="33" s="1"/>
  <c r="CC34" i="33"/>
  <c r="CB34" i="33"/>
  <c r="CC21" i="33"/>
  <c r="CH21" i="33"/>
  <c r="CG23" i="33"/>
  <c r="B51" i="33"/>
  <c r="E6" i="18" s="1"/>
  <c r="CB23" i="33"/>
  <c r="CC23" i="33"/>
  <c r="AJ23" i="33" s="1"/>
  <c r="CB47" i="34"/>
  <c r="CC47" i="34"/>
  <c r="CB34" i="34"/>
  <c r="CC34" i="34"/>
  <c r="U34" i="34" s="1"/>
  <c r="CB36" i="34"/>
  <c r="CC36" i="34"/>
  <c r="CB73" i="34"/>
  <c r="CC73" i="34"/>
  <c r="CB39" i="34"/>
  <c r="CC39" i="34"/>
  <c r="CC37" i="34"/>
  <c r="CB37" i="34"/>
  <c r="U37" i="34" s="1"/>
  <c r="CB29" i="34"/>
  <c r="CC29" i="34"/>
  <c r="CB40" i="34"/>
  <c r="CC40" i="34"/>
  <c r="CM57" i="34"/>
  <c r="CB57" i="34"/>
  <c r="CC57" i="34"/>
  <c r="CF207" i="34"/>
  <c r="CG207" i="34"/>
  <c r="CB28" i="34"/>
  <c r="U28" i="34" s="1"/>
  <c r="CC28" i="34"/>
  <c r="CB32" i="34"/>
  <c r="CC32" i="34"/>
  <c r="CC25" i="34"/>
  <c r="CB25" i="34"/>
  <c r="CB20" i="34"/>
  <c r="CC20" i="34"/>
  <c r="CB30" i="34"/>
  <c r="CC30" i="34"/>
  <c r="CB48" i="34"/>
  <c r="CC48" i="34"/>
  <c r="T48" i="34" s="1"/>
  <c r="CB41" i="34"/>
  <c r="U41" i="34" s="1"/>
  <c r="CC41" i="34"/>
  <c r="CB38" i="34"/>
  <c r="CC38" i="34"/>
  <c r="CB24" i="34"/>
  <c r="U24" i="34" s="1"/>
  <c r="CC24" i="34"/>
  <c r="CB22" i="34"/>
  <c r="CC22" i="34"/>
  <c r="CB74" i="34"/>
  <c r="CC74" i="34"/>
  <c r="CC33" i="34"/>
  <c r="CB33" i="34"/>
  <c r="CC21" i="34"/>
  <c r="U21" i="34" s="1"/>
  <c r="CB21" i="34"/>
  <c r="D152" i="34"/>
  <c r="CB31" i="34"/>
  <c r="CC31" i="34"/>
  <c r="CB35" i="34"/>
  <c r="CC35" i="34"/>
  <c r="U35" i="34" s="1"/>
  <c r="CC72" i="34"/>
  <c r="CB72" i="34"/>
  <c r="CB23" i="34"/>
  <c r="CC23" i="34"/>
  <c r="CB27" i="34"/>
  <c r="CC27" i="34"/>
  <c r="U27" i="34" s="1"/>
  <c r="CM56" i="34"/>
  <c r="CC56" i="34"/>
  <c r="CB56" i="34"/>
  <c r="CQ206" i="34"/>
  <c r="CP206" i="34"/>
  <c r="CG206" i="34"/>
  <c r="CF206" i="34"/>
  <c r="CB26" i="34"/>
  <c r="CC26" i="34"/>
  <c r="CB49" i="34"/>
  <c r="CC49" i="34"/>
  <c r="CL36" i="34"/>
  <c r="CM20" i="34"/>
  <c r="CL40" i="34"/>
  <c r="CM40" i="34"/>
  <c r="CM36" i="34"/>
  <c r="CL38" i="34"/>
  <c r="CL29" i="34"/>
  <c r="CM38" i="34"/>
  <c r="CM25" i="34"/>
  <c r="CG34" i="33"/>
  <c r="CH34" i="33"/>
  <c r="CG29" i="33"/>
  <c r="CH29" i="33"/>
  <c r="O13" i="36"/>
  <c r="CH23" i="33"/>
  <c r="O79" i="36"/>
  <c r="O40" i="36"/>
  <c r="D15" i="18"/>
  <c r="CV92" i="32"/>
  <c r="CW89" i="32"/>
  <c r="C258" i="32" s="1"/>
  <c r="CV90" i="32"/>
  <c r="CQ207" i="34"/>
  <c r="CP207" i="34"/>
  <c r="CW92" i="32"/>
  <c r="CV88" i="32"/>
  <c r="CL30" i="34"/>
  <c r="CM30" i="34"/>
  <c r="CM34" i="34"/>
  <c r="CM27" i="34"/>
  <c r="CL74" i="34"/>
  <c r="CM74" i="34"/>
  <c r="D186" i="34"/>
  <c r="CL28" i="34"/>
  <c r="CL33" i="34"/>
  <c r="CL27" i="34"/>
  <c r="O70" i="36"/>
  <c r="O88" i="36"/>
  <c r="O86" i="36"/>
  <c r="O65" i="36"/>
  <c r="N63" i="34"/>
  <c r="CH22" i="33"/>
  <c r="CM28" i="34"/>
  <c r="CL32" i="34"/>
  <c r="CL24" i="34"/>
  <c r="CM32" i="34"/>
  <c r="CM24" i="34"/>
  <c r="N65" i="34"/>
  <c r="D194" i="34"/>
  <c r="O18" i="36"/>
  <c r="CL22" i="34"/>
  <c r="CM22" i="34"/>
  <c r="O42" i="36"/>
  <c r="CH35" i="33"/>
  <c r="O47" i="36"/>
  <c r="CG24" i="33"/>
  <c r="CI21" i="33"/>
  <c r="CL49" i="34"/>
  <c r="CM49" i="34"/>
  <c r="CL48" i="34"/>
  <c r="CM48" i="34"/>
  <c r="CL31" i="34"/>
  <c r="CM31" i="34"/>
  <c r="CL46" i="34"/>
  <c r="CM46" i="34"/>
  <c r="CL47" i="34"/>
  <c r="CM47" i="34"/>
  <c r="CM215" i="34"/>
  <c r="CL39" i="34"/>
  <c r="D208" i="34"/>
  <c r="O43" i="36"/>
  <c r="O31" i="36"/>
  <c r="O78" i="36"/>
  <c r="O84" i="36"/>
  <c r="O83" i="36"/>
  <c r="O45" i="36"/>
  <c r="O44" i="36"/>
  <c r="O32" i="36"/>
  <c r="O64" i="36"/>
  <c r="O27" i="36"/>
  <c r="O12" i="36"/>
  <c r="O19" i="36"/>
  <c r="O28" i="36"/>
  <c r="O29" i="36"/>
  <c r="O30" i="36"/>
  <c r="CM29" i="34"/>
  <c r="CM26" i="34"/>
  <c r="N67" i="34"/>
  <c r="CL41" i="34"/>
  <c r="CL37" i="34"/>
  <c r="CM33" i="34"/>
  <c r="D97" i="34"/>
  <c r="CM41" i="34"/>
  <c r="CM37" i="34"/>
  <c r="CL23" i="34"/>
  <c r="CL21" i="34"/>
  <c r="CM23" i="34"/>
  <c r="CM21" i="34"/>
  <c r="CL56" i="34"/>
  <c r="CL73" i="34"/>
  <c r="CM73" i="34"/>
  <c r="CG30" i="33"/>
  <c r="CH30" i="33"/>
  <c r="CM35" i="34"/>
  <c r="CG35" i="33"/>
  <c r="CL26" i="34"/>
  <c r="C21" i="33"/>
  <c r="CL35" i="34"/>
  <c r="CW90" i="32"/>
  <c r="CW91" i="32"/>
  <c r="CV91" i="32"/>
  <c r="AJ30" i="33"/>
  <c r="C54" i="34"/>
  <c r="B278" i="34" s="1"/>
  <c r="N66" i="34"/>
  <c r="N62" i="34"/>
  <c r="CM213" i="34"/>
  <c r="CL213" i="34"/>
  <c r="CM214" i="34"/>
  <c r="CL214" i="34"/>
  <c r="N64" i="34"/>
  <c r="CW93" i="32"/>
  <c r="CV93" i="32"/>
  <c r="U39" i="34" l="1"/>
  <c r="U22" i="34"/>
  <c r="U31" i="34"/>
  <c r="AE131" i="34"/>
  <c r="AE126" i="34"/>
  <c r="AE123" i="34"/>
  <c r="AE149" i="34"/>
  <c r="AE150" i="34"/>
  <c r="AE132" i="34"/>
  <c r="AE145" i="34"/>
  <c r="AE134" i="34"/>
  <c r="C278" i="34"/>
  <c r="U23" i="34"/>
  <c r="AE151" i="34"/>
  <c r="U33" i="34"/>
  <c r="U38" i="34"/>
  <c r="U36" i="34"/>
  <c r="AE129" i="34"/>
  <c r="AE128" i="34"/>
  <c r="AE138" i="34"/>
  <c r="AE137" i="34"/>
  <c r="AE141" i="34"/>
  <c r="AE142" i="34"/>
  <c r="AE135" i="34"/>
  <c r="AE143" i="34"/>
  <c r="AJ34" i="33"/>
  <c r="AJ90" i="32"/>
  <c r="AJ89" i="32"/>
  <c r="AJ93" i="32"/>
  <c r="AE154" i="34"/>
  <c r="AE124" i="34"/>
  <c r="AE130" i="34"/>
  <c r="AE127" i="34"/>
  <c r="AE125" i="34"/>
  <c r="AJ35" i="33"/>
  <c r="AJ92" i="32"/>
  <c r="AJ88" i="32"/>
  <c r="AJ91" i="32"/>
  <c r="AJ21" i="33"/>
  <c r="AK206" i="34"/>
  <c r="AE157" i="34"/>
  <c r="C51" i="33"/>
  <c r="AK207" i="34"/>
  <c r="U26" i="34"/>
  <c r="L72" i="34"/>
  <c r="U30" i="34"/>
  <c r="U32" i="34"/>
  <c r="U29" i="34"/>
  <c r="L74" i="34"/>
  <c r="L73" i="34"/>
  <c r="U40" i="34"/>
  <c r="U20" i="34"/>
  <c r="U25" i="34"/>
  <c r="D5" i="18"/>
  <c r="L56" i="34"/>
  <c r="T49" i="34"/>
  <c r="AJ24" i="33"/>
  <c r="T47" i="34"/>
  <c r="L57" i="34"/>
  <c r="D7" i="18" l="1"/>
  <c r="E7" i="18"/>
  <c r="D6" i="18"/>
  <c r="J203" i="31"/>
  <c r="I203" i="31"/>
  <c r="H203" i="31"/>
  <c r="G203" i="31"/>
  <c r="F203" i="31"/>
  <c r="CO149" i="31"/>
  <c r="CN149" i="31"/>
  <c r="CM149" i="31"/>
  <c r="CL149" i="31"/>
  <c r="CO148" i="31"/>
  <c r="CN148" i="31"/>
  <c r="CM148" i="31"/>
  <c r="CL148" i="31"/>
  <c r="CB122" i="31"/>
  <c r="CD117" i="31"/>
  <c r="B249" i="31"/>
  <c r="CO23" i="31"/>
  <c r="CB172" i="31" l="1"/>
  <c r="K172" i="31" s="1"/>
  <c r="CL172" i="31"/>
  <c r="CB180" i="31"/>
  <c r="K180" i="31" s="1"/>
  <c r="CL180" i="31"/>
  <c r="CB188" i="31"/>
  <c r="K188" i="31" s="1"/>
  <c r="CL188" i="31"/>
  <c r="CB196" i="31"/>
  <c r="K196" i="31" s="1"/>
  <c r="CL196" i="31"/>
  <c r="CL173" i="31"/>
  <c r="CB173" i="31"/>
  <c r="K173" i="31" s="1"/>
  <c r="CL174" i="31"/>
  <c r="CB174" i="31"/>
  <c r="K174" i="31" s="1"/>
  <c r="CL182" i="31"/>
  <c r="CB182" i="31"/>
  <c r="K182" i="31" s="1"/>
  <c r="CL190" i="31"/>
  <c r="CB190" i="31"/>
  <c r="K190" i="31" s="1"/>
  <c r="CB198" i="31"/>
  <c r="K198" i="31" s="1"/>
  <c r="CL198" i="31"/>
  <c r="CB195" i="31"/>
  <c r="K195" i="31" s="1"/>
  <c r="CL195" i="31"/>
  <c r="CL181" i="31"/>
  <c r="CB181" i="31"/>
  <c r="K181" i="31" s="1"/>
  <c r="CL189" i="31"/>
  <c r="CB189" i="31"/>
  <c r="K189" i="31" s="1"/>
  <c r="CL197" i="31"/>
  <c r="CB197" i="31"/>
  <c r="K197" i="31" s="1"/>
  <c r="CB175" i="31"/>
  <c r="K175" i="31" s="1"/>
  <c r="CL175" i="31"/>
  <c r="CB183" i="31"/>
  <c r="K183" i="31" s="1"/>
  <c r="CL183" i="31"/>
  <c r="CB191" i="31"/>
  <c r="K191" i="31" s="1"/>
  <c r="CL191" i="31"/>
  <c r="CB199" i="31"/>
  <c r="K199" i="31" s="1"/>
  <c r="CL199" i="31"/>
  <c r="CB187" i="31"/>
  <c r="K187" i="31" s="1"/>
  <c r="CL187" i="31"/>
  <c r="CB176" i="31"/>
  <c r="K176" i="31" s="1"/>
  <c r="CL176" i="31"/>
  <c r="CB184" i="31"/>
  <c r="K184" i="31" s="1"/>
  <c r="CL184" i="31"/>
  <c r="CB192" i="31"/>
  <c r="K192" i="31" s="1"/>
  <c r="CL192" i="31"/>
  <c r="CB200" i="31"/>
  <c r="K200" i="31" s="1"/>
  <c r="CL200" i="31"/>
  <c r="CB179" i="31"/>
  <c r="K179" i="31" s="1"/>
  <c r="CL179" i="31"/>
  <c r="CB177" i="31"/>
  <c r="K177" i="31" s="1"/>
  <c r="CL177" i="31"/>
  <c r="CL185" i="31"/>
  <c r="CB185" i="31"/>
  <c r="K185" i="31" s="1"/>
  <c r="CB193" i="31"/>
  <c r="K193" i="31" s="1"/>
  <c r="CL193" i="31"/>
  <c r="CL201" i="31"/>
  <c r="CB201" i="31"/>
  <c r="K201" i="31" s="1"/>
  <c r="CB178" i="31"/>
  <c r="K178" i="31" s="1"/>
  <c r="CL178" i="31"/>
  <c r="CL186" i="31"/>
  <c r="CB186" i="31"/>
  <c r="K186" i="31" s="1"/>
  <c r="CL194" i="31"/>
  <c r="CB194" i="31"/>
  <c r="K194" i="31" s="1"/>
  <c r="CL202" i="31"/>
  <c r="CB202" i="31"/>
  <c r="K202" i="31" s="1"/>
  <c r="CB171" i="31"/>
  <c r="K171" i="31" s="1"/>
  <c r="CL171" i="31"/>
  <c r="CB123" i="31"/>
  <c r="N123" i="31" s="1"/>
  <c r="CB124" i="31"/>
  <c r="N124" i="31" s="1"/>
  <c r="CB125" i="31"/>
  <c r="N125" i="31" s="1"/>
  <c r="CB127" i="31"/>
  <c r="N127" i="31" s="1"/>
  <c r="CB128" i="31"/>
  <c r="N128" i="31" s="1"/>
  <c r="CB129" i="31"/>
  <c r="N129" i="31" s="1"/>
  <c r="CB126" i="31"/>
  <c r="N126" i="31" s="1"/>
  <c r="CB130" i="31"/>
  <c r="N130" i="31" s="1"/>
  <c r="CD116" i="31"/>
  <c r="CM118" i="31"/>
  <c r="CD118" i="31"/>
  <c r="CL122" i="31"/>
  <c r="N122" i="31"/>
  <c r="CC116" i="31"/>
  <c r="CB116" i="31"/>
  <c r="CN116" i="31"/>
  <c r="CC20" i="31"/>
  <c r="CD20" i="31"/>
  <c r="CP11" i="31"/>
  <c r="CO11" i="31"/>
  <c r="CE11" i="31"/>
  <c r="AK11" i="31" s="1"/>
  <c r="CN11" i="31"/>
  <c r="CN30" i="31"/>
  <c r="CO30" i="31"/>
  <c r="CP30" i="31"/>
  <c r="CD30" i="31"/>
  <c r="CQ30" i="31"/>
  <c r="CE30" i="31"/>
  <c r="CF30" i="31"/>
  <c r="CG30" i="31"/>
  <c r="CF31" i="31"/>
  <c r="CG31" i="31"/>
  <c r="CN31" i="31"/>
  <c r="CE31" i="31"/>
  <c r="CO31" i="31"/>
  <c r="CP31" i="31"/>
  <c r="CQ31" i="31"/>
  <c r="CD31" i="31"/>
  <c r="CN26" i="31"/>
  <c r="CO26" i="31"/>
  <c r="CQ26" i="31"/>
  <c r="CD26" i="31"/>
  <c r="CE26" i="31"/>
  <c r="CG26" i="31"/>
  <c r="CO28" i="31"/>
  <c r="CN28" i="31"/>
  <c r="CP28" i="31"/>
  <c r="CQ28" i="31"/>
  <c r="CD28" i="31"/>
  <c r="CE28" i="31"/>
  <c r="CG28" i="31"/>
  <c r="CF29" i="31"/>
  <c r="CG29" i="31"/>
  <c r="CD29" i="31"/>
  <c r="CE29" i="31"/>
  <c r="CN29" i="31"/>
  <c r="CO29" i="31"/>
  <c r="CQ29" i="31"/>
  <c r="CP29" i="31"/>
  <c r="CG27" i="31"/>
  <c r="CD27" i="31"/>
  <c r="CN27" i="31"/>
  <c r="CO27" i="31"/>
  <c r="CQ27" i="31"/>
  <c r="CE27" i="31"/>
  <c r="CO43" i="31"/>
  <c r="CF43" i="31"/>
  <c r="CG43" i="31"/>
  <c r="CP43" i="31"/>
  <c r="CQ43" i="31"/>
  <c r="CN43" i="31"/>
  <c r="CE43" i="31"/>
  <c r="CD43" i="31"/>
  <c r="CO45" i="31"/>
  <c r="CF45" i="31"/>
  <c r="CP45" i="31"/>
  <c r="CG45" i="31"/>
  <c r="CQ45" i="31"/>
  <c r="CN45" i="31"/>
  <c r="CD45" i="31"/>
  <c r="CE45" i="31"/>
  <c r="CN44" i="31"/>
  <c r="CE44" i="31"/>
  <c r="CO44" i="31"/>
  <c r="CF44" i="31"/>
  <c r="CD44" i="31"/>
  <c r="CP44" i="31"/>
  <c r="CG44" i="31"/>
  <c r="CQ44" i="31"/>
  <c r="CO38" i="31"/>
  <c r="CP38" i="31"/>
  <c r="CQ38" i="31"/>
  <c r="CD38" i="31"/>
  <c r="CE38" i="31"/>
  <c r="CF38" i="31"/>
  <c r="CN38" i="31"/>
  <c r="CG38" i="31"/>
  <c r="CF39" i="31"/>
  <c r="CG39" i="31"/>
  <c r="CN39" i="31"/>
  <c r="CO39" i="31"/>
  <c r="CP39" i="31"/>
  <c r="CQ39" i="31"/>
  <c r="CD39" i="31"/>
  <c r="CE39" i="31"/>
  <c r="CO42" i="31"/>
  <c r="CP42" i="31"/>
  <c r="CQ42" i="31"/>
  <c r="CD42" i="31"/>
  <c r="CE42" i="31"/>
  <c r="CN42" i="31"/>
  <c r="CF42" i="31"/>
  <c r="CG42" i="31"/>
  <c r="CO40" i="31"/>
  <c r="CP40" i="31"/>
  <c r="CQ40" i="31"/>
  <c r="CD40" i="31"/>
  <c r="CN40" i="31"/>
  <c r="CE40" i="31"/>
  <c r="CF40" i="31"/>
  <c r="CG40" i="31"/>
  <c r="CF41" i="31"/>
  <c r="CG41" i="31"/>
  <c r="CE41" i="31"/>
  <c r="CN41" i="31"/>
  <c r="CO41" i="31"/>
  <c r="CP41" i="31"/>
  <c r="CQ41" i="31"/>
  <c r="CD41" i="31"/>
  <c r="CO37" i="31"/>
  <c r="CF37" i="31"/>
  <c r="CG37" i="31"/>
  <c r="CE37" i="31"/>
  <c r="CN37" i="31"/>
  <c r="CQ37" i="31"/>
  <c r="CD37" i="31"/>
  <c r="CP37" i="31"/>
  <c r="CO32" i="31"/>
  <c r="CP32" i="31"/>
  <c r="CQ32" i="31"/>
  <c r="CD32" i="31"/>
  <c r="CE32" i="31"/>
  <c r="CF32" i="31"/>
  <c r="CG32" i="31"/>
  <c r="CN32" i="31"/>
  <c r="CF35" i="31"/>
  <c r="CG35" i="31"/>
  <c r="CN35" i="31"/>
  <c r="CE35" i="31"/>
  <c r="CO35" i="31"/>
  <c r="CP35" i="31"/>
  <c r="CQ35" i="31"/>
  <c r="CD35" i="31"/>
  <c r="CO36" i="31"/>
  <c r="CP36" i="31"/>
  <c r="CN36" i="31"/>
  <c r="CQ36" i="31"/>
  <c r="CD36" i="31"/>
  <c r="CE36" i="31"/>
  <c r="CF36" i="31"/>
  <c r="CG36" i="31"/>
  <c r="CO34" i="31"/>
  <c r="CP34" i="31"/>
  <c r="CQ34" i="31"/>
  <c r="CD34" i="31"/>
  <c r="CE34" i="31"/>
  <c r="CF34" i="31"/>
  <c r="CN34" i="31"/>
  <c r="CG34" i="31"/>
  <c r="CF33" i="31"/>
  <c r="CG33" i="31"/>
  <c r="CE33" i="31"/>
  <c r="CN33" i="31"/>
  <c r="CO33" i="31"/>
  <c r="CP33" i="31"/>
  <c r="CQ33" i="31"/>
  <c r="CD33" i="31"/>
  <c r="CN25" i="31"/>
  <c r="CE25" i="31"/>
  <c r="CO25" i="31"/>
  <c r="CG25" i="31"/>
  <c r="CQ25" i="31"/>
  <c r="CD25" i="31"/>
  <c r="CN22" i="31"/>
  <c r="CO22" i="31"/>
  <c r="CD22" i="31"/>
  <c r="CP22" i="31"/>
  <c r="CE22" i="31"/>
  <c r="CQ22" i="31"/>
  <c r="CF22" i="31"/>
  <c r="CO24" i="31"/>
  <c r="CD24" i="31"/>
  <c r="CQ24" i="31"/>
  <c r="CE24" i="31"/>
  <c r="CG24" i="31"/>
  <c r="CN24" i="31"/>
  <c r="CD23" i="31"/>
  <c r="CN23" i="31"/>
  <c r="CQ23" i="31"/>
  <c r="CE23" i="31"/>
  <c r="CG23" i="31"/>
  <c r="CN14" i="31"/>
  <c r="CO14" i="31"/>
  <c r="CP14" i="31"/>
  <c r="CD14" i="31"/>
  <c r="CQ14" i="31"/>
  <c r="CE14" i="31"/>
  <c r="CF14" i="31"/>
  <c r="CG14" i="31"/>
  <c r="CN12" i="31"/>
  <c r="CO12" i="31"/>
  <c r="CC12" i="31"/>
  <c r="CP12" i="31"/>
  <c r="CD12" i="31"/>
  <c r="CQ12" i="31"/>
  <c r="CE12" i="31"/>
  <c r="CF12" i="31"/>
  <c r="CG12" i="31"/>
  <c r="CF13" i="31"/>
  <c r="CG13" i="31"/>
  <c r="CE13" i="31"/>
  <c r="CN13" i="31"/>
  <c r="CO13" i="31"/>
  <c r="CP13" i="31"/>
  <c r="CD13" i="31"/>
  <c r="CQ13" i="31"/>
  <c r="CF15" i="31"/>
  <c r="CG15" i="31"/>
  <c r="CN15" i="31"/>
  <c r="CO15" i="31"/>
  <c r="CQ15" i="31"/>
  <c r="CE15" i="31"/>
  <c r="CP15" i="31"/>
  <c r="CD15" i="31"/>
  <c r="CN18" i="31"/>
  <c r="CO18" i="31"/>
  <c r="CP18" i="31"/>
  <c r="CD18" i="31"/>
  <c r="CQ18" i="31"/>
  <c r="CE18" i="31"/>
  <c r="CF18" i="31"/>
  <c r="CG18" i="31"/>
  <c r="CN20" i="31"/>
  <c r="CO20" i="31"/>
  <c r="CP20" i="31"/>
  <c r="CQ20" i="31"/>
  <c r="CE20" i="31"/>
  <c r="CF20" i="31"/>
  <c r="CF21" i="31"/>
  <c r="CG21" i="31"/>
  <c r="CQ21" i="31"/>
  <c r="CN21" i="31"/>
  <c r="CO21" i="31"/>
  <c r="CP21" i="31"/>
  <c r="CD21" i="31"/>
  <c r="CE21" i="31"/>
  <c r="CN16" i="31"/>
  <c r="CO16" i="31"/>
  <c r="CP16" i="31"/>
  <c r="CD16" i="31"/>
  <c r="CQ16" i="31"/>
  <c r="CE16" i="31"/>
  <c r="CF16" i="31"/>
  <c r="CG16" i="31"/>
  <c r="CF19" i="31"/>
  <c r="CG19" i="31"/>
  <c r="CQ19" i="31"/>
  <c r="CN19" i="31"/>
  <c r="CE19" i="31"/>
  <c r="CO19" i="31"/>
  <c r="CP19" i="31"/>
  <c r="CD19" i="31"/>
  <c r="CF17" i="31"/>
  <c r="CE17" i="31"/>
  <c r="CG17" i="31"/>
  <c r="CN17" i="31"/>
  <c r="CQ17" i="31"/>
  <c r="CO17" i="31"/>
  <c r="CP17" i="31"/>
  <c r="CD17" i="31"/>
  <c r="CM116" i="31"/>
  <c r="CL116" i="31"/>
  <c r="CC117" i="31"/>
  <c r="CB117" i="31"/>
  <c r="CL117" i="31"/>
  <c r="CM117" i="31"/>
  <c r="CN117" i="31"/>
  <c r="CB118" i="31"/>
  <c r="CN118" i="31"/>
  <c r="CC118" i="31"/>
  <c r="CL118" i="31"/>
  <c r="CM19" i="31"/>
  <c r="CM26" i="31"/>
  <c r="CM32" i="31"/>
  <c r="CM44" i="31"/>
  <c r="CM45" i="31"/>
  <c r="CM17" i="31"/>
  <c r="CM35" i="31"/>
  <c r="CM34" i="31"/>
  <c r="CC44" i="31"/>
  <c r="CM25" i="31"/>
  <c r="CM38" i="31"/>
  <c r="CM22" i="31"/>
  <c r="CM16" i="31"/>
  <c r="CM33" i="31"/>
  <c r="CM20" i="31"/>
  <c r="CC32" i="31"/>
  <c r="CC34" i="31"/>
  <c r="CC38" i="31"/>
  <c r="CC29" i="31"/>
  <c r="CM41" i="31"/>
  <c r="CM40" i="31"/>
  <c r="CC40" i="31"/>
  <c r="CM39" i="31"/>
  <c r="CM29" i="31"/>
  <c r="CL130" i="31"/>
  <c r="CM18" i="31"/>
  <c r="CM21" i="31"/>
  <c r="CC27" i="31"/>
  <c r="AK27" i="31" s="1"/>
  <c r="CM28" i="31"/>
  <c r="CM31" i="31"/>
  <c r="CC36" i="31"/>
  <c r="CM37" i="31"/>
  <c r="CC42" i="31"/>
  <c r="CM43" i="31"/>
  <c r="CL127" i="31"/>
  <c r="CC28" i="31"/>
  <c r="AK28" i="31" s="1"/>
  <c r="CC31" i="31"/>
  <c r="AK31" i="31" s="1"/>
  <c r="CC37" i="31"/>
  <c r="CC43" i="31"/>
  <c r="CM13" i="31"/>
  <c r="CM14" i="31"/>
  <c r="CC26" i="31"/>
  <c r="AK26" i="31" s="1"/>
  <c r="CM27" i="31"/>
  <c r="CC35" i="31"/>
  <c r="CM36" i="31"/>
  <c r="CC41" i="31"/>
  <c r="CM42" i="31"/>
  <c r="CL123" i="31"/>
  <c r="CL128" i="31"/>
  <c r="CL129" i="31"/>
  <c r="J149" i="31"/>
  <c r="CL125" i="31"/>
  <c r="CC14" i="31"/>
  <c r="CL126" i="31"/>
  <c r="CC13" i="31"/>
  <c r="CC30" i="31"/>
  <c r="AK30" i="31" s="1"/>
  <c r="CC33" i="31"/>
  <c r="CC39" i="31"/>
  <c r="CC45" i="31"/>
  <c r="CL124" i="31"/>
  <c r="CC24" i="31"/>
  <c r="AK24" i="31" s="1"/>
  <c r="CM24" i="31"/>
  <c r="CC23" i="31"/>
  <c r="CM23" i="31"/>
  <c r="CM12" i="31"/>
  <c r="CM30" i="31"/>
  <c r="CC16" i="31"/>
  <c r="CC17" i="31"/>
  <c r="CC18" i="31"/>
  <c r="CC19" i="31"/>
  <c r="CC21" i="31"/>
  <c r="CC15" i="31"/>
  <c r="CM15" i="31"/>
  <c r="E203" i="31"/>
  <c r="AK25" i="31" l="1"/>
  <c r="AK13" i="31"/>
  <c r="AK43" i="31"/>
  <c r="AK22" i="31"/>
  <c r="AK21" i="31"/>
  <c r="AK23" i="31"/>
  <c r="AK36" i="31"/>
  <c r="AK19" i="31"/>
  <c r="AK41" i="31"/>
  <c r="AK37" i="31"/>
  <c r="AK40" i="31"/>
  <c r="AK14" i="31"/>
  <c r="AK35" i="31"/>
  <c r="AK16" i="31"/>
  <c r="AK45" i="31"/>
  <c r="AK29" i="31"/>
  <c r="AK18" i="31"/>
  <c r="AK17" i="31"/>
  <c r="AK39" i="31"/>
  <c r="AK38" i="31"/>
  <c r="AK33" i="31"/>
  <c r="AK42" i="31"/>
  <c r="AK34" i="31"/>
  <c r="AK44" i="31"/>
  <c r="AK12" i="31"/>
  <c r="AK15" i="31"/>
  <c r="AK32" i="31"/>
  <c r="AK20" i="31"/>
  <c r="CL212" i="31"/>
  <c r="CB212" i="31"/>
  <c r="AJ212" i="31" s="1"/>
  <c r="CL209" i="31"/>
  <c r="CB209" i="31"/>
  <c r="AJ209" i="31" s="1"/>
  <c r="CL214" i="31"/>
  <c r="CB214" i="31"/>
  <c r="AJ214" i="31" s="1"/>
  <c r="CL211" i="31"/>
  <c r="CB211" i="31"/>
  <c r="AJ211" i="31" s="1"/>
  <c r="AJ208" i="31"/>
  <c r="CB213" i="31"/>
  <c r="AJ213" i="31" s="1"/>
  <c r="CL210" i="31"/>
  <c r="CB210" i="31"/>
  <c r="AJ210" i="31" s="1"/>
  <c r="Y116" i="31"/>
  <c r="Y117" i="31"/>
  <c r="Y118" i="31"/>
  <c r="CL213" i="31"/>
  <c r="CH106" i="29" l="1"/>
  <c r="CI106" i="29"/>
  <c r="CJ106" i="29"/>
  <c r="CX106" i="29"/>
  <c r="CW106" i="29"/>
  <c r="CV106" i="29"/>
  <c r="CJ104" i="29"/>
  <c r="CV104" i="29"/>
  <c r="CW104" i="29"/>
  <c r="CX104" i="29"/>
  <c r="CI104" i="29"/>
  <c r="CH104" i="29"/>
  <c r="CJ105" i="29"/>
  <c r="CH105" i="29"/>
  <c r="CI105" i="29"/>
  <c r="CV105" i="29"/>
  <c r="CW105" i="29"/>
  <c r="CX105" i="29"/>
  <c r="BA97" i="29"/>
  <c r="BA96" i="29"/>
  <c r="BA95" i="29"/>
  <c r="AN106" i="29" l="1"/>
  <c r="AN104" i="29"/>
  <c r="AN105" i="29"/>
  <c r="CG352" i="29"/>
  <c r="CG351" i="29"/>
  <c r="CH351" i="29"/>
  <c r="CB346" i="29"/>
  <c r="CB339" i="29"/>
  <c r="CB338" i="29"/>
  <c r="CB337" i="29"/>
  <c r="CB336" i="29"/>
  <c r="CB335" i="29"/>
  <c r="CB332" i="29"/>
  <c r="CB331" i="29"/>
  <c r="CB330" i="29"/>
  <c r="CC330" i="29"/>
  <c r="CB329" i="29"/>
  <c r="CQ315" i="29"/>
  <c r="CQ314" i="29"/>
  <c r="CQ313" i="29"/>
  <c r="CQ312" i="29"/>
  <c r="CQ311" i="29"/>
  <c r="CQ310" i="29"/>
  <c r="CQ309" i="29"/>
  <c r="CQ308" i="29"/>
  <c r="CC307" i="29"/>
  <c r="AW306" i="29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CE293" i="29"/>
  <c r="CE292" i="29"/>
  <c r="CE291" i="29"/>
  <c r="CE290" i="29"/>
  <c r="CE289" i="29"/>
  <c r="CE288" i="29"/>
  <c r="CE287" i="29"/>
  <c r="CE286" i="29"/>
  <c r="CE285" i="29"/>
  <c r="CE284" i="29"/>
  <c r="CE283" i="29"/>
  <c r="CE282" i="29"/>
  <c r="CE281" i="29"/>
  <c r="CE280" i="29"/>
  <c r="CE279" i="29"/>
  <c r="CE278" i="29"/>
  <c r="CE277" i="29"/>
  <c r="CE276" i="29"/>
  <c r="CE275" i="29"/>
  <c r="CD274" i="29"/>
  <c r="CE274" i="29"/>
  <c r="CC273" i="29"/>
  <c r="CE273" i="29"/>
  <c r="CC272" i="29"/>
  <c r="CE272" i="29"/>
  <c r="CC271" i="29"/>
  <c r="CE271" i="29"/>
  <c r="CC270" i="29"/>
  <c r="CE270" i="29"/>
  <c r="CC269" i="29"/>
  <c r="CE269" i="29"/>
  <c r="CE268" i="29"/>
  <c r="CE267" i="29"/>
  <c r="CE266" i="29"/>
  <c r="CE265" i="29"/>
  <c r="CE264" i="29"/>
  <c r="CE263" i="29"/>
  <c r="CE262" i="29"/>
  <c r="CE261" i="29"/>
  <c r="CD260" i="29"/>
  <c r="CE245" i="29"/>
  <c r="CH241" i="29"/>
  <c r="CH240" i="29"/>
  <c r="CH239" i="29"/>
  <c r="CH238" i="29"/>
  <c r="CH237" i="29"/>
  <c r="CH236" i="29"/>
  <c r="CH235" i="29"/>
  <c r="CH234" i="29"/>
  <c r="CH233" i="29"/>
  <c r="CH232" i="29"/>
  <c r="CH231" i="29"/>
  <c r="CH230" i="29"/>
  <c r="CS229" i="29"/>
  <c r="CH229" i="29"/>
  <c r="CH228" i="29"/>
  <c r="CH226" i="29"/>
  <c r="CH225" i="29"/>
  <c r="CH224" i="29"/>
  <c r="CH223" i="29"/>
  <c r="CH222" i="29"/>
  <c r="CH221" i="29"/>
  <c r="CH220" i="29"/>
  <c r="CH219" i="29"/>
  <c r="CH218" i="29"/>
  <c r="CH217" i="29"/>
  <c r="CH216" i="29"/>
  <c r="CH215" i="29"/>
  <c r="CH214" i="29"/>
  <c r="CH213" i="29"/>
  <c r="CH211" i="29"/>
  <c r="CH210" i="29"/>
  <c r="CH209" i="29"/>
  <c r="CH207" i="29"/>
  <c r="CH206" i="29"/>
  <c r="CH205" i="29"/>
  <c r="CH204" i="29"/>
  <c r="CH201" i="29"/>
  <c r="CH200" i="29"/>
  <c r="CH199" i="29"/>
  <c r="CB193" i="29"/>
  <c r="CH193" i="29"/>
  <c r="R183" i="29"/>
  <c r="Q183" i="29"/>
  <c r="P183" i="29"/>
  <c r="O183" i="29"/>
  <c r="N183" i="29"/>
  <c r="M183" i="29"/>
  <c r="L183" i="29"/>
  <c r="K183" i="29"/>
  <c r="J183" i="29"/>
  <c r="I183" i="29"/>
  <c r="H183" i="29"/>
  <c r="G183" i="29"/>
  <c r="S175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S170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P162" i="29"/>
  <c r="O162" i="29"/>
  <c r="N162" i="29"/>
  <c r="M162" i="29"/>
  <c r="L162" i="29"/>
  <c r="K162" i="29"/>
  <c r="J162" i="29"/>
  <c r="I162" i="29"/>
  <c r="H162" i="29"/>
  <c r="P157" i="29"/>
  <c r="O157" i="29"/>
  <c r="N157" i="29"/>
  <c r="M157" i="29"/>
  <c r="L157" i="29"/>
  <c r="K157" i="29"/>
  <c r="J157" i="29"/>
  <c r="I157" i="29"/>
  <c r="H157" i="29"/>
  <c r="G157" i="29"/>
  <c r="N111" i="29"/>
  <c r="M111" i="29"/>
  <c r="L111" i="29"/>
  <c r="K111" i="29"/>
  <c r="J111" i="29"/>
  <c r="I111" i="29"/>
  <c r="H111" i="29"/>
  <c r="CC51" i="29"/>
  <c r="CC50" i="29"/>
  <c r="CC48" i="29"/>
  <c r="CC47" i="29"/>
  <c r="CC44" i="29"/>
  <c r="CC43" i="29"/>
  <c r="CC42" i="29"/>
  <c r="CC41" i="29"/>
  <c r="CC40" i="29"/>
  <c r="CC39" i="29"/>
  <c r="CC38" i="29"/>
  <c r="CC37" i="29"/>
  <c r="BP149" i="28"/>
  <c r="BP148" i="28"/>
  <c r="BP144" i="28"/>
  <c r="BQ137" i="28"/>
  <c r="BQ136" i="28"/>
  <c r="BQ135" i="28"/>
  <c r="S117" i="28"/>
  <c r="M117" i="28"/>
  <c r="L117" i="28"/>
  <c r="K117" i="28"/>
  <c r="J117" i="28"/>
  <c r="I117" i="28"/>
  <c r="H117" i="28"/>
  <c r="G117" i="28"/>
  <c r="F117" i="28"/>
  <c r="E117" i="28"/>
  <c r="D117" i="28"/>
  <c r="BP83" i="28"/>
  <c r="Y62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Y59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CV227" i="29" l="1"/>
  <c r="CH227" i="29"/>
  <c r="CG44" i="29"/>
  <c r="CU44" i="29"/>
  <c r="CG47" i="29"/>
  <c r="CU47" i="29"/>
  <c r="CG38" i="29"/>
  <c r="CU38" i="29"/>
  <c r="CG39" i="29"/>
  <c r="CU39" i="29"/>
  <c r="CG41" i="29"/>
  <c r="CU41" i="29"/>
  <c r="CG42" i="29"/>
  <c r="CU42" i="29"/>
  <c r="CG43" i="29"/>
  <c r="CU43" i="29"/>
  <c r="CG40" i="29"/>
  <c r="CU40" i="29"/>
  <c r="CG48" i="29"/>
  <c r="CU48" i="29"/>
  <c r="CG50" i="29"/>
  <c r="CU50" i="29"/>
  <c r="CG51" i="29"/>
  <c r="CU51" i="29"/>
  <c r="CG37" i="29"/>
  <c r="CU37" i="29"/>
  <c r="CS227" i="29"/>
  <c r="CI227" i="29"/>
  <c r="CK240" i="29"/>
  <c r="CY240" i="29"/>
  <c r="CJ204" i="29"/>
  <c r="CI204" i="29"/>
  <c r="CC204" i="29"/>
  <c r="CE204" i="29"/>
  <c r="CB204" i="29"/>
  <c r="CX204" i="29"/>
  <c r="CD217" i="29"/>
  <c r="CY217" i="29"/>
  <c r="CK217" i="29"/>
  <c r="CK229" i="29"/>
  <c r="CY229" i="29"/>
  <c r="CY241" i="29"/>
  <c r="CK241" i="29"/>
  <c r="CD205" i="29"/>
  <c r="CK205" i="29"/>
  <c r="CY205" i="29"/>
  <c r="CC217" i="29"/>
  <c r="CB217" i="29"/>
  <c r="CI217" i="29"/>
  <c r="CX217" i="29"/>
  <c r="CJ217" i="29"/>
  <c r="CE217" i="29"/>
  <c r="CJ229" i="29"/>
  <c r="CX229" i="29"/>
  <c r="CX241" i="29"/>
  <c r="CJ241" i="29"/>
  <c r="CK204" i="29"/>
  <c r="CD204" i="29"/>
  <c r="CY204" i="29"/>
  <c r="CI205" i="29"/>
  <c r="CJ205" i="29"/>
  <c r="CE205" i="29"/>
  <c r="CC205" i="29"/>
  <c r="CB205" i="29"/>
  <c r="CX205" i="29"/>
  <c r="CY218" i="29"/>
  <c r="CK218" i="29"/>
  <c r="CY230" i="29"/>
  <c r="CK230" i="29"/>
  <c r="CK206" i="29"/>
  <c r="CY206" i="29"/>
  <c r="CD206" i="29"/>
  <c r="CB218" i="29"/>
  <c r="CX218" i="29"/>
  <c r="CJ218" i="29"/>
  <c r="CX230" i="29"/>
  <c r="CJ230" i="29"/>
  <c r="CX240" i="29"/>
  <c r="CJ240" i="29"/>
  <c r="CJ206" i="29"/>
  <c r="CI206" i="29"/>
  <c r="CX206" i="29"/>
  <c r="CE206" i="29"/>
  <c r="CC206" i="29"/>
  <c r="CB206" i="29"/>
  <c r="CY219" i="29"/>
  <c r="CK219" i="29"/>
  <c r="CY231" i="29"/>
  <c r="CK231" i="29"/>
  <c r="CK207" i="29"/>
  <c r="CD207" i="29"/>
  <c r="CY207" i="29"/>
  <c r="CB219" i="29"/>
  <c r="CX219" i="29"/>
  <c r="CJ219" i="29"/>
  <c r="CX231" i="29"/>
  <c r="CJ231" i="29"/>
  <c r="CI207" i="29"/>
  <c r="CJ207" i="29"/>
  <c r="CE207" i="29"/>
  <c r="CC207" i="29"/>
  <c r="CX207" i="29"/>
  <c r="CB207" i="29"/>
  <c r="CY220" i="29"/>
  <c r="CK220" i="29"/>
  <c r="CY232" i="29"/>
  <c r="CK232" i="29"/>
  <c r="CD216" i="29"/>
  <c r="CY216" i="29"/>
  <c r="CK216" i="29"/>
  <c r="CI208" i="29"/>
  <c r="CX208" i="29"/>
  <c r="CJ208" i="29"/>
  <c r="CC208" i="29"/>
  <c r="CB220" i="29"/>
  <c r="CX220" i="29"/>
  <c r="CJ220" i="29"/>
  <c r="CX232" i="29"/>
  <c r="CJ232" i="29"/>
  <c r="CI216" i="29"/>
  <c r="CE216" i="29"/>
  <c r="CC216" i="29"/>
  <c r="CB216" i="29"/>
  <c r="CX216" i="29"/>
  <c r="CJ216" i="29"/>
  <c r="CY209" i="29"/>
  <c r="CK209" i="29"/>
  <c r="CD209" i="29"/>
  <c r="CY221" i="29"/>
  <c r="CK221" i="29"/>
  <c r="CY233" i="29"/>
  <c r="CK233" i="29"/>
  <c r="CC209" i="29"/>
  <c r="CB209" i="29"/>
  <c r="CX209" i="29"/>
  <c r="CJ209" i="29"/>
  <c r="CI209" i="29"/>
  <c r="CE209" i="29"/>
  <c r="CB221" i="29"/>
  <c r="CX221" i="29"/>
  <c r="CJ221" i="29"/>
  <c r="CX233" i="29"/>
  <c r="CJ233" i="29"/>
  <c r="CY210" i="29"/>
  <c r="CK210" i="29"/>
  <c r="CD210" i="29"/>
  <c r="CY222" i="29"/>
  <c r="CK222" i="29"/>
  <c r="CY234" i="29"/>
  <c r="CK234" i="29"/>
  <c r="CX210" i="29"/>
  <c r="CJ210" i="29"/>
  <c r="CI210" i="29"/>
  <c r="CE210" i="29"/>
  <c r="CC210" i="29"/>
  <c r="CB210" i="29"/>
  <c r="CX222" i="29"/>
  <c r="CJ222" i="29"/>
  <c r="CX234" i="29"/>
  <c r="CJ234" i="29"/>
  <c r="CY211" i="29"/>
  <c r="CD211" i="29"/>
  <c r="CK211" i="29"/>
  <c r="CY223" i="29"/>
  <c r="CK223" i="29"/>
  <c r="CY235" i="29"/>
  <c r="CK235" i="29"/>
  <c r="CI211" i="29"/>
  <c r="CC211" i="29"/>
  <c r="CE211" i="29"/>
  <c r="CX211" i="29"/>
  <c r="CJ211" i="29"/>
  <c r="CB211" i="29"/>
  <c r="CX223" i="29"/>
  <c r="CJ223" i="29"/>
  <c r="CX235" i="29"/>
  <c r="CJ235" i="29"/>
  <c r="CY212" i="29"/>
  <c r="CK212" i="29"/>
  <c r="CD212" i="29"/>
  <c r="CY224" i="29"/>
  <c r="CK224" i="29"/>
  <c r="CK236" i="29"/>
  <c r="CY236" i="29"/>
  <c r="CK193" i="29"/>
  <c r="CY193" i="29"/>
  <c r="CX212" i="29"/>
  <c r="CJ212" i="29"/>
  <c r="CI212" i="29"/>
  <c r="CE212" i="29"/>
  <c r="CC212" i="29"/>
  <c r="CB212" i="29"/>
  <c r="CX224" i="29"/>
  <c r="CJ224" i="29"/>
  <c r="CX236" i="29"/>
  <c r="CJ236" i="29"/>
  <c r="CC193" i="29"/>
  <c r="CI193" i="29"/>
  <c r="CE193" i="29"/>
  <c r="CJ193" i="29"/>
  <c r="CX193" i="29"/>
  <c r="CY213" i="29"/>
  <c r="CK213" i="29"/>
  <c r="CD213" i="29"/>
  <c r="CY225" i="29"/>
  <c r="CK225" i="29"/>
  <c r="CY237" i="29"/>
  <c r="CK237" i="29"/>
  <c r="CY228" i="29"/>
  <c r="CK228" i="29"/>
  <c r="CY199" i="29"/>
  <c r="CD199" i="29"/>
  <c r="CK199" i="29"/>
  <c r="CX213" i="29"/>
  <c r="CJ213" i="29"/>
  <c r="CI213" i="29"/>
  <c r="CE213" i="29"/>
  <c r="CC213" i="29"/>
  <c r="CB213" i="29"/>
  <c r="CX225" i="29"/>
  <c r="CJ225" i="29"/>
  <c r="CX237" i="29"/>
  <c r="CJ237" i="29"/>
  <c r="CX199" i="29"/>
  <c r="CI199" i="29"/>
  <c r="CE199" i="29"/>
  <c r="CJ199" i="29"/>
  <c r="CC199" i="29"/>
  <c r="CB199" i="29"/>
  <c r="CD214" i="29"/>
  <c r="CK214" i="29"/>
  <c r="CY214" i="29"/>
  <c r="CY226" i="29"/>
  <c r="CK226" i="29"/>
  <c r="CY238" i="29"/>
  <c r="CK238" i="29"/>
  <c r="CD200" i="29"/>
  <c r="CY200" i="29"/>
  <c r="CK200" i="29"/>
  <c r="CX214" i="29"/>
  <c r="CJ214" i="29"/>
  <c r="CC214" i="29"/>
  <c r="CE214" i="29"/>
  <c r="CB214" i="29"/>
  <c r="CI214" i="29"/>
  <c r="CX226" i="29"/>
  <c r="CJ226" i="29"/>
  <c r="CX238" i="29"/>
  <c r="CJ238" i="29"/>
  <c r="CX201" i="29"/>
  <c r="CI201" i="29"/>
  <c r="CC201" i="29"/>
  <c r="CB201" i="29"/>
  <c r="CE201" i="29"/>
  <c r="CJ201" i="29"/>
  <c r="CE200" i="29"/>
  <c r="CX200" i="29"/>
  <c r="CC200" i="29"/>
  <c r="CB200" i="29"/>
  <c r="CJ200" i="29"/>
  <c r="CI200" i="29"/>
  <c r="CD215" i="29"/>
  <c r="CY215" i="29"/>
  <c r="CK215" i="29"/>
  <c r="CY227" i="29"/>
  <c r="CK227" i="29"/>
  <c r="CY239" i="29"/>
  <c r="CK239" i="29"/>
  <c r="CX228" i="29"/>
  <c r="CJ228" i="29"/>
  <c r="CY201" i="29"/>
  <c r="CK201" i="29"/>
  <c r="CD201" i="29"/>
  <c r="CI215" i="29"/>
  <c r="CC215" i="29"/>
  <c r="CE215" i="29"/>
  <c r="CB215" i="29"/>
  <c r="CX215" i="29"/>
  <c r="CJ215" i="29"/>
  <c r="CX227" i="29"/>
  <c r="CJ227" i="29"/>
  <c r="CX239" i="29"/>
  <c r="CJ239" i="29"/>
  <c r="CC245" i="29"/>
  <c r="CQ245" i="29"/>
  <c r="CD193" i="29"/>
  <c r="CK40" i="29"/>
  <c r="CD40" i="29"/>
  <c r="CJ40" i="29"/>
  <c r="CH40" i="29"/>
  <c r="CI40" i="29"/>
  <c r="CL40" i="29"/>
  <c r="CB40" i="29"/>
  <c r="CB41" i="29"/>
  <c r="CJ41" i="29"/>
  <c r="CD41" i="29"/>
  <c r="CI41" i="29"/>
  <c r="CH41" i="29"/>
  <c r="CK41" i="29"/>
  <c r="CL41" i="29"/>
  <c r="CH39" i="29"/>
  <c r="CB39" i="29"/>
  <c r="CD39" i="29"/>
  <c r="CI39" i="29"/>
  <c r="CJ39" i="29"/>
  <c r="CK39" i="29"/>
  <c r="CL39" i="29"/>
  <c r="CH42" i="29"/>
  <c r="CL42" i="29"/>
  <c r="CI42" i="29"/>
  <c r="CJ42" i="29"/>
  <c r="CK42" i="29"/>
  <c r="CB42" i="29"/>
  <c r="CD42" i="29"/>
  <c r="CD43" i="29"/>
  <c r="CK43" i="29"/>
  <c r="CH43" i="29"/>
  <c r="CI43" i="29"/>
  <c r="CJ43" i="29"/>
  <c r="CL43" i="29"/>
  <c r="CB43" i="29"/>
  <c r="CD45" i="29"/>
  <c r="CB45" i="29"/>
  <c r="CH45" i="29"/>
  <c r="CI45" i="29"/>
  <c r="CJ45" i="29"/>
  <c r="CK45" i="29"/>
  <c r="CL45" i="29"/>
  <c r="CI46" i="29"/>
  <c r="CJ46" i="29"/>
  <c r="CK46" i="29"/>
  <c r="CL46" i="29"/>
  <c r="CB46" i="29"/>
  <c r="CD46" i="29"/>
  <c r="CH46" i="29"/>
  <c r="CB47" i="29"/>
  <c r="CD47" i="29"/>
  <c r="CH47" i="29"/>
  <c r="CI47" i="29"/>
  <c r="CJ47" i="29"/>
  <c r="CK47" i="29"/>
  <c r="CL47" i="29"/>
  <c r="CK48" i="29"/>
  <c r="CL48" i="29"/>
  <c r="CD48" i="29"/>
  <c r="CB48" i="29"/>
  <c r="CI48" i="29"/>
  <c r="CH48" i="29"/>
  <c r="CJ48" i="29"/>
  <c r="CB50" i="29"/>
  <c r="CD50" i="29"/>
  <c r="CH50" i="29"/>
  <c r="CI50" i="29"/>
  <c r="CJ50" i="29"/>
  <c r="CK50" i="29"/>
  <c r="CL50" i="29"/>
  <c r="CB51" i="29"/>
  <c r="CI51" i="29"/>
  <c r="CD51" i="29"/>
  <c r="CH51" i="29"/>
  <c r="CJ51" i="29"/>
  <c r="CK51" i="29"/>
  <c r="CL51" i="29"/>
  <c r="CH44" i="29"/>
  <c r="CI44" i="29"/>
  <c r="CJ44" i="29"/>
  <c r="CK44" i="29"/>
  <c r="CL44" i="29"/>
  <c r="CB44" i="29"/>
  <c r="CD44" i="29"/>
  <c r="CL37" i="29"/>
  <c r="CB37" i="29"/>
  <c r="CD37" i="29"/>
  <c r="CH37" i="29"/>
  <c r="CI37" i="29"/>
  <c r="CJ37" i="29"/>
  <c r="CK37" i="29"/>
  <c r="CB38" i="29"/>
  <c r="CD38" i="29"/>
  <c r="CH38" i="29"/>
  <c r="CI38" i="29"/>
  <c r="CJ38" i="29"/>
  <c r="CK38" i="29"/>
  <c r="CL38" i="29"/>
  <c r="C62" i="28"/>
  <c r="CD290" i="29"/>
  <c r="CF290" i="29"/>
  <c r="CC290" i="29"/>
  <c r="CE252" i="29"/>
  <c r="CS252" i="29"/>
  <c r="CD282" i="29"/>
  <c r="CF282" i="29"/>
  <c r="CC282" i="29"/>
  <c r="CT252" i="29"/>
  <c r="CR252" i="29"/>
  <c r="CQ252" i="29"/>
  <c r="CD252" i="29"/>
  <c r="CC252" i="29"/>
  <c r="CF252" i="29"/>
  <c r="CT258" i="29"/>
  <c r="CF258" i="29"/>
  <c r="CR258" i="29"/>
  <c r="CQ258" i="29"/>
  <c r="CD258" i="29"/>
  <c r="CC258" i="29"/>
  <c r="CS258" i="29"/>
  <c r="CE258" i="29"/>
  <c r="CD286" i="29"/>
  <c r="CF286" i="29"/>
  <c r="CC286" i="29"/>
  <c r="CE253" i="29"/>
  <c r="CS253" i="29"/>
  <c r="CS259" i="29"/>
  <c r="CE259" i="29"/>
  <c r="CD263" i="29"/>
  <c r="CC263" i="29"/>
  <c r="CF263" i="29"/>
  <c r="CC267" i="29"/>
  <c r="CF267" i="29"/>
  <c r="CD267" i="29"/>
  <c r="CF271" i="29"/>
  <c r="CC275" i="29"/>
  <c r="CF275" i="29"/>
  <c r="CD275" i="29"/>
  <c r="CT279" i="29"/>
  <c r="CF279" i="29"/>
  <c r="CD283" i="29"/>
  <c r="CF283" i="29"/>
  <c r="CC283" i="29"/>
  <c r="CF287" i="29"/>
  <c r="CC287" i="29"/>
  <c r="CD287" i="29"/>
  <c r="CD291" i="29"/>
  <c r="CF291" i="29"/>
  <c r="CC291" i="29"/>
  <c r="CQ344" i="29"/>
  <c r="CC344" i="29"/>
  <c r="CC262" i="29"/>
  <c r="CD262" i="29"/>
  <c r="CF262" i="29"/>
  <c r="CR253" i="29"/>
  <c r="CC253" i="29"/>
  <c r="CQ253" i="29"/>
  <c r="CT253" i="29"/>
  <c r="CF253" i="29"/>
  <c r="CD253" i="29"/>
  <c r="CT259" i="29"/>
  <c r="CF259" i="29"/>
  <c r="CR259" i="29"/>
  <c r="CQ259" i="29"/>
  <c r="CD259" i="29"/>
  <c r="CC259" i="29"/>
  <c r="CP344" i="29"/>
  <c r="CB344" i="29"/>
  <c r="CC266" i="29"/>
  <c r="CF266" i="29"/>
  <c r="CD266" i="29"/>
  <c r="CS256" i="29"/>
  <c r="CE256" i="29"/>
  <c r="CF260" i="29"/>
  <c r="CQ260" i="29"/>
  <c r="CC260" i="29"/>
  <c r="CD264" i="29"/>
  <c r="CF264" i="29"/>
  <c r="CC264" i="29"/>
  <c r="CF268" i="29"/>
  <c r="CD268" i="29"/>
  <c r="CC268" i="29"/>
  <c r="CF272" i="29"/>
  <c r="CF276" i="29"/>
  <c r="CC276" i="29"/>
  <c r="CD276" i="29"/>
  <c r="CT280" i="29"/>
  <c r="CF280" i="29"/>
  <c r="CD284" i="29"/>
  <c r="CF284" i="29"/>
  <c r="CC284" i="29"/>
  <c r="CF288" i="29"/>
  <c r="CC288" i="29"/>
  <c r="CD288" i="29"/>
  <c r="CD292" i="29"/>
  <c r="CF292" i="29"/>
  <c r="CC292" i="29"/>
  <c r="CC274" i="29"/>
  <c r="CF274" i="29"/>
  <c r="CF256" i="29"/>
  <c r="CR256" i="29"/>
  <c r="CQ256" i="29"/>
  <c r="CD256" i="29"/>
  <c r="CC256" i="29"/>
  <c r="CT256" i="29"/>
  <c r="CP329" i="29"/>
  <c r="CB333" i="29"/>
  <c r="CP333" i="29"/>
  <c r="CC278" i="29"/>
  <c r="CD278" i="29"/>
  <c r="CF278" i="29"/>
  <c r="CS251" i="29"/>
  <c r="CE251" i="29"/>
  <c r="CS257" i="29"/>
  <c r="CE257" i="29"/>
  <c r="CC261" i="29"/>
  <c r="CF261" i="29"/>
  <c r="CD261" i="29"/>
  <c r="CD265" i="29"/>
  <c r="CC265" i="29"/>
  <c r="CF265" i="29"/>
  <c r="CF269" i="29"/>
  <c r="CD269" i="29"/>
  <c r="CF273" i="29"/>
  <c r="CF277" i="29"/>
  <c r="CC277" i="29"/>
  <c r="CD277" i="29"/>
  <c r="CT281" i="29"/>
  <c r="CF281" i="29"/>
  <c r="CF285" i="29"/>
  <c r="CC285" i="29"/>
  <c r="CD285" i="29"/>
  <c r="CF289" i="29"/>
  <c r="CC289" i="29"/>
  <c r="CD289" i="29"/>
  <c r="CF293" i="29"/>
  <c r="CC293" i="29"/>
  <c r="CD293" i="29"/>
  <c r="CF270" i="29"/>
  <c r="CT251" i="29"/>
  <c r="CF251" i="29"/>
  <c r="CR251" i="29"/>
  <c r="CQ251" i="29"/>
  <c r="CD251" i="29"/>
  <c r="CC251" i="29"/>
  <c r="CQ257" i="29"/>
  <c r="CD257" i="29"/>
  <c r="CC257" i="29"/>
  <c r="CT257" i="29"/>
  <c r="CF257" i="29"/>
  <c r="CR257" i="29"/>
  <c r="CP201" i="29"/>
  <c r="CW201" i="29"/>
  <c r="CS201" i="29"/>
  <c r="CQ201" i="29"/>
  <c r="CS207" i="29"/>
  <c r="CQ207" i="29"/>
  <c r="CP207" i="29"/>
  <c r="CW207" i="29"/>
  <c r="CR193" i="29"/>
  <c r="CV193" i="29"/>
  <c r="CV204" i="29"/>
  <c r="CR204" i="29"/>
  <c r="CQ208" i="29"/>
  <c r="CQ193" i="29"/>
  <c r="CP193" i="29"/>
  <c r="CW193" i="29"/>
  <c r="CS193" i="29"/>
  <c r="CS204" i="29"/>
  <c r="CP204" i="29"/>
  <c r="CQ204" i="29"/>
  <c r="CW204" i="29"/>
  <c r="CR199" i="29"/>
  <c r="CV199" i="29"/>
  <c r="CV205" i="29"/>
  <c r="CR205" i="29"/>
  <c r="CS199" i="29"/>
  <c r="CQ199" i="29"/>
  <c r="CP199" i="29"/>
  <c r="CW199" i="29"/>
  <c r="CP205" i="29"/>
  <c r="CW205" i="29"/>
  <c r="CS205" i="29"/>
  <c r="CQ205" i="29"/>
  <c r="CV200" i="29"/>
  <c r="CR200" i="29"/>
  <c r="CR206" i="29"/>
  <c r="CV206" i="29"/>
  <c r="CD245" i="29"/>
  <c r="CF245" i="29"/>
  <c r="CS200" i="29"/>
  <c r="CP200" i="29"/>
  <c r="CQ200" i="29"/>
  <c r="CW200" i="29"/>
  <c r="CW206" i="29"/>
  <c r="CQ206" i="29"/>
  <c r="CP206" i="29"/>
  <c r="CS206" i="29"/>
  <c r="CV201" i="29"/>
  <c r="CR201" i="29"/>
  <c r="CR207" i="29"/>
  <c r="CV207" i="29"/>
  <c r="F111" i="29"/>
  <c r="F162" i="29"/>
  <c r="CR40" i="29"/>
  <c r="CZ40" i="29"/>
  <c r="CV40" i="29"/>
  <c r="CX40" i="29"/>
  <c r="CY40" i="29"/>
  <c r="CP40" i="29"/>
  <c r="CW40" i="29"/>
  <c r="CR48" i="29"/>
  <c r="CZ48" i="29"/>
  <c r="CV48" i="29"/>
  <c r="CW48" i="29"/>
  <c r="CX48" i="29"/>
  <c r="CY48" i="29"/>
  <c r="CP48" i="29"/>
  <c r="CW41" i="29"/>
  <c r="CP41" i="29"/>
  <c r="CX41" i="29"/>
  <c r="CY41" i="29"/>
  <c r="CR41" i="29"/>
  <c r="CZ41" i="29"/>
  <c r="CV41" i="29"/>
  <c r="CV50" i="29"/>
  <c r="CW50" i="29"/>
  <c r="CP50" i="29"/>
  <c r="CX50" i="29"/>
  <c r="CY50" i="29"/>
  <c r="CR50" i="29"/>
  <c r="CZ50" i="29"/>
  <c r="CV39" i="29"/>
  <c r="CW39" i="29"/>
  <c r="CP39" i="29"/>
  <c r="CX39" i="29"/>
  <c r="CY39" i="29"/>
  <c r="CR39" i="29"/>
  <c r="CZ39" i="29"/>
  <c r="CV47" i="29"/>
  <c r="CW47" i="29"/>
  <c r="CP47" i="29"/>
  <c r="CX47" i="29"/>
  <c r="CY47" i="29"/>
  <c r="CR47" i="29"/>
  <c r="CZ47" i="29"/>
  <c r="CY43" i="29"/>
  <c r="CR43" i="29"/>
  <c r="CZ43" i="29"/>
  <c r="CP43" i="29"/>
  <c r="CX43" i="29"/>
  <c r="CV43" i="29"/>
  <c r="CW43" i="29"/>
  <c r="CT56" i="29"/>
  <c r="CQ56" i="29"/>
  <c r="CU56" i="29"/>
  <c r="CF56" i="29"/>
  <c r="CV56" i="29"/>
  <c r="CG56" i="29"/>
  <c r="CW56" i="29"/>
  <c r="CH56" i="29"/>
  <c r="CP56" i="29"/>
  <c r="CI56" i="29"/>
  <c r="CB56" i="29"/>
  <c r="CC56" i="29"/>
  <c r="CY51" i="29"/>
  <c r="CR51" i="29"/>
  <c r="CZ51" i="29"/>
  <c r="CW51" i="29"/>
  <c r="CP51" i="29"/>
  <c r="CV51" i="29"/>
  <c r="CX51" i="29"/>
  <c r="CV44" i="29"/>
  <c r="CW44" i="29"/>
  <c r="CP44" i="29"/>
  <c r="CX44" i="29"/>
  <c r="CY44" i="29"/>
  <c r="CR44" i="29"/>
  <c r="CZ44" i="29"/>
  <c r="CT57" i="29"/>
  <c r="CU57" i="29"/>
  <c r="CF57" i="29"/>
  <c r="CV57" i="29"/>
  <c r="CG57" i="29"/>
  <c r="CW57" i="29"/>
  <c r="CH57" i="29"/>
  <c r="CP57" i="29"/>
  <c r="CI57" i="29"/>
  <c r="CQ57" i="29"/>
  <c r="CB57" i="29"/>
  <c r="CC57" i="29"/>
  <c r="CV37" i="29"/>
  <c r="CW37" i="29"/>
  <c r="CP37" i="29"/>
  <c r="CR37" i="29"/>
  <c r="CX37" i="29"/>
  <c r="CY37" i="29"/>
  <c r="CZ37" i="29"/>
  <c r="CV45" i="29"/>
  <c r="CW45" i="29"/>
  <c r="CP45" i="29"/>
  <c r="CR45" i="29"/>
  <c r="CX45" i="29"/>
  <c r="CY45" i="29"/>
  <c r="CZ45" i="29"/>
  <c r="CT58" i="29"/>
  <c r="CU58" i="29"/>
  <c r="CF58" i="29"/>
  <c r="CV58" i="29"/>
  <c r="CG58" i="29"/>
  <c r="CW58" i="29"/>
  <c r="CH58" i="29"/>
  <c r="CP58" i="29"/>
  <c r="CI58" i="29"/>
  <c r="CQ58" i="29"/>
  <c r="CC58" i="29"/>
  <c r="CB58" i="29"/>
  <c r="CV42" i="29"/>
  <c r="CW42" i="29"/>
  <c r="CP42" i="29"/>
  <c r="CX42" i="29"/>
  <c r="CY42" i="29"/>
  <c r="CZ42" i="29"/>
  <c r="CR42" i="29"/>
  <c r="CP38" i="29"/>
  <c r="CX38" i="29"/>
  <c r="CY38" i="29"/>
  <c r="CR38" i="29"/>
  <c r="CZ38" i="29"/>
  <c r="CW38" i="29"/>
  <c r="CV38" i="29"/>
  <c r="CP46" i="29"/>
  <c r="CX46" i="29"/>
  <c r="CY46" i="29"/>
  <c r="CR46" i="29"/>
  <c r="CZ46" i="29"/>
  <c r="CV46" i="29"/>
  <c r="CW46" i="29"/>
  <c r="CT59" i="29"/>
  <c r="CU59" i="29"/>
  <c r="CF59" i="29"/>
  <c r="CV59" i="29"/>
  <c r="CG59" i="29"/>
  <c r="CW59" i="29"/>
  <c r="CH59" i="29"/>
  <c r="CP59" i="29"/>
  <c r="CI59" i="29"/>
  <c r="CB59" i="29"/>
  <c r="CQ59" i="29"/>
  <c r="CC59" i="29"/>
  <c r="CB123" i="29"/>
  <c r="E111" i="29"/>
  <c r="E162" i="29"/>
  <c r="BV45" i="28"/>
  <c r="BX20" i="28"/>
  <c r="BY20" i="28"/>
  <c r="BR20" i="28"/>
  <c r="BS20" i="28"/>
  <c r="BX19" i="28"/>
  <c r="BS19" i="28"/>
  <c r="BY19" i="28"/>
  <c r="BR19" i="28"/>
  <c r="BV171" i="28"/>
  <c r="BW171" i="28"/>
  <c r="BV147" i="28"/>
  <c r="BP147" i="28"/>
  <c r="BV149" i="28"/>
  <c r="BV148" i="28"/>
  <c r="BV81" i="28"/>
  <c r="BW81" i="28"/>
  <c r="BQ81" i="28"/>
  <c r="BP81" i="28"/>
  <c r="BP82" i="28"/>
  <c r="BV82" i="28"/>
  <c r="BW82" i="28"/>
  <c r="BQ82" i="28"/>
  <c r="BV83" i="28"/>
  <c r="BW83" i="28"/>
  <c r="BQ83" i="28"/>
  <c r="BW137" i="28"/>
  <c r="BW80" i="28"/>
  <c r="BQ80" i="28"/>
  <c r="BV80" i="28"/>
  <c r="BP80" i="28"/>
  <c r="BW136" i="28"/>
  <c r="BW135" i="28"/>
  <c r="CB222" i="29"/>
  <c r="CC222" i="29"/>
  <c r="CC226" i="29"/>
  <c r="CB226" i="29"/>
  <c r="CC230" i="29"/>
  <c r="CB230" i="29"/>
  <c r="CB234" i="29"/>
  <c r="CC234" i="29"/>
  <c r="CC238" i="29"/>
  <c r="CB238" i="29"/>
  <c r="CC233" i="29"/>
  <c r="CB233" i="29"/>
  <c r="CC241" i="29"/>
  <c r="CB241" i="29"/>
  <c r="CC223" i="29"/>
  <c r="CB223" i="29"/>
  <c r="CC231" i="29"/>
  <c r="CB231" i="29"/>
  <c r="CC235" i="29"/>
  <c r="CB235" i="29"/>
  <c r="CC239" i="29"/>
  <c r="CB239" i="29"/>
  <c r="CB225" i="29"/>
  <c r="CC225" i="29"/>
  <c r="CB208" i="29"/>
  <c r="CB224" i="29"/>
  <c r="CC224" i="29"/>
  <c r="CC232" i="29"/>
  <c r="CB232" i="29"/>
  <c r="CC236" i="29"/>
  <c r="CB236" i="29"/>
  <c r="CC240" i="29"/>
  <c r="CB240" i="29"/>
  <c r="CC237" i="29"/>
  <c r="CB237" i="29"/>
  <c r="CC346" i="29"/>
  <c r="CQ346" i="29"/>
  <c r="CP346" i="29"/>
  <c r="CP345" i="29"/>
  <c r="CB345" i="29"/>
  <c r="CV352" i="29"/>
  <c r="CH352" i="29"/>
  <c r="CU352" i="29"/>
  <c r="CC345" i="29"/>
  <c r="CQ345" i="29"/>
  <c r="CV351" i="29"/>
  <c r="CU351" i="29"/>
  <c r="CP337" i="29"/>
  <c r="CC338" i="29"/>
  <c r="CQ338" i="29"/>
  <c r="CC331" i="29"/>
  <c r="CQ331" i="29"/>
  <c r="CC335" i="29"/>
  <c r="CQ335" i="29"/>
  <c r="CC339" i="29"/>
  <c r="CQ339" i="29"/>
  <c r="CP331" i="29"/>
  <c r="CP335" i="29"/>
  <c r="CP339" i="29"/>
  <c r="CC332" i="29"/>
  <c r="CQ332" i="29"/>
  <c r="CC336" i="29"/>
  <c r="CQ336" i="29"/>
  <c r="CP338" i="29"/>
  <c r="CP332" i="29"/>
  <c r="CP336" i="29"/>
  <c r="CC333" i="29"/>
  <c r="CQ333" i="29"/>
  <c r="CC337" i="29"/>
  <c r="CQ337" i="29"/>
  <c r="CP330" i="29"/>
  <c r="CQ330" i="29"/>
  <c r="CU329" i="29"/>
  <c r="CD317" i="29"/>
  <c r="CR317" i="29"/>
  <c r="CD321" i="29"/>
  <c r="CR321" i="29"/>
  <c r="CC317" i="29"/>
  <c r="CQ317" i="29"/>
  <c r="CC321" i="29"/>
  <c r="CQ321" i="29"/>
  <c r="CC318" i="29"/>
  <c r="CQ318" i="29"/>
  <c r="CC322" i="29"/>
  <c r="CQ322" i="29"/>
  <c r="CD318" i="29"/>
  <c r="CR318" i="29"/>
  <c r="CD319" i="29"/>
  <c r="CR319" i="29"/>
  <c r="CD323" i="29"/>
  <c r="CR323" i="29"/>
  <c r="CC319" i="29"/>
  <c r="CQ319" i="29"/>
  <c r="CC323" i="29"/>
  <c r="CQ323" i="29"/>
  <c r="CD322" i="29"/>
  <c r="CR322" i="29"/>
  <c r="CD316" i="29"/>
  <c r="CR316" i="29"/>
  <c r="CD320" i="29"/>
  <c r="CR320" i="29"/>
  <c r="CD324" i="29"/>
  <c r="CR324" i="29"/>
  <c r="CC316" i="29"/>
  <c r="CQ316" i="29"/>
  <c r="CC320" i="29"/>
  <c r="CQ320" i="29"/>
  <c r="CC324" i="29"/>
  <c r="CQ324" i="29"/>
  <c r="CC310" i="29"/>
  <c r="CC311" i="29"/>
  <c r="CC314" i="29"/>
  <c r="CC313" i="29"/>
  <c r="CQ307" i="29"/>
  <c r="CC315" i="29"/>
  <c r="CC308" i="29"/>
  <c r="CC312" i="29"/>
  <c r="CC309" i="29"/>
  <c r="CT245" i="29"/>
  <c r="CS261" i="29"/>
  <c r="CS265" i="29"/>
  <c r="CS269" i="29"/>
  <c r="CS273" i="29"/>
  <c r="CS277" i="29"/>
  <c r="CS281" i="29"/>
  <c r="CS285" i="29"/>
  <c r="CS289" i="29"/>
  <c r="CS293" i="29"/>
  <c r="CR261" i="29"/>
  <c r="CQ261" i="29"/>
  <c r="CT261" i="29"/>
  <c r="CR265" i="29"/>
  <c r="CQ265" i="29"/>
  <c r="CT265" i="29"/>
  <c r="CR269" i="29"/>
  <c r="CQ269" i="29"/>
  <c r="CT269" i="29"/>
  <c r="CQ273" i="29"/>
  <c r="CT273" i="29"/>
  <c r="CT277" i="29"/>
  <c r="CR277" i="29"/>
  <c r="CQ277" i="29"/>
  <c r="CT285" i="29"/>
  <c r="CR285" i="29"/>
  <c r="CQ285" i="29"/>
  <c r="CT289" i="29"/>
  <c r="CR289" i="29"/>
  <c r="CQ289" i="29"/>
  <c r="CT293" i="29"/>
  <c r="CR293" i="29"/>
  <c r="CQ293" i="29"/>
  <c r="CS266" i="29"/>
  <c r="CS286" i="29"/>
  <c r="CR262" i="29"/>
  <c r="CT262" i="29"/>
  <c r="CQ262" i="29"/>
  <c r="CR266" i="29"/>
  <c r="CQ266" i="29"/>
  <c r="CT266" i="29"/>
  <c r="CT270" i="29"/>
  <c r="CQ270" i="29"/>
  <c r="CT274" i="29"/>
  <c r="CR274" i="29"/>
  <c r="CQ274" i="29"/>
  <c r="CT278" i="29"/>
  <c r="CR278" i="29"/>
  <c r="CQ278" i="29"/>
  <c r="CT282" i="29"/>
  <c r="CR282" i="29"/>
  <c r="CQ282" i="29"/>
  <c r="CT286" i="29"/>
  <c r="CR286" i="29"/>
  <c r="CQ286" i="29"/>
  <c r="CT290" i="29"/>
  <c r="CR290" i="29"/>
  <c r="CQ290" i="29"/>
  <c r="CS278" i="29"/>
  <c r="CS267" i="29"/>
  <c r="CS271" i="29"/>
  <c r="CS275" i="29"/>
  <c r="CS279" i="29"/>
  <c r="CS283" i="29"/>
  <c r="CS287" i="29"/>
  <c r="CS291" i="29"/>
  <c r="CS270" i="29"/>
  <c r="CS290" i="29"/>
  <c r="CS263" i="29"/>
  <c r="CR263" i="29"/>
  <c r="CQ263" i="29"/>
  <c r="CT263" i="29"/>
  <c r="CR267" i="29"/>
  <c r="CT267" i="29"/>
  <c r="CQ267" i="29"/>
  <c r="CT271" i="29"/>
  <c r="CQ271" i="29"/>
  <c r="CT275" i="29"/>
  <c r="CR275" i="29"/>
  <c r="CQ275" i="29"/>
  <c r="CT283" i="29"/>
  <c r="CR283" i="29"/>
  <c r="CQ283" i="29"/>
  <c r="CT287" i="29"/>
  <c r="CR287" i="29"/>
  <c r="CQ287" i="29"/>
  <c r="CT291" i="29"/>
  <c r="CR291" i="29"/>
  <c r="CQ291" i="29"/>
  <c r="CS274" i="29"/>
  <c r="CS264" i="29"/>
  <c r="CS268" i="29"/>
  <c r="CS272" i="29"/>
  <c r="CS276" i="29"/>
  <c r="CS280" i="29"/>
  <c r="CS284" i="29"/>
  <c r="CS288" i="29"/>
  <c r="CS292" i="29"/>
  <c r="CS262" i="29"/>
  <c r="CS282" i="29"/>
  <c r="CR260" i="29"/>
  <c r="CT260" i="29"/>
  <c r="CT264" i="29"/>
  <c r="CR264" i="29"/>
  <c r="CQ264" i="29"/>
  <c r="CT268" i="29"/>
  <c r="CR268" i="29"/>
  <c r="CQ268" i="29"/>
  <c r="CT272" i="29"/>
  <c r="CQ272" i="29"/>
  <c r="CR276" i="29"/>
  <c r="CT276" i="29"/>
  <c r="CQ276" i="29"/>
  <c r="CT284" i="29"/>
  <c r="CR284" i="29"/>
  <c r="CQ284" i="29"/>
  <c r="CT288" i="29"/>
  <c r="CR288" i="29"/>
  <c r="CQ288" i="29"/>
  <c r="CT292" i="29"/>
  <c r="CR292" i="29"/>
  <c r="CQ292" i="29"/>
  <c r="CS245" i="29"/>
  <c r="CW222" i="29"/>
  <c r="CE222" i="29"/>
  <c r="CP222" i="29"/>
  <c r="CI222" i="29"/>
  <c r="CQ222" i="29"/>
  <c r="CS222" i="29"/>
  <c r="CS238" i="29"/>
  <c r="CI238" i="29"/>
  <c r="CW238" i="29"/>
  <c r="CE238" i="29"/>
  <c r="CQ238" i="29"/>
  <c r="CP238" i="29"/>
  <c r="CR211" i="29"/>
  <c r="CV211" i="29"/>
  <c r="CR219" i="29"/>
  <c r="CV219" i="29"/>
  <c r="CD219" i="29"/>
  <c r="CD227" i="29"/>
  <c r="CR227" i="29"/>
  <c r="CR235" i="29"/>
  <c r="CD235" i="29"/>
  <c r="CV235" i="29"/>
  <c r="CQ211" i="29"/>
  <c r="CP211" i="29"/>
  <c r="CS211" i="29"/>
  <c r="CW211" i="29"/>
  <c r="CQ215" i="29"/>
  <c r="CP215" i="29"/>
  <c r="CW215" i="29"/>
  <c r="CS215" i="29"/>
  <c r="CS219" i="29"/>
  <c r="CI219" i="29"/>
  <c r="CW219" i="29"/>
  <c r="CE219" i="29"/>
  <c r="CP219" i="29"/>
  <c r="CQ223" i="29"/>
  <c r="CP223" i="29"/>
  <c r="CI223" i="29"/>
  <c r="CE223" i="29"/>
  <c r="CS223" i="29"/>
  <c r="CW223" i="29"/>
  <c r="CW227" i="29"/>
  <c r="CE227" i="29"/>
  <c r="CS231" i="29"/>
  <c r="CI231" i="29"/>
  <c r="CE231" i="29"/>
  <c r="CQ231" i="29"/>
  <c r="CP231" i="29"/>
  <c r="CW231" i="29"/>
  <c r="CS235" i="29"/>
  <c r="CI235" i="29"/>
  <c r="CQ235" i="29"/>
  <c r="CW235" i="29"/>
  <c r="CP235" i="29"/>
  <c r="CE235" i="29"/>
  <c r="CS239" i="29"/>
  <c r="CI239" i="29"/>
  <c r="CP239" i="29"/>
  <c r="CW239" i="29"/>
  <c r="CE239" i="29"/>
  <c r="CQ239" i="29"/>
  <c r="CS218" i="29"/>
  <c r="CW218" i="29"/>
  <c r="CI218" i="29"/>
  <c r="CE218" i="29"/>
  <c r="CP218" i="29"/>
  <c r="CR215" i="29"/>
  <c r="CV215" i="29"/>
  <c r="CV223" i="29"/>
  <c r="CD223" i="29"/>
  <c r="CR223" i="29"/>
  <c r="CR231" i="29"/>
  <c r="CD231" i="29"/>
  <c r="CV231" i="29"/>
  <c r="CR239" i="29"/>
  <c r="CD239" i="29"/>
  <c r="CV239" i="29"/>
  <c r="CV212" i="29"/>
  <c r="CR212" i="29"/>
  <c r="CV216" i="29"/>
  <c r="CR216" i="29"/>
  <c r="CR220" i="29"/>
  <c r="CD220" i="29"/>
  <c r="CV220" i="29"/>
  <c r="CR224" i="29"/>
  <c r="CV224" i="29"/>
  <c r="CD224" i="29"/>
  <c r="CV228" i="29"/>
  <c r="CD228" i="29"/>
  <c r="AZ228" i="29" s="1"/>
  <c r="CR228" i="29"/>
  <c r="CR232" i="29"/>
  <c r="CV232" i="29"/>
  <c r="CD232" i="29"/>
  <c r="CR236" i="29"/>
  <c r="CD236" i="29"/>
  <c r="CV236" i="29"/>
  <c r="CR240" i="29"/>
  <c r="CD240" i="29"/>
  <c r="CV240" i="29"/>
  <c r="CW226" i="29"/>
  <c r="CE226" i="29"/>
  <c r="CP226" i="29"/>
  <c r="CS226" i="29"/>
  <c r="CI226" i="29"/>
  <c r="CQ226" i="29"/>
  <c r="CW216" i="29"/>
  <c r="CP216" i="29"/>
  <c r="CS216" i="29"/>
  <c r="CQ216" i="29"/>
  <c r="CW228" i="29"/>
  <c r="CI228" i="29"/>
  <c r="CE228" i="29"/>
  <c r="CS228" i="29"/>
  <c r="CQ240" i="29"/>
  <c r="CP240" i="29"/>
  <c r="CE240" i="29"/>
  <c r="CS240" i="29"/>
  <c r="CW240" i="29"/>
  <c r="CI240" i="29"/>
  <c r="CV209" i="29"/>
  <c r="CR209" i="29"/>
  <c r="CV213" i="29"/>
  <c r="CR213" i="29"/>
  <c r="CV217" i="29"/>
  <c r="CR217" i="29"/>
  <c r="CD221" i="29"/>
  <c r="CR221" i="29"/>
  <c r="CV221" i="29"/>
  <c r="CR225" i="29"/>
  <c r="CV225" i="29"/>
  <c r="CD225" i="29"/>
  <c r="CV229" i="29"/>
  <c r="CR229" i="29"/>
  <c r="CD229" i="29"/>
  <c r="CV233" i="29"/>
  <c r="CD233" i="29"/>
  <c r="CR233" i="29"/>
  <c r="CV237" i="29"/>
  <c r="CD237" i="29"/>
  <c r="CR237" i="29"/>
  <c r="CV241" i="29"/>
  <c r="CD241" i="29"/>
  <c r="CR241" i="29"/>
  <c r="CS210" i="29"/>
  <c r="CW210" i="29"/>
  <c r="CQ210" i="29"/>
  <c r="CP210" i="29"/>
  <c r="CQ230" i="29"/>
  <c r="CE230" i="29"/>
  <c r="CI230" i="29"/>
  <c r="CP230" i="29"/>
  <c r="CW230" i="29"/>
  <c r="CS230" i="29"/>
  <c r="CW208" i="29"/>
  <c r="CE208" i="29"/>
  <c r="CP208" i="29"/>
  <c r="CS208" i="29"/>
  <c r="CP220" i="29"/>
  <c r="CS220" i="29"/>
  <c r="CE220" i="29"/>
  <c r="CI220" i="29"/>
  <c r="CW220" i="29"/>
  <c r="CQ232" i="29"/>
  <c r="CP232" i="29"/>
  <c r="CE232" i="29"/>
  <c r="CS232" i="29"/>
  <c r="CW232" i="29"/>
  <c r="CI232" i="29"/>
  <c r="CW209" i="29"/>
  <c r="CS209" i="29"/>
  <c r="CQ209" i="29"/>
  <c r="CP209" i="29"/>
  <c r="CQ213" i="29"/>
  <c r="CW213" i="29"/>
  <c r="CS213" i="29"/>
  <c r="CP213" i="29"/>
  <c r="CW217" i="29"/>
  <c r="CP217" i="29"/>
  <c r="CS217" i="29"/>
  <c r="CQ217" i="29"/>
  <c r="CP221" i="29"/>
  <c r="CE221" i="29"/>
  <c r="CW221" i="29"/>
  <c r="CS221" i="29"/>
  <c r="CI221" i="29"/>
  <c r="CQ225" i="29"/>
  <c r="CP225" i="29"/>
  <c r="CI225" i="29"/>
  <c r="CS225" i="29"/>
  <c r="CW225" i="29"/>
  <c r="CE225" i="29"/>
  <c r="CW229" i="29"/>
  <c r="CI229" i="29"/>
  <c r="CE229" i="29"/>
  <c r="CW233" i="29"/>
  <c r="CE233" i="29"/>
  <c r="CP233" i="29"/>
  <c r="CS233" i="29"/>
  <c r="CI233" i="29"/>
  <c r="CQ233" i="29"/>
  <c r="CW237" i="29"/>
  <c r="CE237" i="29"/>
  <c r="CP237" i="29"/>
  <c r="CQ237" i="29"/>
  <c r="CI237" i="29"/>
  <c r="CS237" i="29"/>
  <c r="CW241" i="29"/>
  <c r="CE241" i="29"/>
  <c r="CP241" i="29"/>
  <c r="CI241" i="29"/>
  <c r="CQ241" i="29"/>
  <c r="CS241" i="29"/>
  <c r="CS214" i="29"/>
  <c r="CW214" i="29"/>
  <c r="CQ214" i="29"/>
  <c r="CP214" i="29"/>
  <c r="CP234" i="29"/>
  <c r="CW234" i="29"/>
  <c r="CE234" i="29"/>
  <c r="CI234" i="29"/>
  <c r="CQ234" i="29"/>
  <c r="CS234" i="29"/>
  <c r="CW212" i="29"/>
  <c r="CP212" i="29"/>
  <c r="CS212" i="29"/>
  <c r="CQ212" i="29"/>
  <c r="CS224" i="29"/>
  <c r="CI224" i="29"/>
  <c r="CQ224" i="29"/>
  <c r="CP224" i="29"/>
  <c r="CW224" i="29"/>
  <c r="CE224" i="29"/>
  <c r="CQ236" i="29"/>
  <c r="CP236" i="29"/>
  <c r="CI236" i="29"/>
  <c r="CS236" i="29"/>
  <c r="CE236" i="29"/>
  <c r="CW236" i="29"/>
  <c r="CR210" i="29"/>
  <c r="CV210" i="29"/>
  <c r="CR214" i="29"/>
  <c r="CV214" i="29"/>
  <c r="CD218" i="29"/>
  <c r="CR218" i="29"/>
  <c r="CV218" i="29"/>
  <c r="CV222" i="29"/>
  <c r="CD222" i="29"/>
  <c r="CR222" i="29"/>
  <c r="CV226" i="29"/>
  <c r="CD226" i="29"/>
  <c r="CR226" i="29"/>
  <c r="CV230" i="29"/>
  <c r="CD230" i="29"/>
  <c r="CR230" i="29"/>
  <c r="CV234" i="29"/>
  <c r="CD234" i="29"/>
  <c r="CR234" i="29"/>
  <c r="CV238" i="29"/>
  <c r="CD238" i="29"/>
  <c r="CR238" i="29"/>
  <c r="L163" i="29"/>
  <c r="CR245" i="29"/>
  <c r="BW165" i="28"/>
  <c r="BP25" i="28"/>
  <c r="BT42" i="28"/>
  <c r="H163" i="29"/>
  <c r="N163" i="29"/>
  <c r="BV39" i="28"/>
  <c r="BR36" i="28"/>
  <c r="BW32" i="28"/>
  <c r="BQ63" i="28"/>
  <c r="BP63" i="28"/>
  <c r="BV63" i="28"/>
  <c r="BW63" i="28"/>
  <c r="BR145" i="28"/>
  <c r="BX145" i="28"/>
  <c r="BW145" i="28"/>
  <c r="BQ145" i="28"/>
  <c r="BW64" i="28"/>
  <c r="BV64" i="28"/>
  <c r="BQ64" i="28"/>
  <c r="BP64" i="28"/>
  <c r="BR146" i="28"/>
  <c r="BQ146" i="28"/>
  <c r="BQ141" i="28"/>
  <c r="BW141" i="28"/>
  <c r="BX141" i="28"/>
  <c r="BR141" i="28"/>
  <c r="BR147" i="28"/>
  <c r="BQ147" i="28"/>
  <c r="BX147" i="28"/>
  <c r="BW147" i="28"/>
  <c r="BX142" i="28"/>
  <c r="BW142" i="28"/>
  <c r="BQ142" i="28"/>
  <c r="BR142" i="28"/>
  <c r="BX148" i="28"/>
  <c r="BW148" i="28"/>
  <c r="BR148" i="28"/>
  <c r="BQ148" i="28"/>
  <c r="BQ171" i="28"/>
  <c r="BP171" i="28"/>
  <c r="BQ144" i="28"/>
  <c r="BX144" i="28"/>
  <c r="BW144" i="28"/>
  <c r="BR144" i="28"/>
  <c r="BV144" i="28"/>
  <c r="BX143" i="28"/>
  <c r="BW143" i="28"/>
  <c r="BR143" i="28"/>
  <c r="BQ143" i="28"/>
  <c r="BX149" i="28"/>
  <c r="BW149" i="28"/>
  <c r="BR149" i="28"/>
  <c r="BQ149" i="28"/>
  <c r="CP172" i="29"/>
  <c r="BS22" i="28"/>
  <c r="BY22" i="28"/>
  <c r="BQ60" i="28"/>
  <c r="BW60" i="28"/>
  <c r="BV60" i="28"/>
  <c r="BP60" i="28"/>
  <c r="BQ61" i="28"/>
  <c r="BV61" i="28"/>
  <c r="BP61" i="28"/>
  <c r="BW61" i="28"/>
  <c r="BR22" i="28"/>
  <c r="BV22" i="28"/>
  <c r="BW22" i="28"/>
  <c r="BP22" i="28"/>
  <c r="BQ22" i="28"/>
  <c r="BX22" i="28"/>
  <c r="BQ19" i="28"/>
  <c r="BV19" i="28"/>
  <c r="BW19" i="28"/>
  <c r="BP19" i="28"/>
  <c r="BW20" i="28"/>
  <c r="BP20" i="28"/>
  <c r="BQ20" i="28"/>
  <c r="BV20" i="28"/>
  <c r="CB128" i="29"/>
  <c r="CB366" i="29"/>
  <c r="CI281" i="29"/>
  <c r="CL241" i="29"/>
  <c r="CB134" i="29"/>
  <c r="CB141" i="29"/>
  <c r="CB136" i="29"/>
  <c r="CB140" i="29"/>
  <c r="K163" i="29"/>
  <c r="J176" i="29"/>
  <c r="P176" i="29"/>
  <c r="CC182" i="29"/>
  <c r="K176" i="29"/>
  <c r="Q176" i="29"/>
  <c r="I163" i="29"/>
  <c r="O163" i="29"/>
  <c r="H176" i="29"/>
  <c r="CI279" i="29"/>
  <c r="F183" i="29"/>
  <c r="CB135" i="29"/>
  <c r="CB139" i="29"/>
  <c r="CC181" i="29"/>
  <c r="I176" i="29"/>
  <c r="O176" i="29"/>
  <c r="N176" i="29"/>
  <c r="CB133" i="29"/>
  <c r="C117" i="28"/>
  <c r="BR16" i="28"/>
  <c r="BX83" i="28"/>
  <c r="C59" i="28"/>
  <c r="CB137" i="29"/>
  <c r="E183" i="29"/>
  <c r="CB127" i="29"/>
  <c r="J163" i="29"/>
  <c r="P163" i="29"/>
  <c r="CI280" i="29"/>
  <c r="BX81" i="28"/>
  <c r="G176" i="29"/>
  <c r="M176" i="29"/>
  <c r="S176" i="29"/>
  <c r="F306" i="29"/>
  <c r="BX82" i="28"/>
  <c r="G163" i="29"/>
  <c r="M163" i="29"/>
  <c r="E170" i="29"/>
  <c r="E175" i="29"/>
  <c r="E306" i="29"/>
  <c r="R176" i="29"/>
  <c r="D35" i="29"/>
  <c r="E157" i="29"/>
  <c r="F170" i="29"/>
  <c r="F175" i="29"/>
  <c r="L176" i="29"/>
  <c r="F157" i="29"/>
  <c r="CQ171" i="29"/>
  <c r="D12" i="28"/>
  <c r="E12" i="28"/>
  <c r="BT26" i="28" l="1"/>
  <c r="BV26" i="28"/>
  <c r="AZ229" i="29"/>
  <c r="AZ227" i="29"/>
  <c r="CL193" i="29"/>
  <c r="CL210" i="29"/>
  <c r="CG210" i="29"/>
  <c r="CF210" i="29"/>
  <c r="CL207" i="29"/>
  <c r="CG207" i="29"/>
  <c r="CF207" i="29"/>
  <c r="CC119" i="29"/>
  <c r="CB119" i="29"/>
  <c r="CH307" i="29"/>
  <c r="CG307" i="29"/>
  <c r="CF307" i="29"/>
  <c r="CE307" i="29"/>
  <c r="CB301" i="29"/>
  <c r="CE301" i="29"/>
  <c r="CG212" i="29"/>
  <c r="CL212" i="29"/>
  <c r="CF212" i="29"/>
  <c r="CF205" i="29"/>
  <c r="CG205" i="29"/>
  <c r="CL205" i="29"/>
  <c r="CL201" i="29"/>
  <c r="CG201" i="29"/>
  <c r="CF201" i="29"/>
  <c r="CB300" i="29"/>
  <c r="CE300" i="29"/>
  <c r="CL208" i="29"/>
  <c r="CG208" i="29"/>
  <c r="CL206" i="29"/>
  <c r="CF206" i="29"/>
  <c r="CG206" i="29"/>
  <c r="CL203" i="29"/>
  <c r="CG203" i="29"/>
  <c r="CF203" i="29"/>
  <c r="CL215" i="29"/>
  <c r="CF215" i="29"/>
  <c r="CG215" i="29"/>
  <c r="CB298" i="29"/>
  <c r="CE298" i="29"/>
  <c r="CD298" i="29"/>
  <c r="CC298" i="29"/>
  <c r="CL209" i="29"/>
  <c r="CG209" i="29"/>
  <c r="CF209" i="29"/>
  <c r="CF202" i="29"/>
  <c r="CL202" i="29"/>
  <c r="CG202" i="29"/>
  <c r="CB299" i="29"/>
  <c r="CE299" i="29"/>
  <c r="CF200" i="29"/>
  <c r="CG200" i="29"/>
  <c r="CL200" i="29"/>
  <c r="CL204" i="29"/>
  <c r="CG204" i="29"/>
  <c r="CF204" i="29"/>
  <c r="CL216" i="29"/>
  <c r="CG216" i="29"/>
  <c r="CF216" i="29"/>
  <c r="CL217" i="29"/>
  <c r="CG217" i="29"/>
  <c r="CF217" i="29"/>
  <c r="CF214" i="29"/>
  <c r="CL214" i="29"/>
  <c r="CG214" i="29"/>
  <c r="CL199" i="29"/>
  <c r="CG199" i="29"/>
  <c r="CF199" i="29"/>
  <c r="CF211" i="29"/>
  <c r="CG211" i="29"/>
  <c r="CL211" i="29"/>
  <c r="CL213" i="29"/>
  <c r="CG213" i="29"/>
  <c r="CF213" i="29"/>
  <c r="CR352" i="29"/>
  <c r="CQ352" i="29"/>
  <c r="CP352" i="29"/>
  <c r="CD352" i="29"/>
  <c r="CC352" i="29"/>
  <c r="CB352" i="29"/>
  <c r="CG193" i="29"/>
  <c r="CF193" i="29"/>
  <c r="F163" i="29"/>
  <c r="E163" i="29"/>
  <c r="CH270" i="29"/>
  <c r="CI270" i="29"/>
  <c r="CJ270" i="29"/>
  <c r="CG270" i="29"/>
  <c r="CF351" i="29"/>
  <c r="CE351" i="29"/>
  <c r="CH274" i="29"/>
  <c r="CI274" i="29"/>
  <c r="CJ274" i="29"/>
  <c r="CG274" i="29"/>
  <c r="CD333" i="29"/>
  <c r="CE333" i="29"/>
  <c r="CF333" i="29"/>
  <c r="CG333" i="29"/>
  <c r="CG273" i="29"/>
  <c r="CH273" i="29"/>
  <c r="CI273" i="29"/>
  <c r="CJ273" i="29"/>
  <c r="CE344" i="29"/>
  <c r="CD344" i="29"/>
  <c r="CS344" i="29"/>
  <c r="CR344" i="29"/>
  <c r="CG292" i="29"/>
  <c r="CH292" i="29"/>
  <c r="CI292" i="29"/>
  <c r="CJ292" i="29"/>
  <c r="CF338" i="29"/>
  <c r="CG338" i="29"/>
  <c r="CD338" i="29"/>
  <c r="CE338" i="29"/>
  <c r="CG269" i="29"/>
  <c r="CH269" i="29"/>
  <c r="CI269" i="29"/>
  <c r="CJ269" i="29"/>
  <c r="CF330" i="29"/>
  <c r="CG330" i="29"/>
  <c r="CD330" i="29"/>
  <c r="CE330" i="29"/>
  <c r="CG289" i="29"/>
  <c r="CH289" i="29"/>
  <c r="CI289" i="29"/>
  <c r="CJ289" i="29"/>
  <c r="CD335" i="29"/>
  <c r="CE335" i="29"/>
  <c r="CF335" i="29"/>
  <c r="CG335" i="29"/>
  <c r="CD331" i="29"/>
  <c r="CE331" i="29"/>
  <c r="CF331" i="29"/>
  <c r="CG331" i="29"/>
  <c r="CD337" i="29"/>
  <c r="CE337" i="29"/>
  <c r="CF337" i="29"/>
  <c r="CG337" i="29"/>
  <c r="CH266" i="29"/>
  <c r="CI266" i="29"/>
  <c r="CJ266" i="29"/>
  <c r="CG266" i="29"/>
  <c r="CF334" i="29"/>
  <c r="CG334" i="29"/>
  <c r="CD334" i="29"/>
  <c r="CE334" i="29"/>
  <c r="CQ357" i="29"/>
  <c r="CB357" i="29"/>
  <c r="CH278" i="29"/>
  <c r="CI278" i="29"/>
  <c r="CJ278" i="29"/>
  <c r="CG278" i="29"/>
  <c r="CH286" i="29"/>
  <c r="CI286" i="29"/>
  <c r="CJ286" i="29"/>
  <c r="CG286" i="29"/>
  <c r="CJ263" i="29"/>
  <c r="CG263" i="29"/>
  <c r="CH263" i="29"/>
  <c r="CI263" i="29"/>
  <c r="CX245" i="29"/>
  <c r="CG293" i="29"/>
  <c r="CH293" i="29"/>
  <c r="CI293" i="29"/>
  <c r="CJ293" i="29"/>
  <c r="CJ283" i="29"/>
  <c r="CG283" i="29"/>
  <c r="CH283" i="29"/>
  <c r="CI283" i="29"/>
  <c r="CG265" i="29"/>
  <c r="CH265" i="29"/>
  <c r="CI265" i="29"/>
  <c r="CJ265" i="29"/>
  <c r="CJ281" i="29"/>
  <c r="CJ291" i="29"/>
  <c r="CG291" i="29"/>
  <c r="CH291" i="29"/>
  <c r="CI291" i="29"/>
  <c r="CF332" i="29"/>
  <c r="CG332" i="29"/>
  <c r="CD332" i="29"/>
  <c r="CE332" i="29"/>
  <c r="CG260" i="29"/>
  <c r="CH260" i="29"/>
  <c r="CI260" i="29"/>
  <c r="CJ260" i="29"/>
  <c r="CG329" i="29"/>
  <c r="CF329" i="29"/>
  <c r="CE329" i="29"/>
  <c r="CD329" i="29"/>
  <c r="CP298" i="29"/>
  <c r="CX257" i="29"/>
  <c r="CW257" i="29"/>
  <c r="CJ257" i="29"/>
  <c r="CV257" i="29"/>
  <c r="CI257" i="29"/>
  <c r="CU257" i="29"/>
  <c r="CH257" i="29"/>
  <c r="CG257" i="29"/>
  <c r="CH290" i="29"/>
  <c r="CI290" i="29"/>
  <c r="CJ290" i="29"/>
  <c r="CG290" i="29"/>
  <c r="CJ267" i="29"/>
  <c r="CG267" i="29"/>
  <c r="CH267" i="29"/>
  <c r="CI267" i="29"/>
  <c r="CJ287" i="29"/>
  <c r="CG287" i="29"/>
  <c r="CH287" i="29"/>
  <c r="CI287" i="29"/>
  <c r="CU259" i="29"/>
  <c r="CH259" i="29"/>
  <c r="CG259" i="29"/>
  <c r="CX259" i="29"/>
  <c r="CW259" i="29"/>
  <c r="CJ259" i="29"/>
  <c r="CV259" i="29"/>
  <c r="CI259" i="29"/>
  <c r="CJ275" i="29"/>
  <c r="CG275" i="29"/>
  <c r="CH275" i="29"/>
  <c r="CI275" i="29"/>
  <c r="CG288" i="29"/>
  <c r="CH288" i="29"/>
  <c r="CI288" i="29"/>
  <c r="CJ288" i="29"/>
  <c r="CU251" i="29"/>
  <c r="CG251" i="29"/>
  <c r="CI251" i="29"/>
  <c r="CH251" i="29"/>
  <c r="CV251" i="29"/>
  <c r="CX251" i="29"/>
  <c r="CW251" i="29"/>
  <c r="CJ251" i="29"/>
  <c r="CH282" i="29"/>
  <c r="CI282" i="29"/>
  <c r="CJ282" i="29"/>
  <c r="CG282" i="29"/>
  <c r="CW254" i="29"/>
  <c r="CU254" i="29"/>
  <c r="CI254" i="29"/>
  <c r="CH254" i="29"/>
  <c r="CJ254" i="29"/>
  <c r="CG254" i="29"/>
  <c r="CX254" i="29"/>
  <c r="CV254" i="29"/>
  <c r="CG264" i="29"/>
  <c r="CH264" i="29"/>
  <c r="CI264" i="29"/>
  <c r="CJ264" i="29"/>
  <c r="CG284" i="29"/>
  <c r="CH284" i="29"/>
  <c r="CI284" i="29"/>
  <c r="CJ284" i="29"/>
  <c r="CX256" i="29"/>
  <c r="CW256" i="29"/>
  <c r="CJ256" i="29"/>
  <c r="CV256" i="29"/>
  <c r="CI256" i="29"/>
  <c r="CU256" i="29"/>
  <c r="CH256" i="29"/>
  <c r="CG256" i="29"/>
  <c r="CJ271" i="29"/>
  <c r="CG271" i="29"/>
  <c r="CH271" i="29"/>
  <c r="CI271" i="29"/>
  <c r="CG272" i="29"/>
  <c r="CH272" i="29"/>
  <c r="CI272" i="29"/>
  <c r="CJ272" i="29"/>
  <c r="CG285" i="29"/>
  <c r="CH285" i="29"/>
  <c r="CI285" i="29"/>
  <c r="CJ285" i="29"/>
  <c r="CJ280" i="29"/>
  <c r="CW258" i="29"/>
  <c r="CJ258" i="29"/>
  <c r="CV258" i="29"/>
  <c r="CI258" i="29"/>
  <c r="CU258" i="29"/>
  <c r="CH258" i="29"/>
  <c r="CG258" i="29"/>
  <c r="CX258" i="29"/>
  <c r="CD339" i="29"/>
  <c r="CE339" i="29"/>
  <c r="CF339" i="29"/>
  <c r="CG339" i="29"/>
  <c r="CJ279" i="29"/>
  <c r="CX253" i="29"/>
  <c r="CW253" i="29"/>
  <c r="CJ253" i="29"/>
  <c r="CV253" i="29"/>
  <c r="CI253" i="29"/>
  <c r="CU253" i="29"/>
  <c r="CH253" i="29"/>
  <c r="CG253" i="29"/>
  <c r="CG268" i="29"/>
  <c r="CH268" i="29"/>
  <c r="CI268" i="29"/>
  <c r="CJ268" i="29"/>
  <c r="CU255" i="29"/>
  <c r="CH255" i="29"/>
  <c r="CG255" i="29"/>
  <c r="CX255" i="29"/>
  <c r="CW255" i="29"/>
  <c r="CJ255" i="29"/>
  <c r="CV255" i="29"/>
  <c r="CI255" i="29"/>
  <c r="CG261" i="29"/>
  <c r="CH261" i="29"/>
  <c r="CI261" i="29"/>
  <c r="CJ261" i="29"/>
  <c r="CG277" i="29"/>
  <c r="CH277" i="29"/>
  <c r="CI277" i="29"/>
  <c r="CJ277" i="29"/>
  <c r="CF336" i="29"/>
  <c r="CG336" i="29"/>
  <c r="CD336" i="29"/>
  <c r="CE336" i="29"/>
  <c r="CG276" i="29"/>
  <c r="CH276" i="29"/>
  <c r="CI276" i="29"/>
  <c r="CJ276" i="29"/>
  <c r="CH262" i="29"/>
  <c r="CI262" i="29"/>
  <c r="CJ262" i="29"/>
  <c r="CG262" i="29"/>
  <c r="CX252" i="29"/>
  <c r="CW252" i="29"/>
  <c r="CJ252" i="29"/>
  <c r="CV252" i="29"/>
  <c r="CI252" i="29"/>
  <c r="CU252" i="29"/>
  <c r="CH252" i="29"/>
  <c r="CG252" i="29"/>
  <c r="CD137" i="29"/>
  <c r="CR137" i="29"/>
  <c r="CQ137" i="29"/>
  <c r="CC137" i="29"/>
  <c r="CP137" i="29"/>
  <c r="CZ193" i="29"/>
  <c r="CU193" i="29"/>
  <c r="CT193" i="29"/>
  <c r="CL232" i="29"/>
  <c r="CZ232" i="29"/>
  <c r="CP167" i="29"/>
  <c r="CB167" i="29"/>
  <c r="CZ216" i="29"/>
  <c r="CQ148" i="29"/>
  <c r="CD148" i="29"/>
  <c r="CR148" i="29"/>
  <c r="CC148" i="29"/>
  <c r="CU200" i="29"/>
  <c r="CT200" i="29"/>
  <c r="CZ200" i="29"/>
  <c r="CL225" i="29"/>
  <c r="CZ225" i="29"/>
  <c r="CU204" i="29"/>
  <c r="CT204" i="29"/>
  <c r="CZ204" i="29"/>
  <c r="CZ233" i="29"/>
  <c r="CL233" i="29"/>
  <c r="CT199" i="29"/>
  <c r="CZ199" i="29"/>
  <c r="CU199" i="29"/>
  <c r="CZ214" i="29"/>
  <c r="CL230" i="29"/>
  <c r="CZ230" i="29"/>
  <c r="CQ154" i="29"/>
  <c r="CC154" i="29"/>
  <c r="CP154" i="29"/>
  <c r="CB154" i="29"/>
  <c r="CC156" i="29"/>
  <c r="CP156" i="29"/>
  <c r="CQ156" i="29"/>
  <c r="CB156" i="29"/>
  <c r="CZ217" i="29"/>
  <c r="CL224" i="29"/>
  <c r="CZ224" i="29"/>
  <c r="CL221" i="29"/>
  <c r="CZ221" i="29"/>
  <c r="CJ245" i="29"/>
  <c r="CI245" i="29"/>
  <c r="CH245" i="29"/>
  <c r="CG245" i="29"/>
  <c r="CZ226" i="29"/>
  <c r="CL226" i="29"/>
  <c r="CZ206" i="29"/>
  <c r="CT206" i="29"/>
  <c r="CU206" i="29"/>
  <c r="CR140" i="29"/>
  <c r="CC140" i="29"/>
  <c r="CP140" i="29"/>
  <c r="CD140" i="29"/>
  <c r="CQ140" i="29"/>
  <c r="CQ141" i="29"/>
  <c r="CP141" i="29"/>
  <c r="CR141" i="29"/>
  <c r="CD141" i="29"/>
  <c r="CC141" i="29"/>
  <c r="CZ211" i="29"/>
  <c r="CZ208" i="29"/>
  <c r="CB186" i="29"/>
  <c r="CC186" i="29"/>
  <c r="CZ223" i="29"/>
  <c r="CL223" i="29"/>
  <c r="CP139" i="29"/>
  <c r="CQ139" i="29"/>
  <c r="CC139" i="29"/>
  <c r="CD139" i="29"/>
  <c r="CR139" i="29"/>
  <c r="CQ136" i="29"/>
  <c r="CR136" i="29"/>
  <c r="CC136" i="29"/>
  <c r="CP136" i="29"/>
  <c r="CD136" i="29"/>
  <c r="CP134" i="29"/>
  <c r="CQ134" i="29"/>
  <c r="CR134" i="29"/>
  <c r="CD134" i="29"/>
  <c r="CC134" i="29"/>
  <c r="CZ215" i="29"/>
  <c r="CZ213" i="29"/>
  <c r="CT203" i="29"/>
  <c r="CZ203" i="29"/>
  <c r="CU203" i="29"/>
  <c r="CZ210" i="29"/>
  <c r="CZ218" i="29"/>
  <c r="CL218" i="29"/>
  <c r="CR133" i="29"/>
  <c r="CQ133" i="29"/>
  <c r="CC133" i="29"/>
  <c r="CP133" i="29"/>
  <c r="CZ220" i="29"/>
  <c r="CL220" i="29"/>
  <c r="CC135" i="29"/>
  <c r="CD135" i="29"/>
  <c r="CP135" i="29"/>
  <c r="CR135" i="29"/>
  <c r="CQ135" i="29"/>
  <c r="CC187" i="29"/>
  <c r="CB187" i="29"/>
  <c r="CZ222" i="29"/>
  <c r="CL222" i="29"/>
  <c r="CZ237" i="29"/>
  <c r="CL237" i="29"/>
  <c r="CZ209" i="29"/>
  <c r="CZ202" i="29"/>
  <c r="CU202" i="29"/>
  <c r="CT202" i="29"/>
  <c r="CQ160" i="29"/>
  <c r="CP160" i="29"/>
  <c r="CC184" i="29"/>
  <c r="CB184" i="29"/>
  <c r="CQ184" i="29"/>
  <c r="CD149" i="29"/>
  <c r="CQ149" i="29"/>
  <c r="CC149" i="29"/>
  <c r="CR149" i="29"/>
  <c r="CP185" i="29"/>
  <c r="CC185" i="29"/>
  <c r="CB185" i="29"/>
  <c r="CZ234" i="29"/>
  <c r="CL234" i="29"/>
  <c r="CQ159" i="29"/>
  <c r="CP159" i="29"/>
  <c r="CR146" i="29"/>
  <c r="CD146" i="29"/>
  <c r="CQ146" i="29"/>
  <c r="CC146" i="29"/>
  <c r="CL240" i="29"/>
  <c r="CZ240" i="29"/>
  <c r="CZ235" i="29"/>
  <c r="CL235" i="29"/>
  <c r="CQ155" i="29"/>
  <c r="CB155" i="29"/>
  <c r="CP155" i="29"/>
  <c r="CC155" i="29"/>
  <c r="CC150" i="29"/>
  <c r="CR150" i="29"/>
  <c r="CD150" i="29"/>
  <c r="CQ150" i="29"/>
  <c r="CZ239" i="29"/>
  <c r="CL239" i="29"/>
  <c r="CB180" i="29"/>
  <c r="CC180" i="29"/>
  <c r="CP180" i="29"/>
  <c r="CT207" i="29"/>
  <c r="CZ207" i="29"/>
  <c r="CU207" i="29"/>
  <c r="CB158" i="29"/>
  <c r="CQ158" i="29"/>
  <c r="CP158" i="29"/>
  <c r="CZ231" i="29"/>
  <c r="CL231" i="29"/>
  <c r="CZ212" i="29"/>
  <c r="CP161" i="29"/>
  <c r="CQ161" i="29"/>
  <c r="CZ238" i="29"/>
  <c r="CL238" i="29"/>
  <c r="CC147" i="29"/>
  <c r="CQ147" i="29"/>
  <c r="CD147" i="29"/>
  <c r="CR147" i="29"/>
  <c r="CZ236" i="29"/>
  <c r="CL236" i="29"/>
  <c r="CU205" i="29"/>
  <c r="CT205" i="29"/>
  <c r="CZ205" i="29"/>
  <c r="CZ241" i="29"/>
  <c r="CU201" i="29"/>
  <c r="CT201" i="29"/>
  <c r="CZ201" i="29"/>
  <c r="CZ219" i="29"/>
  <c r="CL219" i="29"/>
  <c r="CP119" i="29"/>
  <c r="CQ119" i="29"/>
  <c r="AC44" i="29"/>
  <c r="Z59" i="29"/>
  <c r="AC51" i="29"/>
  <c r="Z56" i="29"/>
  <c r="CP127" i="29"/>
  <c r="CQ127" i="29"/>
  <c r="CC127" i="29"/>
  <c r="AK127" i="29" s="1"/>
  <c r="CP123" i="29"/>
  <c r="CQ123" i="29"/>
  <c r="CC123" i="29"/>
  <c r="AK123" i="29" s="1"/>
  <c r="AC42" i="29"/>
  <c r="AC45" i="29"/>
  <c r="AC37" i="29"/>
  <c r="AC47" i="29"/>
  <c r="CB120" i="29"/>
  <c r="CP120" i="29"/>
  <c r="CQ120" i="29"/>
  <c r="CC120" i="29"/>
  <c r="CC125" i="29"/>
  <c r="CP125" i="29"/>
  <c r="CQ125" i="29"/>
  <c r="CB125" i="29"/>
  <c r="AC38" i="29"/>
  <c r="Z57" i="29"/>
  <c r="AC40" i="29"/>
  <c r="CD133" i="29"/>
  <c r="CC121" i="29"/>
  <c r="CP121" i="29"/>
  <c r="CQ121" i="29"/>
  <c r="CB121" i="29"/>
  <c r="Z58" i="29"/>
  <c r="AC50" i="29"/>
  <c r="CQ122" i="29"/>
  <c r="CB122" i="29"/>
  <c r="CC122" i="29"/>
  <c r="CP122" i="29"/>
  <c r="CQ126" i="29"/>
  <c r="CB126" i="29"/>
  <c r="CC126" i="29"/>
  <c r="CP126" i="29"/>
  <c r="AC46" i="29"/>
  <c r="AC43" i="29"/>
  <c r="AC39" i="29"/>
  <c r="AC41" i="29"/>
  <c r="AC48" i="29"/>
  <c r="CP128" i="29"/>
  <c r="CQ128" i="29"/>
  <c r="CC128" i="29"/>
  <c r="AK128" i="29" s="1"/>
  <c r="BW42" i="28"/>
  <c r="BV25" i="28"/>
  <c r="BV32" i="28"/>
  <c r="D157" i="29"/>
  <c r="BR45" i="28"/>
  <c r="BP45" i="28"/>
  <c r="BW45" i="28"/>
  <c r="BS45" i="28"/>
  <c r="BY45" i="28"/>
  <c r="BQ45" i="28"/>
  <c r="BT45" i="28"/>
  <c r="BZ45" i="28"/>
  <c r="BX45" i="28"/>
  <c r="M148" i="28"/>
  <c r="BQ165" i="28"/>
  <c r="BP165" i="28"/>
  <c r="M146" i="28"/>
  <c r="BX35" i="28"/>
  <c r="BS35" i="28"/>
  <c r="BY35" i="28"/>
  <c r="BT35" i="28"/>
  <c r="BR35" i="28"/>
  <c r="BZ35" i="28"/>
  <c r="BX17" i="28"/>
  <c r="BS17" i="28"/>
  <c r="BY17" i="28"/>
  <c r="BR17" i="28"/>
  <c r="BP18" i="28"/>
  <c r="BX18" i="28"/>
  <c r="BR18" i="28"/>
  <c r="BY18" i="28"/>
  <c r="BS18" i="28"/>
  <c r="BX21" i="28"/>
  <c r="BY21" i="28"/>
  <c r="BR21" i="28"/>
  <c r="BS21" i="28"/>
  <c r="BW18" i="28"/>
  <c r="W171" i="28"/>
  <c r="M149" i="28"/>
  <c r="M147" i="28"/>
  <c r="M145" i="28"/>
  <c r="BX39" i="28"/>
  <c r="BR39" i="28"/>
  <c r="BY39" i="28"/>
  <c r="BS39" i="28"/>
  <c r="BV18" i="28"/>
  <c r="BS32" i="28"/>
  <c r="BZ32" i="28"/>
  <c r="BT18" i="28"/>
  <c r="BS25" i="28"/>
  <c r="BQ18" i="28"/>
  <c r="BX25" i="28"/>
  <c r="BZ18" i="28"/>
  <c r="BV165" i="28"/>
  <c r="BY25" i="28"/>
  <c r="BW25" i="28"/>
  <c r="BX32" i="28"/>
  <c r="CU245" i="29"/>
  <c r="CS345" i="29"/>
  <c r="CR345" i="29"/>
  <c r="CD345" i="29"/>
  <c r="CE345" i="29"/>
  <c r="CS346" i="29"/>
  <c r="CD346" i="29"/>
  <c r="CE346" i="29"/>
  <c r="CR346" i="29"/>
  <c r="CE352" i="29"/>
  <c r="CT352" i="29"/>
  <c r="CF352" i="29"/>
  <c r="CS352" i="29"/>
  <c r="CT351" i="29"/>
  <c r="CS351" i="29"/>
  <c r="CU307" i="29"/>
  <c r="CV307" i="29"/>
  <c r="CT329" i="29"/>
  <c r="CR335" i="29"/>
  <c r="CS335" i="29"/>
  <c r="CT335" i="29"/>
  <c r="CU335" i="29"/>
  <c r="CT338" i="29"/>
  <c r="CU338" i="29"/>
  <c r="CR338" i="29"/>
  <c r="CS338" i="29"/>
  <c r="CR329" i="29"/>
  <c r="CR331" i="29"/>
  <c r="CS331" i="29"/>
  <c r="CT331" i="29"/>
  <c r="CU331" i="29"/>
  <c r="CR339" i="29"/>
  <c r="CS339" i="29"/>
  <c r="CT339" i="29"/>
  <c r="CU339" i="29"/>
  <c r="CR337" i="29"/>
  <c r="CS337" i="29"/>
  <c r="CT337" i="29"/>
  <c r="CU337" i="29"/>
  <c r="CT336" i="29"/>
  <c r="CU336" i="29"/>
  <c r="CR336" i="29"/>
  <c r="CS336" i="29"/>
  <c r="CT334" i="29"/>
  <c r="CU334" i="29"/>
  <c r="CR334" i="29"/>
  <c r="CS334" i="29"/>
  <c r="CR333" i="29"/>
  <c r="CS333" i="29"/>
  <c r="CT333" i="29"/>
  <c r="CU333" i="29"/>
  <c r="CS329" i="29"/>
  <c r="CT332" i="29"/>
  <c r="CU332" i="29"/>
  <c r="CS332" i="29"/>
  <c r="CR332" i="29"/>
  <c r="CR330" i="29"/>
  <c r="CU330" i="29"/>
  <c r="CS330" i="29"/>
  <c r="CT330" i="29"/>
  <c r="CS307" i="29"/>
  <c r="CT307" i="29"/>
  <c r="CU311" i="29"/>
  <c r="CT311" i="29"/>
  <c r="CV311" i="29"/>
  <c r="CS311" i="29"/>
  <c r="CV309" i="29"/>
  <c r="CU309" i="29"/>
  <c r="CT309" i="29"/>
  <c r="CS309" i="29"/>
  <c r="CS310" i="29"/>
  <c r="CV310" i="29"/>
  <c r="CU310" i="29"/>
  <c r="CT310" i="29"/>
  <c r="CV324" i="29"/>
  <c r="CU324" i="29"/>
  <c r="CT324" i="29"/>
  <c r="CS324" i="29"/>
  <c r="CV312" i="29"/>
  <c r="CU312" i="29"/>
  <c r="CT312" i="29"/>
  <c r="CS312" i="29"/>
  <c r="CU315" i="29"/>
  <c r="CT315" i="29"/>
  <c r="CS315" i="29"/>
  <c r="CV315" i="29"/>
  <c r="CU319" i="29"/>
  <c r="CT319" i="29"/>
  <c r="CS319" i="29"/>
  <c r="CV319" i="29"/>
  <c r="CU323" i="29"/>
  <c r="CT323" i="29"/>
  <c r="CS323" i="29"/>
  <c r="CV323" i="29"/>
  <c r="CT317" i="29"/>
  <c r="CV317" i="29"/>
  <c r="CU317" i="29"/>
  <c r="CS317" i="29"/>
  <c r="CT313" i="29"/>
  <c r="CV313" i="29"/>
  <c r="CU313" i="29"/>
  <c r="CS313" i="29"/>
  <c r="CV316" i="29"/>
  <c r="CU316" i="29"/>
  <c r="CT316" i="29"/>
  <c r="CS316" i="29"/>
  <c r="CV320" i="29"/>
  <c r="CU320" i="29"/>
  <c r="CT320" i="29"/>
  <c r="CS320" i="29"/>
  <c r="CV308" i="29"/>
  <c r="CU308" i="29"/>
  <c r="CT308" i="29"/>
  <c r="CS308" i="29"/>
  <c r="CS318" i="29"/>
  <c r="CV318" i="29"/>
  <c r="CU318" i="29"/>
  <c r="CT318" i="29"/>
  <c r="CS322" i="29"/>
  <c r="CV322" i="29"/>
  <c r="CU322" i="29"/>
  <c r="CT322" i="29"/>
  <c r="CT321" i="29"/>
  <c r="CV321" i="29"/>
  <c r="CU321" i="29"/>
  <c r="CS321" i="29"/>
  <c r="CS314" i="29"/>
  <c r="CV314" i="29"/>
  <c r="CU314" i="29"/>
  <c r="CT314" i="29"/>
  <c r="CF324" i="29"/>
  <c r="CE324" i="29"/>
  <c r="CH324" i="29"/>
  <c r="CG324" i="29"/>
  <c r="CG312" i="29"/>
  <c r="CF312" i="29"/>
  <c r="CE312" i="29"/>
  <c r="CH312" i="29"/>
  <c r="CE319" i="29"/>
  <c r="CF319" i="29"/>
  <c r="CH319" i="29"/>
  <c r="CG319" i="29"/>
  <c r="CH323" i="29"/>
  <c r="CG323" i="29"/>
  <c r="CF323" i="29"/>
  <c r="CE323" i="29"/>
  <c r="CG317" i="29"/>
  <c r="CF317" i="29"/>
  <c r="CE317" i="29"/>
  <c r="CH317" i="29"/>
  <c r="CF313" i="29"/>
  <c r="CH313" i="29"/>
  <c r="CG313" i="29"/>
  <c r="CE313" i="29"/>
  <c r="CE308" i="29"/>
  <c r="CG308" i="29"/>
  <c r="CH308" i="29"/>
  <c r="CF308" i="29"/>
  <c r="CE314" i="29"/>
  <c r="CF314" i="29"/>
  <c r="CG314" i="29"/>
  <c r="CH314" i="29"/>
  <c r="CH320" i="29"/>
  <c r="CG320" i="29"/>
  <c r="CF320" i="29"/>
  <c r="CE320" i="29"/>
  <c r="CE316" i="29"/>
  <c r="CH316" i="29"/>
  <c r="CF316" i="29"/>
  <c r="CG316" i="29"/>
  <c r="CH315" i="29"/>
  <c r="CG315" i="29"/>
  <c r="CF315" i="29"/>
  <c r="CE315" i="29"/>
  <c r="CH318" i="29"/>
  <c r="CG318" i="29"/>
  <c r="CF318" i="29"/>
  <c r="CE318" i="29"/>
  <c r="CF311" i="29"/>
  <c r="CE311" i="29"/>
  <c r="CH311" i="29"/>
  <c r="CG311" i="29"/>
  <c r="CE321" i="29"/>
  <c r="CH321" i="29"/>
  <c r="CG321" i="29"/>
  <c r="CF321" i="29"/>
  <c r="CF309" i="29"/>
  <c r="CE309" i="29"/>
  <c r="CH309" i="29"/>
  <c r="CG309" i="29"/>
  <c r="CF322" i="29"/>
  <c r="CE322" i="29"/>
  <c r="CH322" i="29"/>
  <c r="CG322" i="29"/>
  <c r="CH310" i="29"/>
  <c r="CE310" i="29"/>
  <c r="CG310" i="29"/>
  <c r="CF310" i="29"/>
  <c r="CX263" i="29"/>
  <c r="CV263" i="29"/>
  <c r="CW263" i="29"/>
  <c r="CU263" i="29"/>
  <c r="CW276" i="29"/>
  <c r="CV276" i="29"/>
  <c r="CU276" i="29"/>
  <c r="CX276" i="29"/>
  <c r="CU282" i="29"/>
  <c r="CV282" i="29"/>
  <c r="CX282" i="29"/>
  <c r="CW282" i="29"/>
  <c r="CU290" i="29"/>
  <c r="CV290" i="29"/>
  <c r="CX290" i="29"/>
  <c r="CW290" i="29"/>
  <c r="CW278" i="29"/>
  <c r="CV278" i="29"/>
  <c r="CU278" i="29"/>
  <c r="CX278" i="29"/>
  <c r="CU292" i="29"/>
  <c r="CX292" i="29"/>
  <c r="CW292" i="29"/>
  <c r="CV292" i="29"/>
  <c r="CX260" i="29"/>
  <c r="CV260" i="29"/>
  <c r="CW260" i="29"/>
  <c r="CU260" i="29"/>
  <c r="CX270" i="29"/>
  <c r="CW270" i="29"/>
  <c r="CU270" i="29"/>
  <c r="CV270" i="29"/>
  <c r="CU286" i="29"/>
  <c r="CX286" i="29"/>
  <c r="CW286" i="29"/>
  <c r="CV286" i="29"/>
  <c r="CX280" i="29"/>
  <c r="CW280" i="29"/>
  <c r="CU289" i="29"/>
  <c r="CV289" i="29"/>
  <c r="CX289" i="29"/>
  <c r="CW289" i="29"/>
  <c r="CU283" i="29"/>
  <c r="CX283" i="29"/>
  <c r="CV283" i="29"/>
  <c r="CW283" i="29"/>
  <c r="CV261" i="29"/>
  <c r="CX261" i="29"/>
  <c r="CW261" i="29"/>
  <c r="CU261" i="29"/>
  <c r="CX281" i="29"/>
  <c r="CW281" i="29"/>
  <c r="CU291" i="29"/>
  <c r="CX291" i="29"/>
  <c r="CV291" i="29"/>
  <c r="CW291" i="29"/>
  <c r="CW273" i="29"/>
  <c r="CV273" i="29"/>
  <c r="CU273" i="29"/>
  <c r="CX273" i="29"/>
  <c r="CU293" i="29"/>
  <c r="CX293" i="29"/>
  <c r="CW293" i="29"/>
  <c r="CV293" i="29"/>
  <c r="CV265" i="29"/>
  <c r="CX265" i="29"/>
  <c r="CW265" i="29"/>
  <c r="CU265" i="29"/>
  <c r="CX264" i="29"/>
  <c r="CW264" i="29"/>
  <c r="CV264" i="29"/>
  <c r="CU264" i="29"/>
  <c r="CU287" i="29"/>
  <c r="CV287" i="29"/>
  <c r="CX287" i="29"/>
  <c r="CW287" i="29"/>
  <c r="CX269" i="29"/>
  <c r="CV269" i="29"/>
  <c r="CW269" i="29"/>
  <c r="CU269" i="29"/>
  <c r="CU284" i="29"/>
  <c r="CX284" i="29"/>
  <c r="CW284" i="29"/>
  <c r="CV284" i="29"/>
  <c r="CU271" i="29"/>
  <c r="CV271" i="29"/>
  <c r="CX271" i="29"/>
  <c r="CW271" i="29"/>
  <c r="CW275" i="29"/>
  <c r="CV275" i="29"/>
  <c r="CX275" i="29"/>
  <c r="CU275" i="29"/>
  <c r="CU288" i="29"/>
  <c r="CX288" i="29"/>
  <c r="CW288" i="29"/>
  <c r="CV288" i="29"/>
  <c r="CX262" i="29"/>
  <c r="CW262" i="29"/>
  <c r="CV262" i="29"/>
  <c r="CU262" i="29"/>
  <c r="CW277" i="29"/>
  <c r="CV277" i="29"/>
  <c r="CU277" i="29"/>
  <c r="CX277" i="29"/>
  <c r="CX267" i="29"/>
  <c r="CW267" i="29"/>
  <c r="CV267" i="29"/>
  <c r="CU267" i="29"/>
  <c r="CW274" i="29"/>
  <c r="CX274" i="29"/>
  <c r="CV274" i="29"/>
  <c r="CU274" i="29"/>
  <c r="CX266" i="29"/>
  <c r="CV266" i="29"/>
  <c r="CW266" i="29"/>
  <c r="CU266" i="29"/>
  <c r="CX279" i="29"/>
  <c r="CW279" i="29"/>
  <c r="CV268" i="29"/>
  <c r="CX268" i="29"/>
  <c r="CW268" i="29"/>
  <c r="CU268" i="29"/>
  <c r="CV272" i="29"/>
  <c r="CU272" i="29"/>
  <c r="CW272" i="29"/>
  <c r="CX272" i="29"/>
  <c r="CU285" i="29"/>
  <c r="CX285" i="29"/>
  <c r="CW285" i="29"/>
  <c r="CV285" i="29"/>
  <c r="CF221" i="29"/>
  <c r="CG221" i="29"/>
  <c r="CU221" i="29"/>
  <c r="CT221" i="29"/>
  <c r="CT239" i="29"/>
  <c r="CG239" i="29"/>
  <c r="CU239" i="29"/>
  <c r="CF239" i="29"/>
  <c r="CU234" i="29"/>
  <c r="CT234" i="29"/>
  <c r="CG234" i="29"/>
  <c r="CF234" i="29"/>
  <c r="BR25" i="28"/>
  <c r="BZ42" i="28"/>
  <c r="CU215" i="29"/>
  <c r="CT215" i="29"/>
  <c r="CF237" i="29"/>
  <c r="CU237" i="29"/>
  <c r="CT237" i="29"/>
  <c r="CG237" i="29"/>
  <c r="BS42" i="28"/>
  <c r="CF208" i="29"/>
  <c r="CU208" i="29"/>
  <c r="CT208" i="29"/>
  <c r="CU213" i="29"/>
  <c r="CT213" i="29"/>
  <c r="CG225" i="29"/>
  <c r="CF225" i="29"/>
  <c r="CU225" i="29"/>
  <c r="CT225" i="29"/>
  <c r="CG236" i="29"/>
  <c r="CF236" i="29"/>
  <c r="CU236" i="29"/>
  <c r="CT236" i="29"/>
  <c r="CF241" i="29"/>
  <c r="CU241" i="29"/>
  <c r="CT241" i="29"/>
  <c r="CG241" i="29"/>
  <c r="CT231" i="29"/>
  <c r="CU231" i="29"/>
  <c r="CG231" i="29"/>
  <c r="CF231" i="29"/>
  <c r="BQ25" i="28"/>
  <c r="BV42" i="28"/>
  <c r="CU209" i="29"/>
  <c r="CT209" i="29"/>
  <c r="CU216" i="29"/>
  <c r="CT216" i="29"/>
  <c r="CU230" i="29"/>
  <c r="CT230" i="29"/>
  <c r="CF230" i="29"/>
  <c r="CG230" i="29"/>
  <c r="BQ42" i="28"/>
  <c r="CT222" i="29"/>
  <c r="CG222" i="29"/>
  <c r="CU222" i="29"/>
  <c r="CF222" i="29"/>
  <c r="CT224" i="29"/>
  <c r="CU224" i="29"/>
  <c r="CG224" i="29"/>
  <c r="CF224" i="29"/>
  <c r="CT210" i="29"/>
  <c r="CU210" i="29"/>
  <c r="CT214" i="29"/>
  <c r="CU214" i="29"/>
  <c r="CU238" i="29"/>
  <c r="CT238" i="29"/>
  <c r="CG238" i="29"/>
  <c r="CF238" i="29"/>
  <c r="CT218" i="29"/>
  <c r="CG218" i="29"/>
  <c r="CF218" i="29"/>
  <c r="CU218" i="29"/>
  <c r="CU217" i="29"/>
  <c r="CT217" i="29"/>
  <c r="CT235" i="29"/>
  <c r="CG235" i="29"/>
  <c r="CF235" i="29"/>
  <c r="CU235" i="29"/>
  <c r="CU223" i="29"/>
  <c r="CT223" i="29"/>
  <c r="CG223" i="29"/>
  <c r="CF223" i="29"/>
  <c r="CT211" i="29"/>
  <c r="CU211" i="29"/>
  <c r="BR42" i="28"/>
  <c r="BX42" i="28"/>
  <c r="CG233" i="29"/>
  <c r="CF233" i="29"/>
  <c r="CU233" i="29"/>
  <c r="CT233" i="29"/>
  <c r="CT219" i="29"/>
  <c r="CG219" i="29"/>
  <c r="CF219" i="29"/>
  <c r="CU219" i="29"/>
  <c r="BY42" i="28"/>
  <c r="CU226" i="29"/>
  <c r="CT226" i="29"/>
  <c r="CF226" i="29"/>
  <c r="CG226" i="29"/>
  <c r="CG240" i="29"/>
  <c r="CF240" i="29"/>
  <c r="CT240" i="29"/>
  <c r="CU240" i="29"/>
  <c r="CG232" i="29"/>
  <c r="CF232" i="29"/>
  <c r="CU232" i="29"/>
  <c r="CT232" i="29"/>
  <c r="CU220" i="29"/>
  <c r="CF220" i="29"/>
  <c r="CT220" i="29"/>
  <c r="CG220" i="29"/>
  <c r="BP42" i="28"/>
  <c r="CT212" i="29"/>
  <c r="CU212" i="29"/>
  <c r="CQ172" i="29"/>
  <c r="CC172" i="29"/>
  <c r="BP39" i="28"/>
  <c r="CB172" i="29"/>
  <c r="BW39" i="28"/>
  <c r="BQ39" i="28"/>
  <c r="BZ39" i="28"/>
  <c r="AU19" i="28"/>
  <c r="BT39" i="28"/>
  <c r="BZ36" i="28"/>
  <c r="M143" i="28"/>
  <c r="BR32" i="28"/>
  <c r="M141" i="28"/>
  <c r="CC160" i="29"/>
  <c r="CC158" i="29"/>
  <c r="AU22" i="28"/>
  <c r="BY32" i="28"/>
  <c r="CP181" i="29"/>
  <c r="CB181" i="29"/>
  <c r="CQ181" i="29"/>
  <c r="BZ80" i="28"/>
  <c r="BX80" i="28"/>
  <c r="CQ187" i="29"/>
  <c r="CP187" i="29"/>
  <c r="BQ32" i="28"/>
  <c r="BP32" i="28"/>
  <c r="M142" i="28"/>
  <c r="CC161" i="29"/>
  <c r="CQ180" i="29"/>
  <c r="CQ185" i="29"/>
  <c r="CQ186" i="29"/>
  <c r="CP186" i="29"/>
  <c r="CP184" i="29"/>
  <c r="CP182" i="29"/>
  <c r="CB182" i="29"/>
  <c r="CQ182" i="29"/>
  <c r="BT32" i="28"/>
  <c r="CC159" i="29"/>
  <c r="BQ36" i="28"/>
  <c r="BP36" i="28"/>
  <c r="BX36" i="28"/>
  <c r="BY36" i="28"/>
  <c r="BW36" i="28"/>
  <c r="BT36" i="28"/>
  <c r="BS36" i="28"/>
  <c r="BV36" i="28"/>
  <c r="M144" i="28"/>
  <c r="BV161" i="28"/>
  <c r="BQ161" i="28"/>
  <c r="BW161" i="28"/>
  <c r="BP161" i="28"/>
  <c r="BX136" i="28"/>
  <c r="BV136" i="28"/>
  <c r="BY136" i="28"/>
  <c r="BS136" i="28"/>
  <c r="BR136" i="28"/>
  <c r="BP136" i="28"/>
  <c r="BQ160" i="28"/>
  <c r="BV160" i="28"/>
  <c r="BW160" i="28"/>
  <c r="BP160" i="28"/>
  <c r="BV158" i="28"/>
  <c r="BW158" i="28"/>
  <c r="BP158" i="28"/>
  <c r="BQ158" i="28"/>
  <c r="BV156" i="28"/>
  <c r="BW156" i="28"/>
  <c r="BP156" i="28"/>
  <c r="BQ156" i="28"/>
  <c r="BS135" i="28"/>
  <c r="BR135" i="28"/>
  <c r="BP135" i="28"/>
  <c r="BY135" i="28"/>
  <c r="BX135" i="28"/>
  <c r="BV135" i="28"/>
  <c r="BT83" i="28"/>
  <c r="BZ83" i="28"/>
  <c r="BV155" i="28"/>
  <c r="BQ155" i="28"/>
  <c r="BW155" i="28"/>
  <c r="BP155" i="28"/>
  <c r="BW164" i="28"/>
  <c r="BP164" i="28"/>
  <c r="BV164" i="28"/>
  <c r="BQ164" i="28"/>
  <c r="AU20" i="28"/>
  <c r="BQ166" i="28"/>
  <c r="BW166" i="28"/>
  <c r="BP166" i="28"/>
  <c r="BV166" i="28"/>
  <c r="BS137" i="28"/>
  <c r="BR137" i="28"/>
  <c r="BP137" i="28"/>
  <c r="BY137" i="28"/>
  <c r="BV137" i="28"/>
  <c r="BX137" i="28"/>
  <c r="BV162" i="28"/>
  <c r="BQ162" i="28"/>
  <c r="BW162" i="28"/>
  <c r="BP162" i="28"/>
  <c r="BW157" i="28"/>
  <c r="BP157" i="28"/>
  <c r="BV157" i="28"/>
  <c r="BQ157" i="28"/>
  <c r="BZ82" i="28"/>
  <c r="BT82" i="28"/>
  <c r="BQ159" i="28"/>
  <c r="BW159" i="28"/>
  <c r="BP159" i="28"/>
  <c r="BV159" i="28"/>
  <c r="BQ154" i="28"/>
  <c r="BV154" i="28"/>
  <c r="BW154" i="28"/>
  <c r="BP154" i="28"/>
  <c r="BW163" i="28"/>
  <c r="BP163" i="28"/>
  <c r="BV163" i="28"/>
  <c r="BQ163" i="28"/>
  <c r="BV167" i="28"/>
  <c r="BQ167" i="28"/>
  <c r="BW167" i="28"/>
  <c r="BP167" i="28"/>
  <c r="BZ81" i="28"/>
  <c r="BT81" i="28"/>
  <c r="Z60" i="28"/>
  <c r="CD299" i="29"/>
  <c r="CS299" i="29"/>
  <c r="CQ299" i="29"/>
  <c r="CC299" i="29"/>
  <c r="CR299" i="29"/>
  <c r="CP299" i="29"/>
  <c r="CC365" i="29"/>
  <c r="CP365" i="29"/>
  <c r="CQ365" i="29"/>
  <c r="CB365" i="29"/>
  <c r="CQ361" i="29"/>
  <c r="CB361" i="29"/>
  <c r="CC361" i="29"/>
  <c r="CP361" i="29"/>
  <c r="CP363" i="29"/>
  <c r="CQ363" i="29"/>
  <c r="CB363" i="29"/>
  <c r="CC363" i="29"/>
  <c r="CP358" i="29"/>
  <c r="CQ358" i="29"/>
  <c r="CC358" i="29"/>
  <c r="CB358" i="29"/>
  <c r="CC360" i="29"/>
  <c r="CP360" i="29"/>
  <c r="CQ360" i="29"/>
  <c r="CB360" i="29"/>
  <c r="CR301" i="29"/>
  <c r="CP301" i="29"/>
  <c r="CD301" i="29"/>
  <c r="CS301" i="29"/>
  <c r="CQ301" i="29"/>
  <c r="CC301" i="29"/>
  <c r="CC366" i="29"/>
  <c r="CQ366" i="29"/>
  <c r="CP366" i="29"/>
  <c r="CS298" i="29"/>
  <c r="CR298" i="29"/>
  <c r="CQ298" i="29"/>
  <c r="CP364" i="29"/>
  <c r="CQ364" i="29"/>
  <c r="CC364" i="29"/>
  <c r="CB364" i="29"/>
  <c r="CQ362" i="29"/>
  <c r="CB362" i="29"/>
  <c r="CP362" i="29"/>
  <c r="CC362" i="29"/>
  <c r="CQ300" i="29"/>
  <c r="CD300" i="29"/>
  <c r="CP300" i="29"/>
  <c r="CS300" i="29"/>
  <c r="CC300" i="29"/>
  <c r="CR300" i="29"/>
  <c r="CC357" i="29"/>
  <c r="CP357" i="29"/>
  <c r="CC359" i="29"/>
  <c r="CP359" i="29"/>
  <c r="CQ359" i="29"/>
  <c r="CB359" i="29"/>
  <c r="CV245" i="29"/>
  <c r="CW245" i="29"/>
  <c r="CC167" i="29"/>
  <c r="CQ167" i="29"/>
  <c r="CB168" i="29"/>
  <c r="CP168" i="29"/>
  <c r="CQ168" i="29"/>
  <c r="CC168" i="29"/>
  <c r="CC174" i="29"/>
  <c r="CP174" i="29"/>
  <c r="CQ174" i="29"/>
  <c r="CB174" i="29"/>
  <c r="CP171" i="29"/>
  <c r="CC171" i="29"/>
  <c r="CB171" i="29"/>
  <c r="CQ173" i="29"/>
  <c r="CC173" i="29"/>
  <c r="CP173" i="29"/>
  <c r="CB173" i="29"/>
  <c r="CB159" i="29"/>
  <c r="CB161" i="29"/>
  <c r="CP169" i="29"/>
  <c r="CB169" i="29"/>
  <c r="CQ169" i="29"/>
  <c r="CC169" i="29"/>
  <c r="CB160" i="29"/>
  <c r="BR82" i="28"/>
  <c r="BS82" i="28"/>
  <c r="BY82" i="28"/>
  <c r="BQ35" i="28"/>
  <c r="BW35" i="28"/>
  <c r="BP35" i="28"/>
  <c r="BV35" i="28"/>
  <c r="BZ34" i="28"/>
  <c r="BS34" i="28"/>
  <c r="BW34" i="28"/>
  <c r="BP34" i="28"/>
  <c r="BT34" i="28"/>
  <c r="BY34" i="28"/>
  <c r="BR34" i="28"/>
  <c r="BV34" i="28"/>
  <c r="BX34" i="28"/>
  <c r="BQ34" i="28"/>
  <c r="BY24" i="28"/>
  <c r="BS24" i="28"/>
  <c r="BS26" i="28"/>
  <c r="BY26" i="28"/>
  <c r="BZ26" i="28"/>
  <c r="BX26" i="28"/>
  <c r="BT13" i="28"/>
  <c r="BS13" i="28"/>
  <c r="BZ13" i="28"/>
  <c r="BY13" i="28"/>
  <c r="BR83" i="28"/>
  <c r="BS83" i="28"/>
  <c r="BY83" i="28"/>
  <c r="BT15" i="28"/>
  <c r="BS15" i="28"/>
  <c r="BZ15" i="28"/>
  <c r="BY15" i="28"/>
  <c r="BT47" i="28"/>
  <c r="BX47" i="28"/>
  <c r="BQ47" i="28"/>
  <c r="BZ47" i="28"/>
  <c r="BS47" i="28"/>
  <c r="BW47" i="28"/>
  <c r="BP47" i="28"/>
  <c r="BY47" i="28"/>
  <c r="BR47" i="28"/>
  <c r="BV47" i="28"/>
  <c r="BZ46" i="28"/>
  <c r="BS46" i="28"/>
  <c r="BW46" i="28"/>
  <c r="BP46" i="28"/>
  <c r="BQ46" i="28"/>
  <c r="BT46" i="28"/>
  <c r="BY46" i="28"/>
  <c r="BR46" i="28"/>
  <c r="BV46" i="28"/>
  <c r="BX46" i="28"/>
  <c r="BY23" i="28"/>
  <c r="BS23" i="28"/>
  <c r="BS81" i="28"/>
  <c r="BY81" i="28"/>
  <c r="BR81" i="28"/>
  <c r="BT31" i="28"/>
  <c r="BX31" i="28"/>
  <c r="BQ31" i="28"/>
  <c r="BR31" i="28"/>
  <c r="BV31" i="28"/>
  <c r="BZ31" i="28"/>
  <c r="BS31" i="28"/>
  <c r="BW31" i="28"/>
  <c r="BP31" i="28"/>
  <c r="BY31" i="28"/>
  <c r="BY44" i="28"/>
  <c r="BR44" i="28"/>
  <c r="BV44" i="28"/>
  <c r="BP44" i="28"/>
  <c r="BS44" i="28"/>
  <c r="BW44" i="28"/>
  <c r="BT44" i="28"/>
  <c r="BX44" i="28"/>
  <c r="BQ44" i="28"/>
  <c r="BZ44" i="28"/>
  <c r="BY43" i="28"/>
  <c r="BR43" i="28"/>
  <c r="BV43" i="28"/>
  <c r="BT43" i="28"/>
  <c r="BX43" i="28"/>
  <c r="BQ43" i="28"/>
  <c r="BZ43" i="28"/>
  <c r="BW43" i="28"/>
  <c r="BS43" i="28"/>
  <c r="BP43" i="28"/>
  <c r="BZ16" i="28"/>
  <c r="BT16" i="28"/>
  <c r="BS16" i="28"/>
  <c r="BY16" i="28"/>
  <c r="BT41" i="28"/>
  <c r="BX41" i="28"/>
  <c r="BQ41" i="28"/>
  <c r="BZ41" i="28"/>
  <c r="BS41" i="28"/>
  <c r="BW41" i="28"/>
  <c r="BP41" i="28"/>
  <c r="BR41" i="28"/>
  <c r="BV41" i="28"/>
  <c r="BY41" i="28"/>
  <c r="BZ40" i="28"/>
  <c r="BS40" i="28"/>
  <c r="BW40" i="28"/>
  <c r="BP40" i="28"/>
  <c r="BX40" i="28"/>
  <c r="BQ40" i="28"/>
  <c r="BY40" i="28"/>
  <c r="BR40" i="28"/>
  <c r="BV40" i="28"/>
  <c r="BT40" i="28"/>
  <c r="BY80" i="28"/>
  <c r="BT80" i="28"/>
  <c r="BR80" i="28"/>
  <c r="BS80" i="28"/>
  <c r="BT14" i="28"/>
  <c r="BS14" i="28"/>
  <c r="BY14" i="28"/>
  <c r="BZ14" i="28"/>
  <c r="BZ17" i="28"/>
  <c r="BT17" i="28"/>
  <c r="BY38" i="28"/>
  <c r="BR38" i="28"/>
  <c r="BV38" i="28"/>
  <c r="BZ38" i="28"/>
  <c r="BS38" i="28"/>
  <c r="BT38" i="28"/>
  <c r="BX38" i="28"/>
  <c r="BQ38" i="28"/>
  <c r="BW38" i="28"/>
  <c r="BP38" i="28"/>
  <c r="BY37" i="28"/>
  <c r="BR37" i="28"/>
  <c r="BV37" i="28"/>
  <c r="BT37" i="28"/>
  <c r="BX37" i="28"/>
  <c r="BQ37" i="28"/>
  <c r="BZ37" i="28"/>
  <c r="BS37" i="28"/>
  <c r="BW37" i="28"/>
  <c r="BP37" i="28"/>
  <c r="Z64" i="28"/>
  <c r="Z61" i="28"/>
  <c r="BW13" i="28"/>
  <c r="BP13" i="28"/>
  <c r="BX13" i="28"/>
  <c r="BQ13" i="28"/>
  <c r="BR13" i="28"/>
  <c r="BV13" i="28"/>
  <c r="BX23" i="28"/>
  <c r="BR23" i="28"/>
  <c r="BV23" i="28"/>
  <c r="BW23" i="28"/>
  <c r="BP23" i="28"/>
  <c r="BQ23" i="28"/>
  <c r="BX15" i="28"/>
  <c r="BW15" i="28"/>
  <c r="BP15" i="28"/>
  <c r="BQ15" i="28"/>
  <c r="BR15" i="28"/>
  <c r="BV15" i="28"/>
  <c r="BQ24" i="28"/>
  <c r="BX24" i="28"/>
  <c r="BR24" i="28"/>
  <c r="BV24" i="28"/>
  <c r="BW24" i="28"/>
  <c r="BP24" i="28"/>
  <c r="BV16" i="28"/>
  <c r="BW16" i="28"/>
  <c r="BP16" i="28"/>
  <c r="BQ16" i="28"/>
  <c r="BX16" i="28"/>
  <c r="BW21" i="28"/>
  <c r="BP21" i="28"/>
  <c r="BQ21" i="28"/>
  <c r="BV21" i="28"/>
  <c r="BX14" i="28"/>
  <c r="BW14" i="28"/>
  <c r="BP14" i="28"/>
  <c r="BQ14" i="28"/>
  <c r="BR14" i="28"/>
  <c r="BV14" i="28"/>
  <c r="BV17" i="28"/>
  <c r="BW17" i="28"/>
  <c r="BP17" i="28"/>
  <c r="BQ17" i="28"/>
  <c r="BW26" i="28"/>
  <c r="BP26" i="28"/>
  <c r="BQ26" i="28"/>
  <c r="BR26" i="28"/>
  <c r="Z63" i="28"/>
  <c r="D170" i="29"/>
  <c r="D183" i="29"/>
  <c r="D175" i="29"/>
  <c r="D162" i="29"/>
  <c r="C12" i="28"/>
  <c r="D306" i="29"/>
  <c r="F176" i="29"/>
  <c r="D111" i="29"/>
  <c r="E176" i="29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AE28" i="27"/>
  <c r="C66" i="27"/>
  <c r="D90" i="27"/>
  <c r="E90" i="27"/>
  <c r="F90" i="27"/>
  <c r="G90" i="27"/>
  <c r="H90" i="27"/>
  <c r="I90" i="27"/>
  <c r="D100" i="27"/>
  <c r="E100" i="27"/>
  <c r="F100" i="27"/>
  <c r="G100" i="27"/>
  <c r="H100" i="27"/>
  <c r="I100" i="27"/>
  <c r="D153" i="27"/>
  <c r="G153" i="27"/>
  <c r="H153" i="27"/>
  <c r="I153" i="27"/>
  <c r="H185" i="27"/>
  <c r="I185" i="27"/>
  <c r="J185" i="27"/>
  <c r="D200" i="27"/>
  <c r="E200" i="27"/>
  <c r="C206" i="27"/>
  <c r="D206" i="27"/>
  <c r="E206" i="27"/>
  <c r="D234" i="27"/>
  <c r="E234" i="27"/>
  <c r="F234" i="27"/>
  <c r="E239" i="27"/>
  <c r="F239" i="27"/>
  <c r="D255" i="27"/>
  <c r="E255" i="27"/>
  <c r="D259" i="27"/>
  <c r="E259" i="27"/>
  <c r="D264" i="27"/>
  <c r="E264" i="27"/>
  <c r="D268" i="27"/>
  <c r="E268" i="27"/>
  <c r="C275" i="27"/>
  <c r="D275" i="27"/>
  <c r="E275" i="27"/>
  <c r="D288" i="27"/>
  <c r="C297" i="27"/>
  <c r="AZ208" i="29" l="1"/>
  <c r="AZ233" i="29"/>
  <c r="AZ193" i="29"/>
  <c r="C437" i="29"/>
  <c r="AZ236" i="29"/>
  <c r="AZ214" i="29"/>
  <c r="AZ218" i="29"/>
  <c r="AZ210" i="29"/>
  <c r="AZ238" i="29"/>
  <c r="AZ230" i="29"/>
  <c r="AZ241" i="29"/>
  <c r="AZ237" i="29"/>
  <c r="AZ235" i="29"/>
  <c r="AZ232" i="29"/>
  <c r="AZ231" i="29"/>
  <c r="AZ221" i="29"/>
  <c r="AZ219" i="29"/>
  <c r="AZ216" i="29"/>
  <c r="AZ211" i="29"/>
  <c r="AZ205" i="29"/>
  <c r="AZ215" i="29"/>
  <c r="AZ209" i="29"/>
  <c r="AZ201" i="29"/>
  <c r="AZ217" i="29"/>
  <c r="AZ207" i="29"/>
  <c r="AZ206" i="29"/>
  <c r="AZ220" i="29"/>
  <c r="AZ234" i="29"/>
  <c r="AZ199" i="29"/>
  <c r="AZ204" i="29"/>
  <c r="AZ213" i="29"/>
  <c r="AZ239" i="29"/>
  <c r="AZ200" i="29"/>
  <c r="AZ240" i="29"/>
  <c r="AZ223" i="29"/>
  <c r="AZ225" i="29"/>
  <c r="AZ224" i="29"/>
  <c r="AZ226" i="29"/>
  <c r="AZ222" i="29"/>
  <c r="B239" i="28"/>
  <c r="E8" i="18" s="1"/>
  <c r="B240" i="28"/>
  <c r="D8" i="18" s="1"/>
  <c r="AZ202" i="29"/>
  <c r="AK126" i="29"/>
  <c r="AK125" i="29"/>
  <c r="AZ203" i="29"/>
  <c r="AZ212" i="29"/>
  <c r="AZ245" i="29"/>
  <c r="W351" i="29"/>
  <c r="W352" i="29"/>
  <c r="AQ165" i="28"/>
  <c r="AZ277" i="29"/>
  <c r="AZ264" i="29"/>
  <c r="AZ266" i="29"/>
  <c r="AZ274" i="29"/>
  <c r="AZ270" i="29"/>
  <c r="AZ268" i="29"/>
  <c r="AZ251" i="29"/>
  <c r="AZ259" i="29"/>
  <c r="AZ281" i="29"/>
  <c r="AZ292" i="29"/>
  <c r="AZ262" i="29"/>
  <c r="AZ253" i="29"/>
  <c r="AZ290" i="29"/>
  <c r="AZ291" i="29"/>
  <c r="AZ287" i="29"/>
  <c r="AZ267" i="29"/>
  <c r="AZ279" i="29"/>
  <c r="AZ272" i="29"/>
  <c r="AZ275" i="29"/>
  <c r="AZ265" i="29"/>
  <c r="AZ283" i="29"/>
  <c r="AZ293" i="29"/>
  <c r="AZ263" i="29"/>
  <c r="AZ286" i="29"/>
  <c r="AZ285" i="29"/>
  <c r="AZ269" i="29"/>
  <c r="AZ276" i="29"/>
  <c r="AZ271" i="29"/>
  <c r="AZ278" i="29"/>
  <c r="AZ289" i="29"/>
  <c r="AZ273" i="29"/>
  <c r="AZ261" i="29"/>
  <c r="AZ255" i="29"/>
  <c r="AZ288" i="29"/>
  <c r="AZ252" i="29"/>
  <c r="AZ258" i="29"/>
  <c r="AZ280" i="29"/>
  <c r="AZ256" i="29"/>
  <c r="AZ284" i="29"/>
  <c r="AZ254" i="29"/>
  <c r="AZ282" i="29"/>
  <c r="AZ257" i="29"/>
  <c r="AZ260" i="29"/>
  <c r="AU45" i="28"/>
  <c r="AU25" i="28"/>
  <c r="AU42" i="28"/>
  <c r="AU18" i="28"/>
  <c r="AX315" i="29"/>
  <c r="AX320" i="29"/>
  <c r="AY331" i="29"/>
  <c r="AY336" i="29"/>
  <c r="AY329" i="29"/>
  <c r="AT137" i="28"/>
  <c r="AU39" i="28"/>
  <c r="AM345" i="29"/>
  <c r="AT135" i="28"/>
  <c r="AT136" i="28"/>
  <c r="AX322" i="29"/>
  <c r="AO134" i="29"/>
  <c r="AO133" i="29"/>
  <c r="AM344" i="29"/>
  <c r="AX317" i="29"/>
  <c r="AX310" i="29"/>
  <c r="AX309" i="29"/>
  <c r="AX311" i="29"/>
  <c r="AX324" i="29"/>
  <c r="AY338" i="29"/>
  <c r="AY333" i="29"/>
  <c r="AM346" i="29"/>
  <c r="AX308" i="29"/>
  <c r="AX319" i="29"/>
  <c r="AY335" i="29"/>
  <c r="AX318" i="29"/>
  <c r="AX313" i="29"/>
  <c r="AX323" i="29"/>
  <c r="AY339" i="29"/>
  <c r="AY337" i="29"/>
  <c r="AX312" i="29"/>
  <c r="AY334" i="29"/>
  <c r="AX307" i="29"/>
  <c r="AX321" i="29"/>
  <c r="AX316" i="29"/>
  <c r="AX314" i="29"/>
  <c r="AY330" i="29"/>
  <c r="AY332" i="29"/>
  <c r="AO140" i="29"/>
  <c r="T172" i="29"/>
  <c r="Q160" i="29"/>
  <c r="Q159" i="29"/>
  <c r="AP83" i="28"/>
  <c r="AO366" i="29"/>
  <c r="AQ156" i="28"/>
  <c r="AQ301" i="29"/>
  <c r="AU43" i="28"/>
  <c r="AK122" i="29"/>
  <c r="AQ159" i="28"/>
  <c r="AQ158" i="28"/>
  <c r="AQ154" i="28"/>
  <c r="AQ161" i="28"/>
  <c r="AK119" i="29"/>
  <c r="AU32" i="28"/>
  <c r="AU47" i="28"/>
  <c r="Q154" i="29"/>
  <c r="AT148" i="29"/>
  <c r="AP80" i="28"/>
  <c r="AU16" i="28"/>
  <c r="AU44" i="28"/>
  <c r="AU40" i="28"/>
  <c r="AU41" i="28"/>
  <c r="AQ300" i="29"/>
  <c r="AU46" i="28"/>
  <c r="AU36" i="28"/>
  <c r="AQ299" i="29"/>
  <c r="AQ298" i="29"/>
  <c r="AU38" i="28"/>
  <c r="AU37" i="28"/>
  <c r="AU34" i="28"/>
  <c r="AU35" i="28"/>
  <c r="AU31" i="28"/>
  <c r="AP81" i="28"/>
  <c r="AU26" i="28"/>
  <c r="AU21" i="28"/>
  <c r="AU15" i="28"/>
  <c r="AU17" i="28"/>
  <c r="AU13" i="28"/>
  <c r="AU14" i="28"/>
  <c r="AU24" i="28"/>
  <c r="AP82" i="28"/>
  <c r="AU23" i="28"/>
  <c r="AT147" i="29"/>
  <c r="AK121" i="29"/>
  <c r="AT150" i="29"/>
  <c r="AO363" i="29"/>
  <c r="AO358" i="29"/>
  <c r="AO360" i="29"/>
  <c r="Q158" i="29"/>
  <c r="AT146" i="29"/>
  <c r="S184" i="29"/>
  <c r="T168" i="29"/>
  <c r="AO365" i="29"/>
  <c r="AK120" i="29"/>
  <c r="Q155" i="29"/>
  <c r="S181" i="29"/>
  <c r="S187" i="29"/>
  <c r="AO357" i="29"/>
  <c r="T171" i="29"/>
  <c r="T169" i="29"/>
  <c r="Q161" i="29"/>
  <c r="AO364" i="29"/>
  <c r="AO359" i="29"/>
  <c r="T167" i="29"/>
  <c r="AQ155" i="28"/>
  <c r="AQ160" i="28"/>
  <c r="AQ163" i="28"/>
  <c r="AQ166" i="28"/>
  <c r="AQ164" i="28"/>
  <c r="AQ162" i="28"/>
  <c r="AQ157" i="28"/>
  <c r="AO361" i="29"/>
  <c r="AO362" i="29"/>
  <c r="AQ167" i="28"/>
  <c r="S186" i="29"/>
  <c r="S185" i="29"/>
  <c r="S182" i="29"/>
  <c r="AT149" i="29"/>
  <c r="Q156" i="29"/>
  <c r="T173" i="29"/>
  <c r="T174" i="29"/>
  <c r="AO136" i="29"/>
  <c r="AO141" i="29"/>
  <c r="AO135" i="29"/>
  <c r="D176" i="29"/>
  <c r="D163" i="29"/>
  <c r="D239" i="27"/>
  <c r="AO139" i="29"/>
  <c r="AO137" i="29"/>
  <c r="E269" i="27"/>
  <c r="D269" i="27"/>
  <c r="G185" i="27"/>
  <c r="F28" i="27"/>
  <c r="C200" i="27"/>
  <c r="G28" i="27"/>
  <c r="B437" i="29" l="1"/>
  <c r="E9" i="18" s="1"/>
  <c r="D9" i="18"/>
  <c r="E28" i="27"/>
  <c r="B320" i="27" l="1"/>
  <c r="E21" i="18" s="1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C85" i="23"/>
  <c r="AG66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AX28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E153" i="19"/>
  <c r="AO142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AP130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F90" i="19"/>
  <c r="E90" i="19"/>
  <c r="AO84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AQ73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AP66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AS41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T41" i="19"/>
  <c r="S41" i="19"/>
  <c r="R41" i="19"/>
  <c r="Q41" i="19"/>
  <c r="P41" i="19"/>
  <c r="O41" i="19"/>
  <c r="N41" i="19"/>
  <c r="M41" i="19"/>
  <c r="L41" i="19"/>
  <c r="K41" i="19"/>
  <c r="J41" i="19"/>
  <c r="H41" i="19"/>
  <c r="G41" i="19"/>
  <c r="AR23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CL19" i="23" l="1"/>
  <c r="CF25" i="23"/>
  <c r="CM19" i="23"/>
  <c r="CL25" i="23"/>
  <c r="CJ25" i="23"/>
  <c r="CK25" i="23"/>
  <c r="CC25" i="23"/>
  <c r="CF22" i="23"/>
  <c r="CE22" i="23"/>
  <c r="CJ22" i="23"/>
  <c r="CM22" i="23"/>
  <c r="CK22" i="23"/>
  <c r="CC22" i="23"/>
  <c r="CL22" i="23"/>
  <c r="CD22" i="23"/>
  <c r="E66" i="19"/>
  <c r="D142" i="19"/>
  <c r="E142" i="19"/>
  <c r="F85" i="23"/>
  <c r="E130" i="19"/>
  <c r="D73" i="19"/>
  <c r="D90" i="19"/>
  <c r="D84" i="19"/>
  <c r="C46" i="23"/>
  <c r="E85" i="23"/>
  <c r="CB13" i="19"/>
  <c r="E84" i="19"/>
  <c r="D130" i="19"/>
  <c r="F41" i="19"/>
  <c r="F28" i="23"/>
  <c r="C66" i="23"/>
  <c r="E41" i="19"/>
  <c r="D66" i="19"/>
  <c r="E73" i="19"/>
  <c r="CB124" i="19"/>
  <c r="AQ124" i="19" s="1"/>
  <c r="E28" i="23"/>
  <c r="CB71" i="19" l="1"/>
  <c r="AR71" i="19" s="1"/>
  <c r="CG71" i="19"/>
  <c r="CG49" i="19"/>
  <c r="CI49" i="19"/>
  <c r="CH49" i="19"/>
  <c r="CG51" i="19"/>
  <c r="CH51" i="19"/>
  <c r="CI51" i="19"/>
  <c r="CG47" i="19"/>
  <c r="CH47" i="19"/>
  <c r="CI47" i="19"/>
  <c r="CI46" i="19"/>
  <c r="CH46" i="19"/>
  <c r="CG46" i="19"/>
  <c r="CH48" i="19"/>
  <c r="CI48" i="19"/>
  <c r="CG48" i="19"/>
  <c r="CI53" i="19"/>
  <c r="CG53" i="19"/>
  <c r="CH53" i="19"/>
  <c r="CG50" i="19"/>
  <c r="CH50" i="19"/>
  <c r="CI50" i="19"/>
  <c r="CB58" i="19"/>
  <c r="AQ58" i="19" s="1"/>
  <c r="CG58" i="19"/>
  <c r="CG52" i="19"/>
  <c r="CH52" i="19"/>
  <c r="CI52" i="19"/>
  <c r="CG72" i="19"/>
  <c r="CH72" i="19"/>
  <c r="CB65" i="19"/>
  <c r="AQ65" i="19" s="1"/>
  <c r="CG65" i="19"/>
  <c r="CB64" i="19"/>
  <c r="AQ64" i="19" s="1"/>
  <c r="CG64" i="19"/>
  <c r="CG63" i="19"/>
  <c r="CB63" i="19"/>
  <c r="AQ63" i="19" s="1"/>
  <c r="CB49" i="19"/>
  <c r="CC49" i="19"/>
  <c r="CD49" i="19"/>
  <c r="CD28" i="19"/>
  <c r="CI28" i="19"/>
  <c r="CC28" i="19"/>
  <c r="CH28" i="19"/>
  <c r="CB28" i="19"/>
  <c r="CG28" i="19"/>
  <c r="CD34" i="19"/>
  <c r="CC34" i="19"/>
  <c r="CB34" i="19"/>
  <c r="CC51" i="19"/>
  <c r="CD51" i="19"/>
  <c r="CB51" i="19"/>
  <c r="CB35" i="19"/>
  <c r="CC35" i="19"/>
  <c r="CD35" i="19"/>
  <c r="CD48" i="19"/>
  <c r="CC48" i="19"/>
  <c r="CB48" i="19"/>
  <c r="CD31" i="19"/>
  <c r="CB31" i="19"/>
  <c r="CC31" i="19"/>
  <c r="CG124" i="19"/>
  <c r="CD46" i="19"/>
  <c r="CC46" i="19"/>
  <c r="CB46" i="19"/>
  <c r="CC39" i="19"/>
  <c r="CB39" i="19"/>
  <c r="CD39" i="19"/>
  <c r="CB127" i="19"/>
  <c r="AQ127" i="19" s="1"/>
  <c r="CG127" i="19"/>
  <c r="CC29" i="19"/>
  <c r="CD29" i="19"/>
  <c r="CB29" i="19"/>
  <c r="CC72" i="19"/>
  <c r="CB72" i="19"/>
  <c r="CB128" i="19"/>
  <c r="AQ128" i="19" s="1"/>
  <c r="CG128" i="19"/>
  <c r="CD12" i="19"/>
  <c r="CC12" i="19"/>
  <c r="CB12" i="19"/>
  <c r="C23" i="19"/>
  <c r="B215" i="19" s="1"/>
  <c r="CG12" i="19"/>
  <c r="CI12" i="19"/>
  <c r="CH12" i="19"/>
  <c r="CC37" i="19"/>
  <c r="CB37" i="19"/>
  <c r="CD37" i="19"/>
  <c r="CB125" i="19"/>
  <c r="AQ125" i="19" s="1"/>
  <c r="CG125" i="19"/>
  <c r="CB126" i="19"/>
  <c r="AQ126" i="19" s="1"/>
  <c r="CG126" i="19"/>
  <c r="CB47" i="19"/>
  <c r="CC47" i="19"/>
  <c r="CD47" i="19"/>
  <c r="CB50" i="19"/>
  <c r="CC50" i="19"/>
  <c r="CD50" i="19"/>
  <c r="CB30" i="19"/>
  <c r="CC30" i="19"/>
  <c r="CD30" i="19"/>
  <c r="CB38" i="19"/>
  <c r="CC38" i="19"/>
  <c r="CD38" i="19"/>
  <c r="CB33" i="19"/>
  <c r="CC33" i="19"/>
  <c r="CD33" i="19"/>
  <c r="CB32" i="19"/>
  <c r="CC32" i="19"/>
  <c r="CD32" i="19"/>
  <c r="CB36" i="19"/>
  <c r="CC36" i="19"/>
  <c r="CD36" i="19"/>
  <c r="CB52" i="19"/>
  <c r="CC52" i="19"/>
  <c r="CD52" i="19"/>
  <c r="CD53" i="19"/>
  <c r="CB53" i="19"/>
  <c r="CC53" i="19"/>
  <c r="CG129" i="19"/>
  <c r="CB129" i="19"/>
  <c r="AQ129" i="19" s="1"/>
  <c r="CC40" i="19"/>
  <c r="CD40" i="19"/>
  <c r="CB40" i="19"/>
  <c r="CD20" i="19"/>
  <c r="CB20" i="19"/>
  <c r="AS20" i="19" s="1"/>
  <c r="CC20" i="19"/>
  <c r="CC16" i="19"/>
  <c r="CD16" i="19"/>
  <c r="CB16" i="19"/>
  <c r="CD21" i="19"/>
  <c r="CB21" i="19"/>
  <c r="CC21" i="19"/>
  <c r="CB22" i="19"/>
  <c r="CC22" i="19"/>
  <c r="CD22" i="19"/>
  <c r="CC15" i="19"/>
  <c r="CD15" i="19"/>
  <c r="CB15" i="19"/>
  <c r="CD13" i="19"/>
  <c r="CC13" i="19"/>
  <c r="AS13" i="19" s="1"/>
  <c r="CB14" i="19"/>
  <c r="CC14" i="19"/>
  <c r="CD14" i="19"/>
  <c r="CB17" i="19"/>
  <c r="CC17" i="19"/>
  <c r="CD17" i="19"/>
  <c r="CB18" i="19"/>
  <c r="CC18" i="19"/>
  <c r="CD18" i="19"/>
  <c r="CB19" i="19"/>
  <c r="CC19" i="19"/>
  <c r="CD19" i="19"/>
  <c r="CF19" i="23"/>
  <c r="CJ19" i="23"/>
  <c r="CE19" i="23"/>
  <c r="CK19" i="23"/>
  <c r="CD19" i="23"/>
  <c r="CC19" i="23"/>
  <c r="CM25" i="23"/>
  <c r="CE25" i="23"/>
  <c r="CD25" i="23"/>
  <c r="CF12" i="23"/>
  <c r="CE12" i="23"/>
  <c r="CD12" i="23"/>
  <c r="CC12" i="23"/>
  <c r="AY22" i="23"/>
  <c r="CM71" i="23"/>
  <c r="CE71" i="23"/>
  <c r="CJ71" i="23"/>
  <c r="CF71" i="23"/>
  <c r="CK71" i="23"/>
  <c r="CC71" i="23"/>
  <c r="CD71" i="23"/>
  <c r="CL71" i="23"/>
  <c r="CM27" i="23"/>
  <c r="CK27" i="23"/>
  <c r="CC27" i="23"/>
  <c r="CL27" i="23"/>
  <c r="CD27" i="23"/>
  <c r="CE27" i="23"/>
  <c r="CF27" i="23"/>
  <c r="CJ27" i="23"/>
  <c r="CL80" i="23"/>
  <c r="CD80" i="23"/>
  <c r="CE80" i="23"/>
  <c r="CJ80" i="23"/>
  <c r="CF80" i="23"/>
  <c r="CK80" i="23"/>
  <c r="CC80" i="23"/>
  <c r="CM80" i="23"/>
  <c r="CM84" i="23"/>
  <c r="CE84" i="23"/>
  <c r="CJ84" i="23"/>
  <c r="CF84" i="23"/>
  <c r="CK84" i="23"/>
  <c r="CC84" i="23"/>
  <c r="CL84" i="23"/>
  <c r="CD84" i="23"/>
  <c r="CM15" i="23"/>
  <c r="CK15" i="23"/>
  <c r="CC15" i="23"/>
  <c r="CL15" i="23"/>
  <c r="CD15" i="23"/>
  <c r="CE15" i="23"/>
  <c r="CF15" i="23"/>
  <c r="CJ15" i="23"/>
  <c r="CF17" i="23"/>
  <c r="CE17" i="23"/>
  <c r="CJ17" i="23"/>
  <c r="CM17" i="23"/>
  <c r="CK17" i="23"/>
  <c r="CC17" i="23"/>
  <c r="CL17" i="23"/>
  <c r="CD17" i="23"/>
  <c r="CM20" i="23"/>
  <c r="CK20" i="23"/>
  <c r="CC20" i="23"/>
  <c r="CL20" i="23"/>
  <c r="CF20" i="23"/>
  <c r="CE20" i="23"/>
  <c r="CJ20" i="23"/>
  <c r="CD20" i="23"/>
  <c r="CF82" i="23"/>
  <c r="CK82" i="23"/>
  <c r="CC82" i="23"/>
  <c r="CL82" i="23"/>
  <c r="CD82" i="23"/>
  <c r="CM82" i="23"/>
  <c r="CE82" i="23"/>
  <c r="CJ82" i="23"/>
  <c r="CF77" i="23"/>
  <c r="CK77" i="23"/>
  <c r="CC77" i="23"/>
  <c r="CL77" i="23"/>
  <c r="CD77" i="23"/>
  <c r="CM77" i="23"/>
  <c r="CE77" i="23"/>
  <c r="CJ77" i="23"/>
  <c r="CM21" i="23"/>
  <c r="CK21" i="23"/>
  <c r="CC21" i="23"/>
  <c r="CL21" i="23"/>
  <c r="CD21" i="23"/>
  <c r="CF21" i="23"/>
  <c r="CJ21" i="23"/>
  <c r="CE21" i="23"/>
  <c r="CF23" i="23"/>
  <c r="CE23" i="23"/>
  <c r="CJ23" i="23"/>
  <c r="CM23" i="23"/>
  <c r="CK23" i="23"/>
  <c r="CC23" i="23"/>
  <c r="CD23" i="23"/>
  <c r="CL23" i="23"/>
  <c r="CL81" i="23"/>
  <c r="CD81" i="23"/>
  <c r="CM81" i="23"/>
  <c r="CE81" i="23"/>
  <c r="CJ81" i="23"/>
  <c r="CF81" i="23"/>
  <c r="CK81" i="23"/>
  <c r="CC81" i="23"/>
  <c r="CM79" i="23"/>
  <c r="CE79" i="23"/>
  <c r="CJ79" i="23"/>
  <c r="CF79" i="23"/>
  <c r="CK79" i="23"/>
  <c r="CC79" i="23"/>
  <c r="CL79" i="23"/>
  <c r="CD79" i="23"/>
  <c r="CL74" i="23"/>
  <c r="CD74" i="23"/>
  <c r="CM74" i="23"/>
  <c r="CE74" i="23"/>
  <c r="CJ74" i="23"/>
  <c r="CF74" i="23"/>
  <c r="CK74" i="23"/>
  <c r="CC74" i="23"/>
  <c r="CM78" i="23"/>
  <c r="CE78" i="23"/>
  <c r="CJ78" i="23"/>
  <c r="CF78" i="23"/>
  <c r="CK78" i="23"/>
  <c r="CC78" i="23"/>
  <c r="CL78" i="23"/>
  <c r="CD78" i="23"/>
  <c r="CF76" i="23"/>
  <c r="CK76" i="23"/>
  <c r="CC76" i="23"/>
  <c r="CL76" i="23"/>
  <c r="CD76" i="23"/>
  <c r="CM76" i="23"/>
  <c r="CE76" i="23"/>
  <c r="CJ76" i="23"/>
  <c r="CL75" i="23"/>
  <c r="CD75" i="23"/>
  <c r="CM75" i="23"/>
  <c r="CE75" i="23"/>
  <c r="CJ75" i="23"/>
  <c r="CF75" i="23"/>
  <c r="CK75" i="23"/>
  <c r="CC75" i="23"/>
  <c r="CF16" i="23"/>
  <c r="CE16" i="23"/>
  <c r="CJ16" i="23"/>
  <c r="CM16" i="23"/>
  <c r="CK16" i="23"/>
  <c r="CC16" i="23"/>
  <c r="CL16" i="23"/>
  <c r="CD16" i="23"/>
  <c r="CM73" i="23"/>
  <c r="CE73" i="23"/>
  <c r="CJ73" i="23"/>
  <c r="CF73" i="23"/>
  <c r="CK73" i="23"/>
  <c r="CC73" i="23"/>
  <c r="CL73" i="23"/>
  <c r="CD73" i="23"/>
  <c r="CM14" i="23"/>
  <c r="CK14" i="23"/>
  <c r="CC14" i="23"/>
  <c r="CL14" i="23"/>
  <c r="CD14" i="23"/>
  <c r="CF14" i="23"/>
  <c r="CE14" i="23"/>
  <c r="CJ14" i="23"/>
  <c r="CL24" i="23"/>
  <c r="CD24" i="23"/>
  <c r="CF24" i="23"/>
  <c r="CE24" i="23"/>
  <c r="CJ24" i="23"/>
  <c r="CM24" i="23"/>
  <c r="CK24" i="23"/>
  <c r="CC24" i="23"/>
  <c r="CM26" i="23"/>
  <c r="CK26" i="23"/>
  <c r="CC26" i="23"/>
  <c r="CL26" i="23"/>
  <c r="CD26" i="23"/>
  <c r="CF26" i="23"/>
  <c r="CE26" i="23"/>
  <c r="CJ26" i="23"/>
  <c r="CM72" i="23"/>
  <c r="CE72" i="23"/>
  <c r="CJ72" i="23"/>
  <c r="CK72" i="23"/>
  <c r="CC72" i="23"/>
  <c r="CF72" i="23"/>
  <c r="CL72" i="23"/>
  <c r="CD72" i="23"/>
  <c r="CL18" i="23"/>
  <c r="CD18" i="23"/>
  <c r="CF18" i="23"/>
  <c r="CJ18" i="23"/>
  <c r="CE18" i="23"/>
  <c r="CM18" i="23"/>
  <c r="CK18" i="23"/>
  <c r="CC18" i="23"/>
  <c r="CF83" i="23"/>
  <c r="CK83" i="23"/>
  <c r="CC83" i="23"/>
  <c r="CL83" i="23"/>
  <c r="CD83" i="23"/>
  <c r="CE83" i="23"/>
  <c r="CJ83" i="23"/>
  <c r="CM83" i="23"/>
  <c r="CE13" i="23"/>
  <c r="CC13" i="23"/>
  <c r="CD13" i="23"/>
  <c r="CF13" i="23"/>
  <c r="CJ13" i="23"/>
  <c r="CK13" i="23"/>
  <c r="CL13" i="23"/>
  <c r="CM13" i="23"/>
  <c r="CJ12" i="23"/>
  <c r="CL12" i="23"/>
  <c r="CM12" i="23"/>
  <c r="CK12" i="23"/>
  <c r="D22" i="18"/>
  <c r="CI18" i="19"/>
  <c r="CH18" i="19"/>
  <c r="CG18" i="19"/>
  <c r="CI30" i="19"/>
  <c r="CH30" i="19"/>
  <c r="CG30" i="19"/>
  <c r="CI37" i="19"/>
  <c r="CH37" i="19"/>
  <c r="CG37" i="19"/>
  <c r="CH21" i="19"/>
  <c r="CG21" i="19"/>
  <c r="CI21" i="19"/>
  <c r="CI40" i="19"/>
  <c r="CH40" i="19"/>
  <c r="CG40" i="19"/>
  <c r="CI31" i="19"/>
  <c r="CH31" i="19"/>
  <c r="CG31" i="19"/>
  <c r="CH22" i="19"/>
  <c r="CG22" i="19"/>
  <c r="CI22" i="19"/>
  <c r="CH16" i="19"/>
  <c r="CG16" i="19"/>
  <c r="CI16" i="19"/>
  <c r="CG19" i="19"/>
  <c r="CI19" i="19"/>
  <c r="CH19" i="19"/>
  <c r="CH15" i="19"/>
  <c r="CG15" i="19"/>
  <c r="CI15" i="19"/>
  <c r="CG14" i="19"/>
  <c r="CI14" i="19"/>
  <c r="CH14" i="19"/>
  <c r="CI34" i="19"/>
  <c r="CH34" i="19"/>
  <c r="CG34" i="19"/>
  <c r="CG13" i="19"/>
  <c r="CI13" i="19"/>
  <c r="CH13" i="19"/>
  <c r="CI17" i="19"/>
  <c r="CH17" i="19"/>
  <c r="CG17" i="19"/>
  <c r="CG20" i="19"/>
  <c r="CI20" i="19"/>
  <c r="CH20" i="19"/>
  <c r="CI35" i="19"/>
  <c r="CH35" i="19"/>
  <c r="CG35" i="19"/>
  <c r="CG33" i="19"/>
  <c r="CI33" i="19"/>
  <c r="CH33" i="19"/>
  <c r="CI36" i="19"/>
  <c r="CH36" i="19"/>
  <c r="CG36" i="19"/>
  <c r="CI38" i="19"/>
  <c r="CH38" i="19"/>
  <c r="CG38" i="19"/>
  <c r="CI29" i="19"/>
  <c r="CH29" i="19"/>
  <c r="CG29" i="19"/>
  <c r="CG39" i="19"/>
  <c r="CH39" i="19"/>
  <c r="CI39" i="19"/>
  <c r="CH32" i="19"/>
  <c r="CI32" i="19"/>
  <c r="CG32" i="19"/>
  <c r="E22" i="18"/>
  <c r="C84" i="19"/>
  <c r="C66" i="19"/>
  <c r="D85" i="23"/>
  <c r="D41" i="19"/>
  <c r="C73" i="19"/>
  <c r="C130" i="19"/>
  <c r="C142" i="19"/>
  <c r="D28" i="23"/>
  <c r="AR72" i="19" l="1"/>
  <c r="AT50" i="19"/>
  <c r="AT53" i="19"/>
  <c r="AT40" i="19"/>
  <c r="AT32" i="19"/>
  <c r="AT39" i="19"/>
  <c r="AS21" i="19"/>
  <c r="AS18" i="19"/>
  <c r="AS19" i="19"/>
  <c r="AT36" i="19"/>
  <c r="AT49" i="19"/>
  <c r="AS14" i="19"/>
  <c r="AS22" i="19"/>
  <c r="AT38" i="19"/>
  <c r="AT35" i="19"/>
  <c r="AT28" i="19"/>
  <c r="AT47" i="19"/>
  <c r="AT31" i="19"/>
  <c r="AT51" i="19"/>
  <c r="C215" i="19"/>
  <c r="D19" i="18" s="1"/>
  <c r="AS15" i="19"/>
  <c r="AT30" i="19"/>
  <c r="AT48" i="19"/>
  <c r="AS16" i="19"/>
  <c r="AT52" i="19"/>
  <c r="AT29" i="19"/>
  <c r="AT46" i="19"/>
  <c r="AT34" i="19"/>
  <c r="AS17" i="19"/>
  <c r="AT33" i="19"/>
  <c r="AS12" i="19"/>
  <c r="E19" i="18"/>
  <c r="AT37" i="19"/>
  <c r="AY19" i="23"/>
  <c r="AY25" i="23"/>
  <c r="V76" i="23"/>
  <c r="V82" i="23"/>
  <c r="V75" i="23"/>
  <c r="V74" i="23"/>
  <c r="AY20" i="23"/>
  <c r="V84" i="23"/>
  <c r="AY27" i="23"/>
  <c r="V71" i="23"/>
  <c r="AY24" i="23"/>
  <c r="AY16" i="23"/>
  <c r="V78" i="23"/>
  <c r="AY26" i="23"/>
  <c r="V73" i="23"/>
  <c r="AY23" i="23"/>
  <c r="V79" i="23"/>
  <c r="AY15" i="23"/>
  <c r="AY18" i="23"/>
  <c r="V81" i="23"/>
  <c r="AY17" i="23"/>
  <c r="V72" i="23"/>
  <c r="V80" i="23"/>
  <c r="V77" i="23"/>
  <c r="V83" i="23"/>
  <c r="AY14" i="23"/>
  <c r="AY13" i="23"/>
  <c r="AY12" i="23"/>
  <c r="C130" i="23"/>
  <c r="D28" i="18" s="1"/>
  <c r="AY21" i="23"/>
  <c r="B130" i="23"/>
  <c r="E28" i="18" s="1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F39" i="13" l="1"/>
  <c r="CC51" i="13"/>
  <c r="CQ51" i="13"/>
  <c r="CC52" i="13"/>
  <c r="CQ52" i="13"/>
  <c r="CC56" i="13"/>
  <c r="CQ56" i="13"/>
  <c r="CC59" i="13"/>
  <c r="CQ59" i="13"/>
  <c r="CC58" i="13"/>
  <c r="CQ58" i="13"/>
  <c r="CQ55" i="13"/>
  <c r="CC55" i="13"/>
  <c r="CC66" i="13"/>
  <c r="CQ66" i="13"/>
  <c r="CC53" i="13"/>
  <c r="CQ53" i="13"/>
  <c r="CQ60" i="13"/>
  <c r="CC60" i="13"/>
  <c r="CC54" i="13"/>
  <c r="CQ54" i="13"/>
  <c r="CC61" i="13"/>
  <c r="CQ61" i="13"/>
  <c r="CQ65" i="13"/>
  <c r="CC65" i="13"/>
  <c r="CQ62" i="13"/>
  <c r="CC62" i="13"/>
  <c r="CQ25" i="13"/>
  <c r="CC25" i="13"/>
  <c r="CQ32" i="13"/>
  <c r="CC32" i="13"/>
  <c r="CC21" i="13"/>
  <c r="CQ21" i="13"/>
  <c r="CQ26" i="13"/>
  <c r="CC26" i="13"/>
  <c r="CQ30" i="13"/>
  <c r="CC30" i="13"/>
  <c r="CQ35" i="13"/>
  <c r="CC35" i="13"/>
  <c r="CQ37" i="13"/>
  <c r="CC37" i="13"/>
  <c r="CQ29" i="13"/>
  <c r="CC29" i="13"/>
  <c r="CQ28" i="13"/>
  <c r="CC28" i="13"/>
  <c r="CQ23" i="13"/>
  <c r="CC23" i="13"/>
  <c r="CQ27" i="13"/>
  <c r="CC27" i="13"/>
  <c r="CQ31" i="13"/>
  <c r="CC31" i="13"/>
  <c r="CQ36" i="13"/>
  <c r="CC36" i="13"/>
  <c r="CQ24" i="13"/>
  <c r="CC24" i="13"/>
  <c r="CQ33" i="13"/>
  <c r="CC33" i="13"/>
  <c r="G57" i="13"/>
  <c r="F57" i="13"/>
  <c r="G39" i="13"/>
  <c r="CF24" i="13"/>
  <c r="CF23" i="13"/>
  <c r="CF27" i="13"/>
  <c r="CF30" i="13"/>
  <c r="CF36" i="13"/>
  <c r="CF31" i="13"/>
  <c r="CF34" i="13"/>
  <c r="CF37" i="13"/>
  <c r="CF26" i="13"/>
  <c r="CF29" i="13"/>
  <c r="CF32" i="13"/>
  <c r="CF22" i="13"/>
  <c r="F63" i="13"/>
  <c r="CF25" i="13"/>
  <c r="CF28" i="13"/>
  <c r="CF33" i="13"/>
  <c r="G63" i="13"/>
  <c r="CF35" i="13" l="1"/>
  <c r="E39" i="13"/>
  <c r="CF21" i="13"/>
  <c r="CW59" i="13"/>
  <c r="CI59" i="13"/>
  <c r="CV59" i="13"/>
  <c r="CH59" i="13"/>
  <c r="CU59" i="13"/>
  <c r="CG59" i="13"/>
  <c r="CT59" i="13"/>
  <c r="CF59" i="13"/>
  <c r="CS59" i="13"/>
  <c r="CE59" i="13"/>
  <c r="CW58" i="13"/>
  <c r="CI58" i="13"/>
  <c r="CV58" i="13"/>
  <c r="CH58" i="13"/>
  <c r="CU58" i="13"/>
  <c r="CG58" i="13"/>
  <c r="CT58" i="13"/>
  <c r="CF58" i="13"/>
  <c r="CE58" i="13"/>
  <c r="CS58" i="13"/>
  <c r="CS53" i="13"/>
  <c r="CI53" i="13"/>
  <c r="CG53" i="13"/>
  <c r="CW53" i="13"/>
  <c r="CE53" i="13"/>
  <c r="CT53" i="13"/>
  <c r="CH53" i="13"/>
  <c r="CU53" i="13"/>
  <c r="CV53" i="13"/>
  <c r="CF53" i="13"/>
  <c r="CW61" i="13"/>
  <c r="CI61" i="13"/>
  <c r="CV61" i="13"/>
  <c r="CH61" i="13"/>
  <c r="CU61" i="13"/>
  <c r="CG61" i="13"/>
  <c r="CT61" i="13"/>
  <c r="CF61" i="13"/>
  <c r="CS61" i="13"/>
  <c r="CE61" i="13"/>
  <c r="CW60" i="13"/>
  <c r="CI60" i="13"/>
  <c r="CV60" i="13"/>
  <c r="CH60" i="13"/>
  <c r="CU60" i="13"/>
  <c r="CG60" i="13"/>
  <c r="CT60" i="13"/>
  <c r="CF60" i="13"/>
  <c r="CS60" i="13"/>
  <c r="CE60" i="13"/>
  <c r="CS54" i="13"/>
  <c r="CU54" i="13"/>
  <c r="CT54" i="13"/>
  <c r="CV54" i="13"/>
  <c r="CI54" i="13"/>
  <c r="CE54" i="13"/>
  <c r="CW54" i="13"/>
  <c r="CH54" i="13"/>
  <c r="CG54" i="13"/>
  <c r="CF54" i="13"/>
  <c r="CG51" i="13"/>
  <c r="CI51" i="13"/>
  <c r="CE51" i="13"/>
  <c r="CT51" i="13"/>
  <c r="CH51" i="13"/>
  <c r="CU51" i="13"/>
  <c r="CS51" i="13"/>
  <c r="CV51" i="13"/>
  <c r="CF51" i="13"/>
  <c r="CW51" i="13"/>
  <c r="CS55" i="13"/>
  <c r="CE55" i="13"/>
  <c r="CI55" i="13"/>
  <c r="CW55" i="13"/>
  <c r="CT55" i="13"/>
  <c r="CH55" i="13"/>
  <c r="CG55" i="13"/>
  <c r="CU55" i="13"/>
  <c r="CV55" i="13"/>
  <c r="CF55" i="13"/>
  <c r="CW62" i="13"/>
  <c r="CI62" i="13"/>
  <c r="CV62" i="13"/>
  <c r="CH62" i="13"/>
  <c r="CU62" i="13"/>
  <c r="CG62" i="13"/>
  <c r="CT62" i="13"/>
  <c r="CF62" i="13"/>
  <c r="CE62" i="13"/>
  <c r="CS62" i="13"/>
  <c r="CU52" i="13"/>
  <c r="CV52" i="13"/>
  <c r="CI52" i="13"/>
  <c r="CW52" i="13"/>
  <c r="CH52" i="13"/>
  <c r="CG52" i="13"/>
  <c r="CE52" i="13"/>
  <c r="CF52" i="13"/>
  <c r="CS52" i="13"/>
  <c r="CT52" i="13"/>
  <c r="CW65" i="13"/>
  <c r="CI65" i="13"/>
  <c r="CV65" i="13"/>
  <c r="CH65" i="13"/>
  <c r="CU65" i="13"/>
  <c r="CG65" i="13"/>
  <c r="CT65" i="13"/>
  <c r="CF65" i="13"/>
  <c r="CS65" i="13"/>
  <c r="CE65" i="13"/>
  <c r="CW66" i="13"/>
  <c r="CI66" i="13"/>
  <c r="CV66" i="13"/>
  <c r="CH66" i="13"/>
  <c r="CU66" i="13"/>
  <c r="CG66" i="13"/>
  <c r="CT66" i="13"/>
  <c r="CF66" i="13"/>
  <c r="CS66" i="13"/>
  <c r="CE66" i="13"/>
  <c r="CU56" i="13"/>
  <c r="CV56" i="13"/>
  <c r="CI56" i="13"/>
  <c r="CS56" i="13"/>
  <c r="CW56" i="13"/>
  <c r="CE56" i="13"/>
  <c r="CH56" i="13"/>
  <c r="CT56" i="13"/>
  <c r="CG56" i="13"/>
  <c r="CF56" i="13"/>
  <c r="CU22" i="13"/>
  <c r="CE22" i="13"/>
  <c r="CT22" i="13"/>
  <c r="CS22" i="13"/>
  <c r="CG22" i="13"/>
  <c r="CH22" i="13"/>
  <c r="CI22" i="13"/>
  <c r="CW22" i="13"/>
  <c r="CV22" i="13"/>
  <c r="CU31" i="13"/>
  <c r="CI31" i="13"/>
  <c r="CE31" i="13"/>
  <c r="CT31" i="13"/>
  <c r="CS31" i="13"/>
  <c r="CG31" i="13"/>
  <c r="CH31" i="13"/>
  <c r="CW31" i="13"/>
  <c r="CV31" i="13"/>
  <c r="CU25" i="13"/>
  <c r="CE25" i="13"/>
  <c r="CT25" i="13"/>
  <c r="CS25" i="13"/>
  <c r="CG25" i="13"/>
  <c r="CH25" i="13"/>
  <c r="CI25" i="13"/>
  <c r="CW25" i="13"/>
  <c r="CV25" i="13"/>
  <c r="CU29" i="13"/>
  <c r="CI29" i="13"/>
  <c r="CE29" i="13"/>
  <c r="CT29" i="13"/>
  <c r="CS29" i="13"/>
  <c r="CG29" i="13"/>
  <c r="CH29" i="13"/>
  <c r="CW29" i="13"/>
  <c r="CV29" i="13"/>
  <c r="CU30" i="13"/>
  <c r="CE30" i="13"/>
  <c r="CT30" i="13"/>
  <c r="CS30" i="13"/>
  <c r="CG30" i="13"/>
  <c r="CH30" i="13"/>
  <c r="CI30" i="13"/>
  <c r="CW30" i="13"/>
  <c r="CV30" i="13"/>
  <c r="CU34" i="13"/>
  <c r="CI34" i="13"/>
  <c r="CE34" i="13"/>
  <c r="CT34" i="13"/>
  <c r="CS34" i="13"/>
  <c r="CG34" i="13"/>
  <c r="CH34" i="13"/>
  <c r="CW34" i="13"/>
  <c r="CV34" i="13"/>
  <c r="CU28" i="13"/>
  <c r="CI28" i="13"/>
  <c r="CE28" i="13"/>
  <c r="CT28" i="13"/>
  <c r="CS28" i="13"/>
  <c r="CG28" i="13"/>
  <c r="CH28" i="13"/>
  <c r="CW28" i="13"/>
  <c r="CV28" i="13"/>
  <c r="CU21" i="13"/>
  <c r="CE21" i="13"/>
  <c r="AZ21" i="13" s="1"/>
  <c r="CT21" i="13"/>
  <c r="CH21" i="13"/>
  <c r="CS21" i="13"/>
  <c r="CI21" i="13"/>
  <c r="CW21" i="13"/>
  <c r="CG21" i="13"/>
  <c r="CV21" i="13"/>
  <c r="CU26" i="13"/>
  <c r="CI26" i="13"/>
  <c r="CE26" i="13"/>
  <c r="CT26" i="13"/>
  <c r="CS26" i="13"/>
  <c r="CG26" i="13"/>
  <c r="CH26" i="13"/>
  <c r="CW26" i="13"/>
  <c r="CV26" i="13"/>
  <c r="CU24" i="13"/>
  <c r="CE24" i="13"/>
  <c r="CT24" i="13"/>
  <c r="CI24" i="13"/>
  <c r="CS24" i="13"/>
  <c r="CG24" i="13"/>
  <c r="CH24" i="13"/>
  <c r="CW24" i="13"/>
  <c r="CV24" i="13"/>
  <c r="CU37" i="13"/>
  <c r="CI37" i="13"/>
  <c r="CE37" i="13"/>
  <c r="CT37" i="13"/>
  <c r="CS37" i="13"/>
  <c r="CG37" i="13"/>
  <c r="CH37" i="13"/>
  <c r="CW37" i="13"/>
  <c r="CV37" i="13"/>
  <c r="CU27" i="13"/>
  <c r="CE27" i="13"/>
  <c r="CT27" i="13"/>
  <c r="CS27" i="13"/>
  <c r="CG27" i="13"/>
  <c r="CH27" i="13"/>
  <c r="CI27" i="13"/>
  <c r="CW27" i="13"/>
  <c r="CV27" i="13"/>
  <c r="CU33" i="13"/>
  <c r="CE33" i="13"/>
  <c r="CT33" i="13"/>
  <c r="CI33" i="13"/>
  <c r="CS33" i="13"/>
  <c r="CG33" i="13"/>
  <c r="CH33" i="13"/>
  <c r="CW33" i="13"/>
  <c r="CV33" i="13"/>
  <c r="CU32" i="13"/>
  <c r="CE32" i="13"/>
  <c r="CT32" i="13"/>
  <c r="CS32" i="13"/>
  <c r="CG32" i="13"/>
  <c r="CH32" i="13"/>
  <c r="CI32" i="13"/>
  <c r="CW32" i="13"/>
  <c r="CV32" i="13"/>
  <c r="CU23" i="13"/>
  <c r="CI23" i="13"/>
  <c r="CE23" i="13"/>
  <c r="CT23" i="13"/>
  <c r="CS23" i="13"/>
  <c r="CG23" i="13"/>
  <c r="CH23" i="13"/>
  <c r="CW23" i="13"/>
  <c r="CV23" i="13"/>
  <c r="CU36" i="13"/>
  <c r="CE36" i="13"/>
  <c r="CT36" i="13"/>
  <c r="CS36" i="13"/>
  <c r="CI36" i="13"/>
  <c r="CG36" i="13"/>
  <c r="CH36" i="13"/>
  <c r="CW36" i="13"/>
  <c r="CV36" i="13"/>
  <c r="CU35" i="13"/>
  <c r="CE35" i="13"/>
  <c r="CT35" i="13"/>
  <c r="CS35" i="13"/>
  <c r="CG35" i="13"/>
  <c r="CH35" i="13"/>
  <c r="CI35" i="13"/>
  <c r="CW35" i="13"/>
  <c r="CV35" i="13"/>
  <c r="E57" i="13"/>
  <c r="E67" i="13"/>
  <c r="E63" i="13"/>
  <c r="B384" i="13" l="1"/>
  <c r="E13" i="18" s="1"/>
  <c r="AZ61" i="13"/>
  <c r="AZ59" i="13"/>
  <c r="AZ66" i="13"/>
  <c r="C384" i="13"/>
  <c r="D13" i="18" s="1"/>
  <c r="AZ56" i="13"/>
  <c r="AZ62" i="13"/>
  <c r="AZ55" i="13"/>
  <c r="AZ58" i="13"/>
  <c r="AZ54" i="13"/>
  <c r="AZ60" i="13"/>
  <c r="AZ65" i="13"/>
  <c r="AZ52" i="13"/>
  <c r="AZ51" i="13"/>
  <c r="AZ53" i="13"/>
  <c r="AZ36" i="13"/>
  <c r="AZ37" i="13"/>
  <c r="AZ33" i="13"/>
  <c r="AZ27" i="13"/>
  <c r="AZ31" i="13"/>
  <c r="AZ32" i="13"/>
  <c r="AZ25" i="13"/>
  <c r="AZ35" i="13"/>
  <c r="AZ26" i="13"/>
  <c r="AZ28" i="13"/>
  <c r="AZ29" i="13"/>
  <c r="AZ24" i="13"/>
  <c r="AZ30" i="13"/>
  <c r="AZ23" i="13"/>
  <c r="AZ34" i="13"/>
  <c r="AZ22" i="13"/>
  <c r="AZ227" i="13"/>
  <c r="AZ246" i="13"/>
  <c r="D18" i="18" l="1"/>
  <c r="D12" i="18" l="1"/>
  <c r="E12" i="18"/>
  <c r="S180" i="29" l="1"/>
  <c r="AR29" i="48"/>
  <c r="Z160" i="45"/>
  <c r="Z162" i="45"/>
  <c r="Z161" i="45"/>
  <c r="Z165" i="45"/>
  <c r="Z164" i="45"/>
  <c r="Z166" i="45"/>
  <c r="Z168" i="45"/>
  <c r="C69" i="5"/>
  <c r="B204" i="5" s="1"/>
  <c r="E18" i="18" l="1"/>
  <c r="CL159" i="31"/>
  <c r="E23" i="18"/>
  <c r="CB159" i="31"/>
  <c r="T159" i="31" s="1"/>
  <c r="AT12" i="11"/>
  <c r="C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<sst xmlns="http://schemas.openxmlformats.org/spreadsheetml/2006/main" count="104491" uniqueCount="6041">
  <si>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</si>
  <si>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</si>
  <si>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</si>
  <si>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</si>
  <si>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</si>
  <si>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</si>
  <si>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</si>
  <si>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</si>
  <si>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</si>
  <si>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</si>
  <si>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</si>
  <si>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</si>
  <si>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</si>
  <si>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</si>
  <si>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</si>
  <si>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</si>
  <si>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</si>
  <si>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</si>
  <si>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</si>
  <si>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</si>
  <si>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</si>
  <si>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</si>
  <si>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</si>
  <si>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</si>
  <si>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</si>
  <si>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</si>
  <si>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</si>
  <si>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</si>
  <si>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</si>
  <si>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</si>
  <si>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</si>
  <si>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</si>
  <si>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</si>
  <si>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</si>
  <si>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</si>
  <si>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</si>
  <si>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</si>
  <si>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</si>
  <si>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</si>
  <si>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</si>
  <si>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</si>
  <si>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</si>
  <si>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</si>
  <si>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</si>
  <si>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</si>
  <si>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</si>
  <si>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</si>
  <si>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</si>
  <si>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</si>
  <si>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</si>
  <si>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</si>
  <si>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</si>
  <si>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</si>
  <si>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</si>
  <si>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</si>
  <si>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</si>
  <si>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</si>
  <si>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</si>
  <si>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</si>
  <si>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</si>
  <si>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</si>
  <si>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</si>
  <si>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</si>
  <si>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</si>
  <si>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</si>
  <si>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</si>
  <si>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</si>
  <si>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</si>
  <si>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</si>
  <si>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</si>
  <si>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</si>
  <si>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</si>
  <si>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</si>
  <si>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</si>
  <si>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</si>
  <si>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</si>
  <si>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</si>
  <si>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</si>
  <si>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</si>
  <si>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</si>
  <si>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</si>
  <si>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</si>
  <si>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</si>
  <si>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</si>
  <si>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</si>
  <si>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</si>
  <si>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</si>
  <si>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</si>
  <si>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</si>
  <si>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</si>
  <si>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</si>
  <si>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</si>
  <si>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</si>
  <si>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</si>
  <si>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</si>
  <si>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</si>
  <si>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</si>
  <si>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</si>
  <si>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</si>
  <si>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</si>
  <si>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</si>
  <si>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</si>
  <si>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</si>
  <si>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</si>
  <si>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</si>
  <si>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</si>
  <si>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</si>
  <si>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</si>
  <si>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</si>
  <si>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</si>
  <si>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</si>
  <si>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</si>
  <si>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</si>
  <si>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</si>
  <si>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</si>
  <si>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</si>
  <si>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</si>
  <si>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</si>
  <si>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</si>
  <si>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</si>
  <si>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</si>
  <si>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</si>
  <si>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</si>
  <si>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</si>
  <si>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</si>
  <si>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</si>
  <si>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</si>
  <si>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</si>
  <si>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</si>
  <si>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</si>
  <si>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</si>
  <si>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</si>
  <si>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</si>
  <si>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</si>
  <si>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</si>
  <si>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</si>
  <si>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</si>
  <si>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</si>
  <si>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</si>
  <si>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</si>
  <si>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</si>
  <si>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</si>
  <si>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</si>
  <si>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</si>
  <si>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</si>
  <si>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</si>
  <si>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</si>
  <si>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</si>
  <si>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</si>
  <si>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</si>
  <si>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</si>
  <si>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</si>
  <si>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</si>
  <si>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</si>
  <si>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</si>
  <si>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</si>
  <si>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</si>
  <si>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</si>
  <si>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</si>
  <si>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</si>
  <si>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</si>
  <si>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</si>
  <si>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</si>
  <si>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</si>
  <si>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</si>
  <si>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</si>
  <si>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</si>
  <si>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</si>
  <si>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</si>
  <si>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</si>
  <si>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</si>
  <si>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</si>
  <si>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</si>
  <si>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</si>
  <si>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</si>
  <si>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</si>
  <si>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</si>
  <si>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</si>
  <si>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</si>
  <si>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</si>
  <si>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</si>
  <si>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</si>
  <si>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</si>
  <si>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</si>
  <si>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</si>
  <si>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</si>
  <si>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</si>
  <si>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</si>
  <si>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</si>
  <si>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</si>
  <si>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</si>
  <si>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</si>
  <si>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</si>
  <si>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</si>
  <si>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</si>
  <si>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</si>
  <si>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</si>
  <si>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</si>
  <si>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</si>
  <si>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</si>
  <si>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</si>
  <si>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</si>
  <si>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</si>
  <si>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</si>
  <si>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</si>
  <si>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</si>
  <si>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</si>
  <si>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</si>
  <si>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</si>
  <si>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</si>
  <si>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</si>
  <si>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</si>
  <si>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</si>
  <si>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</si>
  <si>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</si>
  <si>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</si>
  <si>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</si>
  <si>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</si>
  <si>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</si>
  <si>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</si>
  <si>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</si>
  <si>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</si>
  <si>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</si>
  <si>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</si>
  <si>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</si>
  <si>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</si>
  <si>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</si>
  <si>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</si>
  <si>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</si>
  <si>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</si>
  <si>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</si>
  <si>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</si>
  <si>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</si>
  <si>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</si>
  <si>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</si>
  <si>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</si>
  <si>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</si>
  <si>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</si>
  <si>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</si>
  <si>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</si>
  <si>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</si>
  <si>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</si>
  <si>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</si>
  <si>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</si>
  <si>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</si>
  <si>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</si>
  <si>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</si>
  <si>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</si>
  <si>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</si>
  <si>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</si>
  <si>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</si>
  <si>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</si>
  <si>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</si>
  <si>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</si>
  <si>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</si>
  <si>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</si>
  <si>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</si>
  <si>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</si>
  <si>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</si>
  <si>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</si>
  <si>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</si>
  <si>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</si>
  <si>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</si>
  <si>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</si>
  <si>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</si>
  <si>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</si>
  <si>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</si>
  <si>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</si>
  <si>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</si>
  <si>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</si>
  <si>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</si>
  <si>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</si>
  <si>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</si>
  <si>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</si>
  <si>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</si>
  <si>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</si>
  <si>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</si>
  <si>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</si>
  <si>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</si>
  <si>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</si>
  <si>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</si>
  <si>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</si>
  <si>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</si>
  <si>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</si>
  <si>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</si>
  <si>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</si>
  <si>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</si>
  <si>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</si>
  <si>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</si>
  <si>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</si>
  <si>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</si>
  <si>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</si>
  <si>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</si>
  <si>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</si>
  <si>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</si>
  <si>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</si>
  <si>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</si>
  <si>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</si>
  <si>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</si>
  <si>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</si>
  <si>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</si>
  <si>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</si>
  <si>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</si>
  <si>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</si>
  <si>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</si>
  <si>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</si>
  <si>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</si>
  <si>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</si>
  <si>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</si>
  <si>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</si>
  <si>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</si>
  <si>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</si>
  <si>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</si>
  <si>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</si>
  <si>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</si>
  <si>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</si>
  <si>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</si>
  <si>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</si>
  <si>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</si>
  <si>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</si>
  <si>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</si>
  <si>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</si>
  <si>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</si>
  <si>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</si>
  <si>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</si>
  <si>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</si>
  <si>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</si>
  <si>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</si>
  <si>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</si>
  <si>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</si>
  <si>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</si>
  <si>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</si>
  <si>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</si>
  <si>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</si>
  <si>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</si>
  <si>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</si>
  <si>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</si>
  <si>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</si>
  <si>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</si>
  <si>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</si>
  <si>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</si>
  <si>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</si>
  <si>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</si>
  <si>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</si>
  <si>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</si>
  <si>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</si>
  <si>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</si>
  <si>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</si>
  <si>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</si>
  <si>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</si>
  <si>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</si>
  <si>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</si>
  <si>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</si>
  <si>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</si>
  <si>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</si>
  <si>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</si>
  <si>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</si>
  <si>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</si>
  <si>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</si>
  <si>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</si>
  <si>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</si>
  <si>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</si>
  <si>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</si>
  <si>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</si>
  <si>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</si>
  <si>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</si>
  <si>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</si>
  <si>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</si>
  <si>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</si>
  <si>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</si>
  <si>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</si>
  <si>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</si>
  <si>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</si>
  <si>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</si>
  <si>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</si>
  <si>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</si>
  <si>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</si>
  <si>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</si>
  <si>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</si>
  <si>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</si>
  <si>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</si>
  <si>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</si>
  <si>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</si>
  <si>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</si>
  <si>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</si>
  <si>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</si>
  <si>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</si>
  <si>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</si>
  <si>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</si>
  <si>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</si>
  <si>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</si>
  <si>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</si>
  <si>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</si>
  <si>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</si>
  <si>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</si>
  <si>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</si>
  <si>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</si>
  <si>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</si>
  <si>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</si>
  <si>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</si>
  <si>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</si>
  <si>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</si>
  <si>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</si>
  <si>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</si>
  <si>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</si>
  <si>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</si>
  <si>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</si>
  <si>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</si>
  <si>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</si>
  <si>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</si>
  <si>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</si>
  <si>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</si>
  <si>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</si>
  <si>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</si>
  <si>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</si>
  <si>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</si>
  <si>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</si>
  <si>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</si>
  <si>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</si>
  <si>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</si>
  <si>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</si>
  <si>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</si>
  <si>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</si>
  <si>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</si>
  <si>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</si>
  <si>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</si>
  <si>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</si>
  <si>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</si>
  <si>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</si>
  <si>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</si>
  <si>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</si>
  <si>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</si>
  <si>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</si>
  <si>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</si>
  <si>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</si>
  <si>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</si>
  <si>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</si>
  <si>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</si>
  <si>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</si>
  <si>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</si>
  <si>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</si>
  <si>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</si>
  <si>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</si>
  <si>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</si>
  <si>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</si>
  <si>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</si>
  <si>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</si>
  <si>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</si>
  <si>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</si>
  <si>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</si>
  <si>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</si>
  <si>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</si>
  <si>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</si>
  <si>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</si>
  <si>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</si>
  <si>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</si>
  <si>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</si>
  <si>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</si>
  <si>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</si>
  <si>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</si>
  <si>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</si>
  <si>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</si>
  <si>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</si>
  <si>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</si>
  <si>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</si>
  <si>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</si>
  <si>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</si>
  <si>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</si>
  <si>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</si>
  <si>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</si>
  <si>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</si>
  <si>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</si>
  <si>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</si>
  <si>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</si>
  <si>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</si>
  <si>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</si>
  <si>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</si>
  <si>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</si>
  <si>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</si>
  <si>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</si>
  <si>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</si>
  <si>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</si>
  <si>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</si>
  <si>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</si>
  <si>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</si>
  <si>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</si>
  <si>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</si>
  <si>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</si>
  <si>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</si>
  <si>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</si>
  <si>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</si>
  <si>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</si>
  <si>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</si>
  <si>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</si>
  <si>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</si>
  <si>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</si>
  <si>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</si>
  <si>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</si>
  <si>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</si>
  <si>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</si>
  <si>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</si>
  <si>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</si>
  <si>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</si>
  <si>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</si>
  <si>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</si>
  <si>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</si>
  <si>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</si>
  <si>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</si>
  <si>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</si>
  <si>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</si>
  <si>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</si>
  <si>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</si>
  <si>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</si>
  <si>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</si>
  <si>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</si>
  <si>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</si>
  <si>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</si>
  <si>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</si>
  <si>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</si>
  <si>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</si>
  <si>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</si>
  <si>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</si>
  <si>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</si>
  <si>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</si>
  <si>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</si>
  <si>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</si>
  <si>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</si>
  <si>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</si>
  <si>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</si>
  <si>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</si>
  <si>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</si>
  <si>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</si>
  <si>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</si>
  <si>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</si>
  <si>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</si>
  <si>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</si>
  <si>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</si>
  <si>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</si>
  <si>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</si>
  <si>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</si>
  <si>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</si>
  <si>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</si>
  <si>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</si>
  <si>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</si>
  <si>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</si>
  <si>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</si>
  <si>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</si>
  <si>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</si>
  <si>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</si>
  <si>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</si>
  <si>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</si>
  <si>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</si>
  <si>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</si>
  <si>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</si>
  <si>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</si>
  <si>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</si>
  <si>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</si>
  <si>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</si>
  <si>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</si>
  <si>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</si>
  <si>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</si>
  <si>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</si>
  <si>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</si>
  <si>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</si>
  <si>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</si>
  <si>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</si>
  <si>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</si>
  <si>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</si>
  <si>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</si>
  <si>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</si>
  <si>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</si>
  <si>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</si>
  <si>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</si>
  <si>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</si>
  <si>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</si>
  <si>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</si>
  <si>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</si>
  <si>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</si>
  <si>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</si>
  <si>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</si>
  <si>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</si>
  <si>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</si>
  <si>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</si>
  <si>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</si>
  <si>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</si>
  <si>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</si>
  <si>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</si>
  <si>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</si>
  <si>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</si>
  <si>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</si>
  <si>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</si>
  <si>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</si>
  <si>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</si>
  <si>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</si>
  <si>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</si>
  <si>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</si>
  <si>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</si>
  <si>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</si>
  <si>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</si>
  <si>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</si>
  <si>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</si>
  <si>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</si>
  <si>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</si>
  <si>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</si>
  <si>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</si>
  <si>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</si>
  <si>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</si>
  <si>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</si>
  <si>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</si>
  <si>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</si>
  <si>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</si>
  <si>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</si>
  <si>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</si>
  <si>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</si>
  <si>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</si>
  <si>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</si>
  <si>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</si>
  <si>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</si>
  <si>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</si>
  <si>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</si>
  <si>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</si>
  <si>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</si>
  <si>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</si>
  <si>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</si>
  <si>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</si>
  <si>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</si>
  <si>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</si>
  <si>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</si>
  <si>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</si>
  <si>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</si>
  <si>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</si>
  <si>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</si>
  <si>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</si>
  <si>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</si>
  <si>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</si>
  <si>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</si>
  <si>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</si>
  <si>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</si>
  <si>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</si>
  <si>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</si>
  <si>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</si>
  <si>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</si>
  <si>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</si>
  <si>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</si>
  <si>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</si>
  <si>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</si>
  <si>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</si>
  <si>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</si>
  <si>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</si>
  <si>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</si>
  <si>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</si>
  <si>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</si>
  <si>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</si>
  <si>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</si>
  <si>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</si>
  <si>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</si>
  <si>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</si>
  <si>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</si>
  <si>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</si>
  <si>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</si>
  <si>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</si>
  <si>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</si>
  <si>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</si>
  <si>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</si>
  <si>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</si>
  <si>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</si>
  <si>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</si>
  <si>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</si>
  <si>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</si>
  <si>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</si>
  <si>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</si>
  <si>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</si>
  <si>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</si>
  <si>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</si>
  <si>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</si>
  <si>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</si>
  <si>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</si>
  <si>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</si>
  <si>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</si>
  <si>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</si>
  <si>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</si>
  <si>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</si>
  <si>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</si>
  <si>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</si>
  <si>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</si>
  <si>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</si>
  <si>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</si>
  <si>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</si>
  <si>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</si>
  <si>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</si>
  <si>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</si>
  <si>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</si>
  <si>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</si>
  <si>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</si>
  <si>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</si>
  <si>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</si>
  <si>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</si>
  <si>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</si>
  <si>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</si>
  <si>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</si>
  <si>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</si>
  <si>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</si>
  <si>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</si>
  <si>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</si>
  <si>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</si>
  <si>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</si>
  <si>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</si>
  <si>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</si>
  <si>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</si>
  <si>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</si>
  <si>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</si>
  <si>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</si>
  <si>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</si>
  <si>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</si>
  <si>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</si>
  <si>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</si>
  <si>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</si>
  <si>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</si>
  <si>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</si>
  <si>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</si>
  <si>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</si>
  <si>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</si>
  <si>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</si>
  <si>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</si>
  <si>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</si>
  <si>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</si>
  <si>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</si>
  <si>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</si>
  <si>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</si>
  <si>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</si>
  <si>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</si>
  <si>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</si>
  <si>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</si>
  <si>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</si>
  <si>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</si>
  <si>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</si>
  <si>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</si>
  <si>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</si>
  <si>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</si>
  <si>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</si>
  <si>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</si>
  <si>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</si>
  <si>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</si>
  <si>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</si>
  <si>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</si>
  <si>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</si>
  <si>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</si>
  <si>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</si>
  <si>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</si>
  <si>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</si>
  <si>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</si>
  <si>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</si>
  <si>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</si>
  <si>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</si>
  <si>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</si>
  <si>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</si>
  <si>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</si>
  <si>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</si>
  <si>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</si>
  <si>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</si>
  <si>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</si>
  <si>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</si>
  <si>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</si>
  <si>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</si>
  <si>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</si>
  <si>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</si>
  <si>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</si>
  <si>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</si>
  <si>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</si>
  <si>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</si>
  <si>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</si>
  <si>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</si>
  <si>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</si>
  <si>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</si>
  <si>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</si>
  <si>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</si>
  <si>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</si>
  <si>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</si>
  <si>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</si>
  <si>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</si>
  <si>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</si>
  <si>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</si>
  <si>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</si>
  <si>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</si>
  <si>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</si>
  <si>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</si>
  <si>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</si>
  <si>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</si>
  <si>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</si>
  <si>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</si>
  <si>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</si>
  <si>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</si>
  <si>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</si>
  <si>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</si>
  <si>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</si>
  <si>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</si>
  <si>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</si>
  <si>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</si>
  <si>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</si>
  <si>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</si>
  <si>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</si>
  <si>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</si>
  <si>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</si>
  <si>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</si>
  <si>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</si>
  <si>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</si>
  <si>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</si>
  <si>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</si>
  <si>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</si>
  <si>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</si>
  <si>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</si>
  <si>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</si>
  <si>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</si>
  <si>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</si>
  <si>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</si>
  <si>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</si>
  <si>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</si>
  <si>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</si>
  <si>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</si>
  <si>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</si>
  <si>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</si>
  <si>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</si>
  <si>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</si>
  <si>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</si>
  <si>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</si>
  <si>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</si>
  <si>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</si>
  <si>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</si>
  <si>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</si>
  <si>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</si>
  <si>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</si>
  <si>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</si>
  <si>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</si>
  <si>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</si>
  <si>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</si>
  <si>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</si>
  <si>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</si>
  <si>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</si>
  <si>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</si>
  <si>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</si>
  <si>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</si>
  <si>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</si>
  <si>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</si>
  <si>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</si>
  <si>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</si>
  <si>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</si>
  <si>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</si>
  <si>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</si>
  <si>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</si>
  <si>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</si>
  <si>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</si>
  <si>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</si>
  <si>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</si>
  <si>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</si>
  <si>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</si>
  <si>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</si>
  <si>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</si>
  <si>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</si>
  <si>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</si>
  <si>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</si>
  <si>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</si>
  <si>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</si>
  <si>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</si>
  <si>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</si>
  <si>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</si>
  <si>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</si>
  <si>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</si>
  <si>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</si>
  <si>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</si>
  <si>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</si>
  <si>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</si>
  <si>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</si>
  <si>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</si>
  <si>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</si>
  <si>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</si>
  <si>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</si>
  <si>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</si>
  <si>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</si>
  <si>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</si>
  <si>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</si>
  <si>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</si>
  <si>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</si>
  <si>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</si>
  <si>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</si>
  <si>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</si>
  <si>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</si>
  <si>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</si>
  <si>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</si>
  <si>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</si>
  <si>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</si>
  <si>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</si>
  <si>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</si>
  <si>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</si>
  <si>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</si>
  <si>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</si>
  <si>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</si>
  <si>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</si>
  <si>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</si>
  <si>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</si>
  <si>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</si>
  <si>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</si>
  <si>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</si>
  <si>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</si>
  <si>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</si>
  <si>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</si>
  <si>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</si>
  <si>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</si>
  <si>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</si>
  <si>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</si>
  <si>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</si>
  <si>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</si>
  <si>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</si>
  <si>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</si>
  <si>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</si>
  <si>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</si>
  <si>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</si>
  <si>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</si>
  <si>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</si>
  <si>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</si>
  <si>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</si>
  <si>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</si>
  <si>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</si>
  <si>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</si>
  <si>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</si>
  <si>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</si>
  <si>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</si>
  <si>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</si>
  <si>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</si>
  <si>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</si>
  <si>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</si>
  <si>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</si>
  <si>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</si>
  <si>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</si>
  <si>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</si>
  <si>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</si>
  <si>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</si>
  <si>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</si>
  <si>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</si>
  <si>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</si>
  <si>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</si>
  <si>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</si>
  <si>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</si>
  <si>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</si>
  <si>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</si>
  <si>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</si>
  <si>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</si>
  <si>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</si>
  <si>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</si>
  <si>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</si>
  <si>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</si>
  <si>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</si>
  <si>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</si>
  <si>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</si>
  <si>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</si>
  <si>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</si>
  <si>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</si>
  <si>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</si>
  <si>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</si>
  <si>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</si>
  <si>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</si>
  <si>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</si>
  <si>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</si>
  <si>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</si>
  <si>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</si>
  <si>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</si>
  <si>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</si>
  <si>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</si>
  <si>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</si>
  <si>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</si>
  <si>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</si>
  <si>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</si>
  <si>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</si>
  <si>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</si>
  <si>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</si>
  <si>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</si>
  <si>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</si>
  <si>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</si>
  <si>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</si>
  <si>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</si>
  <si>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</si>
  <si>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</si>
  <si>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</si>
  <si>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</si>
  <si>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</si>
  <si>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</si>
  <si>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</si>
  <si>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</si>
  <si>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</si>
  <si>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</si>
  <si>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</si>
  <si>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</si>
  <si>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</si>
  <si>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</si>
  <si>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</si>
  <si>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</si>
  <si>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</si>
  <si>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</si>
  <si>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</si>
  <si>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</si>
  <si>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</si>
  <si>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</si>
  <si>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</si>
  <si>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</si>
  <si>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</si>
  <si>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</si>
  <si>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</si>
  <si>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</si>
  <si>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</si>
  <si>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</si>
  <si>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</si>
  <si>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</si>
  <si>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</si>
  <si>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</si>
  <si>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</si>
  <si>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</si>
  <si>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</si>
  <si>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</si>
  <si>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</si>
  <si>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</si>
  <si>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</si>
  <si>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</si>
  <si>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</si>
  <si>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</si>
  <si>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</si>
  <si>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</si>
  <si>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</si>
  <si>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</si>
  <si>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</si>
  <si>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</si>
  <si>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</si>
  <si>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</si>
  <si>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</si>
  <si>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</si>
  <si>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</si>
  <si>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</si>
  <si>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</si>
  <si>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</si>
  <si>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</si>
  <si>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</si>
  <si>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</si>
  <si>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</si>
  <si>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</si>
  <si>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</si>
  <si>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</si>
  <si>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</si>
  <si>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</si>
  <si>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</si>
  <si>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</si>
  <si>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</si>
  <si>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</si>
  <si>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</si>
  <si>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</si>
  <si>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</si>
  <si>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</si>
  <si>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</si>
  <si>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</si>
  <si>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</si>
  <si>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</si>
  <si>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</si>
  <si>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</si>
  <si>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</si>
  <si>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</si>
  <si>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</si>
  <si>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</si>
  <si>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</si>
  <si>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</si>
  <si>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</si>
  <si>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</si>
  <si>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</si>
  <si>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</si>
  <si>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</si>
  <si>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</si>
  <si>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</si>
  <si>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</si>
  <si>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</si>
  <si>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</si>
  <si>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</si>
  <si>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</si>
  <si>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</si>
  <si>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</si>
  <si>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</si>
  <si>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</si>
  <si>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</si>
  <si>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</si>
  <si>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</si>
  <si>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</si>
  <si>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</si>
  <si>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</si>
  <si>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</si>
  <si>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</si>
  <si>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</si>
  <si>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</si>
  <si>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</si>
  <si>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</si>
  <si>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</si>
  <si>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</si>
  <si>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</si>
  <si>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</si>
  <si>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</si>
  <si>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</si>
  <si>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</si>
  <si>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</si>
  <si>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</si>
  <si>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</si>
  <si>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</si>
  <si>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</si>
  <si>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</si>
  <si>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</si>
  <si>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</si>
  <si>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</si>
  <si>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</si>
  <si>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</si>
  <si>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</si>
  <si>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</si>
  <si>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</si>
  <si>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</si>
  <si>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</si>
  <si>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</si>
  <si>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</si>
  <si>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</si>
  <si>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</si>
  <si>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</si>
  <si>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</si>
  <si>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</si>
  <si>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</si>
  <si>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</si>
  <si>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</si>
  <si>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</si>
  <si>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</si>
  <si>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</si>
  <si>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</si>
  <si>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</si>
  <si>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</si>
  <si>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</si>
  <si>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</si>
  <si>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</si>
  <si>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</si>
  <si>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</si>
  <si>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</si>
  <si>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</si>
  <si>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</si>
  <si>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</si>
  <si>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</si>
  <si>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</si>
  <si>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</si>
  <si>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</si>
  <si>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</si>
  <si>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</si>
  <si>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</si>
  <si>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</si>
  <si>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</si>
  <si>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</si>
  <si>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</si>
  <si>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</si>
  <si>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</si>
  <si>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</si>
  <si>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</si>
  <si>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</si>
  <si>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</si>
  <si>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</si>
  <si>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</si>
  <si>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</si>
  <si>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</si>
  <si>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</si>
  <si>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</si>
  <si>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</si>
  <si>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</si>
  <si>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</si>
  <si>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</si>
  <si>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</si>
  <si>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</si>
  <si>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</si>
  <si>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</si>
  <si>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</si>
  <si>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</si>
  <si>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</si>
  <si>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</si>
  <si>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</si>
  <si>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</si>
  <si>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</si>
  <si>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</si>
  <si>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</si>
  <si>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</si>
  <si>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</si>
  <si>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</si>
  <si>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</si>
  <si>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</si>
  <si>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</si>
  <si>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</si>
  <si>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</si>
  <si>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</si>
  <si>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</si>
  <si>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</si>
  <si>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</si>
  <si>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</si>
  <si>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</si>
  <si>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</si>
  <si>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</si>
  <si>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</si>
  <si>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</si>
  <si>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</si>
  <si>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</si>
  <si>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</si>
  <si>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</si>
  <si>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</si>
  <si>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</si>
  <si>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</si>
  <si>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</si>
  <si>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</si>
  <si>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</si>
  <si>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</si>
  <si>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</si>
  <si>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</si>
  <si>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</si>
  <si>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</si>
  <si>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</si>
  <si>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</si>
  <si>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</si>
  <si>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</si>
  <si>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</si>
  <si>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</si>
  <si>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</si>
  <si>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</si>
  <si>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</si>
  <si>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</si>
  <si>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</si>
  <si>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</si>
  <si>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</si>
  <si>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</si>
  <si>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</si>
  <si>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</si>
  <si>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</si>
  <si>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</si>
  <si>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</si>
  <si>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</si>
  <si>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</si>
  <si>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</si>
  <si>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</si>
  <si>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</si>
  <si>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</si>
  <si>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</si>
  <si>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</si>
  <si>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</si>
  <si>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</si>
  <si>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</si>
  <si>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</si>
  <si>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</si>
  <si>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</si>
  <si>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</si>
  <si>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</si>
  <si>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</si>
  <si>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</si>
  <si>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</si>
  <si>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</si>
  <si>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</si>
  <si>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</si>
  <si>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</si>
  <si>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</si>
  <si>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</si>
  <si>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</si>
  <si>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</si>
  <si>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</si>
  <si>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</si>
  <si>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</si>
  <si>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</si>
  <si>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</si>
  <si>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</si>
  <si>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</si>
  <si>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</si>
  <si>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</si>
  <si>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</si>
  <si>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</si>
  <si>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</si>
  <si>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</si>
  <si>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</si>
  <si>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</si>
  <si>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</si>
  <si>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</si>
  <si>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</si>
  <si>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</si>
  <si>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</si>
  <si>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</si>
  <si>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</si>
  <si>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</si>
  <si>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</si>
  <si>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</si>
  <si>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</si>
  <si>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</si>
  <si>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</si>
  <si>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</si>
  <si>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</si>
  <si>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</si>
  <si>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</si>
  <si>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</si>
  <si>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</si>
  <si>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</si>
  <si>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</si>
  <si>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</si>
  <si>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</si>
  <si>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</si>
  <si>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</si>
  <si>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</si>
  <si>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</si>
  <si>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</si>
  <si>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</si>
  <si>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</si>
  <si>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</si>
  <si>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</si>
  <si>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</si>
  <si>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</si>
  <si>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</si>
  <si>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</si>
  <si>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</si>
  <si>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</si>
  <si>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</si>
  <si>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</si>
  <si>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</si>
  <si>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</si>
  <si>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</si>
  <si>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</si>
  <si>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</si>
  <si>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</si>
  <si>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</si>
  <si>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</si>
  <si>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</si>
  <si>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</si>
  <si>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</si>
  <si>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</si>
  <si>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</si>
  <si>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</si>
  <si>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</si>
  <si>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</si>
  <si>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</si>
  <si>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</si>
  <si>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</si>
  <si>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</si>
  <si>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</si>
  <si>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</si>
  <si>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</si>
  <si>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</si>
  <si>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</si>
  <si>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</si>
  <si>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</si>
  <si>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</si>
  <si>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</si>
  <si>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</si>
  <si>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</si>
  <si>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</si>
  <si>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</si>
  <si>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</si>
  <si>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</si>
  <si>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</si>
  <si>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</si>
  <si>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</si>
  <si>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</si>
  <si>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</si>
  <si>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</si>
  <si>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</si>
  <si>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</si>
  <si>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</si>
  <si>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</si>
  <si>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</si>
  <si>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</si>
  <si>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</si>
  <si>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</si>
  <si>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</si>
  <si>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</si>
  <si>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</si>
  <si>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</si>
  <si>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</si>
  <si>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</si>
  <si>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</si>
  <si>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</si>
  <si>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</si>
  <si>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</si>
  <si>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</si>
  <si>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</si>
  <si>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</si>
  <si>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</si>
  <si>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</si>
  <si>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</si>
  <si>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</si>
  <si>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</si>
  <si>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</si>
  <si>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</si>
  <si>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</si>
  <si>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</si>
  <si>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</si>
  <si>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</si>
  <si>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</si>
  <si>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</si>
  <si>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</si>
  <si>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</si>
  <si>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</si>
  <si>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</si>
  <si>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</si>
  <si>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</si>
  <si>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</si>
  <si>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</si>
  <si>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</si>
  <si>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</si>
  <si>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</si>
  <si>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</si>
  <si>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</si>
  <si>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</si>
  <si>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</si>
  <si>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</si>
  <si>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</si>
  <si>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</si>
  <si>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</si>
  <si>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</si>
  <si>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</si>
  <si>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</si>
  <si>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</si>
  <si>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</si>
  <si>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</si>
  <si>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</si>
  <si>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</si>
  <si>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</si>
  <si>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</si>
  <si>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</si>
  <si>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</si>
  <si>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</si>
  <si>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</si>
  <si>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</si>
  <si>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</si>
  <si>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</si>
  <si>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</si>
  <si>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</si>
  <si>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</si>
  <si>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</si>
  <si>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</si>
  <si>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</si>
  <si>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</si>
  <si>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</si>
  <si>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</si>
  <si>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</si>
  <si>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</si>
  <si>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</si>
  <si>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</si>
  <si>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</si>
  <si>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</si>
  <si>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</si>
  <si>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</si>
  <si>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</si>
  <si>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</si>
  <si>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</si>
  <si>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</si>
  <si>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</si>
  <si>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</si>
  <si>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</si>
  <si>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</si>
  <si>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</si>
  <si>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</si>
  <si>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</si>
  <si>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</si>
  <si>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</si>
  <si>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</si>
  <si>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</si>
  <si>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</si>
  <si>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</si>
  <si>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</si>
  <si>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</si>
  <si>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</si>
  <si>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</si>
  <si>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</si>
  <si>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</si>
  <si>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</si>
  <si>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</si>
  <si>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</si>
  <si>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</si>
  <si>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</si>
  <si>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</si>
  <si>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</si>
  <si>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</si>
  <si>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</si>
  <si>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</si>
  <si>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</si>
  <si>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</si>
  <si>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</si>
  <si>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</si>
  <si>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</si>
  <si>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</si>
  <si>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</si>
  <si>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</si>
  <si>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</si>
  <si>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</si>
  <si>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</si>
  <si>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</si>
  <si>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</si>
  <si>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</si>
  <si>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</si>
  <si>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</si>
  <si>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</si>
  <si>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</si>
  <si>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</si>
  <si>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</si>
  <si>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</si>
  <si>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</si>
  <si>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</si>
  <si>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</si>
  <si>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</si>
  <si>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</si>
  <si>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</si>
  <si>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</si>
  <si>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</si>
  <si>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</si>
  <si>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</si>
  <si>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</si>
  <si>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</si>
  <si>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</si>
  <si>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</si>
  <si>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</si>
  <si>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</si>
  <si>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</si>
  <si>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</si>
  <si>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</si>
  <si>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</si>
  <si>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</si>
  <si>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</si>
  <si>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</si>
  <si>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</si>
  <si>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</si>
  <si>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</si>
  <si>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</si>
  <si>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</si>
  <si>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</si>
  <si>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</si>
  <si>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</si>
  <si>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</si>
  <si>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</si>
  <si>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</si>
  <si>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</si>
  <si>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</si>
  <si>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</si>
  <si>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</si>
  <si>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</si>
  <si>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</si>
  <si>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</si>
  <si>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</si>
  <si>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</si>
  <si>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</si>
  <si>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</si>
  <si>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</si>
  <si>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</si>
  <si>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</si>
  <si>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</si>
  <si>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</si>
  <si>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</si>
  <si>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</si>
  <si>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</si>
  <si>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</si>
  <si>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</si>
  <si>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</si>
  <si>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</si>
  <si>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</si>
  <si>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</si>
  <si>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</si>
  <si>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</si>
  <si>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</si>
  <si>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</si>
  <si>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</si>
  <si>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</si>
  <si>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</si>
  <si>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</si>
  <si>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</si>
  <si>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</si>
  <si>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</si>
  <si>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</si>
  <si>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</si>
  <si>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</si>
  <si>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</si>
  <si>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</si>
  <si>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</si>
  <si>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</si>
  <si>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</si>
  <si>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</si>
  <si>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</si>
  <si>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</si>
  <si>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</si>
  <si>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</si>
  <si>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</si>
  <si>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</si>
  <si>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</si>
  <si>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</si>
  <si>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</si>
  <si>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</si>
  <si>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</si>
  <si>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</si>
  <si>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</si>
  <si>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</si>
  <si>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</si>
  <si>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</si>
  <si>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</si>
  <si>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</si>
  <si>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</si>
  <si>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</si>
  <si>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</si>
  <si>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</si>
  <si>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</si>
  <si>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</si>
  <si>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</si>
  <si>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</si>
  <si>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</si>
  <si>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</si>
  <si>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</si>
  <si>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</si>
  <si>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</si>
  <si>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</si>
  <si>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</si>
  <si>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</si>
  <si>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</si>
  <si>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</si>
  <si>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</si>
  <si>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</si>
  <si>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</si>
  <si>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</si>
  <si>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</si>
  <si>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</si>
  <si>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</si>
  <si>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</si>
  <si>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</si>
  <si>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</si>
  <si>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</si>
  <si>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</si>
  <si>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</si>
  <si>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</si>
  <si>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</si>
  <si>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</si>
  <si>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</si>
  <si>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</si>
  <si>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</si>
  <si>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</si>
  <si>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</si>
  <si>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</si>
  <si>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</si>
  <si>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</si>
  <si>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</si>
  <si>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</si>
  <si>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</si>
  <si>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</si>
  <si>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</si>
  <si>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</si>
  <si>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</si>
  <si>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</si>
  <si>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</si>
  <si>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</si>
  <si>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</si>
  <si>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</si>
  <si>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</si>
  <si>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</si>
  <si>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</si>
  <si>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</si>
  <si>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</si>
  <si>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</si>
  <si>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</si>
  <si>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</si>
  <si>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</si>
  <si>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</si>
  <si>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</si>
  <si>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</si>
  <si>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</si>
  <si>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</si>
  <si>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</si>
  <si>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</si>
  <si>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</si>
  <si>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</si>
  <si>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</si>
  <si>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</si>
  <si>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</si>
  <si>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</si>
  <si>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</si>
  <si>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</si>
  <si>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</si>
  <si>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</si>
  <si>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</si>
  <si>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</si>
  <si>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</si>
  <si>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</si>
  <si>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</si>
  <si>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</si>
  <si>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</si>
  <si>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</si>
  <si>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</si>
  <si>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</si>
  <si>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</si>
  <si>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</si>
  <si>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</si>
  <si>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</si>
  <si>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</si>
  <si>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</si>
  <si>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</si>
  <si>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</si>
  <si>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</si>
  <si>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</si>
  <si>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</si>
  <si>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</si>
  <si>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</si>
  <si>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</si>
  <si>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</si>
  <si>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</si>
  <si>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</si>
  <si>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</si>
  <si>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</si>
  <si>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</si>
  <si>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</si>
  <si>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</si>
  <si>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</si>
  <si>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</si>
  <si>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</si>
  <si>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</si>
  <si>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</si>
  <si>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</si>
  <si>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</si>
  <si>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</si>
  <si>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</si>
  <si>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</si>
  <si>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</si>
  <si>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</si>
  <si>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</si>
  <si>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</si>
  <si>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</si>
  <si>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</si>
  <si>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</si>
  <si>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</si>
  <si>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</si>
  <si>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</si>
  <si>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</si>
  <si>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</si>
  <si>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</si>
  <si>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</si>
  <si>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</si>
  <si>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</si>
  <si>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</si>
  <si>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</si>
  <si>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</si>
  <si>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</si>
  <si>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</si>
  <si>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</si>
  <si>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</si>
  <si>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</si>
  <si>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</si>
  <si>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</si>
  <si>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</si>
  <si>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</si>
  <si>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</si>
  <si>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</si>
  <si>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</si>
  <si>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</si>
  <si>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</si>
  <si>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</si>
  <si>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</si>
  <si>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</si>
  <si>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</si>
  <si>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</si>
  <si>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</si>
  <si>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</si>
  <si>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</si>
  <si>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</si>
  <si>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</si>
  <si>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</si>
  <si>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</si>
  <si>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</si>
  <si>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</si>
  <si>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</si>
  <si>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</si>
  <si>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</si>
  <si>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</si>
  <si>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</si>
  <si>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</si>
  <si>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</si>
  <si>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</si>
  <si>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</si>
  <si>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</si>
  <si>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</si>
  <si>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</si>
  <si>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</si>
  <si>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</si>
  <si>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</si>
  <si>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</si>
  <si>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</si>
  <si>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</si>
  <si>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</si>
  <si>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</si>
  <si>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</si>
  <si>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</si>
  <si>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</si>
  <si>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</si>
  <si>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</si>
  <si>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</si>
  <si>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</si>
  <si>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</si>
  <si>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</si>
  <si>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</si>
  <si>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</si>
  <si>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</si>
  <si>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</si>
  <si>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</si>
  <si>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</si>
  <si>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</si>
  <si>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</si>
  <si>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</si>
  <si>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</si>
  <si>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</si>
  <si>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</si>
  <si>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</si>
  <si>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</si>
  <si>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</si>
  <si>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</si>
  <si>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</si>
  <si>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</si>
  <si>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</si>
  <si>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</si>
  <si>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</si>
  <si>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</si>
  <si>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</si>
  <si>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</si>
  <si>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</si>
  <si>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</si>
  <si>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</si>
  <si>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</si>
  <si>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</si>
  <si>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</si>
  <si>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</si>
  <si>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</si>
  <si>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</si>
  <si>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</si>
  <si>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</si>
  <si>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</si>
  <si>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</si>
  <si>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</si>
  <si>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</si>
  <si>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</si>
  <si>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</si>
  <si>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</si>
  <si>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</si>
  <si>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</si>
  <si>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</si>
  <si>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</si>
  <si>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</si>
  <si>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</si>
  <si>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</si>
  <si>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</si>
  <si>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</si>
  <si>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</si>
  <si>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</si>
  <si>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</si>
  <si>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</si>
  <si>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</si>
  <si>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</si>
  <si>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</si>
  <si>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</si>
  <si>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</si>
  <si>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</si>
  <si>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</si>
  <si>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</si>
  <si>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</si>
  <si>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</si>
  <si>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</si>
  <si>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</si>
  <si>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</si>
  <si>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</si>
  <si>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</si>
  <si>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</si>
  <si>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</si>
  <si>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</si>
  <si>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</si>
  <si>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</si>
  <si>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</si>
  <si>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</si>
  <si>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</si>
  <si>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</si>
  <si>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</si>
  <si>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</si>
  <si>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</si>
  <si>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</si>
  <si>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</si>
  <si>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</si>
  <si>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</si>
  <si>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</si>
  <si>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</si>
  <si>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</si>
  <si>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</si>
  <si>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</si>
  <si>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</si>
  <si>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</si>
  <si>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</si>
  <si>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</si>
  <si>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</si>
  <si>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</si>
  <si>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</si>
  <si>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</si>
  <si>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</si>
  <si>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</si>
  <si>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</si>
  <si>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</si>
  <si>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</si>
  <si>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</si>
  <si>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</si>
  <si>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</si>
  <si>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</si>
  <si>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</si>
  <si>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</si>
  <si>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</si>
  <si>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</si>
  <si>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</si>
  <si>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</si>
  <si>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</si>
  <si>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</si>
  <si>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</si>
  <si>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</si>
  <si>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</si>
  <si>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</si>
  <si>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</si>
  <si>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</si>
  <si>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</si>
  <si>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</si>
  <si>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</si>
  <si>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</si>
  <si>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</si>
  <si>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</si>
  <si>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</si>
  <si>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</si>
  <si>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</si>
  <si>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</si>
  <si>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</si>
  <si>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</si>
  <si>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</si>
  <si>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</si>
  <si>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</si>
  <si>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</si>
  <si>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</si>
  <si>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</si>
  <si>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</si>
  <si>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</si>
  <si>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</si>
  <si>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</si>
  <si>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</si>
  <si>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</si>
  <si>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</si>
  <si>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</si>
  <si>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</si>
  <si>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</si>
  <si>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</si>
  <si>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</si>
  <si>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</si>
  <si>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</si>
  <si>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</si>
  <si>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</si>
  <si>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</si>
  <si>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</si>
  <si>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</si>
  <si>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</si>
  <si>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</si>
  <si>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</si>
  <si>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</si>
  <si>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</si>
  <si>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</si>
  <si>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</si>
  <si>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</si>
  <si>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</si>
  <si>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</si>
  <si>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</si>
  <si>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</si>
  <si>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</si>
  <si>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</si>
  <si>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</si>
  <si>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</si>
  <si>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</si>
  <si>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</si>
  <si>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</si>
  <si>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</si>
  <si>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</si>
  <si>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</si>
  <si>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</si>
  <si>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</si>
  <si>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</si>
  <si>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</si>
  <si>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</si>
  <si>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</si>
  <si>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</si>
  <si>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</si>
  <si>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</si>
  <si>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</si>
  <si>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</si>
  <si>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</si>
  <si>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</si>
  <si>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</si>
  <si>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</si>
  <si>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</si>
  <si>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</si>
  <si>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</si>
  <si>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</si>
  <si>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</si>
  <si>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</si>
  <si>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</si>
  <si>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</si>
  <si>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</si>
  <si>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</si>
  <si>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</si>
  <si>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</si>
  <si>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</si>
  <si>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</si>
  <si>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</si>
  <si>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</si>
  <si>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</si>
  <si>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</si>
  <si>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</si>
  <si>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</si>
  <si>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</si>
  <si>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</si>
  <si>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</si>
  <si>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</si>
  <si>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</si>
  <si>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</si>
  <si>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</si>
  <si>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</si>
  <si>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</si>
  <si>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</si>
  <si>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</si>
  <si>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</si>
  <si>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</si>
  <si>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</si>
  <si>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</si>
  <si>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</si>
  <si>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</si>
  <si>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</si>
  <si>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</si>
  <si>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</si>
  <si>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</si>
  <si>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</si>
  <si>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</si>
  <si>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</si>
  <si>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</si>
  <si>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</si>
  <si>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</si>
  <si>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</si>
  <si>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</si>
  <si>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</si>
  <si>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</si>
  <si>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</si>
  <si>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</si>
  <si>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</si>
  <si>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</si>
  <si>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</si>
  <si>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</si>
  <si>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</si>
  <si>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</si>
  <si>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</si>
  <si>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</si>
  <si>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</si>
  <si>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</si>
  <si>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</si>
  <si>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</si>
  <si>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</si>
  <si>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</si>
  <si>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</si>
  <si>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</si>
  <si>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</si>
  <si>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</si>
  <si>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</si>
  <si>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</si>
  <si>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</si>
  <si>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</si>
  <si>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</si>
  <si>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</si>
  <si>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</si>
  <si>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</si>
  <si>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</si>
  <si>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</si>
  <si>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</si>
  <si>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</si>
  <si>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</si>
  <si>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</si>
  <si>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</si>
  <si>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</si>
  <si>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</si>
  <si>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</si>
  <si>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</si>
  <si>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</si>
  <si>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</si>
  <si>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</si>
  <si>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</si>
  <si>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</si>
  <si>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</si>
  <si>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</si>
  <si>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</si>
  <si>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</si>
  <si>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</si>
  <si>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</si>
  <si>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</si>
  <si>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</si>
  <si>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</si>
  <si>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</si>
  <si>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</si>
  <si>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</si>
  <si>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</si>
  <si>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</si>
  <si>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</si>
  <si>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</si>
  <si>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</si>
  <si>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</si>
  <si>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</si>
  <si>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</si>
  <si>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</si>
  <si>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</si>
  <si>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</si>
  <si>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</si>
  <si>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</si>
  <si>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</si>
  <si>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</si>
  <si>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</si>
  <si>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</si>
  <si>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</si>
  <si>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</si>
  <si>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</si>
  <si>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</si>
  <si>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</si>
  <si>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</si>
  <si>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</si>
  <si>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</si>
  <si>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</si>
  <si>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</si>
  <si>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</si>
  <si>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</si>
  <si>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</si>
  <si>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</si>
  <si>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</si>
  <si>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</si>
  <si>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</si>
  <si>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</si>
  <si>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</si>
  <si>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</si>
  <si>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</si>
  <si>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</si>
  <si>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</si>
  <si>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</si>
  <si>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</si>
  <si>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</si>
  <si>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</si>
  <si>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</si>
  <si>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</si>
  <si>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</si>
  <si>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</si>
  <si>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</si>
  <si>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</si>
  <si>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</si>
  <si>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</si>
  <si>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</si>
  <si>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</si>
  <si>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</si>
  <si>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</si>
  <si>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</si>
  <si>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</si>
  <si>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</si>
  <si>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</si>
  <si>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</si>
  <si>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</si>
  <si>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</si>
  <si>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</si>
  <si>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</si>
  <si>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</si>
  <si>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</si>
  <si>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</si>
  <si>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</si>
  <si>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</si>
  <si>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</si>
  <si>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</si>
  <si>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</si>
  <si>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</si>
  <si>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</si>
  <si>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</si>
  <si>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</si>
  <si>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</si>
  <si>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</si>
  <si>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</si>
  <si>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</si>
  <si>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</si>
  <si>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</si>
  <si>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</si>
  <si>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</si>
  <si>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</si>
  <si>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</si>
  <si>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</si>
  <si>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</si>
  <si>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</si>
  <si>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</si>
  <si>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</si>
  <si>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</si>
  <si>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</si>
  <si>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</si>
  <si>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</si>
  <si>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</si>
  <si>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</si>
  <si>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</si>
  <si>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</si>
  <si>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</si>
  <si>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</si>
  <si>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</si>
  <si>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</si>
  <si>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</si>
  <si>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</si>
  <si>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</si>
  <si>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</si>
  <si>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</si>
  <si>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</si>
  <si>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</si>
  <si>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</si>
  <si>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</si>
  <si>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</si>
  <si>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</si>
  <si>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</si>
  <si>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</si>
  <si>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</si>
  <si>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</si>
  <si>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</si>
  <si>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</si>
  <si>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</si>
  <si>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</si>
  <si>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</si>
  <si>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</si>
  <si>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</si>
  <si>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</si>
  <si>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</si>
  <si>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</si>
  <si>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</si>
  <si>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</si>
  <si>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</si>
  <si>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</si>
  <si>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</si>
  <si>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</si>
  <si>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</si>
  <si>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</si>
  <si>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</si>
  <si>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</si>
  <si>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</si>
  <si>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</si>
  <si>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</si>
  <si>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</si>
  <si>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</si>
  <si>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</si>
  <si>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</si>
  <si>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</si>
  <si>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</si>
  <si>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</si>
  <si>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</si>
  <si>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</si>
  <si>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</si>
  <si>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</si>
  <si>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</si>
  <si>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</si>
  <si>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</si>
  <si>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</si>
  <si>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</si>
  <si>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</si>
  <si>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</si>
  <si>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</si>
  <si>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</si>
  <si>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</si>
  <si>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</si>
  <si>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</si>
  <si>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</si>
  <si>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</si>
  <si>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</si>
  <si>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</si>
  <si>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</si>
  <si>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</si>
  <si>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</si>
  <si>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</si>
  <si>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</si>
  <si>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</si>
  <si>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</si>
  <si>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</si>
  <si>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</si>
  <si>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</si>
  <si>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</si>
  <si>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</si>
  <si>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</si>
  <si>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</si>
  <si>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</si>
  <si>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</si>
  <si>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</si>
  <si>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</si>
  <si>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</si>
  <si>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</si>
  <si>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</si>
  <si>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</si>
  <si>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</si>
  <si>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</si>
  <si>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</si>
  <si>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</si>
  <si>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</si>
  <si>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</si>
  <si>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</si>
  <si>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</si>
  <si>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</si>
  <si>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</si>
  <si>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</si>
  <si>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</si>
  <si>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</si>
  <si>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</si>
  <si>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</si>
  <si>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</si>
  <si>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</si>
  <si>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</si>
  <si>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</si>
  <si>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</si>
  <si>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</si>
  <si>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</si>
  <si>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</si>
  <si>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</si>
  <si>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</si>
  <si>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</si>
  <si>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</si>
  <si>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</si>
  <si>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</si>
  <si>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</si>
  <si>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</si>
  <si>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</si>
  <si>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</si>
  <si>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</si>
  <si>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</si>
  <si>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</si>
  <si>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</si>
  <si>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</si>
  <si>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</si>
  <si>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</si>
  <si>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</si>
  <si>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</si>
  <si>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</si>
  <si>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</si>
  <si>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</si>
  <si>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</si>
  <si>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</si>
  <si>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</si>
  <si>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</si>
  <si>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</si>
  <si>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</si>
  <si>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</si>
  <si>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</si>
  <si>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</si>
  <si>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</si>
  <si>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</si>
  <si>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</si>
  <si>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</si>
  <si>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</si>
  <si>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</si>
  <si>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</si>
  <si>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</si>
  <si>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</si>
  <si>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</si>
  <si>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</si>
  <si>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</si>
  <si>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</si>
  <si>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</si>
  <si>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</si>
  <si>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</si>
  <si>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</si>
  <si>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</si>
  <si>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</si>
  <si>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</si>
  <si>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</si>
  <si>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</si>
  <si>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</si>
  <si>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</si>
  <si>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</si>
  <si>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</si>
  <si>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</si>
  <si>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</si>
  <si>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</si>
  <si>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</si>
  <si>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</si>
  <si>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</si>
  <si>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</si>
  <si>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</si>
  <si>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</si>
  <si>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</si>
  <si>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</si>
  <si>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</si>
  <si>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</si>
  <si>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</si>
  <si>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</si>
  <si>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</si>
  <si>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</si>
  <si>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</si>
  <si>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</si>
  <si>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</si>
  <si>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</si>
  <si>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</si>
  <si>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</si>
  <si>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</si>
  <si>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</si>
  <si>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</si>
  <si>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</si>
  <si>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</si>
  <si>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</si>
  <si>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</si>
  <si>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</si>
  <si>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</si>
  <si>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</si>
  <si>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</si>
  <si>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</si>
  <si>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</si>
  <si>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</si>
  <si>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</si>
  <si>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</si>
  <si>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</si>
  <si>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</si>
  <si>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</si>
  <si>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</si>
  <si>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</si>
  <si>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</si>
  <si>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</si>
  <si>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</si>
  <si>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</si>
  <si>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</si>
  <si>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</si>
  <si>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</si>
  <si>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</si>
  <si>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</si>
  <si>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</si>
  <si>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</si>
  <si>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</si>
  <si>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</si>
  <si>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</si>
  <si>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</si>
  <si>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</si>
  <si>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</si>
  <si>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</si>
  <si>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</si>
  <si>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</si>
  <si>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</si>
  <si>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</si>
  <si>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</si>
  <si>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</si>
  <si>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</si>
  <si>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</si>
  <si>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</si>
  <si>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</si>
  <si>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</si>
  <si>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</si>
  <si>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</si>
  <si>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</si>
  <si>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</si>
  <si>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</si>
  <si>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</si>
  <si>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</si>
  <si>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</si>
  <si>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</si>
  <si>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</si>
  <si>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</si>
  <si>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</si>
  <si>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</si>
  <si>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</si>
  <si>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</si>
  <si>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</si>
  <si>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</si>
  <si>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</si>
  <si>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</si>
  <si>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</si>
  <si>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</si>
  <si>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</si>
  <si>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</si>
  <si>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</si>
  <si>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</si>
  <si>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</si>
  <si>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</si>
  <si>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</si>
  <si>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</si>
  <si>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</si>
  <si>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</si>
  <si>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</si>
  <si>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</si>
  <si>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</si>
  <si>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</si>
  <si>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</si>
  <si>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</si>
  <si>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</si>
  <si>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</si>
  <si>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</si>
  <si>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</si>
  <si>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</si>
  <si>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</si>
  <si>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</si>
  <si>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</si>
  <si>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</si>
  <si>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</si>
  <si>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</si>
  <si>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</si>
  <si>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</si>
  <si>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</si>
  <si>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</si>
  <si>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</si>
  <si>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</si>
  <si>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</si>
  <si>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</si>
  <si>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</si>
  <si>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</si>
  <si>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</si>
  <si>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</si>
  <si>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</si>
  <si>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</si>
  <si>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</si>
  <si>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</si>
  <si>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</si>
  <si>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</si>
  <si>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</si>
  <si>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</si>
  <si>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</si>
  <si>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</si>
  <si>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</si>
  <si>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</si>
  <si>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</si>
  <si>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</si>
  <si>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</si>
  <si>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</si>
  <si>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</si>
  <si>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</si>
  <si>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</si>
  <si>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</si>
  <si>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</si>
  <si>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</si>
  <si>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</si>
  <si>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</si>
  <si>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</si>
  <si>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</si>
  <si>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</si>
  <si>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</si>
  <si>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</si>
  <si>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</si>
  <si>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</si>
  <si>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</si>
  <si>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</si>
  <si>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</si>
  <si>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</si>
  <si>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</si>
  <si>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</si>
  <si>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</si>
  <si>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</si>
  <si>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</si>
  <si>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</si>
  <si>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</si>
  <si>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</si>
  <si>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</si>
  <si>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</si>
  <si>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</si>
  <si>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</si>
  <si>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</si>
  <si>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</si>
  <si>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</si>
  <si>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</si>
  <si>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</si>
  <si>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</si>
  <si>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</si>
  <si>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</si>
  <si>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</si>
  <si>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</si>
  <si>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</si>
  <si>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</si>
  <si>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</si>
  <si>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</si>
  <si>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</si>
  <si>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</si>
  <si>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</si>
  <si>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</si>
  <si>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</si>
  <si>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</si>
  <si>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</si>
  <si>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</si>
  <si>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</si>
  <si>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</si>
  <si>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</si>
  <si>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</si>
  <si>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</si>
  <si>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</si>
  <si>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</si>
  <si>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</si>
  <si>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</si>
  <si>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</si>
  <si>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</si>
  <si>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</si>
  <si>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</si>
  <si>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</si>
  <si>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</si>
  <si>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</si>
  <si>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</si>
  <si>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</si>
  <si>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</si>
  <si>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</si>
  <si>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</si>
  <si>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</si>
  <si>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</si>
  <si>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</si>
  <si>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</si>
  <si>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</si>
  <si>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</si>
  <si>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</si>
  <si>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</si>
  <si>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</si>
  <si>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</si>
  <si>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</si>
  <si>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</si>
  <si>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</si>
  <si>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</si>
  <si>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</si>
  <si>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</si>
  <si>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</si>
  <si>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</si>
  <si>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</si>
  <si>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</si>
  <si>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</si>
  <si>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</si>
  <si>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</si>
  <si>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</si>
  <si>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</si>
  <si>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</si>
  <si>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</si>
  <si>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</si>
  <si>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</si>
  <si>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</si>
  <si>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</si>
  <si>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</si>
  <si>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</si>
  <si>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</si>
  <si>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</si>
  <si>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</si>
  <si>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</si>
  <si>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</si>
  <si>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</si>
  <si>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</si>
  <si>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</si>
  <si>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</si>
  <si>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</si>
  <si>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</si>
  <si>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</si>
  <si>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</si>
  <si>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</si>
  <si>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</si>
  <si>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</si>
  <si>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</si>
  <si>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</si>
  <si>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</si>
  <si>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</si>
  <si>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</si>
  <si>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</si>
  <si>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</si>
  <si>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</si>
  <si>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</si>
  <si>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</si>
  <si>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</si>
  <si>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</si>
  <si>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</si>
  <si>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</si>
  <si>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</si>
  <si>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</si>
  <si>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</si>
  <si>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</si>
  <si>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</si>
  <si>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</si>
  <si>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</si>
  <si>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</si>
  <si>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</si>
  <si>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</si>
  <si>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</si>
  <si>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</si>
  <si>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</si>
  <si>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</si>
  <si>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</si>
  <si>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</si>
  <si>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</si>
  <si>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</si>
  <si>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</si>
  <si>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</si>
  <si>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</si>
  <si>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</si>
  <si>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</si>
  <si>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</si>
  <si>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</si>
  <si>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</si>
  <si>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</si>
  <si>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</si>
  <si>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</si>
  <si>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</si>
  <si>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</si>
  <si>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</si>
  <si>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</si>
  <si>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</si>
  <si>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</si>
  <si>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</si>
  <si>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</si>
  <si>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</si>
  <si>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</si>
  <si>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</si>
  <si>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</si>
  <si>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</si>
  <si>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</si>
  <si>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</si>
  <si>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</si>
  <si>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</si>
  <si>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</si>
  <si>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</si>
  <si>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</si>
  <si>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</si>
  <si>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</si>
  <si>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</si>
  <si>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</si>
  <si>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</si>
  <si>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</si>
  <si>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</si>
  <si>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</si>
  <si>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</si>
  <si>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</si>
  <si>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</si>
  <si>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</si>
  <si>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</si>
  <si>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</si>
  <si>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</si>
  <si>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</si>
  <si>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</si>
  <si>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</si>
  <si>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</si>
  <si>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</si>
  <si>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</si>
  <si>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</si>
  <si>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</si>
  <si>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</si>
  <si>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</si>
  <si>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</si>
  <si>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</si>
  <si>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</si>
  <si>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</si>
  <si>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</si>
  <si>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</si>
  <si>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</si>
  <si>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</si>
  <si>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</si>
  <si>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</si>
  <si>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</si>
  <si>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</si>
  <si>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</si>
  <si>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</si>
  <si>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</si>
  <si>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</si>
  <si>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</si>
  <si>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</si>
  <si>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</si>
  <si>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</si>
  <si>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</si>
  <si>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</si>
  <si>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</si>
  <si>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</si>
  <si>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</si>
  <si>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</si>
  <si>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</si>
  <si>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</si>
  <si>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</si>
  <si>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</si>
  <si>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</si>
  <si>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</si>
  <si>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</si>
  <si>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</si>
  <si>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</si>
  <si>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</si>
  <si>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</si>
  <si>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</si>
  <si>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</si>
  <si>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</si>
  <si>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</si>
  <si>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</si>
  <si>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</si>
  <si>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</si>
  <si>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</si>
  <si>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</si>
  <si>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</si>
  <si>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</si>
  <si>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</si>
  <si>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</si>
  <si>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</si>
  <si>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</si>
  <si>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</si>
  <si>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</si>
  <si>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</si>
  <si>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</si>
  <si>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</si>
  <si>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</si>
  <si>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</si>
  <si>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</si>
  <si>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</si>
  <si>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</si>
  <si>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</si>
  <si>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</si>
  <si>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</si>
  <si>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</si>
  <si>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</si>
  <si>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</si>
  <si>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</si>
  <si>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</si>
  <si>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</si>
  <si>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</si>
  <si>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</si>
  <si>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</si>
  <si>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</si>
  <si>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</si>
  <si>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</si>
  <si>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</si>
  <si>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</si>
  <si>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</si>
  <si>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</si>
  <si>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</si>
  <si>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</si>
  <si>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</si>
  <si>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</si>
  <si>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</si>
  <si>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</si>
  <si>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</si>
  <si>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</si>
  <si>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</si>
  <si>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</si>
  <si>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</si>
  <si>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</si>
  <si>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</si>
  <si>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</si>
  <si>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</si>
  <si>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</si>
  <si>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</si>
  <si>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</si>
  <si>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</si>
  <si>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</si>
  <si>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</si>
  <si>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</si>
  <si>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</si>
  <si>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</si>
  <si>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</si>
  <si>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</si>
  <si>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</si>
  <si>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</si>
  <si>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</si>
  <si>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</si>
  <si>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</si>
  <si>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</si>
  <si>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</si>
  <si>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</si>
  <si>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</si>
  <si>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</si>
  <si>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</si>
  <si>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</si>
  <si>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</si>
  <si>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</si>
  <si>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</si>
  <si>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</si>
  <si>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</si>
  <si>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</si>
  <si>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</si>
  <si>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</si>
  <si>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</si>
  <si>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</si>
  <si>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</si>
  <si>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</si>
  <si>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</si>
  <si>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</si>
  <si>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</si>
  <si>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</si>
  <si>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</si>
  <si>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</si>
  <si>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</si>
  <si>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</si>
  <si>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</si>
  <si>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</si>
  <si>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</si>
  <si>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</si>
  <si>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</si>
  <si>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</si>
  <si>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</si>
  <si>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</si>
  <si>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</si>
  <si>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</si>
  <si>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</si>
  <si>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</si>
  <si>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</si>
  <si>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</si>
  <si>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</si>
  <si>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</si>
  <si>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</si>
  <si>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</si>
  <si>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</si>
  <si>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</si>
  <si>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</si>
  <si>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</si>
  <si>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</si>
  <si>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</si>
  <si>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</si>
  <si>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</si>
  <si>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</si>
  <si>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</si>
  <si>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</si>
  <si>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</si>
  <si>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</si>
  <si>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</si>
  <si>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</si>
  <si>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</si>
  <si>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</si>
  <si>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</si>
  <si>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</si>
  <si>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</si>
  <si>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</si>
  <si>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</si>
  <si>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</si>
  <si>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</si>
  <si>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</si>
  <si>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</si>
  <si>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</si>
  <si>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</si>
  <si>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</si>
  <si>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</si>
  <si>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</si>
  <si>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</si>
  <si>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</si>
  <si>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</si>
  <si>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</si>
  <si>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</si>
  <si>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</si>
  <si>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</si>
  <si>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</si>
  <si>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</si>
  <si>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</si>
  <si>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</si>
  <si>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</si>
  <si>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</si>
  <si>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</si>
  <si>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</si>
  <si>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</si>
  <si>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</si>
  <si>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</si>
  <si>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</si>
  <si>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</si>
  <si>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</si>
  <si>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</si>
  <si>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</si>
  <si>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</si>
  <si>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</si>
  <si>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</si>
  <si>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</si>
  <si>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</si>
  <si>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</si>
  <si>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</si>
  <si>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</si>
  <si>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</si>
  <si>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</si>
  <si>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</si>
  <si>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</si>
  <si>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</si>
  <si>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</si>
  <si>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</si>
  <si>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</si>
  <si>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</si>
  <si>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</si>
  <si>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</si>
  <si>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</si>
  <si>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</si>
  <si>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</si>
  <si>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</si>
  <si>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</si>
  <si>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</si>
  <si>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</si>
  <si>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</si>
  <si>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</si>
  <si>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</si>
  <si>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</si>
  <si>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</si>
  <si>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</si>
  <si>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</si>
  <si>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</si>
  <si>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</si>
  <si>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</si>
  <si>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</si>
  <si>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</si>
  <si>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</si>
  <si>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</si>
  <si>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</si>
  <si>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</si>
  <si>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</si>
  <si>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</si>
  <si>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</si>
  <si>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</si>
  <si>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</si>
  <si>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</si>
  <si>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</si>
  <si>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</si>
  <si>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</si>
  <si>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</si>
  <si>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</si>
  <si>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</si>
  <si>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</si>
  <si>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</si>
  <si>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</si>
  <si>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</si>
  <si>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</si>
  <si>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</si>
  <si>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</si>
  <si>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</si>
  <si>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</si>
  <si>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</si>
  <si>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</si>
  <si>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</si>
  <si>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</si>
  <si>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</si>
  <si>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</si>
  <si>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</si>
  <si>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</si>
  <si>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</si>
  <si>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</si>
  <si>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</si>
  <si>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</si>
  <si>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</si>
  <si>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</si>
  <si>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</si>
  <si>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</si>
  <si>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</si>
  <si>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</si>
  <si>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</si>
  <si>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</si>
  <si>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</si>
  <si>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</si>
  <si>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</si>
  <si>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</si>
  <si>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</si>
  <si>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</si>
  <si>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</si>
  <si>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</si>
  <si>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</si>
  <si>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</si>
  <si>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</si>
  <si>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</si>
  <si>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</si>
  <si>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</si>
  <si>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</si>
  <si>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</si>
  <si>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</si>
  <si>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</si>
  <si>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</si>
  <si>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</si>
  <si>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</si>
  <si>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</si>
  <si>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</si>
  <si>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</si>
  <si>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</si>
  <si>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</si>
  <si>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</si>
  <si>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</si>
  <si>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</si>
  <si>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</si>
  <si>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</si>
  <si>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</si>
  <si>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</si>
  <si>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</si>
  <si>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</si>
  <si>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</si>
  <si>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</si>
  <si>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</si>
  <si>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</si>
  <si>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</si>
  <si>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</si>
  <si>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</si>
  <si>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</si>
  <si>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</si>
  <si>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</si>
  <si>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</si>
  <si>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</si>
  <si>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</si>
  <si>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</si>
  <si>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</si>
  <si>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</si>
  <si>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</si>
  <si>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</si>
  <si>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</si>
  <si>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</si>
  <si>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</si>
  <si>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</si>
  <si>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</si>
  <si>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</si>
  <si>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</si>
  <si>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</si>
  <si>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</si>
  <si>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</si>
  <si>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</si>
  <si>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</si>
  <si>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</si>
  <si>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</si>
  <si>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</si>
  <si>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</si>
  <si>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</si>
  <si>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</si>
  <si>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</si>
  <si>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</si>
  <si>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</si>
  <si>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</si>
  <si>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</si>
  <si>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</si>
  <si>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</si>
  <si>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</si>
  <si>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</si>
  <si>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</si>
  <si>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</si>
  <si>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</si>
  <si>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</si>
  <si>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</si>
  <si>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</si>
  <si>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</si>
  <si>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</si>
  <si>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</si>
  <si>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</si>
  <si>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</si>
  <si>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</si>
  <si>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</si>
  <si>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</si>
  <si>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</si>
  <si>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</si>
  <si>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</si>
  <si>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</si>
  <si>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</si>
  <si>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</si>
  <si>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</si>
  <si>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</si>
  <si>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</si>
  <si>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</si>
  <si>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</si>
  <si>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</si>
  <si>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</si>
  <si>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</si>
  <si>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</si>
  <si>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</si>
  <si>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</si>
  <si>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</si>
  <si>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</si>
  <si>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</si>
  <si>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</si>
  <si>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</si>
  <si>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</si>
  <si>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</si>
  <si>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</si>
  <si>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</si>
  <si>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</si>
  <si>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</si>
  <si>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</si>
  <si>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</si>
  <si>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</si>
  <si>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</si>
  <si>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</si>
  <si>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</si>
  <si>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</si>
  <si>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</si>
  <si>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</si>
  <si>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</si>
  <si>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</si>
  <si>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</si>
  <si>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</si>
  <si>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</si>
  <si>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</si>
  <si>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</si>
  <si>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</si>
  <si>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</si>
  <si>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</si>
  <si>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</si>
  <si>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</si>
  <si>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</si>
  <si>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</si>
  <si>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</si>
  <si>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</si>
  <si>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</si>
  <si>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</si>
  <si>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</si>
  <si>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</si>
  <si>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</si>
  <si>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</si>
  <si>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</si>
  <si>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</si>
  <si>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</si>
  <si>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</si>
  <si>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</si>
  <si>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</si>
  <si>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</si>
  <si>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</si>
  <si>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</si>
  <si>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</si>
  <si>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</si>
  <si>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</si>
  <si>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</si>
  <si>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</si>
  <si>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</si>
  <si>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</si>
  <si>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</si>
  <si>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</si>
  <si>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</si>
  <si>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</si>
  <si>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</si>
  <si>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</si>
  <si>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</si>
  <si>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</si>
  <si>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</si>
  <si>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</si>
  <si>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</si>
  <si>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</si>
  <si>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</si>
  <si>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</si>
  <si>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</si>
  <si>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</si>
  <si>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</si>
  <si>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</si>
  <si>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</si>
  <si>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</si>
  <si>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</si>
  <si>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</si>
  <si>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</si>
  <si>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</si>
  <si>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</si>
  <si>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</si>
  <si>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</si>
  <si>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</si>
  <si>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</si>
  <si>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</si>
  <si>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</si>
  <si>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</si>
  <si>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</si>
  <si>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</si>
  <si>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</si>
  <si>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</si>
  <si>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</si>
  <si>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</si>
  <si>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</si>
  <si>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</si>
  <si>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</si>
  <si>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</si>
  <si>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</si>
  <si>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</si>
  <si>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</si>
  <si>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</si>
  <si>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</si>
  <si>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</si>
  <si>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</si>
  <si>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</si>
  <si>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</si>
  <si>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</si>
  <si>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</si>
  <si>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</si>
  <si>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</si>
  <si>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</si>
  <si>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</si>
  <si>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</si>
  <si>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</si>
  <si>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</si>
  <si>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</si>
  <si>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</si>
  <si>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</si>
  <si>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</si>
  <si>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</si>
  <si>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</si>
  <si>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</si>
  <si>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</si>
  <si>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</si>
  <si>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</si>
  <si>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</si>
  <si>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</si>
  <si>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</si>
  <si>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</si>
  <si>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</si>
  <si>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</si>
  <si>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</si>
  <si>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</si>
  <si>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</si>
  <si>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</si>
  <si>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</si>
  <si>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</si>
  <si>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</si>
  <si>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</si>
  <si>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</si>
  <si>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</si>
  <si>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</si>
  <si>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</si>
  <si>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</si>
  <si>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</si>
  <si>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</si>
  <si>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</si>
  <si>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</si>
  <si>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</si>
  <si>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</si>
  <si>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</si>
  <si>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</si>
  <si>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</si>
  <si>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</si>
  <si>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</si>
  <si>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</si>
  <si>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</si>
  <si>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</si>
  <si>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</si>
  <si>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</si>
  <si>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</si>
  <si>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</si>
  <si>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</si>
  <si>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</si>
  <si>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</si>
  <si>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</si>
  <si>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</si>
  <si>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</si>
  <si>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</si>
  <si>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</si>
  <si>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</si>
  <si>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</si>
  <si>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</si>
  <si>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</si>
  <si>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</si>
  <si>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</si>
  <si>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</si>
  <si>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</si>
  <si>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</si>
  <si>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</si>
  <si>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</si>
  <si>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</si>
  <si>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</si>
  <si>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</si>
  <si>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</si>
  <si>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</si>
  <si>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</si>
  <si>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</si>
  <si>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</si>
  <si>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</si>
  <si>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</si>
  <si>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</si>
  <si>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</si>
  <si>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</si>
  <si>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</si>
  <si>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</si>
  <si>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</si>
  <si>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</si>
  <si>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</si>
  <si>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</si>
  <si>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</si>
  <si>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</si>
  <si>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</si>
  <si>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</si>
  <si>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</si>
  <si>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</si>
  <si>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</si>
  <si>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</si>
  <si>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</si>
  <si>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</si>
  <si>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</si>
  <si>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</si>
  <si>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</si>
  <si>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</si>
  <si>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</si>
  <si>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</si>
  <si>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</si>
  <si>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</si>
  <si>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</si>
  <si>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</si>
  <si>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</si>
  <si>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</si>
  <si>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</si>
  <si>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</si>
  <si>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</si>
  <si>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</si>
  <si>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</si>
  <si>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</si>
  <si>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</si>
  <si>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</si>
  <si>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</si>
  <si>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</si>
  <si>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</si>
  <si>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</si>
  <si>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</si>
  <si>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</si>
  <si>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</si>
  <si>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</si>
  <si>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</si>
  <si>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</si>
  <si>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</si>
  <si>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</si>
  <si>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</si>
  <si>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</si>
  <si>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</si>
  <si>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</si>
  <si>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</si>
  <si>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</si>
  <si>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</si>
  <si>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</si>
  <si>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</si>
  <si>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</si>
  <si>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</si>
  <si>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</si>
  <si>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</si>
  <si>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</si>
  <si>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</si>
  <si>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</si>
  <si>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</si>
  <si>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</si>
  <si>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</si>
  <si>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</si>
  <si>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</si>
  <si>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</si>
  <si>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</si>
  <si>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</si>
  <si>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</si>
  <si>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</si>
  <si>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</si>
  <si>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</si>
  <si>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</si>
  <si>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</si>
  <si>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</si>
  <si>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</si>
  <si>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</si>
  <si>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</si>
  <si>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</si>
  <si>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</si>
  <si>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</si>
  <si>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</si>
  <si>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</si>
  <si>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</si>
  <si>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</si>
  <si>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</si>
  <si>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</si>
  <si>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</si>
  <si>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</si>
  <si>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</si>
  <si>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</si>
  <si>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</si>
  <si>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</si>
  <si>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</si>
  <si>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</si>
  <si>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</si>
  <si>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</si>
  <si>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</si>
  <si>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</si>
  <si>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</si>
  <si>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</si>
  <si>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</si>
  <si>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</si>
  <si>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</si>
  <si>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</si>
  <si>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</si>
  <si>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</si>
  <si>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</si>
  <si>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</si>
  <si>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</si>
  <si>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</si>
  <si>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</si>
  <si>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</si>
  <si>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</si>
  <si>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</si>
  <si>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</si>
  <si>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</si>
  <si>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</si>
  <si>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</si>
  <si>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</si>
  <si>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</si>
  <si>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</si>
  <si>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</si>
  <si>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</si>
  <si>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</si>
  <si>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</si>
  <si>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</si>
  <si>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</si>
  <si>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</si>
  <si>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</si>
  <si>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</si>
  <si>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</si>
  <si>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</si>
  <si>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</si>
  <si>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</si>
  <si>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</si>
  <si>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</si>
  <si>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</si>
  <si>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</si>
  <si>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</si>
  <si>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</si>
  <si>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</si>
  <si>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</si>
  <si>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</si>
  <si>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</si>
  <si>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</si>
  <si>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</si>
  <si>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</si>
  <si>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</si>
  <si>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</si>
  <si>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</si>
  <si>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</si>
  <si>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</si>
  <si>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</si>
  <si>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</si>
  <si>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</si>
  <si>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</si>
  <si>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</si>
  <si>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</si>
  <si>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</si>
  <si>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</si>
  <si>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</si>
  <si>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</si>
  <si>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</si>
  <si>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</si>
  <si>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</si>
  <si>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</si>
  <si>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</si>
  <si>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</si>
  <si>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</si>
  <si>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</si>
  <si>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</si>
  <si>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</si>
  <si>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</si>
  <si>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</si>
  <si>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</si>
  <si>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</si>
  <si>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</si>
  <si>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</si>
  <si>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</si>
  <si>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</si>
  <si>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</si>
  <si>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</si>
  <si>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</si>
  <si>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</si>
  <si>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</si>
  <si>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</si>
  <si>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</si>
  <si>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</si>
  <si>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</si>
  <si>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</si>
  <si>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</si>
  <si>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</si>
  <si>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</si>
  <si>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</si>
  <si>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</si>
  <si>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</si>
  <si>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</si>
  <si>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</si>
  <si>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</si>
  <si>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</si>
  <si>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</si>
  <si>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</si>
  <si>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</si>
  <si>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</si>
  <si>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</si>
  <si>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</si>
  <si>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</si>
  <si>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</si>
  <si>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</si>
  <si>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</si>
  <si>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</si>
  <si>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</si>
  <si>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</si>
  <si>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</si>
  <si>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</si>
  <si>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</si>
  <si>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</si>
  <si>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</si>
  <si>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</si>
  <si>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</si>
  <si>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</si>
  <si>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</si>
  <si>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</si>
  <si>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</si>
  <si>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</si>
  <si>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</si>
  <si>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</si>
  <si>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</si>
  <si>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</si>
  <si>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</si>
  <si>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</si>
  <si>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</si>
  <si>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</si>
  <si>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</si>
  <si>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</si>
  <si>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</si>
  <si>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</si>
  <si>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</si>
  <si>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</si>
  <si>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</si>
  <si>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</si>
  <si>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</si>
  <si>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</si>
  <si>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</si>
  <si>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</si>
  <si>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</si>
  <si>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</si>
  <si>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</si>
  <si>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</si>
  <si>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</si>
  <si>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</si>
  <si>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</si>
  <si>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</si>
  <si>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</si>
  <si>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</si>
  <si>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</si>
  <si>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</si>
  <si>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</si>
  <si>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</si>
  <si>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</si>
  <si>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</si>
  <si>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</si>
  <si>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</si>
  <si>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</si>
  <si>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</si>
  <si>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</si>
  <si>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</si>
  <si>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</si>
  <si>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</si>
  <si>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</si>
  <si>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</si>
  <si>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</si>
  <si>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</si>
  <si>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</si>
  <si>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</si>
  <si>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</si>
  <si>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</si>
  <si>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</si>
  <si>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</si>
  <si>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</si>
  <si>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</si>
  <si>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</si>
  <si>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</si>
  <si>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</si>
  <si>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</si>
  <si>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</si>
  <si>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</si>
  <si>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</si>
  <si>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</si>
  <si>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</si>
  <si>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</si>
  <si>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</si>
  <si>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</si>
  <si>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</si>
  <si>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</si>
  <si>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</si>
  <si>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</si>
  <si>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</si>
  <si>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</si>
  <si>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</si>
  <si>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</si>
  <si>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</si>
  <si>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</si>
  <si>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</si>
  <si>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</si>
  <si>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</si>
  <si>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</si>
  <si>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</si>
  <si>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</si>
  <si>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</si>
  <si>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</si>
  <si>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</si>
  <si>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</si>
  <si>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</si>
  <si>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</si>
  <si>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</si>
  <si>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</si>
  <si>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</si>
  <si>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</si>
  <si>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</si>
  <si>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</si>
  <si>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</si>
  <si>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</si>
  <si>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</si>
  <si>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</si>
  <si>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</si>
  <si>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</si>
  <si>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</si>
  <si>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</si>
  <si>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</si>
  <si>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</si>
  <si>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</si>
  <si>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</si>
  <si>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</si>
  <si>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</si>
  <si>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</si>
  <si>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</si>
  <si>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</si>
  <si>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</si>
  <si>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</si>
  <si>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</si>
  <si>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</si>
  <si>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</si>
  <si>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</si>
  <si>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</si>
  <si>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</si>
  <si>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</si>
  <si>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</si>
  <si>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</si>
  <si>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</si>
  <si>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</si>
  <si>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</si>
  <si>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</si>
  <si>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</si>
  <si>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</si>
  <si>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</si>
  <si>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</si>
  <si>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</si>
  <si>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</si>
  <si>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</si>
  <si>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</si>
  <si>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</si>
  <si>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</si>
  <si>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</si>
  <si>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</si>
  <si>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</si>
  <si>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</si>
  <si>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</si>
  <si>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</si>
  <si>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</si>
  <si>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</si>
  <si>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</si>
  <si>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</si>
  <si>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</si>
  <si>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</si>
  <si>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</si>
  <si>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</si>
  <si>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</si>
  <si>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</si>
  <si>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</si>
  <si>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</si>
  <si>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</si>
  <si>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</si>
  <si>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</si>
  <si>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</si>
  <si>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</si>
  <si>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</si>
  <si>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</si>
  <si>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</si>
  <si>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</si>
  <si>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</si>
  <si>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</si>
  <si>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</si>
  <si>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</si>
  <si>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</si>
  <si>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</si>
  <si>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</si>
  <si>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</si>
  <si>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</si>
  <si>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</si>
  <si>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</si>
  <si>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</si>
  <si>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</si>
  <si>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</si>
  <si>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</si>
  <si>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</si>
  <si>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</si>
  <si>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</si>
  <si>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</si>
  <si>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</si>
  <si>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</si>
  <si>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</si>
  <si>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</si>
  <si>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</si>
  <si>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</si>
  <si>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</si>
  <si>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</si>
  <si>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</si>
  <si>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</si>
  <si>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</si>
  <si>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</si>
  <si>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</si>
  <si>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</si>
  <si>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</si>
  <si>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</si>
  <si>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</si>
  <si>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</si>
  <si>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</si>
  <si>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</si>
  <si>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</si>
  <si>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</si>
  <si>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</si>
  <si>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</si>
  <si>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</si>
  <si>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</si>
  <si>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</si>
  <si>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</si>
  <si>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</si>
  <si>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</si>
  <si>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</si>
  <si>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</si>
  <si>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</si>
  <si>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</si>
  <si>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</si>
  <si>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</si>
  <si>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</si>
  <si>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</si>
  <si>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</si>
  <si>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</si>
  <si>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</si>
  <si>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</si>
  <si>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</si>
  <si>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</si>
  <si>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</si>
  <si>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</si>
  <si>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</si>
  <si>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</si>
  <si>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</si>
  <si>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</si>
  <si>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</si>
  <si>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</si>
  <si>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</si>
  <si>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</si>
  <si>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</si>
  <si>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</si>
  <si>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</si>
  <si>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</si>
  <si>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</si>
  <si>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</si>
  <si>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</si>
  <si>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</si>
  <si>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</si>
  <si>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</si>
  <si>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</si>
  <si>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</si>
  <si>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</si>
  <si>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</si>
  <si>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</si>
  <si>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</si>
  <si>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</si>
  <si>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</si>
  <si>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</si>
  <si>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</si>
  <si>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</si>
  <si>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</si>
  <si>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</si>
  <si>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</si>
  <si>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</si>
  <si>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</si>
  <si>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</si>
  <si>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</si>
  <si>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</si>
  <si>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</si>
  <si>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</si>
  <si>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</si>
  <si>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</si>
  <si>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</si>
  <si>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</si>
  <si>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</si>
  <si>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</si>
  <si>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</si>
  <si>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</si>
  <si>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</si>
  <si>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</si>
  <si>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</si>
  <si>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</si>
  <si>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</si>
  <si>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</si>
  <si>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</si>
  <si>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</si>
  <si>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</si>
  <si>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</si>
  <si>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</si>
  <si>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</si>
  <si>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</si>
  <si>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</si>
  <si>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</si>
  <si>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</si>
  <si>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</si>
  <si>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</si>
  <si>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</si>
  <si>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</si>
  <si>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</si>
  <si>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</si>
  <si>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</si>
  <si>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</si>
  <si>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</si>
  <si>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</si>
  <si>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</si>
  <si>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</si>
  <si>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</si>
  <si>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</si>
  <si>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</si>
  <si>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</si>
  <si>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</si>
  <si>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</si>
  <si>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</si>
  <si>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</si>
  <si>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</si>
  <si>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</si>
  <si>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</si>
  <si>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</si>
  <si>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</si>
  <si>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</si>
  <si>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</si>
  <si>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</si>
  <si>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</si>
  <si>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</si>
  <si>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</si>
  <si>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</si>
  <si>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</si>
  <si>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</si>
  <si>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</si>
  <si>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</si>
  <si>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</si>
  <si>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</si>
  <si>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</si>
  <si>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</si>
  <si>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</si>
  <si>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</si>
  <si>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</si>
  <si>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</si>
  <si>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</si>
  <si>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</si>
  <si>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</si>
  <si>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</si>
  <si>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</si>
  <si>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</si>
  <si>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</si>
  <si>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</si>
  <si>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</si>
  <si>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</si>
  <si>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</si>
  <si>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</si>
  <si>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</si>
  <si>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</si>
  <si>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</si>
  <si>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</si>
  <si>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</si>
  <si>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</si>
  <si>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</si>
  <si>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</si>
  <si>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</si>
  <si>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</si>
  <si>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</si>
  <si>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</si>
  <si>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</si>
  <si>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</si>
  <si>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</si>
  <si>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</si>
  <si>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</si>
  <si>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</si>
  <si>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</si>
  <si>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</si>
  <si>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</si>
  <si>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</si>
  <si>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</si>
  <si>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</si>
  <si>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</si>
  <si>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</si>
  <si>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</si>
  <si>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</si>
  <si>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</si>
  <si>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</si>
  <si>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</si>
  <si>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</si>
  <si>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</si>
  <si>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</si>
  <si>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</si>
  <si>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</si>
  <si>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</si>
  <si>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</si>
  <si>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</si>
  <si>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</si>
  <si>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</si>
  <si>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</si>
  <si>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</si>
  <si>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</si>
  <si>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</si>
  <si>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</si>
  <si>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</si>
  <si>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</si>
  <si>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</si>
  <si>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</si>
  <si>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</si>
  <si>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</si>
  <si>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</si>
  <si>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</si>
  <si>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</si>
  <si>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</si>
  <si>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</si>
  <si>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</si>
  <si>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</si>
  <si>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</si>
  <si>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</si>
  <si>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</si>
  <si>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</si>
  <si>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</si>
  <si>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</si>
  <si>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</si>
  <si>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</si>
  <si>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</si>
  <si>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</si>
  <si>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</si>
  <si>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</si>
  <si>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</si>
  <si>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</si>
  <si>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</si>
  <si>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</si>
  <si>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</si>
  <si>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</si>
  <si>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</si>
  <si>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</si>
  <si>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</si>
  <si>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</si>
  <si>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</si>
  <si>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</si>
  <si>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</si>
  <si>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</si>
  <si>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</si>
  <si>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</si>
  <si>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</si>
  <si>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</si>
  <si>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</si>
  <si>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</si>
  <si>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</si>
  <si>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</si>
  <si>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</si>
  <si>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</si>
  <si>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</si>
  <si>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</si>
  <si>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</si>
  <si>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</si>
  <si>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</si>
  <si>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</si>
  <si>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</si>
  <si>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</si>
  <si>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</si>
  <si>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</si>
  <si>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</si>
  <si>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</si>
  <si>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</si>
  <si>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</si>
  <si>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</si>
  <si>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</si>
  <si>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</si>
  <si>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</si>
  <si>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</si>
  <si>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</si>
  <si>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</si>
  <si>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</si>
  <si>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</si>
  <si>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</si>
  <si>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</si>
  <si>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</si>
  <si>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</si>
  <si>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</si>
  <si>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</si>
  <si>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</si>
  <si>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</si>
  <si>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</si>
  <si>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</si>
  <si>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</si>
  <si>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</si>
  <si>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</si>
  <si>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</si>
  <si>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</si>
  <si>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</si>
  <si>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</si>
  <si>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</si>
  <si>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</si>
  <si>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</si>
  <si>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</si>
  <si>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</si>
  <si>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</si>
  <si>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</si>
  <si>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</si>
  <si>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</si>
  <si>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</si>
  <si>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</si>
  <si>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</si>
  <si>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</si>
  <si>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</si>
  <si>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</si>
  <si>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</si>
  <si>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</si>
  <si>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</si>
  <si>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</si>
  <si>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</si>
  <si>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</si>
  <si>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</si>
  <si>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</si>
  <si>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</si>
  <si>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</si>
  <si>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</si>
  <si>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</si>
  <si>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</si>
  <si>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</si>
  <si>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</si>
  <si>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</si>
  <si>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</si>
  <si>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</si>
  <si>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</si>
  <si>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</si>
  <si>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</si>
  <si>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</si>
  <si>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</si>
  <si>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</si>
  <si>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</si>
  <si>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</si>
  <si>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</si>
  <si>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</si>
  <si>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</si>
  <si>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</si>
  <si>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</si>
  <si>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</si>
  <si>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</si>
  <si>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</si>
  <si>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</si>
  <si>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</si>
  <si>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</si>
  <si>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</si>
  <si>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</si>
  <si>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</si>
  <si>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</si>
  <si>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</si>
  <si>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</si>
  <si>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</si>
  <si>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</si>
  <si>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</si>
  <si>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</si>
  <si>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</si>
  <si>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</si>
  <si>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</si>
  <si>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</si>
  <si>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</si>
  <si>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</si>
  <si>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</si>
  <si>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</si>
  <si>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</si>
  <si>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</si>
  <si>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</si>
  <si>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</si>
  <si>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</si>
  <si>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</si>
  <si>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</si>
  <si>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</si>
  <si>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</si>
  <si>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</si>
  <si>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</si>
  <si>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</si>
  <si>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</si>
  <si>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</si>
  <si>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</si>
  <si>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</si>
  <si>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</si>
  <si>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</si>
  <si>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</si>
  <si>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</si>
  <si>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</si>
  <si>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</si>
  <si>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</si>
  <si>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</si>
  <si>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</si>
  <si>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</si>
  <si>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</si>
  <si>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</si>
  <si>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</si>
  <si>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</si>
  <si>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</si>
  <si>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</si>
  <si>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</si>
  <si>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</si>
  <si>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</si>
  <si>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</si>
  <si>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</si>
  <si>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</si>
  <si>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</si>
  <si>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</si>
  <si>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</si>
  <si>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</si>
  <si>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</si>
  <si>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</si>
  <si>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</si>
  <si>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</si>
  <si>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</si>
  <si>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</si>
  <si>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</si>
  <si>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</si>
  <si>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</si>
  <si>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</si>
  <si>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</si>
  <si>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</si>
  <si>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</si>
  <si>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</si>
  <si>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</si>
  <si>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</si>
  <si>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</si>
  <si>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</si>
  <si>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</si>
  <si>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</si>
  <si>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</si>
  <si>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</si>
  <si>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</si>
  <si>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</si>
  <si>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</si>
  <si>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</si>
  <si>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</si>
  <si>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</si>
  <si>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</si>
  <si>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</si>
  <si>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</si>
  <si>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</si>
  <si>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</si>
  <si>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</si>
  <si>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</si>
  <si>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</si>
  <si>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</si>
  <si>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</si>
  <si>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</si>
  <si>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</si>
  <si>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</si>
  <si>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</si>
  <si>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</si>
  <si>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</si>
  <si>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</si>
  <si>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</si>
  <si>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</si>
  <si>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</si>
  <si>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</si>
  <si>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</si>
  <si>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</si>
  <si>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</si>
  <si>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</si>
  <si>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</si>
  <si>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</si>
  <si>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</si>
  <si>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</si>
  <si>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</si>
  <si>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</si>
  <si>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</si>
  <si>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</si>
  <si>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</si>
  <si>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</si>
  <si>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</si>
  <si>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</si>
  <si>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</si>
  <si>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</si>
  <si>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</si>
  <si>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</si>
  <si>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</si>
  <si>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</si>
  <si>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</si>
  <si>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</si>
  <si>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</si>
  <si>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</si>
  <si>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</si>
  <si>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</si>
  <si>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</si>
  <si>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</si>
  <si>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</si>
  <si>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</si>
  <si>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</si>
  <si>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</si>
  <si>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</si>
  <si>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</si>
  <si>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</si>
  <si>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</si>
  <si>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</si>
  <si>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</si>
  <si>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</si>
  <si>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</si>
  <si>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</si>
  <si>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</si>
  <si>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</si>
  <si>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</si>
  <si>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</si>
  <si>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</si>
  <si>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</si>
  <si>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</si>
  <si>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</si>
  <si>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</si>
  <si>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</si>
  <si>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</si>
  <si>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</si>
  <si>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</si>
  <si>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</si>
  <si>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</si>
  <si>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</si>
  <si>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</si>
  <si>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</si>
  <si>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</si>
  <si>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</si>
  <si>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</si>
  <si>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</si>
  <si>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</si>
  <si>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</si>
  <si>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</si>
  <si>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</si>
  <si>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</si>
  <si>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</si>
  <si>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</si>
  <si>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</si>
  <si>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</si>
  <si>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</si>
  <si>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</si>
  <si>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</si>
  <si>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</si>
  <si>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</si>
  <si>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</si>
  <si>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</si>
  <si>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</si>
  <si>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</si>
  <si>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</si>
  <si>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</si>
  <si>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</si>
  <si>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</si>
  <si>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</si>
  <si>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</si>
  <si>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</si>
  <si>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</si>
  <si>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</si>
  <si>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</si>
  <si>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</si>
  <si>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</si>
  <si>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</si>
  <si>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</si>
  <si>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</si>
  <si>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</si>
  <si>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</si>
  <si>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</si>
  <si>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</si>
  <si>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</si>
  <si>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</si>
  <si>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</si>
  <si>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</si>
  <si>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</si>
  <si>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</si>
  <si>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</si>
  <si>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</si>
  <si>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</si>
  <si>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</si>
  <si>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</si>
  <si>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</si>
  <si>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</si>
  <si>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</si>
  <si>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</si>
  <si>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</si>
  <si>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</si>
  <si>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</si>
  <si>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</si>
  <si>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</si>
  <si>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</si>
  <si>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</si>
  <si>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</si>
  <si>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</si>
  <si>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</si>
  <si>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</si>
  <si>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</si>
  <si>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</si>
  <si>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</si>
  <si>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</si>
  <si>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</si>
  <si>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</si>
  <si>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</si>
  <si>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</si>
  <si>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</si>
  <si>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</si>
  <si>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</si>
  <si>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</si>
  <si>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</si>
  <si>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</si>
  <si>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</si>
  <si>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</si>
  <si>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</si>
  <si>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</si>
  <si>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</si>
  <si>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</si>
  <si>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</si>
  <si>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</si>
  <si>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</si>
  <si>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</si>
  <si>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</si>
  <si>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</si>
  <si>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</si>
  <si>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</si>
  <si>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</si>
  <si>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</si>
  <si>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</si>
  <si>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</si>
  <si>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</si>
  <si>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</si>
  <si>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</si>
  <si>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</si>
  <si>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</si>
  <si>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</si>
  <si>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</si>
  <si>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</si>
  <si>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</si>
  <si>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</si>
  <si>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</si>
  <si>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</si>
  <si>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</si>
  <si>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</si>
  <si>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</si>
  <si>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</si>
  <si>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</si>
  <si>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</si>
  <si>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</si>
  <si>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</si>
  <si>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</si>
  <si>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</si>
  <si>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</si>
  <si>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</si>
  <si>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</si>
  <si>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</si>
  <si>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</si>
  <si>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</si>
  <si>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</si>
  <si>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</si>
  <si>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</si>
  <si>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</si>
  <si>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</si>
  <si>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</si>
  <si>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</si>
  <si>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</si>
  <si>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</si>
  <si>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</si>
  <si>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</si>
  <si>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</si>
  <si>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</si>
  <si>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</si>
  <si>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</si>
  <si>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</si>
  <si>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</si>
  <si>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</si>
  <si>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</si>
  <si>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</si>
  <si>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</si>
  <si>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</si>
  <si>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</si>
  <si>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</si>
  <si>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</si>
  <si>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</si>
  <si>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</si>
  <si>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</si>
  <si>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</si>
  <si>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</si>
  <si>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</si>
  <si>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</si>
  <si>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</si>
  <si>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</si>
  <si>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</si>
  <si>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</si>
  <si>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</si>
  <si>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01010101</t>
  </si>
  <si>
    <t>01010103</t>
  </si>
  <si>
    <t>01010201</t>
  </si>
  <si>
    <t>01010203</t>
  </si>
  <si>
    <t>01501050</t>
  </si>
  <si>
    <t>01501060</t>
  </si>
  <si>
    <t>01501070</t>
  </si>
  <si>
    <t>01501080</t>
  </si>
  <si>
    <t>01110106</t>
  </si>
  <si>
    <t>01110107</t>
  </si>
  <si>
    <t>01080030</t>
  </si>
  <si>
    <t>01080040</t>
  </si>
  <si>
    <t>01501090</t>
  </si>
  <si>
    <t>01502000</t>
  </si>
  <si>
    <t>01502010</t>
  </si>
  <si>
    <t>01502020</t>
  </si>
  <si>
    <t>01010601</t>
  </si>
  <si>
    <t>01010603</t>
  </si>
  <si>
    <t>01010901</t>
  </si>
  <si>
    <t>01010903</t>
  </si>
  <si>
    <t>01010401</t>
  </si>
  <si>
    <t>01010403</t>
  </si>
  <si>
    <t>02010101</t>
  </si>
  <si>
    <t>02010201</t>
  </si>
  <si>
    <t>02010103</t>
  </si>
  <si>
    <t>02010105</t>
  </si>
  <si>
    <t>03010501</t>
  </si>
  <si>
    <t>03010502</t>
  </si>
  <si>
    <t>03010504</t>
  </si>
  <si>
    <t>03010505</t>
  </si>
  <si>
    <t>01030100A</t>
  </si>
  <si>
    <t>01030200B</t>
  </si>
  <si>
    <t>09600204</t>
  </si>
  <si>
    <t>01030300C</t>
  </si>
  <si>
    <t>01030400D</t>
  </si>
  <si>
    <t>09600205</t>
  </si>
  <si>
    <t>01200010</t>
  </si>
  <si>
    <t>01200020</t>
  </si>
  <si>
    <t>01200030</t>
  </si>
  <si>
    <t>03030140</t>
  </si>
  <si>
    <t>03030150</t>
  </si>
  <si>
    <t>03030170</t>
  </si>
  <si>
    <t>03030160</t>
  </si>
  <si>
    <t>03030180</t>
  </si>
  <si>
    <t>09600206</t>
  </si>
  <si>
    <t>01200031</t>
  </si>
  <si>
    <t>01200032</t>
  </si>
  <si>
    <t>01200033</t>
  </si>
  <si>
    <t>01200034</t>
  </si>
  <si>
    <t>01030500</t>
  </si>
  <si>
    <t>01030600</t>
  </si>
  <si>
    <t>01030700</t>
  </si>
  <si>
    <t>01030800</t>
  </si>
  <si>
    <t>01031000</t>
  </si>
  <si>
    <t>01031100</t>
  </si>
  <si>
    <t>01031200</t>
  </si>
  <si>
    <t>01031300</t>
  </si>
  <si>
    <t>01031400</t>
  </si>
  <si>
    <t>01502041</t>
  </si>
  <si>
    <t>01501010</t>
  </si>
  <si>
    <t>01501020</t>
  </si>
  <si>
    <t>01501030</t>
  </si>
  <si>
    <t>01502030</t>
  </si>
  <si>
    <t>01502040</t>
  </si>
  <si>
    <t>01501040</t>
  </si>
  <si>
    <t>01610010</t>
  </si>
  <si>
    <t>01610011</t>
  </si>
  <si>
    <t>01610012</t>
  </si>
  <si>
    <t>01610013</t>
  </si>
  <si>
    <t>01610014</t>
  </si>
  <si>
    <t>01610015</t>
  </si>
  <si>
    <t>01610016</t>
  </si>
  <si>
    <t>01610017</t>
  </si>
  <si>
    <t>01610018</t>
  </si>
  <si>
    <t>01610019</t>
  </si>
  <si>
    <t>01610020</t>
  </si>
  <si>
    <t>01610021</t>
  </si>
  <si>
    <t>01610022</t>
  </si>
  <si>
    <t>01610023</t>
  </si>
  <si>
    <t>01610024</t>
  </si>
  <si>
    <t>01610025</t>
  </si>
  <si>
    <t>01610026</t>
  </si>
  <si>
    <t>01610027</t>
  </si>
  <si>
    <t>01610028</t>
  </si>
  <si>
    <t>01610029</t>
  </si>
  <si>
    <t>01610030</t>
  </si>
  <si>
    <t>01610031</t>
  </si>
  <si>
    <t>01610032</t>
  </si>
  <si>
    <t>01610033</t>
  </si>
  <si>
    <t>01610034</t>
  </si>
  <si>
    <t>01610035</t>
  </si>
  <si>
    <t>01610036</t>
  </si>
  <si>
    <t>01610037</t>
  </si>
  <si>
    <t>01610038</t>
  </si>
  <si>
    <t>01610039</t>
  </si>
  <si>
    <t>01610040</t>
  </si>
  <si>
    <t>01610041</t>
  </si>
  <si>
    <t>01610042</t>
  </si>
  <si>
    <t>01610043</t>
  </si>
  <si>
    <t>01610044</t>
  </si>
  <si>
    <t>01610045</t>
  </si>
  <si>
    <t>01610046</t>
  </si>
  <si>
    <t>01610047</t>
  </si>
  <si>
    <t>01610048</t>
  </si>
  <si>
    <t>01610049</t>
  </si>
  <si>
    <t>01610050</t>
  </si>
  <si>
    <t>01610051</t>
  </si>
  <si>
    <t>01610052</t>
  </si>
  <si>
    <t>01610053</t>
  </si>
  <si>
    <t>01610054</t>
  </si>
  <si>
    <t>01610055</t>
  </si>
  <si>
    <t>01610056</t>
  </si>
  <si>
    <t>01610057</t>
  </si>
  <si>
    <t>01610058</t>
  </si>
  <si>
    <t>01610059</t>
  </si>
  <si>
    <t>01610060</t>
  </si>
  <si>
    <t>01610061</t>
  </si>
  <si>
    <t>01610062</t>
  </si>
  <si>
    <t>01610063</t>
  </si>
  <si>
    <t>01610064</t>
  </si>
  <si>
    <t>01610065</t>
  </si>
  <si>
    <t>01610066</t>
  </si>
  <si>
    <t>01610067</t>
  </si>
  <si>
    <t>01610068</t>
  </si>
  <si>
    <t>01610069</t>
  </si>
  <si>
    <t>01610070</t>
  </si>
  <si>
    <t>01610071</t>
  </si>
  <si>
    <t>01610072</t>
  </si>
  <si>
    <t>01610073</t>
  </si>
  <si>
    <t>01610074</t>
  </si>
  <si>
    <t>01610075</t>
  </si>
  <si>
    <t>01610076</t>
  </si>
  <si>
    <t>01610077</t>
  </si>
  <si>
    <t>01610078</t>
  </si>
  <si>
    <t>01610079</t>
  </si>
  <si>
    <t>01610080</t>
  </si>
  <si>
    <t>01610081</t>
  </si>
  <si>
    <t>CODIGOS NUEVOS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</si>
  <si>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</si>
  <si>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</si>
  <si>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</si>
  <si>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</si>
  <si>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</si>
  <si>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</si>
  <si>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</si>
  <si>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</si>
  <si>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</si>
  <si>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</si>
  <si>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</si>
  <si>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</si>
  <si>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</si>
  <si>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</si>
  <si>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</si>
  <si>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</si>
  <si>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</si>
  <si>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</si>
  <si>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</si>
  <si>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</si>
  <si>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</si>
  <si>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</si>
  <si>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</si>
  <si>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</si>
  <si>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</si>
  <si>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</si>
  <si>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</si>
  <si>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</si>
  <si>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</si>
  <si>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</si>
  <si>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</si>
  <si>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</si>
  <si>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</si>
  <si>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</si>
  <si>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</si>
  <si>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</si>
  <si>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</si>
  <si>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</si>
  <si>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</si>
  <si>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</si>
  <si>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03030101</t>
  </si>
  <si>
    <t>03030102</t>
  </si>
  <si>
    <t>03030103</t>
  </si>
  <si>
    <t>03030104</t>
  </si>
  <si>
    <t>03030350</t>
  </si>
  <si>
    <t>03030110</t>
  </si>
  <si>
    <t>03030330</t>
  </si>
  <si>
    <t>03030340</t>
  </si>
  <si>
    <t>03030120</t>
  </si>
  <si>
    <t>03030130</t>
  </si>
  <si>
    <t>02200010</t>
  </si>
  <si>
    <t>02200020</t>
  </si>
  <si>
    <t>02200030</t>
  </si>
  <si>
    <t>02200040</t>
  </si>
  <si>
    <t>02021730</t>
  </si>
  <si>
    <t>03500020</t>
  </si>
  <si>
    <t>03500030</t>
  </si>
  <si>
    <t>02021740</t>
  </si>
  <si>
    <t>02010320</t>
  </si>
  <si>
    <t>05225303</t>
  </si>
  <si>
    <t>02010321</t>
  </si>
  <si>
    <t>02010322</t>
  </si>
  <si>
    <t>05225304</t>
  </si>
  <si>
    <t>02010420</t>
  </si>
  <si>
    <t>05225305</t>
  </si>
  <si>
    <t>03500366</t>
  </si>
  <si>
    <t>03500400</t>
  </si>
  <si>
    <t>03500401</t>
  </si>
  <si>
    <t>05225306</t>
  </si>
  <si>
    <t>02010421</t>
  </si>
  <si>
    <t>03600110</t>
  </si>
  <si>
    <t>02010422</t>
  </si>
  <si>
    <t>03600120</t>
  </si>
  <si>
    <t>03600130</t>
  </si>
  <si>
    <t>03500331</t>
  </si>
  <si>
    <t>03500332</t>
  </si>
  <si>
    <t>03500333</t>
  </si>
  <si>
    <t>03500334</t>
  </si>
  <si>
    <t>03500335</t>
  </si>
  <si>
    <t>02021790</t>
  </si>
  <si>
    <t>02021810</t>
  </si>
  <si>
    <t>02021820</t>
  </si>
  <si>
    <t>03700101</t>
  </si>
  <si>
    <t>03500040</t>
  </si>
  <si>
    <t>03500050</t>
  </si>
  <si>
    <t>03500060</t>
  </si>
  <si>
    <t>A0200002</t>
  </si>
  <si>
    <t>03500359</t>
  </si>
  <si>
    <t>03500360</t>
  </si>
  <si>
    <t>A0200003</t>
  </si>
  <si>
    <t>03600140</t>
  </si>
  <si>
    <t>03600150</t>
  </si>
  <si>
    <t>A0200001</t>
  </si>
  <si>
    <t>09600207</t>
  </si>
  <si>
    <t>09600208</t>
  </si>
  <si>
    <t>09600209</t>
  </si>
  <si>
    <t>03500120</t>
  </si>
  <si>
    <t>03500130</t>
  </si>
  <si>
    <t>03500140</t>
  </si>
  <si>
    <t>03500150</t>
  </si>
  <si>
    <t>02021830</t>
  </si>
  <si>
    <t>03600160</t>
  </si>
  <si>
    <t>03500160</t>
  </si>
  <si>
    <t>03500170</t>
  </si>
  <si>
    <t>03500200</t>
  </si>
  <si>
    <t>03500210</t>
  </si>
  <si>
    <t>03050400</t>
  </si>
  <si>
    <t>03050500</t>
  </si>
  <si>
    <t>03050600</t>
  </si>
  <si>
    <t>03050700</t>
  </si>
  <si>
    <t>03050710</t>
  </si>
  <si>
    <t>03500346</t>
  </si>
  <si>
    <t>03500347</t>
  </si>
  <si>
    <t>03500402</t>
  </si>
  <si>
    <t>03500348</t>
  </si>
  <si>
    <t>03600100</t>
  </si>
  <si>
    <t>03710010</t>
  </si>
  <si>
    <t>03500367</t>
  </si>
  <si>
    <t>03500349</t>
  </si>
  <si>
    <t>03500290</t>
  </si>
  <si>
    <t>03500300</t>
  </si>
  <si>
    <t>03051000A</t>
  </si>
  <si>
    <t>03051100</t>
  </si>
  <si>
    <t>03051200</t>
  </si>
  <si>
    <t>03051300</t>
  </si>
  <si>
    <t>03051400</t>
  </si>
  <si>
    <t>03051500</t>
  </si>
  <si>
    <t>03051600</t>
  </si>
  <si>
    <t>03051700</t>
  </si>
  <si>
    <t>03051800</t>
  </si>
  <si>
    <t>03051900</t>
  </si>
  <si>
    <t>03052000</t>
  </si>
  <si>
    <t>03052100</t>
  </si>
  <si>
    <t>03052200</t>
  </si>
  <si>
    <t>03052300</t>
  </si>
  <si>
    <t>03052400</t>
  </si>
  <si>
    <t>03052500</t>
  </si>
  <si>
    <t>03052600</t>
  </si>
  <si>
    <t>03052700</t>
  </si>
  <si>
    <t>03052800</t>
  </si>
  <si>
    <t>03052900</t>
  </si>
  <si>
    <t>03053000</t>
  </si>
  <si>
    <t>03053100</t>
  </si>
  <si>
    <t>03053200</t>
  </si>
  <si>
    <t>03053300</t>
  </si>
  <si>
    <t>03053400</t>
  </si>
  <si>
    <t>03053500</t>
  </si>
  <si>
    <t>03053600</t>
  </si>
  <si>
    <t>03053700</t>
  </si>
  <si>
    <t>03053800</t>
  </si>
  <si>
    <t>03053900</t>
  </si>
  <si>
    <t>03500368</t>
  </si>
  <si>
    <t>03500369</t>
  </si>
  <si>
    <t>03500370</t>
  </si>
  <si>
    <t>03500371</t>
  </si>
  <si>
    <t>03500372</t>
  </si>
  <si>
    <t>03500373</t>
  </si>
  <si>
    <t>03500350</t>
  </si>
  <si>
    <t>03500351</t>
  </si>
  <si>
    <t>03500352</t>
  </si>
  <si>
    <t>03500353</t>
  </si>
  <si>
    <t>03500354</t>
  </si>
  <si>
    <t>03500355</t>
  </si>
  <si>
    <t>03500356</t>
  </si>
  <si>
    <t>03500357</t>
  </si>
  <si>
    <t>03500358</t>
  </si>
  <si>
    <t>03500361</t>
  </si>
  <si>
    <t>03500362</t>
  </si>
  <si>
    <t>03710011</t>
  </si>
  <si>
    <t>03710012</t>
  </si>
  <si>
    <t>03500364</t>
  </si>
  <si>
    <t>03500365</t>
  </si>
  <si>
    <t>03500403</t>
  </si>
  <si>
    <t>03700102</t>
  </si>
  <si>
    <t>03700103</t>
  </si>
  <si>
    <t>03710013</t>
  </si>
  <si>
    <t>03710014</t>
  </si>
  <si>
    <t>03710015</t>
  </si>
  <si>
    <t>03710016</t>
  </si>
  <si>
    <t>03710017</t>
  </si>
  <si>
    <t>03710018</t>
  </si>
  <si>
    <t>03710019</t>
  </si>
  <si>
    <t>03710020</t>
  </si>
  <si>
    <t>03710021</t>
  </si>
  <si>
    <t>03600180</t>
  </si>
  <si>
    <t>03600190</t>
  </si>
  <si>
    <t>03600210</t>
  </si>
  <si>
    <t>03600220</t>
  </si>
  <si>
    <t>03600230</t>
  </si>
  <si>
    <t>09600220</t>
  </si>
  <si>
    <t>09600221</t>
  </si>
  <si>
    <t>09600222</t>
  </si>
  <si>
    <t>09600223</t>
  </si>
  <si>
    <t>09600224</t>
  </si>
  <si>
    <t>09600225</t>
  </si>
  <si>
    <t>09600226</t>
  </si>
  <si>
    <t>09600227</t>
  </si>
  <si>
    <t>09600228</t>
  </si>
  <si>
    <t>09600229</t>
  </si>
  <si>
    <t>09600230</t>
  </si>
  <si>
    <t>09600231</t>
  </si>
  <si>
    <t>09600232</t>
  </si>
  <si>
    <t>09600233</t>
  </si>
  <si>
    <t>09600234</t>
  </si>
  <si>
    <t>09600235</t>
  </si>
  <si>
    <t>03710022</t>
  </si>
  <si>
    <t>03710023</t>
  </si>
  <si>
    <t>03710024</t>
  </si>
  <si>
    <t>03710025</t>
  </si>
  <si>
    <t>03710026</t>
  </si>
  <si>
    <t>CODIGOS ELIMINADOS</t>
  </si>
  <si>
    <t>03500336</t>
  </si>
  <si>
    <t>03500337</t>
  </si>
  <si>
    <t>03500338</t>
  </si>
  <si>
    <t>03500339</t>
  </si>
  <si>
    <t>03500340</t>
  </si>
  <si>
    <t>03500341</t>
  </si>
  <si>
    <t>03500342</t>
  </si>
  <si>
    <t>03500343</t>
  </si>
  <si>
    <t>03500344</t>
  </si>
  <si>
    <t>03500345</t>
  </si>
  <si>
    <t>03500404</t>
  </si>
  <si>
    <t>03500405</t>
  </si>
  <si>
    <t>09600212</t>
  </si>
  <si>
    <t>09600213</t>
  </si>
  <si>
    <t>09600214</t>
  </si>
  <si>
    <t>09600215</t>
  </si>
  <si>
    <t>09600216</t>
  </si>
  <si>
    <t>09600218</t>
  </si>
  <si>
    <t>09600219</t>
  </si>
  <si>
    <t>03700104</t>
  </si>
  <si>
    <t>03700105</t>
  </si>
  <si>
    <t>03700106</t>
  </si>
  <si>
    <t>03700107</t>
  </si>
  <si>
    <t>03700108</t>
  </si>
  <si>
    <t>03700109</t>
  </si>
  <si>
    <t>03020101</t>
  </si>
  <si>
    <t>03020201</t>
  </si>
  <si>
    <t>03020301</t>
  </si>
  <si>
    <t>03020402</t>
  </si>
  <si>
    <t>03020403</t>
  </si>
  <si>
    <t>03020401</t>
  </si>
  <si>
    <t>03040210</t>
  </si>
  <si>
    <t>03040220</t>
  </si>
  <si>
    <t>04040100</t>
  </si>
  <si>
    <t>04025010</t>
  </si>
  <si>
    <t>04025020</t>
  </si>
  <si>
    <t>04025025</t>
  </si>
  <si>
    <t>04040427</t>
  </si>
  <si>
    <t>03020501</t>
  </si>
  <si>
    <t>03020702</t>
  </si>
  <si>
    <t>04025030</t>
  </si>
  <si>
    <t>04110010</t>
  </si>
  <si>
    <t>04025040</t>
  </si>
  <si>
    <t>04040200</t>
  </si>
  <si>
    <t>04025050</t>
  </si>
  <si>
    <t>04050100</t>
  </si>
  <si>
    <t>09600278</t>
  </si>
  <si>
    <t>03020604</t>
  </si>
  <si>
    <t>04050110</t>
  </si>
  <si>
    <t>04050120</t>
  </si>
  <si>
    <t>03020908</t>
  </si>
  <si>
    <t>03030250</t>
  </si>
  <si>
    <t>03030270</t>
  </si>
  <si>
    <t>03030280</t>
  </si>
  <si>
    <t>03020806</t>
  </si>
  <si>
    <t>04070100</t>
  </si>
  <si>
    <t>04110011</t>
  </si>
  <si>
    <t>01080003</t>
  </si>
  <si>
    <t>01080004</t>
  </si>
  <si>
    <t>04021101</t>
  </si>
  <si>
    <t>04021103</t>
  </si>
  <si>
    <t>04021102</t>
  </si>
  <si>
    <t>04021104</t>
  </si>
  <si>
    <t>03030290</t>
  </si>
  <si>
    <t>04040400</t>
  </si>
  <si>
    <t>04110012</t>
  </si>
  <si>
    <t>04110013</t>
  </si>
  <si>
    <t>04050130</t>
  </si>
  <si>
    <t>04040402</t>
  </si>
  <si>
    <t>04025073</t>
  </si>
  <si>
    <t>04040407</t>
  </si>
  <si>
    <t>04050140</t>
  </si>
  <si>
    <t>04050150</t>
  </si>
  <si>
    <t>04050160</t>
  </si>
  <si>
    <t>04050170</t>
  </si>
  <si>
    <t>04050180</t>
  </si>
  <si>
    <t>04040409</t>
  </si>
  <si>
    <t>04050190</t>
  </si>
  <si>
    <t>04050200</t>
  </si>
  <si>
    <t>04110014</t>
  </si>
  <si>
    <t>04110015</t>
  </si>
  <si>
    <t>04110016</t>
  </si>
  <si>
    <t>04110017</t>
  </si>
  <si>
    <t>04110018</t>
  </si>
  <si>
    <t>04110019</t>
  </si>
  <si>
    <t>04110020</t>
  </si>
  <si>
    <t>04110021</t>
  </si>
  <si>
    <t>04040412</t>
  </si>
  <si>
    <t>04040413</t>
  </si>
  <si>
    <t>04050210</t>
  </si>
  <si>
    <t>04110022</t>
  </si>
  <si>
    <t>04110023</t>
  </si>
  <si>
    <t>04110024</t>
  </si>
  <si>
    <t>04040414</t>
  </si>
  <si>
    <t>04040415</t>
  </si>
  <si>
    <t>04040416</t>
  </si>
  <si>
    <t>04040417</t>
  </si>
  <si>
    <t>04040418</t>
  </si>
  <si>
    <t>04040419</t>
  </si>
  <si>
    <t>04040420</t>
  </si>
  <si>
    <t>04040421</t>
  </si>
  <si>
    <t>09600287</t>
  </si>
  <si>
    <t>09600288</t>
  </si>
  <si>
    <t>09600289</t>
  </si>
  <si>
    <t>04040423</t>
  </si>
  <si>
    <t>04040424</t>
  </si>
  <si>
    <t>04040425</t>
  </si>
  <si>
    <t>04040426</t>
  </si>
  <si>
    <t>04060130</t>
  </si>
  <si>
    <t>04060140</t>
  </si>
  <si>
    <t>04060150</t>
  </si>
  <si>
    <t>04060160</t>
  </si>
  <si>
    <t>04060170</t>
  </si>
  <si>
    <t>04060180</t>
  </si>
  <si>
    <t>04060190</t>
  </si>
  <si>
    <t>04060200</t>
  </si>
  <si>
    <t>04060210</t>
  </si>
  <si>
    <t>04060220</t>
  </si>
  <si>
    <t>04060230</t>
  </si>
  <si>
    <t>04060240</t>
  </si>
  <si>
    <t>04060250</t>
  </si>
  <si>
    <t>04060260</t>
  </si>
  <si>
    <t>04060270</t>
  </si>
  <si>
    <t>03700110</t>
  </si>
  <si>
    <t>03700111</t>
  </si>
  <si>
    <t>03700112</t>
  </si>
  <si>
    <t>03700113</t>
  </si>
  <si>
    <t>03700114</t>
  </si>
  <si>
    <t>03700115</t>
  </si>
  <si>
    <t>03700116</t>
  </si>
  <si>
    <t>03700117</t>
  </si>
  <si>
    <t>04110025</t>
  </si>
  <si>
    <t>04110026</t>
  </si>
  <si>
    <t>04110027</t>
  </si>
  <si>
    <t>04110028</t>
  </si>
  <si>
    <t>04110029</t>
  </si>
  <si>
    <t>04110030</t>
  </si>
  <si>
    <t>04110031</t>
  </si>
  <si>
    <t>04110032</t>
  </si>
  <si>
    <t>04110033</t>
  </si>
  <si>
    <t>04110034</t>
  </si>
  <si>
    <t>04110035</t>
  </si>
  <si>
    <t>04110036</t>
  </si>
  <si>
    <t>04110037</t>
  </si>
  <si>
    <t>04110038</t>
  </si>
  <si>
    <t>04110039</t>
  </si>
  <si>
    <t>04110040</t>
  </si>
  <si>
    <t>04110041</t>
  </si>
  <si>
    <t>04110042</t>
  </si>
  <si>
    <t>04110043</t>
  </si>
  <si>
    <t>04110044</t>
  </si>
  <si>
    <t>04110045</t>
  </si>
  <si>
    <t>04110046</t>
  </si>
  <si>
    <t>04110047</t>
  </si>
  <si>
    <t>04110048</t>
  </si>
  <si>
    <t>04025070</t>
  </si>
  <si>
    <t>COL41</t>
  </si>
  <si>
    <t>COL42</t>
  </si>
  <si>
    <t>COL43</t>
  </si>
  <si>
    <t>COL44</t>
  </si>
  <si>
    <t>01080008</t>
  </si>
  <si>
    <t>01080010</t>
  </si>
  <si>
    <t>01080009</t>
  </si>
  <si>
    <t>01090050</t>
  </si>
  <si>
    <t>05810010</t>
  </si>
  <si>
    <t>01090040</t>
  </si>
  <si>
    <t>05810020</t>
  </si>
  <si>
    <t>01080017</t>
  </si>
  <si>
    <t>01080018</t>
  </si>
  <si>
    <t>01080019</t>
  </si>
  <si>
    <t>05810030</t>
  </si>
  <si>
    <t>05990000</t>
  </si>
  <si>
    <t>05990001</t>
  </si>
  <si>
    <t>05990002</t>
  </si>
  <si>
    <t>01080011</t>
  </si>
  <si>
    <t>05810443</t>
  </si>
  <si>
    <t>01080021</t>
  </si>
  <si>
    <t>01080022</t>
  </si>
  <si>
    <t>01080023</t>
  </si>
  <si>
    <t>01090060</t>
  </si>
  <si>
    <t>05970038</t>
  </si>
  <si>
    <t>05970039</t>
  </si>
  <si>
    <t>09600290</t>
  </si>
  <si>
    <t>01080013</t>
  </si>
  <si>
    <t>01080014</t>
  </si>
  <si>
    <t>05970040</t>
  </si>
  <si>
    <t>05970041</t>
  </si>
  <si>
    <t>05990070</t>
  </si>
  <si>
    <t>05050100A</t>
  </si>
  <si>
    <t>05970042</t>
  </si>
  <si>
    <t>05970043</t>
  </si>
  <si>
    <t>05970044</t>
  </si>
  <si>
    <t>05970045</t>
  </si>
  <si>
    <t>05970046</t>
  </si>
  <si>
    <t>05970047</t>
  </si>
  <si>
    <t>05990003</t>
  </si>
  <si>
    <t>05990004</t>
  </si>
  <si>
    <t>05990005</t>
  </si>
  <si>
    <t>05990006</t>
  </si>
  <si>
    <t>05990007</t>
  </si>
  <si>
    <t>05990008</t>
  </si>
  <si>
    <t>05990009</t>
  </si>
  <si>
    <t>05990010</t>
  </si>
  <si>
    <t>09600291</t>
  </si>
  <si>
    <t>05990011</t>
  </si>
  <si>
    <t>05990012</t>
  </si>
  <si>
    <t>05990013</t>
  </si>
  <si>
    <t>05990014</t>
  </si>
  <si>
    <t>05990015</t>
  </si>
  <si>
    <t>05990016</t>
  </si>
  <si>
    <t>05990017</t>
  </si>
  <si>
    <t>05990018</t>
  </si>
  <si>
    <t>05990019</t>
  </si>
  <si>
    <t>05990020</t>
  </si>
  <si>
    <t>05990021</t>
  </si>
  <si>
    <t>01080090</t>
  </si>
  <si>
    <t>05225100</t>
  </si>
  <si>
    <t>06902601</t>
  </si>
  <si>
    <t>06902602</t>
  </si>
  <si>
    <t>06902603</t>
  </si>
  <si>
    <t>05990065</t>
  </si>
  <si>
    <t>05970010</t>
  </si>
  <si>
    <t>05970011</t>
  </si>
  <si>
    <t>05970012</t>
  </si>
  <si>
    <t>05990066</t>
  </si>
  <si>
    <t>05990067</t>
  </si>
  <si>
    <t>05990068</t>
  </si>
  <si>
    <t>05990069</t>
  </si>
  <si>
    <t>03030360</t>
  </si>
  <si>
    <t>03021106</t>
  </si>
  <si>
    <t>03021107</t>
  </si>
  <si>
    <t>03021108</t>
  </si>
  <si>
    <t>05990071</t>
  </si>
  <si>
    <t>05990072</t>
  </si>
  <si>
    <t>09600292</t>
  </si>
  <si>
    <t>09600293</t>
  </si>
  <si>
    <t>05810432</t>
  </si>
  <si>
    <t>09600294</t>
  </si>
  <si>
    <t>05810040</t>
  </si>
  <si>
    <t>05225400</t>
  </si>
  <si>
    <t>05225401</t>
  </si>
  <si>
    <t>05225402</t>
  </si>
  <si>
    <t>05990073</t>
  </si>
  <si>
    <t>05990074</t>
  </si>
  <si>
    <t>09600295</t>
  </si>
  <si>
    <t>09600296</t>
  </si>
  <si>
    <t>05810434</t>
  </si>
  <si>
    <t>05810050</t>
  </si>
  <si>
    <t>05810060</t>
  </si>
  <si>
    <t>05810070</t>
  </si>
  <si>
    <t>05810080</t>
  </si>
  <si>
    <t>05810090</t>
  </si>
  <si>
    <t>05021207</t>
  </si>
  <si>
    <t>05021208</t>
  </si>
  <si>
    <t>05120900</t>
  </si>
  <si>
    <t>05130100</t>
  </si>
  <si>
    <t>05130200</t>
  </si>
  <si>
    <t>05130300</t>
  </si>
  <si>
    <t>05810100</t>
  </si>
  <si>
    <t>05050700</t>
  </si>
  <si>
    <t>05050800</t>
  </si>
  <si>
    <t>05050900</t>
  </si>
  <si>
    <t>05051000</t>
  </si>
  <si>
    <t>05051100</t>
  </si>
  <si>
    <t>05051200</t>
  </si>
  <si>
    <t>05051300</t>
  </si>
  <si>
    <t>05051301</t>
  </si>
  <si>
    <t>05051302</t>
  </si>
  <si>
    <t>05051303</t>
  </si>
  <si>
    <t>05051304</t>
  </si>
  <si>
    <t>05051305</t>
  </si>
  <si>
    <t>05051306</t>
  </si>
  <si>
    <t>05051307</t>
  </si>
  <si>
    <t>05227400</t>
  </si>
  <si>
    <t>05990075</t>
  </si>
  <si>
    <t>05990076</t>
  </si>
  <si>
    <t>05990077</t>
  </si>
  <si>
    <t>05990078</t>
  </si>
  <si>
    <t>05990079</t>
  </si>
  <si>
    <t>05990080</t>
  </si>
  <si>
    <t>06901100</t>
  </si>
  <si>
    <t>05970014</t>
  </si>
  <si>
    <t>05970015</t>
  </si>
  <si>
    <t>05810441</t>
  </si>
  <si>
    <t>06901200</t>
  </si>
  <si>
    <t>06902605</t>
  </si>
  <si>
    <t>06902606</t>
  </si>
  <si>
    <t>06901300</t>
  </si>
  <si>
    <t>06901400</t>
  </si>
  <si>
    <t>05051400</t>
  </si>
  <si>
    <t>05051500</t>
  </si>
  <si>
    <t>05051600</t>
  </si>
  <si>
    <t>09600297</t>
  </si>
  <si>
    <t>09600298</t>
  </si>
  <si>
    <t>09600299</t>
  </si>
  <si>
    <t>05990035</t>
  </si>
  <si>
    <t>05990036</t>
  </si>
  <si>
    <t>06902200</t>
  </si>
  <si>
    <t>05051700</t>
  </si>
  <si>
    <t>05051800</t>
  </si>
  <si>
    <t>06902300</t>
  </si>
  <si>
    <t>05970016</t>
  </si>
  <si>
    <t>05990037</t>
  </si>
  <si>
    <t>05970019</t>
  </si>
  <si>
    <t>05970020</t>
  </si>
  <si>
    <t>05970021</t>
  </si>
  <si>
    <t>05901801</t>
  </si>
  <si>
    <t>05901802</t>
  </si>
  <si>
    <t>05901803</t>
  </si>
  <si>
    <t>05990038</t>
  </si>
  <si>
    <t>05990039</t>
  </si>
  <si>
    <t>06902100</t>
  </si>
  <si>
    <t>06902400</t>
  </si>
  <si>
    <t>06902500</t>
  </si>
  <si>
    <t>05990022</t>
  </si>
  <si>
    <t>05990023</t>
  </si>
  <si>
    <t>05990024</t>
  </si>
  <si>
    <t>05990025</t>
  </si>
  <si>
    <t>05990026</t>
  </si>
  <si>
    <t>05970022</t>
  </si>
  <si>
    <t>05810445</t>
  </si>
  <si>
    <t>05810140</t>
  </si>
  <si>
    <t>05990081</t>
  </si>
  <si>
    <t>05990082</t>
  </si>
  <si>
    <t>05990083</t>
  </si>
  <si>
    <t>05990084</t>
  </si>
  <si>
    <t>05990085</t>
  </si>
  <si>
    <t>05990086</t>
  </si>
  <si>
    <t>05223500</t>
  </si>
  <si>
    <t>05970023</t>
  </si>
  <si>
    <t>05970024</t>
  </si>
  <si>
    <t>05810442</t>
  </si>
  <si>
    <t>05223600</t>
  </si>
  <si>
    <t>06902607</t>
  </si>
  <si>
    <t>06902608</t>
  </si>
  <si>
    <t>05223700</t>
  </si>
  <si>
    <t>05223800</t>
  </si>
  <si>
    <t>05051900</t>
  </si>
  <si>
    <t>05052000</t>
  </si>
  <si>
    <t>05052100</t>
  </si>
  <si>
    <t>05990040</t>
  </si>
  <si>
    <t>05990041</t>
  </si>
  <si>
    <t>05990042</t>
  </si>
  <si>
    <t>05990043</t>
  </si>
  <si>
    <t>05990044</t>
  </si>
  <si>
    <t>05224600</t>
  </si>
  <si>
    <t>05052200</t>
  </si>
  <si>
    <t>05052300</t>
  </si>
  <si>
    <t>05224700</t>
  </si>
  <si>
    <t>05970025</t>
  </si>
  <si>
    <t>05990045</t>
  </si>
  <si>
    <t>05970028</t>
  </si>
  <si>
    <t>05970029</t>
  </si>
  <si>
    <t>05970030</t>
  </si>
  <si>
    <t>05224201</t>
  </si>
  <si>
    <t>05224202</t>
  </si>
  <si>
    <t>05224203</t>
  </si>
  <si>
    <t>05990046</t>
  </si>
  <si>
    <t>05990047</t>
  </si>
  <si>
    <t>05224500</t>
  </si>
  <si>
    <t>05224800</t>
  </si>
  <si>
    <t>05224900</t>
  </si>
  <si>
    <t>05990027</t>
  </si>
  <si>
    <t>05990028</t>
  </si>
  <si>
    <t>05990029</t>
  </si>
  <si>
    <t>05990030</t>
  </si>
  <si>
    <t>05990031</t>
  </si>
  <si>
    <t>05970031</t>
  </si>
  <si>
    <t>05810446</t>
  </si>
  <si>
    <t>05810210</t>
  </si>
  <si>
    <t>05810220</t>
  </si>
  <si>
    <t>05810230</t>
  </si>
  <si>
    <t>05810240</t>
  </si>
  <si>
    <t>05810241</t>
  </si>
  <si>
    <t>05810242</t>
  </si>
  <si>
    <t>05810243</t>
  </si>
  <si>
    <t>05810244</t>
  </si>
  <si>
    <t>05810245</t>
  </si>
  <si>
    <t>05810246</t>
  </si>
  <si>
    <t>05810247</t>
  </si>
  <si>
    <t>05810248</t>
  </si>
  <si>
    <t>05810249</t>
  </si>
  <si>
    <t>05810250</t>
  </si>
  <si>
    <t>05810251</t>
  </si>
  <si>
    <t>05810252</t>
  </si>
  <si>
    <t>05810253</t>
  </si>
  <si>
    <t>05810254</t>
  </si>
  <si>
    <t>05810255</t>
  </si>
  <si>
    <t>05810256</t>
  </si>
  <si>
    <t>05810257</t>
  </si>
  <si>
    <t>05810258</t>
  </si>
  <si>
    <t>05970036</t>
  </si>
  <si>
    <t>05970037</t>
  </si>
  <si>
    <t>05990032</t>
  </si>
  <si>
    <t>05810370</t>
  </si>
  <si>
    <t>05810410</t>
  </si>
  <si>
    <t>05052300A</t>
  </si>
  <si>
    <t>05052400</t>
  </si>
  <si>
    <t>05052500</t>
  </si>
  <si>
    <t>05052600</t>
  </si>
  <si>
    <t>05990033</t>
  </si>
  <si>
    <t>05990034</t>
  </si>
  <si>
    <t>05810420</t>
  </si>
  <si>
    <t>05810430</t>
  </si>
  <si>
    <t>05052700</t>
  </si>
  <si>
    <t>05052701</t>
  </si>
  <si>
    <t>05052702</t>
  </si>
  <si>
    <t>05980010</t>
  </si>
  <si>
    <t>05980020</t>
  </si>
  <si>
    <t>05980030</t>
  </si>
  <si>
    <t>05980040</t>
  </si>
  <si>
    <t>05980050</t>
  </si>
  <si>
    <t>05980060</t>
  </si>
  <si>
    <t>05990048</t>
  </si>
  <si>
    <t>05990049</t>
  </si>
  <si>
    <t>05990050</t>
  </si>
  <si>
    <t>05990051</t>
  </si>
  <si>
    <t>05990087</t>
  </si>
  <si>
    <t>05990088</t>
  </si>
  <si>
    <t>05990089</t>
  </si>
  <si>
    <t>05990090</t>
  </si>
  <si>
    <t>05990091</t>
  </si>
  <si>
    <t>05990092</t>
  </si>
  <si>
    <t>05990093</t>
  </si>
  <si>
    <t>05990094</t>
  </si>
  <si>
    <t>05990095</t>
  </si>
  <si>
    <t>05990096</t>
  </si>
  <si>
    <t>05990097</t>
  </si>
  <si>
    <t>05990098</t>
  </si>
  <si>
    <t>05990099</t>
  </si>
  <si>
    <t>05990100</t>
  </si>
  <si>
    <t>05990101</t>
  </si>
  <si>
    <t>05990102</t>
  </si>
  <si>
    <t>05990103</t>
  </si>
  <si>
    <t>05990104</t>
  </si>
  <si>
    <t>05990105</t>
  </si>
  <si>
    <t>05990106</t>
  </si>
  <si>
    <t>05990107</t>
  </si>
  <si>
    <t>05990108</t>
  </si>
  <si>
    <t>05990109</t>
  </si>
  <si>
    <t>05990110</t>
  </si>
  <si>
    <t>05990111</t>
  </si>
  <si>
    <t>05990112</t>
  </si>
  <si>
    <t>05990113</t>
  </si>
  <si>
    <t>05810431</t>
  </si>
  <si>
    <t>05810433</t>
  </si>
  <si>
    <t>06900700</t>
  </si>
  <si>
    <t>06900800</t>
  </si>
  <si>
    <t>05223100</t>
  </si>
  <si>
    <t>05223200</t>
  </si>
  <si>
    <t>05990058</t>
  </si>
  <si>
    <t>05990059</t>
  </si>
  <si>
    <t>05990060</t>
  </si>
  <si>
    <t>05990061</t>
  </si>
  <si>
    <t>05990062</t>
  </si>
  <si>
    <t>05990063</t>
  </si>
  <si>
    <t>COL45</t>
  </si>
  <si>
    <t>COL46</t>
  </si>
  <si>
    <t>COL47</t>
  </si>
  <si>
    <t>COL48</t>
  </si>
  <si>
    <t>06020201</t>
  </si>
  <si>
    <t>06020208</t>
  </si>
  <si>
    <t>06020202</t>
  </si>
  <si>
    <t>06020602</t>
  </si>
  <si>
    <t>06020206</t>
  </si>
  <si>
    <t>06200400</t>
  </si>
  <si>
    <t>06904900</t>
  </si>
  <si>
    <t>06200500</t>
  </si>
  <si>
    <t>06200501</t>
  </si>
  <si>
    <t>06905912</t>
  </si>
  <si>
    <t>06902700</t>
  </si>
  <si>
    <t>06200600</t>
  </si>
  <si>
    <t>06905910</t>
  </si>
  <si>
    <t>06300900</t>
  </si>
  <si>
    <t>06300100</t>
  </si>
  <si>
    <t>06907017</t>
  </si>
  <si>
    <t>06907001</t>
  </si>
  <si>
    <t>06907018</t>
  </si>
  <si>
    <t>06400200</t>
  </si>
  <si>
    <t>06400300</t>
  </si>
  <si>
    <t>06400400</t>
  </si>
  <si>
    <t>06400500</t>
  </si>
  <si>
    <t>06500700</t>
  </si>
  <si>
    <t>06500900</t>
  </si>
  <si>
    <t>06600200</t>
  </si>
  <si>
    <t>06600300</t>
  </si>
  <si>
    <t>06600400</t>
  </si>
  <si>
    <t>06600500</t>
  </si>
  <si>
    <t>06600600</t>
  </si>
  <si>
    <t>06600700</t>
  </si>
  <si>
    <t>06600800</t>
  </si>
  <si>
    <t>06600900</t>
  </si>
  <si>
    <t>06700100</t>
  </si>
  <si>
    <t>06700200</t>
  </si>
  <si>
    <t>06700300</t>
  </si>
  <si>
    <t>06700400</t>
  </si>
  <si>
    <t>06700500</t>
  </si>
  <si>
    <t>06700600</t>
  </si>
  <si>
    <t>06700700</t>
  </si>
  <si>
    <t>06700800</t>
  </si>
  <si>
    <t>06700900</t>
  </si>
  <si>
    <t>06800100</t>
  </si>
  <si>
    <t>06800200</t>
  </si>
  <si>
    <t>06800300</t>
  </si>
  <si>
    <t>06800400</t>
  </si>
  <si>
    <t>06800500</t>
  </si>
  <si>
    <t>06900300</t>
  </si>
  <si>
    <t>06900400</t>
  </si>
  <si>
    <t>06900500</t>
  </si>
  <si>
    <t>06900600</t>
  </si>
  <si>
    <t>06905200</t>
  </si>
  <si>
    <t>06905300</t>
  </si>
  <si>
    <t>06905400</t>
  </si>
  <si>
    <t>06905911</t>
  </si>
  <si>
    <t>06905913</t>
  </si>
  <si>
    <t>06905914</t>
  </si>
  <si>
    <t>06905915</t>
  </si>
  <si>
    <t>06911010</t>
  </si>
  <si>
    <t>06905500</t>
  </si>
  <si>
    <t>06905600</t>
  </si>
  <si>
    <t>06905700</t>
  </si>
  <si>
    <t>06905800</t>
  </si>
  <si>
    <t>06905900</t>
  </si>
  <si>
    <t>06911011</t>
  </si>
  <si>
    <t>06911012</t>
  </si>
  <si>
    <t>06911013</t>
  </si>
  <si>
    <t>06905901</t>
  </si>
  <si>
    <t>06907019</t>
  </si>
  <si>
    <t>06905902</t>
  </si>
  <si>
    <t>06906105</t>
  </si>
  <si>
    <t>06906135</t>
  </si>
  <si>
    <t>06906140</t>
  </si>
  <si>
    <t>06906145</t>
  </si>
  <si>
    <t>06906150</t>
  </si>
  <si>
    <t>06907014</t>
  </si>
  <si>
    <t>06907015</t>
  </si>
  <si>
    <t>06907016</t>
  </si>
  <si>
    <t>06907020</t>
  </si>
  <si>
    <t>06907021</t>
  </si>
  <si>
    <t>06907022</t>
  </si>
  <si>
    <t>06907023</t>
  </si>
  <si>
    <t>06907024</t>
  </si>
  <si>
    <t>06907025</t>
  </si>
  <si>
    <t>06907026</t>
  </si>
  <si>
    <t>06907027</t>
  </si>
  <si>
    <t>09600340</t>
  </si>
  <si>
    <t>09600341</t>
  </si>
  <si>
    <t>06907028</t>
  </si>
  <si>
    <t>06907029</t>
  </si>
  <si>
    <t>06907030</t>
  </si>
  <si>
    <t>06907031</t>
  </si>
  <si>
    <t>06907032</t>
  </si>
  <si>
    <t>06907033</t>
  </si>
  <si>
    <t>06907012</t>
  </si>
  <si>
    <t>06907034</t>
  </si>
  <si>
    <t>06907035</t>
  </si>
  <si>
    <t>06907036</t>
  </si>
  <si>
    <t>06911014</t>
  </si>
  <si>
    <t>06911015</t>
  </si>
  <si>
    <t>07020130</t>
  </si>
  <si>
    <t>07020230</t>
  </si>
  <si>
    <t>07020330</t>
  </si>
  <si>
    <t>07020331</t>
  </si>
  <si>
    <t>07020332</t>
  </si>
  <si>
    <t>07032100</t>
  </si>
  <si>
    <t>07032101</t>
  </si>
  <si>
    <t>07020501</t>
  </si>
  <si>
    <t>07020600</t>
  </si>
  <si>
    <t>07020601</t>
  </si>
  <si>
    <t>07020700</t>
  </si>
  <si>
    <t>07020800</t>
  </si>
  <si>
    <t>07032102</t>
  </si>
  <si>
    <t>07032103</t>
  </si>
  <si>
    <t>07020901</t>
  </si>
  <si>
    <t>07021000</t>
  </si>
  <si>
    <t>07032104</t>
  </si>
  <si>
    <t>07032105</t>
  </si>
  <si>
    <t>07032106</t>
  </si>
  <si>
    <t>07032107</t>
  </si>
  <si>
    <t>07021300</t>
  </si>
  <si>
    <t>07032108</t>
  </si>
  <si>
    <t>07022001</t>
  </si>
  <si>
    <t>07021531</t>
  </si>
  <si>
    <t>07032109</t>
  </si>
  <si>
    <t>07032110</t>
  </si>
  <si>
    <t>07022134</t>
  </si>
  <si>
    <t>07021700</t>
  </si>
  <si>
    <t>07021800</t>
  </si>
  <si>
    <t>07021801</t>
  </si>
  <si>
    <t>07021900</t>
  </si>
  <si>
    <t>07022130</t>
  </si>
  <si>
    <t>07032111</t>
  </si>
  <si>
    <t>07022143</t>
  </si>
  <si>
    <t>07022144</t>
  </si>
  <si>
    <t>07032112</t>
  </si>
  <si>
    <t>07032113</t>
  </si>
  <si>
    <t>07022137</t>
  </si>
  <si>
    <t>07022700</t>
  </si>
  <si>
    <t>07022800</t>
  </si>
  <si>
    <t>07022900</t>
  </si>
  <si>
    <t>07021701</t>
  </si>
  <si>
    <t>07023100</t>
  </si>
  <si>
    <t>07032114</t>
  </si>
  <si>
    <t>07032115</t>
  </si>
  <si>
    <t>07032116</t>
  </si>
  <si>
    <t>07023203</t>
  </si>
  <si>
    <t>07023700</t>
  </si>
  <si>
    <t>07032117</t>
  </si>
  <si>
    <t>07032118</t>
  </si>
  <si>
    <t>07024200</t>
  </si>
  <si>
    <t>07024201</t>
  </si>
  <si>
    <t>07024202</t>
  </si>
  <si>
    <t>07030501</t>
  </si>
  <si>
    <t>07030502</t>
  </si>
  <si>
    <t>09600342</t>
  </si>
  <si>
    <t>09600343</t>
  </si>
  <si>
    <t>09600344</t>
  </si>
  <si>
    <t>09600345</t>
  </si>
  <si>
    <t>09600346</t>
  </si>
  <si>
    <t>07032119</t>
  </si>
  <si>
    <t>07032120</t>
  </si>
  <si>
    <t>09600349</t>
  </si>
  <si>
    <t>09600350</t>
  </si>
  <si>
    <t>09600351</t>
  </si>
  <si>
    <t>09600352</t>
  </si>
  <si>
    <t>09600353</t>
  </si>
  <si>
    <t>07032121</t>
  </si>
  <si>
    <t>07032122</t>
  </si>
  <si>
    <t>09600356</t>
  </si>
  <si>
    <t>09600357</t>
  </si>
  <si>
    <t>07032123</t>
  </si>
  <si>
    <t>07032124</t>
  </si>
  <si>
    <t>07032125</t>
  </si>
  <si>
    <t>07032126</t>
  </si>
  <si>
    <t>09600362</t>
  </si>
  <si>
    <t>07032127</t>
  </si>
  <si>
    <t>09600365</t>
  </si>
  <si>
    <t>09600366</t>
  </si>
  <si>
    <t>07032128</t>
  </si>
  <si>
    <t>07032129</t>
  </si>
  <si>
    <t>09600369</t>
  </si>
  <si>
    <t>09600370</t>
  </si>
  <si>
    <t>09600371</t>
  </si>
  <si>
    <t>09600372</t>
  </si>
  <si>
    <t>09600373</t>
  </si>
  <si>
    <t>09600374</t>
  </si>
  <si>
    <t>07032130</t>
  </si>
  <si>
    <t>09600376</t>
  </si>
  <si>
    <t>09600377</t>
  </si>
  <si>
    <t>07032131</t>
  </si>
  <si>
    <t>07032132</t>
  </si>
  <si>
    <t>09600380</t>
  </si>
  <si>
    <t>09600381</t>
  </si>
  <si>
    <t>09600382</t>
  </si>
  <si>
    <t>09600383</t>
  </si>
  <si>
    <t>09600384</t>
  </si>
  <si>
    <t>09600385</t>
  </si>
  <si>
    <t>07032133</t>
  </si>
  <si>
    <t>07032134</t>
  </si>
  <si>
    <t>07032135</t>
  </si>
  <si>
    <t>09600389</t>
  </si>
  <si>
    <t>09600390</t>
  </si>
  <si>
    <t>07032136</t>
  </si>
  <si>
    <t>07032137</t>
  </si>
  <si>
    <t>09600396</t>
  </si>
  <si>
    <t>09600398</t>
  </si>
  <si>
    <t>09600399</t>
  </si>
  <si>
    <t>09600400</t>
  </si>
  <si>
    <t>09600401</t>
  </si>
  <si>
    <t>07024203</t>
  </si>
  <si>
    <t>07024204</t>
  </si>
  <si>
    <t>07024205</t>
  </si>
  <si>
    <t>07024206</t>
  </si>
  <si>
    <t>07031110</t>
  </si>
  <si>
    <t>07024207</t>
  </si>
  <si>
    <t>07024208</t>
  </si>
  <si>
    <t>07024209</t>
  </si>
  <si>
    <t>07024211</t>
  </si>
  <si>
    <t>07024212</t>
  </si>
  <si>
    <t>07024213</t>
  </si>
  <si>
    <t>07024215</t>
  </si>
  <si>
    <t>07024216</t>
  </si>
  <si>
    <t>07024217</t>
  </si>
  <si>
    <t>07024218</t>
  </si>
  <si>
    <t>07032138</t>
  </si>
  <si>
    <t>07032139</t>
  </si>
  <si>
    <t>07024900</t>
  </si>
  <si>
    <t>07024915</t>
  </si>
  <si>
    <t>07031120</t>
  </si>
  <si>
    <t>07024925</t>
  </si>
  <si>
    <t>07024935</t>
  </si>
  <si>
    <t>07024920</t>
  </si>
  <si>
    <t>07024816</t>
  </si>
  <si>
    <t>07024607</t>
  </si>
  <si>
    <t>07024705</t>
  </si>
  <si>
    <t>07024506</t>
  </si>
  <si>
    <t>09600403</t>
  </si>
  <si>
    <t>07024930</t>
  </si>
  <si>
    <t>07024940</t>
  </si>
  <si>
    <t>070251200</t>
  </si>
  <si>
    <t>070251300</t>
  </si>
  <si>
    <t>070251400</t>
  </si>
  <si>
    <t>07030100A</t>
  </si>
  <si>
    <t>07030200</t>
  </si>
  <si>
    <t>07030300</t>
  </si>
  <si>
    <t>07030400</t>
  </si>
  <si>
    <t>07024950</t>
  </si>
  <si>
    <t>07024960</t>
  </si>
  <si>
    <t>07031122</t>
  </si>
  <si>
    <t>07031123</t>
  </si>
  <si>
    <t>07031124</t>
  </si>
  <si>
    <t>07031125</t>
  </si>
  <si>
    <t>07031126</t>
  </si>
  <si>
    <t>07031127</t>
  </si>
  <si>
    <t>07031128</t>
  </si>
  <si>
    <t>07031129</t>
  </si>
  <si>
    <t>07031130</t>
  </si>
  <si>
    <t>07031131</t>
  </si>
  <si>
    <t>07032140</t>
  </si>
  <si>
    <t>07032141</t>
  </si>
  <si>
    <t>07032142</t>
  </si>
  <si>
    <t>07032143</t>
  </si>
  <si>
    <t>07032144</t>
  </si>
  <si>
    <t>07032145</t>
  </si>
  <si>
    <t>07032146</t>
  </si>
  <si>
    <t>07032147</t>
  </si>
  <si>
    <t>07032148</t>
  </si>
  <si>
    <t>07032149</t>
  </si>
  <si>
    <t>07032150</t>
  </si>
  <si>
    <t>07032151</t>
  </si>
  <si>
    <t>07024219</t>
  </si>
  <si>
    <t>07020500</t>
  </si>
  <si>
    <t>07020801</t>
  </si>
  <si>
    <t>07020900</t>
  </si>
  <si>
    <t>07021001</t>
  </si>
  <si>
    <t>07021100</t>
  </si>
  <si>
    <t>07021101</t>
  </si>
  <si>
    <t>07021230</t>
  </si>
  <si>
    <t>07022132</t>
  </si>
  <si>
    <t>07022133</t>
  </si>
  <si>
    <t>07022142</t>
  </si>
  <si>
    <t>07022135</t>
  </si>
  <si>
    <t>07022136</t>
  </si>
  <si>
    <t>07023200</t>
  </si>
  <si>
    <t>07023201</t>
  </si>
  <si>
    <t>07023202</t>
  </si>
  <si>
    <t>07023701</t>
  </si>
  <si>
    <t>07023702</t>
  </si>
  <si>
    <t>07023703</t>
  </si>
  <si>
    <t>07024000</t>
  </si>
  <si>
    <t>07024001</t>
  </si>
  <si>
    <t>07030500</t>
  </si>
  <si>
    <t>09600347</t>
  </si>
  <si>
    <t>09600348</t>
  </si>
  <si>
    <t>09600354</t>
  </si>
  <si>
    <t>09600355</t>
  </si>
  <si>
    <t>09600358</t>
  </si>
  <si>
    <t>09600359</t>
  </si>
  <si>
    <t>09600360</t>
  </si>
  <si>
    <t>09600361</t>
  </si>
  <si>
    <t>09600367</t>
  </si>
  <si>
    <t>09600368</t>
  </si>
  <si>
    <t>09600375</t>
  </si>
  <si>
    <t>09600378</t>
  </si>
  <si>
    <t>09600379</t>
  </si>
  <si>
    <t>09600386</t>
  </si>
  <si>
    <t>09600387</t>
  </si>
  <si>
    <t>09600388</t>
  </si>
  <si>
    <t>09600391</t>
  </si>
  <si>
    <t>09600392</t>
  </si>
  <si>
    <t>09600393</t>
  </si>
  <si>
    <t>09600394</t>
  </si>
  <si>
    <t>09600395</t>
  </si>
  <si>
    <t>09600397</t>
  </si>
  <si>
    <t>07021301</t>
  </si>
  <si>
    <t>07022000</t>
  </si>
  <si>
    <t>09600363</t>
  </si>
  <si>
    <t>09600364</t>
  </si>
  <si>
    <t>08221000</t>
  </si>
  <si>
    <t>08221100</t>
  </si>
  <si>
    <t>08021403</t>
  </si>
  <si>
    <t>08241030</t>
  </si>
  <si>
    <t>08200001</t>
  </si>
  <si>
    <t>08200002</t>
  </si>
  <si>
    <t>08200003</t>
  </si>
  <si>
    <t>08180208</t>
  </si>
  <si>
    <t>09600404</t>
  </si>
  <si>
    <t>09600405</t>
  </si>
  <si>
    <t>08241040</t>
  </si>
  <si>
    <t>08180250</t>
  </si>
  <si>
    <t>08180251</t>
  </si>
  <si>
    <t>08180252</t>
  </si>
  <si>
    <t>08180253</t>
  </si>
  <si>
    <t>08180254</t>
  </si>
  <si>
    <t>08180255</t>
  </si>
  <si>
    <t>08220001</t>
  </si>
  <si>
    <t>08220002</t>
  </si>
  <si>
    <t>08220003</t>
  </si>
  <si>
    <t>08180256</t>
  </si>
  <si>
    <t>08220005</t>
  </si>
  <si>
    <t>08222630</t>
  </si>
  <si>
    <t>08210001</t>
  </si>
  <si>
    <t>08210002</t>
  </si>
  <si>
    <t>08210003</t>
  </si>
  <si>
    <t>08210004</t>
  </si>
  <si>
    <t>08210005</t>
  </si>
  <si>
    <t>08224100</t>
  </si>
  <si>
    <t>08180201</t>
  </si>
  <si>
    <t>08180202</t>
  </si>
  <si>
    <t>08180203</t>
  </si>
  <si>
    <t>08180204</t>
  </si>
  <si>
    <t>08222610</t>
  </si>
  <si>
    <t>08180205</t>
  </si>
  <si>
    <t>08241041</t>
  </si>
  <si>
    <t>08241042</t>
  </si>
  <si>
    <t>08241043</t>
  </si>
  <si>
    <t>08241044</t>
  </si>
  <si>
    <t>08241045</t>
  </si>
  <si>
    <t>08241046</t>
  </si>
  <si>
    <t>08222800</t>
  </si>
  <si>
    <t>08223115</t>
  </si>
  <si>
    <t>08223125</t>
  </si>
  <si>
    <t>08230100</t>
  </si>
  <si>
    <t>08230200</t>
  </si>
  <si>
    <t>08230300</t>
  </si>
  <si>
    <t>08222900</t>
  </si>
  <si>
    <t>08223000</t>
  </si>
  <si>
    <t>08223200</t>
  </si>
  <si>
    <t>08223135</t>
  </si>
  <si>
    <t>08223145</t>
  </si>
  <si>
    <t>08230400</t>
  </si>
  <si>
    <t>08230500</t>
  </si>
  <si>
    <t>08230501</t>
  </si>
  <si>
    <t>08230502</t>
  </si>
  <si>
    <t>08230503</t>
  </si>
  <si>
    <t>08230504</t>
  </si>
  <si>
    <t>08230505</t>
  </si>
  <si>
    <t>08230506</t>
  </si>
  <si>
    <t>09600406</t>
  </si>
  <si>
    <t>08222640</t>
  </si>
  <si>
    <t>08222650</t>
  </si>
  <si>
    <t>08222660</t>
  </si>
  <si>
    <t>08221600</t>
  </si>
  <si>
    <t>08222670</t>
  </si>
  <si>
    <t>08222680</t>
  </si>
  <si>
    <t>08230500A</t>
  </si>
  <si>
    <t>08230802</t>
  </si>
  <si>
    <t>08230803</t>
  </si>
  <si>
    <t>08230804</t>
  </si>
  <si>
    <t>08230850</t>
  </si>
  <si>
    <t>08230851</t>
  </si>
  <si>
    <t>08230852</t>
  </si>
  <si>
    <t>08230812</t>
  </si>
  <si>
    <t>08224000</t>
  </si>
  <si>
    <t>08241047</t>
  </si>
  <si>
    <t>09600407</t>
  </si>
  <si>
    <t>09600408</t>
  </si>
  <si>
    <t>08241048</t>
  </si>
  <si>
    <t>08222690</t>
  </si>
  <si>
    <t>08222700</t>
  </si>
  <si>
    <t>08222710</t>
  </si>
  <si>
    <t>08222720</t>
  </si>
  <si>
    <t>08222730</t>
  </si>
  <si>
    <t>01080016</t>
  </si>
  <si>
    <t>08222740</t>
  </si>
  <si>
    <t>01080020</t>
  </si>
  <si>
    <t>08222750</t>
  </si>
  <si>
    <t>08221700</t>
  </si>
  <si>
    <t>08221701</t>
  </si>
  <si>
    <t>08221702</t>
  </si>
  <si>
    <t>08221703</t>
  </si>
  <si>
    <t>08221704</t>
  </si>
  <si>
    <t>08221705</t>
  </si>
  <si>
    <t>08221706</t>
  </si>
  <si>
    <t>08221707</t>
  </si>
  <si>
    <t>08221708</t>
  </si>
  <si>
    <t>08180212</t>
  </si>
  <si>
    <t>08180213</t>
  </si>
  <si>
    <t>08180214</t>
  </si>
  <si>
    <t>08180215</t>
  </si>
  <si>
    <t>08180216</t>
  </si>
  <si>
    <t>08180217</t>
  </si>
  <si>
    <t>08180230</t>
  </si>
  <si>
    <t>08180231</t>
  </si>
  <si>
    <t>08180232</t>
  </si>
  <si>
    <t>08180233</t>
  </si>
  <si>
    <t>08241010</t>
  </si>
  <si>
    <t>08241020</t>
  </si>
  <si>
    <t>08230813</t>
  </si>
  <si>
    <t>08230814</t>
  </si>
  <si>
    <t>08230815</t>
  </si>
  <si>
    <t>08230853</t>
  </si>
  <si>
    <t>08230854</t>
  </si>
  <si>
    <t>08230855</t>
  </si>
  <si>
    <t>08230856</t>
  </si>
  <si>
    <t>08230857</t>
  </si>
  <si>
    <t>09400082</t>
  </si>
  <si>
    <t>09400081</t>
  </si>
  <si>
    <t>09230300</t>
  </si>
  <si>
    <t>09400084</t>
  </si>
  <si>
    <t>09601110</t>
  </si>
  <si>
    <t>09601111</t>
  </si>
  <si>
    <t>09204918</t>
  </si>
  <si>
    <t>09230500</t>
  </si>
  <si>
    <t>09200313</t>
  </si>
  <si>
    <t>09200513</t>
  </si>
  <si>
    <t>09204919</t>
  </si>
  <si>
    <t>09400085</t>
  </si>
  <si>
    <t>09600300</t>
  </si>
  <si>
    <t>09201225</t>
  </si>
  <si>
    <t>09600301</t>
  </si>
  <si>
    <t>09600302</t>
  </si>
  <si>
    <t>09400087</t>
  </si>
  <si>
    <t>09400088</t>
  </si>
  <si>
    <t>09600303</t>
  </si>
  <si>
    <t>09204924</t>
  </si>
  <si>
    <t>09600304</t>
  </si>
  <si>
    <t>09400089</t>
  </si>
  <si>
    <t>09201713</t>
  </si>
  <si>
    <t>09601112</t>
  </si>
  <si>
    <t>09215013</t>
  </si>
  <si>
    <t>09215014</t>
  </si>
  <si>
    <t>09215015</t>
  </si>
  <si>
    <t>09215413</t>
  </si>
  <si>
    <t>09601113</t>
  </si>
  <si>
    <t>09601114</t>
  </si>
  <si>
    <t>09300300</t>
  </si>
  <si>
    <t>09220100</t>
  </si>
  <si>
    <t>09220150</t>
  </si>
  <si>
    <t>09220250</t>
  </si>
  <si>
    <t>09220350</t>
  </si>
  <si>
    <t>09220450</t>
  </si>
  <si>
    <t>09220500</t>
  </si>
  <si>
    <t>09600305</t>
  </si>
  <si>
    <t>09600306</t>
  </si>
  <si>
    <t>09600307</t>
  </si>
  <si>
    <t>09600308</t>
  </si>
  <si>
    <t>09600309</t>
  </si>
  <si>
    <t>09600100</t>
  </si>
  <si>
    <t>09600101</t>
  </si>
  <si>
    <t>09600102</t>
  </si>
  <si>
    <t>09204926</t>
  </si>
  <si>
    <t>09260100</t>
  </si>
  <si>
    <t>09400030</t>
  </si>
  <si>
    <t>09600312</t>
  </si>
  <si>
    <t>09204931</t>
  </si>
  <si>
    <t>09600313</t>
  </si>
  <si>
    <t>09204934</t>
  </si>
  <si>
    <t>09305400</t>
  </si>
  <si>
    <t>09305500</t>
  </si>
  <si>
    <t>09310800</t>
  </si>
  <si>
    <t>09600315</t>
  </si>
  <si>
    <t>09230100</t>
  </si>
  <si>
    <t>09230200</t>
  </si>
  <si>
    <t>09601115</t>
  </si>
  <si>
    <t>09601116</t>
  </si>
  <si>
    <t>09601117</t>
  </si>
  <si>
    <t>09601118</t>
  </si>
  <si>
    <t>09601119</t>
  </si>
  <si>
    <t>09601120</t>
  </si>
  <si>
    <t>09601121</t>
  </si>
  <si>
    <t>09601122</t>
  </si>
  <si>
    <t>09601123</t>
  </si>
  <si>
    <t>09601124</t>
  </si>
  <si>
    <t>09601125</t>
  </si>
  <si>
    <t>09601126</t>
  </si>
  <si>
    <t>09203813</t>
  </si>
  <si>
    <t>09600118</t>
  </si>
  <si>
    <t>09203213</t>
  </si>
  <si>
    <t>09305700</t>
  </si>
  <si>
    <t>09305800</t>
  </si>
  <si>
    <t>09600119</t>
  </si>
  <si>
    <t>09600120</t>
  </si>
  <si>
    <t>09202725</t>
  </si>
  <si>
    <t>09202735</t>
  </si>
  <si>
    <t>09202745</t>
  </si>
  <si>
    <t>09600122</t>
  </si>
  <si>
    <t>09600123</t>
  </si>
  <si>
    <t>09600125</t>
  </si>
  <si>
    <t>09600126</t>
  </si>
  <si>
    <t>09600127</t>
  </si>
  <si>
    <t>09305600</t>
  </si>
  <si>
    <t>09600129</t>
  </si>
  <si>
    <t>09600132</t>
  </si>
  <si>
    <t>09203425</t>
  </si>
  <si>
    <t>09203435</t>
  </si>
  <si>
    <t>09203313</t>
  </si>
  <si>
    <t>09600133</t>
  </si>
  <si>
    <t>09600134</t>
  </si>
  <si>
    <t>09306000</t>
  </si>
  <si>
    <t>09601127</t>
  </si>
  <si>
    <t>09600138</t>
  </si>
  <si>
    <t>09600139</t>
  </si>
  <si>
    <t>09600140</t>
  </si>
  <si>
    <t>09600316</t>
  </si>
  <si>
    <t>09600317</t>
  </si>
  <si>
    <t>09600141</t>
  </si>
  <si>
    <t>09600142</t>
  </si>
  <si>
    <t>09600143</t>
  </si>
  <si>
    <t>09600144</t>
  </si>
  <si>
    <t>09600145</t>
  </si>
  <si>
    <t>09600146</t>
  </si>
  <si>
    <t>09600147</t>
  </si>
  <si>
    <t>09601128</t>
  </si>
  <si>
    <t>09600148</t>
  </si>
  <si>
    <t>09601129</t>
  </si>
  <si>
    <t>09601130</t>
  </si>
  <si>
    <t>09601131</t>
  </si>
  <si>
    <t>09601132</t>
  </si>
  <si>
    <t>09601133</t>
  </si>
  <si>
    <t>09601134</t>
  </si>
  <si>
    <t>09601135</t>
  </si>
  <si>
    <t>09601136</t>
  </si>
  <si>
    <t>09601137</t>
  </si>
  <si>
    <t>09601138</t>
  </si>
  <si>
    <t>09601139</t>
  </si>
  <si>
    <t>09601140</t>
  </si>
  <si>
    <t>09601141</t>
  </si>
  <si>
    <t>09306200</t>
  </si>
  <si>
    <t>09306300</t>
  </si>
  <si>
    <t>09306400</t>
  </si>
  <si>
    <t>09601142</t>
  </si>
  <si>
    <t>09601143</t>
  </si>
  <si>
    <t>09601144</t>
  </si>
  <si>
    <t>09204013</t>
  </si>
  <si>
    <t>09600150</t>
  </si>
  <si>
    <t>09601145</t>
  </si>
  <si>
    <t>09306900</t>
  </si>
  <si>
    <t>09202313</t>
  </si>
  <si>
    <t>09600409</t>
  </si>
  <si>
    <t>09202413</t>
  </si>
  <si>
    <t>09260500</t>
  </si>
  <si>
    <t>09601146</t>
  </si>
  <si>
    <t>09600103</t>
  </si>
  <si>
    <t>09601147</t>
  </si>
  <si>
    <t>09400092</t>
  </si>
  <si>
    <t>09400093</t>
  </si>
  <si>
    <t>09601148</t>
  </si>
  <si>
    <t>09601149</t>
  </si>
  <si>
    <t>09500500</t>
  </si>
  <si>
    <t>09500501</t>
  </si>
  <si>
    <t>09600410</t>
  </si>
  <si>
    <t>09500502</t>
  </si>
  <si>
    <t>09601150</t>
  </si>
  <si>
    <t>09601151</t>
  </si>
  <si>
    <t>09601152</t>
  </si>
  <si>
    <t>09601153</t>
  </si>
  <si>
    <t>09600151</t>
  </si>
  <si>
    <t>09600152</t>
  </si>
  <si>
    <t>09204947</t>
  </si>
  <si>
    <t>09600320</t>
  </si>
  <si>
    <t>09600321</t>
  </si>
  <si>
    <t>09600153</t>
  </si>
  <si>
    <t>09600154</t>
  </si>
  <si>
    <t>09204949</t>
  </si>
  <si>
    <t>09600322</t>
  </si>
  <si>
    <t>09600323</t>
  </si>
  <si>
    <t>09300500</t>
  </si>
  <si>
    <t>09310900</t>
  </si>
  <si>
    <t>09311000</t>
  </si>
  <si>
    <t>09311100</t>
  </si>
  <si>
    <t>09311200</t>
  </si>
  <si>
    <t>09400094</t>
  </si>
  <si>
    <t>09400095</t>
  </si>
  <si>
    <t>09400096</t>
  </si>
  <si>
    <t>09400097</t>
  </si>
  <si>
    <t>09400098</t>
  </si>
  <si>
    <t>09601154</t>
  </si>
  <si>
    <t>09601155</t>
  </si>
  <si>
    <t>09601156</t>
  </si>
  <si>
    <t>09601157</t>
  </si>
  <si>
    <t>09601158</t>
  </si>
  <si>
    <t>09400090</t>
  </si>
  <si>
    <t>09400091</t>
  </si>
  <si>
    <t>09306600</t>
  </si>
  <si>
    <t>09306800</t>
  </si>
  <si>
    <t>09600105</t>
  </si>
  <si>
    <t>09600324</t>
  </si>
  <si>
    <t>09306801</t>
  </si>
  <si>
    <t>09204213</t>
  </si>
  <si>
    <t>09204214</t>
  </si>
  <si>
    <t>09601159</t>
  </si>
  <si>
    <t>09601160</t>
  </si>
  <si>
    <t>09240700</t>
  </si>
  <si>
    <t>09600325</t>
  </si>
  <si>
    <t>09600158</t>
  </si>
  <si>
    <t>09600159</t>
  </si>
  <si>
    <t>09204953</t>
  </si>
  <si>
    <t>09204954</t>
  </si>
  <si>
    <t>09600327</t>
  </si>
  <si>
    <t>09600160</t>
  </si>
  <si>
    <t>09600161</t>
  </si>
  <si>
    <t>09600162</t>
  </si>
  <si>
    <t>09216513</t>
  </si>
  <si>
    <t>09216613</t>
  </si>
  <si>
    <t>09600328</t>
  </si>
  <si>
    <t>09600163</t>
  </si>
  <si>
    <t>09600164</t>
  </si>
  <si>
    <t>09600165</t>
  </si>
  <si>
    <t>09216913</t>
  </si>
  <si>
    <t>09217013</t>
  </si>
  <si>
    <t>09600329</t>
  </si>
  <si>
    <t>09600166</t>
  </si>
  <si>
    <t>09600170</t>
  </si>
  <si>
    <t>09600171</t>
  </si>
  <si>
    <t>09217913</t>
  </si>
  <si>
    <t>09218013</t>
  </si>
  <si>
    <t>09600331</t>
  </si>
  <si>
    <t>09600172</t>
  </si>
  <si>
    <t>09600173</t>
  </si>
  <si>
    <t>09600174</t>
  </si>
  <si>
    <t>09600175</t>
  </si>
  <si>
    <t>09600176</t>
  </si>
  <si>
    <t>09600332</t>
  </si>
  <si>
    <t>09600177</t>
  </si>
  <si>
    <t>09600178</t>
  </si>
  <si>
    <t>09600179</t>
  </si>
  <si>
    <t>09218313</t>
  </si>
  <si>
    <t>09218413</t>
  </si>
  <si>
    <t>09600333</t>
  </si>
  <si>
    <t>09600180</t>
  </si>
  <si>
    <t>09600181</t>
  </si>
  <si>
    <t>09600182</t>
  </si>
  <si>
    <t>09218813</t>
  </si>
  <si>
    <t>09218913</t>
  </si>
  <si>
    <t>09600334</t>
  </si>
  <si>
    <t>09600183</t>
  </si>
  <si>
    <t>09600184</t>
  </si>
  <si>
    <t>09600185</t>
  </si>
  <si>
    <t>09219213</t>
  </si>
  <si>
    <t>09219313</t>
  </si>
  <si>
    <t>09600335</t>
  </si>
  <si>
    <t>09600186</t>
  </si>
  <si>
    <t>09600187</t>
  </si>
  <si>
    <t>09600188</t>
  </si>
  <si>
    <t>09600189</t>
  </si>
  <si>
    <t>09600190</t>
  </si>
  <si>
    <t>09600336</t>
  </si>
  <si>
    <t>09600191</t>
  </si>
  <si>
    <t>09600192</t>
  </si>
  <si>
    <t>09600193</t>
  </si>
  <si>
    <t>09309000</t>
  </si>
  <si>
    <t>09309050</t>
  </si>
  <si>
    <t>09600337</t>
  </si>
  <si>
    <t>09600194</t>
  </si>
  <si>
    <t>09600195</t>
  </si>
  <si>
    <t>09600196</t>
  </si>
  <si>
    <t>09309200</t>
  </si>
  <si>
    <t>09309250</t>
  </si>
  <si>
    <t>09600338</t>
  </si>
  <si>
    <t>09600197</t>
  </si>
  <si>
    <t>09600198</t>
  </si>
  <si>
    <t>09600199</t>
  </si>
  <si>
    <t>09240500</t>
  </si>
  <si>
    <t>09240600</t>
  </si>
  <si>
    <t>09600339</t>
  </si>
  <si>
    <t>09600200</t>
  </si>
  <si>
    <t>09601161</t>
  </si>
  <si>
    <t>09601162</t>
  </si>
  <si>
    <t>09601163</t>
  </si>
  <si>
    <t>09601164</t>
  </si>
  <si>
    <t>09601165</t>
  </si>
  <si>
    <t>09601166</t>
  </si>
  <si>
    <t>09204317</t>
  </si>
  <si>
    <t>09204417</t>
  </si>
  <si>
    <t>09204517</t>
  </si>
  <si>
    <t>09204717</t>
  </si>
  <si>
    <t>09400080</t>
  </si>
  <si>
    <t>09400200</t>
  </si>
  <si>
    <t>09400201</t>
  </si>
  <si>
    <t>09400202</t>
  </si>
  <si>
    <t>09400203</t>
  </si>
  <si>
    <t>09400204</t>
  </si>
  <si>
    <t>09400205</t>
  </si>
  <si>
    <t>09400206</t>
  </si>
  <si>
    <t>09600201</t>
  </si>
  <si>
    <t>09600202</t>
  </si>
  <si>
    <t>09600203</t>
  </si>
  <si>
    <t>09601167</t>
  </si>
  <si>
    <t>09215313</t>
  </si>
  <si>
    <t>09600311</t>
  </si>
  <si>
    <t>09600411</t>
  </si>
  <si>
    <t>09600412</t>
  </si>
  <si>
    <t>09600111</t>
  </si>
  <si>
    <t>09600112</t>
  </si>
  <si>
    <t>09600113</t>
  </si>
  <si>
    <t>09600114</t>
  </si>
  <si>
    <t>09600115</t>
  </si>
  <si>
    <t>09600117</t>
  </si>
  <si>
    <t>09600121</t>
  </si>
  <si>
    <t>09600124</t>
  </si>
  <si>
    <t>09600128</t>
  </si>
  <si>
    <t>09600130</t>
  </si>
  <si>
    <t>09600131</t>
  </si>
  <si>
    <t>09600135</t>
  </si>
  <si>
    <t>09600137</t>
  </si>
  <si>
    <t>09600318</t>
  </si>
  <si>
    <t>09600149</t>
  </si>
  <si>
    <t>09600319</t>
  </si>
  <si>
    <t>09306500</t>
  </si>
  <si>
    <t>09260600</t>
  </si>
  <si>
    <t>09204944</t>
  </si>
  <si>
    <t>09500503</t>
  </si>
  <si>
    <t>09600106</t>
  </si>
  <si>
    <t>09600155</t>
  </si>
  <si>
    <t>09600156</t>
  </si>
  <si>
    <t>09216113</t>
  </si>
  <si>
    <t>09216213</t>
  </si>
  <si>
    <t>09600326</t>
  </si>
  <si>
    <t>09600157</t>
  </si>
  <si>
    <t>19191021</t>
  </si>
  <si>
    <t>19191022</t>
  </si>
  <si>
    <t>19191023</t>
  </si>
  <si>
    <t>19191024</t>
  </si>
  <si>
    <t>19191025</t>
  </si>
  <si>
    <t>19191026</t>
  </si>
  <si>
    <t>19191027</t>
  </si>
  <si>
    <t>19191028</t>
  </si>
  <si>
    <t>19191029</t>
  </si>
  <si>
    <t>19191030</t>
  </si>
  <si>
    <t>19191031</t>
  </si>
  <si>
    <t>19191032</t>
  </si>
  <si>
    <t>19191033</t>
  </si>
  <si>
    <t>19191034</t>
  </si>
  <si>
    <t>19191035</t>
  </si>
  <si>
    <t>19191036</t>
  </si>
  <si>
    <t>19191037</t>
  </si>
  <si>
    <t>19191038</t>
  </si>
  <si>
    <t>19191039</t>
  </si>
  <si>
    <t>19191040</t>
  </si>
  <si>
    <t>19191041</t>
  </si>
  <si>
    <t>19191042</t>
  </si>
  <si>
    <t>19191043</t>
  </si>
  <si>
    <t>19191044</t>
  </si>
  <si>
    <t>19191045</t>
  </si>
  <si>
    <t>19191046</t>
  </si>
  <si>
    <t>19191047</t>
  </si>
  <si>
    <t>19191048</t>
  </si>
  <si>
    <t>19191049</t>
  </si>
  <si>
    <t>19191050</t>
  </si>
  <si>
    <t>19191051</t>
  </si>
  <si>
    <t>19191052</t>
  </si>
  <si>
    <t>19191053</t>
  </si>
  <si>
    <t>19191054</t>
  </si>
  <si>
    <t>23042000A</t>
  </si>
  <si>
    <t>23044400A</t>
  </si>
  <si>
    <t>01030100</t>
  </si>
  <si>
    <t>01030300</t>
  </si>
  <si>
    <t>01060100</t>
  </si>
  <si>
    <t>01030400</t>
  </si>
  <si>
    <t>25502200A</t>
  </si>
  <si>
    <t>29000002</t>
  </si>
  <si>
    <t>29000003</t>
  </si>
  <si>
    <t>29000004</t>
  </si>
  <si>
    <t>29000005</t>
  </si>
  <si>
    <t>27281615A</t>
  </si>
  <si>
    <t>27281615B</t>
  </si>
  <si>
    <t>27281615C</t>
  </si>
  <si>
    <t>COSDIGOS NUEVOS</t>
  </si>
  <si>
    <t>05226600</t>
  </si>
  <si>
    <t>05226700</t>
  </si>
  <si>
    <t>05226800</t>
  </si>
  <si>
    <t>N° de casos revisados antes del primer tratamiento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</si>
</sst>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8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8"/>
      <name val="Verdana"/>
      <family val="2"/>
    </font>
    <font>
      <sz val="9"/>
      <name val="Calibri"/>
      <family val="2"/>
      <scheme val="minor"/>
    </font>
    <font>
      <sz val="9"/>
      <color rgb="FFFF0000"/>
      <name val="Verdana"/>
      <family val="2"/>
    </font>
    <font>
      <sz val="11"/>
      <name val="Verdana"/>
      <family val="2"/>
    </font>
    <font>
      <sz val="9"/>
      <color rgb="FF4472C4"/>
      <name val="Verdana"/>
      <family val="2"/>
    </font>
    <font>
      <sz val="9"/>
      <name val="Verdana"/>
      <family val="2"/>
    </font>
    <font>
      <sz val="11"/>
      <color indexed="8"/>
      <name val="Verdana"/>
      <family val="2"/>
    </font>
    <font>
      <sz val="9"/>
      <color rgb="FFFF0000"/>
      <name val="Calibri"/>
      <family val="2"/>
      <scheme val="minor"/>
    </font>
    <font>
      <sz val="8"/>
      <color rgb="FFFF0000"/>
      <name val="Verdana"/>
      <family val="2"/>
    </font>
    <font>
      <sz val="11"/>
      <name val="Arial"/>
      <family val="2"/>
    </font>
    <font>
      <sz val="10"/>
      <color theme="8"/>
      <name val="Verdana"/>
      <family val="2"/>
    </font>
    <font>
      <b/>
      <sz val="9"/>
      <color theme="8"/>
      <name val="Verdana"/>
      <family val="2"/>
    </font>
    <font>
      <sz val="12"/>
      <color rgb="FFFF0000"/>
      <name val="Arial"/>
      <family val="2"/>
    </font>
    <font>
      <b/>
      <sz val="9"/>
      <color rgb="FFFF0000"/>
      <name val="Verdana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00"/>
        <bgColor indexed="64"/>
      </patternFill>
    </fill>
  </fills>
  <borders count="12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90" applyNumberFormat="0">
      <protection locked="0"/>
    </xf>
    <xf numFmtId="0" fontId="10" fillId="41" borderId="190" applyNumberFormat="0">
      <protection locked="0"/>
    </xf>
    <xf numFmtId="0" fontId="10" fillId="41" borderId="188" applyBorder="0">
      <protection locked="0"/>
    </xf>
    <xf numFmtId="0" fontId="10" fillId="41" borderId="190" applyNumberFormat="0">
      <protection locked="0"/>
    </xf>
    <xf numFmtId="0" fontId="10" fillId="41" borderId="190" applyNumberFormat="0">
      <protection locked="0"/>
    </xf>
    <xf numFmtId="0" fontId="10" fillId="41" borderId="188" applyBorder="0">
      <protection locked="0"/>
    </xf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2" applyNumberFormat="0" applyFont="0" applyAlignment="0" applyProtection="0"/>
    <xf numFmtId="0" fontId="10" fillId="41" borderId="193" applyNumberFormat="0">
      <protection locked="0"/>
    </xf>
    <xf numFmtId="0" fontId="10" fillId="9" borderId="192" applyNumberFormat="0" applyFont="0" applyAlignment="0" applyProtection="0"/>
    <xf numFmtId="0" fontId="10" fillId="41" borderId="194" applyNumberFormat="0">
      <protection locked="0"/>
    </xf>
    <xf numFmtId="0" fontId="10" fillId="41" borderId="194" applyNumberFormat="0">
      <protection locked="0"/>
    </xf>
    <xf numFmtId="0" fontId="10" fillId="41" borderId="194" applyNumberFormat="0">
      <protection locked="0"/>
    </xf>
    <xf numFmtId="0" fontId="10" fillId="41" borderId="194" applyNumberFormat="0">
      <protection locked="0"/>
    </xf>
    <xf numFmtId="0" fontId="10" fillId="9" borderId="195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41" borderId="202" applyNumberFormat="0">
      <protection locked="0"/>
    </xf>
    <xf numFmtId="0" fontId="10" fillId="41" borderId="201" applyBorder="0">
      <protection locked="0"/>
    </xf>
    <xf numFmtId="0" fontId="10" fillId="9" borderId="200" applyNumberFormat="0" applyFont="0" applyAlignment="0" applyProtection="0"/>
    <xf numFmtId="0" fontId="10" fillId="41" borderId="202" applyNumberFormat="0">
      <protection locked="0"/>
    </xf>
    <xf numFmtId="0" fontId="10" fillId="9" borderId="226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41" borderId="230" applyNumberFormat="0">
      <protection locked="0"/>
    </xf>
    <xf numFmtId="0" fontId="10" fillId="41" borderId="228" applyBorder="0">
      <protection locked="0"/>
    </xf>
    <xf numFmtId="0" fontId="10" fillId="9" borderId="229" applyNumberFormat="0" applyFont="0" applyAlignment="0" applyProtection="0"/>
    <xf numFmtId="0" fontId="10" fillId="9" borderId="271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41" borderId="273" applyNumberFormat="0">
      <protection locked="0"/>
    </xf>
    <xf numFmtId="0" fontId="10" fillId="41" borderId="253" applyBorder="0">
      <protection locked="0"/>
    </xf>
    <xf numFmtId="0" fontId="10" fillId="9" borderId="271" applyNumberFormat="0" applyFont="0" applyAlignment="0" applyProtection="0"/>
  </cellStyleXfs>
  <cellXfs count="8013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3" xfId="0" applyNumberFormat="1" applyFont="1" applyFill="1" applyBorder="1" applyProtection="1">
      <protection locked="0"/>
    </xf>
    <xf numFmtId="1" fontId="3" fillId="0" borderId="231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1" xfId="0" applyNumberFormat="1" applyFont="1" applyBorder="1" applyAlignment="1">
      <alignment wrapText="1"/>
    </xf>
    <xf numFmtId="1" fontId="3" fillId="0" borderId="203" xfId="0" applyNumberFormat="1" applyFont="1" applyBorder="1"/>
    <xf numFmtId="1" fontId="3" fillId="0" borderId="231" xfId="0" applyNumberFormat="1" applyFont="1" applyBorder="1" applyAlignment="1" applyProtection="1">
      <alignment wrapText="1"/>
      <protection hidden="1"/>
    </xf>
    <xf numFmtId="1" fontId="3" fillId="0" borderId="203" xfId="0" applyNumberFormat="1" applyFont="1" applyBorder="1" applyAlignment="1">
      <alignment horizontal="right"/>
    </xf>
    <xf numFmtId="1" fontId="3" fillId="0" borderId="203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1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3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6" xfId="0" applyNumberFormat="1" applyFont="1" applyBorder="1"/>
    <xf numFmtId="1" fontId="3" fillId="7" borderId="236" xfId="0" applyNumberFormat="1" applyFont="1" applyFill="1" applyBorder="1" applyAlignment="1">
      <alignment horizontal="right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6" xfId="0" applyNumberFormat="1" applyFont="1" applyBorder="1" applyAlignment="1">
      <alignment vertical="center"/>
    </xf>
    <xf numFmtId="1" fontId="3" fillId="3" borderId="256" xfId="0" applyNumberFormat="1" applyFont="1" applyFill="1" applyBorder="1" applyAlignment="1">
      <alignment horizontal="right"/>
    </xf>
    <xf numFmtId="1" fontId="3" fillId="0" borderId="236" xfId="0" applyNumberFormat="1" applyFont="1" applyBorder="1" applyAlignment="1">
      <alignment vertical="center" wrapText="1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58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Protection="1"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8" xfId="24" applyNumberFormat="1" applyFont="1" applyFill="1" applyBorder="1"/>
    <xf numFmtId="1" fontId="3" fillId="6" borderId="255" xfId="24" applyNumberFormat="1" applyFont="1" applyFill="1" applyBorder="1"/>
    <xf numFmtId="1" fontId="3" fillId="4" borderId="258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8" xfId="0" applyNumberFormat="1" applyFont="1" applyFill="1" applyBorder="1" applyAlignment="1" applyProtection="1">
      <alignment vertical="center"/>
      <protection locked="0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262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258" xfId="0" applyNumberFormat="1" applyFont="1" applyBorder="1" applyAlignment="1">
      <alignment horizontal="right" vertical="center" wrapText="1"/>
    </xf>
    <xf numFmtId="1" fontId="3" fillId="6" borderId="256" xfId="0" applyNumberFormat="1" applyFont="1" applyFill="1" applyBorder="1" applyAlignment="1">
      <alignment vertical="center"/>
    </xf>
    <xf numFmtId="1" fontId="3" fillId="6" borderId="262" xfId="0" applyNumberFormat="1" applyFont="1" applyFill="1" applyBorder="1" applyAlignment="1">
      <alignment vertical="center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3" xfId="0" applyNumberFormat="1" applyFont="1" applyFill="1" applyBorder="1"/>
    <xf numFmtId="0" fontId="17" fillId="40" borderId="256" xfId="0" applyFont="1" applyFill="1" applyBorder="1" applyAlignment="1" applyProtection="1">
      <alignment horizontal="center"/>
      <protection locked="0"/>
    </xf>
    <xf numFmtId="1" fontId="3" fillId="4" borderId="275" xfId="0" applyNumberFormat="1" applyFont="1" applyFill="1" applyBorder="1" applyProtection="1">
      <protection locked="0"/>
    </xf>
    <xf numFmtId="1" fontId="6" fillId="0" borderId="277" xfId="0" applyNumberFormat="1" applyFont="1" applyBorder="1"/>
    <xf numFmtId="1" fontId="3" fillId="6" borderId="281" xfId="0" applyNumberFormat="1" applyFont="1" applyFill="1" applyBorder="1"/>
    <xf numFmtId="1" fontId="3" fillId="6" borderId="255" xfId="0" applyNumberFormat="1" applyFont="1" applyFill="1" applyBorder="1"/>
    <xf numFmtId="1" fontId="3" fillId="6" borderId="261" xfId="0" applyNumberFormat="1" applyFont="1" applyFill="1" applyBorder="1"/>
    <xf numFmtId="1" fontId="3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2" fillId="0" borderId="305" xfId="0" applyNumberFormat="1" applyFont="1" applyBorder="1"/>
    <xf numFmtId="1" fontId="3" fillId="0" borderId="275" xfId="0" applyNumberFormat="1" applyFont="1" applyBorder="1"/>
    <xf numFmtId="1" fontId="3" fillId="0" borderId="255" xfId="0" applyNumberFormat="1" applyFont="1" applyBorder="1"/>
    <xf numFmtId="1" fontId="3" fillId="0" borderId="258" xfId="0" applyNumberFormat="1" applyFont="1" applyBorder="1"/>
    <xf numFmtId="1" fontId="3" fillId="0" borderId="275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0" borderId="258" xfId="0" applyNumberFormat="1" applyFont="1" applyBorder="1" applyAlignment="1">
      <alignment horizontal="right"/>
    </xf>
    <xf numFmtId="1" fontId="3" fillId="0" borderId="261" xfId="0" applyNumberFormat="1" applyFont="1" applyBorder="1"/>
    <xf numFmtId="1" fontId="3" fillId="4" borderId="277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 vertical="center" wrapText="1"/>
    </xf>
    <xf numFmtId="1" fontId="3" fillId="0" borderId="275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4" borderId="256" xfId="0" applyNumberFormat="1" applyFont="1" applyFill="1" applyBorder="1" applyProtection="1">
      <protection locked="0"/>
    </xf>
    <xf numFmtId="1" fontId="3" fillId="7" borderId="277" xfId="0" applyNumberFormat="1" applyFont="1" applyFill="1" applyBorder="1"/>
    <xf numFmtId="1" fontId="3" fillId="7" borderId="258" xfId="0" applyNumberFormat="1" applyFont="1" applyFill="1" applyBorder="1"/>
    <xf numFmtId="1" fontId="3" fillId="6" borderId="275" xfId="0" applyNumberFormat="1" applyFont="1" applyFill="1" applyBorder="1"/>
    <xf numFmtId="1" fontId="3" fillId="7" borderId="255" xfId="0" applyNumberFormat="1" applyFont="1" applyFill="1" applyBorder="1" applyAlignment="1">
      <alignment wrapText="1"/>
    </xf>
    <xf numFmtId="1" fontId="3" fillId="4" borderId="262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4" borderId="258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 applyProtection="1">
      <alignment vertical="center" wrapText="1"/>
      <protection hidden="1"/>
    </xf>
    <xf numFmtId="1" fontId="3" fillId="0" borderId="319" xfId="0" applyNumberFormat="1" applyFont="1" applyBorder="1" applyAlignment="1">
      <alignment horizontal="right" wrapText="1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0" fontId="3" fillId="0" borderId="325" xfId="0" applyFont="1" applyBorder="1" applyAlignment="1">
      <alignment vertical="center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7" borderId="275" xfId="0" applyNumberFormat="1" applyFont="1" applyFill="1" applyBorder="1" applyAlignment="1">
      <alignment horizontal="right"/>
    </xf>
    <xf numFmtId="1" fontId="3" fillId="7" borderId="312" xfId="0" applyNumberFormat="1" applyFont="1" applyFill="1" applyBorder="1" applyAlignment="1">
      <alignment horizontal="right"/>
    </xf>
    <xf numFmtId="1" fontId="3" fillId="0" borderId="275" xfId="0" applyNumberFormat="1" applyFont="1" applyBorder="1" applyAlignment="1">
      <alignment horizontal="right" vertical="center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0" xfId="14" applyNumberFormat="1" applyFont="1" applyFill="1" applyBorder="1" applyProtection="1">
      <protection locked="0"/>
    </xf>
    <xf numFmtId="1" fontId="3" fillId="0" borderId="275" xfId="16" applyNumberFormat="1" applyFont="1" applyBorder="1" applyAlignment="1">
      <alignment horizontal="right" wrapText="1"/>
    </xf>
    <xf numFmtId="1" fontId="3" fillId="7" borderId="275" xfId="14" applyNumberFormat="1" applyFont="1" applyFill="1" applyBorder="1"/>
    <xf numFmtId="1" fontId="3" fillId="4" borderId="275" xfId="14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0" borderId="338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4" borderId="339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6" borderId="30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3" borderId="338" xfId="0" applyNumberFormat="1" applyFont="1" applyFill="1" applyBorder="1"/>
    <xf numFmtId="1" fontId="3" fillId="0" borderId="329" xfId="0" applyNumberFormat="1" applyFont="1" applyBorder="1" applyAlignment="1">
      <alignment wrapText="1"/>
    </xf>
    <xf numFmtId="1" fontId="3" fillId="0" borderId="329" xfId="0" applyNumberFormat="1" applyFont="1" applyBorder="1"/>
    <xf numFmtId="1" fontId="3" fillId="3" borderId="275" xfId="0" applyNumberFormat="1" applyFont="1" applyFill="1" applyBorder="1" applyAlignment="1">
      <alignment horizontal="right" wrapText="1"/>
    </xf>
    <xf numFmtId="1" fontId="3" fillId="5" borderId="301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 vertical="center" wrapText="1"/>
    </xf>
    <xf numFmtId="1" fontId="3" fillId="5" borderId="275" xfId="0" applyNumberFormat="1" applyFont="1" applyFill="1" applyBorder="1" applyAlignment="1">
      <alignment horizontal="right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275" xfId="0" applyNumberFormat="1" applyFont="1" applyFill="1" applyBorder="1" applyAlignment="1">
      <alignment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01" xfId="0" applyNumberFormat="1" applyFont="1" applyBorder="1" applyAlignment="1">
      <alignment horizontal="right" vertical="center"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7" borderId="334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66" fontId="3" fillId="5" borderId="301" xfId="18" applyNumberFormat="1" applyFont="1" applyFill="1" applyBorder="1" applyAlignment="1" applyProtection="1">
      <alignment horizontal="right"/>
    </xf>
    <xf numFmtId="1" fontId="3" fillId="0" borderId="355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wrapText="1"/>
    </xf>
    <xf numFmtId="1" fontId="3" fillId="4" borderId="356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0" fontId="3" fillId="0" borderId="365" xfId="0" applyFont="1" applyBorder="1"/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0" borderId="319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4" borderId="35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4" borderId="357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9" borderId="275" xfId="24" applyNumberFormat="1" applyFont="1" applyBorder="1" applyProtection="1">
      <protection locked="0"/>
    </xf>
    <xf numFmtId="1" fontId="3" fillId="6" borderId="300" xfId="24" applyNumberFormat="1" applyFont="1" applyFill="1" applyBorder="1"/>
    <xf numFmtId="1" fontId="3" fillId="9" borderId="352" xfId="24" applyNumberFormat="1" applyFont="1" applyBorder="1" applyProtection="1">
      <protection locked="0"/>
    </xf>
    <xf numFmtId="1" fontId="3" fillId="9" borderId="300" xfId="24" applyNumberFormat="1" applyFont="1" applyBorder="1" applyProtection="1">
      <protection locked="0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wrapText="1"/>
    </xf>
    <xf numFmtId="1" fontId="3" fillId="0" borderId="301" xfId="0" applyNumberFormat="1" applyFont="1" applyBorder="1" applyAlignment="1">
      <alignment vertical="center" wrapText="1"/>
    </xf>
    <xf numFmtId="1" fontId="3" fillId="9" borderId="357" xfId="24" applyNumberFormat="1" applyFont="1" applyBorder="1" applyProtection="1">
      <protection locked="0"/>
    </xf>
    <xf numFmtId="1" fontId="3" fillId="3" borderId="352" xfId="0" applyNumberFormat="1" applyFont="1" applyFill="1" applyBorder="1"/>
    <xf numFmtId="1" fontId="3" fillId="9" borderId="301" xfId="24" applyNumberFormat="1" applyFont="1" applyBorder="1" applyProtection="1">
      <protection locked="0"/>
    </xf>
    <xf numFmtId="1" fontId="3" fillId="6" borderId="352" xfId="24" applyNumberFormat="1" applyFont="1" applyFill="1" applyBorder="1" applyProtection="1"/>
    <xf numFmtId="1" fontId="3" fillId="6" borderId="275" xfId="24" applyNumberFormat="1" applyFont="1" applyFill="1" applyBorder="1" applyProtection="1"/>
    <xf numFmtId="166" fontId="3" fillId="5" borderId="301" xfId="18" applyNumberFormat="1" applyFont="1" applyFill="1" applyBorder="1" applyAlignment="1" applyProtection="1">
      <alignment horizontal="right" vertical="center"/>
    </xf>
    <xf numFmtId="1" fontId="3" fillId="4" borderId="275" xfId="0" applyNumberFormat="1" applyFont="1" applyFill="1" applyBorder="1" applyAlignment="1" applyProtection="1">
      <alignment vertical="center"/>
      <protection locked="0"/>
    </xf>
    <xf numFmtId="1" fontId="3" fillId="0" borderId="277" xfId="0" applyNumberFormat="1" applyFont="1" applyBorder="1" applyAlignment="1">
      <alignment vertical="center"/>
    </xf>
    <xf numFmtId="1" fontId="3" fillId="4" borderId="300" xfId="0" applyNumberFormat="1" applyFont="1" applyFill="1" applyBorder="1" applyAlignment="1" applyProtection="1">
      <alignment vertical="center"/>
      <protection locked="0"/>
    </xf>
    <xf numFmtId="1" fontId="3" fillId="7" borderId="352" xfId="0" applyNumberFormat="1" applyFont="1" applyFill="1" applyBorder="1" applyAlignment="1">
      <alignment vertical="center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7" borderId="357" xfId="0" applyNumberFormat="1" applyFont="1" applyFill="1" applyBorder="1" applyAlignment="1">
      <alignment vertical="center"/>
    </xf>
    <xf numFmtId="1" fontId="3" fillId="0" borderId="352" xfId="0" applyNumberFormat="1" applyFont="1" applyBorder="1" applyAlignment="1">
      <alignment vertical="center"/>
    </xf>
    <xf numFmtId="1" fontId="3" fillId="0" borderId="352" xfId="0" applyNumberFormat="1" applyFont="1" applyBorder="1" applyAlignment="1">
      <alignment horizontal="right"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8" borderId="300" xfId="0" applyNumberFormat="1" applyFont="1" applyFill="1" applyBorder="1" applyAlignment="1" applyProtection="1">
      <alignment vertical="center"/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3" borderId="352" xfId="23" applyNumberFormat="1" applyFont="1" applyFill="1" applyBorder="1" applyAlignment="1">
      <alignment horizontal="right" vertical="center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3" borderId="275" xfId="23" applyNumberFormat="1" applyFont="1" applyFill="1" applyBorder="1" applyAlignment="1">
      <alignment horizontal="right" vertical="center"/>
    </xf>
    <xf numFmtId="1" fontId="3" fillId="8" borderId="275" xfId="0" applyNumberFormat="1" applyFont="1" applyFill="1" applyBorder="1" applyAlignment="1" applyProtection="1">
      <alignment vertical="center"/>
      <protection locked="0"/>
    </xf>
    <xf numFmtId="1" fontId="3" fillId="6" borderId="352" xfId="23" applyNumberFormat="1" applyFont="1" applyFill="1" applyBorder="1" applyAlignment="1">
      <alignment horizontal="right" vertical="center"/>
    </xf>
    <xf numFmtId="1" fontId="3" fillId="0" borderId="301" xfId="0" applyNumberFormat="1" applyFont="1" applyBorder="1" applyAlignment="1">
      <alignment vertical="center"/>
    </xf>
    <xf numFmtId="0" fontId="3" fillId="6" borderId="352" xfId="0" applyFont="1" applyFill="1" applyBorder="1" applyAlignment="1">
      <alignment vertical="center"/>
    </xf>
    <xf numFmtId="0" fontId="3" fillId="6" borderId="275" xfId="0" applyFont="1" applyFill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2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38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0" fontId="28" fillId="0" borderId="328" xfId="0" applyFont="1" applyBorder="1" applyAlignment="1">
      <alignment horizontal="left" vertical="center"/>
    </xf>
    <xf numFmtId="0" fontId="28" fillId="4" borderId="383" xfId="0" applyFont="1" applyFill="1" applyBorder="1" applyAlignment="1" applyProtection="1">
      <alignment horizontal="center"/>
      <protection locked="0"/>
    </xf>
    <xf numFmtId="0" fontId="17" fillId="40" borderId="380" xfId="35" applyFont="1" applyFill="1" applyBorder="1" applyAlignment="1" applyProtection="1">
      <alignment horizontal="center"/>
      <protection locked="0"/>
    </xf>
    <xf numFmtId="0" fontId="17" fillId="40" borderId="379" xfId="35" applyFont="1" applyFill="1" applyBorder="1" applyAlignment="1" applyProtection="1">
      <alignment horizontal="center"/>
      <protection locked="0"/>
    </xf>
    <xf numFmtId="0" fontId="17" fillId="40" borderId="387" xfId="35" applyFont="1" applyFill="1" applyBorder="1" applyAlignment="1" applyProtection="1">
      <alignment horizontal="center"/>
      <protection locked="0"/>
    </xf>
    <xf numFmtId="0" fontId="5" fillId="3" borderId="374" xfId="0" applyFont="1" applyFill="1" applyBorder="1"/>
    <xf numFmtId="0" fontId="28" fillId="0" borderId="375" xfId="0" applyFont="1" applyBorder="1" applyAlignment="1">
      <alignment horizontal="left" vertical="center"/>
    </xf>
    <xf numFmtId="0" fontId="28" fillId="4" borderId="383" xfId="37" applyFont="1" applyFill="1" applyBorder="1" applyAlignment="1">
      <alignment horizontal="center"/>
      <protection locked="0"/>
    </xf>
    <xf numFmtId="0" fontId="33" fillId="0" borderId="312" xfId="0" applyFont="1" applyBorder="1" applyAlignment="1">
      <alignment vertical="center"/>
    </xf>
    <xf numFmtId="0" fontId="28" fillId="0" borderId="303" xfId="0" applyFont="1" applyBorder="1" applyAlignment="1">
      <alignment horizontal="left" vertical="center"/>
    </xf>
    <xf numFmtId="0" fontId="28" fillId="0" borderId="303" xfId="37" applyFont="1" applyFill="1" applyBorder="1" applyAlignment="1">
      <alignment horizontal="center"/>
      <protection locked="0"/>
    </xf>
    <xf numFmtId="0" fontId="17" fillId="0" borderId="303" xfId="35" applyFont="1" applyBorder="1" applyAlignment="1" applyProtection="1">
      <alignment horizontal="center"/>
      <protection locked="0"/>
    </xf>
    <xf numFmtId="0" fontId="28" fillId="4" borderId="368" xfId="37" applyFont="1" applyFill="1" applyBorder="1" applyAlignment="1">
      <alignment horizontal="center"/>
      <protection locked="0"/>
    </xf>
    <xf numFmtId="0" fontId="17" fillId="40" borderId="370" xfId="0" applyFont="1" applyFill="1" applyBorder="1" applyAlignment="1" applyProtection="1">
      <alignment horizontal="center"/>
      <protection locked="0"/>
    </xf>
    <xf numFmtId="0" fontId="15" fillId="0" borderId="383" xfId="0" applyFont="1" applyBorder="1" applyAlignment="1">
      <alignment horizontal="center"/>
    </xf>
    <xf numFmtId="0" fontId="28" fillId="3" borderId="328" xfId="0" applyFont="1" applyFill="1" applyBorder="1" applyAlignment="1">
      <alignment horizontal="left" vertical="center"/>
    </xf>
    <xf numFmtId="0" fontId="28" fillId="3" borderId="328" xfId="0" applyFont="1" applyFill="1" applyBorder="1" applyAlignment="1">
      <alignment horizontal="centerContinuous" vertical="center"/>
    </xf>
    <xf numFmtId="0" fontId="28" fillId="0" borderId="383" xfId="0" applyFont="1" applyBorder="1" applyAlignment="1">
      <alignment wrapText="1"/>
    </xf>
    <xf numFmtId="0" fontId="26" fillId="4" borderId="383" xfId="0" applyFont="1" applyFill="1" applyBorder="1" applyAlignment="1" applyProtection="1">
      <alignment horizontal="center"/>
      <protection locked="0"/>
    </xf>
    <xf numFmtId="0" fontId="28" fillId="0" borderId="368" xfId="0" applyFont="1" applyBorder="1"/>
    <xf numFmtId="0" fontId="26" fillId="3" borderId="328" xfId="0" applyFont="1" applyFill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4" borderId="605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31" xfId="0" applyNumberFormat="1" applyFont="1" applyBorder="1"/>
    <xf numFmtId="1" fontId="3" fillId="0" borderId="334" xfId="0" applyNumberFormat="1" applyFont="1" applyBorder="1"/>
    <xf numFmtId="1" fontId="3" fillId="4" borderId="33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326" xfId="0" applyNumberFormat="1" applyFont="1" applyBorder="1"/>
    <xf numFmtId="1" fontId="3" fillId="0" borderId="402" xfId="0" applyNumberFormat="1" applyFont="1" applyBorder="1"/>
    <xf numFmtId="1" fontId="3" fillId="0" borderId="352" xfId="0" applyNumberFormat="1" applyFont="1" applyBorder="1"/>
    <xf numFmtId="1" fontId="3" fillId="0" borderId="351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585" xfId="0" applyNumberFormat="1" applyFont="1" applyBorder="1"/>
    <xf numFmtId="1" fontId="3" fillId="3" borderId="585" xfId="0" applyNumberFormat="1" applyFont="1" applyFill="1" applyBorder="1"/>
    <xf numFmtId="1" fontId="3" fillId="4" borderId="510" xfId="0" applyNumberFormat="1" applyFont="1" applyFill="1" applyBorder="1" applyProtection="1">
      <protection locked="0"/>
    </xf>
    <xf numFmtId="1" fontId="3" fillId="4" borderId="609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3" borderId="329" xfId="0" applyNumberFormat="1" applyFont="1" applyFill="1" applyBorder="1"/>
    <xf numFmtId="1" fontId="3" fillId="0" borderId="338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3" borderId="404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0" borderId="588" xfId="0" applyNumberFormat="1" applyFont="1" applyBorder="1"/>
    <xf numFmtId="1" fontId="3" fillId="0" borderId="618" xfId="0" applyNumberFormat="1" applyFont="1" applyBorder="1"/>
    <xf numFmtId="1" fontId="3" fillId="0" borderId="616" xfId="0" applyNumberFormat="1" applyFont="1" applyBorder="1"/>
    <xf numFmtId="1" fontId="3" fillId="0" borderId="617" xfId="0" applyNumberFormat="1" applyFont="1" applyBorder="1"/>
    <xf numFmtId="1" fontId="3" fillId="0" borderId="634" xfId="0" applyNumberFormat="1" applyFont="1" applyBorder="1"/>
    <xf numFmtId="1" fontId="3" fillId="6" borderId="510" xfId="0" applyNumberFormat="1" applyFont="1" applyFill="1" applyBorder="1"/>
    <xf numFmtId="1" fontId="3" fillId="0" borderId="419" xfId="0" applyNumberFormat="1" applyFont="1" applyBorder="1"/>
    <xf numFmtId="1" fontId="3" fillId="0" borderId="404" xfId="0" applyNumberFormat="1" applyFont="1" applyBorder="1"/>
    <xf numFmtId="1" fontId="3" fillId="6" borderId="333" xfId="0" applyNumberFormat="1" applyFont="1" applyFill="1" applyBorder="1"/>
    <xf numFmtId="1" fontId="3" fillId="0" borderId="607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6" borderId="343" xfId="0" applyNumberFormat="1" applyFont="1" applyFill="1" applyBorder="1"/>
    <xf numFmtId="1" fontId="3" fillId="6" borderId="341" xfId="0" applyNumberFormat="1" applyFont="1" applyFill="1" applyBorder="1"/>
    <xf numFmtId="1" fontId="3" fillId="0" borderId="404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 applyProtection="1">
      <alignment horizontal="left" wrapText="1"/>
      <protection hidden="1"/>
    </xf>
    <xf numFmtId="1" fontId="3" fillId="0" borderId="489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/>
    <xf numFmtId="1" fontId="3" fillId="4" borderId="489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6" borderId="618" xfId="0" applyNumberFormat="1" applyFont="1" applyFill="1" applyBorder="1"/>
    <xf numFmtId="1" fontId="3" fillId="4" borderId="617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6" borderId="279" xfId="0" applyNumberFormat="1" applyFont="1" applyFill="1" applyBorder="1"/>
    <xf numFmtId="1" fontId="3" fillId="6" borderId="267" xfId="0" applyNumberFormat="1" applyFont="1" applyFill="1" applyBorder="1"/>
    <xf numFmtId="1" fontId="3" fillId="0" borderId="595" xfId="0" applyNumberFormat="1" applyFont="1" applyBorder="1"/>
    <xf numFmtId="1" fontId="3" fillId="0" borderId="613" xfId="0" applyNumberFormat="1" applyFont="1" applyBorder="1"/>
    <xf numFmtId="1" fontId="3" fillId="6" borderId="606" xfId="0" applyNumberFormat="1" applyFont="1" applyFill="1" applyBorder="1"/>
    <xf numFmtId="1" fontId="3" fillId="6" borderId="331" xfId="0" applyNumberFormat="1" applyFont="1" applyFill="1" applyBorder="1"/>
    <xf numFmtId="1" fontId="3" fillId="6" borderId="403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3" fillId="0" borderId="585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8" fillId="3" borderId="496" xfId="0" applyNumberFormat="1" applyFont="1" applyFill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4" borderId="336" xfId="0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364" xfId="0" applyNumberFormat="1" applyFont="1" applyBorder="1"/>
    <xf numFmtId="1" fontId="3" fillId="4" borderId="365" xfId="0" applyNumberFormat="1" applyFont="1" applyFill="1" applyBorder="1" applyProtection="1">
      <protection locked="0"/>
    </xf>
    <xf numFmtId="1" fontId="3" fillId="7" borderId="319" xfId="0" applyNumberFormat="1" applyFont="1" applyFill="1" applyBorder="1"/>
    <xf numFmtId="1" fontId="3" fillId="7" borderId="676" xfId="0" applyNumberFormat="1" applyFont="1" applyFill="1" applyBorder="1"/>
    <xf numFmtId="1" fontId="3" fillId="0" borderId="661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wrapText="1"/>
    </xf>
    <xf numFmtId="1" fontId="3" fillId="3" borderId="588" xfId="1" applyNumberFormat="1" applyFont="1" applyFill="1" applyBorder="1"/>
    <xf numFmtId="1" fontId="3" fillId="3" borderId="618" xfId="1" applyNumberFormat="1" applyFont="1" applyFill="1" applyBorder="1"/>
    <xf numFmtId="1" fontId="3" fillId="3" borderId="679" xfId="1" applyNumberFormat="1" applyFont="1" applyFill="1" applyBorder="1"/>
    <xf numFmtId="1" fontId="3" fillId="0" borderId="589" xfId="0" applyNumberFormat="1" applyFont="1" applyBorder="1"/>
    <xf numFmtId="1" fontId="3" fillId="4" borderId="680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3" borderId="343" xfId="1" applyNumberFormat="1" applyFont="1" applyFill="1" applyBorder="1"/>
    <xf numFmtId="1" fontId="2" fillId="3" borderId="557" xfId="0" applyNumberFormat="1" applyFont="1" applyFill="1" applyBorder="1"/>
    <xf numFmtId="1" fontId="3" fillId="0" borderId="634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/>
    <xf numFmtId="1" fontId="3" fillId="0" borderId="279" xfId="0" applyNumberFormat="1" applyFont="1" applyBorder="1"/>
    <xf numFmtId="1" fontId="3" fillId="0" borderId="270" xfId="0" applyNumberFormat="1" applyFont="1" applyBorder="1"/>
    <xf numFmtId="1" fontId="3" fillId="0" borderId="343" xfId="0" applyNumberFormat="1" applyFont="1" applyBorder="1"/>
    <xf numFmtId="1" fontId="3" fillId="0" borderId="355" xfId="0" applyNumberFormat="1" applyFont="1" applyBorder="1"/>
    <xf numFmtId="1" fontId="3" fillId="0" borderId="359" xfId="0" applyNumberFormat="1" applyFont="1" applyBorder="1"/>
    <xf numFmtId="1" fontId="6" fillId="0" borderId="681" xfId="0" applyNumberFormat="1" applyFont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4" borderId="355" xfId="0" applyNumberFormat="1" applyFont="1" applyFill="1" applyBorder="1" applyProtection="1">
      <protection locked="0"/>
    </xf>
    <xf numFmtId="1" fontId="3" fillId="0" borderId="333" xfId="0" applyNumberFormat="1" applyFont="1" applyBorder="1"/>
    <xf numFmtId="1" fontId="3" fillId="0" borderId="587" xfId="0" applyNumberFormat="1" applyFont="1" applyBorder="1" applyAlignment="1">
      <alignment horizontal="center"/>
    </xf>
    <xf numFmtId="1" fontId="3" fillId="0" borderId="685" xfId="0" applyNumberFormat="1" applyFont="1" applyBorder="1"/>
    <xf numFmtId="1" fontId="3" fillId="0" borderId="680" xfId="0" applyNumberFormat="1" applyFont="1" applyBorder="1"/>
    <xf numFmtId="1" fontId="3" fillId="0" borderId="676" xfId="0" applyNumberFormat="1" applyFont="1" applyBorder="1"/>
    <xf numFmtId="1" fontId="3" fillId="4" borderId="624" xfId="0" applyNumberFormat="1" applyFont="1" applyFill="1" applyBorder="1" applyProtection="1">
      <protection locked="0"/>
    </xf>
    <xf numFmtId="1" fontId="6" fillId="0" borderId="633" xfId="0" applyNumberFormat="1" applyFont="1" applyBorder="1"/>
    <xf numFmtId="1" fontId="6" fillId="0" borderId="686" xfId="0" applyNumberFormat="1" applyFont="1" applyBorder="1"/>
    <xf numFmtId="1" fontId="6" fillId="0" borderId="687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/>
    <xf numFmtId="1" fontId="3" fillId="0" borderId="695" xfId="0" applyNumberFormat="1" applyFont="1" applyBorder="1"/>
    <xf numFmtId="1" fontId="3" fillId="0" borderId="696" xfId="0" applyNumberFormat="1" applyFont="1" applyBorder="1"/>
    <xf numFmtId="1" fontId="3" fillId="0" borderId="697" xfId="0" applyNumberFormat="1" applyFont="1" applyBorder="1"/>
    <xf numFmtId="1" fontId="3" fillId="0" borderId="692" xfId="0" applyNumberFormat="1" applyFont="1" applyBorder="1"/>
    <xf numFmtId="1" fontId="3" fillId="0" borderId="693" xfId="0" applyNumberFormat="1" applyFont="1" applyBorder="1"/>
    <xf numFmtId="1" fontId="3" fillId="0" borderId="690" xfId="0" applyNumberFormat="1" applyFont="1" applyBorder="1"/>
    <xf numFmtId="1" fontId="3" fillId="0" borderId="691" xfId="0" applyNumberFormat="1" applyFont="1" applyBorder="1"/>
    <xf numFmtId="1" fontId="3" fillId="0" borderId="624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right"/>
    </xf>
    <xf numFmtId="1" fontId="3" fillId="0" borderId="633" xfId="0" applyNumberFormat="1" applyFont="1" applyBorder="1" applyAlignment="1">
      <alignment horizontal="right"/>
    </xf>
    <xf numFmtId="1" fontId="3" fillId="0" borderId="617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right"/>
    </xf>
    <xf numFmtId="1" fontId="3" fillId="0" borderId="279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7" borderId="339" xfId="0" applyNumberFormat="1" applyFont="1" applyFill="1" applyBorder="1"/>
    <xf numFmtId="1" fontId="3" fillId="7" borderId="326" xfId="0" applyNumberFormat="1" applyFont="1" applyFill="1" applyBorder="1"/>
    <xf numFmtId="1" fontId="3" fillId="7" borderId="352" xfId="0" applyNumberFormat="1" applyFont="1" applyFill="1" applyBorder="1"/>
    <xf numFmtId="1" fontId="3" fillId="4" borderId="270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2" fillId="0" borderId="633" xfId="0" applyNumberFormat="1" applyFont="1" applyBorder="1"/>
    <xf numFmtId="1" fontId="3" fillId="0" borderId="588" xfId="0" applyNumberFormat="1" applyFont="1" applyBorder="1" applyAlignment="1">
      <alignment wrapText="1"/>
    </xf>
    <xf numFmtId="1" fontId="3" fillId="0" borderId="618" xfId="0" applyNumberFormat="1" applyFont="1" applyBorder="1" applyAlignment="1">
      <alignment wrapText="1"/>
    </xf>
    <xf numFmtId="1" fontId="3" fillId="4" borderId="633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6" fillId="6" borderId="595" xfId="0" applyNumberFormat="1" applyFont="1" applyFill="1" applyBorder="1" applyAlignment="1">
      <alignment horizontal="center"/>
    </xf>
    <xf numFmtId="1" fontId="6" fillId="6" borderId="633" xfId="0" applyNumberFormat="1" applyFont="1" applyFill="1" applyBorder="1" applyAlignment="1">
      <alignment horizontal="center"/>
    </xf>
    <xf numFmtId="1" fontId="6" fillId="6" borderId="634" xfId="0" applyNumberFormat="1" applyFont="1" applyFill="1" applyBorder="1" applyAlignment="1">
      <alignment horizontal="center"/>
    </xf>
    <xf numFmtId="1" fontId="6" fillId="6" borderId="587" xfId="0" applyNumberFormat="1" applyFont="1" applyFill="1" applyBorder="1" applyAlignment="1">
      <alignment horizontal="center"/>
    </xf>
    <xf numFmtId="1" fontId="3" fillId="0" borderId="701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wrapText="1"/>
    </xf>
    <xf numFmtId="1" fontId="3" fillId="4" borderId="496" xfId="0" applyNumberFormat="1" applyFont="1" applyFill="1" applyBorder="1" applyProtection="1">
      <protection locked="0"/>
    </xf>
    <xf numFmtId="1" fontId="3" fillId="6" borderId="701" xfId="0" applyNumberFormat="1" applyFont="1" applyFill="1" applyBorder="1"/>
    <xf numFmtId="1" fontId="3" fillId="6" borderId="680" xfId="0" applyNumberFormat="1" applyFont="1" applyFill="1" applyBorder="1"/>
    <xf numFmtId="1" fontId="2" fillId="0" borderId="595" xfId="0" applyNumberFormat="1" applyFont="1" applyBorder="1"/>
    <xf numFmtId="1" fontId="3" fillId="0" borderId="339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336" xfId="2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4" borderId="666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7" borderId="516" xfId="0" applyNumberFormat="1" applyFont="1" applyFill="1" applyBorder="1"/>
    <xf numFmtId="1" fontId="3" fillId="7" borderId="665" xfId="0" applyNumberFormat="1" applyFont="1" applyFill="1" applyBorder="1"/>
    <xf numFmtId="1" fontId="3" fillId="7" borderId="683" xfId="0" applyNumberFormat="1" applyFont="1" applyFill="1" applyBorder="1"/>
    <xf numFmtId="1" fontId="3" fillId="7" borderId="666" xfId="0" applyNumberFormat="1" applyFont="1" applyFill="1" applyBorder="1"/>
    <xf numFmtId="1" fontId="3" fillId="7" borderId="488" xfId="0" applyNumberFormat="1" applyFont="1" applyFill="1" applyBorder="1"/>
    <xf numFmtId="1" fontId="3" fillId="7" borderId="496" xfId="0" applyNumberFormat="1" applyFont="1" applyFill="1" applyBorder="1"/>
    <xf numFmtId="1" fontId="3" fillId="7" borderId="624" xfId="0" applyNumberFormat="1" applyFont="1" applyFill="1" applyBorder="1"/>
    <xf numFmtId="1" fontId="3" fillId="0" borderId="585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4" borderId="419" xfId="0" applyNumberFormat="1" applyFont="1" applyFill="1" applyBorder="1" applyProtection="1">
      <protection locked="0"/>
    </xf>
    <xf numFmtId="1" fontId="3" fillId="7" borderId="652" xfId="0" applyNumberFormat="1" applyFont="1" applyFill="1" applyBorder="1"/>
    <xf numFmtId="1" fontId="3" fillId="6" borderId="661" xfId="0" applyNumberFormat="1" applyFont="1" applyFill="1" applyBorder="1"/>
    <xf numFmtId="1" fontId="3" fillId="6" borderId="666" xfId="0" applyNumberFormat="1" applyFont="1" applyFill="1" applyBorder="1"/>
    <xf numFmtId="1" fontId="3" fillId="6" borderId="339" xfId="0" applyNumberFormat="1" applyFont="1" applyFill="1" applyBorder="1"/>
    <xf numFmtId="1" fontId="3" fillId="6" borderId="334" xfId="0" applyNumberFormat="1" applyFont="1" applyFill="1" applyBorder="1"/>
    <xf numFmtId="1" fontId="3" fillId="0" borderId="703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8" borderId="356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6" borderId="516" xfId="0" applyNumberFormat="1" applyFont="1" applyFill="1" applyBorder="1"/>
    <xf numFmtId="1" fontId="3" fillId="6" borderId="665" xfId="0" applyNumberFormat="1" applyFont="1" applyFill="1" applyBorder="1"/>
    <xf numFmtId="1" fontId="6" fillId="6" borderId="665" xfId="0" applyNumberFormat="1" applyFont="1" applyFill="1" applyBorder="1"/>
    <xf numFmtId="1" fontId="6" fillId="6" borderId="689" xfId="0" applyNumberFormat="1" applyFont="1" applyFill="1" applyBorder="1"/>
    <xf numFmtId="1" fontId="6" fillId="6" borderId="613" xfId="0" applyNumberFormat="1" applyFont="1" applyFill="1" applyBorder="1"/>
    <xf numFmtId="1" fontId="6" fillId="6" borderId="634" xfId="0" applyNumberFormat="1" applyFont="1" applyFill="1" applyBorder="1"/>
    <xf numFmtId="1" fontId="3" fillId="0" borderId="589" xfId="0" applyNumberFormat="1" applyFont="1" applyBorder="1" applyAlignment="1">
      <alignment wrapText="1"/>
    </xf>
    <xf numFmtId="1" fontId="3" fillId="7" borderId="343" xfId="0" applyNumberFormat="1" applyFont="1" applyFill="1" applyBorder="1"/>
    <xf numFmtId="1" fontId="3" fillId="4" borderId="403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6" borderId="319" xfId="0" applyNumberFormat="1" applyFont="1" applyFill="1" applyBorder="1"/>
    <xf numFmtId="1" fontId="3" fillId="7" borderId="501" xfId="0" applyNumberFormat="1" applyFont="1" applyFill="1" applyBorder="1"/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wrapText="1"/>
      <protection hidden="1"/>
    </xf>
    <xf numFmtId="1" fontId="3" fillId="0" borderId="661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0" borderId="404" xfId="0" applyNumberFormat="1" applyFont="1" applyBorder="1" applyAlignment="1" applyProtection="1">
      <alignment wrapText="1"/>
      <protection hidden="1"/>
    </xf>
    <xf numFmtId="1" fontId="3" fillId="0" borderId="326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wrapText="1"/>
    </xf>
    <xf numFmtId="1" fontId="3" fillId="0" borderId="616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3" fillId="9" borderId="709" xfId="31" applyNumberFormat="1" applyFont="1" applyBorder="1" applyProtection="1">
      <protection locked="0"/>
    </xf>
    <xf numFmtId="1" fontId="3" fillId="9" borderId="710" xfId="31" applyNumberFormat="1" applyFont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6" fillId="0" borderId="496" xfId="0" applyNumberFormat="1" applyFont="1" applyBorder="1"/>
    <xf numFmtId="1" fontId="3" fillId="0" borderId="665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6" borderId="625" xfId="0" applyNumberFormat="1" applyFont="1" applyFill="1" applyBorder="1"/>
    <xf numFmtId="1" fontId="3" fillId="6" borderId="651" xfId="0" applyNumberFormat="1" applyFont="1" applyFill="1" applyBorder="1"/>
    <xf numFmtId="1" fontId="3" fillId="6" borderId="627" xfId="0" applyNumberFormat="1" applyFont="1" applyFill="1" applyBorder="1"/>
    <xf numFmtId="1" fontId="3" fillId="4" borderId="613" xfId="0" applyNumberFormat="1" applyFont="1" applyFill="1" applyBorder="1" applyProtection="1">
      <protection locked="0"/>
    </xf>
    <xf numFmtId="1" fontId="3" fillId="7" borderId="419" xfId="0" applyNumberFormat="1" applyFont="1" applyFill="1" applyBorder="1"/>
    <xf numFmtId="1" fontId="3" fillId="7" borderId="365" xfId="0" applyNumberFormat="1" applyFont="1" applyFill="1" applyBorder="1"/>
    <xf numFmtId="1" fontId="3" fillId="7" borderId="569" xfId="0" applyNumberFormat="1" applyFont="1" applyFill="1" applyBorder="1"/>
    <xf numFmtId="1" fontId="3" fillId="4" borderId="676" xfId="0" applyNumberFormat="1" applyFont="1" applyFill="1" applyBorder="1" applyProtection="1">
      <protection locked="0"/>
    </xf>
    <xf numFmtId="1" fontId="2" fillId="0" borderId="711" xfId="0" applyNumberFormat="1" applyFont="1" applyBorder="1"/>
    <xf numFmtId="1" fontId="6" fillId="0" borderId="712" xfId="0" applyNumberFormat="1" applyFont="1" applyBorder="1"/>
    <xf numFmtId="1" fontId="3" fillId="0" borderId="713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right" wrapText="1"/>
    </xf>
    <xf numFmtId="1" fontId="3" fillId="7" borderId="634" xfId="0" applyNumberFormat="1" applyFont="1" applyFill="1" applyBorder="1"/>
    <xf numFmtId="1" fontId="3" fillId="0" borderId="501" xfId="0" applyNumberFormat="1" applyFont="1" applyBorder="1" applyAlignment="1">
      <alignment horizontal="right" wrapText="1"/>
    </xf>
    <xf numFmtId="1" fontId="3" fillId="0" borderId="70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4" borderId="702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wrapText="1"/>
    </xf>
    <xf numFmtId="1" fontId="3" fillId="4" borderId="701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4" borderId="392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/>
    </xf>
    <xf numFmtId="1" fontId="3" fillId="0" borderId="722" xfId="0" applyNumberFormat="1" applyFont="1" applyBorder="1" applyAlignment="1">
      <alignment horizontal="right"/>
    </xf>
    <xf numFmtId="1" fontId="3" fillId="0" borderId="722" xfId="0" applyNumberFormat="1" applyFont="1" applyBorder="1"/>
    <xf numFmtId="1" fontId="3" fillId="0" borderId="726" xfId="0" applyNumberFormat="1" applyFont="1" applyBorder="1"/>
    <xf numFmtId="1" fontId="3" fillId="0" borderId="722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4" borderId="722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right"/>
    </xf>
    <xf numFmtId="1" fontId="3" fillId="4" borderId="516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4" borderId="488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Protection="1">
      <protection locked="0"/>
    </xf>
    <xf numFmtId="0" fontId="3" fillId="0" borderId="721" xfId="0" applyFont="1" applyBorder="1" applyAlignment="1">
      <alignment horizontal="center"/>
    </xf>
    <xf numFmtId="1" fontId="3" fillId="0" borderId="721" xfId="0" applyNumberFormat="1" applyFont="1" applyBorder="1"/>
    <xf numFmtId="9" fontId="3" fillId="0" borderId="634" xfId="4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1" fontId="3" fillId="0" borderId="701" xfId="0" applyNumberFormat="1" applyFont="1" applyBorder="1"/>
    <xf numFmtId="1" fontId="3" fillId="5" borderId="722" xfId="0" applyNumberFormat="1" applyFont="1" applyFill="1" applyBorder="1"/>
    <xf numFmtId="1" fontId="3" fillId="5" borderId="634" xfId="0" applyNumberFormat="1" applyFont="1" applyFill="1" applyBorder="1"/>
    <xf numFmtId="1" fontId="3" fillId="5" borderId="589" xfId="0" applyNumberFormat="1" applyFont="1" applyFill="1" applyBorder="1"/>
    <xf numFmtId="1" fontId="3" fillId="5" borderId="618" xfId="0" applyNumberFormat="1" applyFont="1" applyFill="1" applyBorder="1"/>
    <xf numFmtId="1" fontId="3" fillId="5" borderId="602" xfId="0" applyNumberFormat="1" applyFont="1" applyFill="1" applyBorder="1"/>
    <xf numFmtId="1" fontId="3" fillId="4" borderId="630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2" fillId="3" borderId="689" xfId="0" applyNumberFormat="1" applyFont="1" applyFill="1" applyBorder="1" applyAlignment="1" applyProtection="1">
      <alignment horizontal="left"/>
      <protection hidden="1"/>
    </xf>
    <xf numFmtId="1" fontId="2" fillId="3" borderId="496" xfId="0" applyNumberFormat="1" applyFont="1" applyFill="1" applyBorder="1" applyAlignment="1" applyProtection="1">
      <alignment horizontal="left"/>
      <protection hidden="1"/>
    </xf>
    <xf numFmtId="1" fontId="2" fillId="3" borderId="496" xfId="0" applyNumberFormat="1" applyFont="1" applyFill="1" applyBorder="1" applyAlignment="1">
      <alignment horizontal="left" wrapText="1"/>
    </xf>
    <xf numFmtId="1" fontId="2" fillId="3" borderId="496" xfId="0" applyNumberFormat="1" applyFont="1" applyFill="1" applyBorder="1" applyAlignment="1" applyProtection="1">
      <alignment horizontal="left" wrapText="1"/>
      <protection hidden="1"/>
    </xf>
    <xf numFmtId="1" fontId="2" fillId="3" borderId="496" xfId="0" applyNumberFormat="1" applyFont="1" applyFill="1" applyBorder="1" applyProtection="1">
      <protection hidden="1"/>
    </xf>
    <xf numFmtId="1" fontId="6" fillId="3" borderId="496" xfId="0" applyNumberFormat="1" applyFont="1" applyFill="1" applyBorder="1" applyProtection="1">
      <protection hidden="1"/>
    </xf>
    <xf numFmtId="1" fontId="2" fillId="3" borderId="496" xfId="0" applyNumberFormat="1" applyFont="1" applyFill="1" applyBorder="1" applyAlignment="1" applyProtection="1">
      <alignment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left" vertical="center" wrapText="1"/>
      <protection hidden="1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4" borderId="685" xfId="0" applyNumberFormat="1" applyFont="1" applyFill="1" applyBorder="1" applyAlignment="1" applyProtection="1">
      <alignment wrapText="1"/>
      <protection locked="0"/>
    </xf>
    <xf numFmtId="1" fontId="3" fillId="4" borderId="680" xfId="0" applyNumberFormat="1" applyFont="1" applyFill="1" applyBorder="1" applyAlignment="1" applyProtection="1">
      <alignment wrapText="1"/>
      <protection locked="0"/>
    </xf>
    <xf numFmtId="1" fontId="3" fillId="4" borderId="676" xfId="0" applyNumberFormat="1" applyFont="1" applyFill="1" applyBorder="1" applyAlignment="1" applyProtection="1">
      <alignment wrapText="1"/>
      <protection locked="0"/>
    </xf>
    <xf numFmtId="1" fontId="2" fillId="0" borderId="689" xfId="0" applyNumberFormat="1" applyFont="1" applyBorder="1" applyAlignment="1" applyProtection="1">
      <alignment horizontal="left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 applyProtection="1">
      <alignment horizontal="left" vertical="center" wrapText="1"/>
      <protection hidden="1"/>
    </xf>
    <xf numFmtId="1" fontId="3" fillId="0" borderId="329" xfId="0" applyNumberFormat="1" applyFont="1" applyBorder="1" applyAlignment="1" applyProtection="1">
      <alignment horizontal="left" vertical="center" wrapText="1"/>
      <protection hidden="1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 applyProtection="1">
      <alignment horizontal="left"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7" borderId="701" xfId="0" applyNumberFormat="1" applyFont="1" applyFill="1" applyBorder="1"/>
    <xf numFmtId="1" fontId="3" fillId="7" borderId="680" xfId="0" applyNumberFormat="1" applyFont="1" applyFill="1" applyBorder="1"/>
    <xf numFmtId="1" fontId="3" fillId="7" borderId="723" xfId="0" applyNumberFormat="1" applyFont="1" applyFill="1" applyBorder="1"/>
    <xf numFmtId="1" fontId="3" fillId="7" borderId="703" xfId="0" applyNumberFormat="1" applyFont="1" applyFill="1" applyBorder="1"/>
    <xf numFmtId="1" fontId="3" fillId="7" borderId="714" xfId="0" applyNumberFormat="1" applyFont="1" applyFill="1" applyBorder="1"/>
    <xf numFmtId="1" fontId="3" fillId="7" borderId="364" xfId="0" applyNumberFormat="1" applyFont="1" applyFill="1" applyBorder="1"/>
    <xf numFmtId="1" fontId="3" fillId="7" borderId="327" xfId="0" applyNumberFormat="1" applyFont="1" applyFill="1" applyBorder="1"/>
    <xf numFmtId="1" fontId="3" fillId="7" borderId="338" xfId="0" applyNumberFormat="1" applyFont="1" applyFill="1" applyBorder="1"/>
    <xf numFmtId="1" fontId="3" fillId="7" borderId="332" xfId="0" applyNumberFormat="1" applyFont="1" applyFill="1" applyBorder="1"/>
    <xf numFmtId="1" fontId="3" fillId="7" borderId="341" xfId="0" applyNumberFormat="1" applyFont="1" applyFill="1" applyBorder="1"/>
    <xf numFmtId="1" fontId="2" fillId="0" borderId="689" xfId="0" applyNumberFormat="1" applyFont="1" applyBorder="1" applyAlignment="1" applyProtection="1">
      <alignment horizontal="left"/>
      <protection hidden="1"/>
    </xf>
    <xf numFmtId="1" fontId="2" fillId="0" borderId="496" xfId="0" applyNumberFormat="1" applyFont="1" applyBorder="1" applyAlignment="1" applyProtection="1">
      <alignment horizontal="left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vertical="center" wrapText="1"/>
      <protection hidden="1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606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 applyProtection="1">
      <alignment vertical="center" wrapText="1"/>
      <protection hidden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 applyProtection="1">
      <alignment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3" borderId="329" xfId="0" applyNumberFormat="1" applyFont="1" applyFill="1" applyBorder="1" applyAlignment="1" applyProtection="1">
      <alignment vertical="center" wrapText="1"/>
      <protection hidden="1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2" fillId="0" borderId="729" xfId="0" applyNumberFormat="1" applyFont="1" applyBorder="1" applyAlignment="1">
      <alignment horizontal="left"/>
    </xf>
    <xf numFmtId="1" fontId="6" fillId="0" borderId="251" xfId="0" applyNumberFormat="1" applyFont="1" applyBorder="1"/>
    <xf numFmtId="1" fontId="3" fillId="3" borderId="613" xfId="0" applyNumberFormat="1" applyFont="1" applyFill="1" applyBorder="1" applyProtection="1">
      <protection hidden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right" wrapText="1"/>
    </xf>
    <xf numFmtId="1" fontId="3" fillId="0" borderId="250" xfId="0" applyNumberFormat="1" applyFont="1" applyBorder="1" applyAlignment="1">
      <alignment horizontal="right" wrapText="1"/>
    </xf>
    <xf numFmtId="1" fontId="3" fillId="0" borderId="252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6" fillId="3" borderId="251" xfId="0" applyNumberFormat="1" applyFont="1" applyFill="1" applyBorder="1" applyProtection="1">
      <protection hidden="1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251" xfId="0" applyNumberFormat="1" applyFont="1" applyBorder="1" applyAlignment="1">
      <alignment horizontal="center" vertical="center" wrapText="1"/>
    </xf>
    <xf numFmtId="1" fontId="13" fillId="3" borderId="25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>
      <alignment vertical="center"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5" borderId="723" xfId="0" applyNumberFormat="1" applyFont="1" applyFill="1" applyBorder="1" applyAlignment="1">
      <alignment vertical="center" wrapText="1"/>
    </xf>
    <xf numFmtId="1" fontId="3" fillId="5" borderId="701" xfId="0" applyNumberFormat="1" applyFont="1" applyFill="1" applyBorder="1" applyAlignment="1">
      <alignment horizontal="right" wrapText="1"/>
    </xf>
    <xf numFmtId="1" fontId="3" fillId="5" borderId="685" xfId="0" applyNumberFormat="1" applyFont="1" applyFill="1" applyBorder="1" applyAlignment="1">
      <alignment horizontal="right" wrapText="1"/>
    </xf>
    <xf numFmtId="1" fontId="3" fillId="5" borderId="680" xfId="0" applyNumberFormat="1" applyFont="1" applyFill="1" applyBorder="1" applyAlignment="1">
      <alignment horizontal="right"/>
    </xf>
    <xf numFmtId="1" fontId="3" fillId="5" borderId="338" xfId="0" applyNumberFormat="1" applyFont="1" applyFill="1" applyBorder="1" applyAlignment="1">
      <alignment vertical="center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343" xfId="0" applyNumberFormat="1" applyFont="1" applyFill="1" applyBorder="1" applyAlignment="1">
      <alignment horizontal="right" wrapText="1"/>
    </xf>
    <xf numFmtId="1" fontId="3" fillId="5" borderId="334" xfId="0" applyNumberFormat="1" applyFont="1" applyFill="1" applyBorder="1" applyAlignment="1">
      <alignment horizontal="right"/>
    </xf>
    <xf numFmtId="1" fontId="2" fillId="0" borderId="251" xfId="0" applyNumberFormat="1" applyFont="1" applyBorder="1"/>
    <xf numFmtId="1" fontId="3" fillId="0" borderId="299" xfId="0" applyNumberFormat="1" applyFont="1" applyBorder="1" applyAlignment="1">
      <alignment horizontal="center" vertical="center"/>
    </xf>
    <xf numFmtId="1" fontId="3" fillId="0" borderId="338" xfId="0" quotePrefix="1" applyNumberFormat="1" applyFont="1" applyBorder="1"/>
    <xf numFmtId="1" fontId="3" fillId="3" borderId="392" xfId="0" applyNumberFormat="1" applyFont="1" applyFill="1" applyBorder="1"/>
    <xf numFmtId="1" fontId="3" fillId="0" borderId="299" xfId="0" applyNumberFormat="1" applyFont="1" applyBorder="1"/>
    <xf numFmtId="1" fontId="3" fillId="3" borderId="419" xfId="0" applyNumberFormat="1" applyFont="1" applyFill="1" applyBorder="1"/>
    <xf numFmtId="1" fontId="2" fillId="3" borderId="251" xfId="0" applyNumberFormat="1" applyFont="1" applyFill="1" applyBorder="1"/>
    <xf numFmtId="0" fontId="3" fillId="0" borderId="630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vertical="center" wrapText="1"/>
    </xf>
    <xf numFmtId="1" fontId="3" fillId="3" borderId="252" xfId="0" applyNumberFormat="1" applyFont="1" applyFill="1" applyBorder="1"/>
    <xf numFmtId="1" fontId="3" fillId="0" borderId="736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0" fontId="3" fillId="0" borderId="834" xfId="0" applyFont="1" applyBorder="1" applyAlignment="1">
      <alignment vertical="center"/>
    </xf>
    <xf numFmtId="0" fontId="3" fillId="0" borderId="298" xfId="0" applyFont="1" applyBorder="1" applyAlignment="1">
      <alignment vertical="center"/>
    </xf>
    <xf numFmtId="0" fontId="3" fillId="0" borderId="298" xfId="0" applyFont="1" applyBorder="1" applyAlignment="1">
      <alignment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horizontal="right" vertical="center"/>
    </xf>
    <xf numFmtId="1" fontId="3" fillId="0" borderId="911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right" vertical="center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 applyAlignment="1">
      <alignment horizontal="right" vertical="center"/>
    </xf>
    <xf numFmtId="1" fontId="3" fillId="0" borderId="250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vertical="center" wrapText="1"/>
    </xf>
    <xf numFmtId="1" fontId="3" fillId="0" borderId="279" xfId="0" applyNumberFormat="1" applyFont="1" applyBorder="1" applyAlignment="1">
      <alignment horizontal="right" vertical="center" wrapText="1"/>
    </xf>
    <xf numFmtId="1" fontId="3" fillId="7" borderId="270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714" xfId="0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vertical="center" wrapText="1"/>
    </xf>
    <xf numFmtId="1" fontId="3" fillId="7" borderId="267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7" borderId="903" xfId="14" applyNumberFormat="1" applyFont="1" applyFill="1" applyBorder="1"/>
    <xf numFmtId="1" fontId="3" fillId="7" borderId="902" xfId="14" applyNumberFormat="1" applyFont="1" applyFill="1" applyBorder="1"/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7" borderId="968" xfId="14" applyNumberFormat="1" applyFont="1" applyFill="1" applyBorder="1"/>
    <xf numFmtId="1" fontId="3" fillId="7" borderId="955" xfId="14" applyNumberFormat="1" applyFont="1" applyFill="1" applyBorder="1"/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03" xfId="0" applyNumberFormat="1" applyFont="1" applyFill="1" applyBorder="1" applyAlignment="1">
      <alignment horizontal="right"/>
    </xf>
    <xf numFmtId="1" fontId="3" fillId="7" borderId="70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right" vertical="center" wrapText="1"/>
    </xf>
    <xf numFmtId="1" fontId="3" fillId="7" borderId="973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 vertical="center"/>
    </xf>
    <xf numFmtId="1" fontId="3" fillId="0" borderId="279" xfId="0" applyNumberFormat="1" applyFont="1" applyBorder="1" applyAlignment="1">
      <alignment horizontal="right"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964" xfId="14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948" xfId="14" applyNumberFormat="1" applyFont="1" applyBorder="1" applyAlignment="1" applyProtection="1">
      <alignment horizontal="center" vertical="center"/>
      <protection hidden="1"/>
    </xf>
    <xf numFmtId="1" fontId="3" fillId="0" borderId="949" xfId="14" applyNumberFormat="1" applyFont="1" applyBorder="1" applyAlignment="1" applyProtection="1">
      <alignment horizontal="center" vertical="center"/>
      <protection hidden="1"/>
    </xf>
    <xf numFmtId="1" fontId="3" fillId="0" borderId="884" xfId="15" applyNumberFormat="1" applyFont="1" applyBorder="1" applyAlignment="1">
      <alignment wrapText="1"/>
    </xf>
    <xf numFmtId="1" fontId="3" fillId="0" borderId="903" xfId="15" applyNumberFormat="1" applyFont="1" applyBorder="1" applyAlignment="1">
      <alignment horizontal="right" wrapText="1"/>
    </xf>
    <xf numFmtId="1" fontId="3" fillId="0" borderId="911" xfId="15" applyNumberFormat="1" applyFont="1" applyBorder="1" applyAlignment="1">
      <alignment horizontal="right" wrapText="1"/>
    </xf>
    <xf numFmtId="1" fontId="3" fillId="0" borderId="902" xfId="14" applyNumberFormat="1" applyFont="1" applyBorder="1" applyAlignment="1">
      <alignment horizontal="right"/>
    </xf>
    <xf numFmtId="1" fontId="3" fillId="4" borderId="903" xfId="14" applyNumberFormat="1" applyFont="1" applyFill="1" applyBorder="1" applyProtection="1">
      <protection locked="0"/>
    </xf>
    <xf numFmtId="1" fontId="3" fillId="4" borderId="902" xfId="14" applyNumberFormat="1" applyFont="1" applyFill="1" applyBorder="1" applyProtection="1">
      <protection locked="0"/>
    </xf>
    <xf numFmtId="1" fontId="3" fillId="7" borderId="919" xfId="14" applyNumberFormat="1" applyFont="1" applyFill="1" applyBorder="1"/>
    <xf numFmtId="1" fontId="3" fillId="4" borderId="270" xfId="14" applyNumberFormat="1" applyFont="1" applyFill="1" applyBorder="1" applyProtection="1">
      <protection locked="0"/>
    </xf>
    <xf numFmtId="1" fontId="3" fillId="0" borderId="967" xfId="16" applyNumberFormat="1" applyFont="1" applyBorder="1" applyAlignment="1">
      <alignment vertical="center" wrapText="1"/>
    </xf>
    <xf numFmtId="1" fontId="3" fillId="0" borderId="968" xfId="16" applyNumberFormat="1" applyFont="1" applyBorder="1" applyAlignment="1">
      <alignment horizontal="right" wrapText="1"/>
    </xf>
    <xf numFmtId="1" fontId="3" fillId="0" borderId="945" xfId="16" applyNumberFormat="1" applyFont="1" applyBorder="1" applyAlignment="1">
      <alignment horizontal="right" wrapText="1"/>
    </xf>
    <xf numFmtId="1" fontId="3" fillId="0" borderId="955" xfId="14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71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45" xfId="14" applyNumberFormat="1" applyFont="1" applyFill="1" applyBorder="1" applyProtection="1">
      <protection locked="0"/>
    </xf>
    <xf numFmtId="1" fontId="3" fillId="0" borderId="967" xfId="15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43" xfId="15" applyNumberFormat="1" applyFont="1" applyBorder="1" applyAlignment="1">
      <alignment vertical="center" wrapText="1"/>
    </xf>
    <xf numFmtId="1" fontId="3" fillId="4" borderId="354" xfId="14" applyNumberFormat="1" applyFont="1" applyFill="1" applyBorder="1" applyProtection="1">
      <protection locked="0"/>
    </xf>
    <xf numFmtId="1" fontId="3" fillId="4" borderId="359" xfId="14" applyNumberFormat="1" applyFont="1" applyFill="1" applyBorder="1" applyProtection="1">
      <protection locked="0"/>
    </xf>
    <xf numFmtId="1" fontId="3" fillId="4" borderId="351" xfId="14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947" xfId="15" applyNumberFormat="1" applyFont="1" applyBorder="1" applyAlignment="1">
      <alignment vertical="center" wrapText="1"/>
    </xf>
    <xf numFmtId="1" fontId="3" fillId="0" borderId="254" xfId="0" applyNumberFormat="1" applyFont="1" applyBorder="1" applyAlignment="1">
      <alignment horizontal="right"/>
    </xf>
    <xf numFmtId="1" fontId="3" fillId="0" borderId="250" xfId="0" applyNumberFormat="1" applyFont="1" applyBorder="1" applyAlignment="1">
      <alignment horizontal="right"/>
    </xf>
    <xf numFmtId="1" fontId="3" fillId="0" borderId="352" xfId="14" applyNumberFormat="1" applyFont="1" applyBorder="1" applyAlignment="1">
      <alignment horizontal="right"/>
    </xf>
    <xf numFmtId="1" fontId="3" fillId="4" borderId="973" xfId="14" applyNumberFormat="1" applyFont="1" applyFill="1" applyBorder="1" applyProtection="1">
      <protection locked="0"/>
    </xf>
    <xf numFmtId="1" fontId="3" fillId="4" borderId="352" xfId="14" applyNumberFormat="1" applyFont="1" applyFill="1" applyBorder="1" applyProtection="1">
      <protection locked="0"/>
    </xf>
    <xf numFmtId="1" fontId="3" fillId="4" borderId="365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46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01" xfId="0" applyNumberFormat="1" applyFont="1" applyBorder="1"/>
    <xf numFmtId="1" fontId="3" fillId="4" borderId="899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/>
    <xf numFmtId="1" fontId="3" fillId="0" borderId="903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4" borderId="903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0" borderId="955" xfId="0" applyNumberFormat="1" applyFont="1" applyBorder="1" applyAlignment="1">
      <alignment horizontal="right"/>
    </xf>
    <xf numFmtId="1" fontId="3" fillId="4" borderId="968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horizontal="center"/>
    </xf>
    <xf numFmtId="1" fontId="3" fillId="0" borderId="899" xfId="0" applyNumberFormat="1" applyFont="1" applyBorder="1"/>
    <xf numFmtId="1" fontId="3" fillId="0" borderId="898" xfId="0" applyNumberFormat="1" applyFont="1" applyBorder="1"/>
    <xf numFmtId="1" fontId="3" fillId="0" borderId="909" xfId="0" applyNumberFormat="1" applyFont="1" applyBorder="1"/>
    <xf numFmtId="1" fontId="3" fillId="0" borderId="976" xfId="0" applyNumberFormat="1" applyFont="1" applyBorder="1"/>
    <xf numFmtId="1" fontId="3" fillId="0" borderId="949" xfId="0" applyNumberFormat="1" applyFont="1" applyBorder="1"/>
    <xf numFmtId="1" fontId="3" fillId="0" borderId="894" xfId="0" applyNumberFormat="1" applyFont="1" applyBorder="1"/>
    <xf numFmtId="1" fontId="3" fillId="0" borderId="910" xfId="0" applyNumberFormat="1" applyFont="1" applyBorder="1"/>
    <xf numFmtId="1" fontId="3" fillId="0" borderId="881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/>
    <xf numFmtId="1" fontId="3" fillId="0" borderId="977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00" xfId="0" applyNumberFormat="1" applyFont="1" applyBorder="1"/>
    <xf numFmtId="1" fontId="3" fillId="0" borderId="884" xfId="0" applyNumberFormat="1" applyFont="1" applyBorder="1" applyAlignment="1">
      <alignment vertical="center"/>
    </xf>
    <xf numFmtId="1" fontId="3" fillId="7" borderId="703" xfId="14" applyNumberFormat="1" applyFont="1" applyFill="1" applyBorder="1"/>
    <xf numFmtId="1" fontId="3" fillId="7" borderId="911" xfId="14" applyNumberFormat="1" applyFont="1" applyFill="1" applyBorder="1"/>
    <xf numFmtId="1" fontId="3" fillId="7" borderId="966" xfId="14" applyNumberFormat="1" applyFont="1" applyFill="1" applyBorder="1"/>
    <xf numFmtId="1" fontId="3" fillId="7" borderId="884" xfId="14" applyNumberFormat="1" applyFont="1" applyFill="1" applyBorder="1"/>
    <xf numFmtId="1" fontId="3" fillId="7" borderId="945" xfId="14" applyNumberFormat="1" applyFont="1" applyFill="1" applyBorder="1"/>
    <xf numFmtId="1" fontId="3" fillId="7" borderId="969" xfId="14" applyNumberFormat="1" applyFont="1" applyFill="1" applyBorder="1"/>
    <xf numFmtId="1" fontId="3" fillId="7" borderId="951" xfId="14" applyNumberFormat="1" applyFont="1" applyFill="1" applyBorder="1"/>
    <xf numFmtId="1" fontId="3" fillId="0" borderId="392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horizontal="right"/>
    </xf>
    <xf numFmtId="1" fontId="3" fillId="4" borderId="954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horizontal="righ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7" borderId="902" xfId="0" applyNumberFormat="1" applyFont="1" applyFill="1" applyBorder="1" applyAlignment="1">
      <alignment horizontal="right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3" borderId="967" xfId="0" applyNumberFormat="1" applyFont="1" applyFill="1" applyBorder="1" applyAlignment="1">
      <alignment vertical="center"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0" borderId="884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/>
    </xf>
    <xf numFmtId="1" fontId="3" fillId="3" borderId="967" xfId="0" applyNumberFormat="1" applyFont="1" applyFill="1" applyBorder="1"/>
    <xf numFmtId="1" fontId="3" fillId="0" borderId="977" xfId="0" applyNumberFormat="1" applyFont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3" borderId="967" xfId="0" applyNumberFormat="1" applyFont="1" applyFill="1" applyBorder="1" applyAlignment="1">
      <alignment vertical="center"/>
    </xf>
    <xf numFmtId="1" fontId="3" fillId="3" borderId="968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885" xfId="0" applyNumberFormat="1" applyFont="1" applyBorder="1"/>
    <xf numFmtId="1" fontId="3" fillId="0" borderId="903" xfId="0" applyNumberFormat="1" applyFont="1" applyBorder="1"/>
    <xf numFmtId="1" fontId="3" fillId="0" borderId="943" xfId="0" applyNumberFormat="1" applyFont="1" applyBorder="1" applyAlignment="1">
      <alignment wrapText="1"/>
    </xf>
    <xf numFmtId="1" fontId="3" fillId="0" borderId="943" xfId="0" applyNumberFormat="1" applyFont="1" applyBorder="1"/>
    <xf numFmtId="1" fontId="3" fillId="0" borderId="947" xfId="0" applyNumberFormat="1" applyFont="1" applyBorder="1"/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945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3" borderId="254" xfId="0" applyNumberFormat="1" applyFont="1" applyFill="1" applyBorder="1" applyAlignment="1">
      <alignment horizontal="right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3" borderId="885" xfId="0" applyNumberFormat="1" applyFont="1" applyFill="1" applyBorder="1" applyAlignment="1">
      <alignment vertical="center" wrapText="1"/>
    </xf>
    <xf numFmtId="1" fontId="3" fillId="3" borderId="903" xfId="0" applyNumberFormat="1" applyFont="1" applyFill="1" applyBorder="1" applyAlignment="1">
      <alignment horizontal="right" vertical="center" wrapText="1"/>
    </xf>
    <xf numFmtId="1" fontId="3" fillId="5" borderId="270" xfId="0" applyNumberFormat="1" applyFont="1" applyFill="1" applyBorder="1" applyAlignment="1">
      <alignment horizontal="right"/>
    </xf>
    <xf numFmtId="1" fontId="3" fillId="5" borderId="945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5" borderId="351" xfId="0" applyNumberFormat="1" applyFont="1" applyFill="1" applyBorder="1" applyAlignment="1">
      <alignment horizontal="right"/>
    </xf>
    <xf numFmtId="1" fontId="3" fillId="5" borderId="359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5" borderId="946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5" borderId="885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5" borderId="943" xfId="0" applyNumberFormat="1" applyFont="1" applyFill="1" applyBorder="1" applyAlignment="1">
      <alignment horizontal="right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righ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right"/>
    </xf>
    <xf numFmtId="1" fontId="3" fillId="5" borderId="352" xfId="0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horizontal="left" vertical="center" wrapText="1"/>
    </xf>
    <xf numFmtId="1" fontId="3" fillId="3" borderId="903" xfId="0" applyNumberFormat="1" applyFont="1" applyFill="1" applyBorder="1" applyAlignment="1">
      <alignment vertical="center" wrapText="1"/>
    </xf>
    <xf numFmtId="1" fontId="3" fillId="3" borderId="902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vertical="center" wrapText="1"/>
    </xf>
    <xf numFmtId="1" fontId="3" fillId="3" borderId="352" xfId="0" applyNumberFormat="1" applyFont="1" applyFill="1" applyBorder="1" applyAlignment="1">
      <alignment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7" borderId="950" xfId="0" applyNumberFormat="1" applyFont="1" applyFill="1" applyBorder="1" applyAlignment="1">
      <alignment horizontal="right"/>
    </xf>
    <xf numFmtId="1" fontId="3" fillId="6" borderId="685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horizontal="right" vertical="center" wrapText="1"/>
    </xf>
    <xf numFmtId="1" fontId="3" fillId="7" borderId="952" xfId="0" applyNumberFormat="1" applyFont="1" applyFill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7" borderId="955" xfId="0" applyNumberFormat="1" applyFont="1" applyFill="1" applyBorder="1"/>
    <xf numFmtId="1" fontId="3" fillId="4" borderId="270" xfId="0" applyNumberFormat="1" applyFont="1" applyFill="1" applyBorder="1" applyAlignment="1" applyProtection="1">
      <alignment horizontal="right" vertical="center"/>
      <protection locked="0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0" borderId="949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2" fillId="0" borderId="251" xfId="0" applyNumberFormat="1" applyFont="1" applyBorder="1" applyAlignment="1">
      <alignment horizontal="left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right"/>
    </xf>
    <xf numFmtId="1" fontId="3" fillId="7" borderId="919" xfId="0" applyNumberFormat="1" applyFont="1" applyFill="1" applyBorder="1"/>
    <xf numFmtId="1" fontId="3" fillId="4" borderId="981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3" borderId="967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Protection="1">
      <protection locked="0"/>
    </xf>
    <xf numFmtId="1" fontId="3" fillId="7" borderId="958" xfId="0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3" borderId="947" xfId="0" applyNumberFormat="1" applyFont="1" applyFill="1" applyBorder="1"/>
    <xf numFmtId="1" fontId="3" fillId="4" borderId="254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horizontal="lef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967" xfId="0" quotePrefix="1" applyNumberFormat="1" applyFont="1" applyBorder="1" applyAlignment="1">
      <alignment horizontal="lef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893" xfId="0" applyNumberFormat="1" applyFont="1" applyBorder="1"/>
    <xf numFmtId="1" fontId="3" fillId="0" borderId="885" xfId="0" applyNumberFormat="1" applyFont="1" applyBorder="1" applyAlignment="1">
      <alignment horizontal="right"/>
    </xf>
    <xf numFmtId="1" fontId="3" fillId="0" borderId="947" xfId="0" applyNumberFormat="1" applyFont="1" applyBorder="1" applyAlignment="1" applyProtection="1">
      <alignment vertical="center" wrapText="1"/>
      <protection hidden="1"/>
    </xf>
    <xf numFmtId="1" fontId="3" fillId="0" borderId="98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wrapText="1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64" fontId="3" fillId="0" borderId="894" xfId="18" applyNumberFormat="1" applyFont="1" applyBorder="1" applyAlignment="1" applyProtection="1">
      <alignment horizontal="center" vertical="center" wrapText="1"/>
    </xf>
    <xf numFmtId="164" fontId="3" fillId="0" borderId="899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/>
    </xf>
    <xf numFmtId="1" fontId="3" fillId="0" borderId="967" xfId="0" quotePrefix="1" applyNumberFormat="1" applyFont="1" applyBorder="1" applyAlignment="1">
      <alignment horizontal="left" wrapText="1"/>
    </xf>
    <xf numFmtId="166" fontId="3" fillId="0" borderId="901" xfId="19" applyNumberFormat="1" applyFont="1" applyFill="1" applyBorder="1" applyAlignment="1" applyProtection="1">
      <alignment horizontal="right"/>
    </xf>
    <xf numFmtId="166" fontId="3" fillId="0" borderId="899" xfId="19" applyNumberFormat="1" applyFont="1" applyFill="1" applyBorder="1" applyAlignment="1" applyProtection="1">
      <alignment horizontal="right"/>
    </xf>
    <xf numFmtId="166" fontId="3" fillId="0" borderId="900" xfId="19" applyNumberFormat="1" applyFont="1" applyFill="1" applyBorder="1" applyAlignment="1" applyProtection="1">
      <alignment horizontal="right"/>
    </xf>
    <xf numFmtId="166" fontId="3" fillId="0" borderId="909" xfId="19" applyNumberFormat="1" applyFont="1" applyFill="1" applyBorder="1" applyAlignment="1" applyProtection="1">
      <alignment horizontal="right"/>
    </xf>
    <xf numFmtId="166" fontId="3" fillId="0" borderId="898" xfId="19" applyNumberFormat="1" applyFont="1" applyFill="1" applyBorder="1" applyAlignment="1" applyProtection="1">
      <alignment horizontal="right"/>
    </xf>
    <xf numFmtId="1" fontId="3" fillId="0" borderId="1001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1" fontId="4" fillId="0" borderId="894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4" borderId="950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4" borderId="971" xfId="0" applyNumberFormat="1" applyFont="1" applyFill="1" applyBorder="1" applyProtection="1">
      <protection locked="0"/>
    </xf>
    <xf numFmtId="1" fontId="3" fillId="6" borderId="944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4" borderId="953" xfId="0" applyNumberFormat="1" applyFont="1" applyFill="1" applyBorder="1" applyProtection="1">
      <protection locked="0"/>
    </xf>
    <xf numFmtId="1" fontId="3" fillId="6" borderId="950" xfId="0" applyNumberFormat="1" applyFont="1" applyFill="1" applyBorder="1"/>
    <xf numFmtId="1" fontId="3" fillId="6" borderId="903" xfId="0" applyNumberFormat="1" applyFont="1" applyFill="1" applyBorder="1"/>
    <xf numFmtId="1" fontId="3" fillId="3" borderId="958" xfId="0" applyNumberFormat="1" applyFont="1" applyFill="1" applyBorder="1"/>
    <xf numFmtId="1" fontId="3" fillId="6" borderId="971" xfId="0" applyNumberFormat="1" applyFont="1" applyFill="1" applyBorder="1"/>
    <xf numFmtId="1" fontId="3" fillId="6" borderId="955" xfId="0" applyNumberFormat="1" applyFont="1" applyFill="1" applyBorder="1"/>
    <xf numFmtId="1" fontId="3" fillId="6" borderId="968" xfId="0" applyNumberFormat="1" applyFont="1" applyFill="1" applyBorder="1"/>
    <xf numFmtId="1" fontId="3" fillId="0" borderId="958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0" fontId="3" fillId="0" borderId="958" xfId="0" applyFont="1" applyBorder="1"/>
    <xf numFmtId="1" fontId="3" fillId="6" borderId="953" xfId="0" applyNumberFormat="1" applyFont="1" applyFill="1" applyBorder="1"/>
    <xf numFmtId="1" fontId="3" fillId="6" borderId="973" xfId="0" applyNumberFormat="1" applyFont="1" applyFill="1" applyBorder="1"/>
    <xf numFmtId="1" fontId="4" fillId="3" borderId="895" xfId="0" applyNumberFormat="1" applyFont="1" applyFill="1" applyBorder="1"/>
    <xf numFmtId="1" fontId="3" fillId="3" borderId="919" xfId="0" applyNumberFormat="1" applyFont="1" applyFill="1" applyBorder="1"/>
    <xf numFmtId="1" fontId="3" fillId="0" borderId="1022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wrapText="1"/>
    </xf>
    <xf numFmtId="1" fontId="3" fillId="4" borderId="1022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wrapText="1"/>
    </xf>
    <xf numFmtId="1" fontId="3" fillId="4" borderId="975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wrapText="1"/>
    </xf>
    <xf numFmtId="1" fontId="3" fillId="9" borderId="1004" xfId="24" applyNumberFormat="1" applyFont="1" applyBorder="1" applyProtection="1">
      <protection locked="0"/>
    </xf>
    <xf numFmtId="1" fontId="3" fillId="9" borderId="900" xfId="24" applyNumberFormat="1" applyFont="1" applyBorder="1" applyProtection="1">
      <protection locked="0"/>
    </xf>
    <xf numFmtId="1" fontId="3" fillId="9" borderId="896" xfId="24" applyNumberFormat="1" applyFont="1" applyBorder="1" applyProtection="1">
      <protection locked="0"/>
    </xf>
    <xf numFmtId="1" fontId="3" fillId="6" borderId="948" xfId="24" applyNumberFormat="1" applyFont="1" applyFill="1" applyBorder="1"/>
    <xf numFmtId="1" fontId="3" fillId="6" borderId="900" xfId="24" applyNumberFormat="1" applyFont="1" applyFill="1" applyBorder="1"/>
    <xf numFmtId="1" fontId="3" fillId="6" borderId="896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0" borderId="1001" xfId="0" applyNumberFormat="1" applyFont="1" applyBorder="1"/>
    <xf numFmtId="1" fontId="3" fillId="0" borderId="1004" xfId="24" applyNumberFormat="1" applyFont="1" applyFill="1" applyBorder="1"/>
    <xf numFmtId="1" fontId="3" fillId="0" borderId="900" xfId="24" applyNumberFormat="1" applyFont="1" applyFill="1" applyBorder="1"/>
    <xf numFmtId="1" fontId="3" fillId="0" borderId="896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279" xfId="24" applyNumberFormat="1" applyFont="1" applyBorder="1" applyProtection="1">
      <protection locked="0"/>
    </xf>
    <xf numFmtId="1" fontId="3" fillId="6" borderId="279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6" borderId="971" xfId="24" applyNumberFormat="1" applyFont="1" applyFill="1" applyBorder="1"/>
    <xf numFmtId="1" fontId="3" fillId="6" borderId="972" xfId="24" applyNumberFormat="1" applyFont="1" applyFill="1" applyBorder="1"/>
    <xf numFmtId="1" fontId="3" fillId="6" borderId="944" xfId="24" applyNumberFormat="1" applyFont="1" applyFill="1" applyBorder="1"/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6" borderId="1027" xfId="24" applyNumberFormat="1" applyFont="1" applyFill="1" applyBorder="1"/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0" xfId="24" applyNumberFormat="1" applyFont="1" applyFill="1" applyBorder="1"/>
    <xf numFmtId="1" fontId="3" fillId="9" borderId="973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0" borderId="885" xfId="0" applyNumberFormat="1" applyFont="1" applyBorder="1" applyAlignment="1">
      <alignment wrapText="1"/>
    </xf>
    <xf numFmtId="1" fontId="3" fillId="9" borderId="685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6" borderId="950" xfId="24" applyNumberFormat="1" applyFont="1" applyFill="1" applyBorder="1"/>
    <xf numFmtId="1" fontId="3" fillId="6" borderId="685" xfId="24" applyNumberFormat="1" applyFont="1" applyFill="1" applyBorder="1"/>
    <xf numFmtId="1" fontId="3" fillId="6" borderId="918" xfId="24" applyNumberFormat="1" applyFont="1" applyFill="1" applyBorder="1"/>
    <xf numFmtId="1" fontId="3" fillId="0" borderId="298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wrapText="1"/>
    </xf>
    <xf numFmtId="1" fontId="3" fillId="9" borderId="254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1" fontId="3" fillId="6" borderId="732" xfId="24" applyNumberFormat="1" applyFont="1" applyFill="1" applyBorder="1"/>
    <xf numFmtId="1" fontId="3" fillId="0" borderId="1011" xfId="0" applyNumberFormat="1" applyFont="1" applyBorder="1"/>
    <xf numFmtId="1" fontId="3" fillId="9" borderId="903" xfId="24" applyNumberFormat="1" applyFont="1" applyBorder="1" applyProtection="1">
      <protection locked="0"/>
    </xf>
    <xf numFmtId="1" fontId="3" fillId="0" borderId="298" xfId="0" applyNumberFormat="1" applyFont="1" applyBorder="1" applyAlignment="1">
      <alignment wrapText="1"/>
    </xf>
    <xf numFmtId="1" fontId="3" fillId="9" borderId="1032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9" borderId="1034" xfId="24" applyNumberFormat="1" applyFont="1" applyBorder="1" applyProtection="1">
      <protection locked="0"/>
    </xf>
    <xf numFmtId="1" fontId="3" fillId="6" borderId="1035" xfId="24" applyNumberFormat="1" applyFont="1" applyFill="1" applyBorder="1"/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9" borderId="1036" xfId="24" applyNumberFormat="1" applyFont="1" applyBorder="1" applyProtection="1">
      <protection locked="0"/>
    </xf>
    <xf numFmtId="1" fontId="3" fillId="0" borderId="1037" xfId="0" applyNumberFormat="1" applyFont="1" applyBorder="1"/>
    <xf numFmtId="1" fontId="3" fillId="3" borderId="947" xfId="0" applyNumberFormat="1" applyFont="1" applyFill="1" applyBorder="1" applyAlignment="1">
      <alignment wrapText="1"/>
    </xf>
    <xf numFmtId="1" fontId="3" fillId="9" borderId="203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9" xfId="24" applyNumberFormat="1" applyFont="1" applyFill="1" applyBorder="1"/>
    <xf numFmtId="1" fontId="3" fillId="6" borderId="1023" xfId="24" applyNumberFormat="1" applyFont="1" applyFill="1" applyBorder="1"/>
    <xf numFmtId="1" fontId="3" fillId="6" borderId="1040" xfId="24" applyNumberFormat="1" applyFont="1" applyFill="1" applyBorder="1"/>
    <xf numFmtId="1" fontId="3" fillId="9" borderId="948" xfId="24" applyNumberFormat="1" applyFont="1" applyBorder="1" applyProtection="1">
      <protection locked="0"/>
    </xf>
    <xf numFmtId="1" fontId="3" fillId="6" borderId="903" xfId="24" applyNumberFormat="1" applyFont="1" applyFill="1" applyBorder="1"/>
    <xf numFmtId="1" fontId="3" fillId="6" borderId="973" xfId="24" applyNumberFormat="1" applyFont="1" applyFill="1" applyBorder="1"/>
    <xf numFmtId="1" fontId="3" fillId="6" borderId="952" xfId="24" applyNumberFormat="1" applyFont="1" applyFill="1" applyBorder="1"/>
    <xf numFmtId="1" fontId="3" fillId="6" borderId="975" xfId="24" applyNumberFormat="1" applyFont="1" applyFill="1" applyBorder="1"/>
    <xf numFmtId="1" fontId="3" fillId="9" borderId="952" xfId="24" applyNumberFormat="1" applyFont="1" applyBorder="1" applyProtection="1">
      <protection locked="0"/>
    </xf>
    <xf numFmtId="1" fontId="3" fillId="3" borderId="902" xfId="0" applyNumberFormat="1" applyFont="1" applyFill="1" applyBorder="1"/>
    <xf numFmtId="1" fontId="3" fillId="0" borderId="1037" xfId="0" applyNumberFormat="1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left" wrapText="1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0" borderId="967" xfId="0" applyNumberFormat="1" applyFont="1" applyBorder="1" applyAlignment="1">
      <alignment horizontal="left" wrapText="1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77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298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horizontal="center" vertical="center"/>
    </xf>
    <xf numFmtId="1" fontId="3" fillId="9" borderId="903" xfId="24" applyNumberFormat="1" applyFont="1" applyBorder="1" applyAlignment="1" applyProtection="1">
      <alignment wrapText="1"/>
      <protection locked="0"/>
    </xf>
    <xf numFmtId="1" fontId="3" fillId="9" borderId="902" xfId="24" applyNumberFormat="1" applyFont="1" applyBorder="1" applyAlignment="1" applyProtection="1">
      <alignment wrapText="1"/>
      <protection locked="0"/>
    </xf>
    <xf numFmtId="1" fontId="3" fillId="0" borderId="977" xfId="0" applyNumberFormat="1" applyFont="1" applyBorder="1" applyAlignment="1">
      <alignment vertical="center"/>
    </xf>
    <xf numFmtId="1" fontId="3" fillId="9" borderId="755" xfId="24" applyNumberFormat="1" applyFont="1" applyBorder="1" applyProtection="1">
      <protection locked="0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vertical="center"/>
    </xf>
    <xf numFmtId="1" fontId="3" fillId="9" borderId="885" xfId="24" applyNumberFormat="1" applyFont="1" applyBorder="1" applyProtection="1">
      <protection locked="0"/>
    </xf>
    <xf numFmtId="1" fontId="3" fillId="0" borderId="943" xfId="0" applyNumberFormat="1" applyFont="1" applyBorder="1" applyAlignment="1">
      <alignment vertical="center"/>
    </xf>
    <xf numFmtId="1" fontId="3" fillId="9" borderId="943" xfId="24" applyNumberFormat="1" applyFont="1" applyBorder="1" applyProtection="1">
      <protection locked="0"/>
    </xf>
    <xf numFmtId="1" fontId="3" fillId="0" borderId="947" xfId="0" applyNumberFormat="1" applyFont="1" applyBorder="1" applyAlignment="1">
      <alignment vertical="center"/>
    </xf>
    <xf numFmtId="1" fontId="3" fillId="9" borderId="947" xfId="24" applyNumberFormat="1" applyFont="1" applyBorder="1" applyProtection="1">
      <protection locked="0"/>
    </xf>
    <xf numFmtId="164" fontId="3" fillId="0" borderId="298" xfId="25" applyFont="1" applyBorder="1" applyAlignment="1">
      <alignment horizontal="center" vertical="center" wrapText="1"/>
    </xf>
    <xf numFmtId="1" fontId="3" fillId="5" borderId="947" xfId="24" applyNumberFormat="1" applyFont="1" applyFill="1" applyBorder="1" applyProtection="1"/>
    <xf numFmtId="1" fontId="3" fillId="6" borderId="903" xfId="24" applyNumberFormat="1" applyFont="1" applyFill="1" applyBorder="1" applyProtection="1"/>
    <xf numFmtId="1" fontId="3" fillId="6" borderId="902" xfId="24" applyNumberFormat="1" applyFont="1" applyFill="1" applyBorder="1" applyProtection="1"/>
    <xf numFmtId="1" fontId="3" fillId="6" borderId="973" xfId="24" applyNumberFormat="1" applyFont="1" applyFill="1" applyBorder="1" applyProtection="1"/>
    <xf numFmtId="1" fontId="3" fillId="0" borderId="1001" xfId="0" applyNumberFormat="1" applyFont="1" applyBorder="1" applyAlignment="1">
      <alignment horizontal="left" vertical="center" wrapText="1"/>
    </xf>
    <xf numFmtId="1" fontId="3" fillId="6" borderId="968" xfId="24" applyNumberFormat="1" applyFont="1" applyFill="1" applyBorder="1" applyProtection="1"/>
    <xf numFmtId="1" fontId="3" fillId="6" borderId="955" xfId="24" applyNumberFormat="1" applyFont="1" applyFill="1" applyBorder="1" applyProtection="1"/>
    <xf numFmtId="1" fontId="3" fillId="0" borderId="885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9" borderId="902" xfId="24" applyNumberFormat="1" applyFont="1" applyBorder="1" applyProtection="1">
      <protection locked="0"/>
    </xf>
    <xf numFmtId="1" fontId="3" fillId="0" borderId="943" xfId="0" applyNumberFormat="1" applyFont="1" applyBorder="1" applyAlignment="1">
      <alignment horizontal="left" vertical="center"/>
    </xf>
    <xf numFmtId="1" fontId="3" fillId="9" borderId="298" xfId="24" applyNumberFormat="1" applyFont="1" applyBorder="1" applyProtection="1">
      <protection locked="0"/>
    </xf>
    <xf numFmtId="0" fontId="3" fillId="0" borderId="948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1" fontId="3" fillId="6" borderId="885" xfId="0" applyNumberFormat="1" applyFont="1" applyFill="1" applyBorder="1" applyAlignment="1">
      <alignment horizontal="center" vertical="center"/>
    </xf>
    <xf numFmtId="1" fontId="3" fillId="7" borderId="903" xfId="0" applyNumberFormat="1" applyFont="1" applyFill="1" applyBorder="1"/>
    <xf numFmtId="1" fontId="3" fillId="7" borderId="902" xfId="0" applyNumberFormat="1" applyFont="1" applyFill="1" applyBorder="1"/>
    <xf numFmtId="1" fontId="3" fillId="7" borderId="918" xfId="0" applyNumberFormat="1" applyFont="1" applyFill="1" applyBorder="1"/>
    <xf numFmtId="1" fontId="3" fillId="5" borderId="943" xfId="26" applyNumberFormat="1" applyFont="1" applyFill="1" applyBorder="1" applyAlignment="1" applyProtection="1">
      <alignment wrapText="1"/>
    </xf>
    <xf numFmtId="1" fontId="3" fillId="0" borderId="299" xfId="0" applyNumberFormat="1" applyFont="1" applyBorder="1" applyAlignment="1">
      <alignment vertical="center"/>
    </xf>
    <xf numFmtId="1" fontId="3" fillId="5" borderId="298" xfId="26" applyNumberFormat="1" applyFont="1" applyFill="1" applyBorder="1" applyAlignment="1" applyProtection="1">
      <alignment wrapText="1"/>
    </xf>
    <xf numFmtId="1" fontId="3" fillId="4" borderId="755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center" vertical="center"/>
    </xf>
    <xf numFmtId="1" fontId="3" fillId="5" borderId="885" xfId="0" applyNumberFormat="1" applyFont="1" applyFill="1" applyBorder="1" applyAlignment="1">
      <alignment horizontal="right" vertical="center"/>
    </xf>
    <xf numFmtId="1" fontId="3" fillId="5" borderId="943" xfId="27" applyNumberFormat="1" applyFont="1" applyFill="1" applyBorder="1" applyAlignment="1" applyProtection="1">
      <alignment horizontal="right" wrapText="1"/>
    </xf>
    <xf numFmtId="1" fontId="3" fillId="7" borderId="951" xfId="0" applyNumberFormat="1" applyFont="1" applyFill="1" applyBorder="1"/>
    <xf numFmtId="1" fontId="3" fillId="0" borderId="251" xfId="0" applyNumberFormat="1" applyFont="1" applyBorder="1" applyAlignment="1">
      <alignment vertical="center"/>
    </xf>
    <xf numFmtId="1" fontId="3" fillId="5" borderId="298" xfId="27" applyNumberFormat="1" applyFont="1" applyFill="1" applyBorder="1" applyAlignment="1" applyProtection="1">
      <alignment horizontal="right" wrapText="1"/>
    </xf>
    <xf numFmtId="1" fontId="3" fillId="7" borderId="755" xfId="0" applyNumberFormat="1" applyFont="1" applyFill="1" applyBorder="1"/>
    <xf numFmtId="1" fontId="3" fillId="3" borderId="1049" xfId="0" applyNumberFormat="1" applyFont="1" applyFill="1" applyBorder="1"/>
    <xf numFmtId="0" fontId="3" fillId="0" borderId="885" xfId="0" applyFont="1" applyBorder="1" applyAlignment="1">
      <alignment vertical="center"/>
    </xf>
    <xf numFmtId="0" fontId="3" fillId="0" borderId="943" xfId="0" applyFont="1" applyBorder="1" applyAlignment="1">
      <alignment vertical="center"/>
    </xf>
    <xf numFmtId="0" fontId="3" fillId="0" borderId="947" xfId="0" applyFont="1" applyBorder="1" applyAlignment="1">
      <alignment vertical="center"/>
    </xf>
    <xf numFmtId="1" fontId="3" fillId="0" borderId="1049" xfId="0" applyNumberFormat="1" applyFont="1" applyBorder="1" applyAlignment="1">
      <alignment vertical="center" wrapText="1"/>
    </xf>
    <xf numFmtId="1" fontId="3" fillId="0" borderId="1001" xfId="0" applyNumberFormat="1" applyFont="1" applyBorder="1" applyAlignment="1">
      <alignment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896" xfId="18" applyNumberFormat="1" applyFont="1" applyBorder="1" applyAlignment="1" applyProtection="1">
      <alignment horizontal="center" vertical="center"/>
    </xf>
    <xf numFmtId="0" fontId="3" fillId="0" borderId="943" xfId="20" applyFont="1" applyBorder="1" applyAlignment="1">
      <alignment horizontal="left" vertical="center" wrapText="1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685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6" borderId="968" xfId="0" applyNumberFormat="1" applyFont="1" applyFill="1" applyBorder="1" applyAlignment="1">
      <alignment vertical="center"/>
    </xf>
    <xf numFmtId="1" fontId="3" fillId="6" borderId="972" xfId="0" applyNumberFormat="1" applyFont="1" applyFill="1" applyBorder="1" applyAlignment="1">
      <alignment vertical="center"/>
    </xf>
    <xf numFmtId="164" fontId="3" fillId="0" borderId="894" xfId="18" applyNumberFormat="1" applyFont="1" applyBorder="1" applyAlignment="1" applyProtection="1">
      <alignment horizontal="center" vertical="center"/>
    </xf>
    <xf numFmtId="166" fontId="3" fillId="0" borderId="1001" xfId="18" applyNumberFormat="1" applyFont="1" applyBorder="1" applyAlignment="1" applyProtection="1">
      <alignment horizontal="right" vertical="center"/>
    </xf>
    <xf numFmtId="166" fontId="3" fillId="0" borderId="1004" xfId="18" applyNumberFormat="1" applyFont="1" applyBorder="1" applyAlignment="1" applyProtection="1">
      <alignment horizontal="right" vertical="center"/>
    </xf>
    <xf numFmtId="166" fontId="3" fillId="0" borderId="909" xfId="18" applyNumberFormat="1" applyFont="1" applyBorder="1" applyAlignment="1" applyProtection="1">
      <alignment horizontal="right" vertical="center"/>
    </xf>
    <xf numFmtId="166" fontId="3" fillId="0" borderId="900" xfId="18" applyNumberFormat="1" applyFont="1" applyBorder="1" applyAlignment="1" applyProtection="1">
      <alignment horizontal="right" vertical="center"/>
    </xf>
    <xf numFmtId="166" fontId="3" fillId="0" borderId="949" xfId="18" applyNumberFormat="1" applyFont="1" applyBorder="1" applyAlignment="1" applyProtection="1">
      <alignment horizontal="right" vertical="center"/>
    </xf>
    <xf numFmtId="166" fontId="3" fillId="0" borderId="896" xfId="18" applyNumberFormat="1" applyFont="1" applyBorder="1" applyAlignment="1" applyProtection="1">
      <alignment horizontal="right" vertical="center"/>
    </xf>
    <xf numFmtId="166" fontId="3" fillId="0" borderId="1049" xfId="18" applyNumberFormat="1" applyFont="1" applyBorder="1" applyAlignment="1" applyProtection="1">
      <alignment horizontal="right" vertical="center"/>
    </xf>
    <xf numFmtId="0" fontId="3" fillId="0" borderId="1004" xfId="20" applyFont="1" applyBorder="1" applyAlignment="1">
      <alignment horizontal="center" vertical="center" wrapText="1"/>
    </xf>
    <xf numFmtId="0" fontId="3" fillId="0" borderId="900" xfId="20" applyFont="1" applyBorder="1" applyAlignment="1">
      <alignment horizontal="center" vertical="center" wrapText="1"/>
    </xf>
    <xf numFmtId="0" fontId="3" fillId="0" borderId="1049" xfId="20" applyFont="1" applyBorder="1" applyAlignment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 wrapText="1"/>
    </xf>
    <xf numFmtId="0" fontId="3" fillId="0" borderId="885" xfId="20" applyFont="1" applyBorder="1" applyAlignment="1">
      <alignment horizontal="left" vertical="center" wrapText="1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64" fontId="3" fillId="0" borderId="1049" xfId="18" applyNumberFormat="1" applyFont="1" applyBorder="1" applyAlignment="1" applyProtection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/>
    </xf>
    <xf numFmtId="1" fontId="3" fillId="9" borderId="685" xfId="21" applyNumberFormat="1" applyFont="1" applyBorder="1" applyAlignment="1" applyProtection="1">
      <alignment vertical="center"/>
      <protection locked="0"/>
    </xf>
    <xf numFmtId="1" fontId="3" fillId="9" borderId="703" xfId="21" applyNumberFormat="1" applyFont="1" applyBorder="1" applyAlignment="1" applyProtection="1">
      <alignment vertical="center"/>
      <protection locked="0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270" xfId="0" applyNumberFormat="1" applyFont="1" applyFill="1" applyBorder="1" applyAlignment="1" applyProtection="1">
      <alignment vertical="center"/>
      <protection locked="0"/>
    </xf>
    <xf numFmtId="1" fontId="3" fillId="4" borderId="279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7" borderId="972" xfId="0" applyNumberFormat="1" applyFont="1" applyFill="1" applyBorder="1" applyAlignment="1">
      <alignment vertical="center"/>
    </xf>
    <xf numFmtId="1" fontId="3" fillId="7" borderId="951" xfId="0" applyNumberFormat="1" applyFont="1" applyFill="1" applyBorder="1" applyAlignment="1">
      <alignment vertical="center"/>
    </xf>
    <xf numFmtId="1" fontId="3" fillId="7" borderId="968" xfId="0" applyNumberFormat="1" applyFont="1" applyFill="1" applyBorder="1" applyAlignment="1">
      <alignment vertical="center"/>
    </xf>
    <xf numFmtId="1" fontId="3" fillId="9" borderId="972" xfId="21" applyNumberFormat="1" applyFont="1" applyBorder="1" applyAlignment="1" applyProtection="1">
      <alignment vertical="center"/>
      <protection locked="0"/>
    </xf>
    <xf numFmtId="1" fontId="3" fillId="9" borderId="968" xfId="21" applyNumberFormat="1" applyFont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66" fontId="3" fillId="0" borderId="1001" xfId="19" applyNumberFormat="1" applyFont="1" applyFill="1" applyBorder="1" applyAlignment="1" applyProtection="1">
      <alignment horizontal="right" vertical="center"/>
    </xf>
    <xf numFmtId="166" fontId="3" fillId="0" borderId="1004" xfId="19" applyNumberFormat="1" applyFont="1" applyFill="1" applyBorder="1" applyAlignment="1" applyProtection="1">
      <alignment horizontal="right" vertical="center"/>
    </xf>
    <xf numFmtId="166" fontId="3" fillId="0" borderId="900" xfId="19" applyNumberFormat="1" applyFont="1" applyFill="1" applyBorder="1" applyAlignment="1" applyProtection="1">
      <alignment horizontal="right" vertical="center"/>
    </xf>
    <xf numFmtId="166" fontId="3" fillId="0" borderId="909" xfId="19" applyNumberFormat="1" applyFont="1" applyFill="1" applyBorder="1" applyAlignment="1" applyProtection="1">
      <alignment horizontal="right" vertical="center"/>
    </xf>
    <xf numFmtId="166" fontId="3" fillId="0" borderId="1049" xfId="19" applyNumberFormat="1" applyFont="1" applyFill="1" applyBorder="1" applyAlignment="1" applyProtection="1">
      <alignment horizontal="right" vertical="center"/>
    </xf>
    <xf numFmtId="166" fontId="3" fillId="0" borderId="896" xfId="19" applyNumberFormat="1" applyFont="1" applyFill="1" applyBorder="1" applyAlignment="1" applyProtection="1">
      <alignment horizontal="right" vertical="center"/>
    </xf>
    <xf numFmtId="1" fontId="3" fillId="0" borderId="1057" xfId="0" applyNumberFormat="1" applyFont="1" applyBorder="1" applyAlignment="1">
      <alignment horizontal="center" vertical="center" wrapText="1"/>
    </xf>
    <xf numFmtId="164" fontId="3" fillId="0" borderId="948" xfId="18" applyNumberFormat="1" applyFont="1" applyBorder="1" applyAlignment="1" applyProtection="1">
      <alignment horizontal="center" vertical="center" wrapText="1"/>
    </xf>
    <xf numFmtId="164" fontId="3" fillId="0" borderId="1023" xfId="18" applyNumberFormat="1" applyFont="1" applyBorder="1" applyAlignment="1" applyProtection="1">
      <alignment horizontal="center" vertical="center" wrapText="1"/>
    </xf>
    <xf numFmtId="1" fontId="3" fillId="0" borderId="1010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0" borderId="1048" xfId="0" applyNumberFormat="1" applyFont="1" applyBorder="1" applyAlignment="1">
      <alignment vertical="center" wrapText="1"/>
    </xf>
    <xf numFmtId="1" fontId="3" fillId="7" borderId="911" xfId="0" applyNumberFormat="1" applyFont="1" applyFill="1" applyBorder="1" applyAlignment="1">
      <alignment horizontal="right" vertical="center"/>
    </xf>
    <xf numFmtId="1" fontId="3" fillId="7" borderId="903" xfId="0" applyNumberFormat="1" applyFont="1" applyFill="1" applyBorder="1" applyAlignment="1">
      <alignment vertical="center"/>
    </xf>
    <xf numFmtId="1" fontId="3" fillId="7" borderId="902" xfId="0" applyNumberFormat="1" applyFont="1" applyFill="1" applyBorder="1" applyAlignment="1">
      <alignment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horizontal="right" vertical="center"/>
    </xf>
    <xf numFmtId="1" fontId="3" fillId="7" borderId="973" xfId="0" applyNumberFormat="1" applyFont="1" applyFill="1" applyBorder="1" applyAlignment="1">
      <alignment vertical="center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 shrinkToFit="1"/>
    </xf>
    <xf numFmtId="1" fontId="3" fillId="0" borderId="955" xfId="0" applyNumberFormat="1" applyFont="1" applyBorder="1" applyAlignment="1">
      <alignment vertical="center" shrinkToFit="1"/>
    </xf>
    <xf numFmtId="1" fontId="3" fillId="0" borderId="968" xfId="0" applyNumberFormat="1" applyFont="1" applyBorder="1" applyAlignment="1">
      <alignment horizontal="right" vertical="center" shrinkToFit="1"/>
    </xf>
    <xf numFmtId="1" fontId="3" fillId="0" borderId="945" xfId="0" applyNumberFormat="1" applyFont="1" applyBorder="1" applyAlignment="1">
      <alignment horizontal="right" vertical="center" shrinkToFit="1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0" borderId="254" xfId="0" applyNumberFormat="1" applyFont="1" applyBorder="1" applyAlignment="1">
      <alignment horizontal="right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254" xfId="0" applyNumberFormat="1" applyFont="1" applyBorder="1" applyAlignment="1">
      <alignment vertical="center"/>
    </xf>
    <xf numFmtId="1" fontId="3" fillId="0" borderId="755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0" borderId="949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vertical="center"/>
    </xf>
    <xf numFmtId="1" fontId="3" fillId="0" borderId="910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0" borderId="976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vertical="center" wrapText="1"/>
    </xf>
    <xf numFmtId="1" fontId="3" fillId="3" borderId="885" xfId="0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943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43" xfId="0" applyNumberFormat="1" applyFont="1" applyFill="1" applyBorder="1" applyAlignment="1">
      <alignment horizontal="right" vertical="center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3" borderId="298" xfId="0" applyNumberFormat="1" applyFont="1" applyFill="1" applyBorder="1" applyAlignment="1">
      <alignment horizontal="right" vertical="center"/>
    </xf>
    <xf numFmtId="1" fontId="3" fillId="8" borderId="254" xfId="0" applyNumberFormat="1" applyFont="1" applyFill="1" applyBorder="1" applyAlignment="1" applyProtection="1">
      <alignment vertical="center"/>
      <protection locked="0"/>
    </xf>
    <xf numFmtId="1" fontId="3" fillId="8" borderId="251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298" xfId="0" applyNumberFormat="1" applyFont="1" applyFill="1" applyBorder="1" applyAlignment="1" applyProtection="1">
      <alignment vertical="center"/>
      <protection locked="0"/>
    </xf>
    <xf numFmtId="1" fontId="3" fillId="8" borderId="755" xfId="0" applyNumberFormat="1" applyFont="1" applyFill="1" applyBorder="1" applyAlignment="1" applyProtection="1">
      <alignment vertical="center"/>
      <protection locked="0"/>
    </xf>
    <xf numFmtId="1" fontId="3" fillId="3" borderId="903" xfId="23" applyNumberFormat="1" applyFont="1" applyFill="1" applyBorder="1" applyAlignment="1">
      <alignment horizontal="right" vertical="center"/>
    </xf>
    <xf numFmtId="1" fontId="3" fillId="3" borderId="685" xfId="23" applyNumberFormat="1" applyFont="1" applyFill="1" applyBorder="1" applyAlignment="1">
      <alignment horizontal="right" vertical="center"/>
    </xf>
    <xf numFmtId="1" fontId="3" fillId="3" borderId="902" xfId="23" applyNumberFormat="1" applyFont="1" applyFill="1" applyBorder="1" applyAlignment="1">
      <alignment horizontal="right" vertical="center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911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703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685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72" xfId="23" applyNumberFormat="1" applyFont="1" applyFill="1" applyBorder="1" applyAlignment="1">
      <alignment horizontal="right" vertical="center"/>
    </xf>
    <xf numFmtId="1" fontId="3" fillId="3" borderId="955" xfId="23" applyNumberFormat="1" applyFont="1" applyFill="1" applyBorder="1" applyAlignment="1">
      <alignment horizontal="right" vertical="center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973" xfId="23" applyNumberFormat="1" applyFont="1" applyFill="1" applyBorder="1" applyAlignment="1">
      <alignment horizontal="right" vertical="center"/>
    </xf>
    <xf numFmtId="1" fontId="3" fillId="3" borderId="952" xfId="23" applyNumberFormat="1" applyFont="1" applyFill="1" applyBorder="1" applyAlignment="1">
      <alignment horizontal="right" vertical="center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0" borderId="254" xfId="23" applyNumberFormat="1" applyFont="1" applyFill="1" applyBorder="1" applyAlignment="1">
      <alignment horizontal="right" vertical="center"/>
    </xf>
    <xf numFmtId="1" fontId="3" fillId="0" borderId="755" xfId="23" applyNumberFormat="1" applyFont="1" applyFill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3" borderId="279" xfId="23" applyNumberFormat="1" applyFont="1" applyFill="1" applyBorder="1" applyAlignment="1">
      <alignment horizontal="right" vertical="center"/>
    </xf>
    <xf numFmtId="1" fontId="3" fillId="8" borderId="288" xfId="0" applyNumberFormat="1" applyFont="1" applyFill="1" applyBorder="1" applyAlignment="1" applyProtection="1">
      <alignment vertical="center"/>
      <protection locked="0"/>
    </xf>
    <xf numFmtId="1" fontId="3" fillId="8" borderId="270" xfId="0" applyNumberFormat="1" applyFont="1" applyFill="1" applyBorder="1" applyAlignment="1" applyProtection="1">
      <alignment vertical="center"/>
      <protection locked="0"/>
    </xf>
    <xf numFmtId="1" fontId="3" fillId="8" borderId="279" xfId="0" applyNumberFormat="1" applyFont="1" applyFill="1" applyBorder="1" applyAlignment="1" applyProtection="1">
      <alignment vertical="center"/>
      <protection locked="0"/>
    </xf>
    <xf numFmtId="1" fontId="3" fillId="3" borderId="1062" xfId="23" applyNumberFormat="1" applyFont="1" applyFill="1" applyBorder="1" applyAlignment="1">
      <alignment horizontal="right" vertical="center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3" borderId="1063" xfId="23" applyNumberFormat="1" applyFont="1" applyFill="1" applyBorder="1" applyAlignment="1">
      <alignment horizontal="right" vertical="center"/>
    </xf>
    <xf numFmtId="1" fontId="3" fillId="3" borderId="1064" xfId="23" applyNumberFormat="1" applyFont="1" applyFill="1" applyBorder="1" applyAlignment="1">
      <alignment horizontal="right" vertical="center"/>
    </xf>
    <xf numFmtId="1" fontId="3" fillId="0" borderId="1066" xfId="0" applyNumberFormat="1" applyFont="1" applyBorder="1" applyAlignment="1">
      <alignment vertical="center"/>
    </xf>
    <xf numFmtId="1" fontId="3" fillId="3" borderId="1067" xfId="23" applyNumberFormat="1" applyFont="1" applyFill="1" applyBorder="1" applyAlignment="1">
      <alignment horizontal="right" vertical="center"/>
    </xf>
    <xf numFmtId="1" fontId="3" fillId="3" borderId="1068" xfId="23" applyNumberFormat="1" applyFont="1" applyFill="1" applyBorder="1" applyAlignment="1">
      <alignment horizontal="right" vertical="center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3" borderId="1069" xfId="23" applyNumberFormat="1" applyFont="1" applyFill="1" applyBorder="1" applyAlignment="1">
      <alignment horizontal="right" vertical="center"/>
    </xf>
    <xf numFmtId="1" fontId="3" fillId="3" borderId="1070" xfId="23" applyNumberFormat="1" applyFont="1" applyFill="1" applyBorder="1" applyAlignment="1">
      <alignment horizontal="right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080" xfId="23" applyNumberFormat="1" applyFont="1" applyFill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288" xfId="0" applyNumberFormat="1" applyFont="1" applyFill="1" applyBorder="1" applyAlignment="1" applyProtection="1">
      <alignment vertical="center"/>
      <protection locked="0"/>
    </xf>
    <xf numFmtId="1" fontId="3" fillId="6" borderId="973" xfId="23" applyNumberFormat="1" applyFont="1" applyFill="1" applyBorder="1" applyAlignment="1">
      <alignment horizontal="right" vertical="center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254" xfId="0" applyNumberFormat="1" applyFont="1" applyFill="1" applyBorder="1" applyAlignment="1">
      <alignment vertical="center"/>
    </xf>
    <xf numFmtId="1" fontId="3" fillId="6" borderId="755" xfId="0" applyNumberFormat="1" applyFont="1" applyFill="1" applyBorder="1" applyAlignment="1">
      <alignment vertical="center"/>
    </xf>
    <xf numFmtId="0" fontId="3" fillId="0" borderId="107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6" borderId="685" xfId="0" applyFont="1" applyFill="1" applyBorder="1" applyAlignment="1">
      <alignment vertical="center"/>
    </xf>
    <xf numFmtId="0" fontId="3" fillId="6" borderId="972" xfId="0" applyFont="1" applyFill="1" applyBorder="1" applyAlignment="1">
      <alignment vertical="center"/>
    </xf>
    <xf numFmtId="1" fontId="3" fillId="0" borderId="298" xfId="0" applyNumberFormat="1" applyFont="1" applyBorder="1" applyAlignment="1">
      <alignment vertical="center"/>
    </xf>
    <xf numFmtId="0" fontId="3" fillId="0" borderId="1053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/>
    </xf>
    <xf numFmtId="0" fontId="3" fillId="0" borderId="1085" xfId="0" applyFont="1" applyBorder="1" applyAlignment="1">
      <alignment horizontal="right" vertical="center"/>
    </xf>
    <xf numFmtId="0" fontId="3" fillId="8" borderId="1081" xfId="0" applyFont="1" applyFill="1" applyBorder="1" applyAlignment="1" applyProtection="1">
      <alignment horizontal="justify" vertical="center"/>
      <protection locked="0"/>
    </xf>
    <xf numFmtId="0" fontId="3" fillId="8" borderId="1080" xfId="0" applyFont="1" applyFill="1" applyBorder="1" applyAlignment="1" applyProtection="1">
      <alignment horizontal="justify" vertical="center"/>
      <protection locked="0"/>
    </xf>
    <xf numFmtId="0" fontId="3" fillId="0" borderId="298" xfId="0" applyFont="1" applyBorder="1" applyAlignment="1">
      <alignment horizontal="right" vertical="center"/>
    </xf>
    <xf numFmtId="0" fontId="3" fillId="8" borderId="254" xfId="0" applyFont="1" applyFill="1" applyBorder="1" applyAlignment="1" applyProtection="1">
      <alignment horizontal="justify" vertical="center"/>
      <protection locked="0"/>
    </xf>
    <xf numFmtId="0" fontId="3" fillId="8" borderId="755" xfId="0" applyFont="1" applyFill="1" applyBorder="1" applyAlignment="1" applyProtection="1">
      <alignment horizontal="justify" vertical="center"/>
      <protection locked="0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1" fontId="3" fillId="5" borderId="1086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7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0" fontId="3" fillId="6" borderId="108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279" xfId="0" applyFont="1" applyFill="1" applyBorder="1" applyAlignment="1">
      <alignment vertical="center"/>
    </xf>
    <xf numFmtId="0" fontId="3" fillId="0" borderId="947" xfId="0" applyFont="1" applyBorder="1" applyAlignment="1">
      <alignment horizontal="left" vertical="center" wrapText="1"/>
    </xf>
    <xf numFmtId="0" fontId="3" fillId="6" borderId="973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vertical="center"/>
    </xf>
    <xf numFmtId="1" fontId="3" fillId="5" borderId="1085" xfId="0" applyNumberFormat="1" applyFont="1" applyFill="1" applyBorder="1" applyAlignment="1">
      <alignment horizontal="right" vertical="center" wrapText="1"/>
    </xf>
    <xf numFmtId="1" fontId="3" fillId="5" borderId="943" xfId="0" applyNumberFormat="1" applyFont="1" applyFill="1" applyBorder="1" applyAlignment="1">
      <alignment horizontal="right" vertical="center" wrapText="1"/>
    </xf>
    <xf numFmtId="1" fontId="3" fillId="5" borderId="947" xfId="0" applyNumberFormat="1" applyFont="1" applyFill="1" applyBorder="1" applyAlignment="1">
      <alignment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5" borderId="298" xfId="0" applyNumberFormat="1" applyFont="1" applyFill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0" fontId="3" fillId="0" borderId="1088" xfId="0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298" xfId="0" applyNumberFormat="1" applyFont="1" applyBorder="1" applyAlignment="1">
      <alignment horizontal="right" vertical="center" wrapText="1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5" borderId="1053" xfId="0" applyNumberFormat="1" applyFont="1" applyFill="1" applyBorder="1" applyAlignment="1">
      <alignment vertical="center" wrapText="1"/>
    </xf>
    <xf numFmtId="1" fontId="3" fillId="5" borderId="1084" xfId="0" applyNumberFormat="1" applyFont="1" applyFill="1" applyBorder="1" applyAlignment="1">
      <alignment vertical="center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25" fillId="4" borderId="1088" xfId="0" applyNumberFormat="1" applyFont="1" applyFill="1" applyBorder="1" applyAlignment="1" applyProtection="1">
      <alignment vertical="center"/>
      <protection locked="0"/>
    </xf>
    <xf numFmtId="1" fontId="25" fillId="4" borderId="1086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0" fontId="15" fillId="0" borderId="1084" xfId="0" applyFont="1" applyBorder="1" applyAlignment="1" applyProtection="1">
      <alignment horizontal="center" vertical="center"/>
      <protection hidden="1"/>
    </xf>
    <xf numFmtId="0" fontId="15" fillId="0" borderId="1084" xfId="0" applyFont="1" applyBorder="1" applyAlignment="1" applyProtection="1">
      <alignment horizontal="center" vertical="center" wrapText="1"/>
      <protection hidden="1"/>
    </xf>
    <xf numFmtId="0" fontId="29" fillId="0" borderId="1084" xfId="0" applyFont="1" applyBorder="1" applyProtection="1">
      <protection hidden="1"/>
    </xf>
    <xf numFmtId="0" fontId="29" fillId="0" borderId="1084" xfId="0" applyFont="1" applyBorder="1" applyAlignment="1" applyProtection="1">
      <alignment horizontal="center"/>
      <protection hidden="1"/>
    </xf>
    <xf numFmtId="1" fontId="29" fillId="0" borderId="1084" xfId="0" applyNumberFormat="1" applyFont="1" applyBorder="1" applyAlignment="1" applyProtection="1">
      <alignment horizontal="center"/>
      <protection hidden="1"/>
    </xf>
    <xf numFmtId="0" fontId="32" fillId="0" borderId="1084" xfId="0" applyFont="1" applyBorder="1" applyAlignment="1" applyProtection="1">
      <alignment horizontal="center"/>
      <protection hidden="1"/>
    </xf>
    <xf numFmtId="3" fontId="29" fillId="0" borderId="1084" xfId="0" applyNumberFormat="1" applyFont="1" applyBorder="1" applyAlignment="1" applyProtection="1">
      <alignment horizontal="center"/>
      <protection hidden="1"/>
    </xf>
    <xf numFmtId="1" fontId="29" fillId="5" borderId="1084" xfId="0" applyNumberFormat="1" applyFont="1" applyFill="1" applyBorder="1" applyAlignment="1" applyProtection="1">
      <alignment horizontal="center"/>
      <protection hidden="1"/>
    </xf>
    <xf numFmtId="3" fontId="29" fillId="5" borderId="1084" xfId="0" applyNumberFormat="1" applyFont="1" applyFill="1" applyBorder="1" applyAlignment="1" applyProtection="1">
      <alignment horizontal="center"/>
      <protection hidden="1"/>
    </xf>
    <xf numFmtId="0" fontId="28" fillId="38" borderId="1084" xfId="0" applyFont="1" applyFill="1" applyBorder="1" applyAlignment="1">
      <alignment horizontal="center" vertical="center" wrapText="1"/>
    </xf>
    <xf numFmtId="1" fontId="3" fillId="58" borderId="326" xfId="0" applyNumberFormat="1" applyFont="1" applyFill="1" applyBorder="1"/>
    <xf numFmtId="1" fontId="3" fillId="58" borderId="352" xfId="0" applyNumberFormat="1" applyFont="1" applyFill="1" applyBorder="1"/>
    <xf numFmtId="1" fontId="3" fillId="58" borderId="203" xfId="0" applyNumberFormat="1" applyFont="1" applyFill="1" applyBorder="1"/>
    <xf numFmtId="1" fontId="3" fillId="58" borderId="2" xfId="0" applyNumberFormat="1" applyFont="1" applyFill="1" applyBorder="1"/>
    <xf numFmtId="1" fontId="3" fillId="3" borderId="1134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41" xfId="0" applyFont="1" applyBorder="1" applyAlignment="1" applyProtection="1">
      <alignment horizontal="left" vertical="center"/>
      <protection hidden="1"/>
    </xf>
    <xf numFmtId="0" fontId="15" fillId="0" borderId="1141" xfId="0" applyFont="1" applyBorder="1" applyAlignment="1" applyProtection="1">
      <alignment horizontal="center" vertical="center"/>
      <protection hidden="1"/>
    </xf>
    <xf numFmtId="0" fontId="28" fillId="38" borderId="312" xfId="0" applyFont="1" applyFill="1" applyBorder="1" applyAlignment="1" applyProtection="1">
      <alignment vertical="center"/>
      <protection hidden="1"/>
    </xf>
    <xf numFmtId="0" fontId="28" fillId="38" borderId="1139" xfId="0" applyFont="1" applyFill="1" applyBorder="1" applyAlignment="1">
      <alignment horizontal="center" vertical="center" wrapText="1"/>
    </xf>
    <xf numFmtId="0" fontId="28" fillId="38" borderId="489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3" xfId="0" applyNumberFormat="1" applyFont="1" applyBorder="1" applyAlignment="1">
      <alignment vertic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41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3" borderId="1085" xfId="0" applyNumberFormat="1" applyFont="1" applyFill="1" applyBorder="1"/>
    <xf numFmtId="1" fontId="3" fillId="4" borderId="1081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3" fillId="4" borderId="1123" xfId="0" applyNumberFormat="1" applyFont="1" applyFill="1" applyBorder="1" applyAlignment="1" applyProtection="1">
      <alignment horizontal="right" vertical="center"/>
      <protection locked="0"/>
    </xf>
    <xf numFmtId="1" fontId="3" fillId="3" borderId="1141" xfId="0" applyNumberFormat="1" applyFont="1" applyFill="1" applyBorder="1"/>
    <xf numFmtId="1" fontId="3" fillId="4" borderId="905" xfId="0" applyNumberFormat="1" applyFont="1" applyFill="1" applyBorder="1" applyProtection="1">
      <protection locked="0"/>
    </xf>
    <xf numFmtId="1" fontId="3" fillId="4" borderId="1187" xfId="0" applyNumberFormat="1" applyFont="1" applyFill="1" applyBorder="1" applyProtection="1">
      <protection locked="0"/>
    </xf>
    <xf numFmtId="1" fontId="3" fillId="4" borderId="1119" xfId="0" applyNumberFormat="1" applyFont="1" applyFill="1" applyBorder="1" applyAlignment="1" applyProtection="1">
      <alignment horizontal="right" vertical="center"/>
      <protection locked="0"/>
    </xf>
    <xf numFmtId="1" fontId="3" fillId="3" borderId="1138" xfId="0" applyNumberFormat="1" applyFont="1" applyFill="1" applyBorder="1"/>
    <xf numFmtId="1" fontId="3" fillId="4" borderId="1128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18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3" xfId="0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left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0" fontId="3" fillId="0" borderId="894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0" fontId="3" fillId="0" borderId="251" xfId="0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126" xfId="0" applyNumberFormat="1" applyFont="1" applyFill="1" applyBorder="1" applyAlignment="1" applyProtection="1">
      <alignment horizontal="right" vertical="center"/>
      <protection locked="0"/>
    </xf>
    <xf numFmtId="1" fontId="3" fillId="4" borderId="1177" xfId="0" applyNumberFormat="1" applyFont="1" applyFill="1" applyBorder="1" applyAlignment="1" applyProtection="1">
      <alignment horizontal="right" vertical="center"/>
      <protection locked="0"/>
    </xf>
    <xf numFmtId="1" fontId="3" fillId="4" borderId="1137" xfId="0" applyNumberFormat="1" applyFont="1" applyFill="1" applyBorder="1" applyAlignment="1" applyProtection="1">
      <alignment horizontal="right" vertical="center"/>
      <protection locked="0"/>
    </xf>
    <xf numFmtId="1" fontId="3" fillId="4" borderId="1143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1" xfId="0" applyNumberFormat="1" applyFont="1" applyFill="1" applyBorder="1" applyAlignment="1" applyProtection="1">
      <alignment horizontal="right" vertical="center"/>
      <protection locked="0"/>
    </xf>
    <xf numFmtId="1" fontId="3" fillId="0" borderId="1127" xfId="0" applyNumberFormat="1" applyFont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 vertical="center"/>
      <protection locked="0"/>
    </xf>
    <xf numFmtId="1" fontId="3" fillId="7" borderId="1119" xfId="0" applyNumberFormat="1" applyFont="1" applyFill="1" applyBorder="1"/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0" borderId="1141" xfId="0" applyNumberFormat="1" applyFont="1" applyBorder="1" applyAlignment="1">
      <alignment horizontal="right" vertical="center"/>
    </xf>
    <xf numFmtId="1" fontId="3" fillId="0" borderId="1142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8" borderId="112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41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3" borderId="384" xfId="0" applyNumberFormat="1" applyFont="1" applyFill="1" applyBorder="1"/>
    <xf numFmtId="1" fontId="3" fillId="7" borderId="317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28" borderId="279" xfId="0" applyNumberFormat="1" applyFont="1" applyFill="1" applyBorder="1" applyAlignment="1">
      <alignment horizontal="right"/>
    </xf>
    <xf numFmtId="1" fontId="3" fillId="28" borderId="417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68" xfId="0" applyNumberFormat="1" applyFont="1" applyFill="1" applyBorder="1"/>
    <xf numFmtId="1" fontId="3" fillId="7" borderId="32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6" borderId="404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79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5" xfId="0" applyNumberFormat="1" applyFont="1" applyFill="1" applyBorder="1"/>
    <xf numFmtId="1" fontId="3" fillId="7" borderId="203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28" borderId="255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11" borderId="358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/>
    <xf numFmtId="1" fontId="3" fillId="6" borderId="317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0" borderId="370" xfId="0" applyNumberFormat="1" applyFont="1" applyBorder="1"/>
    <xf numFmtId="1" fontId="3" fillId="7" borderId="255" xfId="0" applyNumberFormat="1" applyFont="1" applyFill="1" applyBorder="1" applyAlignment="1">
      <alignment horizontal="right"/>
    </xf>
    <xf numFmtId="1" fontId="3" fillId="7" borderId="261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0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2" borderId="426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2" borderId="334" xfId="1" applyNumberFormat="1" applyFont="1" applyBorder="1" applyAlignment="1" applyProtection="1">
      <alignment horizontal="right"/>
      <protection locked="0"/>
    </xf>
    <xf numFmtId="1" fontId="3" fillId="2" borderId="339" xfId="1" applyNumberFormat="1" applyFont="1" applyBorder="1" applyAlignment="1" applyProtection="1">
      <alignment horizontal="right"/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2" borderId="358" xfId="1" applyNumberFormat="1" applyFont="1" applyBorder="1" applyAlignment="1" applyProtection="1">
      <alignment horizontal="right"/>
      <protection locked="0"/>
    </xf>
    <xf numFmtId="1" fontId="3" fillId="7" borderId="262" xfId="0" applyNumberFormat="1" applyFont="1" applyFill="1" applyBorder="1" applyAlignment="1">
      <alignment horizontal="right"/>
    </xf>
    <xf numFmtId="1" fontId="3" fillId="19" borderId="356" xfId="0" applyNumberFormat="1" applyFont="1" applyFill="1" applyBorder="1" applyAlignment="1">
      <alignment horizontal="right"/>
    </xf>
    <xf numFmtId="1" fontId="3" fillId="2" borderId="352" xfId="1" applyNumberFormat="1" applyFont="1" applyBorder="1" applyAlignment="1" applyProtection="1">
      <alignment horizontal="right"/>
      <protection locked="0"/>
    </xf>
    <xf numFmtId="1" fontId="3" fillId="2" borderId="326" xfId="1" applyNumberFormat="1" applyFont="1" applyBorder="1" applyAlignment="1" applyProtection="1">
      <alignment horizontal="right"/>
      <protection locked="0"/>
    </xf>
    <xf numFmtId="1" fontId="8" fillId="5" borderId="432" xfId="0" applyNumberFormat="1" applyFont="1" applyFill="1" applyBorder="1"/>
    <xf numFmtId="1" fontId="31" fillId="5" borderId="0" xfId="0" applyNumberFormat="1" applyFont="1" applyFill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3" borderId="436" xfId="1" applyNumberFormat="1" applyFont="1" applyFill="1" applyBorder="1" applyAlignment="1">
      <alignment horizontal="right"/>
    </xf>
    <xf numFmtId="1" fontId="3" fillId="3" borderId="437" xfId="1" applyNumberFormat="1" applyFont="1" applyFill="1" applyBorder="1" applyAlignment="1">
      <alignment horizontal="right"/>
    </xf>
    <xf numFmtId="1" fontId="3" fillId="3" borderId="438" xfId="1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3" borderId="440" xfId="1" applyNumberFormat="1" applyFont="1" applyFill="1" applyBorder="1" applyAlignment="1">
      <alignment horizontal="right"/>
    </xf>
    <xf numFmtId="1" fontId="3" fillId="3" borderId="441" xfId="1" applyNumberFormat="1" applyFont="1" applyFill="1" applyBorder="1" applyAlignment="1">
      <alignment horizontal="right"/>
    </xf>
    <xf numFmtId="1" fontId="3" fillId="3" borderId="442" xfId="1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7" borderId="446" xfId="0" applyNumberFormat="1" applyFont="1" applyFill="1" applyBorder="1" applyAlignment="1">
      <alignment horizontal="right"/>
    </xf>
    <xf numFmtId="1" fontId="3" fillId="28" borderId="446" xfId="0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left" wrapText="1"/>
    </xf>
    <xf numFmtId="1" fontId="3" fillId="7" borderId="352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364" xfId="1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/>
    <xf numFmtId="1" fontId="3" fillId="0" borderId="490" xfId="0" applyNumberFormat="1" applyFont="1" applyBorder="1"/>
    <xf numFmtId="1" fontId="3" fillId="0" borderId="485" xfId="0" applyNumberFormat="1" applyFont="1" applyBorder="1"/>
    <xf numFmtId="1" fontId="3" fillId="0" borderId="492" xfId="0" applyNumberFormat="1" applyFont="1" applyBorder="1"/>
    <xf numFmtId="1" fontId="3" fillId="0" borderId="495" xfId="0" applyNumberFormat="1" applyFon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28" borderId="317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1" xfId="0" applyNumberFormat="1" applyFont="1" applyFill="1" applyBorder="1" applyAlignment="1">
      <alignment horizontal="right"/>
    </xf>
    <xf numFmtId="0" fontId="3" fillId="0" borderId="500" xfId="0" applyFont="1" applyBorder="1"/>
    <xf numFmtId="1" fontId="3" fillId="6" borderId="501" xfId="0" applyNumberFormat="1" applyFont="1" applyFill="1" applyBorder="1" applyAlignment="1">
      <alignment horizontal="right"/>
    </xf>
    <xf numFmtId="1" fontId="3" fillId="28" borderId="261" xfId="0" applyNumberFormat="1" applyFont="1" applyFill="1" applyBorder="1" applyAlignment="1">
      <alignment horizontal="right"/>
    </xf>
    <xf numFmtId="1" fontId="3" fillId="28" borderId="258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8" borderId="501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3" borderId="339" xfId="1" applyNumberFormat="1" applyFont="1" applyFill="1" applyBorder="1" applyAlignment="1">
      <alignment horizontal="right"/>
    </xf>
    <xf numFmtId="1" fontId="3" fillId="3" borderId="343" xfId="1" applyNumberFormat="1" applyFont="1" applyFill="1" applyBorder="1" applyAlignment="1">
      <alignment horizontal="right"/>
    </xf>
    <xf numFmtId="1" fontId="3" fillId="3" borderId="332" xfId="1" applyNumberFormat="1" applyFont="1" applyFill="1" applyBorder="1" applyAlignment="1">
      <alignment horizontal="right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left" vertical="center" wrapText="1"/>
    </xf>
    <xf numFmtId="1" fontId="3" fillId="3" borderId="326" xfId="1" applyNumberFormat="1" applyFont="1" applyFill="1" applyBorder="1" applyAlignment="1">
      <alignment horizontal="right"/>
    </xf>
    <xf numFmtId="1" fontId="3" fillId="3" borderId="358" xfId="1" applyNumberFormat="1" applyFont="1" applyFill="1" applyBorder="1" applyAlignment="1">
      <alignment horizontal="right"/>
    </xf>
    <xf numFmtId="1" fontId="3" fillId="8" borderId="501" xfId="0" applyNumberFormat="1" applyFont="1" applyFill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8" borderId="319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8" borderId="261" xfId="0" applyNumberFormat="1" applyFont="1" applyFill="1" applyBorder="1" applyAlignment="1" applyProtection="1">
      <alignment horizontal="right"/>
      <protection locked="0"/>
    </xf>
    <xf numFmtId="1" fontId="3" fillId="3" borderId="275" xfId="1" applyNumberFormat="1" applyFont="1" applyFill="1" applyBorder="1" applyAlignment="1">
      <alignment horizontal="right"/>
    </xf>
    <xf numFmtId="1" fontId="3" fillId="3" borderId="279" xfId="1" applyNumberFormat="1" applyFont="1" applyFill="1" applyBorder="1" applyAlignment="1">
      <alignment horizontal="right"/>
    </xf>
    <xf numFmtId="1" fontId="3" fillId="3" borderId="270" xfId="1" applyNumberFormat="1" applyFont="1" applyFill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384" xfId="39" applyNumberFormat="1" applyFont="1" applyBorder="1" applyAlignment="1" applyProtection="1"/>
    <xf numFmtId="1" fontId="3" fillId="0" borderId="301" xfId="39" applyNumberFormat="1" applyFont="1" applyBorder="1" applyAlignment="1" applyProtection="1">
      <alignment horizontal="right"/>
    </xf>
    <xf numFmtId="1" fontId="3" fillId="4" borderId="384" xfId="37" applyNumberFormat="1" applyFont="1" applyFill="1" applyBorder="1">
      <protection locked="0"/>
    </xf>
    <xf numFmtId="1" fontId="3" fillId="4" borderId="317" xfId="37" applyNumberFormat="1" applyFont="1" applyFill="1" applyBorder="1">
      <protection locked="0"/>
    </xf>
    <xf numFmtId="1" fontId="3" fillId="4" borderId="428" xfId="37" applyNumberFormat="1" applyFont="1" applyFill="1" applyBorder="1">
      <protection locked="0"/>
    </xf>
    <xf numFmtId="1" fontId="3" fillId="4" borderId="318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0" borderId="329" xfId="39" applyNumberFormat="1" applyFont="1" applyBorder="1" applyAlignment="1" applyProtection="1"/>
    <xf numFmtId="1" fontId="3" fillId="0" borderId="329" xfId="39" applyNumberFormat="1" applyFont="1" applyBorder="1" applyAlignment="1" applyProtection="1">
      <alignment horizontal="right"/>
    </xf>
    <xf numFmtId="1" fontId="3" fillId="4" borderId="301" xfId="37" applyNumberFormat="1" applyFont="1" applyFill="1" applyBorder="1">
      <protection locked="0"/>
    </xf>
    <xf numFmtId="1" fontId="3" fillId="4" borderId="275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79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4" xfId="39" applyNumberFormat="1" applyFont="1" applyBorder="1" applyAlignment="1" applyProtection="1"/>
    <xf numFmtId="1" fontId="3" fillId="0" borderId="404" xfId="39" applyNumberFormat="1" applyFont="1" applyBorder="1" applyAlignment="1" applyProtection="1">
      <alignment horizontal="right"/>
    </xf>
    <xf numFmtId="1" fontId="3" fillId="4" borderId="404" xfId="37" applyNumberFormat="1" applyFont="1" applyFill="1" applyBorder="1">
      <protection locked="0"/>
    </xf>
    <xf numFmtId="1" fontId="3" fillId="4" borderId="326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58" xfId="37" applyNumberFormat="1" applyFont="1" applyFill="1" applyBorder="1">
      <protection locked="0"/>
    </xf>
    <xf numFmtId="1" fontId="3" fillId="4" borderId="357" xfId="37" applyNumberFormat="1" applyFont="1" applyFill="1" applyBorder="1">
      <protection locked="0"/>
    </xf>
    <xf numFmtId="1" fontId="3" fillId="0" borderId="500" xfId="39" applyNumberFormat="1" applyFont="1" applyBorder="1" applyAlignment="1" applyProtection="1">
      <alignment horizontal="center"/>
    </xf>
    <xf numFmtId="1" fontId="3" fillId="0" borderId="500" xfId="39" applyNumberFormat="1" applyFont="1" applyBorder="1" applyAlignment="1" applyProtection="1">
      <alignment horizontal="right"/>
    </xf>
    <xf numFmtId="1" fontId="3" fillId="0" borderId="319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>
      <alignment horizontal="right"/>
    </xf>
    <xf numFmtId="1" fontId="3" fillId="0" borderId="255" xfId="39" applyNumberFormat="1" applyFont="1" applyBorder="1" applyAlignment="1" applyProtection="1">
      <alignment horizontal="right"/>
    </xf>
    <xf numFmtId="1" fontId="3" fillId="0" borderId="503" xfId="39" applyNumberFormat="1" applyFont="1" applyBorder="1" applyAlignment="1" applyProtection="1">
      <alignment horizontal="right"/>
    </xf>
    <xf numFmtId="1" fontId="3" fillId="0" borderId="328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2" xfId="37" applyNumberFormat="1" applyFont="1" applyFill="1" applyBorder="1">
      <protection locked="0"/>
    </xf>
    <xf numFmtId="1" fontId="4" fillId="0" borderId="328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5" xfId="40" applyNumberFormat="1" applyFont="1" applyFill="1" applyBorder="1">
      <protection locked="0"/>
    </xf>
    <xf numFmtId="1" fontId="3" fillId="4" borderId="279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0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4" borderId="326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56" xfId="40" applyNumberFormat="1" applyFont="1" applyFill="1" applyBorder="1">
      <protection locked="0"/>
    </xf>
    <xf numFmtId="1" fontId="3" fillId="0" borderId="258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5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1" xfId="0" applyNumberFormat="1" applyFont="1" applyBorder="1"/>
    <xf numFmtId="1" fontId="3" fillId="0" borderId="505" xfId="0" applyNumberFormat="1" applyFont="1" applyBorder="1"/>
    <xf numFmtId="1" fontId="3" fillId="0" borderId="481" xfId="0" applyNumberFormat="1" applyFont="1" applyBorder="1"/>
    <xf numFmtId="1" fontId="3" fillId="0" borderId="498" xfId="0" applyNumberFormat="1" applyFont="1" applyBorder="1"/>
    <xf numFmtId="1" fontId="3" fillId="0" borderId="391" xfId="0" applyNumberFormat="1" applyFont="1" applyBorder="1"/>
    <xf numFmtId="1" fontId="3" fillId="0" borderId="428" xfId="0" applyNumberFormat="1" applyFont="1" applyBorder="1"/>
    <xf numFmtId="1" fontId="3" fillId="0" borderId="231" xfId="0" applyNumberFormat="1" applyFont="1" applyBorder="1" applyAlignment="1">
      <alignment horizontal="left" vertical="center"/>
    </xf>
    <xf numFmtId="1" fontId="3" fillId="3" borderId="404" xfId="0" applyNumberFormat="1" applyFont="1" applyFill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317" xfId="0" applyNumberFormat="1" applyFont="1" applyBorder="1"/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6" xfId="0" applyNumberFormat="1" applyFont="1" applyBorder="1"/>
    <xf numFmtId="1" fontId="27" fillId="3" borderId="496" xfId="0" applyNumberFormat="1" applyFont="1" applyFill="1" applyBorder="1"/>
    <xf numFmtId="1" fontId="27" fillId="3" borderId="0" xfId="0" applyNumberFormat="1" applyFont="1" applyFill="1"/>
    <xf numFmtId="1" fontId="0" fillId="0" borderId="304" xfId="0" applyNumberFormat="1" applyBorder="1"/>
    <xf numFmtId="1" fontId="0" fillId="0" borderId="305" xfId="0" applyNumberFormat="1" applyBorder="1"/>
    <xf numFmtId="1" fontId="0" fillId="0" borderId="507" xfId="0" applyNumberFormat="1" applyBorder="1"/>
    <xf numFmtId="1" fontId="0" fillId="0" borderId="13" xfId="0" applyNumberFormat="1" applyBorder="1"/>
    <xf numFmtId="1" fontId="3" fillId="0" borderId="282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/>
    </xf>
    <xf numFmtId="1" fontId="3" fillId="0" borderId="284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0" borderId="282" xfId="0" applyNumberFormat="1" applyFont="1" applyBorder="1" applyAlignment="1">
      <alignment horizontal="right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right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5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279" xfId="0" applyNumberFormat="1" applyFont="1" applyBorder="1" applyAlignment="1">
      <alignment horizontal="right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236" xfId="0" applyNumberFormat="1" applyFont="1" applyBorder="1" applyAlignment="1">
      <alignment horizontal="left" vertical="center" wrapText="1"/>
    </xf>
    <xf numFmtId="1" fontId="3" fillId="5" borderId="236" xfId="0" applyNumberFormat="1" applyFont="1" applyFill="1" applyBorder="1" applyAlignment="1">
      <alignment horizontal="left" vertical="center" wrapText="1"/>
    </xf>
    <xf numFmtId="1" fontId="3" fillId="5" borderId="275" xfId="0" applyNumberFormat="1" applyFont="1" applyFill="1" applyBorder="1" applyAlignment="1">
      <alignment horizontal="right" wrapText="1"/>
    </xf>
    <xf numFmtId="1" fontId="3" fillId="5" borderId="279" xfId="0" applyNumberFormat="1" applyFont="1" applyFill="1" applyBorder="1" applyAlignment="1">
      <alignment horizontal="right" wrapText="1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0" fontId="3" fillId="0" borderId="329" xfId="0" applyFont="1" applyBorder="1"/>
    <xf numFmtId="0" fontId="3" fillId="0" borderId="404" xfId="0" applyFont="1" applyBorder="1"/>
    <xf numFmtId="1" fontId="2" fillId="0" borderId="518" xfId="0" applyNumberFormat="1" applyFont="1" applyBorder="1"/>
    <xf numFmtId="1" fontId="27" fillId="0" borderId="518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294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398" xfId="0" applyNumberFormat="1" applyFont="1" applyBorder="1" applyAlignment="1">
      <alignment vertical="center" wrapText="1"/>
    </xf>
    <xf numFmtId="1" fontId="3" fillId="0" borderId="331" xfId="0" applyNumberFormat="1" applyFont="1" applyBorder="1" applyAlignment="1">
      <alignment vertical="center" wrapText="1"/>
    </xf>
    <xf numFmtId="1" fontId="3" fillId="0" borderId="488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vertical="center" wrapText="1"/>
    </xf>
    <xf numFmtId="1" fontId="3" fillId="0" borderId="489" xfId="0" applyNumberFormat="1" applyFont="1" applyBorder="1"/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/>
    <xf numFmtId="1" fontId="3" fillId="0" borderId="522" xfId="0" applyNumberFormat="1" applyFont="1" applyBorder="1"/>
    <xf numFmtId="1" fontId="3" fillId="0" borderId="517" xfId="0" applyNumberFormat="1" applyFont="1" applyBorder="1"/>
    <xf numFmtId="1" fontId="3" fillId="0" borderId="525" xfId="0" applyNumberFormat="1" applyFont="1" applyBorder="1"/>
    <xf numFmtId="1" fontId="3" fillId="0" borderId="538" xfId="0" applyNumberFormat="1" applyFont="1" applyBorder="1"/>
    <xf numFmtId="1" fontId="3" fillId="0" borderId="524" xfId="0" applyNumberFormat="1" applyFont="1" applyBorder="1"/>
    <xf numFmtId="1" fontId="3" fillId="0" borderId="294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6" borderId="413" xfId="0" applyNumberFormat="1" applyFont="1" applyFill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231" xfId="0" applyNumberFormat="1" applyFont="1" applyBorder="1" applyAlignment="1">
      <alignment horizontal="left" wrapText="1"/>
    </xf>
    <xf numFmtId="1" fontId="3" fillId="0" borderId="329" xfId="0" applyNumberFormat="1" applyFont="1" applyBorder="1" applyAlignment="1">
      <alignment horizontal="right" wrapText="1"/>
    </xf>
    <xf numFmtId="1" fontId="3" fillId="6" borderId="275" xfId="0" applyNumberFormat="1" applyFont="1" applyFill="1" applyBorder="1" applyAlignment="1">
      <alignment horizontal="right"/>
    </xf>
    <xf numFmtId="1" fontId="3" fillId="6" borderId="279" xfId="0" applyNumberFormat="1" applyFont="1" applyFill="1" applyBorder="1" applyAlignment="1">
      <alignment horizontal="right"/>
    </xf>
    <xf numFmtId="1" fontId="3" fillId="9" borderId="279" xfId="32" applyNumberFormat="1" applyFont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9" borderId="358" xfId="32" applyNumberFormat="1" applyFont="1" applyBorder="1" applyAlignment="1" applyProtection="1">
      <alignment horizontal="right"/>
      <protection locked="0"/>
    </xf>
    <xf numFmtId="1" fontId="3" fillId="9" borderId="319" xfId="32" applyNumberFormat="1" applyFont="1" applyBorder="1" applyAlignment="1" applyProtection="1">
      <alignment horizontal="right"/>
      <protection locked="0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6" xfId="0" applyNumberFormat="1" applyFont="1" applyBorder="1" applyAlignment="1">
      <alignment vertical="center" wrapText="1"/>
    </xf>
    <xf numFmtId="1" fontId="3" fillId="5" borderId="331" xfId="0" applyNumberFormat="1" applyFont="1" applyFill="1" applyBorder="1"/>
    <xf numFmtId="1" fontId="3" fillId="5" borderId="334" xfId="0" applyNumberFormat="1" applyFont="1" applyFill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5" borderId="402" xfId="0" applyNumberFormat="1" applyFont="1" applyFill="1" applyBorder="1"/>
    <xf numFmtId="1" fontId="3" fillId="5" borderId="352" xfId="0" applyNumberFormat="1" applyFont="1" applyFill="1" applyBorder="1"/>
    <xf numFmtId="1" fontId="27" fillId="5" borderId="0" xfId="0" applyNumberFormat="1" applyFont="1" applyFill="1"/>
    <xf numFmtId="1" fontId="3" fillId="0" borderId="543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vertical="center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88" xfId="0" applyNumberFormat="1" applyFont="1" applyBorder="1" applyAlignment="1">
      <alignment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6" xfId="0" applyNumberFormat="1" applyFont="1" applyBorder="1"/>
    <xf numFmtId="1" fontId="3" fillId="0" borderId="509" xfId="0" applyNumberFormat="1" applyFont="1" applyBorder="1"/>
    <xf numFmtId="1" fontId="3" fillId="0" borderId="533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6" borderId="509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203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0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27" fillId="0" borderId="496" xfId="0" applyNumberFormat="1" applyFont="1" applyBorder="1"/>
    <xf numFmtId="1" fontId="4" fillId="0" borderId="496" xfId="0" applyNumberFormat="1" applyFont="1" applyBorder="1" applyAlignment="1">
      <alignment wrapText="1"/>
    </xf>
    <xf numFmtId="1" fontId="4" fillId="3" borderId="557" xfId="0" applyNumberFormat="1" applyFont="1" applyFill="1" applyBorder="1" applyAlignment="1">
      <alignment wrapText="1"/>
    </xf>
    <xf numFmtId="1" fontId="4" fillId="0" borderId="558" xfId="0" applyNumberFormat="1" applyFont="1" applyBorder="1" applyAlignment="1">
      <alignment wrapText="1"/>
    </xf>
    <xf numFmtId="1" fontId="4" fillId="0" borderId="557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5" borderId="557" xfId="0" applyNumberFormat="1" applyFont="1" applyFill="1" applyBorder="1" applyAlignment="1">
      <alignment wrapText="1"/>
    </xf>
    <xf numFmtId="1" fontId="3" fillId="5" borderId="496" xfId="0" applyNumberFormat="1" applyFont="1" applyFill="1" applyBorder="1" applyAlignment="1">
      <alignment wrapText="1"/>
    </xf>
    <xf numFmtId="1" fontId="3" fillId="0" borderId="540" xfId="0" applyNumberFormat="1" applyFont="1" applyBorder="1" applyAlignment="1">
      <alignment horizontal="center" vertical="center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0" borderId="561" xfId="0" applyNumberFormat="1" applyFont="1" applyBorder="1"/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8" borderId="562" xfId="0" applyNumberFormat="1" applyFont="1" applyFill="1" applyBorder="1" applyAlignment="1" applyProtection="1">
      <alignment horizontal="right"/>
      <protection locked="0"/>
    </xf>
    <xf numFmtId="1" fontId="3" fillId="8" borderId="561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vertical="center"/>
    </xf>
    <xf numFmtId="1" fontId="3" fillId="0" borderId="536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537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5" borderId="537" xfId="0" applyNumberFormat="1" applyFont="1" applyFill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36" xfId="0" applyNumberFormat="1" applyFont="1" applyFill="1" applyBorder="1" applyAlignment="1">
      <alignment vertical="center"/>
    </xf>
    <xf numFmtId="1" fontId="3" fillId="5" borderId="522" xfId="0" applyNumberFormat="1" applyFont="1" applyFill="1" applyBorder="1" applyAlignment="1">
      <alignment vertical="center"/>
    </xf>
    <xf numFmtId="1" fontId="3" fillId="0" borderId="403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6" xfId="0" applyNumberFormat="1" applyFont="1" applyFill="1" applyBorder="1"/>
    <xf numFmtId="1" fontId="3" fillId="0" borderId="496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8" borderId="509" xfId="0" applyNumberFormat="1" applyFont="1" applyFill="1" applyBorder="1" applyAlignment="1" applyProtection="1">
      <alignment horizontal="right"/>
      <protection locked="0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2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right" wrapText="1"/>
    </xf>
    <xf numFmtId="1" fontId="3" fillId="0" borderId="231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center" vertical="center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/>
    <xf numFmtId="1" fontId="3" fillId="0" borderId="526" xfId="0" applyNumberFormat="1" applyFont="1" applyBorder="1"/>
    <xf numFmtId="1" fontId="3" fillId="0" borderId="521" xfId="0" applyNumberFormat="1" applyFont="1" applyBorder="1"/>
    <xf numFmtId="1" fontId="3" fillId="0" borderId="530" xfId="15" applyNumberFormat="1" applyFont="1" applyBorder="1" applyAlignment="1">
      <alignment horizontal="center" vertical="center" wrapText="1"/>
    </xf>
    <xf numFmtId="1" fontId="3" fillId="0" borderId="515" xfId="16" applyNumberFormat="1" applyFont="1" applyBorder="1" applyAlignment="1" applyProtection="1">
      <alignment horizontal="center" vertical="center"/>
      <protection hidden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/>
    <xf numFmtId="1" fontId="3" fillId="0" borderId="533" xfId="15" applyNumberFormat="1" applyFont="1" applyBorder="1"/>
    <xf numFmtId="1" fontId="3" fillId="0" borderId="511" xfId="15" applyNumberFormat="1" applyFont="1" applyBorder="1"/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65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01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6" xfId="15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0" borderId="543" xfId="15" applyNumberFormat="1" applyFont="1" applyBorder="1"/>
    <xf numFmtId="1" fontId="3" fillId="0" borderId="536" xfId="15" applyNumberFormat="1" applyFont="1" applyBorder="1"/>
    <xf numFmtId="1" fontId="3" fillId="0" borderId="522" xfId="15" applyNumberFormat="1" applyFont="1" applyBorder="1"/>
    <xf numFmtId="1" fontId="3" fillId="0" borderId="537" xfId="15" applyNumberFormat="1" applyFont="1" applyBorder="1"/>
    <xf numFmtId="1" fontId="3" fillId="0" borderId="524" xfId="15" applyNumberFormat="1" applyFont="1" applyBorder="1"/>
    <xf numFmtId="1" fontId="3" fillId="0" borderId="542" xfId="15" applyNumberFormat="1" applyFont="1" applyBorder="1"/>
    <xf numFmtId="1" fontId="3" fillId="0" borderId="525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0" fontId="3" fillId="0" borderId="521" xfId="15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49" fontId="3" fillId="0" borderId="537" xfId="15" applyNumberFormat="1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561" xfId="15" applyNumberFormat="1" applyFont="1" applyBorder="1"/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00" xfId="15" applyNumberFormat="1" applyFont="1" applyFill="1" applyBorder="1" applyAlignment="1" applyProtection="1">
      <alignment horizontal="right"/>
      <protection locked="0"/>
    </xf>
    <xf numFmtId="1" fontId="3" fillId="4" borderId="279" xfId="15" applyNumberFormat="1" applyFont="1" applyFill="1" applyBorder="1" applyAlignment="1" applyProtection="1">
      <alignment horizontal="right"/>
      <protection locked="0"/>
    </xf>
    <xf numFmtId="1" fontId="3" fillId="4" borderId="270" xfId="15" applyNumberFormat="1" applyFont="1" applyFill="1" applyBorder="1" applyAlignment="1" applyProtection="1">
      <alignment horizontal="right"/>
      <protection locked="0"/>
    </xf>
    <xf numFmtId="1" fontId="3" fillId="0" borderId="329" xfId="15" applyNumberFormat="1" applyFont="1" applyBorder="1"/>
    <xf numFmtId="1" fontId="3" fillId="0" borderId="331" xfId="15" applyNumberFormat="1" applyFont="1" applyBorder="1"/>
    <xf numFmtId="1" fontId="3" fillId="0" borderId="332" xfId="15" applyNumberFormat="1" applyFont="1" applyBorder="1"/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0" borderId="402" xfId="15" applyNumberFormat="1" applyFont="1" applyBorder="1"/>
    <xf numFmtId="1" fontId="3" fillId="0" borderId="364" xfId="15" applyNumberFormat="1" applyFont="1" applyBorder="1"/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0" xfId="0" applyFont="1" applyBorder="1" applyAlignment="1">
      <alignment horizontal="center" wrapText="1"/>
    </xf>
    <xf numFmtId="0" fontId="3" fillId="0" borderId="537" xfId="0" applyFont="1" applyBorder="1" applyAlignment="1">
      <alignment horizontal="center" wrapText="1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65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8" xfId="0" applyNumberFormat="1" applyFont="1" applyFill="1" applyBorder="1" applyAlignment="1" applyProtection="1">
      <alignment horizontal="right"/>
      <protection locked="0"/>
    </xf>
    <xf numFmtId="1" fontId="3" fillId="8" borderId="489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0" borderId="537" xfId="0" applyFont="1" applyBorder="1" applyAlignment="1">
      <alignment horizontal="right" wrapText="1"/>
    </xf>
    <xf numFmtId="0" fontId="3" fillId="0" borderId="542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1" xfId="0" applyFont="1" applyFill="1" applyBorder="1" applyAlignment="1" applyProtection="1">
      <alignment horizontal="right"/>
      <protection locked="0"/>
    </xf>
    <xf numFmtId="1" fontId="3" fillId="6" borderId="331" xfId="0" applyNumberFormat="1" applyFont="1" applyFill="1" applyBorder="1" applyAlignment="1">
      <alignment horizontal="right"/>
    </xf>
    <xf numFmtId="0" fontId="3" fillId="8" borderId="567" xfId="0" applyFont="1" applyFill="1" applyBorder="1" applyAlignment="1" applyProtection="1">
      <alignment horizontal="right"/>
      <protection locked="0"/>
    </xf>
    <xf numFmtId="0" fontId="3" fillId="8" borderId="339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3" xfId="0" applyFont="1" applyFill="1" applyBorder="1" applyAlignment="1" applyProtection="1">
      <alignment horizontal="right"/>
      <protection locked="0"/>
    </xf>
    <xf numFmtId="0" fontId="3" fillId="8" borderId="342" xfId="0" applyFont="1" applyFill="1" applyBorder="1" applyAlignment="1" applyProtection="1">
      <alignment horizontal="right"/>
      <protection locked="0"/>
    </xf>
    <xf numFmtId="0" fontId="3" fillId="8" borderId="334" xfId="0" applyFont="1" applyFill="1" applyBorder="1" applyAlignment="1" applyProtection="1">
      <alignment horizontal="right"/>
      <protection locked="0"/>
    </xf>
    <xf numFmtId="0" fontId="3" fillId="0" borderId="404" xfId="0" applyFont="1" applyBorder="1" applyAlignment="1">
      <alignment horizontal="left" vertical="center" wrapText="1"/>
    </xf>
    <xf numFmtId="0" fontId="3" fillId="8" borderId="326" xfId="0" applyFont="1" applyFill="1" applyBorder="1" applyAlignment="1" applyProtection="1">
      <alignment horizontal="right"/>
      <protection locked="0"/>
    </xf>
    <xf numFmtId="0" fontId="3" fillId="8" borderId="489" xfId="0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0" fontId="3" fillId="8" borderId="258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2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508" xfId="0" applyFont="1" applyBorder="1" applyAlignment="1">
      <alignment vertical="center" wrapText="1"/>
    </xf>
    <xf numFmtId="0" fontId="3" fillId="8" borderId="509" xfId="0" applyFont="1" applyFill="1" applyBorder="1" applyProtection="1">
      <protection locked="0"/>
    </xf>
    <xf numFmtId="0" fontId="3" fillId="8" borderId="562" xfId="0" applyFont="1" applyFill="1" applyBorder="1" applyProtection="1">
      <protection locked="0"/>
    </xf>
    <xf numFmtId="0" fontId="3" fillId="8" borderId="568" xfId="0" applyFont="1" applyFill="1" applyBorder="1" applyProtection="1">
      <protection locked="0"/>
    </xf>
    <xf numFmtId="0" fontId="3" fillId="8" borderId="508" xfId="0" applyFont="1" applyFill="1" applyBorder="1" applyProtection="1">
      <protection locked="0"/>
    </xf>
    <xf numFmtId="0" fontId="3" fillId="0" borderId="404" xfId="0" applyFont="1" applyBorder="1" applyAlignment="1">
      <alignment vertical="center" wrapText="1"/>
    </xf>
    <xf numFmtId="0" fontId="3" fillId="8" borderId="326" xfId="0" applyFont="1" applyFill="1" applyBorder="1" applyProtection="1">
      <protection locked="0"/>
    </xf>
    <xf numFmtId="0" fontId="3" fillId="8" borderId="327" xfId="0" applyFont="1" applyFill="1" applyBorder="1" applyProtection="1">
      <protection locked="0"/>
    </xf>
    <xf numFmtId="0" fontId="3" fillId="8" borderId="569" xfId="0" applyFont="1" applyFill="1" applyBorder="1" applyProtection="1">
      <protection locked="0"/>
    </xf>
    <xf numFmtId="0" fontId="3" fillId="8" borderId="404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42" xfId="0" applyFont="1" applyBorder="1" applyAlignment="1">
      <alignment horizontal="right" vertical="center" wrapText="1"/>
    </xf>
    <xf numFmtId="0" fontId="3" fillId="0" borderId="538" xfId="0" applyFont="1" applyBorder="1" applyAlignment="1">
      <alignment horizontal="right" vertical="center" wrapText="1"/>
    </xf>
    <xf numFmtId="0" fontId="3" fillId="0" borderId="543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2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560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5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6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7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08" xfId="2" applyNumberFormat="1" applyFont="1" applyBorder="1" applyAlignment="1">
      <alignment horizontal="right" wrapText="1"/>
    </xf>
    <xf numFmtId="1" fontId="3" fillId="0" borderId="570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2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09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0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1" xfId="2" applyNumberFormat="1" applyFont="1" applyFill="1" applyBorder="1" applyAlignment="1" applyProtection="1">
      <alignment horizontal="right"/>
      <protection locked="0"/>
    </xf>
    <xf numFmtId="1" fontId="3" fillId="18" borderId="412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29" xfId="0" applyFont="1" applyBorder="1" applyAlignment="1">
      <alignment vertical="center" wrapText="1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vertical="top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7" borderId="567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33" xfId="0" applyNumberFormat="1" applyFont="1" applyFill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7" borderId="561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7" xfId="0" applyNumberFormat="1" applyFont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0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horizontal="right" vertical="center"/>
    </xf>
    <xf numFmtId="1" fontId="3" fillId="0" borderId="522" xfId="0" applyNumberFormat="1" applyFont="1" applyBorder="1" applyAlignment="1">
      <alignment horizontal="right" vertical="center"/>
    </xf>
    <xf numFmtId="1" fontId="3" fillId="3" borderId="511" xfId="0" applyNumberFormat="1" applyFont="1" applyFill="1" applyBorder="1" applyAlignment="1">
      <alignment horizontal="right"/>
    </xf>
    <xf numFmtId="1" fontId="3" fillId="4" borderId="509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4" borderId="567" xfId="0" applyNumberFormat="1" applyFont="1" applyFill="1" applyBorder="1" applyAlignment="1" applyProtection="1">
      <alignment wrapText="1"/>
      <protection locked="0"/>
    </xf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4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0" borderId="338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3" xfId="0" applyNumberFormat="1" applyFont="1" applyFill="1" applyBorder="1"/>
    <xf numFmtId="1" fontId="3" fillId="7" borderId="2" xfId="0" applyNumberFormat="1" applyFont="1" applyFill="1" applyBorder="1"/>
    <xf numFmtId="1" fontId="3" fillId="0" borderId="329" xfId="0" applyNumberFormat="1" applyFont="1" applyBorder="1" applyAlignment="1">
      <alignment horizontal="left"/>
    </xf>
    <xf numFmtId="1" fontId="3" fillId="0" borderId="231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59" xfId="0" applyNumberFormat="1" applyFont="1" applyFill="1" applyBorder="1"/>
    <xf numFmtId="1" fontId="3" fillId="7" borderId="355" xfId="0" applyNumberFormat="1" applyFont="1" applyFill="1" applyBorder="1"/>
    <xf numFmtId="1" fontId="3" fillId="7" borderId="392" xfId="0" applyNumberFormat="1" applyFont="1" applyFill="1" applyBorder="1"/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5" xfId="0" applyNumberFormat="1" applyFont="1" applyFill="1" applyBorder="1"/>
    <xf numFmtId="1" fontId="3" fillId="3" borderId="489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27" fillId="0" borderId="573" xfId="0" applyNumberFormat="1" applyFont="1" applyBorder="1"/>
    <xf numFmtId="1" fontId="3" fillId="0" borderId="518" xfId="0" applyNumberFormat="1" applyFont="1" applyBorder="1"/>
    <xf numFmtId="1" fontId="3" fillId="0" borderId="274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right"/>
    </xf>
    <xf numFmtId="1" fontId="3" fillId="4" borderId="533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1" xfId="0" applyNumberFormat="1" applyFont="1" applyFill="1" applyBorder="1"/>
    <xf numFmtId="1" fontId="3" fillId="6" borderId="332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4" borderId="489" xfId="0" applyNumberFormat="1" applyFont="1" applyFill="1" applyBorder="1" applyAlignment="1" applyProtection="1">
      <alignment wrapText="1"/>
      <protection locked="0"/>
    </xf>
    <xf numFmtId="0" fontId="3" fillId="0" borderId="522" xfId="0" applyFont="1" applyBorder="1" applyAlignment="1">
      <alignment horizontal="center" wrapText="1"/>
    </xf>
    <xf numFmtId="0" fontId="3" fillId="0" borderId="301" xfId="0" applyFont="1" applyBorder="1" applyAlignment="1">
      <alignment horizontal="left" wrapText="1"/>
    </xf>
    <xf numFmtId="0" fontId="3" fillId="0" borderId="509" xfId="0" applyFont="1" applyBorder="1"/>
    <xf numFmtId="0" fontId="3" fillId="0" borderId="533" xfId="0" applyFont="1" applyBorder="1"/>
    <xf numFmtId="0" fontId="3" fillId="0" borderId="511" xfId="0" applyFont="1" applyBorder="1"/>
    <xf numFmtId="0" fontId="3" fillId="44" borderId="509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0" xfId="0" applyFont="1" applyFill="1" applyBorder="1" applyProtection="1">
      <protection locked="0"/>
    </xf>
    <xf numFmtId="0" fontId="0" fillId="22" borderId="0" xfId="0" applyFill="1"/>
    <xf numFmtId="0" fontId="3" fillId="0" borderId="404" xfId="0" applyFont="1" applyBorder="1" applyAlignment="1">
      <alignment wrapText="1"/>
    </xf>
    <xf numFmtId="0" fontId="3" fillId="0" borderId="319" xfId="0" applyFont="1" applyBorder="1"/>
    <xf numFmtId="0" fontId="3" fillId="0" borderId="489" xfId="0" applyFont="1" applyBorder="1"/>
    <xf numFmtId="0" fontId="3" fillId="44" borderId="326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27" fillId="0" borderId="574" xfId="0" applyNumberFormat="1" applyFont="1" applyBorder="1"/>
    <xf numFmtId="1" fontId="27" fillId="0" borderId="575" xfId="0" applyNumberFormat="1" applyFont="1" applyBorder="1"/>
    <xf numFmtId="1" fontId="27" fillId="0" borderId="576" xfId="0" applyNumberFormat="1" applyFont="1" applyBorder="1"/>
    <xf numFmtId="1" fontId="4" fillId="0" borderId="580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>
      <alignment horizontal="right"/>
    </xf>
    <xf numFmtId="1" fontId="3" fillId="0" borderId="582" xfId="0" applyNumberFormat="1" applyFont="1" applyBorder="1"/>
    <xf numFmtId="1" fontId="3" fillId="0" borderId="581" xfId="0" applyNumberFormat="1" applyFont="1" applyBorder="1"/>
    <xf numFmtId="1" fontId="3" fillId="0" borderId="583" xfId="0" applyNumberFormat="1" applyFont="1" applyBorder="1"/>
    <xf numFmtId="1" fontId="3" fillId="0" borderId="584" xfId="0" applyNumberFormat="1" applyFont="1" applyBorder="1"/>
    <xf numFmtId="1" fontId="3" fillId="0" borderId="585" xfId="0" applyNumberFormat="1" applyFont="1" applyBorder="1" applyAlignment="1">
      <alignment vertical="center" wrapText="1"/>
    </xf>
    <xf numFmtId="1" fontId="3" fillId="4" borderId="301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left" vertical="center"/>
    </xf>
    <xf numFmtId="1" fontId="3" fillId="4" borderId="586" xfId="0" applyNumberFormat="1" applyFont="1" applyFill="1" applyBorder="1" applyProtection="1">
      <protection locked="0"/>
    </xf>
    <xf numFmtId="1" fontId="4" fillId="0" borderId="587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center" wrapText="1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vertical="center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/>
    </xf>
    <xf numFmtId="1" fontId="3" fillId="9" borderId="605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608" xfId="28" applyNumberFormat="1" applyFont="1" applyBorder="1" applyAlignment="1" applyProtection="1">
      <alignment horizontal="right"/>
      <protection locked="0"/>
    </xf>
    <xf numFmtId="1" fontId="3" fillId="9" borderId="606" xfId="28" applyNumberFormat="1" applyFont="1" applyBorder="1" applyAlignment="1" applyProtection="1">
      <alignment horizontal="right"/>
      <protection locked="0"/>
    </xf>
    <xf numFmtId="1" fontId="3" fillId="9" borderId="609" xfId="28" applyNumberFormat="1" applyFont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vertical="center" wrapText="1"/>
    </xf>
    <xf numFmtId="1" fontId="3" fillId="0" borderId="601" xfId="0" applyNumberFormat="1" applyFont="1" applyBorder="1" applyAlignment="1">
      <alignment vertical="center" wrapText="1"/>
    </xf>
    <xf numFmtId="1" fontId="3" fillId="0" borderId="489" xfId="0" applyNumberFormat="1" applyFont="1" applyBorder="1" applyAlignment="1">
      <alignment vertical="center"/>
    </xf>
    <xf numFmtId="1" fontId="3" fillId="9" borderId="319" xfId="28" applyNumberFormat="1" applyFont="1" applyBorder="1" applyAlignment="1" applyProtection="1">
      <alignment horizontal="right"/>
      <protection locked="0"/>
    </xf>
    <xf numFmtId="1" fontId="3" fillId="9" borderId="489" xfId="28" applyNumberFormat="1" applyFont="1" applyBorder="1" applyAlignment="1" applyProtection="1">
      <alignment horizontal="right"/>
      <protection locked="0"/>
    </xf>
    <xf numFmtId="1" fontId="3" fillId="9" borderId="256" xfId="28" applyNumberFormat="1" applyFont="1" applyBorder="1" applyAlignment="1" applyProtection="1">
      <alignment horizontal="right"/>
      <protection locked="0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262" xfId="28" applyNumberFormat="1" applyFont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vertical="center" wrapText="1"/>
    </xf>
    <xf numFmtId="1" fontId="3" fillId="5" borderId="588" xfId="28" applyNumberFormat="1" applyFont="1" applyFill="1" applyBorder="1" applyAlignment="1" applyProtection="1">
      <alignment horizontal="right"/>
    </xf>
    <xf numFmtId="1" fontId="3" fillId="5" borderId="597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0" xfId="0" applyNumberFormat="1" applyFont="1" applyBorder="1" applyProtection="1">
      <protection hidden="1"/>
    </xf>
    <xf numFmtId="1" fontId="3" fillId="0" borderId="611" xfId="0" applyNumberFormat="1" applyFont="1" applyBorder="1" applyProtection="1">
      <protection hidden="1"/>
    </xf>
    <xf numFmtId="1" fontId="3" fillId="0" borderId="612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left"/>
    </xf>
    <xf numFmtId="1" fontId="3" fillId="0" borderId="614" xfId="0" applyNumberFormat="1" applyFont="1" applyBorder="1" applyAlignment="1" applyProtection="1">
      <alignment horizontal="left" vertical="center"/>
      <protection hidden="1"/>
    </xf>
    <xf numFmtId="1" fontId="3" fillId="0" borderId="589" xfId="0" applyNumberFormat="1" applyFont="1" applyBorder="1" applyAlignment="1">
      <alignment horizontal="right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left" vertical="center"/>
    </xf>
    <xf numFmtId="1" fontId="3" fillId="0" borderId="585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 applyProtection="1">
      <alignment horizontal="left" vertical="center"/>
      <protection hidden="1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4" borderId="345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4" fillId="0" borderId="595" xfId="0" applyNumberFormat="1" applyFont="1" applyBorder="1" applyAlignment="1">
      <alignment vertical="center"/>
    </xf>
    <xf numFmtId="1" fontId="4" fillId="0" borderId="620" xfId="0" applyNumberFormat="1" applyFont="1" applyBorder="1" applyAlignment="1">
      <alignment vertical="center"/>
    </xf>
    <xf numFmtId="1" fontId="4" fillId="0" borderId="581" xfId="0" applyNumberFormat="1" applyFont="1" applyBorder="1" applyAlignment="1">
      <alignment vertical="center"/>
    </xf>
    <xf numFmtId="1" fontId="3" fillId="4" borderId="615" xfId="0" applyNumberFormat="1" applyFont="1" applyFill="1" applyBorder="1" applyProtection="1">
      <protection locked="0"/>
    </xf>
    <xf numFmtId="1" fontId="3" fillId="5" borderId="623" xfId="0" applyNumberFormat="1" applyFont="1" applyFill="1" applyBorder="1"/>
    <xf numFmtId="1" fontId="3" fillId="0" borderId="588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616" xfId="30" applyNumberFormat="1" applyFont="1" applyFill="1" applyBorder="1" applyAlignment="1">
      <alignment horizontal="center" vertical="center" wrapText="1"/>
    </xf>
    <xf numFmtId="1" fontId="3" fillId="0" borderId="617" xfId="30" applyNumberFormat="1" applyFont="1" applyFill="1" applyBorder="1" applyAlignment="1">
      <alignment horizontal="center" vertical="center" wrapText="1"/>
    </xf>
    <xf numFmtId="1" fontId="3" fillId="0" borderId="613" xfId="30" applyNumberFormat="1" applyFont="1" applyFill="1" applyBorder="1" applyAlignment="1">
      <alignment horizontal="center" vertical="center" wrapText="1"/>
    </xf>
    <xf numFmtId="1" fontId="3" fillId="0" borderId="501" xfId="30" applyNumberFormat="1" applyFont="1" applyBorder="1" applyAlignment="1">
      <alignment horizontal="center" vertical="center" wrapText="1"/>
    </xf>
    <xf numFmtId="1" fontId="3" fillId="0" borderId="256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vertical="center" wrapText="1"/>
    </xf>
    <xf numFmtId="1" fontId="3" fillId="5" borderId="275" xfId="8" applyNumberFormat="1" applyFont="1" applyFill="1" applyBorder="1" applyProtection="1"/>
    <xf numFmtId="1" fontId="3" fillId="4" borderId="605" xfId="8" applyNumberFormat="1" applyFont="1" applyFill="1" applyBorder="1" applyProtection="1">
      <protection locked="0"/>
    </xf>
    <xf numFmtId="1" fontId="3" fillId="4" borderId="607" xfId="8" applyNumberFormat="1" applyFont="1" applyFill="1" applyBorder="1" applyProtection="1">
      <protection locked="0"/>
    </xf>
    <xf numFmtId="1" fontId="3" fillId="4" borderId="562" xfId="8" applyNumberFormat="1" applyFont="1" applyFill="1" applyBorder="1" applyProtection="1">
      <protection locked="0"/>
    </xf>
    <xf numFmtId="1" fontId="3" fillId="4" borderId="626" xfId="8" applyNumberFormat="1" applyFont="1" applyFill="1" applyBorder="1" applyProtection="1">
      <protection locked="0"/>
    </xf>
    <xf numFmtId="1" fontId="3" fillId="4" borderId="627" xfId="8" applyNumberFormat="1" applyFont="1" applyFill="1" applyBorder="1" applyProtection="1">
      <protection locked="0"/>
    </xf>
    <xf numFmtId="1" fontId="3" fillId="4" borderId="606" xfId="8" applyNumberFormat="1" applyFont="1" applyFill="1" applyBorder="1" applyProtection="1">
      <protection locked="0"/>
    </xf>
    <xf numFmtId="1" fontId="3" fillId="4" borderId="608" xfId="8" applyNumberFormat="1" applyFont="1" applyFill="1" applyBorder="1" applyProtection="1">
      <protection locked="0"/>
    </xf>
    <xf numFmtId="1" fontId="3" fillId="6" borderId="275" xfId="8" applyNumberFormat="1" applyFont="1" applyFill="1" applyBorder="1" applyProtection="1"/>
    <xf numFmtId="1" fontId="3" fillId="6" borderId="270" xfId="8" applyNumberFormat="1" applyFont="1" applyFill="1" applyBorder="1" applyProtection="1"/>
    <xf numFmtId="1" fontId="3" fillId="0" borderId="329" xfId="29" applyNumberFormat="1" applyFont="1" applyBorder="1" applyAlignment="1">
      <alignment vertical="center" wrapText="1"/>
    </xf>
    <xf numFmtId="1" fontId="3" fillId="4" borderId="275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4" borderId="300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6" xfId="8" applyNumberFormat="1" applyFont="1" applyFill="1" applyBorder="1" applyProtection="1"/>
    <xf numFmtId="1" fontId="3" fillId="4" borderId="326" xfId="8" applyNumberFormat="1" applyFont="1" applyFill="1" applyBorder="1" applyProtection="1"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2" xfId="8" applyNumberFormat="1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6" borderId="326" xfId="8" applyNumberFormat="1" applyFont="1" applyFill="1" applyBorder="1" applyProtection="1"/>
    <xf numFmtId="1" fontId="3" fillId="6" borderId="402" xfId="8" applyNumberFormat="1" applyFont="1" applyFill="1" applyBorder="1" applyProtection="1"/>
    <xf numFmtId="1" fontId="3" fillId="6" borderId="332" xfId="8" applyNumberFormat="1" applyFont="1" applyFill="1" applyBorder="1" applyProtection="1"/>
    <xf numFmtId="1" fontId="3" fillId="6" borderId="339" xfId="8" applyNumberFormat="1" applyFont="1" applyFill="1" applyBorder="1" applyProtection="1"/>
    <xf numFmtId="1" fontId="3" fillId="4" borderId="364" xfId="8" applyNumberFormat="1" applyFont="1" applyFill="1" applyBorder="1" applyProtection="1">
      <protection locked="0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588" xfId="8" applyNumberFormat="1" applyFont="1" applyBorder="1" applyAlignment="1">
      <alignment horizontal="right"/>
    </xf>
    <xf numFmtId="1" fontId="3" fillId="0" borderId="581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602" xfId="8" applyNumberFormat="1" applyFont="1" applyBorder="1" applyAlignment="1">
      <alignment horizontal="right"/>
    </xf>
    <xf numFmtId="1" fontId="3" fillId="5" borderId="629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6" borderId="605" xfId="8" applyNumberFormat="1" applyFont="1" applyFill="1" applyBorder="1" applyProtection="1"/>
    <xf numFmtId="1" fontId="3" fillId="6" borderId="607" xfId="8" applyNumberFormat="1" applyFont="1" applyFill="1" applyBorder="1" applyProtection="1"/>
    <xf numFmtId="1" fontId="3" fillId="0" borderId="404" xfId="29" applyNumberFormat="1" applyFont="1" applyBorder="1" applyAlignment="1">
      <alignment vertical="center" wrapText="1"/>
    </xf>
    <xf numFmtId="1" fontId="3" fillId="4" borderId="352" xfId="8" applyNumberFormat="1" applyFont="1" applyFill="1" applyBorder="1" applyProtection="1">
      <protection locked="0"/>
    </xf>
    <xf numFmtId="1" fontId="3" fillId="6" borderId="352" xfId="8" applyNumberFormat="1" applyFont="1" applyFill="1" applyBorder="1" applyProtection="1"/>
    <xf numFmtId="1" fontId="3" fillId="4" borderId="327" xfId="8" applyNumberFormat="1" applyFont="1" applyFill="1" applyBorder="1" applyProtection="1">
      <protection locked="0"/>
    </xf>
    <xf numFmtId="1" fontId="52" fillId="3" borderId="614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58" xfId="0" applyNumberFormat="1" applyFont="1" applyBorder="1"/>
    <xf numFmtId="1" fontId="8" fillId="0" borderId="557" xfId="0" applyNumberFormat="1" applyFont="1" applyBorder="1"/>
    <xf numFmtId="1" fontId="3" fillId="0" borderId="597" xfId="0" applyNumberFormat="1" applyFont="1" applyBorder="1" applyAlignment="1">
      <alignment horizontal="center" vertical="center"/>
    </xf>
    <xf numFmtId="1" fontId="3" fillId="4" borderId="510" xfId="8" applyNumberFormat="1" applyFont="1" applyFill="1" applyBorder="1" applyProtection="1">
      <protection locked="0"/>
    </xf>
    <xf numFmtId="1" fontId="3" fillId="4" borderId="585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29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8" fillId="0" borderId="614" xfId="0" applyNumberFormat="1" applyFont="1" applyBorder="1"/>
    <xf numFmtId="1" fontId="8" fillId="0" borderId="632" xfId="0" applyNumberFormat="1" applyFont="1" applyBorder="1"/>
    <xf numFmtId="1" fontId="3" fillId="0" borderId="1137" xfId="0" applyNumberFormat="1" applyFont="1" applyBorder="1"/>
    <xf numFmtId="1" fontId="3" fillId="3" borderId="334" xfId="0" applyNumberFormat="1" applyFont="1" applyFill="1" applyBorder="1"/>
    <xf numFmtId="1" fontId="3" fillId="4" borderId="607" xfId="0" applyNumberFormat="1" applyFont="1" applyFill="1" applyBorder="1" applyAlignment="1" applyProtection="1">
      <alignment wrapText="1"/>
      <protection locked="0"/>
    </xf>
    <xf numFmtId="1" fontId="3" fillId="0" borderId="615" xfId="0" applyNumberFormat="1" applyFont="1" applyBorder="1"/>
    <xf numFmtId="1" fontId="3" fillId="0" borderId="1138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35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left" wrapText="1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0" borderId="585" xfId="0" applyNumberFormat="1" applyFont="1" applyBorder="1" applyAlignment="1">
      <alignment horizontal="left" wrapText="1"/>
    </xf>
    <xf numFmtId="1" fontId="3" fillId="6" borderId="510" xfId="8" applyNumberFormat="1" applyFont="1" applyFill="1" applyBorder="1" applyProtection="1"/>
    <xf numFmtId="1" fontId="3" fillId="6" borderId="608" xfId="8" applyNumberFormat="1" applyFont="1" applyFill="1" applyBorder="1" applyProtection="1"/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530" xfId="1" applyNumberFormat="1" applyFont="1" applyBorder="1" applyProtection="1">
      <protection locked="0"/>
    </xf>
    <xf numFmtId="1" fontId="3" fillId="0" borderId="368" xfId="0" applyNumberFormat="1" applyFont="1" applyBorder="1" applyAlignment="1">
      <alignment horizontal="left" wrapText="1"/>
    </xf>
    <xf numFmtId="1" fontId="3" fillId="2" borderId="319" xfId="1" applyNumberFormat="1" applyFont="1" applyBorder="1" applyProtection="1">
      <protection locked="0"/>
    </xf>
    <xf numFmtId="1" fontId="3" fillId="2" borderId="255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6" borderId="614" xfId="8" applyNumberFormat="1" applyFont="1" applyFill="1" applyBorder="1" applyProtection="1"/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0" fontId="3" fillId="0" borderId="617" xfId="0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496" xfId="0" applyFont="1" applyBorder="1" applyAlignment="1">
      <alignment horizontal="left" wrapText="1"/>
    </xf>
    <xf numFmtId="1" fontId="3" fillId="4" borderId="358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34" xfId="0" applyFont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301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0" xfId="0" applyNumberFormat="1" applyFont="1" applyFill="1" applyBorder="1" applyAlignment="1">
      <alignment horizontal="right" wrapText="1"/>
    </xf>
    <xf numFmtId="1" fontId="2" fillId="0" borderId="496" xfId="0" applyNumberFormat="1" applyFont="1" applyBorder="1" applyAlignment="1">
      <alignment horizontal="left"/>
    </xf>
    <xf numFmtId="1" fontId="3" fillId="0" borderId="625" xfId="0" applyNumberFormat="1" applyFont="1" applyBorder="1" applyAlignment="1">
      <alignment vertical="center" wrapText="1"/>
    </xf>
    <xf numFmtId="1" fontId="3" fillId="0" borderId="334" xfId="0" applyNumberFormat="1" applyFont="1" applyBorder="1" applyAlignment="1">
      <alignment vertical="center" wrapText="1"/>
    </xf>
    <xf numFmtId="1" fontId="3" fillId="0" borderId="334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301" xfId="0" applyNumberFormat="1" applyFont="1" applyFill="1" applyBorder="1" applyAlignment="1">
      <alignment horizontal="right"/>
    </xf>
    <xf numFmtId="1" fontId="3" fillId="3" borderId="365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vertical="center" wrapText="1"/>
    </xf>
    <xf numFmtId="0" fontId="0" fillId="0" borderId="496" xfId="0" applyBorder="1"/>
    <xf numFmtId="1" fontId="2" fillId="0" borderId="633" xfId="0" applyNumberFormat="1" applyFont="1" applyBorder="1" applyAlignment="1">
      <alignment horizontal="left"/>
    </xf>
    <xf numFmtId="0" fontId="6" fillId="0" borderId="633" xfId="0" applyFont="1" applyBorder="1"/>
    <xf numFmtId="0" fontId="0" fillId="0" borderId="277" xfId="0" applyBorder="1"/>
    <xf numFmtId="1" fontId="3" fillId="3" borderId="607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5" xfId="0" applyFont="1" applyBorder="1" applyAlignment="1">
      <alignment horizontal="center" vertical="center" wrapText="1"/>
    </xf>
    <xf numFmtId="0" fontId="3" fillId="44" borderId="279" xfId="0" applyFont="1" applyFill="1" applyBorder="1" applyProtection="1">
      <protection locked="0"/>
    </xf>
    <xf numFmtId="0" fontId="3" fillId="44" borderId="255" xfId="0" applyFont="1" applyFill="1" applyBorder="1" applyProtection="1">
      <protection locked="0"/>
    </xf>
    <xf numFmtId="0" fontId="3" fillId="0" borderId="661" xfId="0" applyFont="1" applyBorder="1" applyAlignment="1">
      <alignment horizont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1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2" fillId="20" borderId="311" xfId="0" applyFont="1" applyFill="1" applyBorder="1"/>
    <xf numFmtId="0" fontId="3" fillId="0" borderId="666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0" borderId="588" xfId="0" applyFont="1" applyBorder="1" applyAlignment="1">
      <alignment wrapText="1"/>
    </xf>
    <xf numFmtId="0" fontId="3" fillId="0" borderId="501" xfId="0" applyFont="1" applyBorder="1" applyAlignment="1">
      <alignment horizontal="center" wrapText="1"/>
    </xf>
    <xf numFmtId="0" fontId="3" fillId="0" borderId="489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0" fontId="3" fillId="0" borderId="602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44" borderId="175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0" borderId="134" xfId="0" applyFont="1" applyBorder="1"/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0" borderId="275" xfId="0" applyFont="1" applyBorder="1"/>
    <xf numFmtId="0" fontId="3" fillId="0" borderId="352" xfId="0" applyFont="1" applyBorder="1"/>
    <xf numFmtId="0" fontId="3" fillId="44" borderId="316" xfId="0" applyFont="1" applyFill="1" applyBorder="1" applyProtection="1">
      <protection locked="0"/>
    </xf>
    <xf numFmtId="0" fontId="3" fillId="44" borderId="322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323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5" xfId="0" applyNumberFormat="1" applyFont="1" applyFill="1" applyBorder="1"/>
    <xf numFmtId="0" fontId="0" fillId="15" borderId="0" xfId="0" applyFill="1"/>
    <xf numFmtId="1" fontId="3" fillId="0" borderId="365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87" xfId="0" applyNumberFormat="1" applyFont="1" applyFill="1" applyBorder="1"/>
    <xf numFmtId="1" fontId="3" fillId="6" borderId="588" xfId="0" applyNumberFormat="1" applyFont="1" applyFill="1" applyBorder="1"/>
    <xf numFmtId="1" fontId="3" fillId="6" borderId="589" xfId="0" applyNumberFormat="1" applyFont="1" applyFill="1" applyBorder="1"/>
    <xf numFmtId="1" fontId="3" fillId="6" borderId="602" xfId="0" applyNumberFormat="1" applyFont="1" applyFill="1" applyBorder="1"/>
    <xf numFmtId="1" fontId="3" fillId="6" borderId="634" xfId="0" applyNumberFormat="1" applyFont="1" applyFill="1" applyBorder="1"/>
    <xf numFmtId="1" fontId="3" fillId="6" borderId="613" xfId="0" applyNumberFormat="1" applyFont="1" applyFill="1" applyBorder="1"/>
    <xf numFmtId="1" fontId="3" fillId="6" borderId="617" xfId="0" applyNumberFormat="1" applyFont="1" applyFill="1" applyBorder="1"/>
    <xf numFmtId="1" fontId="3" fillId="6" borderId="619" xfId="0" applyNumberFormat="1" applyFont="1" applyFill="1" applyBorder="1"/>
    <xf numFmtId="1" fontId="3" fillId="5" borderId="301" xfId="0" applyNumberFormat="1" applyFont="1" applyFill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0" borderId="703" xfId="0" applyNumberFormat="1" applyFont="1" applyBorder="1"/>
    <xf numFmtId="1" fontId="3" fillId="4" borderId="716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87" xfId="0" applyNumberFormat="1" applyFont="1" applyFill="1" applyBorder="1" applyAlignment="1">
      <alignment vertical="center" wrapText="1"/>
    </xf>
    <xf numFmtId="1" fontId="3" fillId="6" borderId="588" xfId="0" applyNumberFormat="1" applyFont="1" applyFill="1" applyBorder="1" applyAlignment="1">
      <alignment vertical="center" wrapText="1"/>
    </xf>
    <xf numFmtId="1" fontId="3" fillId="6" borderId="589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3" xfId="0" applyNumberFormat="1" applyFont="1" applyFill="1" applyBorder="1" applyAlignment="1">
      <alignment vertical="center" wrapText="1"/>
    </xf>
    <xf numFmtId="1" fontId="3" fillId="5" borderId="231" xfId="0" applyNumberFormat="1" applyFont="1" applyFill="1" applyBorder="1" applyAlignment="1">
      <alignment vertical="center" wrapText="1"/>
    </xf>
    <xf numFmtId="1" fontId="3" fillId="3" borderId="203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4" borderId="394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vertical="center" wrapText="1"/>
    </xf>
    <xf numFmtId="1" fontId="3" fillId="3" borderId="331" xfId="0" applyNumberFormat="1" applyFont="1" applyFill="1" applyBorder="1" applyAlignment="1">
      <alignment vertical="center" wrapText="1"/>
    </xf>
    <xf numFmtId="1" fontId="3" fillId="5" borderId="717" xfId="0" applyNumberFormat="1" applyFont="1" applyFill="1" applyBorder="1" applyAlignment="1">
      <alignment vertical="center" wrapText="1"/>
    </xf>
    <xf numFmtId="1" fontId="3" fillId="3" borderId="701" xfId="0" applyNumberFormat="1" applyFont="1" applyFill="1" applyBorder="1" applyAlignment="1">
      <alignment vertical="center" wrapText="1"/>
    </xf>
    <xf numFmtId="1" fontId="3" fillId="3" borderId="606" xfId="0" applyNumberFormat="1" applyFont="1" applyFill="1" applyBorder="1" applyAlignment="1">
      <alignment vertical="center" wrapText="1"/>
    </xf>
    <xf numFmtId="1" fontId="3" fillId="5" borderId="404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402" xfId="0" applyNumberFormat="1" applyFont="1" applyFill="1" applyBorder="1" applyAlignment="1">
      <alignment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15" xfId="0" applyNumberFormat="1" applyFont="1" applyFill="1" applyBorder="1"/>
    <xf numFmtId="1" fontId="3" fillId="6" borderId="1126" xfId="0" applyNumberFormat="1" applyFont="1" applyFill="1" applyBorder="1"/>
    <xf numFmtId="1" fontId="3" fillId="6" borderId="1123" xfId="0" applyNumberFormat="1" applyFont="1" applyFill="1" applyBorder="1"/>
    <xf numFmtId="1" fontId="3" fillId="6" borderId="1119" xfId="0" applyNumberFormat="1" applyFont="1" applyFill="1" applyBorder="1"/>
    <xf numFmtId="1" fontId="3" fillId="0" borderId="1120" xfId="0" applyNumberFormat="1" applyFont="1" applyBorder="1"/>
    <xf numFmtId="1" fontId="3" fillId="0" borderId="1118" xfId="0" applyNumberFormat="1" applyFont="1" applyBorder="1"/>
    <xf numFmtId="1" fontId="3" fillId="0" borderId="1127" xfId="0" applyNumberFormat="1" applyFont="1" applyBorder="1"/>
    <xf numFmtId="1" fontId="3" fillId="0" borderId="1124" xfId="0" applyNumberFormat="1" applyFont="1" applyBorder="1"/>
    <xf numFmtId="1" fontId="3" fillId="0" borderId="1132" xfId="0" applyNumberFormat="1" applyFont="1" applyBorder="1"/>
    <xf numFmtId="1" fontId="3" fillId="0" borderId="717" xfId="0" applyNumberFormat="1" applyFont="1" applyBorder="1" applyAlignment="1">
      <alignment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3" borderId="329" xfId="0" applyNumberFormat="1" applyFont="1" applyFill="1" applyBorder="1" applyAlignment="1">
      <alignment vertical="center" wrapText="1"/>
    </xf>
    <xf numFmtId="1" fontId="3" fillId="4" borderId="1119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0" borderId="1121" xfId="0" applyNumberFormat="1" applyFont="1" applyBorder="1"/>
    <xf numFmtId="1" fontId="3" fillId="0" borderId="666" xfId="0" applyNumberFormat="1" applyFont="1" applyBorder="1"/>
    <xf numFmtId="1" fontId="3" fillId="0" borderId="1133" xfId="0" applyNumberFormat="1" applyFont="1" applyBorder="1"/>
    <xf numFmtId="1" fontId="3" fillId="6" borderId="207" xfId="0" applyNumberFormat="1" applyFont="1" applyFill="1" applyBorder="1"/>
    <xf numFmtId="1" fontId="3" fillId="6" borderId="206" xfId="0" applyNumberFormat="1" applyFont="1" applyFill="1" applyBorder="1"/>
    <xf numFmtId="1" fontId="3" fillId="6" borderId="242" xfId="0" applyNumberFormat="1" applyFont="1" applyFill="1" applyBorder="1"/>
    <xf numFmtId="1" fontId="3" fillId="6" borderId="1129" xfId="0" applyNumberFormat="1" applyFont="1" applyFill="1" applyBorder="1"/>
    <xf numFmtId="1" fontId="3" fillId="6" borderId="245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24" xfId="0" applyNumberFormat="1" applyFont="1" applyFill="1" applyBorder="1" applyAlignment="1">
      <alignment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4" borderId="725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6" borderId="1135" xfId="0" applyNumberFormat="1" applyFont="1" applyFill="1" applyBorder="1"/>
    <xf numFmtId="1" fontId="3" fillId="6" borderId="220" xfId="0" applyNumberFormat="1" applyFont="1" applyFill="1" applyBorder="1"/>
    <xf numFmtId="1" fontId="3" fillId="6" borderId="1136" xfId="0" applyNumberFormat="1" applyFont="1" applyFill="1" applyBorder="1"/>
    <xf numFmtId="1" fontId="3" fillId="5" borderId="368" xfId="0" applyNumberFormat="1" applyFont="1" applyFill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6" borderId="1122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30" xfId="0" applyNumberFormat="1" applyFont="1" applyFill="1" applyBorder="1"/>
    <xf numFmtId="1" fontId="2" fillId="5" borderId="305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727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0" fontId="3" fillId="0" borderId="717" xfId="0" applyFont="1" applyBorder="1" applyAlignment="1">
      <alignment vertical="center" wrapText="1"/>
    </xf>
    <xf numFmtId="1" fontId="3" fillId="0" borderId="703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0" borderId="602" xfId="0" applyNumberFormat="1" applyFont="1" applyBorder="1" applyAlignment="1">
      <alignment horizontal="right"/>
    </xf>
    <xf numFmtId="1" fontId="3" fillId="0" borderId="270" xfId="0" applyNumberFormat="1" applyFont="1" applyBorder="1" applyAlignment="1">
      <alignment horizontal="right"/>
    </xf>
    <xf numFmtId="1" fontId="39" fillId="0" borderId="251" xfId="0" applyNumberFormat="1" applyFont="1" applyBorder="1" applyAlignment="1" applyProtection="1">
      <alignment horizontal="left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0" borderId="68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9" borderId="685" xfId="38" applyNumberFormat="1" applyFont="1" applyBorder="1" applyProtection="1">
      <protection locked="0"/>
    </xf>
    <xf numFmtId="1" fontId="3" fillId="9" borderId="777" xfId="38" applyNumberFormat="1" applyFont="1" applyBorder="1" applyProtection="1">
      <protection locked="0"/>
    </xf>
    <xf numFmtId="1" fontId="3" fillId="0" borderId="1145" xfId="0" applyNumberFormat="1" applyFont="1" applyBorder="1"/>
    <xf numFmtId="1" fontId="3" fillId="0" borderId="1123" xfId="0" applyNumberFormat="1" applyFont="1" applyBorder="1"/>
    <xf numFmtId="1" fontId="3" fillId="0" borderId="1146" xfId="0" applyNumberFormat="1" applyFont="1" applyBorder="1"/>
    <xf numFmtId="1" fontId="3" fillId="0" borderId="955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7" borderId="970" xfId="0" applyNumberFormat="1" applyFont="1" applyFill="1" applyBorder="1"/>
    <xf numFmtId="1" fontId="3" fillId="0" borderId="1143" xfId="0" applyNumberFormat="1" applyFont="1" applyBorder="1"/>
    <xf numFmtId="1" fontId="3" fillId="0" borderId="312" xfId="0" applyNumberFormat="1" applyFont="1" applyBorder="1"/>
    <xf numFmtId="0" fontId="57" fillId="0" borderId="0" xfId="0" applyFont="1"/>
    <xf numFmtId="1" fontId="3" fillId="7" borderId="968" xfId="0" applyNumberFormat="1" applyFont="1" applyFill="1" applyBorder="1"/>
    <xf numFmtId="1" fontId="3" fillId="9" borderId="972" xfId="38" applyNumberFormat="1" applyFont="1" applyBorder="1" applyProtection="1">
      <protection locked="0"/>
    </xf>
    <xf numFmtId="1" fontId="3" fillId="9" borderId="968" xfId="38" applyNumberFormat="1" applyFont="1" applyBorder="1" applyProtection="1">
      <protection locked="0"/>
    </xf>
    <xf numFmtId="1" fontId="3" fillId="5" borderId="338" xfId="0" applyNumberFormat="1" applyFont="1" applyFill="1" applyBorder="1"/>
    <xf numFmtId="1" fontId="3" fillId="0" borderId="1131" xfId="0" applyNumberFormat="1" applyFont="1" applyBorder="1"/>
    <xf numFmtId="1" fontId="3" fillId="0" borderId="1147" xfId="0" applyNumberFormat="1" applyFont="1" applyBorder="1"/>
    <xf numFmtId="1" fontId="3" fillId="0" borderId="954" xfId="0" applyNumberFormat="1" applyFont="1" applyBorder="1"/>
    <xf numFmtId="1" fontId="3" fillId="0" borderId="1084" xfId="0" applyNumberFormat="1" applyFont="1" applyBorder="1"/>
    <xf numFmtId="1" fontId="3" fillId="0" borderId="1128" xfId="0" applyNumberFormat="1" applyFont="1" applyBorder="1"/>
    <xf numFmtId="1" fontId="3" fillId="0" borderId="1125" xfId="0" applyNumberFormat="1" applyFont="1" applyBorder="1"/>
    <xf numFmtId="1" fontId="3" fillId="0" borderId="1142" xfId="0" applyNumberFormat="1" applyFont="1" applyBorder="1"/>
    <xf numFmtId="1" fontId="3" fillId="0" borderId="493" xfId="0" applyNumberFormat="1" applyFont="1" applyBorder="1"/>
    <xf numFmtId="1" fontId="3" fillId="0" borderId="1148" xfId="0" applyNumberFormat="1" applyFont="1" applyBorder="1"/>
    <xf numFmtId="1" fontId="3" fillId="0" borderId="1134" xfId="0" applyNumberFormat="1" applyFont="1" applyBorder="1"/>
    <xf numFmtId="1" fontId="2" fillId="0" borderId="312" xfId="0" applyNumberFormat="1" applyFont="1" applyBorder="1"/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250" xfId="0" applyNumberFormat="1" applyFont="1" applyFill="1" applyBorder="1" applyAlignment="1">
      <alignment horizontal="center" vertical="center" wrapText="1"/>
    </xf>
    <xf numFmtId="1" fontId="3" fillId="22" borderId="722" xfId="0" applyNumberFormat="1" applyFont="1" applyFill="1" applyBorder="1" applyAlignment="1">
      <alignment horizontal="center" vertical="center" wrapText="1"/>
    </xf>
    <xf numFmtId="1" fontId="3" fillId="22" borderId="634" xfId="0" applyNumberFormat="1" applyFont="1" applyFill="1" applyBorder="1" applyAlignment="1">
      <alignment horizontal="center" vertical="center" wrapText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5" borderId="630" xfId="0" applyNumberFormat="1" applyFont="1" applyFill="1" applyBorder="1"/>
    <xf numFmtId="1" fontId="3" fillId="4" borderId="678" xfId="0" applyNumberFormat="1" applyFont="1" applyFill="1" applyBorder="1" applyProtection="1">
      <protection locked="0"/>
    </xf>
    <xf numFmtId="1" fontId="3" fillId="5" borderId="717" xfId="0" applyNumberFormat="1" applyFont="1" applyFill="1" applyBorder="1"/>
    <xf numFmtId="1" fontId="3" fillId="22" borderId="275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1" xfId="0" applyNumberFormat="1" applyFont="1" applyFill="1" applyBorder="1"/>
    <xf numFmtId="1" fontId="3" fillId="5" borderId="329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1" xfId="0" applyNumberFormat="1" applyFont="1" applyFill="1" applyBorder="1"/>
    <xf numFmtId="1" fontId="3" fillId="22" borderId="339" xfId="0" applyNumberFormat="1" applyFont="1" applyFill="1" applyBorder="1" applyProtection="1">
      <protection locked="0"/>
    </xf>
    <xf numFmtId="1" fontId="3" fillId="22" borderId="332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4" xfId="0" applyNumberFormat="1" applyFont="1" applyFill="1" applyBorder="1"/>
    <xf numFmtId="1" fontId="3" fillId="22" borderId="326" xfId="0" applyNumberFormat="1" applyFont="1" applyFill="1" applyBorder="1" applyProtection="1">
      <protection locked="0"/>
    </xf>
    <xf numFmtId="1" fontId="3" fillId="22" borderId="365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 vertical="center"/>
    </xf>
    <xf numFmtId="1" fontId="3" fillId="0" borderId="298" xfId="0" applyNumberFormat="1" applyFont="1" applyBorder="1"/>
    <xf numFmtId="1" fontId="3" fillId="0" borderId="254" xfId="0" applyNumberFormat="1" applyFont="1" applyBorder="1"/>
    <xf numFmtId="1" fontId="3" fillId="0" borderId="250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6" xfId="0" applyNumberFormat="1" applyFont="1" applyBorder="1"/>
    <xf numFmtId="1" fontId="2" fillId="0" borderId="20" xfId="0" applyNumberFormat="1" applyFont="1" applyBorder="1"/>
    <xf numFmtId="1" fontId="6" fillId="0" borderId="252" xfId="0" applyNumberFormat="1" applyFont="1" applyBorder="1" applyProtection="1">
      <protection locked="0"/>
    </xf>
    <xf numFmtId="1" fontId="3" fillId="0" borderId="717" xfId="0" applyNumberFormat="1" applyFont="1" applyBorder="1"/>
    <xf numFmtId="1" fontId="3" fillId="28" borderId="326" xfId="0" applyNumberFormat="1" applyFont="1" applyFill="1" applyBorder="1"/>
    <xf numFmtId="1" fontId="3" fillId="28" borderId="333" xfId="0" applyNumberFormat="1" applyFont="1" applyFill="1" applyBorder="1"/>
    <xf numFmtId="1" fontId="3" fillId="0" borderId="256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right"/>
    </xf>
    <xf numFmtId="1" fontId="3" fillId="4" borderId="1121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7" borderId="722" xfId="0" applyNumberFormat="1" applyFont="1" applyFill="1" applyBorder="1" applyAlignment="1">
      <alignment horizontal="right"/>
    </xf>
    <xf numFmtId="1" fontId="3" fillId="7" borderId="602" xfId="0" applyNumberFormat="1" applyFont="1" applyFill="1" applyBorder="1" applyAlignment="1">
      <alignment horizontal="right"/>
    </xf>
    <xf numFmtId="1" fontId="3" fillId="7" borderId="685" xfId="0" applyNumberFormat="1" applyFont="1" applyFill="1" applyBorder="1" applyAlignment="1">
      <alignment horizontal="right"/>
    </xf>
    <xf numFmtId="1" fontId="3" fillId="4" borderId="1105" xfId="0" applyNumberFormat="1" applyFont="1" applyFill="1" applyBorder="1" applyProtection="1">
      <protection locked="0"/>
    </xf>
    <xf numFmtId="1" fontId="3" fillId="4" borderId="1177" xfId="0" applyNumberFormat="1" applyFont="1" applyFill="1" applyBorder="1" applyProtection="1">
      <protection locked="0"/>
    </xf>
    <xf numFmtId="1" fontId="3" fillId="7" borderId="701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6" xfId="0" applyNumberFormat="1" applyFont="1" applyFill="1" applyBorder="1"/>
    <xf numFmtId="1" fontId="3" fillId="7" borderId="357" xfId="0" applyNumberFormat="1" applyFont="1" applyFill="1" applyBorder="1"/>
    <xf numFmtId="1" fontId="3" fillId="4" borderId="1178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shrinkToFit="1"/>
    </xf>
    <xf numFmtId="1" fontId="2" fillId="0" borderId="689" xfId="0" applyNumberFormat="1" applyFont="1" applyBorder="1"/>
    <xf numFmtId="1" fontId="2" fillId="0" borderId="665" xfId="0" applyNumberFormat="1" applyFont="1" applyBorder="1"/>
    <xf numFmtId="1" fontId="3" fillId="0" borderId="717" xfId="0" applyNumberFormat="1" applyFont="1" applyBorder="1" applyAlignment="1">
      <alignment vertical="center"/>
    </xf>
    <xf numFmtId="1" fontId="3" fillId="0" borderId="701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vertical="center"/>
    </xf>
    <xf numFmtId="1" fontId="3" fillId="0" borderId="231" xfId="0" applyNumberFormat="1" applyFont="1" applyBorder="1" applyAlignment="1">
      <alignment vertical="center"/>
    </xf>
    <xf numFmtId="1" fontId="3" fillId="0" borderId="661" xfId="0" applyNumberFormat="1" applyFont="1" applyBorder="1" applyAlignment="1">
      <alignment horizontal="right"/>
    </xf>
    <xf numFmtId="1" fontId="3" fillId="7" borderId="661" xfId="0" applyNumberFormat="1" applyFont="1" applyFill="1" applyBorder="1"/>
    <xf numFmtId="1" fontId="3" fillId="9" borderId="733" xfId="38" applyNumberFormat="1" applyFont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9" borderId="734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0" xfId="0" applyNumberFormat="1" applyFont="1" applyFill="1" applyBorder="1" applyProtection="1">
      <protection locked="0"/>
    </xf>
    <xf numFmtId="1" fontId="3" fillId="18" borderId="321" xfId="0" applyNumberFormat="1" applyFont="1" applyFill="1" applyBorder="1" applyProtection="1">
      <protection locked="0"/>
    </xf>
    <xf numFmtId="1" fontId="3" fillId="18" borderId="1174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736" xfId="0" applyNumberFormat="1" applyFont="1" applyFill="1" applyBorder="1" applyProtection="1">
      <protection locked="0"/>
    </xf>
    <xf numFmtId="1" fontId="3" fillId="18" borderId="738" xfId="0" applyNumberFormat="1" applyFont="1" applyFill="1" applyBorder="1" applyProtection="1">
      <protection locked="0"/>
    </xf>
    <xf numFmtId="1" fontId="3" fillId="18" borderId="739" xfId="0" applyNumberFormat="1" applyFont="1" applyFill="1" applyBorder="1" applyProtection="1">
      <protection locked="0"/>
    </xf>
    <xf numFmtId="1" fontId="3" fillId="18" borderId="1149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8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199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74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75" xfId="0" applyNumberFormat="1" applyFont="1" applyFill="1" applyBorder="1"/>
    <xf numFmtId="1" fontId="3" fillId="27" borderId="1150" xfId="0" applyNumberFormat="1" applyFont="1" applyFill="1" applyBorder="1"/>
    <xf numFmtId="1" fontId="3" fillId="27" borderId="1176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22" xfId="0" applyFont="1" applyBorder="1" applyAlignment="1">
      <alignment horizontal="center" vertical="center"/>
    </xf>
    <xf numFmtId="0" fontId="3" fillId="0" borderId="250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32" xfId="0" applyFont="1" applyFill="1" applyBorder="1" applyAlignment="1">
      <alignment horizontal="center" vertical="center" wrapText="1"/>
    </xf>
    <xf numFmtId="0" fontId="3" fillId="20" borderId="602" xfId="0" applyFont="1" applyFill="1" applyBorder="1" applyAlignment="1">
      <alignment horizontal="center" vertical="center" wrapText="1"/>
    </xf>
    <xf numFmtId="1" fontId="3" fillId="3" borderId="722" xfId="0" applyNumberFormat="1" applyFont="1" applyFill="1" applyBorder="1"/>
    <xf numFmtId="0" fontId="3" fillId="0" borderId="618" xfId="0" applyFont="1" applyBorder="1"/>
    <xf numFmtId="0" fontId="3" fillId="0" borderId="634" xfId="0" applyFont="1" applyBorder="1"/>
    <xf numFmtId="0" fontId="3" fillId="0" borderId="301" xfId="0" applyFont="1" applyBorder="1" applyAlignment="1">
      <alignment wrapText="1"/>
    </xf>
    <xf numFmtId="0" fontId="3" fillId="51" borderId="275" xfId="0" applyFont="1" applyFill="1" applyBorder="1"/>
    <xf numFmtId="0" fontId="3" fillId="51" borderId="270" xfId="0" applyFont="1" applyFill="1" applyBorder="1"/>
    <xf numFmtId="0" fontId="3" fillId="51" borderId="22" xfId="0" applyFont="1" applyFill="1" applyBorder="1"/>
    <xf numFmtId="0" fontId="3" fillId="51" borderId="197" xfId="0" applyFont="1" applyFill="1" applyBorder="1"/>
    <xf numFmtId="0" fontId="3" fillId="51" borderId="1157" xfId="0" applyFont="1" applyFill="1" applyBorder="1"/>
    <xf numFmtId="0" fontId="3" fillId="0" borderId="329" xfId="0" applyFont="1" applyBorder="1" applyAlignment="1">
      <alignment wrapText="1"/>
    </xf>
    <xf numFmtId="0" fontId="3" fillId="51" borderId="339" xfId="0" applyFont="1" applyFill="1" applyBorder="1"/>
    <xf numFmtId="0" fontId="3" fillId="51" borderId="332" xfId="0" applyFont="1" applyFill="1" applyBorder="1"/>
    <xf numFmtId="0" fontId="3" fillId="51" borderId="331" xfId="0" applyFont="1" applyFill="1" applyBorder="1"/>
    <xf numFmtId="0" fontId="3" fillId="51" borderId="743" xfId="0" applyFont="1" applyFill="1" applyBorder="1"/>
    <xf numFmtId="0" fontId="3" fillId="51" borderId="1160" xfId="0" applyFont="1" applyFill="1" applyBorder="1"/>
    <xf numFmtId="0" fontId="3" fillId="51" borderId="1163" xfId="0" applyFont="1" applyFill="1" applyBorder="1"/>
    <xf numFmtId="1" fontId="3" fillId="3" borderId="651" xfId="0" applyNumberFormat="1" applyFont="1" applyFill="1" applyBorder="1"/>
    <xf numFmtId="0" fontId="3" fillId="0" borderId="298" xfId="0" applyFont="1" applyBorder="1" applyAlignment="1">
      <alignment horizontal="left" wrapText="1"/>
    </xf>
    <xf numFmtId="1" fontId="3" fillId="3" borderId="251" xfId="0" applyNumberFormat="1" applyFont="1" applyFill="1" applyBorder="1"/>
    <xf numFmtId="0" fontId="0" fillId="5" borderId="0" xfId="0" applyFill="1"/>
    <xf numFmtId="0" fontId="3" fillId="0" borderId="661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17" xfId="0" applyFont="1" applyBorder="1" applyAlignment="1">
      <alignment horizontal="center" wrapText="1"/>
    </xf>
    <xf numFmtId="0" fontId="3" fillId="0" borderId="618" xfId="0" applyFont="1" applyBorder="1" applyAlignment="1">
      <alignment horizontal="center" wrapText="1"/>
    </xf>
    <xf numFmtId="0" fontId="3" fillId="0" borderId="634" xfId="0" applyFont="1" applyBorder="1" applyAlignment="1">
      <alignment horizontal="center"/>
    </xf>
    <xf numFmtId="1" fontId="3" fillId="4" borderId="745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0" fontId="0" fillId="0" borderId="312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0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1" xfId="0" applyNumberFormat="1" applyFont="1" applyFill="1" applyBorder="1"/>
    <xf numFmtId="1" fontId="3" fillId="0" borderId="358" xfId="0" applyNumberFormat="1" applyFont="1" applyBorder="1" applyAlignment="1">
      <alignment horizontal="right"/>
    </xf>
    <xf numFmtId="1" fontId="3" fillId="7" borderId="402" xfId="0" applyNumberFormat="1" applyFont="1" applyFill="1" applyBorder="1"/>
    <xf numFmtId="1" fontId="3" fillId="0" borderId="25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216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6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11" borderId="234" xfId="0" applyNumberFormat="1" applyFont="1" applyFill="1" applyBorder="1"/>
    <xf numFmtId="1" fontId="3" fillId="6" borderId="234" xfId="0" applyNumberFormat="1" applyFont="1" applyFill="1" applyBorder="1"/>
    <xf numFmtId="1" fontId="3" fillId="0" borderId="251" xfId="0" applyNumberFormat="1" applyFont="1" applyBorder="1" applyAlignment="1">
      <alignment horizontal="left" vertical="center" wrapText="1"/>
    </xf>
    <xf numFmtId="1" fontId="3" fillId="4" borderId="250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47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11" borderId="334" xfId="0" applyNumberFormat="1" applyFont="1" applyFill="1" applyBorder="1"/>
    <xf numFmtId="1" fontId="3" fillId="11" borderId="352" xfId="0" applyNumberFormat="1" applyFont="1" applyFill="1" applyBorder="1"/>
    <xf numFmtId="1" fontId="3" fillId="5" borderId="312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49" xfId="0" applyNumberFormat="1" applyFont="1" applyBorder="1" applyAlignment="1">
      <alignment horizontal="center" vertical="center" wrapText="1"/>
    </xf>
    <xf numFmtId="1" fontId="3" fillId="4" borderId="750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7" borderId="358" xfId="0" applyNumberFormat="1" applyFont="1" applyFill="1" applyBorder="1"/>
    <xf numFmtId="1" fontId="3" fillId="5" borderId="312" xfId="0" applyNumberFormat="1" applyFont="1" applyFill="1" applyBorder="1" applyAlignment="1">
      <alignment vertical="center"/>
    </xf>
    <xf numFmtId="1" fontId="3" fillId="0" borderId="603" xfId="0" applyNumberFormat="1" applyFont="1" applyBorder="1"/>
    <xf numFmtId="1" fontId="3" fillId="0" borderId="689" xfId="0" applyNumberFormat="1" applyFont="1" applyBorder="1"/>
    <xf numFmtId="1" fontId="2" fillId="3" borderId="665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49" xfId="0" applyNumberFormat="1" applyFont="1" applyBorder="1" applyAlignment="1">
      <alignment vertical="center" wrapText="1"/>
    </xf>
    <xf numFmtId="1" fontId="3" fillId="3" borderId="746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2" xfId="0" applyNumberFormat="1" applyFont="1" applyBorder="1" applyAlignment="1">
      <alignment vertical="center" wrapText="1"/>
    </xf>
    <xf numFmtId="1" fontId="3" fillId="0" borderId="651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 wrapText="1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center" vertical="center" wrapText="1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216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69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4" borderId="281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3" fillId="4" borderId="261" xfId="0" applyNumberFormat="1" applyFont="1" applyFill="1" applyBorder="1" applyAlignment="1" applyProtection="1">
      <alignment horizontal="right" wrapText="1"/>
      <protection locked="0"/>
    </xf>
    <xf numFmtId="1" fontId="3" fillId="6" borderId="252" xfId="0" applyNumberFormat="1" applyFont="1" applyFill="1" applyBorder="1" applyAlignment="1">
      <alignment horizontal="right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4" borderId="746" xfId="0" applyNumberFormat="1" applyFont="1" applyFill="1" applyBorder="1" applyAlignment="1" applyProtection="1">
      <alignment horizontal="right" wrapText="1"/>
      <protection locked="0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/>
    <xf numFmtId="1" fontId="6" fillId="0" borderId="753" xfId="0" applyNumberFormat="1" applyFont="1" applyBorder="1"/>
    <xf numFmtId="1" fontId="6" fillId="0" borderId="754" xfId="0" applyNumberFormat="1" applyFont="1" applyBorder="1"/>
    <xf numFmtId="1" fontId="6" fillId="0" borderId="752" xfId="0" applyNumberFormat="1" applyFont="1" applyBorder="1"/>
    <xf numFmtId="1" fontId="6" fillId="0" borderId="305" xfId="0" applyNumberFormat="1" applyFont="1" applyBorder="1"/>
    <xf numFmtId="1" fontId="8" fillId="3" borderId="312" xfId="0" applyNumberFormat="1" applyFont="1" applyFill="1" applyBorder="1"/>
    <xf numFmtId="1" fontId="8" fillId="5" borderId="312" xfId="0" applyNumberFormat="1" applyFont="1" applyFill="1" applyBorder="1"/>
    <xf numFmtId="1" fontId="3" fillId="0" borderId="749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634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vertical="center" wrapText="1"/>
    </xf>
    <xf numFmtId="1" fontId="3" fillId="7" borderId="680" xfId="0" applyNumberFormat="1" applyFont="1" applyFill="1" applyBorder="1" applyAlignment="1">
      <alignment horizontal="right"/>
    </xf>
    <xf numFmtId="1" fontId="3" fillId="5" borderId="338" xfId="0" applyNumberFormat="1" applyFont="1" applyFill="1" applyBorder="1" applyAlignment="1">
      <alignment vertical="center"/>
    </xf>
    <xf numFmtId="1" fontId="3" fillId="6" borderId="343" xfId="0" applyNumberFormat="1" applyFont="1" applyFill="1" applyBorder="1" applyAlignment="1">
      <alignment horizontal="right"/>
    </xf>
    <xf numFmtId="1" fontId="3" fillId="0" borderId="746" xfId="0" applyNumberFormat="1" applyFont="1" applyBorder="1" applyAlignment="1">
      <alignment horizontal="left" wrapText="1"/>
    </xf>
    <xf numFmtId="1" fontId="3" fillId="0" borderId="746" xfId="0" applyNumberFormat="1" applyFont="1" applyBorder="1"/>
    <xf numFmtId="1" fontId="3" fillId="0" borderId="746" xfId="0" applyNumberFormat="1" applyFont="1" applyBorder="1" applyAlignment="1">
      <alignment wrapText="1"/>
    </xf>
    <xf numFmtId="1" fontId="3" fillId="4" borderId="746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left" wrapText="1"/>
    </xf>
    <xf numFmtId="1" fontId="3" fillId="4" borderId="231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0" borderId="749" xfId="0" applyNumberFormat="1" applyFont="1" applyBorder="1"/>
    <xf numFmtId="1" fontId="3" fillId="0" borderId="419" xfId="0" applyNumberFormat="1" applyFont="1" applyBorder="1" applyAlignment="1">
      <alignment vertical="center"/>
    </xf>
    <xf numFmtId="1" fontId="3" fillId="4" borderId="298" xfId="0" applyNumberFormat="1" applyFont="1" applyFill="1" applyBorder="1" applyProtection="1">
      <protection locked="0"/>
    </xf>
    <xf numFmtId="1" fontId="3" fillId="7" borderId="685" xfId="0" applyNumberFormat="1" applyFont="1" applyFill="1" applyBorder="1"/>
    <xf numFmtId="1" fontId="3" fillId="7" borderId="255" xfId="0" applyNumberFormat="1" applyFont="1" applyFill="1" applyBorder="1"/>
    <xf numFmtId="1" fontId="2" fillId="0" borderId="630" xfId="0" applyNumberFormat="1" applyFont="1" applyBorder="1"/>
    <xf numFmtId="1" fontId="3" fillId="0" borderId="749" xfId="0" applyNumberFormat="1" applyFont="1" applyBorder="1" applyAlignment="1">
      <alignment vertical="center"/>
    </xf>
    <xf numFmtId="1" fontId="3" fillId="3" borderId="634" xfId="0" applyNumberFormat="1" applyFont="1" applyFill="1" applyBorder="1" applyAlignment="1">
      <alignment horizontal="center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589" xfId="0" applyNumberFormat="1" applyFont="1" applyFill="1" applyBorder="1" applyAlignment="1">
      <alignment horizontal="center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661" xfId="0" applyNumberFormat="1" applyFont="1" applyFill="1" applyBorder="1" applyAlignment="1">
      <alignment horizontal="right" wrapText="1"/>
    </xf>
    <xf numFmtId="1" fontId="3" fillId="3" borderId="662" xfId="0" applyNumberFormat="1" applyFont="1" applyFill="1" applyBorder="1" applyAlignment="1">
      <alignment horizontal="right"/>
    </xf>
    <xf numFmtId="1" fontId="3" fillId="3" borderId="680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288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>
      <alignment vertical="center" wrapText="1"/>
    </xf>
    <xf numFmtId="1" fontId="3" fillId="3" borderId="203" xfId="0" applyNumberFormat="1" applyFont="1" applyFill="1" applyBorder="1" applyAlignment="1">
      <alignment horizontal="right" wrapText="1"/>
    </xf>
    <xf numFmtId="1" fontId="3" fillId="3" borderId="351" xfId="0" applyNumberFormat="1" applyFont="1" applyFill="1" applyBorder="1" applyAlignment="1">
      <alignment horizontal="right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419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/>
    </xf>
    <xf numFmtId="1" fontId="3" fillId="3" borderId="755" xfId="0" applyNumberFormat="1" applyFont="1" applyFill="1" applyBorder="1" applyAlignment="1">
      <alignment horizontal="right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6" fillId="0" borderId="771" xfId="0" applyNumberFormat="1" applyFont="1" applyBorder="1"/>
    <xf numFmtId="1" fontId="3" fillId="0" borderId="772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/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right" vertical="center" wrapText="1"/>
    </xf>
    <xf numFmtId="1" fontId="3" fillId="6" borderId="690" xfId="0" applyNumberFormat="1" applyFont="1" applyFill="1" applyBorder="1" applyAlignment="1">
      <alignment horizontal="right"/>
    </xf>
    <xf numFmtId="1" fontId="2" fillId="5" borderId="689" xfId="0" applyNumberFormat="1" applyFont="1" applyFill="1" applyBorder="1"/>
    <xf numFmtId="1" fontId="2" fillId="3" borderId="689" xfId="0" applyNumberFormat="1" applyFont="1" applyFill="1" applyBorder="1"/>
    <xf numFmtId="1" fontId="2" fillId="5" borderId="251" xfId="0" applyNumberFormat="1" applyFont="1" applyFill="1" applyBorder="1"/>
    <xf numFmtId="1" fontId="6" fillId="0" borderId="13" xfId="0" applyNumberFormat="1" applyFont="1" applyBorder="1"/>
    <xf numFmtId="1" fontId="6" fillId="0" borderId="304" xfId="0" applyNumberFormat="1" applyFont="1" applyBorder="1"/>
    <xf numFmtId="1" fontId="3" fillId="0" borderId="782" xfId="0" applyNumberFormat="1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vertical="center" wrapText="1"/>
    </xf>
    <xf numFmtId="1" fontId="3" fillId="3" borderId="775" xfId="0" applyNumberFormat="1" applyFont="1" applyFill="1" applyBorder="1"/>
    <xf numFmtId="1" fontId="3" fillId="3" borderId="690" xfId="0" applyNumberFormat="1" applyFont="1" applyFill="1" applyBorder="1"/>
    <xf numFmtId="1" fontId="3" fillId="3" borderId="602" xfId="0" applyNumberFormat="1" applyFont="1" applyFill="1" applyBorder="1"/>
    <xf numFmtId="1" fontId="3" fillId="0" borderId="774" xfId="0" applyNumberFormat="1" applyFont="1" applyBorder="1" applyAlignment="1">
      <alignment horizontal="right"/>
    </xf>
    <xf numFmtId="1" fontId="3" fillId="3" borderId="782" xfId="0" applyNumberFormat="1" applyFont="1" applyFill="1" applyBorder="1"/>
    <xf numFmtId="1" fontId="3" fillId="3" borderId="684" xfId="0" applyNumberFormat="1" applyFont="1" applyFill="1" applyBorder="1"/>
    <xf numFmtId="1" fontId="3" fillId="0" borderId="747" xfId="0" applyNumberFormat="1" applyFont="1" applyBorder="1" applyAlignment="1">
      <alignment horizontal="right" vertical="center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0" borderId="336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689" xfId="0" applyNumberFormat="1" applyFont="1" applyFill="1" applyBorder="1" applyAlignment="1">
      <alignment vertical="top"/>
    </xf>
    <xf numFmtId="1" fontId="3" fillId="0" borderId="747" xfId="0" applyNumberFormat="1" applyFont="1" applyBorder="1"/>
    <xf numFmtId="1" fontId="3" fillId="0" borderId="748" xfId="0" applyNumberFormat="1" applyFont="1" applyBorder="1"/>
    <xf numFmtId="1" fontId="3" fillId="3" borderId="339" xfId="0" applyNumberFormat="1" applyFont="1" applyFill="1" applyBorder="1"/>
    <xf numFmtId="1" fontId="3" fillId="3" borderId="334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0" borderId="775" xfId="0" applyNumberFormat="1" applyFont="1" applyBorder="1"/>
    <xf numFmtId="1" fontId="3" fillId="0" borderId="782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9" xfId="0" applyNumberFormat="1" applyFont="1" applyFill="1" applyBorder="1" applyAlignment="1">
      <alignment horizontal="right"/>
    </xf>
    <xf numFmtId="1" fontId="3" fillId="28" borderId="332" xfId="0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28" borderId="341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3" xfId="0" applyNumberFormat="1" applyFont="1" applyFill="1" applyBorder="1" applyAlignment="1">
      <alignment horizontal="right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690" xfId="0" applyNumberFormat="1" applyFont="1" applyBorder="1" applyAlignment="1">
      <alignment horizontal="right" vertical="center" wrapText="1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275" xfId="0" applyNumberFormat="1" applyFont="1" applyFill="1" applyBorder="1" applyAlignment="1">
      <alignment horizontal="right" vertical="center" wrapText="1"/>
    </xf>
    <xf numFmtId="1" fontId="3" fillId="3" borderId="279" xfId="0" applyNumberFormat="1" applyFont="1" applyFill="1" applyBorder="1" applyAlignment="1">
      <alignment horizontal="right" vertical="center" wrapText="1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right" vertical="center" wrapText="1"/>
    </xf>
    <xf numFmtId="1" fontId="3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616" xfId="0" applyNumberFormat="1" applyFont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3" borderId="343" xfId="0" applyNumberFormat="1" applyFont="1" applyFill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0" fontId="0" fillId="19" borderId="747" xfId="0" applyFill="1" applyBorder="1" applyAlignment="1">
      <alignment horizontal="right"/>
    </xf>
    <xf numFmtId="0" fontId="0" fillId="19" borderId="703" xfId="0" applyFill="1" applyBorder="1" applyAlignment="1">
      <alignment horizontal="right"/>
    </xf>
    <xf numFmtId="0" fontId="0" fillId="19" borderId="748" xfId="0" applyFill="1" applyBorder="1" applyAlignment="1">
      <alignment horizontal="right"/>
    </xf>
    <xf numFmtId="1" fontId="3" fillId="6" borderId="203" xfId="0" applyNumberFormat="1" applyFont="1" applyFill="1" applyBorder="1" applyAlignment="1">
      <alignment horizontal="right" vertical="center" wrapText="1"/>
    </xf>
    <xf numFmtId="1" fontId="3" fillId="6" borderId="359" xfId="0" applyNumberFormat="1" applyFont="1" applyFill="1" applyBorder="1" applyAlignment="1">
      <alignment horizontal="right" vertical="center" wrapText="1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39" xfId="0" applyFill="1" applyBorder="1" applyAlignment="1">
      <alignment horizontal="right"/>
    </xf>
    <xf numFmtId="0" fontId="0" fillId="19" borderId="332" xfId="0" applyFill="1" applyBorder="1" applyAlignment="1">
      <alignment horizontal="right"/>
    </xf>
    <xf numFmtId="1" fontId="3" fillId="0" borderId="755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254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1" xfId="0" applyNumberFormat="1" applyFont="1" applyFill="1" applyBorder="1" applyProtection="1">
      <protection locked="0"/>
    </xf>
    <xf numFmtId="1" fontId="3" fillId="6" borderId="755" xfId="0" applyNumberFormat="1" applyFont="1" applyFill="1" applyBorder="1"/>
    <xf numFmtId="1" fontId="3" fillId="0" borderId="358" xfId="0" applyNumberFormat="1" applyFont="1" applyBorder="1"/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6" borderId="340" xfId="0" applyNumberFormat="1" applyFont="1" applyFill="1" applyBorder="1"/>
    <xf numFmtId="1" fontId="3" fillId="6" borderId="342" xfId="0" applyNumberFormat="1" applyFont="1" applyFill="1" applyBorder="1"/>
    <xf numFmtId="1" fontId="3" fillId="7" borderId="340" xfId="0" applyNumberFormat="1" applyFont="1" applyFill="1" applyBorder="1"/>
    <xf numFmtId="1" fontId="3" fillId="28" borderId="332" xfId="0" applyNumberFormat="1" applyFont="1" applyFill="1" applyBorder="1"/>
    <xf numFmtId="1" fontId="3" fillId="8" borderId="339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203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wrapText="1"/>
    </xf>
    <xf numFmtId="1" fontId="3" fillId="0" borderId="689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1" xfId="0" applyNumberFormat="1" applyFont="1" applyFill="1" applyBorder="1" applyProtection="1">
      <protection locked="0"/>
    </xf>
    <xf numFmtId="1" fontId="3" fillId="8" borderId="747" xfId="0" applyNumberFormat="1" applyFont="1" applyFill="1" applyBorder="1" applyAlignment="1" applyProtection="1">
      <alignment horizontal="right" wrapText="1"/>
      <protection locked="0"/>
    </xf>
    <xf numFmtId="1" fontId="3" fillId="8" borderId="685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663" xfId="0" applyNumberFormat="1" applyFont="1" applyFill="1" applyBorder="1" applyProtection="1">
      <protection locked="0"/>
    </xf>
    <xf numFmtId="1" fontId="3" fillId="8" borderId="747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39" xfId="0" applyNumberFormat="1" applyFont="1" applyFill="1" applyBorder="1" applyAlignment="1" applyProtection="1">
      <alignment horizontal="right" wrapText="1"/>
      <protection locked="0"/>
    </xf>
    <xf numFmtId="1" fontId="3" fillId="8" borderId="341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3" xfId="0" applyNumberFormat="1" applyFont="1" applyFill="1" applyBorder="1" applyAlignment="1" applyProtection="1">
      <alignment horizontal="right" wrapText="1"/>
      <protection locked="0"/>
    </xf>
    <xf numFmtId="1" fontId="3" fillId="5" borderId="231" xfId="0" applyNumberFormat="1" applyFont="1" applyFill="1" applyBorder="1" applyAlignment="1" applyProtection="1">
      <alignment vertical="top" wrapText="1"/>
      <protection locked="0"/>
    </xf>
    <xf numFmtId="1" fontId="3" fillId="8" borderId="326" xfId="0" applyNumberFormat="1" applyFont="1" applyFill="1" applyBorder="1" applyAlignment="1" applyProtection="1">
      <alignment horizontal="right" wrapText="1"/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8" borderId="326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1" xfId="0" applyNumberFormat="1" applyFont="1" applyBorder="1" applyAlignment="1">
      <alignment vertical="center" wrapText="1"/>
    </xf>
    <xf numFmtId="1" fontId="3" fillId="0" borderId="782" xfId="0" applyNumberFormat="1" applyFont="1" applyBorder="1" applyAlignment="1">
      <alignment horizontal="right" wrapText="1"/>
    </xf>
    <xf numFmtId="1" fontId="3" fillId="3" borderId="618" xfId="0" applyNumberFormat="1" applyFont="1" applyFill="1" applyBorder="1" applyAlignment="1">
      <alignment horizontal="right"/>
    </xf>
    <xf numFmtId="1" fontId="3" fillId="3" borderId="690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46" xfId="0" applyNumberFormat="1" applyFont="1" applyFill="1" applyBorder="1" applyAlignment="1">
      <alignment horizontal="right" wrapText="1"/>
    </xf>
    <xf numFmtId="1" fontId="3" fillId="6" borderId="748" xfId="0" applyNumberFormat="1" applyFont="1" applyFill="1" applyBorder="1" applyAlignment="1">
      <alignment horizontal="right" wrapText="1"/>
    </xf>
    <xf numFmtId="1" fontId="3" fillId="3" borderId="703" xfId="0" applyNumberFormat="1" applyFont="1" applyFill="1" applyBorder="1" applyAlignment="1">
      <alignment horizontal="right" wrapText="1"/>
    </xf>
    <xf numFmtId="1" fontId="3" fillId="7" borderId="748" xfId="0" applyNumberFormat="1" applyFont="1" applyFill="1" applyBorder="1"/>
    <xf numFmtId="1" fontId="3" fillId="6" borderId="748" xfId="0" applyNumberFormat="1" applyFont="1" applyFill="1" applyBorder="1"/>
    <xf numFmtId="1" fontId="3" fillId="6" borderId="747" xfId="0" applyNumberFormat="1" applyFont="1" applyFill="1" applyBorder="1"/>
    <xf numFmtId="1" fontId="3" fillId="6" borderId="685" xfId="0" applyNumberFormat="1" applyFont="1" applyFill="1" applyBorder="1"/>
    <xf numFmtId="1" fontId="3" fillId="3" borderId="329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3" borderId="231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/>
    <xf numFmtId="1" fontId="3" fillId="3" borderId="772" xfId="0" applyNumberFormat="1" applyFont="1" applyFill="1" applyBorder="1" applyAlignment="1">
      <alignment horizontal="right" wrapText="1"/>
    </xf>
    <xf numFmtId="1" fontId="3" fillId="6" borderId="782" xfId="0" applyNumberFormat="1" applyFont="1" applyFill="1" applyBorder="1" applyAlignment="1">
      <alignment horizontal="right" wrapText="1"/>
    </xf>
    <xf numFmtId="1" fontId="3" fillId="7" borderId="782" xfId="0" applyNumberFormat="1" applyFont="1" applyFill="1" applyBorder="1"/>
    <xf numFmtId="1" fontId="3" fillId="7" borderId="602" xfId="0" applyNumberFormat="1" applyFont="1" applyFill="1" applyBorder="1"/>
    <xf numFmtId="1" fontId="3" fillId="6" borderId="782" xfId="0" applyNumberFormat="1" applyFont="1" applyFill="1" applyBorder="1"/>
    <xf numFmtId="1" fontId="3" fillId="6" borderId="775" xfId="0" applyNumberFormat="1" applyFont="1" applyFill="1" applyBorder="1"/>
    <xf numFmtId="1" fontId="3" fillId="3" borderId="301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0" xfId="0" applyNumberFormat="1" applyFont="1" applyFill="1" applyBorder="1"/>
    <xf numFmtId="1" fontId="3" fillId="3" borderId="334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6" xfId="0" applyNumberFormat="1" applyFont="1" applyFill="1" applyBorder="1"/>
    <xf numFmtId="1" fontId="3" fillId="3" borderId="748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 applyAlignment="1">
      <alignment horizontal="right" wrapText="1"/>
    </xf>
    <xf numFmtId="1" fontId="3" fillId="7" borderId="747" xfId="0" applyNumberFormat="1" applyFont="1" applyFill="1" applyBorder="1"/>
    <xf numFmtId="1" fontId="3" fillId="6" borderId="703" xfId="0" applyNumberFormat="1" applyFont="1" applyFill="1" applyBorder="1"/>
    <xf numFmtId="1" fontId="3" fillId="6" borderId="746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3" borderId="298" xfId="0" applyNumberFormat="1" applyFont="1" applyFill="1" applyBorder="1" applyAlignment="1">
      <alignment horizontal="right" wrapText="1"/>
    </xf>
    <xf numFmtId="1" fontId="3" fillId="3" borderId="250" xfId="0" applyNumberFormat="1" applyFont="1" applyFill="1" applyBorder="1" applyAlignment="1">
      <alignment horizontal="right" wrapText="1"/>
    </xf>
    <xf numFmtId="1" fontId="3" fillId="6" borderId="298" xfId="0" applyNumberFormat="1" applyFont="1" applyFill="1" applyBorder="1"/>
    <xf numFmtId="1" fontId="3" fillId="6" borderId="731" xfId="0" applyNumberFormat="1" applyFont="1" applyFill="1" applyBorder="1"/>
    <xf numFmtId="1" fontId="3" fillId="5" borderId="783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right" wrapText="1"/>
    </xf>
    <xf numFmtId="1" fontId="3" fillId="3" borderId="784" xfId="0" applyNumberFormat="1" applyFont="1" applyFill="1" applyBorder="1" applyAlignment="1">
      <alignment horizontal="right" wrapText="1"/>
    </xf>
    <xf numFmtId="1" fontId="3" fillId="6" borderId="720" xfId="0" applyNumberFormat="1" applyFont="1" applyFill="1" applyBorder="1" applyAlignment="1">
      <alignment horizontal="right" wrapText="1"/>
    </xf>
    <xf numFmtId="1" fontId="3" fillId="7" borderId="785" xfId="0" applyNumberFormat="1" applyFont="1" applyFill="1" applyBorder="1"/>
    <xf numFmtId="1" fontId="3" fillId="7" borderId="786" xfId="0" applyNumberFormat="1" applyFont="1" applyFill="1" applyBorder="1"/>
    <xf numFmtId="1" fontId="3" fillId="7" borderId="784" xfId="0" applyNumberFormat="1" applyFont="1" applyFill="1" applyBorder="1"/>
    <xf numFmtId="1" fontId="3" fillId="6" borderId="786" xfId="0" applyNumberFormat="1" applyFont="1" applyFill="1" applyBorder="1"/>
    <xf numFmtId="1" fontId="3" fillId="0" borderId="785" xfId="0" applyNumberFormat="1" applyFont="1" applyBorder="1"/>
    <xf numFmtId="1" fontId="3" fillId="6" borderId="720" xfId="0" applyNumberFormat="1" applyFont="1" applyFill="1" applyBorder="1"/>
    <xf numFmtId="1" fontId="3" fillId="0" borderId="787" xfId="0" applyNumberFormat="1" applyFont="1" applyBorder="1"/>
    <xf numFmtId="1" fontId="3" fillId="6" borderId="787" xfId="0" applyNumberFormat="1" applyFont="1" applyFill="1" applyBorder="1"/>
    <xf numFmtId="1" fontId="3" fillId="6" borderId="788" xfId="0" applyNumberFormat="1" applyFont="1" applyFill="1" applyBorder="1"/>
    <xf numFmtId="1" fontId="3" fillId="0" borderId="789" xfId="0" applyNumberFormat="1" applyFont="1" applyBorder="1"/>
    <xf numFmtId="1" fontId="3" fillId="0" borderId="790" xfId="0" applyNumberFormat="1" applyFont="1" applyBorder="1"/>
    <xf numFmtId="1" fontId="3" fillId="0" borderId="720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79" xfId="0" applyNumberFormat="1" applyFont="1" applyFill="1" applyBorder="1"/>
    <xf numFmtId="1" fontId="3" fillId="6" borderId="280" xfId="0" applyNumberFormat="1" applyFont="1" applyFill="1" applyBorder="1"/>
    <xf numFmtId="1" fontId="3" fillId="3" borderId="236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755" xfId="0" applyNumberFormat="1" applyFont="1" applyFill="1" applyBorder="1" applyAlignment="1">
      <alignment horizontal="right"/>
    </xf>
    <xf numFmtId="1" fontId="3" fillId="6" borderId="364" xfId="0" applyNumberFormat="1" applyFont="1" applyFill="1" applyBorder="1"/>
    <xf numFmtId="1" fontId="3" fillId="4" borderId="299" xfId="0" applyNumberFormat="1" applyFont="1" applyFill="1" applyBorder="1" applyProtection="1">
      <protection locked="0"/>
    </xf>
    <xf numFmtId="1" fontId="3" fillId="5" borderId="746" xfId="0" applyNumberFormat="1" applyFont="1" applyFill="1" applyBorder="1" applyAlignment="1">
      <alignment horizontal="center" vertical="center"/>
    </xf>
    <xf numFmtId="1" fontId="3" fillId="0" borderId="298" xfId="0" applyNumberFormat="1" applyFont="1" applyBorder="1" applyAlignment="1">
      <alignment horizontal="right" wrapText="1"/>
    </xf>
    <xf numFmtId="1" fontId="3" fillId="5" borderId="250" xfId="0" applyNumberFormat="1" applyFont="1" applyFill="1" applyBorder="1"/>
    <xf numFmtId="1" fontId="3" fillId="5" borderId="256" xfId="0" applyNumberFormat="1" applyFont="1" applyFill="1" applyBorder="1"/>
    <xf numFmtId="1" fontId="3" fillId="5" borderId="755" xfId="0" applyNumberFormat="1" applyFont="1" applyFill="1" applyBorder="1"/>
    <xf numFmtId="1" fontId="3" fillId="5" borderId="254" xfId="0" applyNumberFormat="1" applyFont="1" applyFill="1" applyBorder="1"/>
    <xf numFmtId="1" fontId="3" fillId="5" borderId="258" xfId="0" applyNumberFormat="1" applyFont="1" applyFill="1" applyBorder="1"/>
    <xf numFmtId="1" fontId="3" fillId="5" borderId="255" xfId="0" applyNumberFormat="1" applyFont="1" applyFill="1" applyBorder="1"/>
    <xf numFmtId="1" fontId="3" fillId="5" borderId="746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right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5" xfId="0" applyNumberFormat="1" applyFont="1" applyFill="1" applyBorder="1"/>
    <xf numFmtId="1" fontId="3" fillId="6" borderId="358" xfId="0" applyNumberFormat="1" applyFont="1" applyFill="1" applyBorder="1"/>
    <xf numFmtId="1" fontId="3" fillId="5" borderId="404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3" borderId="690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/>
    </xf>
    <xf numFmtId="1" fontId="3" fillId="0" borderId="746" xfId="0" applyNumberFormat="1" applyFont="1" applyBorder="1" applyAlignment="1">
      <alignment vertical="center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0" borderId="299" xfId="0" applyNumberFormat="1" applyFont="1" applyBorder="1" applyAlignment="1">
      <alignment vertical="center" wrapText="1"/>
    </xf>
    <xf numFmtId="1" fontId="3" fillId="3" borderId="325" xfId="0" applyNumberFormat="1" applyFont="1" applyFill="1" applyBorder="1" applyAlignment="1">
      <alignment horizontal="right" wrapText="1"/>
    </xf>
    <xf numFmtId="1" fontId="3" fillId="3" borderId="254" xfId="0" applyNumberFormat="1" applyFont="1" applyFill="1" applyBorder="1" applyAlignment="1">
      <alignment horizontal="right" wrapText="1"/>
    </xf>
    <xf numFmtId="1" fontId="3" fillId="6" borderId="359" xfId="0" applyNumberFormat="1" applyFont="1" applyFill="1" applyBorder="1"/>
    <xf numFmtId="1" fontId="3" fillId="6" borderId="6" xfId="0" applyNumberFormat="1" applyFont="1" applyFill="1" applyBorder="1"/>
    <xf numFmtId="1" fontId="3" fillId="8" borderId="279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231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2" xfId="0" applyNumberFormat="1" applyFont="1" applyFill="1" applyBorder="1"/>
    <xf numFmtId="1" fontId="3" fillId="6" borderId="354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6" borderId="404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/>
    </xf>
    <xf numFmtId="1" fontId="3" fillId="7" borderId="367" xfId="0" applyNumberFormat="1" applyFont="1" applyFill="1" applyBorder="1"/>
    <xf numFmtId="1" fontId="3" fillId="6" borderId="356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45" xfId="0" applyNumberFormat="1" applyFont="1" applyFill="1" applyBorder="1" applyProtection="1">
      <protection locked="0"/>
    </xf>
    <xf numFmtId="1" fontId="3" fillId="8" borderId="1105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53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1" xfId="0" applyNumberFormat="1" applyFont="1" applyFill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5" borderId="791" xfId="0" applyNumberFormat="1" applyFont="1" applyFill="1" applyBorder="1" applyAlignment="1">
      <alignment wrapText="1"/>
    </xf>
    <xf numFmtId="1" fontId="3" fillId="5" borderId="792" xfId="0" applyNumberFormat="1" applyFont="1" applyFill="1" applyBorder="1" applyAlignment="1">
      <alignment wrapText="1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right" vertical="center" wrapText="1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6" borderId="793" xfId="0" applyNumberFormat="1" applyFont="1" applyFill="1" applyBorder="1" applyAlignment="1">
      <alignment wrapText="1"/>
    </xf>
    <xf numFmtId="1" fontId="3" fillId="6" borderId="794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6" borderId="703" xfId="0" applyNumberFormat="1" applyFont="1" applyFill="1" applyBorder="1" applyAlignment="1">
      <alignment wrapText="1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6" borderId="364" xfId="0" applyNumberFormat="1" applyFont="1" applyFill="1" applyBorder="1" applyAlignment="1">
      <alignment wrapText="1"/>
    </xf>
    <xf numFmtId="1" fontId="3" fillId="4" borderId="288" xfId="0" applyNumberFormat="1" applyFont="1" applyFill="1" applyBorder="1" applyAlignment="1" applyProtection="1">
      <alignment wrapText="1"/>
      <protection locked="0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5" xfId="0" applyNumberFormat="1" applyFont="1" applyFill="1" applyBorder="1" applyAlignment="1" applyProtection="1">
      <alignment wrapText="1"/>
      <protection locked="0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6" borderId="797" xfId="0" applyNumberFormat="1" applyFont="1" applyFill="1" applyBorder="1" applyAlignment="1">
      <alignment wrapText="1"/>
    </xf>
    <xf numFmtId="1" fontId="3" fillId="4" borderId="203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6" borderId="203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6" xfId="0" applyNumberFormat="1" applyFont="1" applyFill="1" applyBorder="1" applyAlignment="1">
      <alignment wrapText="1"/>
    </xf>
    <xf numFmtId="1" fontId="3" fillId="6" borderId="365" xfId="0" applyNumberFormat="1" applyFont="1" applyFill="1" applyBorder="1" applyAlignment="1">
      <alignment wrapText="1"/>
    </xf>
    <xf numFmtId="1" fontId="3" fillId="3" borderId="704" xfId="0" applyNumberFormat="1" applyFont="1" applyFill="1" applyBorder="1" applyAlignment="1">
      <alignment horizontal="right" vertical="center" wrapText="1"/>
    </xf>
    <xf numFmtId="1" fontId="3" fillId="0" borderId="663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0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0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6" borderId="254" xfId="0" applyNumberFormat="1" applyFont="1" applyFill="1" applyBorder="1" applyAlignment="1">
      <alignment wrapText="1"/>
    </xf>
    <xf numFmtId="1" fontId="3" fillId="6" borderId="256" xfId="0" applyNumberFormat="1" applyFont="1" applyFill="1" applyBorder="1" applyAlignment="1">
      <alignment wrapText="1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0" borderId="666" xfId="0" applyNumberFormat="1" applyFont="1" applyBorder="1" applyAlignment="1">
      <alignment horizontal="right" vertical="center" wrapText="1"/>
    </xf>
    <xf numFmtId="1" fontId="3" fillId="7" borderId="747" xfId="0" applyNumberFormat="1" applyFont="1" applyFill="1" applyBorder="1" applyAlignment="1">
      <alignment wrapText="1"/>
    </xf>
    <xf numFmtId="1" fontId="3" fillId="7" borderId="703" xfId="0" applyNumberFormat="1" applyFont="1" applyFill="1" applyBorder="1" applyAlignment="1">
      <alignment wrapText="1"/>
    </xf>
    <xf numFmtId="1" fontId="3" fillId="7" borderId="748" xfId="0" applyNumberFormat="1" applyFont="1" applyFill="1" applyBorder="1" applyAlignment="1">
      <alignment wrapText="1"/>
    </xf>
    <xf numFmtId="1" fontId="3" fillId="6" borderId="747" xfId="0" applyNumberFormat="1" applyFont="1" applyFill="1" applyBorder="1" applyAlignment="1">
      <alignment wrapText="1"/>
    </xf>
    <xf numFmtId="1" fontId="3" fillId="6" borderId="748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794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59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7" borderId="275" xfId="0" applyNumberFormat="1" applyFont="1" applyFill="1" applyBorder="1" applyAlignment="1">
      <alignment wrapText="1"/>
    </xf>
    <xf numFmtId="1" fontId="3" fillId="7" borderId="270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0" xfId="0" applyNumberFormat="1" applyFont="1" applyFill="1" applyBorder="1" applyAlignment="1">
      <alignment wrapText="1"/>
    </xf>
    <xf numFmtId="1" fontId="3" fillId="7" borderId="793" xfId="0" applyNumberFormat="1" applyFont="1" applyFill="1" applyBorder="1" applyAlignment="1">
      <alignment wrapText="1"/>
    </xf>
    <xf numFmtId="1" fontId="3" fillId="7" borderId="203" xfId="0" applyNumberFormat="1" applyFont="1" applyFill="1" applyBorder="1" applyAlignment="1">
      <alignment wrapText="1"/>
    </xf>
    <xf numFmtId="1" fontId="3" fillId="6" borderId="275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0" xfId="0" applyNumberFormat="1" applyFont="1" applyFill="1" applyBorder="1" applyAlignment="1">
      <alignment wrapText="1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663" xfId="1" applyNumberFormat="1" applyFont="1" applyBorder="1" applyAlignment="1" applyProtection="1">
      <alignment wrapText="1"/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85" xfId="0" applyNumberFormat="1" applyFont="1" applyFill="1" applyBorder="1" applyAlignment="1">
      <alignment horizontal="right" wrapText="1"/>
    </xf>
    <xf numFmtId="1" fontId="3" fillId="3" borderId="279" xfId="0" applyNumberFormat="1" applyFont="1" applyFill="1" applyBorder="1" applyAlignment="1">
      <alignment horizontal="right" wrapText="1"/>
    </xf>
    <xf numFmtId="1" fontId="3" fillId="3" borderId="270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793" xfId="0" applyNumberFormat="1" applyFont="1" applyFill="1" applyBorder="1" applyAlignment="1">
      <alignment horizontal="right" wrapText="1"/>
    </xf>
    <xf numFmtId="1" fontId="3" fillId="6" borderId="794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1" fillId="5" borderId="251" xfId="0" applyNumberFormat="1" applyFont="1" applyFill="1" applyBorder="1" applyAlignment="1">
      <alignment horizontal="left"/>
    </xf>
    <xf numFmtId="1" fontId="1" fillId="3" borderId="251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30" xfId="0" applyNumberFormat="1" applyFont="1" applyBorder="1" applyAlignment="1" applyProtection="1">
      <alignment horizontal="center" vertical="center" wrapText="1"/>
      <protection hidden="1"/>
    </xf>
    <xf numFmtId="1" fontId="3" fillId="0" borderId="831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00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6" borderId="793" xfId="0" applyNumberFormat="1" applyFont="1" applyFill="1" applyBorder="1" applyAlignment="1">
      <alignment horizontal="right"/>
    </xf>
    <xf numFmtId="1" fontId="3" fillId="6" borderId="796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797" xfId="0" applyNumberFormat="1" applyFont="1" applyFill="1" applyBorder="1" applyAlignment="1">
      <alignment horizontal="right"/>
    </xf>
    <xf numFmtId="1" fontId="3" fillId="6" borderId="794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2" fillId="0" borderId="836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795" xfId="0" applyNumberFormat="1" applyFont="1" applyBorder="1" applyAlignment="1">
      <alignment horizontal="left" vertical="center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0" borderId="830" xfId="0" applyNumberFormat="1" applyFont="1" applyBorder="1" applyAlignment="1">
      <alignment horizontal="center" wrapText="1"/>
    </xf>
    <xf numFmtId="1" fontId="3" fillId="0" borderId="831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horizontal="center" wrapText="1"/>
    </xf>
    <xf numFmtId="1" fontId="3" fillId="0" borderId="840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>
      <alignment vertical="center" wrapText="1"/>
    </xf>
    <xf numFmtId="1" fontId="2" fillId="3" borderId="251" xfId="0" applyNumberFormat="1" applyFont="1" applyFill="1" applyBorder="1" applyAlignment="1">
      <alignment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7" borderId="747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794" xfId="0" applyNumberFormat="1" applyFont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 wrapText="1"/>
      <protection locked="0"/>
    </xf>
    <xf numFmtId="1" fontId="3" fillId="4" borderId="793" xfId="0" applyNumberFormat="1" applyFont="1" applyFill="1" applyBorder="1" applyAlignment="1" applyProtection="1">
      <alignment horizontal="right" wrapText="1"/>
      <protection locked="0"/>
    </xf>
    <xf numFmtId="1" fontId="3" fillId="7" borderId="845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702" xfId="0" applyNumberFormat="1" applyFont="1" applyFill="1" applyBorder="1" applyAlignment="1">
      <alignment horizontal="right"/>
    </xf>
    <xf numFmtId="1" fontId="3" fillId="6" borderId="833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2" fillId="3" borderId="836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36" xfId="0" applyNumberFormat="1" applyFont="1" applyFill="1" applyBorder="1" applyAlignment="1">
      <alignment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left" wrapText="1"/>
    </xf>
    <xf numFmtId="1" fontId="2" fillId="3" borderId="836" xfId="0" applyNumberFormat="1" applyFont="1" applyFill="1" applyBorder="1"/>
    <xf numFmtId="0" fontId="3" fillId="0" borderId="837" xfId="0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27" xfId="0" applyNumberFormat="1" applyFont="1" applyFill="1" applyBorder="1" applyAlignment="1">
      <alignment horizontal="right"/>
    </xf>
    <xf numFmtId="1" fontId="3" fillId="0" borderId="795" xfId="0" applyNumberFormat="1" applyFont="1" applyBorder="1"/>
    <xf numFmtId="1" fontId="3" fillId="0" borderId="797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795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4" xfId="0" applyFont="1" applyBorder="1" applyAlignment="1">
      <alignment horizontal="right"/>
    </xf>
    <xf numFmtId="1" fontId="3" fillId="0" borderId="795" xfId="0" applyNumberFormat="1" applyFont="1" applyBorder="1" applyAlignment="1">
      <alignment vertical="top" wrapText="1"/>
    </xf>
    <xf numFmtId="1" fontId="3" fillId="0" borderId="797" xfId="0" applyNumberFormat="1" applyFont="1" applyBorder="1" applyAlignment="1">
      <alignment horizontal="right" wrapText="1"/>
    </xf>
    <xf numFmtId="0" fontId="45" fillId="6" borderId="855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797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0" fontId="45" fillId="6" borderId="254" xfId="10" applyFont="1" applyFill="1" applyBorder="1" applyAlignment="1">
      <alignment horizontal="right"/>
    </xf>
    <xf numFmtId="0" fontId="45" fillId="6" borderId="256" xfId="10" applyFont="1" applyFill="1" applyBorder="1" applyAlignment="1">
      <alignment horizontal="right"/>
    </xf>
    <xf numFmtId="0" fontId="45" fillId="6" borderId="250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2" xfId="0" applyFont="1" applyBorder="1" applyAlignment="1">
      <alignment horizontal="right"/>
    </xf>
    <xf numFmtId="0" fontId="3" fillId="0" borderId="352" xfId="0" applyFont="1" applyBorder="1" applyAlignment="1">
      <alignment horizontal="right"/>
    </xf>
    <xf numFmtId="0" fontId="3" fillId="0" borderId="830" xfId="0" applyFont="1" applyBorder="1" applyAlignment="1">
      <alignment horizontal="center"/>
    </xf>
    <xf numFmtId="0" fontId="3" fillId="0" borderId="746" xfId="0" applyFont="1" applyBorder="1" applyAlignment="1">
      <alignment horizontal="left" wrapText="1"/>
    </xf>
    <xf numFmtId="1" fontId="3" fillId="0" borderId="850" xfId="0" applyNumberFormat="1" applyFont="1" applyBorder="1" applyAlignment="1">
      <alignment horizontal="right" wrapText="1"/>
    </xf>
    <xf numFmtId="0" fontId="3" fillId="0" borderId="833" xfId="0" applyFont="1" applyBorder="1" applyAlignment="1">
      <alignment horizontal="right"/>
    </xf>
    <xf numFmtId="1" fontId="3" fillId="4" borderId="793" xfId="0" applyNumberFormat="1" applyFont="1" applyFill="1" applyBorder="1" applyProtection="1">
      <protection locked="0"/>
    </xf>
    <xf numFmtId="0" fontId="3" fillId="0" borderId="254" xfId="0" applyFont="1" applyBorder="1" applyAlignment="1">
      <alignment horizontal="right" wrapText="1"/>
    </xf>
    <xf numFmtId="0" fontId="3" fillId="0" borderId="250" xfId="0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2" fillId="3" borderId="251" xfId="0" applyNumberFormat="1" applyFont="1" applyFill="1" applyBorder="1" applyAlignment="1">
      <alignment horizontal="left"/>
    </xf>
    <xf numFmtId="1" fontId="3" fillId="0" borderId="850" xfId="0" applyNumberFormat="1" applyFont="1" applyBorder="1" applyAlignment="1">
      <alignment horizontal="right" vertical="center" wrapText="1"/>
    </xf>
    <xf numFmtId="0" fontId="3" fillId="0" borderId="795" xfId="0" applyFont="1" applyBorder="1" applyAlignment="1">
      <alignment horizontal="left" wrapText="1"/>
    </xf>
    <xf numFmtId="0" fontId="3" fillId="0" borderId="793" xfId="0" applyFont="1" applyBorder="1" applyAlignment="1">
      <alignment horizontal="right" wrapText="1"/>
    </xf>
    <xf numFmtId="0" fontId="3" fillId="0" borderId="797" xfId="0" applyFont="1" applyBorder="1" applyAlignment="1">
      <alignment horizontal="right" wrapText="1"/>
    </xf>
    <xf numFmtId="0" fontId="3" fillId="0" borderId="404" xfId="0" applyFont="1" applyBorder="1" applyAlignment="1">
      <alignment horizontal="left" wrapText="1"/>
    </xf>
    <xf numFmtId="0" fontId="3" fillId="0" borderId="254" xfId="0" applyFont="1" applyBorder="1" applyAlignment="1">
      <alignment horizontal="right"/>
    </xf>
    <xf numFmtId="0" fontId="3" fillId="0" borderId="250" xfId="0" applyFont="1" applyBorder="1" applyAlignment="1">
      <alignment horizontal="right"/>
    </xf>
    <xf numFmtId="0" fontId="27" fillId="5" borderId="251" xfId="0" applyFont="1" applyFill="1" applyBorder="1" applyAlignment="1">
      <alignment wrapText="1"/>
    </xf>
    <xf numFmtId="0" fontId="3" fillId="0" borderId="83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0" fontId="3" fillId="6" borderId="835" xfId="0" applyFont="1" applyFill="1" applyBorder="1" applyAlignment="1">
      <alignment vertical="center"/>
    </xf>
    <xf numFmtId="0" fontId="3" fillId="6" borderId="836" xfId="0" applyFont="1" applyFill="1" applyBorder="1" applyAlignment="1">
      <alignment vertical="center"/>
    </xf>
    <xf numFmtId="0" fontId="3" fillId="6" borderId="837" xfId="0" applyFont="1" applyFill="1" applyBorder="1" applyAlignment="1">
      <alignment vertical="center"/>
    </xf>
    <xf numFmtId="0" fontId="3" fillId="6" borderId="848" xfId="0" applyFont="1" applyFill="1" applyBorder="1" applyAlignment="1">
      <alignment horizontal="center" vertical="center" wrapText="1"/>
    </xf>
    <xf numFmtId="0" fontId="3" fillId="6" borderId="832" xfId="0" applyFont="1" applyFill="1" applyBorder="1" applyAlignment="1">
      <alignment horizontal="center" vertical="center" wrapText="1"/>
    </xf>
    <xf numFmtId="0" fontId="3" fillId="0" borderId="746" xfId="0" applyFont="1" applyBorder="1" applyAlignment="1">
      <alignment wrapText="1"/>
    </xf>
    <xf numFmtId="1" fontId="3" fillId="0" borderId="833" xfId="0" applyNumberFormat="1" applyFont="1" applyBorder="1" applyAlignment="1">
      <alignment horizontal="right" wrapText="1"/>
    </xf>
    <xf numFmtId="0" fontId="3" fillId="0" borderId="298" xfId="0" applyFont="1" applyBorder="1" applyAlignment="1">
      <alignment wrapText="1"/>
    </xf>
    <xf numFmtId="0" fontId="3" fillId="6" borderId="299" xfId="0" applyFont="1" applyFill="1" applyBorder="1" applyAlignment="1">
      <alignment vertical="center"/>
    </xf>
    <xf numFmtId="1" fontId="3" fillId="6" borderId="251" xfId="0" applyNumberFormat="1" applyFont="1" applyFill="1" applyBorder="1"/>
    <xf numFmtId="1" fontId="3" fillId="6" borderId="732" xfId="0" applyNumberFormat="1" applyFont="1" applyFill="1" applyBorder="1"/>
    <xf numFmtId="1" fontId="3" fillId="6" borderId="259" xfId="0" applyNumberFormat="1" applyFont="1" applyFill="1" applyBorder="1"/>
    <xf numFmtId="0" fontId="0" fillId="0" borderId="844" xfId="0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/>
    </xf>
    <xf numFmtId="0" fontId="45" fillId="0" borderId="844" xfId="0" applyFont="1" applyBorder="1" applyAlignment="1">
      <alignment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0" borderId="301" xfId="0" applyNumberFormat="1" applyFont="1" applyBorder="1" applyAlignment="1">
      <alignment horizontal="right"/>
    </xf>
    <xf numFmtId="0" fontId="58" fillId="0" borderId="844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/>
    </xf>
    <xf numFmtId="0" fontId="3" fillId="0" borderId="844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/>
    </xf>
    <xf numFmtId="0" fontId="3" fillId="6" borderId="837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right"/>
    </xf>
    <xf numFmtId="0" fontId="3" fillId="6" borderId="251" xfId="0" applyFont="1" applyFill="1" applyBorder="1" applyAlignment="1">
      <alignment horizontal="right" vertical="center"/>
    </xf>
    <xf numFmtId="1" fontId="3" fillId="6" borderId="25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1" fontId="3" fillId="6" borderId="732" xfId="0" applyNumberFormat="1" applyFont="1" applyFill="1" applyBorder="1" applyAlignment="1">
      <alignment horizontal="right"/>
    </xf>
    <xf numFmtId="1" fontId="3" fillId="6" borderId="251" xfId="0" applyNumberFormat="1" applyFont="1" applyFill="1" applyBorder="1" applyAlignment="1">
      <alignment horizontal="right"/>
    </xf>
    <xf numFmtId="1" fontId="3" fillId="6" borderId="259" xfId="0" applyNumberFormat="1" applyFont="1" applyFill="1" applyBorder="1" applyAlignment="1">
      <alignment horizontal="right"/>
    </xf>
    <xf numFmtId="1" fontId="3" fillId="5" borderId="755" xfId="0" applyNumberFormat="1" applyFont="1" applyFill="1" applyBorder="1" applyAlignment="1">
      <alignment horizontal="right"/>
    </xf>
    <xf numFmtId="0" fontId="3" fillId="0" borderId="832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/>
    </xf>
    <xf numFmtId="0" fontId="3" fillId="6" borderId="842" xfId="0" applyFont="1" applyFill="1" applyBorder="1" applyAlignment="1">
      <alignment horizontal="center" vertical="center"/>
    </xf>
    <xf numFmtId="0" fontId="3" fillId="0" borderId="404" xfId="0" applyFont="1" applyBorder="1" applyAlignment="1">
      <alignment vertical="top" wrapText="1"/>
    </xf>
    <xf numFmtId="1" fontId="3" fillId="5" borderId="404" xfId="0" applyNumberFormat="1" applyFont="1" applyFill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61" xfId="0" applyNumberFormat="1" applyFont="1" applyFill="1" applyBorder="1" applyAlignment="1">
      <alignment horizontal="right"/>
    </xf>
    <xf numFmtId="0" fontId="3" fillId="0" borderId="831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left" vertical="center" wrapText="1"/>
    </xf>
    <xf numFmtId="1" fontId="3" fillId="4" borderId="798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left" vertical="center" wrapText="1"/>
    </xf>
    <xf numFmtId="3" fontId="3" fillId="0" borderId="795" xfId="0" applyNumberFormat="1" applyFont="1" applyBorder="1" applyAlignment="1">
      <alignment horizontal="right" wrapText="1"/>
    </xf>
    <xf numFmtId="1" fontId="3" fillId="4" borderId="827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right"/>
    </xf>
    <xf numFmtId="0" fontId="3" fillId="0" borderId="298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right"/>
    </xf>
    <xf numFmtId="0" fontId="3" fillId="0" borderId="831" xfId="0" applyFont="1" applyBorder="1" applyAlignment="1">
      <alignment horizontal="center"/>
    </xf>
    <xf numFmtId="0" fontId="3" fillId="0" borderId="837" xfId="0" applyFont="1" applyBorder="1" applyAlignment="1">
      <alignment horizontal="center"/>
    </xf>
    <xf numFmtId="1" fontId="3" fillId="4" borderId="826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right" vertical="center" wrapText="1"/>
    </xf>
    <xf numFmtId="0" fontId="3" fillId="0" borderId="795" xfId="0" applyFont="1" applyBorder="1" applyAlignment="1">
      <alignment wrapText="1"/>
    </xf>
    <xf numFmtId="0" fontId="3" fillId="0" borderId="298" xfId="0" applyFont="1" applyBorder="1" applyAlignment="1">
      <alignment horizontal="right"/>
    </xf>
    <xf numFmtId="0" fontId="3" fillId="0" borderId="275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right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6" borderId="746" xfId="0" applyNumberFormat="1" applyFont="1" applyFill="1" applyBorder="1" applyAlignment="1">
      <alignment horizontal="right"/>
    </xf>
    <xf numFmtId="1" fontId="3" fillId="0" borderId="80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795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1" fontId="3" fillId="7" borderId="666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6" borderId="301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7" borderId="749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0" borderId="392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793" xfId="0" applyNumberFormat="1" applyFont="1" applyBorder="1"/>
    <xf numFmtId="1" fontId="3" fillId="0" borderId="797" xfId="0" applyNumberFormat="1" applyFont="1" applyBorder="1"/>
    <xf numFmtId="1" fontId="3" fillId="0" borderId="5" xfId="0" applyNumberFormat="1" applyFont="1" applyBorder="1"/>
    <xf numFmtId="1" fontId="3" fillId="0" borderId="365" xfId="0" applyNumberFormat="1" applyFont="1" applyBorder="1"/>
    <xf numFmtId="1" fontId="3" fillId="0" borderId="847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top" wrapText="1"/>
    </xf>
    <xf numFmtId="1" fontId="3" fillId="6" borderId="747" xfId="0" applyNumberFormat="1" applyFont="1" applyFill="1" applyBorder="1" applyAlignment="1">
      <alignment horizontal="right"/>
    </xf>
    <xf numFmtId="1" fontId="3" fillId="6" borderId="856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714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795" xfId="0" applyNumberFormat="1" applyFont="1" applyFill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231" xfId="0" applyNumberFormat="1" applyFont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34" borderId="279" xfId="0" applyNumberFormat="1" applyFont="1" applyFill="1" applyBorder="1" applyAlignment="1" applyProtection="1">
      <alignment horizontal="right"/>
      <protection locked="0"/>
    </xf>
    <xf numFmtId="1" fontId="3" fillId="34" borderId="685" xfId="0" applyNumberFormat="1" applyFont="1" applyFill="1" applyBorder="1" applyAlignment="1" applyProtection="1">
      <alignment horizontal="right"/>
      <protection locked="0"/>
    </xf>
    <xf numFmtId="1" fontId="3" fillId="34" borderId="703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Protection="1">
      <protection locked="0"/>
    </xf>
    <xf numFmtId="1" fontId="3" fillId="34" borderId="685" xfId="0" applyNumberFormat="1" applyFont="1" applyFill="1" applyBorder="1" applyProtection="1">
      <protection locked="0"/>
    </xf>
    <xf numFmtId="1" fontId="3" fillId="34" borderId="833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vertical="center" wrapText="1"/>
    </xf>
    <xf numFmtId="1" fontId="3" fillId="0" borderId="251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3" borderId="746" xfId="0" applyNumberFormat="1" applyFont="1" applyFill="1" applyBorder="1" applyAlignment="1">
      <alignment horizontal="right"/>
    </xf>
    <xf numFmtId="1" fontId="3" fillId="3" borderId="236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right"/>
    </xf>
    <xf numFmtId="1" fontId="3" fillId="3" borderId="830" xfId="0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1" fontId="3" fillId="3" borderId="832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00" xfId="0" applyNumberFormat="1" applyFont="1" applyBorder="1" applyAlignment="1">
      <alignment horizontal="right"/>
    </xf>
    <xf numFmtId="1" fontId="3" fillId="3" borderId="844" xfId="0" applyNumberFormat="1" applyFont="1" applyFill="1" applyBorder="1" applyAlignment="1">
      <alignment horizontal="right"/>
    </xf>
    <xf numFmtId="0" fontId="0" fillId="0" borderId="836" xfId="0" applyBorder="1"/>
    <xf numFmtId="1" fontId="3" fillId="3" borderId="841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2" xfId="0" applyBorder="1"/>
    <xf numFmtId="1" fontId="3" fillId="0" borderId="861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wrapText="1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44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2" fillId="5" borderId="251" xfId="6" applyNumberFormat="1" applyFont="1" applyFill="1" applyBorder="1"/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right" vertical="center"/>
    </xf>
    <xf numFmtId="2" fontId="3" fillId="3" borderId="841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830" xfId="0" applyNumberFormat="1" applyFont="1" applyFill="1" applyBorder="1" applyAlignment="1">
      <alignment horizontal="right" vertical="center"/>
    </xf>
    <xf numFmtId="2" fontId="3" fillId="3" borderId="837" xfId="0" applyNumberFormat="1" applyFont="1" applyFill="1" applyBorder="1" applyAlignment="1">
      <alignment horizontal="right" vertical="center"/>
    </xf>
    <xf numFmtId="2" fontId="3" fillId="3" borderId="840" xfId="0" applyNumberFormat="1" applyFont="1" applyFill="1" applyBorder="1" applyAlignment="1">
      <alignment horizontal="right" vertical="center"/>
    </xf>
    <xf numFmtId="1" fontId="3" fillId="3" borderId="301" xfId="0" applyNumberFormat="1" applyFont="1" applyFill="1" applyBorder="1" applyAlignment="1">
      <alignment horizontal="left" vertical="center"/>
    </xf>
    <xf numFmtId="1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3" borderId="275" xfId="0" applyNumberFormat="1" applyFont="1" applyFill="1" applyBorder="1" applyAlignment="1">
      <alignment horizontal="right" vertical="center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747" xfId="0" applyNumberFormat="1" applyFont="1" applyFill="1" applyBorder="1" applyAlignment="1">
      <alignment horizontal="righ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850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795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793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797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795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1" fontId="3" fillId="3" borderId="404" xfId="6" applyNumberFormat="1" applyFont="1" applyFill="1" applyBorder="1" applyAlignment="1">
      <alignment horizontal="left" vertical="center"/>
    </xf>
    <xf numFmtId="1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4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326" xfId="0" applyNumberFormat="1" applyFont="1" applyFill="1" applyBorder="1" applyAlignment="1">
      <alignment horizontal="right" vertical="center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250" xfId="0" applyNumberFormat="1" applyFont="1" applyFill="1" applyBorder="1" applyAlignment="1">
      <alignment horizontal="right" vertical="center"/>
    </xf>
    <xf numFmtId="2" fontId="3" fillId="2" borderId="755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79" xfId="6" applyNumberFormat="1" applyFont="1" applyBorder="1" applyProtection="1">
      <protection hidden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884" xfId="6" applyNumberFormat="1" applyFont="1" applyBorder="1"/>
    <xf numFmtId="1" fontId="3" fillId="0" borderId="885" xfId="6" applyNumberFormat="1" applyFont="1" applyBorder="1"/>
    <xf numFmtId="1" fontId="3" fillId="4" borderId="685" xfId="6" applyNumberFormat="1" applyFont="1" applyFill="1" applyBorder="1" applyProtection="1">
      <protection locked="0"/>
    </xf>
    <xf numFmtId="1" fontId="3" fillId="4" borderId="703" xfId="6" applyNumberFormat="1" applyFont="1" applyFill="1" applyBorder="1" applyProtection="1">
      <protection locked="0"/>
    </xf>
    <xf numFmtId="1" fontId="3" fillId="0" borderId="886" xfId="6" applyNumberFormat="1" applyFont="1" applyBorder="1"/>
    <xf numFmtId="1" fontId="3" fillId="0" borderId="887" xfId="6" applyNumberFormat="1" applyFont="1" applyBorder="1"/>
    <xf numFmtId="1" fontId="3" fillId="4" borderId="888" xfId="6" applyNumberFormat="1" applyFont="1" applyFill="1" applyBorder="1" applyProtection="1">
      <protection locked="0"/>
    </xf>
    <xf numFmtId="1" fontId="3" fillId="4" borderId="889" xfId="6" applyNumberFormat="1" applyFont="1" applyFill="1" applyBorder="1" applyProtection="1">
      <protection locked="0"/>
    </xf>
    <xf numFmtId="1" fontId="3" fillId="0" borderId="299" xfId="6" applyNumberFormat="1" applyFont="1" applyBorder="1"/>
    <xf numFmtId="1" fontId="3" fillId="0" borderId="404" xfId="6" applyNumberFormat="1" applyFont="1" applyBorder="1"/>
    <xf numFmtId="1" fontId="3" fillId="4" borderId="255" xfId="6" applyNumberFormat="1" applyFont="1" applyFill="1" applyBorder="1" applyProtection="1">
      <protection locked="0"/>
    </xf>
    <xf numFmtId="1" fontId="3" fillId="4" borderId="256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890" xfId="6" applyNumberFormat="1" applyFont="1" applyBorder="1"/>
    <xf numFmtId="1" fontId="6" fillId="0" borderId="891" xfId="6" applyNumberFormat="1" applyFont="1" applyBorder="1"/>
    <xf numFmtId="1" fontId="6" fillId="0" borderId="892" xfId="6" applyNumberFormat="1" applyFont="1" applyBorder="1"/>
    <xf numFmtId="1" fontId="3" fillId="0" borderId="893" xfId="6" applyNumberFormat="1" applyFont="1" applyBorder="1" applyAlignment="1">
      <alignment horizontal="center" vertical="center" wrapText="1"/>
    </xf>
    <xf numFmtId="1" fontId="3" fillId="0" borderId="1127" xfId="6" applyNumberFormat="1" applyFont="1" applyBorder="1" applyAlignment="1">
      <alignment horizontal="center" vertical="center" wrapText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1100" xfId="6" applyNumberFormat="1" applyFont="1" applyBorder="1" applyAlignment="1">
      <alignment horizontal="center" vertical="center" wrapText="1"/>
    </xf>
    <xf numFmtId="1" fontId="3" fillId="0" borderId="1124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236" xfId="6" applyNumberFormat="1" applyFont="1" applyBorder="1"/>
    <xf numFmtId="1" fontId="3" fillId="4" borderId="275" xfId="6" applyNumberFormat="1" applyFont="1" applyFill="1" applyBorder="1" applyAlignment="1" applyProtection="1">
      <alignment horizontal="right"/>
      <protection locked="0"/>
    </xf>
    <xf numFmtId="1" fontId="3" fillId="4" borderId="279" xfId="6" applyNumberFormat="1" applyFont="1" applyFill="1" applyBorder="1" applyAlignment="1" applyProtection="1">
      <alignment horizontal="right"/>
      <protection locked="0"/>
    </xf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4" borderId="1119" xfId="6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59" borderId="1119" xfId="6" applyNumberFormat="1" applyFont="1" applyFill="1" applyBorder="1" applyAlignment="1">
      <alignment horizontal="right"/>
    </xf>
    <xf numFmtId="1" fontId="3" fillId="59" borderId="301" xfId="6" applyNumberFormat="1" applyFont="1" applyFill="1" applyBorder="1" applyAlignment="1">
      <alignment horizontal="right"/>
    </xf>
    <xf numFmtId="1" fontId="3" fillId="0" borderId="419" xfId="6" applyNumberFormat="1" applyFont="1" applyBorder="1" applyAlignment="1">
      <alignment horizontal="left"/>
    </xf>
    <xf numFmtId="1" fontId="3" fillId="0" borderId="419" xfId="6" applyNumberFormat="1" applyFont="1" applyBorder="1"/>
    <xf numFmtId="1" fontId="3" fillId="59" borderId="352" xfId="6" applyNumberFormat="1" applyFont="1" applyFill="1" applyBorder="1" applyAlignment="1">
      <alignment horizontal="right"/>
    </xf>
    <xf numFmtId="1" fontId="3" fillId="59" borderId="404" xfId="6" applyNumberFormat="1" applyFont="1" applyFill="1" applyBorder="1" applyAlignment="1">
      <alignment horizontal="right"/>
    </xf>
    <xf numFmtId="1" fontId="3" fillId="0" borderId="312" xfId="6" applyNumberFormat="1" applyFont="1" applyBorder="1" applyAlignment="1">
      <alignment horizontal="left"/>
    </xf>
    <xf numFmtId="1" fontId="3" fillId="59" borderId="489" xfId="6" applyNumberFormat="1" applyFont="1" applyFill="1" applyBorder="1" applyAlignment="1">
      <alignment horizontal="right"/>
    </xf>
    <xf numFmtId="1" fontId="3" fillId="59" borderId="298" xfId="6" applyNumberFormat="1" applyFont="1" applyFill="1" applyBorder="1" applyAlignment="1">
      <alignment horizontal="right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2" fillId="0" borderId="892" xfId="6" applyNumberFormat="1" applyFont="1" applyBorder="1" applyProtection="1">
      <protection hidden="1"/>
    </xf>
    <xf numFmtId="1" fontId="6" fillId="0" borderId="892" xfId="6" applyNumberFormat="1" applyFont="1" applyBorder="1" applyProtection="1">
      <protection hidden="1"/>
    </xf>
    <xf numFmtId="1" fontId="3" fillId="0" borderId="312" xfId="6" applyNumberFormat="1" applyFont="1" applyBorder="1"/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404" xfId="6" applyNumberFormat="1" applyFont="1" applyFill="1" applyBorder="1" applyAlignment="1" applyProtection="1">
      <alignment horizontal="right"/>
      <protection locked="0"/>
    </xf>
    <xf numFmtId="1" fontId="2" fillId="5" borderId="908" xfId="6" applyNumberFormat="1" applyFont="1" applyFill="1" applyBorder="1" applyProtection="1">
      <protection hidden="1"/>
    </xf>
    <xf numFmtId="1" fontId="6" fillId="0" borderId="908" xfId="6" applyNumberFormat="1" applyFont="1" applyBorder="1" applyProtection="1">
      <protection hidden="1"/>
    </xf>
    <xf numFmtId="1" fontId="3" fillId="0" borderId="301" xfId="6" applyNumberFormat="1" applyFont="1" applyBorder="1" applyAlignment="1">
      <alignment horizontal="right"/>
    </xf>
    <xf numFmtId="1" fontId="3" fillId="4" borderId="301" xfId="6" applyNumberFormat="1" applyFont="1" applyFill="1" applyBorder="1" applyProtection="1">
      <protection locked="0"/>
    </xf>
    <xf numFmtId="1" fontId="3" fillId="0" borderId="404" xfId="6" applyNumberFormat="1" applyFont="1" applyBorder="1" applyAlignment="1">
      <alignment horizontal="right"/>
    </xf>
    <xf numFmtId="1" fontId="3" fillId="4" borderId="404" xfId="6" applyNumberFormat="1" applyFont="1" applyFill="1" applyBorder="1" applyProtection="1">
      <protection locked="0"/>
    </xf>
    <xf numFmtId="1" fontId="2" fillId="0" borderId="908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890" xfId="6" applyNumberFormat="1" applyFont="1" applyBorder="1" applyProtection="1">
      <protection hidden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887" xfId="0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right" vertical="center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right" vertical="center"/>
    </xf>
    <xf numFmtId="1" fontId="3" fillId="4" borderId="915" xfId="0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2" fillId="0" borderId="278" xfId="6" applyNumberFormat="1" applyFont="1" applyBorder="1" applyProtection="1">
      <protection hidden="1"/>
    </xf>
    <xf numFmtId="1" fontId="3" fillId="3" borderId="901" xfId="0" applyNumberFormat="1" applyFont="1" applyFill="1" applyBorder="1" applyAlignment="1">
      <alignment horizontal="center" vertical="center" wrapText="1"/>
    </xf>
    <xf numFmtId="0" fontId="3" fillId="0" borderId="254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5" xfId="0" applyNumberFormat="1" applyFont="1" applyBorder="1" applyAlignment="1">
      <alignment horizontal="center" vertical="center" wrapText="1"/>
    </xf>
    <xf numFmtId="1" fontId="3" fillId="5" borderId="885" xfId="0" applyNumberFormat="1" applyFont="1" applyFill="1" applyBorder="1"/>
    <xf numFmtId="1" fontId="3" fillId="4" borderId="917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912" xfId="0" applyNumberFormat="1" applyFont="1" applyBorder="1"/>
    <xf numFmtId="1" fontId="3" fillId="5" borderId="887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905" xfId="0" applyNumberFormat="1" applyFont="1" applyBorder="1"/>
    <xf numFmtId="1" fontId="3" fillId="4" borderId="923" xfId="0" applyNumberFormat="1" applyFont="1" applyFill="1" applyBorder="1" applyProtection="1">
      <protection locked="0"/>
    </xf>
    <xf numFmtId="1" fontId="3" fillId="0" borderId="924" xfId="0" applyNumberFormat="1" applyFont="1" applyBorder="1"/>
    <xf numFmtId="1" fontId="3" fillId="0" borderId="907" xfId="0" applyNumberFormat="1" applyFont="1" applyBorder="1"/>
    <xf numFmtId="0" fontId="2" fillId="0" borderId="205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6" fillId="0" borderId="937" xfId="6" applyNumberFormat="1" applyFont="1" applyBorder="1"/>
    <xf numFmtId="1" fontId="3" fillId="0" borderId="899" xfId="6" applyNumberFormat="1" applyFont="1" applyBorder="1" applyAlignment="1">
      <alignment horizontal="center" vertical="center"/>
    </xf>
    <xf numFmtId="1" fontId="3" fillId="0" borderId="900" xfId="7" applyNumberFormat="1" applyFont="1" applyBorder="1" applyAlignment="1">
      <alignment horizontal="center" vertical="center" wrapText="1"/>
    </xf>
    <xf numFmtId="1" fontId="3" fillId="0" borderId="900" xfId="7" applyNumberFormat="1" applyFont="1" applyBorder="1" applyAlignment="1">
      <alignment horizontal="center" vertical="center"/>
    </xf>
    <xf numFmtId="1" fontId="3" fillId="0" borderId="898" xfId="7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right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0" borderId="884" xfId="6" applyNumberFormat="1" applyFont="1" applyBorder="1" applyAlignment="1">
      <alignment wrapText="1"/>
    </xf>
    <xf numFmtId="1" fontId="3" fillId="0" borderId="885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2" xfId="6" applyNumberFormat="1" applyFont="1" applyBorder="1" applyAlignment="1">
      <alignment wrapText="1"/>
    </xf>
    <xf numFmtId="1" fontId="3" fillId="0" borderId="325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685" xfId="6" applyNumberFormat="1" applyFont="1" applyFill="1" applyBorder="1" applyAlignment="1" applyProtection="1">
      <alignment horizontal="right"/>
      <protection locked="0"/>
    </xf>
    <xf numFmtId="1" fontId="3" fillId="4" borderId="902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wrapText="1"/>
    </xf>
    <xf numFmtId="1" fontId="3" fillId="0" borderId="298" xfId="6" applyNumberFormat="1" applyFont="1" applyBorder="1" applyAlignment="1">
      <alignment horizontal="right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6" fillId="0" borderId="938" xfId="6" applyNumberFormat="1" applyFont="1" applyBorder="1"/>
    <xf numFmtId="1" fontId="3" fillId="0" borderId="895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885" xfId="6" applyNumberFormat="1" applyFont="1" applyBorder="1" applyAlignment="1">
      <alignment wrapText="1"/>
    </xf>
    <xf numFmtId="1" fontId="3" fillId="4" borderId="275" xfId="6" applyNumberFormat="1" applyFont="1" applyFill="1" applyBorder="1" applyProtection="1">
      <protection locked="0"/>
    </xf>
    <xf numFmtId="0" fontId="0" fillId="42" borderId="0" xfId="0" applyFill="1"/>
    <xf numFmtId="1" fontId="3" fillId="0" borderId="940" xfId="6" applyNumberFormat="1" applyFont="1" applyBorder="1" applyAlignment="1">
      <alignment wrapText="1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Protection="1">
      <protection locked="0"/>
    </xf>
    <xf numFmtId="1" fontId="3" fillId="4" borderId="942" xfId="6" applyNumberFormat="1" applyFont="1" applyFill="1" applyBorder="1" applyProtection="1">
      <protection locked="0"/>
    </xf>
    <xf numFmtId="1" fontId="3" fillId="0" borderId="901" xfId="6" applyNumberFormat="1" applyFont="1" applyBorder="1" applyAlignment="1">
      <alignment horizontal="center" wrapText="1"/>
    </xf>
    <xf numFmtId="1" fontId="3" fillId="0" borderId="899" xfId="6" applyNumberFormat="1" applyFont="1" applyBorder="1" applyAlignment="1">
      <alignment horizontal="right"/>
    </xf>
    <xf numFmtId="1" fontId="3" fillId="0" borderId="909" xfId="6" applyNumberFormat="1" applyFont="1" applyBorder="1" applyAlignment="1">
      <alignment horizontal="right"/>
    </xf>
    <xf numFmtId="1" fontId="3" fillId="0" borderId="898" xfId="6" applyNumberFormat="1" applyFont="1" applyBorder="1" applyAlignment="1">
      <alignment horizontal="right"/>
    </xf>
    <xf numFmtId="1" fontId="3" fillId="0" borderId="896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0" xfId="6" applyNumberFormat="1" applyFont="1" applyFill="1" applyBorder="1" applyProtection="1">
      <protection locked="0"/>
    </xf>
    <xf numFmtId="1" fontId="3" fillId="0" borderId="943" xfId="6" applyNumberFormat="1" applyFont="1" applyBorder="1" applyAlignment="1">
      <alignment wrapText="1"/>
    </xf>
    <xf numFmtId="1" fontId="3" fillId="4" borderId="944" xfId="6" applyNumberFormat="1" applyFont="1" applyFill="1" applyBorder="1" applyProtection="1">
      <protection locked="0"/>
    </xf>
    <xf numFmtId="1" fontId="3" fillId="4" borderId="945" xfId="6" applyNumberFormat="1" applyFont="1" applyFill="1" applyBorder="1" applyProtection="1">
      <protection locked="0"/>
    </xf>
    <xf numFmtId="1" fontId="3" fillId="0" borderId="298" xfId="6" applyNumberFormat="1" applyFont="1" applyBorder="1" applyAlignment="1">
      <alignment wrapText="1"/>
    </xf>
    <xf numFmtId="1" fontId="3" fillId="0" borderId="298" xfId="6" applyNumberFormat="1" applyFont="1" applyBorder="1"/>
    <xf numFmtId="1" fontId="3" fillId="4" borderId="946" xfId="6" applyNumberFormat="1" applyFont="1" applyFill="1" applyBorder="1" applyProtection="1">
      <protection locked="0"/>
    </xf>
    <xf numFmtId="1" fontId="3" fillId="0" borderId="947" xfId="6" applyNumberFormat="1" applyFont="1" applyBorder="1" applyAlignment="1">
      <alignment horizontal="center" wrapText="1"/>
    </xf>
    <xf numFmtId="1" fontId="3" fillId="0" borderId="901" xfId="6" applyNumberFormat="1" applyFont="1" applyBorder="1"/>
    <xf numFmtId="1" fontId="3" fillId="0" borderId="899" xfId="6" applyNumberFormat="1" applyFont="1" applyBorder="1"/>
    <xf numFmtId="1" fontId="3" fillId="0" borderId="896" xfId="6" applyNumberFormat="1" applyFont="1" applyBorder="1"/>
    <xf numFmtId="1" fontId="3" fillId="0" borderId="909" xfId="6" applyNumberFormat="1" applyFont="1" applyBorder="1"/>
    <xf numFmtId="1" fontId="3" fillId="0" borderId="939" xfId="6" applyNumberFormat="1" applyFont="1" applyBorder="1"/>
    <xf numFmtId="1" fontId="3" fillId="0" borderId="0" xfId="6" applyNumberFormat="1" applyFont="1"/>
    <xf numFmtId="1" fontId="3" fillId="0" borderId="948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left"/>
    </xf>
    <xf numFmtId="1" fontId="3" fillId="0" borderId="947" xfId="0" applyNumberFormat="1" applyFont="1" applyBorder="1" applyAlignment="1">
      <alignment horizontal="left"/>
    </xf>
    <xf numFmtId="1" fontId="3" fillId="7" borderId="953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01" xfId="6" applyNumberFormat="1" applyFont="1" applyFill="1" applyBorder="1" applyAlignment="1">
      <alignment horizontal="center" vertical="center" wrapText="1"/>
    </xf>
    <xf numFmtId="2" fontId="3" fillId="5" borderId="90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01" xfId="0" applyNumberFormat="1" applyFont="1" applyBorder="1"/>
    <xf numFmtId="2" fontId="3" fillId="0" borderId="909" xfId="0" applyNumberFormat="1" applyFont="1" applyBorder="1"/>
    <xf numFmtId="2" fontId="3" fillId="0" borderId="900" xfId="0" applyNumberFormat="1" applyFont="1" applyBorder="1"/>
    <xf numFmtId="2" fontId="3" fillId="0" borderId="949" xfId="0" applyNumberFormat="1" applyFont="1" applyBorder="1"/>
    <xf numFmtId="1" fontId="3" fillId="0" borderId="885" xfId="6" applyNumberFormat="1" applyFont="1" applyBorder="1" applyAlignment="1">
      <alignment horizontal="left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47" xfId="0" applyFont="1" applyBorder="1"/>
    <xf numFmtId="0" fontId="2" fillId="0" borderId="20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899" xfId="6" applyNumberFormat="1" applyFont="1" applyFill="1" applyBorder="1" applyAlignment="1">
      <alignment horizontal="center" vertical="center" wrapText="1"/>
    </xf>
    <xf numFmtId="1" fontId="3" fillId="5" borderId="909" xfId="6" applyNumberFormat="1" applyFont="1" applyFill="1" applyBorder="1" applyAlignment="1">
      <alignment horizontal="center" vertical="center" wrapText="1"/>
    </xf>
    <xf numFmtId="1" fontId="3" fillId="5" borderId="898" xfId="6" applyNumberFormat="1" applyFont="1" applyFill="1" applyBorder="1" applyAlignment="1">
      <alignment horizontal="center" vertical="center" wrapText="1"/>
    </xf>
    <xf numFmtId="1" fontId="3" fillId="0" borderId="231" xfId="6" applyNumberFormat="1" applyFont="1" applyBorder="1" applyAlignment="1">
      <alignment wrapText="1"/>
    </xf>
    <xf numFmtId="1" fontId="3" fillId="4" borderId="203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3" xfId="6" applyNumberFormat="1" applyFont="1" applyFill="1" applyBorder="1" applyProtection="1">
      <protection locked="0"/>
    </xf>
    <xf numFmtId="1" fontId="3" fillId="4" borderId="955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01" xfId="6" applyNumberFormat="1" applyFont="1" applyFill="1" applyBorder="1" applyAlignment="1">
      <alignment horizontal="center" wrapText="1"/>
    </xf>
    <xf numFmtId="1" fontId="3" fillId="5" borderId="899" xfId="6" applyNumberFormat="1" applyFont="1" applyFill="1" applyBorder="1" applyAlignment="1">
      <alignment horizontal="right"/>
    </xf>
    <xf numFmtId="1" fontId="3" fillId="5" borderId="898" xfId="6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7" xfId="6" applyNumberFormat="1" applyFont="1" applyFill="1" applyBorder="1" applyProtection="1">
      <protection locked="0"/>
    </xf>
    <xf numFmtId="1" fontId="3" fillId="4" borderId="206" xfId="6" applyNumberFormat="1" applyFont="1" applyFill="1" applyBorder="1" applyProtection="1">
      <protection locked="0"/>
    </xf>
    <xf numFmtId="1" fontId="3" fillId="4" borderId="208" xfId="6" applyNumberFormat="1" applyFont="1" applyFill="1" applyBorder="1" applyProtection="1">
      <protection locked="0"/>
    </xf>
    <xf numFmtId="1" fontId="3" fillId="4" borderId="313" xfId="6" applyNumberFormat="1" applyFont="1" applyFill="1" applyBorder="1" applyProtection="1">
      <protection locked="0"/>
    </xf>
    <xf numFmtId="1" fontId="3" fillId="6" borderId="335" xfId="6" applyNumberFormat="1" applyFont="1" applyFill="1" applyBorder="1"/>
    <xf numFmtId="1" fontId="3" fillId="6" borderId="134" xfId="6" applyNumberFormat="1" applyFont="1" applyFill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6" borderId="960" xfId="6" applyNumberFormat="1" applyFont="1" applyFill="1" applyBorder="1"/>
    <xf numFmtId="1" fontId="3" fillId="4" borderId="961" xfId="6" applyNumberFormat="1" applyFont="1" applyFill="1" applyBorder="1" applyProtection="1">
      <protection locked="0"/>
    </xf>
    <xf numFmtId="1" fontId="3" fillId="5" borderId="896" xfId="6" applyNumberFormat="1" applyFont="1" applyFill="1" applyBorder="1" applyAlignment="1">
      <alignment horizontal="right"/>
    </xf>
    <xf numFmtId="1" fontId="3" fillId="5" borderId="898" xfId="6" applyNumberFormat="1" applyFont="1" applyFill="1" applyBorder="1" applyAlignment="1">
      <alignment horizontal="center"/>
    </xf>
    <xf numFmtId="1" fontId="3" fillId="5" borderId="209" xfId="6" applyNumberFormat="1" applyFont="1" applyFill="1" applyBorder="1"/>
    <xf numFmtId="1" fontId="3" fillId="5" borderId="916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4" xfId="0" applyNumberFormat="1" applyFont="1" applyFill="1" applyBorder="1" applyAlignment="1">
      <alignment horizontal="left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vertical="center" wrapText="1"/>
      <protection locked="0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898" xfId="0" applyNumberFormat="1" applyFont="1" applyFill="1" applyBorder="1" applyAlignment="1" applyProtection="1">
      <alignment vertical="center" wrapText="1"/>
      <protection locked="0"/>
    </xf>
    <xf numFmtId="1" fontId="3" fillId="4" borderId="903" xfId="0" applyNumberFormat="1" applyFont="1" applyFill="1" applyBorder="1" applyAlignment="1" applyProtection="1">
      <alignment vertical="center" wrapText="1"/>
      <protection locked="0"/>
    </xf>
    <xf numFmtId="1" fontId="3" fillId="4" borderId="685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4" borderId="254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968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left" vertical="center"/>
    </xf>
    <xf numFmtId="1" fontId="3" fillId="5" borderId="885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55" xfId="0" applyNumberFormat="1" applyFont="1" applyFill="1" applyBorder="1" applyAlignment="1">
      <alignment vertical="center"/>
    </xf>
    <xf numFmtId="1" fontId="3" fillId="5" borderId="352" xfId="0" applyNumberFormat="1" applyFont="1" applyFill="1" applyBorder="1" applyAlignment="1">
      <alignment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left" vertical="center"/>
    </xf>
    <xf numFmtId="1" fontId="6" fillId="5" borderId="251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52" xfId="0" applyNumberFormat="1" applyFont="1" applyFill="1" applyBorder="1"/>
    <xf numFmtId="1" fontId="3" fillId="6" borderId="972" xfId="0" applyNumberFormat="1" applyFont="1" applyFill="1" applyBorder="1"/>
    <xf numFmtId="1" fontId="3" fillId="5" borderId="955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00" xfId="0" applyNumberFormat="1" applyFont="1" applyFill="1" applyBorder="1"/>
    <xf numFmtId="1" fontId="3" fillId="4" borderId="900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84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6" fillId="4" borderId="899" xfId="0" applyNumberFormat="1" applyFont="1" applyFill="1" applyBorder="1" applyProtection="1">
      <protection locked="0"/>
    </xf>
    <xf numFmtId="1" fontId="6" fillId="4" borderId="898" xfId="0" applyNumberFormat="1" applyFont="1" applyFill="1" applyBorder="1" applyProtection="1">
      <protection locked="0"/>
    </xf>
    <xf numFmtId="1" fontId="6" fillId="4" borderId="900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horizontal="right" vertical="center"/>
    </xf>
    <xf numFmtId="1" fontId="3" fillId="8" borderId="903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02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5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8" borderId="955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8" borderId="254" xfId="0" applyNumberFormat="1" applyFont="1" applyFill="1" applyBorder="1" applyProtection="1">
      <protection locked="0"/>
    </xf>
    <xf numFmtId="1" fontId="3" fillId="8" borderId="907" xfId="0" applyNumberFormat="1" applyFont="1" applyFill="1" applyBorder="1" applyProtection="1">
      <protection locked="0"/>
    </xf>
    <xf numFmtId="1" fontId="3" fillId="8" borderId="258" xfId="0" applyNumberFormat="1" applyFont="1" applyFill="1" applyBorder="1" applyProtection="1">
      <protection locked="0"/>
    </xf>
    <xf numFmtId="1" fontId="3" fillId="8" borderId="755" xfId="0" applyNumberFormat="1" applyFont="1" applyFill="1" applyBorder="1" applyProtection="1">
      <protection locked="0"/>
    </xf>
    <xf numFmtId="1" fontId="3" fillId="5" borderId="885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 applyAlignment="1">
      <alignment horizontal="left" wrapText="1"/>
    </xf>
    <xf numFmtId="1" fontId="3" fillId="5" borderId="943" xfId="0" applyNumberFormat="1" applyFont="1" applyFill="1" applyBorder="1"/>
    <xf numFmtId="1" fontId="3" fillId="5" borderId="984" xfId="0" applyNumberFormat="1" applyFont="1" applyFill="1" applyBorder="1"/>
    <xf numFmtId="1" fontId="2" fillId="3" borderId="895" xfId="0" applyNumberFormat="1" applyFont="1" applyFill="1" applyBorder="1"/>
    <xf numFmtId="0" fontId="3" fillId="0" borderId="910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 wrapText="1"/>
    </xf>
    <xf numFmtId="1" fontId="3" fillId="6" borderId="714" xfId="0" applyNumberFormat="1" applyFont="1" applyFill="1" applyBorder="1"/>
    <xf numFmtId="1" fontId="3" fillId="6" borderId="985" xfId="0" applyNumberFormat="1" applyFont="1" applyFill="1" applyBorder="1"/>
    <xf numFmtId="1" fontId="3" fillId="6" borderId="885" xfId="0" applyNumberFormat="1" applyFont="1" applyFill="1" applyBorder="1"/>
    <xf numFmtId="1" fontId="3" fillId="0" borderId="986" xfId="0" applyNumberFormat="1" applyFont="1" applyBorder="1"/>
    <xf numFmtId="1" fontId="3" fillId="5" borderId="901" xfId="0" applyNumberFormat="1" applyFont="1" applyFill="1" applyBorder="1" applyAlignment="1">
      <alignment vertical="center"/>
    </xf>
    <xf numFmtId="1" fontId="3" fillId="8" borderId="885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8" borderId="988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0" fontId="3" fillId="0" borderId="984" xfId="0" applyFont="1" applyBorder="1"/>
    <xf numFmtId="1" fontId="3" fillId="0" borderId="901" xfId="0" applyNumberFormat="1" applyFont="1" applyBorder="1" applyAlignment="1">
      <alignment vertical="center"/>
    </xf>
    <xf numFmtId="1" fontId="3" fillId="7" borderId="911" xfId="0" applyNumberFormat="1" applyFont="1" applyFill="1" applyBorder="1"/>
    <xf numFmtId="1" fontId="3" fillId="7" borderId="250" xfId="0" applyNumberFormat="1" applyFont="1" applyFill="1" applyBorder="1"/>
    <xf numFmtId="1" fontId="3" fillId="0" borderId="236" xfId="0" applyNumberFormat="1" applyFont="1" applyBorder="1" applyAlignment="1">
      <alignment horizontal="left" wrapText="1"/>
    </xf>
    <xf numFmtId="1" fontId="3" fillId="0" borderId="973" xfId="0" applyNumberFormat="1" applyFont="1" applyBorder="1" applyAlignment="1">
      <alignment horizontal="right" wrapText="1"/>
    </xf>
    <xf numFmtId="1" fontId="3" fillId="0" borderId="952" xfId="0" applyNumberFormat="1" applyFont="1" applyBorder="1" applyAlignment="1">
      <alignment horizontal="right" wrapText="1"/>
    </xf>
    <xf numFmtId="1" fontId="3" fillId="4" borderId="986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wrapText="1"/>
    </xf>
    <xf numFmtId="1" fontId="3" fillId="5" borderId="901" xfId="14" applyNumberFormat="1" applyFont="1" applyFill="1" applyBorder="1" applyAlignment="1">
      <alignment horizontal="center" wrapText="1"/>
    </xf>
    <xf numFmtId="1" fontId="3" fillId="5" borderId="901" xfId="17" applyNumberFormat="1" applyFont="1" applyFill="1" applyBorder="1" applyAlignment="1">
      <alignment horizontal="center" vertical="center" wrapText="1"/>
    </xf>
    <xf numFmtId="1" fontId="3" fillId="5" borderId="899" xfId="14" applyNumberFormat="1" applyFont="1" applyFill="1" applyBorder="1" applyAlignment="1">
      <alignment horizontal="center" vertical="center" wrapText="1"/>
    </xf>
    <xf numFmtId="1" fontId="3" fillId="5" borderId="898" xfId="14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right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5" borderId="901" xfId="14" applyNumberFormat="1" applyFont="1" applyFill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horizontal="right"/>
    </xf>
    <xf numFmtId="1" fontId="3" fillId="5" borderId="984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81" xfId="17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Protection="1">
      <protection locked="0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5" xfId="0" applyNumberFormat="1" applyFont="1" applyBorder="1"/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1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6" borderId="352" xfId="0" applyNumberFormat="1" applyFont="1" applyFill="1" applyBorder="1" applyAlignment="1">
      <alignment horizontal="left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885" xfId="0" applyNumberFormat="1" applyFont="1" applyFill="1" applyBorder="1" applyAlignment="1" applyProtection="1">
      <alignment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1" xfId="14" applyNumberFormat="1" applyFont="1" applyFill="1" applyBorder="1"/>
    <xf numFmtId="1" fontId="3" fillId="3" borderId="881" xfId="0" applyNumberFormat="1" applyFont="1" applyFill="1" applyBorder="1" applyAlignment="1">
      <alignment horizontal="right" vertical="center" wrapText="1"/>
    </xf>
    <xf numFmtId="1" fontId="3" fillId="4" borderId="9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3" borderId="943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4" borderId="902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6" borderId="902" xfId="0" applyNumberFormat="1" applyFont="1" applyFill="1" applyBorder="1"/>
    <xf numFmtId="1" fontId="3" fillId="0" borderId="919" xfId="0" applyNumberFormat="1" applyFont="1" applyBorder="1"/>
    <xf numFmtId="1" fontId="6" fillId="4" borderId="885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vertical="center" wrapText="1"/>
    </xf>
    <xf numFmtId="1" fontId="6" fillId="4" borderId="947" xfId="0" applyNumberFormat="1" applyFont="1" applyFill="1" applyBorder="1" applyAlignment="1" applyProtection="1">
      <alignment wrapText="1"/>
      <protection locked="0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/>
    <xf numFmtId="1" fontId="3" fillId="3" borderId="755" xfId="0" applyNumberFormat="1" applyFont="1" applyFill="1" applyBorder="1"/>
    <xf numFmtId="1" fontId="3" fillId="0" borderId="984" xfId="0" applyNumberFormat="1" applyFont="1" applyBorder="1" applyAlignment="1">
      <alignment wrapText="1"/>
    </xf>
    <xf numFmtId="1" fontId="4" fillId="3" borderId="898" xfId="0" applyNumberFormat="1" applyFont="1" applyFill="1" applyBorder="1"/>
    <xf numFmtId="1" fontId="3" fillId="3" borderId="901" xfId="0" applyNumberFormat="1" applyFont="1" applyFill="1" applyBorder="1"/>
    <xf numFmtId="1" fontId="3" fillId="3" borderId="899" xfId="0" applyNumberFormat="1" applyFont="1" applyFill="1" applyBorder="1"/>
    <xf numFmtId="1" fontId="3" fillId="3" borderId="900" xfId="0" applyNumberFormat="1" applyFont="1" applyFill="1" applyBorder="1"/>
    <xf numFmtId="1" fontId="3" fillId="3" borderId="898" xfId="0" applyNumberFormat="1" applyFont="1" applyFill="1" applyBorder="1"/>
    <xf numFmtId="0" fontId="3" fillId="0" borderId="901" xfId="0" applyFont="1" applyBorder="1" applyAlignment="1">
      <alignment horizontal="center"/>
    </xf>
    <xf numFmtId="0" fontId="3" fillId="0" borderId="894" xfId="0" applyFont="1" applyBorder="1" applyAlignment="1">
      <alignment horizontal="center"/>
    </xf>
    <xf numFmtId="0" fontId="3" fillId="0" borderId="984" xfId="0" applyFont="1" applyBorder="1" applyAlignment="1">
      <alignment vertical="center"/>
    </xf>
    <xf numFmtId="0" fontId="3" fillId="0" borderId="901" xfId="0" applyFont="1" applyBorder="1" applyAlignment="1">
      <alignment horizontal="center" vertical="center"/>
    </xf>
    <xf numFmtId="0" fontId="3" fillId="0" borderId="885" xfId="0" applyFont="1" applyBorder="1"/>
    <xf numFmtId="0" fontId="3" fillId="0" borderId="943" xfId="0" applyFont="1" applyBorder="1"/>
    <xf numFmtId="0" fontId="3" fillId="0" borderId="943" xfId="0" applyFont="1" applyBorder="1" applyAlignment="1">
      <alignment horizontal="left" vertical="center"/>
    </xf>
    <xf numFmtId="0" fontId="3" fillId="0" borderId="301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5" borderId="254" xfId="0" applyNumberFormat="1" applyFont="1" applyFill="1" applyBorder="1" applyAlignment="1">
      <alignment wrapText="1"/>
    </xf>
    <xf numFmtId="1" fontId="3" fillId="5" borderId="755" xfId="0" applyNumberFormat="1" applyFont="1" applyFill="1" applyBorder="1" applyAlignment="1">
      <alignment wrapText="1"/>
    </xf>
    <xf numFmtId="1" fontId="3" fillId="5" borderId="275" xfId="0" applyNumberFormat="1" applyFont="1" applyFill="1" applyBorder="1" applyAlignment="1">
      <alignment wrapText="1"/>
    </xf>
    <xf numFmtId="0" fontId="3" fillId="0" borderId="900" xfId="0" applyFont="1" applyBorder="1" applyAlignment="1">
      <alignment horizontal="center" vertical="center" wrapText="1"/>
    </xf>
    <xf numFmtId="0" fontId="3" fillId="0" borderId="301" xfId="0" applyFont="1" applyBorder="1"/>
    <xf numFmtId="1" fontId="3" fillId="4" borderId="943" xfId="0" applyNumberFormat="1" applyFont="1" applyFill="1" applyBorder="1" applyAlignment="1" applyProtection="1">
      <alignment wrapText="1"/>
      <protection locked="0"/>
    </xf>
    <xf numFmtId="0" fontId="3" fillId="0" borderId="967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left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181" xfId="0" applyNumberFormat="1" applyFont="1" applyBorder="1"/>
    <xf numFmtId="1" fontId="3" fillId="0" borderId="231" xfId="0" quotePrefix="1" applyNumberFormat="1" applyFont="1" applyBorder="1"/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0" borderId="1137" xfId="0" quotePrefix="1" applyNumberFormat="1" applyFont="1" applyBorder="1"/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0" fontId="3" fillId="0" borderId="277" xfId="0" applyFont="1" applyBorder="1"/>
    <xf numFmtId="1" fontId="3" fillId="7" borderId="956" xfId="0" applyNumberFormat="1" applyFont="1" applyFill="1" applyBorder="1"/>
    <xf numFmtId="1" fontId="3" fillId="7" borderId="883" xfId="0" applyNumberFormat="1" applyFont="1" applyFill="1" applyBorder="1"/>
    <xf numFmtId="1" fontId="3" fillId="7" borderId="882" xfId="0" applyNumberFormat="1" applyFont="1" applyFill="1" applyBorder="1"/>
    <xf numFmtId="1" fontId="3" fillId="7" borderId="992" xfId="0" applyNumberFormat="1" applyFont="1" applyFill="1" applyBorder="1"/>
    <xf numFmtId="1" fontId="3" fillId="8" borderId="978" xfId="0" applyNumberFormat="1" applyFont="1" applyFill="1" applyBorder="1" applyProtection="1">
      <protection locked="0"/>
    </xf>
    <xf numFmtId="1" fontId="3" fillId="7" borderId="965" xfId="0" applyNumberFormat="1" applyFont="1" applyFill="1" applyBorder="1"/>
    <xf numFmtId="1" fontId="3" fillId="7" borderId="962" xfId="0" applyNumberFormat="1" applyFont="1" applyFill="1" applyBorder="1"/>
    <xf numFmtId="1" fontId="3" fillId="8" borderId="911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70" xfId="0" applyNumberFormat="1" applyFont="1" applyFill="1" applyBorder="1"/>
    <xf numFmtId="1" fontId="3" fillId="8" borderId="945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8" borderId="250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66" xfId="0" applyNumberFormat="1" applyFont="1" applyFill="1" applyBorder="1"/>
    <xf numFmtId="1" fontId="3" fillId="7" borderId="973" xfId="0" applyNumberFormat="1" applyFont="1" applyFill="1" applyBorder="1"/>
    <xf numFmtId="1" fontId="3" fillId="7" borderId="952" xfId="0" applyNumberFormat="1" applyFont="1" applyFill="1" applyBorder="1"/>
    <xf numFmtId="1" fontId="3" fillId="7" borderId="974" xfId="0" applyNumberFormat="1" applyFont="1" applyFill="1" applyBorder="1"/>
    <xf numFmtId="1" fontId="3" fillId="6" borderId="946" xfId="0" applyNumberFormat="1" applyFont="1" applyFill="1" applyBorder="1"/>
    <xf numFmtId="1" fontId="3" fillId="7" borderId="254" xfId="0" applyNumberFormat="1" applyFont="1" applyFill="1" applyBorder="1"/>
    <xf numFmtId="1" fontId="3" fillId="0" borderId="893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51" xfId="0" applyNumberFormat="1" applyFont="1" applyFill="1" applyBorder="1"/>
    <xf numFmtId="1" fontId="3" fillId="7" borderId="945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7" borderId="954" xfId="0" applyNumberFormat="1" applyFont="1" applyFill="1" applyBorder="1"/>
    <xf numFmtId="1" fontId="3" fillId="7" borderId="946" xfId="0" applyNumberFormat="1" applyFont="1" applyFill="1" applyBorder="1"/>
    <xf numFmtId="1" fontId="3" fillId="7" borderId="975" xfId="0" applyNumberFormat="1" applyFont="1" applyFill="1" applyBorder="1"/>
    <xf numFmtId="1" fontId="3" fillId="8" borderId="962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0" borderId="943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885" xfId="0" applyNumberFormat="1" applyFont="1" applyFill="1" applyBorder="1" applyAlignment="1">
      <alignment horizontal="left" vertical="top" wrapText="1"/>
    </xf>
    <xf numFmtId="1" fontId="3" fillId="3" borderId="943" xfId="0" applyNumberFormat="1" applyFont="1" applyFill="1" applyBorder="1" applyAlignment="1">
      <alignment horizontal="left" wrapText="1"/>
    </xf>
    <xf numFmtId="1" fontId="3" fillId="3" borderId="943" xfId="0" applyNumberFormat="1" applyFont="1" applyFill="1" applyBorder="1" applyAlignment="1">
      <alignment horizontal="left" vertical="top" wrapText="1"/>
    </xf>
    <xf numFmtId="1" fontId="3" fillId="3" borderId="231" xfId="0" applyNumberFormat="1" applyFont="1" applyFill="1" applyBorder="1" applyAlignment="1">
      <alignment horizontal="left" vertical="top" wrapText="1"/>
    </xf>
    <xf numFmtId="1" fontId="3" fillId="7" borderId="950" xfId="0" applyNumberFormat="1" applyFont="1" applyFill="1" applyBorder="1"/>
    <xf numFmtId="1" fontId="3" fillId="0" borderId="948" xfId="0" applyNumberFormat="1" applyFont="1" applyBorder="1"/>
    <xf numFmtId="1" fontId="6" fillId="3" borderId="251" xfId="0" applyNumberFormat="1" applyFont="1" applyFill="1" applyBorder="1"/>
    <xf numFmtId="1" fontId="3" fillId="4" borderId="99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3" borderId="1085" xfId="0" applyNumberFormat="1" applyFont="1" applyFill="1" applyBorder="1" applyAlignment="1">
      <alignment vertical="center" wrapText="1"/>
    </xf>
    <xf numFmtId="1" fontId="3" fillId="0" borderId="474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3" borderId="1138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/>
    <xf numFmtId="1" fontId="3" fillId="4" borderId="983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left" wrapText="1"/>
    </xf>
    <xf numFmtId="1" fontId="3" fillId="4" borderId="1180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02" xfId="0" applyNumberFormat="1" applyFont="1" applyBorder="1"/>
    <xf numFmtId="1" fontId="6" fillId="4" borderId="301" xfId="0" applyNumberFormat="1" applyFont="1" applyFill="1" applyBorder="1" applyProtection="1">
      <protection locked="0"/>
    </xf>
    <xf numFmtId="1" fontId="6" fillId="4" borderId="947" xfId="0" applyNumberFormat="1" applyFont="1" applyFill="1" applyBorder="1" applyProtection="1">
      <protection locked="0"/>
    </xf>
    <xf numFmtId="1" fontId="27" fillId="3" borderId="895" xfId="0" applyNumberFormat="1" applyFont="1" applyFill="1" applyBorder="1"/>
    <xf numFmtId="1" fontId="39" fillId="3" borderId="895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7" xfId="0" applyNumberFormat="1" applyFont="1" applyFill="1" applyBorder="1" applyAlignment="1">
      <alignment vertical="center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5" borderId="984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10" xfId="0" applyNumberFormat="1" applyFont="1" applyFill="1" applyBorder="1" applyAlignment="1" applyProtection="1">
      <alignment vertical="center"/>
      <protection locked="0"/>
    </xf>
    <xf numFmtId="1" fontId="3" fillId="0" borderId="895" xfId="0" applyNumberFormat="1" applyFont="1" applyBorder="1" applyAlignment="1">
      <alignment vertical="center"/>
    </xf>
    <xf numFmtId="1" fontId="3" fillId="0" borderId="896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vertical="center"/>
    </xf>
    <xf numFmtId="1" fontId="3" fillId="5" borderId="301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horizontal="center" vertical="center"/>
    </xf>
    <xf numFmtId="1" fontId="3" fillId="5" borderId="902" xfId="0" applyNumberFormat="1" applyFont="1" applyFill="1" applyBorder="1" applyAlignment="1">
      <alignment vertical="center"/>
    </xf>
    <xf numFmtId="1" fontId="3" fillId="5" borderId="352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65" xfId="0" applyNumberFormat="1" applyFont="1" applyFill="1" applyBorder="1"/>
    <xf numFmtId="1" fontId="3" fillId="4" borderId="916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0" fillId="3" borderId="277" xfId="0" applyNumberFormat="1" applyFill="1" applyBorder="1"/>
    <xf numFmtId="1" fontId="27" fillId="3" borderId="251" xfId="0" applyNumberFormat="1" applyFont="1" applyFill="1" applyBorder="1"/>
    <xf numFmtId="1" fontId="3" fillId="3" borderId="885" xfId="0" applyNumberFormat="1" applyFont="1" applyFill="1" applyBorder="1"/>
    <xf numFmtId="1" fontId="3" fillId="3" borderId="984" xfId="0" applyNumberFormat="1" applyFont="1" applyFill="1" applyBorder="1" applyAlignment="1">
      <alignment vertical="center"/>
    </xf>
    <xf numFmtId="1" fontId="3" fillId="3" borderId="984" xfId="0" applyNumberFormat="1" applyFont="1" applyFill="1" applyBorder="1"/>
    <xf numFmtId="0" fontId="4" fillId="6" borderId="987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5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6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49" xfId="2" applyNumberFormat="1" applyFont="1" applyBorder="1" applyAlignment="1">
      <alignment vertical="center"/>
    </xf>
    <xf numFmtId="1" fontId="3" fillId="0" borderId="350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896" xfId="0" applyNumberFormat="1" applyFont="1" applyBorder="1"/>
    <xf numFmtId="1" fontId="3" fillId="0" borderId="983" xfId="0" applyNumberFormat="1" applyFont="1" applyBorder="1"/>
    <xf numFmtId="1" fontId="27" fillId="3" borderId="999" xfId="0" applyNumberFormat="1" applyFont="1" applyFill="1" applyBorder="1"/>
    <xf numFmtId="1" fontId="3" fillId="3" borderId="1000" xfId="0" applyNumberFormat="1" applyFont="1" applyFill="1" applyBorder="1"/>
    <xf numFmtId="1" fontId="3" fillId="3" borderId="1006" xfId="1" applyNumberFormat="1" applyFont="1" applyFill="1" applyBorder="1" applyAlignment="1">
      <alignment horizontal="right"/>
    </xf>
    <xf numFmtId="1" fontId="3" fillId="3" borderId="945" xfId="1" applyNumberFormat="1" applyFont="1" applyFill="1" applyBorder="1" applyAlignment="1">
      <alignment horizontal="right"/>
    </xf>
    <xf numFmtId="1" fontId="3" fillId="3" borderId="955" xfId="1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left"/>
    </xf>
    <xf numFmtId="1" fontId="3" fillId="3" borderId="1007" xfId="1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03" xfId="1" applyNumberFormat="1" applyFont="1" applyFill="1" applyBorder="1" applyAlignment="1">
      <alignment horizontal="right"/>
    </xf>
    <xf numFmtId="1" fontId="3" fillId="3" borderId="911" xfId="1" applyNumberFormat="1" applyFont="1" applyFill="1" applyBorder="1" applyAlignment="1">
      <alignment horizontal="right"/>
    </xf>
    <xf numFmtId="1" fontId="3" fillId="3" borderId="902" xfId="1" applyNumberFormat="1" applyFont="1" applyFill="1" applyBorder="1" applyAlignment="1">
      <alignment horizontal="right"/>
    </xf>
    <xf numFmtId="1" fontId="3" fillId="3" borderId="97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3" borderId="35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01" xfId="0" applyNumberFormat="1" applyFont="1" applyBorder="1"/>
    <xf numFmtId="1" fontId="3" fillId="0" borderId="1004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vertical="center" wrapText="1"/>
    </xf>
    <xf numFmtId="1" fontId="3" fillId="3" borderId="943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1" fontId="3" fillId="0" borderId="951" xfId="0" applyNumberFormat="1" applyFont="1" applyBorder="1"/>
    <xf numFmtId="1" fontId="3" fillId="3" borderId="1013" xfId="0" applyNumberFormat="1" applyFont="1" applyFill="1" applyBorder="1" applyAlignment="1">
      <alignment vertical="center" wrapText="1"/>
    </xf>
    <xf numFmtId="1" fontId="3" fillId="0" borderId="1012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51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55" xfId="0" applyNumberFormat="1" applyFont="1" applyFill="1" applyBorder="1" applyAlignment="1">
      <alignment horizontal="left"/>
    </xf>
    <xf numFmtId="1" fontId="3" fillId="5" borderId="96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left" wrapText="1"/>
    </xf>
    <xf numFmtId="1" fontId="3" fillId="5" borderId="968" xfId="0" applyNumberFormat="1" applyFont="1" applyFill="1" applyBorder="1" applyAlignment="1">
      <alignment horizontal="right" wrapText="1"/>
    </xf>
    <xf numFmtId="1" fontId="3" fillId="5" borderId="968" xfId="0" applyNumberFormat="1" applyFont="1" applyFill="1" applyBorder="1" applyAlignment="1">
      <alignment horizontal="right" vertical="center" wrapText="1"/>
    </xf>
    <xf numFmtId="1" fontId="3" fillId="5" borderId="943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5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left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3" borderId="894" xfId="0" applyNumberFormat="1" applyFont="1" applyFill="1" applyBorder="1" applyAlignment="1">
      <alignment horizontal="center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0" borderId="357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 wrapText="1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5" borderId="947" xfId="0" applyNumberFormat="1" applyFont="1" applyFill="1" applyBorder="1"/>
    <xf numFmtId="1" fontId="3" fillId="3" borderId="1001" xfId="0" applyNumberFormat="1" applyFont="1" applyFill="1" applyBorder="1"/>
    <xf numFmtId="1" fontId="3" fillId="5" borderId="1004" xfId="0" applyNumberFormat="1" applyFont="1" applyFill="1" applyBorder="1"/>
    <xf numFmtId="1" fontId="3" fillId="5" borderId="900" xfId="0" applyNumberFormat="1" applyFont="1" applyFill="1" applyBorder="1"/>
    <xf numFmtId="1" fontId="3" fillId="5" borderId="896" xfId="0" applyNumberFormat="1" applyFont="1" applyFill="1" applyBorder="1"/>
    <xf numFmtId="1" fontId="3" fillId="5" borderId="948" xfId="0" applyNumberFormat="1" applyFont="1" applyFill="1" applyBorder="1"/>
    <xf numFmtId="1" fontId="3" fillId="3" borderId="948" xfId="0" applyNumberFormat="1" applyFont="1" applyFill="1" applyBorder="1"/>
    <xf numFmtId="1" fontId="3" fillId="3" borderId="909" xfId="0" applyNumberFormat="1" applyFont="1" applyFill="1" applyBorder="1"/>
    <xf numFmtId="1" fontId="3" fillId="3" borderId="1004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43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49" xfId="0" applyNumberFormat="1" applyFont="1" applyFill="1" applyBorder="1"/>
    <xf numFmtId="1" fontId="3" fillId="3" borderId="1001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84" xfId="0" applyNumberFormat="1" applyFont="1" applyFill="1" applyBorder="1" applyAlignment="1">
      <alignment vertical="center"/>
    </xf>
    <xf numFmtId="1" fontId="3" fillId="3" borderId="1002" xfId="0" applyNumberFormat="1" applyFont="1" applyFill="1" applyBorder="1" applyAlignment="1">
      <alignment vertical="center"/>
    </xf>
    <xf numFmtId="1" fontId="3" fillId="3" borderId="1003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6" fillId="0" borderId="1016" xfId="0" applyNumberFormat="1" applyFont="1" applyBorder="1" applyProtection="1">
      <protection locked="0"/>
    </xf>
    <xf numFmtId="1" fontId="6" fillId="0" borderId="1017" xfId="0" applyNumberFormat="1" applyFont="1" applyBorder="1" applyAlignment="1">
      <alignment vertical="center"/>
    </xf>
    <xf numFmtId="1" fontId="6" fillId="0" borderId="1016" xfId="0" applyNumberFormat="1" applyFont="1" applyBorder="1"/>
    <xf numFmtId="1" fontId="6" fillId="0" borderId="1018" xfId="0" applyNumberFormat="1" applyFont="1" applyBorder="1"/>
    <xf numFmtId="1" fontId="3" fillId="0" borderId="1001" xfId="0" applyNumberFormat="1" applyFont="1" applyBorder="1" applyAlignment="1">
      <alignment horizontal="left" vertical="center"/>
    </xf>
    <xf numFmtId="1" fontId="6" fillId="0" borderId="1019" xfId="0" applyNumberFormat="1" applyFont="1" applyBorder="1"/>
    <xf numFmtId="1" fontId="6" fillId="0" borderId="1020" xfId="0" applyNumberFormat="1" applyFont="1" applyBorder="1"/>
    <xf numFmtId="1" fontId="6" fillId="0" borderId="1021" xfId="0" applyNumberFormat="1" applyFont="1" applyBorder="1"/>
    <xf numFmtId="1" fontId="3" fillId="3" borderId="1004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 applyAlignment="1">
      <alignment horizontal="left"/>
    </xf>
    <xf numFmtId="1" fontId="3" fillId="0" borderId="1001" xfId="0" applyNumberFormat="1" applyFont="1" applyBorder="1" applyAlignment="1">
      <alignment horizontal="center"/>
    </xf>
    <xf numFmtId="1" fontId="3" fillId="3" borderId="1004" xfId="0" applyNumberFormat="1" applyFont="1" applyFill="1" applyBorder="1" applyAlignment="1">
      <alignment horizontal="right" wrapText="1"/>
    </xf>
    <xf numFmtId="1" fontId="3" fillId="3" borderId="900" xfId="0" applyNumberFormat="1" applyFont="1" applyFill="1" applyBorder="1" applyAlignment="1">
      <alignment horizontal="right" wrapText="1"/>
    </xf>
    <xf numFmtId="1" fontId="3" fillId="3" borderId="895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/>
    <xf numFmtId="1" fontId="3" fillId="3" borderId="1003" xfId="0" applyNumberFormat="1" applyFont="1" applyFill="1" applyBorder="1" applyAlignment="1">
      <alignment horizontal="center" wrapText="1"/>
    </xf>
    <xf numFmtId="1" fontId="3" fillId="5" borderId="1001" xfId="0" applyNumberFormat="1" applyFont="1" applyFill="1" applyBorder="1"/>
    <xf numFmtId="1" fontId="3" fillId="0" borderId="953" xfId="0" applyNumberFormat="1" applyFont="1" applyBorder="1"/>
    <xf numFmtId="1" fontId="3" fillId="0" borderId="952" xfId="0" applyNumberFormat="1" applyFont="1" applyBorder="1"/>
    <xf numFmtId="1" fontId="3" fillId="0" borderId="946" xfId="0" applyNumberFormat="1" applyFont="1" applyBorder="1"/>
    <xf numFmtId="1" fontId="3" fillId="0" borderId="973" xfId="0" applyNumberFormat="1" applyFont="1" applyBorder="1"/>
    <xf numFmtId="1" fontId="3" fillId="5" borderId="732" xfId="0" applyNumberFormat="1" applyFont="1" applyFill="1" applyBorder="1"/>
    <xf numFmtId="1" fontId="3" fillId="3" borderId="943" xfId="0" applyNumberFormat="1" applyFont="1" applyFill="1" applyBorder="1" applyAlignment="1">
      <alignment wrapText="1"/>
    </xf>
    <xf numFmtId="1" fontId="3" fillId="3" borderId="1002" xfId="0" applyNumberFormat="1" applyFont="1" applyFill="1" applyBorder="1" applyAlignment="1">
      <alignment horizontal="center" wrapText="1"/>
    </xf>
    <xf numFmtId="1" fontId="3" fillId="0" borderId="1003" xfId="0" applyNumberFormat="1" applyFont="1" applyBorder="1"/>
    <xf numFmtId="0" fontId="3" fillId="0" borderId="943" xfId="0" applyFont="1" applyBorder="1" applyAlignment="1">
      <alignment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03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885" xfId="0" applyFont="1" applyBorder="1" applyAlignment="1">
      <alignment horizontal="left" vertical="center" wrapText="1"/>
    </xf>
    <xf numFmtId="0" fontId="3" fillId="0" borderId="902" xfId="0" applyFont="1" applyBorder="1" applyAlignment="1">
      <alignment vertical="center"/>
    </xf>
    <xf numFmtId="1" fontId="3" fillId="6" borderId="903" xfId="11" applyNumberFormat="1" applyFont="1" applyFill="1" applyBorder="1"/>
    <xf numFmtId="1" fontId="3" fillId="9" borderId="685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950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02" xfId="11" applyNumberFormat="1" applyFont="1" applyBorder="1" applyProtection="1">
      <protection locked="0"/>
    </xf>
    <xf numFmtId="0" fontId="3" fillId="0" borderId="352" xfId="0" applyFont="1" applyBorder="1" applyAlignment="1">
      <alignment vertical="center"/>
    </xf>
    <xf numFmtId="1" fontId="3" fillId="6" borderId="973" xfId="11" applyNumberFormat="1" applyFont="1" applyFill="1" applyBorder="1"/>
    <xf numFmtId="1" fontId="3" fillId="9" borderId="952" xfId="11" applyNumberFormat="1" applyFont="1" applyBorder="1" applyProtection="1">
      <protection locked="0"/>
    </xf>
    <xf numFmtId="1" fontId="3" fillId="9" borderId="975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357" xfId="11" applyNumberFormat="1" applyFont="1" applyBorder="1" applyProtection="1">
      <protection locked="0"/>
    </xf>
    <xf numFmtId="1" fontId="3" fillId="9" borderId="352" xfId="11" applyNumberFormat="1" applyFont="1" applyBorder="1" applyProtection="1">
      <protection locked="0"/>
    </xf>
    <xf numFmtId="1" fontId="3" fillId="9" borderId="903" xfId="11" applyNumberFormat="1" applyFont="1" applyBorder="1" applyProtection="1">
      <protection locked="0"/>
    </xf>
    <xf numFmtId="1" fontId="3" fillId="9" borderId="973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10" xfId="0" applyNumberFormat="1" applyFont="1" applyBorder="1" applyAlignment="1">
      <alignment vertical="center" wrapText="1"/>
    </xf>
    <xf numFmtId="1" fontId="3" fillId="0" borderId="975" xfId="0" applyNumberFormat="1" applyFont="1" applyBorder="1"/>
    <xf numFmtId="1" fontId="3" fillId="0" borderId="911" xfId="0" applyNumberFormat="1" applyFont="1" applyBorder="1"/>
    <xf numFmtId="1" fontId="3" fillId="0" borderId="966" xfId="0" applyNumberFormat="1" applyFont="1" applyBorder="1"/>
    <xf numFmtId="1" fontId="3" fillId="36" borderId="950" xfId="0" applyNumberFormat="1" applyFont="1" applyFill="1" applyBorder="1" applyProtection="1">
      <protection locked="0"/>
    </xf>
    <xf numFmtId="1" fontId="3" fillId="36" borderId="703" xfId="0" applyNumberFormat="1" applyFont="1" applyFill="1" applyBorder="1" applyProtection="1">
      <protection locked="0"/>
    </xf>
    <xf numFmtId="1" fontId="3" fillId="36" borderId="911" xfId="0" applyNumberFormat="1" applyFont="1" applyFill="1" applyBorder="1" applyProtection="1">
      <protection locked="0"/>
    </xf>
    <xf numFmtId="1" fontId="3" fillId="36" borderId="903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36" borderId="354" xfId="0" applyNumberFormat="1" applyFont="1" applyFill="1" applyBorder="1" applyProtection="1">
      <protection locked="0"/>
    </xf>
    <xf numFmtId="1" fontId="3" fillId="36" borderId="359" xfId="0" applyNumberFormat="1" applyFont="1" applyFill="1" applyBorder="1" applyProtection="1">
      <protection locked="0"/>
    </xf>
    <xf numFmtId="1" fontId="3" fillId="36" borderId="351" xfId="0" applyNumberFormat="1" applyFont="1" applyFill="1" applyBorder="1" applyProtection="1">
      <protection locked="0"/>
    </xf>
    <xf numFmtId="1" fontId="3" fillId="36" borderId="203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wrapText="1"/>
    </xf>
    <xf numFmtId="1" fontId="3" fillId="0" borderId="945" xfId="0" applyNumberFormat="1" applyFont="1" applyBorder="1"/>
    <xf numFmtId="1" fontId="3" fillId="0" borderId="968" xfId="0" applyNumberFormat="1" applyFont="1" applyBorder="1"/>
    <xf numFmtId="1" fontId="3" fillId="0" borderId="969" xfId="0" applyNumberFormat="1" applyFont="1" applyBorder="1"/>
    <xf numFmtId="1" fontId="3" fillId="36" borderId="971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974" xfId="0" applyNumberFormat="1" applyFont="1" applyBorder="1"/>
    <xf numFmtId="1" fontId="3" fillId="36" borderId="953" xfId="0" applyNumberFormat="1" applyFont="1" applyFill="1" applyBorder="1" applyProtection="1">
      <protection locked="0"/>
    </xf>
    <xf numFmtId="1" fontId="3" fillId="36" borderId="946" xfId="0" applyNumberFormat="1" applyFont="1" applyFill="1" applyBorder="1" applyProtection="1">
      <protection locked="0"/>
    </xf>
    <xf numFmtId="1" fontId="3" fillId="36" borderId="954" xfId="0" applyNumberFormat="1" applyFont="1" applyFill="1" applyBorder="1" applyProtection="1">
      <protection locked="0"/>
    </xf>
    <xf numFmtId="1" fontId="3" fillId="36" borderId="973" xfId="0" applyNumberFormat="1" applyFont="1" applyFill="1" applyBorder="1" applyProtection="1">
      <protection locked="0"/>
    </xf>
    <xf numFmtId="1" fontId="3" fillId="0" borderId="1053" xfId="0" applyNumberFormat="1" applyFont="1" applyBorder="1" applyAlignment="1">
      <alignment vertical="center" wrapText="1"/>
    </xf>
    <xf numFmtId="1" fontId="3" fillId="0" borderId="896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14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01" xfId="8" applyNumberFormat="1" applyFont="1" applyBorder="1" applyAlignment="1" applyProtection="1">
      <alignment vertical="center"/>
    </xf>
    <xf numFmtId="1" fontId="3" fillId="4" borderId="1014" xfId="0" applyNumberFormat="1" applyFont="1" applyFill="1" applyBorder="1" applyProtection="1">
      <protection locked="0"/>
    </xf>
    <xf numFmtId="1" fontId="3" fillId="7" borderId="981" xfId="0" applyNumberFormat="1" applyFont="1" applyFill="1" applyBorder="1"/>
    <xf numFmtId="1" fontId="3" fillId="7" borderId="944" xfId="0" applyNumberFormat="1" applyFont="1" applyFill="1" applyBorder="1"/>
    <xf numFmtId="1" fontId="3" fillId="7" borderId="982" xfId="0" applyNumberFormat="1" applyFont="1" applyFill="1" applyBorder="1"/>
    <xf numFmtId="1" fontId="3" fillId="0" borderId="1013" xfId="0" applyNumberFormat="1" applyFont="1" applyBorder="1"/>
    <xf numFmtId="1" fontId="3" fillId="0" borderId="354" xfId="0" applyNumberFormat="1" applyFont="1" applyBorder="1"/>
    <xf numFmtId="1" fontId="3" fillId="0" borderId="360" xfId="0" applyNumberFormat="1" applyFont="1" applyBorder="1"/>
    <xf numFmtId="1" fontId="3" fillId="36" borderId="1055" xfId="0" applyNumberFormat="1" applyFont="1" applyFill="1" applyBorder="1" applyProtection="1">
      <protection locked="0"/>
    </xf>
    <xf numFmtId="1" fontId="3" fillId="36" borderId="1056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36" borderId="1057" xfId="0" applyNumberFormat="1" applyFont="1" applyFill="1" applyBorder="1" applyProtection="1">
      <protection locked="0"/>
    </xf>
    <xf numFmtId="1" fontId="3" fillId="0" borderId="1056" xfId="0" applyNumberFormat="1" applyFont="1" applyBorder="1" applyAlignment="1">
      <alignment vertical="center" wrapText="1"/>
    </xf>
    <xf numFmtId="1" fontId="3" fillId="3" borderId="896" xfId="0" applyNumberFormat="1" applyFont="1" applyFill="1" applyBorder="1"/>
    <xf numFmtId="1" fontId="3" fillId="0" borderId="1049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894" xfId="0" applyNumberFormat="1" applyFont="1" applyFill="1" applyBorder="1"/>
    <xf numFmtId="1" fontId="3" fillId="5" borderId="949" xfId="0" applyNumberFormat="1" applyFont="1" applyFill="1" applyBorder="1"/>
    <xf numFmtId="1" fontId="3" fillId="5" borderId="909" xfId="0" applyNumberFormat="1" applyFont="1" applyFill="1" applyBorder="1"/>
    <xf numFmtId="1" fontId="3" fillId="0" borderId="1010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0" xfId="0" applyNumberFormat="1" applyFont="1" applyFill="1" applyBorder="1"/>
    <xf numFmtId="1" fontId="3" fillId="44" borderId="968" xfId="0" applyNumberFormat="1" applyFont="1" applyFill="1" applyBorder="1" applyProtection="1">
      <protection locked="0"/>
    </xf>
    <xf numFmtId="1" fontId="3" fillId="44" borderId="955" xfId="0" applyNumberFormat="1" applyFont="1" applyFill="1" applyBorder="1" applyProtection="1">
      <protection locked="0"/>
    </xf>
    <xf numFmtId="1" fontId="3" fillId="47" borderId="968" xfId="0" applyNumberFormat="1" applyFont="1" applyFill="1" applyBorder="1" applyProtection="1">
      <protection locked="0"/>
    </xf>
    <xf numFmtId="1" fontId="3" fillId="44" borderId="275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55" xfId="0" applyNumberFormat="1" applyFont="1" applyFill="1" applyBorder="1" applyProtection="1">
      <protection locked="0"/>
    </xf>
    <xf numFmtId="1" fontId="3" fillId="44" borderId="755" xfId="0" applyNumberFormat="1" applyFont="1" applyFill="1" applyBorder="1" applyProtection="1">
      <protection locked="0"/>
    </xf>
    <xf numFmtId="1" fontId="3" fillId="44" borderId="254" xfId="0" applyNumberFormat="1" applyFont="1" applyFill="1" applyBorder="1" applyProtection="1">
      <protection locked="0"/>
    </xf>
    <xf numFmtId="1" fontId="3" fillId="47" borderId="254" xfId="0" applyNumberFormat="1" applyFont="1" applyFill="1" applyBorder="1" applyProtection="1">
      <protection locked="0"/>
    </xf>
    <xf numFmtId="1" fontId="3" fillId="47" borderId="755" xfId="0" applyNumberFormat="1" applyFont="1" applyFill="1" applyBorder="1" applyProtection="1">
      <protection locked="0"/>
    </xf>
    <xf numFmtId="1" fontId="3" fillId="5" borderId="1049" xfId="0" applyNumberFormat="1" applyFont="1" applyFill="1" applyBorder="1"/>
    <xf numFmtId="1" fontId="3" fillId="5" borderId="903" xfId="0" applyNumberFormat="1" applyFont="1" applyFill="1" applyBorder="1"/>
    <xf numFmtId="1" fontId="3" fillId="5" borderId="703" xfId="0" applyNumberFormat="1" applyFont="1" applyFill="1" applyBorder="1"/>
    <xf numFmtId="1" fontId="3" fillId="5" borderId="968" xfId="0" applyNumberFormat="1" applyFont="1" applyFill="1" applyBorder="1"/>
    <xf numFmtId="1" fontId="3" fillId="5" borderId="951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73" xfId="0" applyNumberFormat="1" applyFont="1" applyFill="1" applyBorder="1"/>
    <xf numFmtId="1" fontId="3" fillId="5" borderId="946" xfId="0" applyNumberFormat="1" applyFont="1" applyFill="1" applyBorder="1"/>
    <xf numFmtId="1" fontId="3" fillId="36" borderId="977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0" borderId="1001" xfId="8" applyNumberFormat="1" applyFont="1" applyBorder="1" applyAlignment="1" applyProtection="1">
      <alignment horizontal="center" vertical="center"/>
    </xf>
    <xf numFmtId="1" fontId="3" fillId="0" borderId="1053" xfId="0" applyNumberFormat="1" applyFont="1" applyBorder="1"/>
    <xf numFmtId="1" fontId="3" fillId="6" borderId="967" xfId="0" applyNumberFormat="1" applyFont="1" applyFill="1" applyBorder="1"/>
    <xf numFmtId="1" fontId="3" fillId="6" borderId="958" xfId="0" applyNumberFormat="1" applyFont="1" applyFill="1" applyBorder="1"/>
    <xf numFmtId="1" fontId="3" fillId="6" borderId="299" xfId="0" applyNumberFormat="1" applyFont="1" applyFill="1" applyBorder="1"/>
    <xf numFmtId="1" fontId="3" fillId="0" borderId="1057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09" xfId="0" applyNumberFormat="1" applyFont="1" applyBorder="1" applyAlignment="1">
      <alignment horizontal="right" vertical="center"/>
    </xf>
    <xf numFmtId="1" fontId="3" fillId="0" borderId="885" xfId="34" applyNumberFormat="1" applyFont="1" applyBorder="1" applyAlignment="1">
      <alignment horizontal="left" vertical="center" wrapText="1"/>
    </xf>
    <xf numFmtId="1" fontId="3" fillId="0" borderId="943" xfId="34" applyNumberFormat="1" applyFont="1" applyBorder="1" applyAlignment="1">
      <alignment horizontal="left" vertical="center" wrapText="1"/>
    </xf>
    <xf numFmtId="1" fontId="3" fillId="36" borderId="254" xfId="0" applyNumberFormat="1" applyFont="1" applyFill="1" applyBorder="1" applyProtection="1">
      <protection locked="0"/>
    </xf>
    <xf numFmtId="1" fontId="3" fillId="36" borderId="256" xfId="0" applyNumberFormat="1" applyFont="1" applyFill="1" applyBorder="1" applyProtection="1">
      <protection locked="0"/>
    </xf>
    <xf numFmtId="1" fontId="2" fillId="0" borderId="1001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53" xfId="0" applyNumberFormat="1" applyFont="1" applyBorder="1" applyAlignment="1">
      <alignment vertical="center"/>
    </xf>
    <xf numFmtId="1" fontId="3" fillId="0" borderId="1001" xfId="0" applyNumberFormat="1" applyFont="1" applyBorder="1" applyAlignment="1">
      <alignment vertical="center"/>
    </xf>
    <xf numFmtId="1" fontId="2" fillId="3" borderId="1010" xfId="0" applyNumberFormat="1" applyFont="1" applyFill="1" applyBorder="1" applyAlignment="1">
      <alignment horizontal="left"/>
    </xf>
    <xf numFmtId="1" fontId="2" fillId="3" borderId="1011" xfId="0" applyNumberFormat="1" applyFont="1" applyFill="1" applyBorder="1" applyAlignment="1">
      <alignment horizontal="left"/>
    </xf>
    <xf numFmtId="1" fontId="7" fillId="3" borderId="1011" xfId="0" applyNumberFormat="1" applyFont="1" applyFill="1" applyBorder="1" applyAlignment="1">
      <alignment vertical="center"/>
    </xf>
    <xf numFmtId="1" fontId="7" fillId="3" borderId="1012" xfId="0" applyNumberFormat="1" applyFont="1" applyFill="1" applyBorder="1" applyAlignment="1">
      <alignment vertical="center"/>
    </xf>
    <xf numFmtId="1" fontId="3" fillId="3" borderId="298" xfId="0" applyNumberFormat="1" applyFont="1" applyFill="1" applyBorder="1"/>
    <xf numFmtId="1" fontId="3" fillId="6" borderId="254" xfId="0" applyNumberFormat="1" applyFont="1" applyFill="1" applyBorder="1"/>
    <xf numFmtId="1" fontId="3" fillId="6" borderId="256" xfId="0" applyNumberFormat="1" applyFont="1" applyFill="1" applyBorder="1"/>
    <xf numFmtId="1" fontId="3" fillId="6" borderId="1013" xfId="0" applyNumberFormat="1" applyFont="1" applyFill="1" applyBorder="1"/>
    <xf numFmtId="1" fontId="8" fillId="3" borderId="277" xfId="0" applyNumberFormat="1" applyFont="1" applyFill="1" applyBorder="1"/>
    <xf numFmtId="0" fontId="3" fillId="0" borderId="894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left" vertical="center" wrapText="1"/>
    </xf>
    <xf numFmtId="1" fontId="3" fillId="4" borderId="1011" xfId="0" applyNumberFormat="1" applyFont="1" applyFill="1" applyBorder="1" applyProtection="1">
      <protection locked="0"/>
    </xf>
    <xf numFmtId="0" fontId="3" fillId="0" borderId="275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02" xfId="0" applyFont="1" applyBorder="1"/>
    <xf numFmtId="0" fontId="3" fillId="0" borderId="943" xfId="0" applyFont="1" applyBorder="1" applyAlignment="1">
      <alignment horizontal="left" vertical="center" wrapText="1"/>
    </xf>
    <xf numFmtId="0" fontId="3" fillId="0" borderId="945" xfId="0" applyFont="1" applyBorder="1" applyAlignment="1">
      <alignment horizontal="right" vertical="center" wrapText="1"/>
    </xf>
    <xf numFmtId="0" fontId="3" fillId="0" borderId="955" xfId="0" applyFont="1" applyBorder="1"/>
    <xf numFmtId="0" fontId="3" fillId="0" borderId="301" xfId="0" applyFont="1" applyBorder="1" applyAlignment="1">
      <alignment horizontal="left" vertical="center" wrapText="1"/>
    </xf>
    <xf numFmtId="0" fontId="3" fillId="0" borderId="236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04" xfId="0" applyFont="1" applyBorder="1" applyAlignment="1">
      <alignment horizontal="right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262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left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8" borderId="288" xfId="0" applyNumberFormat="1" applyFont="1" applyFill="1" applyBorder="1" applyProtection="1">
      <protection locked="0"/>
    </xf>
    <xf numFmtId="1" fontId="3" fillId="8" borderId="270" xfId="0" applyNumberFormat="1" applyFont="1" applyFill="1" applyBorder="1" applyProtection="1">
      <protection locked="0"/>
    </xf>
    <xf numFmtId="0" fontId="3" fillId="0" borderId="896" xfId="0" applyFont="1" applyBorder="1" applyAlignment="1">
      <alignment horizontal="center" vertical="center" wrapText="1"/>
    </xf>
    <xf numFmtId="0" fontId="3" fillId="0" borderId="884" xfId="0" applyFont="1" applyBorder="1" applyAlignment="1">
      <alignment vertical="center" wrapText="1"/>
    </xf>
    <xf numFmtId="0" fontId="3" fillId="0" borderId="967" xfId="0" applyFont="1" applyBorder="1" applyAlignment="1">
      <alignment vertical="center" wrapText="1"/>
    </xf>
    <xf numFmtId="0" fontId="3" fillId="5" borderId="967" xfId="0" applyFont="1" applyFill="1" applyBorder="1" applyAlignment="1">
      <alignment vertical="center" wrapText="1"/>
    </xf>
    <xf numFmtId="0" fontId="3" fillId="5" borderId="977" xfId="0" applyFont="1" applyFill="1" applyBorder="1" applyAlignment="1">
      <alignment vertical="center" wrapText="1"/>
    </xf>
    <xf numFmtId="1" fontId="3" fillId="0" borderId="1015" xfId="0" applyNumberFormat="1" applyFont="1" applyBorder="1"/>
    <xf numFmtId="1" fontId="3" fillId="8" borderId="972" xfId="0" applyNumberFormat="1" applyFont="1" applyFill="1" applyBorder="1" applyProtection="1">
      <protection locked="0"/>
    </xf>
    <xf numFmtId="1" fontId="3" fillId="8" borderId="255" xfId="0" applyNumberFormat="1" applyFont="1" applyFill="1" applyBorder="1" applyProtection="1">
      <protection locked="0"/>
    </xf>
    <xf numFmtId="0" fontId="2" fillId="0" borderId="251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01" xfId="20" applyNumberFormat="1" applyFont="1" applyBorder="1" applyAlignment="1">
      <alignment vertical="center"/>
    </xf>
    <xf numFmtId="1" fontId="3" fillId="0" borderId="1001" xfId="20" applyNumberFormat="1" applyFont="1" applyBorder="1" applyAlignment="1">
      <alignment horizontal="center" vertical="center" wrapText="1"/>
    </xf>
    <xf numFmtId="0" fontId="3" fillId="5" borderId="885" xfId="20" applyFont="1" applyFill="1" applyBorder="1" applyAlignment="1">
      <alignment horizontal="left" vertical="center" wrapText="1"/>
    </xf>
    <xf numFmtId="1" fontId="3" fillId="0" borderId="885" xfId="20" applyNumberFormat="1" applyFont="1" applyBorder="1" applyAlignment="1">
      <alignment horizontal="right" vertical="center"/>
    </xf>
    <xf numFmtId="1" fontId="3" fillId="8" borderId="903" xfId="20" applyNumberFormat="1" applyFont="1" applyFill="1" applyBorder="1" applyAlignment="1" applyProtection="1">
      <alignment vertical="center"/>
      <protection locked="0"/>
    </xf>
    <xf numFmtId="1" fontId="3" fillId="8" borderId="685" xfId="20" applyNumberFormat="1" applyFont="1" applyFill="1" applyBorder="1" applyAlignment="1" applyProtection="1">
      <alignment vertical="center"/>
      <protection locked="0"/>
    </xf>
    <xf numFmtId="1" fontId="3" fillId="8" borderId="703" xfId="20" applyNumberFormat="1" applyFont="1" applyFill="1" applyBorder="1" applyAlignment="1" applyProtection="1">
      <alignment vertical="center"/>
      <protection locked="0"/>
    </xf>
    <xf numFmtId="1" fontId="3" fillId="0" borderId="943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72" xfId="20" applyNumberFormat="1" applyFont="1" applyFill="1" applyBorder="1" applyAlignment="1" applyProtection="1">
      <alignment vertical="center"/>
      <protection locked="0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0" fontId="3" fillId="5" borderId="943" xfId="20" applyFont="1" applyFill="1" applyBorder="1" applyAlignment="1">
      <alignment horizontal="left" vertical="center" wrapText="1"/>
    </xf>
    <xf numFmtId="0" fontId="3" fillId="5" borderId="947" xfId="20" applyFont="1" applyFill="1" applyBorder="1" applyAlignment="1">
      <alignment horizontal="left" vertical="center" wrapText="1"/>
    </xf>
    <xf numFmtId="1" fontId="3" fillId="0" borderId="947" xfId="20" applyNumberFormat="1" applyFont="1" applyBorder="1" applyAlignment="1">
      <alignment horizontal="right" vertical="center"/>
    </xf>
    <xf numFmtId="1" fontId="3" fillId="8" borderId="973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" fontId="3" fillId="8" borderId="946" xfId="20" applyNumberFormat="1" applyFont="1" applyFill="1" applyBorder="1" applyAlignment="1" applyProtection="1">
      <alignment vertical="center"/>
      <protection locked="0"/>
    </xf>
    <xf numFmtId="164" fontId="3" fillId="5" borderId="1001" xfId="18" applyNumberFormat="1" applyFont="1" applyFill="1" applyBorder="1" applyAlignment="1" applyProtection="1">
      <alignment horizontal="center" vertical="center"/>
    </xf>
    <xf numFmtId="1" fontId="3" fillId="0" borderId="1001" xfId="20" applyNumberFormat="1" applyFont="1" applyBorder="1" applyAlignment="1">
      <alignment horizontal="right" vertical="center" wrapText="1"/>
    </xf>
    <xf numFmtId="1" fontId="3" fillId="0" borderId="1004" xfId="20" applyNumberFormat="1" applyFont="1" applyBorder="1" applyAlignment="1">
      <alignment horizontal="right" vertical="center" wrapText="1"/>
    </xf>
    <xf numFmtId="1" fontId="3" fillId="0" borderId="900" xfId="20" applyNumberFormat="1" applyFont="1" applyBorder="1" applyAlignment="1">
      <alignment horizontal="right" vertical="center" wrapText="1"/>
    </xf>
    <xf numFmtId="1" fontId="3" fillId="0" borderId="1049" xfId="20" applyNumberFormat="1" applyFont="1" applyBorder="1" applyAlignment="1">
      <alignment horizontal="right" vertical="center" wrapText="1"/>
    </xf>
    <xf numFmtId="164" fontId="3" fillId="0" borderId="1004" xfId="18" applyNumberFormat="1" applyFont="1" applyBorder="1" applyAlignment="1" applyProtection="1">
      <alignment horizontal="center" vertical="center"/>
    </xf>
    <xf numFmtId="0" fontId="3" fillId="5" borderId="298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3" fillId="0" borderId="1085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89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2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2" xfId="0" applyNumberFormat="1" applyFont="1" applyFill="1" applyBorder="1" applyProtection="1">
      <protection locked="0"/>
    </xf>
    <xf numFmtId="1" fontId="3" fillId="18" borderId="237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085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43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0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6" xfId="0" applyFont="1" applyFill="1" applyBorder="1" applyProtection="1">
      <protection locked="0"/>
    </xf>
    <xf numFmtId="0" fontId="3" fillId="18" borderId="308" xfId="0" applyFont="1" applyFill="1" applyBorder="1" applyProtection="1">
      <protection locked="0"/>
    </xf>
    <xf numFmtId="0" fontId="3" fillId="0" borderId="211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39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6" xfId="0" applyFont="1" applyFill="1" applyBorder="1" applyProtection="1">
      <protection locked="0"/>
    </xf>
    <xf numFmtId="0" fontId="3" fillId="0" borderId="1095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3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1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1" xfId="0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4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39" xfId="0" applyNumberFormat="1" applyFont="1" applyFill="1" applyBorder="1"/>
    <xf numFmtId="1" fontId="3" fillId="27" borderId="196" xfId="0" applyNumberFormat="1" applyFont="1" applyFill="1" applyBorder="1"/>
    <xf numFmtId="0" fontId="3" fillId="0" borderId="1079" xfId="0" applyFont="1" applyBorder="1" applyAlignment="1">
      <alignment horizontal="center" vertical="center"/>
    </xf>
    <xf numFmtId="0" fontId="3" fillId="53" borderId="1085" xfId="0" applyFont="1" applyFill="1" applyBorder="1"/>
    <xf numFmtId="0" fontId="3" fillId="18" borderId="1081" xfId="0" applyFont="1" applyFill="1" applyBorder="1" applyProtection="1">
      <protection locked="0"/>
    </xf>
    <xf numFmtId="0" fontId="3" fillId="18" borderId="1080" xfId="0" applyFont="1" applyFill="1" applyBorder="1" applyProtection="1">
      <protection locked="0"/>
    </xf>
    <xf numFmtId="0" fontId="3" fillId="53" borderId="298" xfId="0" applyFont="1" applyFill="1" applyBorder="1"/>
    <xf numFmtId="0" fontId="3" fillId="18" borderId="254" xfId="0" applyFont="1" applyFill="1" applyBorder="1" applyProtection="1">
      <protection locked="0"/>
    </xf>
    <xf numFmtId="0" fontId="3" fillId="18" borderId="755" xfId="0" applyFont="1" applyFill="1" applyBorder="1" applyProtection="1">
      <protection locked="0"/>
    </xf>
    <xf numFmtId="0" fontId="3" fillId="0" borderId="298" xfId="0" applyFont="1" applyBorder="1"/>
    <xf numFmtId="0" fontId="3" fillId="17" borderId="254" xfId="0" applyFont="1" applyFill="1" applyBorder="1"/>
    <xf numFmtId="0" fontId="3" fillId="17" borderId="755" xfId="0" applyFont="1" applyFill="1" applyBorder="1"/>
    <xf numFmtId="0" fontId="3" fillId="29" borderId="0" xfId="0" applyFont="1" applyFill="1"/>
    <xf numFmtId="0" fontId="3" fillId="53" borderId="1084" xfId="0" applyFont="1" applyFill="1" applyBorder="1" applyAlignment="1">
      <alignment horizontal="center"/>
    </xf>
    <xf numFmtId="0" fontId="3" fillId="53" borderId="1084" xfId="0" applyFont="1" applyFill="1" applyBorder="1" applyAlignment="1">
      <alignment horizontal="center" vertical="center"/>
    </xf>
    <xf numFmtId="0" fontId="3" fillId="53" borderId="1079" xfId="0" applyFont="1" applyFill="1" applyBorder="1" applyAlignment="1">
      <alignment horizontal="center" vertical="center" wrapText="1"/>
    </xf>
    <xf numFmtId="0" fontId="3" fillId="53" borderId="1077" xfId="0" applyFont="1" applyFill="1" applyBorder="1" applyAlignment="1">
      <alignment horizontal="center" vertical="center" wrapText="1"/>
    </xf>
    <xf numFmtId="0" fontId="3" fillId="18" borderId="1085" xfId="0" applyFont="1" applyFill="1" applyBorder="1" applyProtection="1">
      <protection locked="0"/>
    </xf>
    <xf numFmtId="0" fontId="3" fillId="18" borderId="298" xfId="0" applyFont="1" applyFill="1" applyBorder="1" applyProtection="1">
      <protection locked="0"/>
    </xf>
    <xf numFmtId="0" fontId="3" fillId="18" borderId="973" xfId="0" applyFont="1" applyFill="1" applyBorder="1" applyProtection="1">
      <protection locked="0"/>
    </xf>
    <xf numFmtId="0" fontId="3" fillId="54" borderId="1081" xfId="0" applyFont="1" applyFill="1" applyBorder="1"/>
    <xf numFmtId="0" fontId="3" fillId="54" borderId="1080" xfId="0" applyFont="1" applyFill="1" applyBorder="1"/>
    <xf numFmtId="0" fontId="3" fillId="54" borderId="254" xfId="0" applyFont="1" applyFill="1" applyBorder="1"/>
    <xf numFmtId="0" fontId="3" fillId="54" borderId="755" xfId="0" applyFont="1" applyFill="1" applyBorder="1"/>
    <xf numFmtId="0" fontId="3" fillId="53" borderId="1084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4" xfId="0" applyFont="1" applyBorder="1" applyAlignment="1">
      <alignment horizontal="center" vertical="center" wrapText="1"/>
    </xf>
    <xf numFmtId="0" fontId="3" fillId="44" borderId="214" xfId="0" applyFont="1" applyFill="1" applyBorder="1" applyProtection="1">
      <protection locked="0"/>
    </xf>
    <xf numFmtId="0" fontId="3" fillId="54" borderId="1098" xfId="0" applyFont="1" applyFill="1" applyBorder="1"/>
    <xf numFmtId="0" fontId="3" fillId="44" borderId="243" xfId="0" applyFont="1" applyFill="1" applyBorder="1" applyProtection="1">
      <protection locked="0"/>
    </xf>
    <xf numFmtId="0" fontId="3" fillId="44" borderId="242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5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6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79" xfId="0" applyFont="1" applyFill="1" applyBorder="1" applyAlignment="1">
      <alignment horizontal="center" wrapText="1"/>
    </xf>
    <xf numFmtId="0" fontId="3" fillId="5" borderId="1078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20" borderId="1085" xfId="0" applyFont="1" applyFill="1" applyBorder="1" applyAlignment="1">
      <alignment wrapText="1"/>
    </xf>
    <xf numFmtId="1" fontId="3" fillId="5" borderId="1081" xfId="0" applyNumberFormat="1" applyFont="1" applyFill="1" applyBorder="1" applyAlignment="1">
      <alignment horizontal="right" wrapText="1"/>
    </xf>
    <xf numFmtId="1" fontId="3" fillId="5" borderId="1101" xfId="0" applyNumberFormat="1" applyFont="1" applyFill="1" applyBorder="1" applyAlignment="1">
      <alignment horizontal="right" wrapText="1"/>
    </xf>
    <xf numFmtId="1" fontId="3" fillId="5" borderId="1080" xfId="0" applyNumberFormat="1" applyFont="1" applyFill="1" applyBorder="1" applyAlignment="1">
      <alignment horizontal="right"/>
    </xf>
    <xf numFmtId="0" fontId="3" fillId="44" borderId="70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1080" xfId="0" applyFont="1" applyFill="1" applyBorder="1" applyProtection="1">
      <protection locked="0"/>
    </xf>
    <xf numFmtId="0" fontId="3" fillId="20" borderId="301" xfId="0" applyFont="1" applyFill="1" applyBorder="1" applyAlignment="1">
      <alignment wrapText="1"/>
    </xf>
    <xf numFmtId="0" fontId="3" fillId="44" borderId="267" xfId="0" applyFont="1" applyFill="1" applyBorder="1" applyProtection="1">
      <protection locked="0"/>
    </xf>
    <xf numFmtId="0" fontId="7" fillId="5" borderId="0" xfId="0" applyFont="1" applyFill="1"/>
    <xf numFmtId="0" fontId="3" fillId="20" borderId="298" xfId="0" applyFont="1" applyFill="1" applyBorder="1" applyAlignment="1">
      <alignment wrapText="1"/>
    </xf>
    <xf numFmtId="1" fontId="3" fillId="5" borderId="945" xfId="0" applyNumberFormat="1" applyFont="1" applyFill="1" applyBorder="1" applyAlignment="1">
      <alignment horizontal="right" wrapText="1"/>
    </xf>
    <xf numFmtId="1" fontId="3" fillId="5" borderId="955" xfId="0" applyNumberFormat="1" applyFont="1" applyFill="1" applyBorder="1" applyAlignment="1">
      <alignment horizontal="right"/>
    </xf>
    <xf numFmtId="0" fontId="3" fillId="44" borderId="261" xfId="0" applyFont="1" applyFill="1" applyBorder="1" applyProtection="1">
      <protection locked="0"/>
    </xf>
    <xf numFmtId="1" fontId="3" fillId="0" borderId="1079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0" borderId="1079" xfId="0" applyNumberFormat="1" applyFont="1" applyBorder="1"/>
    <xf numFmtId="1" fontId="3" fillId="0" borderId="1077" xfId="0" applyNumberFormat="1" applyFont="1" applyBorder="1"/>
    <xf numFmtId="1" fontId="3" fillId="0" borderId="1086" xfId="0" applyNumberFormat="1" applyFont="1" applyBorder="1"/>
    <xf numFmtId="1" fontId="3" fillId="5" borderId="1079" xfId="0" applyNumberFormat="1" applyFont="1" applyFill="1" applyBorder="1"/>
    <xf numFmtId="1" fontId="3" fillId="5" borderId="1086" xfId="0" applyNumberFormat="1" applyFont="1" applyFill="1" applyBorder="1"/>
    <xf numFmtId="1" fontId="3" fillId="5" borderId="1072" xfId="0" applyNumberFormat="1" applyFont="1" applyFill="1" applyBorder="1"/>
    <xf numFmtId="1" fontId="3" fillId="5" borderId="1100" xfId="0" applyNumberFormat="1" applyFont="1" applyFill="1" applyBorder="1"/>
    <xf numFmtId="1" fontId="3" fillId="5" borderId="1084" xfId="0" applyNumberFormat="1" applyFont="1" applyFill="1" applyBorder="1"/>
    <xf numFmtId="0" fontId="8" fillId="5" borderId="0" xfId="0" applyFont="1" applyFill="1"/>
    <xf numFmtId="1" fontId="3" fillId="0" borderId="1084" xfId="0" applyNumberFormat="1" applyFont="1" applyBorder="1" applyAlignment="1">
      <alignment horizontal="center" vertical="center"/>
    </xf>
    <xf numFmtId="0" fontId="3" fillId="0" borderId="1085" xfId="0" applyFont="1" applyBorder="1" applyAlignment="1">
      <alignment horizontal="left" vertical="center" wrapText="1"/>
    </xf>
    <xf numFmtId="1" fontId="3" fillId="20" borderId="1085" xfId="0" applyNumberFormat="1" applyFont="1" applyFill="1" applyBorder="1" applyAlignment="1">
      <alignment horizontal="right" wrapText="1"/>
    </xf>
    <xf numFmtId="1" fontId="3" fillId="6" borderId="1081" xfId="0" applyNumberFormat="1" applyFont="1" applyFill="1" applyBorder="1" applyAlignment="1">
      <alignment horizontal="right" wrapText="1"/>
    </xf>
    <xf numFmtId="1" fontId="3" fillId="20" borderId="301" xfId="0" applyNumberFormat="1" applyFont="1" applyFill="1" applyBorder="1" applyAlignment="1">
      <alignment horizontal="right" wrapText="1"/>
    </xf>
    <xf numFmtId="1" fontId="3" fillId="20" borderId="298" xfId="0" applyNumberFormat="1" applyFont="1" applyFill="1" applyBorder="1" applyAlignment="1">
      <alignment horizontal="right" wrapText="1"/>
    </xf>
    <xf numFmtId="1" fontId="3" fillId="0" borderId="1078" xfId="0" applyNumberFormat="1" applyFont="1" applyBorder="1"/>
    <xf numFmtId="1" fontId="3" fillId="0" borderId="107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20" borderId="1080" xfId="0" applyFont="1" applyFill="1" applyBorder="1" applyAlignment="1">
      <alignment wrapText="1"/>
    </xf>
    <xf numFmtId="1" fontId="3" fillId="0" borderId="1081" xfId="0" applyNumberFormat="1" applyFont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55" xfId="0" applyFont="1" applyFill="1" applyBorder="1" applyAlignment="1">
      <alignment wrapText="1"/>
    </xf>
    <xf numFmtId="1" fontId="3" fillId="0" borderId="1077" xfId="0" applyNumberFormat="1" applyFont="1" applyBorder="1" applyAlignment="1">
      <alignment vertical="center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1079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7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6" borderId="1053" xfId="0" applyNumberFormat="1" applyFont="1" applyFill="1" applyBorder="1" applyAlignment="1">
      <alignment horizontal="right" wrapText="1"/>
    </xf>
    <xf numFmtId="1" fontId="3" fillId="6" borderId="1077" xfId="0" applyNumberFormat="1" applyFont="1" applyFill="1" applyBorder="1" applyAlignment="1">
      <alignment horizontal="right" wrapText="1"/>
    </xf>
    <xf numFmtId="1" fontId="3" fillId="6" borderId="1074" xfId="0" applyNumberFormat="1" applyFont="1" applyFill="1" applyBorder="1" applyAlignment="1">
      <alignment horizontal="right" wrapText="1"/>
    </xf>
    <xf numFmtId="1" fontId="3" fillId="5" borderId="1103" xfId="0" applyNumberFormat="1" applyFont="1" applyFill="1" applyBorder="1" applyAlignment="1">
      <alignment horizontal="right" vertical="center" wrapText="1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203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 wrapText="1"/>
    </xf>
    <xf numFmtId="1" fontId="3" fillId="5" borderId="1077" xfId="0" applyNumberFormat="1" applyFont="1" applyFill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left"/>
    </xf>
    <xf numFmtId="1" fontId="3" fillId="0" borderId="1101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48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right"/>
    </xf>
    <xf numFmtId="1" fontId="3" fillId="5" borderId="1081" xfId="0" applyNumberFormat="1" applyFont="1" applyFill="1" applyBorder="1" applyAlignment="1">
      <alignment horizontal="right"/>
    </xf>
    <xf numFmtId="1" fontId="3" fillId="5" borderId="1101" xfId="0" applyNumberFormat="1" applyFont="1" applyFill="1" applyBorder="1" applyAlignment="1">
      <alignment horizontal="right"/>
    </xf>
    <xf numFmtId="1" fontId="3" fillId="3" borderId="298" xfId="0" applyNumberFormat="1" applyFont="1" applyFill="1" applyBorder="1" applyAlignment="1">
      <alignment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3" borderId="1106" xfId="0" applyNumberFormat="1" applyFont="1" applyFill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center" vertical="center"/>
    </xf>
    <xf numFmtId="1" fontId="3" fillId="3" borderId="1086" xfId="0" applyNumberFormat="1" applyFont="1" applyFill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3" borderId="1081" xfId="0" applyNumberFormat="1" applyFont="1" applyFill="1" applyBorder="1" applyAlignment="1">
      <alignment horizontal="right" vertical="center" wrapText="1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79" xfId="0" applyNumberFormat="1" applyFont="1" applyFill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/>
    </xf>
    <xf numFmtId="0" fontId="3" fillId="0" borderId="1085" xfId="0" applyFont="1" applyBorder="1" applyAlignment="1">
      <alignment horizontal="left" wrapText="1"/>
    </xf>
    <xf numFmtId="0" fontId="3" fillId="44" borderId="968" xfId="0" applyFont="1" applyFill="1" applyBorder="1" applyAlignment="1" applyProtection="1">
      <alignment horizontal="right"/>
      <protection locked="0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44" borderId="279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43" xfId="0" applyFont="1" applyBorder="1" applyAlignment="1">
      <alignment horizontal="right"/>
    </xf>
    <xf numFmtId="0" fontId="3" fillId="44" borderId="955" xfId="0" applyFont="1" applyFill="1" applyBorder="1" applyAlignment="1" applyProtection="1">
      <alignment horizontal="right"/>
      <protection locked="0"/>
    </xf>
    <xf numFmtId="0" fontId="3" fillId="0" borderId="947" xfId="0" applyFont="1" applyBorder="1" applyAlignment="1">
      <alignment horizontal="left" wrapText="1"/>
    </xf>
    <xf numFmtId="0" fontId="3" fillId="0" borderId="947" xfId="0" applyFont="1" applyBorder="1" applyAlignment="1">
      <alignment horizontal="right"/>
    </xf>
    <xf numFmtId="0" fontId="3" fillId="44" borderId="254" xfId="0" applyFont="1" applyFill="1" applyBorder="1" applyAlignment="1" applyProtection="1">
      <alignment horizontal="right"/>
      <protection locked="0"/>
    </xf>
    <xf numFmtId="0" fontId="3" fillId="44" borderId="952" xfId="0" applyFont="1" applyFill="1" applyBorder="1" applyAlignment="1" applyProtection="1">
      <alignment horizontal="right"/>
      <protection locked="0"/>
    </xf>
    <xf numFmtId="0" fontId="3" fillId="44" borderId="755" xfId="0" applyFont="1" applyFill="1" applyBorder="1" applyAlignment="1" applyProtection="1">
      <alignment horizontal="right"/>
      <protection locked="0"/>
    </xf>
    <xf numFmtId="1" fontId="3" fillId="3" borderId="1110" xfId="0" applyNumberFormat="1" applyFont="1" applyFill="1" applyBorder="1" applyAlignment="1">
      <alignment vertical="center" wrapText="1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3" borderId="947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085" xfId="0" applyFont="1" applyBorder="1" applyAlignment="1">
      <alignment wrapText="1"/>
    </xf>
    <xf numFmtId="0" fontId="3" fillId="44" borderId="1085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44" borderId="301" xfId="0" applyFont="1" applyFill="1" applyBorder="1" applyAlignment="1" applyProtection="1">
      <alignment wrapText="1"/>
      <protection locked="0"/>
    </xf>
    <xf numFmtId="0" fontId="3" fillId="44" borderId="955" xfId="0" applyFont="1" applyFill="1" applyBorder="1" applyProtection="1">
      <protection locked="0"/>
    </xf>
    <xf numFmtId="0" fontId="3" fillId="0" borderId="955" xfId="0" applyFont="1" applyBorder="1" applyAlignment="1">
      <alignment vertical="center" wrapText="1"/>
    </xf>
    <xf numFmtId="0" fontId="3" fillId="0" borderId="352" xfId="0" applyFont="1" applyBorder="1" applyAlignment="1">
      <alignment vertical="center" wrapText="1"/>
    </xf>
    <xf numFmtId="0" fontId="3" fillId="44" borderId="298" xfId="0" applyFont="1" applyFill="1" applyBorder="1" applyAlignment="1" applyProtection="1">
      <alignment wrapText="1"/>
      <protection locked="0"/>
    </xf>
    <xf numFmtId="0" fontId="3" fillId="44" borderId="2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1112" xfId="0" applyFont="1" applyFill="1" applyBorder="1" applyProtection="1">
      <protection locked="0"/>
    </xf>
    <xf numFmtId="0" fontId="3" fillId="44" borderId="1105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0" borderId="1113" xfId="0" applyFont="1" applyBorder="1" applyAlignment="1">
      <alignment wrapText="1"/>
    </xf>
    <xf numFmtId="0" fontId="3" fillId="44" borderId="960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972" xfId="0" applyFont="1" applyFill="1" applyBorder="1" applyProtection="1">
      <protection locked="0"/>
    </xf>
    <xf numFmtId="0" fontId="3" fillId="0" borderId="994" xfId="0" applyFont="1" applyBorder="1" applyAlignment="1">
      <alignment wrapText="1"/>
    </xf>
    <xf numFmtId="0" fontId="3" fillId="44" borderId="971" xfId="0" applyFont="1" applyFill="1" applyBorder="1" applyProtection="1">
      <protection locked="0"/>
    </xf>
    <xf numFmtId="0" fontId="3" fillId="0" borderId="1114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952" xfId="0" applyFont="1" applyFill="1" applyBorder="1" applyProtection="1">
      <protection locked="0"/>
    </xf>
    <xf numFmtId="1" fontId="3" fillId="0" borderId="1099" xfId="0" applyNumberFormat="1" applyFont="1" applyBorder="1" applyAlignment="1">
      <alignment horizontal="right"/>
    </xf>
    <xf numFmtId="1" fontId="3" fillId="3" borderId="1085" xfId="0" applyNumberFormat="1" applyFont="1" applyFill="1" applyBorder="1" applyAlignment="1">
      <alignment horizontal="right"/>
    </xf>
    <xf numFmtId="1" fontId="3" fillId="11" borderId="339" xfId="0" applyNumberFormat="1" applyFont="1" applyFill="1" applyBorder="1" applyAlignment="1">
      <alignment horizontal="right" vertical="center" wrapText="1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11" borderId="326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11" borderId="352" xfId="0" applyNumberFormat="1" applyFont="1" applyFill="1" applyBorder="1" applyAlignment="1">
      <alignment horizontal="right" vertical="center" wrapText="1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261" xfId="0" applyNumberFormat="1" applyFont="1" applyFill="1" applyBorder="1" applyAlignment="1" applyProtection="1">
      <alignment wrapText="1"/>
      <protection locked="0"/>
    </xf>
    <xf numFmtId="1" fontId="3" fillId="4" borderId="1126" xfId="0" applyNumberFormat="1" applyFont="1" applyFill="1" applyBorder="1" applyAlignment="1" applyProtection="1">
      <alignment wrapText="1"/>
      <protection locked="0"/>
    </xf>
    <xf numFmtId="1" fontId="3" fillId="4" borderId="1143" xfId="0" applyNumberFormat="1" applyFont="1" applyFill="1" applyBorder="1" applyAlignment="1" applyProtection="1">
      <alignment wrapText="1"/>
      <protection locked="0"/>
    </xf>
    <xf numFmtId="1" fontId="3" fillId="4" borderId="1191" xfId="0" applyNumberFormat="1" applyFont="1" applyFill="1" applyBorder="1" applyAlignment="1" applyProtection="1">
      <alignment wrapText="1"/>
      <protection locked="0"/>
    </xf>
    <xf numFmtId="1" fontId="3" fillId="4" borderId="1105" xfId="0" applyNumberFormat="1" applyFont="1" applyFill="1" applyBorder="1" applyAlignment="1" applyProtection="1">
      <alignment wrapText="1"/>
      <protection locked="0"/>
    </xf>
    <xf numFmtId="1" fontId="3" fillId="4" borderId="1128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61" xfId="6" applyNumberFormat="1" applyFont="1" applyFill="1" applyBorder="1" applyAlignment="1" applyProtection="1">
      <alignment horizontal="right"/>
      <protection locked="0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4" borderId="1085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0" fontId="3" fillId="18" borderId="418" xfId="0" applyFont="1" applyFill="1" applyBorder="1" applyProtection="1">
      <protection locked="0"/>
    </xf>
    <xf numFmtId="0" fontId="3" fillId="18" borderId="1139" xfId="0" applyFont="1" applyFill="1" applyBorder="1" applyProtection="1">
      <protection locked="0"/>
    </xf>
    <xf numFmtId="0" fontId="14" fillId="0" borderId="0" xfId="0" applyFont="1"/>
    <xf numFmtId="0" fontId="5" fillId="0" borderId="405" xfId="0" applyFont="1" applyBorder="1"/>
    <xf numFmtId="0" fontId="5" fillId="0" borderId="68" xfId="0" applyFont="1" applyBorder="1"/>
    <xf numFmtId="0" fontId="5" fillId="0" borderId="407" xfId="0" applyFont="1" applyBorder="1"/>
    <xf numFmtId="1" fontId="3" fillId="6" borderId="585" xfId="0" applyNumberFormat="1" applyFont="1" applyFill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6" borderId="404" xfId="0" applyNumberFormat="1" applyFont="1" applyFill="1" applyBorder="1" applyAlignment="1">
      <alignment horizontal="right" vertical="center" wrapText="1"/>
    </xf>
    <xf numFmtId="1" fontId="3" fillId="6" borderId="585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0" fontId="3" fillId="0" borderId="298" xfId="0" applyFont="1" applyBorder="1" applyAlignment="1">
      <alignment horizontal="center" vertical="center" wrapText="1"/>
    </xf>
    <xf numFmtId="1" fontId="3" fillId="6" borderId="270" xfId="0" applyNumberFormat="1" applyFont="1" applyFill="1" applyBorder="1" applyAlignment="1">
      <alignment horizontal="right"/>
    </xf>
    <xf numFmtId="1" fontId="3" fillId="6" borderId="621" xfId="0" applyNumberFormat="1" applyFont="1" applyFill="1" applyBorder="1"/>
    <xf numFmtId="1" fontId="3" fillId="6" borderId="345" xfId="0" applyNumberFormat="1" applyFont="1" applyFill="1" applyBorder="1"/>
    <xf numFmtId="1" fontId="3" fillId="6" borderId="372" xfId="0" applyNumberFormat="1" applyFont="1" applyFill="1" applyBorder="1"/>
    <xf numFmtId="1" fontId="3" fillId="6" borderId="626" xfId="0" applyNumberFormat="1" applyFont="1" applyFill="1" applyBorder="1"/>
    <xf numFmtId="1" fontId="3" fillId="6" borderId="300" xfId="0" applyNumberFormat="1" applyFont="1" applyFill="1" applyBorder="1"/>
    <xf numFmtId="1" fontId="3" fillId="6" borderId="10" xfId="0" applyNumberFormat="1" applyFont="1" applyFill="1" applyBorder="1"/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329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" fillId="6" borderId="267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81" xfId="0" applyNumberFormat="1" applyFont="1" applyFill="1" applyBorder="1" applyAlignment="1">
      <alignment horizontal="right"/>
    </xf>
    <xf numFmtId="1" fontId="3" fillId="6" borderId="543" xfId="0" applyNumberFormat="1" applyFont="1" applyFill="1" applyBorder="1" applyAlignment="1">
      <alignment vertical="center"/>
    </xf>
    <xf numFmtId="1" fontId="3" fillId="6" borderId="536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37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0" fontId="3" fillId="6" borderId="943" xfId="0" applyFont="1" applyFill="1" applyBorder="1" applyAlignment="1">
      <alignment vertical="center"/>
    </xf>
    <xf numFmtId="1" fontId="3" fillId="6" borderId="943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77" xfId="8" applyNumberFormat="1" applyFont="1" applyFill="1" applyBorder="1" applyProtection="1">
      <protection locked="0"/>
    </xf>
    <xf numFmtId="1" fontId="3" fillId="4" borderId="270" xfId="8" applyNumberFormat="1" applyFont="1" applyFill="1" applyBorder="1" applyProtection="1">
      <protection locked="0"/>
    </xf>
    <xf numFmtId="1" fontId="5" fillId="4" borderId="1178" xfId="8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right" wrapText="1"/>
    </xf>
    <xf numFmtId="1" fontId="3" fillId="0" borderId="1137" xfId="0" applyNumberFormat="1" applyFont="1" applyBorder="1" applyAlignment="1">
      <alignment horizontal="right" wrapText="1"/>
    </xf>
    <xf numFmtId="1" fontId="3" fillId="0" borderId="1138" xfId="0" applyNumberFormat="1" applyFont="1" applyBorder="1" applyAlignment="1">
      <alignment horizontal="right" wrapText="1"/>
    </xf>
    <xf numFmtId="1" fontId="3" fillId="3" borderId="1126" xfId="0" applyNumberFormat="1" applyFont="1" applyFill="1" applyBorder="1" applyAlignment="1">
      <alignment horizontal="right" wrapText="1"/>
    </xf>
    <xf numFmtId="1" fontId="3" fillId="3" borderId="1143" xfId="0" applyNumberFormat="1" applyFont="1" applyFill="1" applyBorder="1" applyAlignment="1">
      <alignment horizontal="right" wrapText="1"/>
    </xf>
    <xf numFmtId="1" fontId="3" fillId="3" borderId="1191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1193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0" borderId="1085" xfId="6" applyNumberFormat="1" applyFont="1" applyBorder="1"/>
    <xf numFmtId="1" fontId="3" fillId="0" borderId="1141" xfId="6" applyNumberFormat="1" applyFont="1" applyBorder="1"/>
    <xf numFmtId="1" fontId="3" fillId="0" borderId="1084" xfId="6" applyNumberFormat="1" applyFont="1" applyBorder="1"/>
    <xf numFmtId="1" fontId="3" fillId="4" borderId="1138" xfId="6" applyNumberFormat="1" applyFont="1" applyFill="1" applyBorder="1" applyAlignment="1" applyProtection="1">
      <alignment horizontal="right"/>
      <protection locked="0"/>
    </xf>
    <xf numFmtId="1" fontId="3" fillId="4" borderId="1084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03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0" fontId="3" fillId="0" borderId="1183" xfId="0" applyFont="1" applyBorder="1" applyAlignment="1">
      <alignment horizontal="center" wrapText="1"/>
    </xf>
    <xf numFmtId="0" fontId="3" fillId="44" borderId="1119" xfId="0" applyFont="1" applyFill="1" applyBorder="1" applyProtection="1">
      <protection locked="0"/>
    </xf>
    <xf numFmtId="0" fontId="3" fillId="44" borderId="1194" xfId="0" applyFont="1" applyFill="1" applyBorder="1" applyProtection="1">
      <protection locked="0"/>
    </xf>
    <xf numFmtId="0" fontId="5" fillId="0" borderId="501" xfId="0" applyFont="1" applyBorder="1"/>
    <xf numFmtId="1" fontId="3" fillId="4" borderId="1193" xfId="0" applyNumberFormat="1" applyFont="1" applyFill="1" applyBorder="1" applyProtection="1">
      <protection locked="0"/>
    </xf>
    <xf numFmtId="1" fontId="3" fillId="7" borderId="1143" xfId="0" applyNumberFormat="1" applyFont="1" applyFill="1" applyBorder="1"/>
    <xf numFmtId="1" fontId="3" fillId="7" borderId="967" xfId="0" applyNumberFormat="1" applyFont="1" applyFill="1" applyBorder="1"/>
    <xf numFmtId="1" fontId="3" fillId="7" borderId="889" xfId="0" applyNumberFormat="1" applyFont="1" applyFill="1" applyBorder="1"/>
    <xf numFmtId="1" fontId="5" fillId="7" borderId="343" xfId="0" applyNumberFormat="1" applyFont="1" applyFill="1" applyBorder="1"/>
    <xf numFmtId="1" fontId="3" fillId="6" borderId="1180" xfId="0" applyNumberFormat="1" applyFont="1" applyFill="1" applyBorder="1"/>
    <xf numFmtId="1" fontId="3" fillId="6" borderId="1078" xfId="0" applyNumberFormat="1" applyFont="1" applyFill="1" applyBorder="1"/>
    <xf numFmtId="1" fontId="3" fillId="4" borderId="1196" xfId="0" applyNumberFormat="1" applyFont="1" applyFill="1" applyBorder="1" applyProtection="1">
      <protection locked="0"/>
    </xf>
    <xf numFmtId="1" fontId="3" fillId="0" borderId="1189" xfId="0" applyNumberFormat="1" applyFont="1" applyBorder="1"/>
    <xf numFmtId="1" fontId="3" fillId="6" borderId="1197" xfId="0" applyNumberFormat="1" applyFont="1" applyFill="1" applyBorder="1"/>
    <xf numFmtId="1" fontId="3" fillId="6" borderId="1198" xfId="0" applyNumberFormat="1" applyFont="1" applyFill="1" applyBorder="1"/>
    <xf numFmtId="1" fontId="5" fillId="0" borderId="618" xfId="0" applyNumberFormat="1" applyFont="1" applyBorder="1"/>
    <xf numFmtId="1" fontId="5" fillId="0" borderId="901" xfId="6" applyNumberFormat="1" applyFont="1" applyBorder="1" applyAlignment="1">
      <alignment horizontal="center" vertical="center" wrapText="1"/>
    </xf>
    <xf numFmtId="1" fontId="5" fillId="0" borderId="588" xfId="30" applyNumberFormat="1" applyFont="1" applyFill="1" applyBorder="1" applyAlignment="1">
      <alignment horizontal="center" vertical="center" wrapText="1"/>
    </xf>
    <xf numFmtId="1" fontId="5" fillId="0" borderId="1086" xfId="30" applyNumberFormat="1" applyFont="1" applyFill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left" wrapText="1"/>
    </xf>
    <xf numFmtId="1" fontId="3" fillId="0" borderId="134" xfId="0" applyNumberFormat="1" applyFont="1" applyBorder="1" applyAlignment="1">
      <alignment horizontal="left"/>
    </xf>
    <xf numFmtId="0" fontId="3" fillId="44" borderId="722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589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1155" xfId="0" applyFont="1" applyFill="1" applyBorder="1" applyProtection="1">
      <protection locked="0"/>
    </xf>
    <xf numFmtId="0" fontId="3" fillId="44" borderId="1094" xfId="0" applyFont="1" applyFill="1" applyBorder="1" applyProtection="1">
      <protection locked="0"/>
    </xf>
    <xf numFmtId="0" fontId="3" fillId="44" borderId="1156" xfId="0" applyFont="1" applyFill="1" applyBorder="1" applyProtection="1">
      <protection locked="0"/>
    </xf>
    <xf numFmtId="0" fontId="3" fillId="44" borderId="1153" xfId="0" applyFont="1" applyFill="1" applyBorder="1" applyProtection="1">
      <protection locked="0"/>
    </xf>
    <xf numFmtId="0" fontId="3" fillId="44" borderId="1152" xfId="0" applyFont="1" applyFill="1" applyBorder="1" applyProtection="1">
      <protection locked="0"/>
    </xf>
    <xf numFmtId="0" fontId="3" fillId="44" borderId="1158" xfId="0" applyFont="1" applyFill="1" applyBorder="1" applyProtection="1">
      <protection locked="0"/>
    </xf>
    <xf numFmtId="0" fontId="3" fillId="44" borderId="1159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61" xfId="0" applyFont="1" applyFill="1" applyBorder="1" applyProtection="1">
      <protection locked="0"/>
    </xf>
    <xf numFmtId="0" fontId="3" fillId="44" borderId="1162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64" xfId="0" applyFont="1" applyFill="1" applyBorder="1" applyProtection="1">
      <protection locked="0"/>
    </xf>
    <xf numFmtId="0" fontId="3" fillId="44" borderId="1165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51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252" xfId="0" applyFont="1" applyFill="1" applyBorder="1" applyProtection="1">
      <protection locked="0"/>
    </xf>
    <xf numFmtId="0" fontId="66" fillId="3" borderId="0" xfId="0" applyFont="1" applyFill="1" applyAlignment="1">
      <alignment horizontal="center"/>
    </xf>
    <xf numFmtId="0" fontId="66" fillId="3" borderId="0" xfId="0" quotePrefix="1" applyFont="1" applyFill="1" applyAlignment="1">
      <alignment horizontal="center"/>
    </xf>
    <xf numFmtId="0" fontId="67" fillId="0" borderId="0" xfId="0" applyFont="1"/>
    <xf numFmtId="0" fontId="7" fillId="62" borderId="0" xfId="0" applyFont="1" applyFill="1"/>
    <xf numFmtId="0" fontId="68" fillId="3" borderId="0" xfId="0" applyFont="1" applyFill="1" applyAlignment="1">
      <alignment horizontal="center"/>
    </xf>
    <xf numFmtId="1" fontId="69" fillId="62" borderId="0" xfId="0" applyNumberFormat="1" applyFont="1" applyFill="1"/>
    <xf numFmtId="0" fontId="70" fillId="20" borderId="0" xfId="0" applyFont="1" applyFill="1" applyAlignment="1">
      <alignment horizontal="center"/>
    </xf>
    <xf numFmtId="1" fontId="69" fillId="3" borderId="0" xfId="0" applyNumberFormat="1" applyFont="1" applyFill="1"/>
    <xf numFmtId="0" fontId="66" fillId="3" borderId="1139" xfId="0" applyFont="1" applyFill="1" applyBorder="1" applyAlignment="1">
      <alignment horizontal="center"/>
    </xf>
    <xf numFmtId="1" fontId="64" fillId="3" borderId="0" xfId="0" applyNumberFormat="1" applyFont="1" applyFill="1"/>
    <xf numFmtId="0" fontId="66" fillId="62" borderId="0" xfId="0" applyFont="1" applyFill="1" applyAlignment="1">
      <alignment horizontal="center"/>
    </xf>
    <xf numFmtId="0" fontId="65" fillId="0" borderId="0" xfId="0" applyFont="1"/>
    <xf numFmtId="0" fontId="0" fillId="0" borderId="1139" xfId="0" applyBorder="1"/>
    <xf numFmtId="0" fontId="0" fillId="62" borderId="1139" xfId="0" applyFill="1" applyBorder="1"/>
    <xf numFmtId="1" fontId="64" fillId="62" borderId="0" xfId="0" applyNumberFormat="1" applyFont="1" applyFill="1"/>
    <xf numFmtId="0" fontId="0" fillId="62" borderId="0" xfId="0" applyFill="1"/>
    <xf numFmtId="0" fontId="68" fillId="3" borderId="1139" xfId="0" applyFont="1" applyFill="1" applyBorder="1" applyAlignment="1">
      <alignment horizontal="center"/>
    </xf>
    <xf numFmtId="0" fontId="71" fillId="3" borderId="0" xfId="0" applyFont="1" applyFill="1" applyAlignment="1">
      <alignment horizontal="center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0" borderId="1196" xfId="0" applyNumberFormat="1" applyFont="1" applyBorder="1" applyAlignment="1">
      <alignment horizontal="right"/>
    </xf>
    <xf numFmtId="1" fontId="3" fillId="0" borderId="1194" xfId="0" applyNumberFormat="1" applyFont="1" applyBorder="1" applyAlignment="1">
      <alignment horizontal="right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113" xfId="0" applyNumberFormat="1" applyFont="1" applyBorder="1" applyAlignment="1">
      <alignment horizontal="right" wrapText="1"/>
    </xf>
    <xf numFmtId="1" fontId="3" fillId="0" borderId="1143" xfId="0" applyNumberFormat="1" applyFont="1" applyBorder="1" applyAlignment="1">
      <alignment horizontal="right" wrapText="1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1114" xfId="0" applyNumberFormat="1" applyFont="1" applyBorder="1" applyAlignment="1">
      <alignment horizontal="right" wrapText="1"/>
    </xf>
    <xf numFmtId="1" fontId="3" fillId="0" borderId="1191" xfId="0" applyNumberFormat="1" applyFont="1" applyBorder="1" applyAlignment="1">
      <alignment horizontal="right" wrapText="1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49" fontId="66" fillId="0" borderId="0" xfId="0" applyNumberFormat="1" applyFont="1" applyAlignment="1">
      <alignment horizontal="center"/>
    </xf>
    <xf numFmtId="49" fontId="68" fillId="0" borderId="0" xfId="0" applyNumberFormat="1" applyFont="1" applyAlignment="1">
      <alignment horizontal="center"/>
    </xf>
    <xf numFmtId="49" fontId="68" fillId="0" borderId="1139" xfId="0" applyNumberFormat="1" applyFont="1" applyBorder="1" applyAlignment="1">
      <alignment horizontal="center"/>
    </xf>
    <xf numFmtId="49" fontId="66" fillId="0" borderId="1139" xfId="0" applyNumberFormat="1" applyFont="1" applyBorder="1" applyAlignment="1">
      <alignment horizontal="center"/>
    </xf>
    <xf numFmtId="49" fontId="68" fillId="3" borderId="0" xfId="0" applyNumberFormat="1" applyFont="1" applyFill="1" applyAlignment="1">
      <alignment horizontal="center"/>
    </xf>
    <xf numFmtId="0" fontId="64" fillId="0" borderId="1139" xfId="0" applyFont="1" applyBorder="1"/>
    <xf numFmtId="49" fontId="68" fillId="3" borderId="1139" xfId="0" applyNumberFormat="1" applyFont="1" applyFill="1" applyBorder="1" applyAlignment="1">
      <alignment horizontal="center"/>
    </xf>
    <xf numFmtId="49" fontId="66" fillId="3" borderId="0" xfId="0" applyNumberFormat="1" applyFont="1" applyFill="1" applyAlignment="1">
      <alignment horizontal="center"/>
    </xf>
    <xf numFmtId="1" fontId="3" fillId="9" borderId="1200" xfId="28" applyNumberFormat="1" applyFont="1" applyBorder="1" applyAlignment="1" applyProtection="1">
      <alignment horizontal="right"/>
      <protection locked="0"/>
    </xf>
    <xf numFmtId="1" fontId="3" fillId="9" borderId="1201" xfId="28" applyNumberFormat="1" applyFont="1" applyBorder="1" applyAlignment="1" applyProtection="1">
      <alignment horizontal="right"/>
      <protection locked="0"/>
    </xf>
    <xf numFmtId="1" fontId="3" fillId="0" borderId="1202" xfId="0" applyNumberFormat="1" applyFont="1" applyBorder="1"/>
    <xf numFmtId="1" fontId="3" fillId="4" borderId="1203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5" borderId="1085" xfId="0" applyNumberFormat="1" applyFont="1" applyFill="1" applyBorder="1" applyAlignment="1">
      <alignment horizontal="right" wrapText="1"/>
    </xf>
    <xf numFmtId="1" fontId="3" fillId="0" borderId="1204" xfId="0" applyNumberFormat="1" applyFont="1" applyBorder="1"/>
    <xf numFmtId="1" fontId="3" fillId="0" borderId="1177" xfId="0" applyNumberFormat="1" applyFont="1" applyBorder="1"/>
    <xf numFmtId="0" fontId="3" fillId="0" borderId="1081" xfId="0" applyFont="1" applyBorder="1"/>
    <xf numFmtId="1" fontId="3" fillId="0" borderId="1205" xfId="0" applyNumberFormat="1" applyFont="1" applyBorder="1"/>
    <xf numFmtId="1" fontId="3" fillId="4" borderId="1205" xfId="0" applyNumberFormat="1" applyFont="1" applyFill="1" applyBorder="1" applyProtection="1">
      <protection locked="0"/>
    </xf>
    <xf numFmtId="1" fontId="3" fillId="0" borderId="1081" xfId="0" applyNumberFormat="1" applyFont="1" applyBorder="1"/>
    <xf numFmtId="1" fontId="3" fillId="4" borderId="1206" xfId="0" applyNumberFormat="1" applyFont="1" applyFill="1" applyBorder="1" applyProtection="1">
      <protection locked="0"/>
    </xf>
    <xf numFmtId="1" fontId="3" fillId="5" borderId="1138" xfId="0" applyNumberFormat="1" applyFont="1" applyFill="1" applyBorder="1" applyAlignment="1">
      <alignment horizontal="right" wrapText="1"/>
    </xf>
    <xf numFmtId="1" fontId="3" fillId="5" borderId="973" xfId="0" applyNumberFormat="1" applyFont="1" applyFill="1" applyBorder="1" applyAlignment="1">
      <alignment horizontal="right" wrapText="1"/>
    </xf>
    <xf numFmtId="1" fontId="3" fillId="5" borderId="1191" xfId="0" applyNumberFormat="1" applyFont="1" applyFill="1" applyBorder="1" applyAlignment="1">
      <alignment horizontal="right" wrapText="1"/>
    </xf>
    <xf numFmtId="1" fontId="3" fillId="5" borderId="1178" xfId="0" applyNumberFormat="1" applyFont="1" applyFill="1" applyBorder="1" applyAlignment="1">
      <alignment horizontal="right" wrapText="1"/>
    </xf>
    <xf numFmtId="1" fontId="3" fillId="0" borderId="1191" xfId="0" applyNumberFormat="1" applyFont="1" applyBorder="1"/>
    <xf numFmtId="1" fontId="3" fillId="0" borderId="117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5" borderId="1204" xfId="0" applyNumberFormat="1" applyFont="1" applyFill="1" applyBorder="1" applyAlignment="1">
      <alignment horizontal="right" wrapText="1"/>
    </xf>
    <xf numFmtId="1" fontId="3" fillId="5" borderId="1177" xfId="0" applyNumberFormat="1" applyFont="1" applyFill="1" applyBorder="1" applyAlignment="1">
      <alignment horizontal="right" wrapText="1"/>
    </xf>
    <xf numFmtId="1" fontId="3" fillId="5" borderId="1131" xfId="0" applyNumberFormat="1" applyFont="1" applyFill="1" applyBorder="1" applyAlignment="1">
      <alignment horizontal="right" wrapText="1"/>
    </xf>
    <xf numFmtId="1" fontId="3" fillId="0" borderId="1119" xfId="0" applyNumberFormat="1" applyFont="1" applyBorder="1"/>
    <xf numFmtId="1" fontId="3" fillId="30" borderId="1208" xfId="2" applyNumberFormat="1" applyFont="1" applyFill="1" applyBorder="1"/>
    <xf numFmtId="1" fontId="3" fillId="30" borderId="1191" xfId="2" applyNumberFormat="1" applyFont="1" applyFill="1" applyBorder="1"/>
    <xf numFmtId="1" fontId="3" fillId="30" borderId="1209" xfId="2" applyNumberFormat="1" applyFont="1" applyFill="1" applyBorder="1"/>
    <xf numFmtId="1" fontId="3" fillId="30" borderId="1194" xfId="2" applyNumberFormat="1" applyFont="1" applyFill="1" applyBorder="1"/>
    <xf numFmtId="1" fontId="3" fillId="0" borderId="1180" xfId="0" applyNumberFormat="1" applyFont="1" applyBorder="1" applyAlignment="1">
      <alignment horizontal="right" vertical="center" wrapText="1"/>
    </xf>
    <xf numFmtId="1" fontId="3" fillId="4" borderId="1204" xfId="0" applyNumberFormat="1" applyFont="1" applyFill="1" applyBorder="1" applyProtection="1">
      <protection locked="0"/>
    </xf>
    <xf numFmtId="1" fontId="3" fillId="3" borderId="958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Protection="1">
      <protection locked="0"/>
    </xf>
    <xf numFmtId="1" fontId="3" fillId="3" borderId="1125" xfId="0" applyNumberFormat="1" applyFont="1" applyFill="1" applyBorder="1" applyAlignment="1">
      <alignment horizontal="right"/>
    </xf>
    <xf numFmtId="1" fontId="3" fillId="4" borderId="1134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72" fillId="62" borderId="0" xfId="0" applyNumberFormat="1" applyFont="1" applyFill="1" applyAlignment="1">
      <alignment horizontal="center"/>
    </xf>
    <xf numFmtId="49" fontId="66" fillId="3" borderId="1139" xfId="0" applyNumberFormat="1" applyFont="1" applyFill="1" applyBorder="1" applyAlignment="1">
      <alignment horizontal="center"/>
    </xf>
    <xf numFmtId="1" fontId="69" fillId="62" borderId="0" xfId="0" applyNumberFormat="1" applyFont="1" applyFill="1" applyAlignment="1">
      <alignment horizontal="center"/>
    </xf>
    <xf numFmtId="49" fontId="66" fillId="62" borderId="1139" xfId="0" applyNumberFormat="1" applyFont="1" applyFill="1" applyBorder="1" applyAlignment="1">
      <alignment horizontal="center"/>
    </xf>
    <xf numFmtId="49" fontId="66" fillId="3" borderId="1139" xfId="0" applyNumberFormat="1" applyFont="1" applyFill="1" applyBorder="1" applyAlignment="1">
      <alignment horizontal="center" vertical="center"/>
    </xf>
    <xf numFmtId="1" fontId="72" fillId="62" borderId="1139" xfId="0" applyNumberFormat="1" applyFont="1" applyFill="1" applyBorder="1" applyAlignment="1">
      <alignment horizontal="center"/>
    </xf>
    <xf numFmtId="49" fontId="71" fillId="3" borderId="0" xfId="0" applyNumberFormat="1" applyFont="1" applyFill="1" applyAlignment="1">
      <alignment horizontal="center"/>
    </xf>
    <xf numFmtId="1" fontId="3" fillId="4" borderId="1127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1210" xfId="0" applyNumberFormat="1" applyFont="1" applyFill="1" applyBorder="1" applyProtection="1">
      <protection locked="0"/>
    </xf>
    <xf numFmtId="1" fontId="3" fillId="6" borderId="1196" xfId="0" applyNumberFormat="1" applyFont="1" applyFill="1" applyBorder="1"/>
    <xf numFmtId="1" fontId="3" fillId="6" borderId="1193" xfId="0" applyNumberFormat="1" applyFont="1" applyFill="1" applyBorder="1"/>
    <xf numFmtId="1" fontId="3" fillId="6" borderId="975" xfId="0" applyNumberFormat="1" applyFont="1" applyFill="1" applyBorder="1"/>
    <xf numFmtId="1" fontId="3" fillId="6" borderId="843" xfId="0" applyNumberFormat="1" applyFont="1" applyFill="1" applyBorder="1"/>
    <xf numFmtId="1" fontId="3" fillId="4" borderId="1139" xfId="0" applyNumberFormat="1" applyFont="1" applyFill="1" applyBorder="1" applyProtection="1">
      <protection locked="0"/>
    </xf>
    <xf numFmtId="1" fontId="3" fillId="6" borderId="1196" xfId="0" applyNumberFormat="1" applyFont="1" applyFill="1" applyBorder="1" applyProtection="1">
      <protection locked="0"/>
    </xf>
    <xf numFmtId="1" fontId="3" fillId="0" borderId="1141" xfId="0" applyNumberFormat="1" applyFont="1" applyBorder="1"/>
    <xf numFmtId="1" fontId="3" fillId="4" borderId="1078" xfId="0" applyNumberFormat="1" applyFont="1" applyFill="1" applyBorder="1" applyProtection="1">
      <protection locked="0"/>
    </xf>
    <xf numFmtId="1" fontId="3" fillId="6" borderId="1100" xfId="0" applyNumberFormat="1" applyFont="1" applyFill="1" applyBorder="1"/>
    <xf numFmtId="1" fontId="3" fillId="4" borderId="1102" xfId="0" applyNumberFormat="1" applyFont="1" applyFill="1" applyBorder="1" applyProtection="1">
      <protection locked="0"/>
    </xf>
    <xf numFmtId="1" fontId="3" fillId="6" borderId="1204" xfId="0" applyNumberFormat="1" applyFont="1" applyFill="1" applyBorder="1"/>
    <xf numFmtId="1" fontId="3" fillId="6" borderId="1191" xfId="0" applyNumberFormat="1" applyFont="1" applyFill="1" applyBorder="1"/>
    <xf numFmtId="1" fontId="3" fillId="6" borderId="114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4" borderId="1212" xfId="0" applyNumberFormat="1" applyFont="1" applyFill="1" applyBorder="1" applyProtection="1">
      <protection locked="0"/>
    </xf>
    <xf numFmtId="1" fontId="3" fillId="6" borderId="1131" xfId="0" applyNumberFormat="1" applyFont="1" applyFill="1" applyBorder="1"/>
    <xf numFmtId="1" fontId="3" fillId="6" borderId="1134" xfId="0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0" fontId="3" fillId="44" borderId="1102" xfId="0" applyFont="1" applyFill="1" applyBorder="1" applyProtection="1">
      <protection locked="0"/>
    </xf>
    <xf numFmtId="0" fontId="3" fillId="44" borderId="1183" xfId="0" applyFont="1" applyFill="1" applyBorder="1" applyProtection="1">
      <protection locked="0"/>
    </xf>
    <xf numFmtId="0" fontId="3" fillId="0" borderId="1204" xfId="0" applyFont="1" applyBorder="1"/>
    <xf numFmtId="0" fontId="3" fillId="0" borderId="1205" xfId="0" applyFont="1" applyBorder="1"/>
    <xf numFmtId="0" fontId="3" fillId="44" borderId="1213" xfId="0" applyFont="1" applyFill="1" applyBorder="1" applyProtection="1">
      <protection locked="0"/>
    </xf>
    <xf numFmtId="0" fontId="3" fillId="44" borderId="1214" xfId="0" applyFont="1" applyFill="1" applyBorder="1" applyProtection="1">
      <protection locked="0"/>
    </xf>
    <xf numFmtId="0" fontId="3" fillId="44" borderId="1204" xfId="0" applyFont="1" applyFill="1" applyBorder="1" applyProtection="1">
      <protection locked="0"/>
    </xf>
    <xf numFmtId="0" fontId="3" fillId="44" borderId="1215" xfId="0" applyFont="1" applyFill="1" applyBorder="1" applyProtection="1">
      <protection locked="0"/>
    </xf>
    <xf numFmtId="0" fontId="3" fillId="44" borderId="1216" xfId="0" applyFont="1" applyFill="1" applyBorder="1" applyProtection="1">
      <protection locked="0"/>
    </xf>
    <xf numFmtId="0" fontId="3" fillId="44" borderId="1217" xfId="0" applyFont="1" applyFill="1" applyBorder="1" applyProtection="1">
      <protection locked="0"/>
    </xf>
    <xf numFmtId="0" fontId="3" fillId="44" borderId="926" xfId="0" applyFont="1" applyFill="1" applyBorder="1" applyProtection="1">
      <protection locked="0"/>
    </xf>
    <xf numFmtId="0" fontId="3" fillId="44" borderId="1131" xfId="0" applyFont="1" applyFill="1" applyBorder="1" applyProtection="1">
      <protection locked="0"/>
    </xf>
    <xf numFmtId="0" fontId="3" fillId="0" borderId="968" xfId="0" applyFont="1" applyBorder="1"/>
    <xf numFmtId="0" fontId="3" fillId="0" borderId="1131" xfId="0" applyFont="1" applyBorder="1"/>
    <xf numFmtId="0" fontId="3" fillId="0" borderId="1119" xfId="0" applyFont="1" applyBorder="1"/>
    <xf numFmtId="0" fontId="3" fillId="44" borderId="994" xfId="0" applyFont="1" applyFill="1" applyBorder="1" applyProtection="1">
      <protection locked="0"/>
    </xf>
    <xf numFmtId="0" fontId="3" fillId="0" borderId="1128" xfId="0" applyFont="1" applyBorder="1"/>
    <xf numFmtId="0" fontId="3" fillId="0" borderId="1134" xfId="0" applyFont="1" applyBorder="1"/>
    <xf numFmtId="0" fontId="3" fillId="0" borderId="1194" xfId="0" applyFont="1" applyBorder="1"/>
    <xf numFmtId="0" fontId="3" fillId="44" borderId="1128" xfId="0" applyFont="1" applyFill="1" applyBorder="1" applyProtection="1">
      <protection locked="0"/>
    </xf>
    <xf numFmtId="0" fontId="3" fillId="44" borderId="1218" xfId="0" applyFont="1" applyFill="1" applyBorder="1" applyProtection="1">
      <protection locked="0"/>
    </xf>
    <xf numFmtId="0" fontId="3" fillId="44" borderId="1192" xfId="0" applyFont="1" applyFill="1" applyBorder="1" applyProtection="1">
      <protection locked="0"/>
    </xf>
    <xf numFmtId="0" fontId="3" fillId="44" borderId="1191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3" fillId="44" borderId="1219" xfId="0" applyFont="1" applyFill="1" applyBorder="1" applyProtection="1">
      <protection locked="0"/>
    </xf>
    <xf numFmtId="0" fontId="3" fillId="44" borderId="1220" xfId="0" applyFont="1" applyFill="1" applyBorder="1" applyProtection="1">
      <protection locked="0"/>
    </xf>
    <xf numFmtId="0" fontId="3" fillId="44" borderId="1134" xfId="0" applyFont="1" applyFill="1" applyBorder="1" applyProtection="1">
      <protection locked="0"/>
    </xf>
    <xf numFmtId="0" fontId="3" fillId="44" borderId="1221" xfId="0" applyFont="1" applyFill="1" applyBorder="1" applyProtection="1">
      <protection locked="0"/>
    </xf>
    <xf numFmtId="1" fontId="3" fillId="3" borderId="1081" xfId="1" applyNumberFormat="1" applyFont="1" applyFill="1" applyBorder="1"/>
    <xf numFmtId="1" fontId="3" fillId="3" borderId="1196" xfId="1" applyNumberFormat="1" applyFont="1" applyFill="1" applyBorder="1"/>
    <xf numFmtId="1" fontId="3" fillId="3" borderId="1222" xfId="1" applyNumberFormat="1" applyFont="1" applyFill="1" applyBorder="1"/>
    <xf numFmtId="1" fontId="3" fillId="3" borderId="968" xfId="1" applyNumberFormat="1" applyFont="1" applyFill="1" applyBorder="1"/>
    <xf numFmtId="1" fontId="3" fillId="3" borderId="1223" xfId="1" applyNumberFormat="1" applyFont="1" applyFill="1" applyBorder="1"/>
    <xf numFmtId="1" fontId="3" fillId="3" borderId="973" xfId="1" applyNumberFormat="1" applyFont="1" applyFill="1" applyBorder="1"/>
    <xf numFmtId="1" fontId="3" fillId="3" borderId="952" xfId="1" applyNumberFormat="1" applyFont="1" applyFill="1" applyBorder="1"/>
    <xf numFmtId="1" fontId="3" fillId="3" borderId="1224" xfId="1" applyNumberFormat="1" applyFont="1" applyFill="1" applyBorder="1"/>
    <xf numFmtId="1" fontId="3" fillId="4" borderId="1225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794" xfId="0" applyNumberFormat="1" applyFont="1" applyBorder="1"/>
    <xf numFmtId="1" fontId="3" fillId="4" borderId="1227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0" borderId="1228" xfId="0" applyNumberFormat="1" applyFont="1" applyBorder="1"/>
    <xf numFmtId="1" fontId="3" fillId="0" borderId="1229" xfId="0" applyNumberFormat="1" applyFont="1" applyBorder="1"/>
    <xf numFmtId="1" fontId="3" fillId="58" borderId="973" xfId="0" applyNumberFormat="1" applyFont="1" applyFill="1" applyBorder="1"/>
    <xf numFmtId="1" fontId="3" fillId="58" borderId="1225" xfId="0" applyNumberFormat="1" applyFont="1" applyFill="1" applyBorder="1"/>
    <xf numFmtId="1" fontId="3" fillId="0" borderId="1196" xfId="0" applyNumberFormat="1" applyFont="1" applyBorder="1"/>
    <xf numFmtId="1" fontId="3" fillId="4" borderId="1228" xfId="0" applyNumberFormat="1" applyFont="1" applyFill="1" applyBorder="1" applyProtection="1">
      <protection locked="0"/>
    </xf>
    <xf numFmtId="1" fontId="3" fillId="0" borderId="1226" xfId="0" applyNumberFormat="1" applyFont="1" applyBorder="1"/>
    <xf numFmtId="1" fontId="3" fillId="0" borderId="1225" xfId="0" applyNumberFormat="1" applyFont="1" applyBorder="1"/>
    <xf numFmtId="1" fontId="3" fillId="0" borderId="1192" xfId="0" applyNumberFormat="1" applyFont="1" applyBorder="1"/>
    <xf numFmtId="1" fontId="3" fillId="0" borderId="1081" xfId="0" applyNumberFormat="1" applyFont="1" applyBorder="1" applyAlignment="1">
      <alignment horizontal="right" vertical="center" wrapText="1"/>
    </xf>
    <xf numFmtId="1" fontId="3" fillId="0" borderId="1226" xfId="0" applyNumberFormat="1" applyFont="1" applyBorder="1" applyAlignment="1">
      <alignment horizontal="right"/>
    </xf>
    <xf numFmtId="1" fontId="3" fillId="0" borderId="1127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0" borderId="1139" xfId="0" applyNumberFormat="1" applyFont="1" applyBorder="1" applyAlignment="1">
      <alignment wrapText="1"/>
    </xf>
    <xf numFmtId="1" fontId="3" fillId="4" borderId="1182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10" xfId="0" applyNumberFormat="1" applyFont="1" applyFill="1" applyBorder="1" applyProtection="1">
      <protection locked="0"/>
    </xf>
    <xf numFmtId="1" fontId="3" fillId="6" borderId="953" xfId="15" applyNumberFormat="1" applyFont="1" applyFill="1" applyBorder="1"/>
    <xf numFmtId="1" fontId="3" fillId="7" borderId="1078" xfId="0" applyNumberFormat="1" applyFont="1" applyFill="1" applyBorder="1"/>
    <xf numFmtId="1" fontId="3" fillId="7" borderId="1183" xfId="0" applyNumberFormat="1" applyFont="1" applyFill="1" applyBorder="1"/>
    <xf numFmtId="1" fontId="3" fillId="4" borderId="1105" xfId="15" applyNumberFormat="1" applyFont="1" applyFill="1" applyBorder="1" applyProtection="1">
      <protection locked="0"/>
    </xf>
    <xf numFmtId="1" fontId="3" fillId="0" borderId="1128" xfId="0" applyNumberFormat="1" applyFont="1" applyBorder="1" applyAlignment="1">
      <alignment wrapText="1"/>
    </xf>
    <xf numFmtId="1" fontId="3" fillId="0" borderId="1134" xfId="0" applyNumberFormat="1" applyFont="1" applyBorder="1" applyAlignment="1">
      <alignment horizontal="right" wrapText="1"/>
    </xf>
    <xf numFmtId="1" fontId="3" fillId="0" borderId="1192" xfId="0" applyNumberFormat="1" applyFont="1" applyBorder="1" applyAlignment="1">
      <alignment horizontal="right"/>
    </xf>
    <xf numFmtId="1" fontId="3" fillId="4" borderId="1125" xfId="0" applyNumberFormat="1" applyFont="1" applyFill="1" applyBorder="1" applyProtection="1">
      <protection locked="0"/>
    </xf>
    <xf numFmtId="1" fontId="3" fillId="4" borderId="953" xfId="15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vertical="center" wrapText="1"/>
    </xf>
    <xf numFmtId="1" fontId="3" fillId="0" borderId="1137" xfId="0" applyNumberFormat="1" applyFont="1" applyBorder="1" applyAlignment="1">
      <alignment vertical="center" wrapText="1"/>
    </xf>
    <xf numFmtId="1" fontId="3" fillId="3" borderId="1138" xfId="0" applyNumberFormat="1" applyFont="1" applyFill="1" applyBorder="1" applyAlignment="1">
      <alignment vertical="center" wrapText="1"/>
    </xf>
    <xf numFmtId="1" fontId="6" fillId="62" borderId="0" xfId="0" applyNumberFormat="1" applyFont="1" applyFill="1" applyAlignment="1">
      <alignment horizontal="center"/>
    </xf>
    <xf numFmtId="0" fontId="6" fillId="62" borderId="0" xfId="0" applyFont="1" applyFill="1"/>
    <xf numFmtId="0" fontId="68" fillId="3" borderId="1139" xfId="0" quotePrefix="1" applyFont="1" applyFill="1" applyBorder="1" applyAlignment="1">
      <alignment horizontal="center"/>
    </xf>
    <xf numFmtId="0" fontId="7" fillId="0" borderId="1139" xfId="0" applyFont="1" applyBorder="1"/>
    <xf numFmtId="0" fontId="68" fillId="3" borderId="0" xfId="0" quotePrefix="1" applyFont="1" applyFill="1" applyAlignment="1">
      <alignment horizontal="center"/>
    </xf>
    <xf numFmtId="1" fontId="3" fillId="0" borderId="1084" xfId="0" applyNumberFormat="1" applyFont="1" applyBorder="1" applyAlignment="1">
      <alignment horizontal="right" vertical="center" wrapText="1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0" fontId="66" fillId="0" borderId="0" xfId="0" applyFont="1" applyAlignment="1">
      <alignment horizontal="center" vertical="center"/>
    </xf>
    <xf numFmtId="0" fontId="68" fillId="0" borderId="1139" xfId="0" quotePrefix="1" applyFont="1" applyBorder="1" applyAlignment="1">
      <alignment horizontal="center" vertical="center"/>
    </xf>
    <xf numFmtId="0" fontId="68" fillId="3" borderId="1139" xfId="0" quotePrefix="1" applyFont="1" applyFill="1" applyBorder="1" applyAlignment="1">
      <alignment horizontal="center" vertical="center"/>
    </xf>
    <xf numFmtId="0" fontId="66" fillId="0" borderId="1139" xfId="0" applyFont="1" applyBorder="1" applyAlignment="1">
      <alignment horizontal="center" vertical="center"/>
    </xf>
    <xf numFmtId="0" fontId="66" fillId="0" borderId="1139" xfId="0" quotePrefix="1" applyFont="1" applyBorder="1" applyAlignment="1">
      <alignment horizontal="center" vertical="center"/>
    </xf>
    <xf numFmtId="0" fontId="66" fillId="0" borderId="0" xfId="0" quotePrefix="1" applyFont="1" applyAlignment="1">
      <alignment horizontal="center" vertical="center"/>
    </xf>
    <xf numFmtId="0" fontId="64" fillId="62" borderId="0" xfId="0" applyFont="1" applyFill="1"/>
    <xf numFmtId="0" fontId="71" fillId="3" borderId="0" xfId="0" applyFont="1" applyFill="1" applyAlignment="1">
      <alignment horizontal="left" vertical="center"/>
    </xf>
    <xf numFmtId="49" fontId="66" fillId="0" borderId="0" xfId="0" applyNumberFormat="1" applyFont="1" applyAlignment="1">
      <alignment horizontal="center" vertical="center"/>
    </xf>
    <xf numFmtId="49" fontId="66" fillId="0" borderId="1139" xfId="0" applyNumberFormat="1" applyFont="1" applyBorder="1" applyAlignment="1">
      <alignment horizontal="center" vertical="center"/>
    </xf>
    <xf numFmtId="1" fontId="71" fillId="3" borderId="0" xfId="0" applyNumberFormat="1" applyFont="1" applyFill="1"/>
    <xf numFmtId="49" fontId="68" fillId="0" borderId="1139" xfId="0" applyNumberFormat="1" applyFont="1" applyBorder="1" applyAlignment="1">
      <alignment horizontal="center" vertical="center"/>
    </xf>
    <xf numFmtId="1" fontId="71" fillId="0" borderId="0" xfId="0" applyNumberFormat="1" applyFont="1"/>
    <xf numFmtId="1" fontId="71" fillId="3" borderId="1139" xfId="0" applyNumberFormat="1" applyFont="1" applyFill="1" applyBorder="1"/>
    <xf numFmtId="1" fontId="6" fillId="62" borderId="0" xfId="0" applyNumberFormat="1" applyFont="1" applyFill="1"/>
    <xf numFmtId="0" fontId="73" fillId="0" borderId="0" xfId="0" applyFont="1"/>
    <xf numFmtId="0" fontId="73" fillId="0" borderId="1139" xfId="0" applyFont="1" applyBorder="1"/>
    <xf numFmtId="49" fontId="68" fillId="0" borderId="0" xfId="0" applyNumberFormat="1" applyFont="1" applyAlignment="1">
      <alignment horizontal="center" vertical="center"/>
    </xf>
    <xf numFmtId="0" fontId="73" fillId="62" borderId="0" xfId="0" applyFont="1" applyFill="1"/>
    <xf numFmtId="1" fontId="71" fillId="62" borderId="0" xfId="0" applyNumberFormat="1" applyFont="1" applyFill="1"/>
    <xf numFmtId="49" fontId="66" fillId="3" borderId="0" xfId="0" applyNumberFormat="1" applyFont="1" applyFill="1" applyAlignment="1">
      <alignment horizontal="center" vertical="center"/>
    </xf>
    <xf numFmtId="49" fontId="68" fillId="3" borderId="0" xfId="0" applyNumberFormat="1" applyFont="1" applyFill="1" applyAlignment="1">
      <alignment horizontal="center" vertical="center"/>
    </xf>
    <xf numFmtId="1" fontId="3" fillId="4" borderId="940" xfId="0" applyNumberFormat="1" applyFont="1" applyFill="1" applyBorder="1" applyProtection="1">
      <protection locked="0"/>
    </xf>
    <xf numFmtId="0" fontId="66" fillId="5" borderId="1139" xfId="0" applyFont="1" applyFill="1" applyBorder="1" applyAlignment="1">
      <alignment horizontal="center"/>
    </xf>
    <xf numFmtId="0" fontId="68" fillId="5" borderId="1139" xfId="0" applyFont="1" applyFill="1" applyBorder="1" applyAlignment="1">
      <alignment horizontal="center"/>
    </xf>
    <xf numFmtId="0" fontId="66" fillId="5" borderId="0" xfId="0" applyFont="1" applyFill="1" applyAlignment="1">
      <alignment horizontal="center"/>
    </xf>
    <xf numFmtId="0" fontId="68" fillId="5" borderId="0" xfId="0" applyFont="1" applyFill="1" applyAlignment="1">
      <alignment horizontal="center"/>
    </xf>
    <xf numFmtId="0" fontId="66" fillId="5" borderId="0" xfId="0" applyFont="1" applyFill="1" applyAlignment="1">
      <alignment horizontal="center" vertical="center"/>
    </xf>
    <xf numFmtId="0" fontId="68" fillId="5" borderId="0" xfId="0" applyFont="1" applyFill="1" applyAlignment="1">
      <alignment horizontal="center" vertical="center"/>
    </xf>
    <xf numFmtId="0" fontId="66" fillId="5" borderId="0" xfId="0" quotePrefix="1" applyFont="1" applyFill="1" applyAlignment="1">
      <alignment horizontal="center"/>
    </xf>
    <xf numFmtId="49" fontId="30" fillId="0" borderId="0" xfId="0" applyNumberFormat="1" applyFont="1" applyAlignment="1">
      <alignment horizontal="center" vertical="center"/>
    </xf>
    <xf numFmtId="0" fontId="66" fillId="0" borderId="0" xfId="0" applyFont="1" applyAlignment="1">
      <alignment horizontal="center"/>
    </xf>
    <xf numFmtId="0" fontId="65" fillId="0" borderId="0" xfId="0" quotePrefix="1" applyFont="1" applyAlignment="1">
      <alignment horizontal="center"/>
    </xf>
    <xf numFmtId="0" fontId="64" fillId="62" borderId="1139" xfId="0" applyFont="1" applyFill="1" applyBorder="1"/>
    <xf numFmtId="0" fontId="65" fillId="62" borderId="1139" xfId="0" applyFont="1" applyFill="1" applyBorder="1"/>
    <xf numFmtId="0" fontId="71" fillId="0" borderId="0" xfId="0" applyFont="1"/>
    <xf numFmtId="0" fontId="68" fillId="0" borderId="0" xfId="0" applyFont="1" applyAlignment="1">
      <alignment horizontal="center"/>
    </xf>
    <xf numFmtId="0" fontId="66" fillId="0" borderId="1139" xfId="0" applyFont="1" applyBorder="1" applyAlignment="1">
      <alignment horizontal="center"/>
    </xf>
    <xf numFmtId="0" fontId="68" fillId="0" borderId="1139" xfId="0" applyFont="1" applyBorder="1" applyAlignment="1">
      <alignment horizontal="center"/>
    </xf>
    <xf numFmtId="1" fontId="66" fillId="0" borderId="1139" xfId="0" applyNumberFormat="1" applyFont="1" applyBorder="1" applyAlignment="1">
      <alignment horizontal="center"/>
    </xf>
    <xf numFmtId="0" fontId="65" fillId="0" borderId="1139" xfId="0" applyFont="1" applyBorder="1"/>
    <xf numFmtId="0" fontId="65" fillId="62" borderId="0" xfId="0" applyFont="1" applyFill="1"/>
    <xf numFmtId="1" fontId="3" fillId="0" borderId="1204" xfId="0" applyNumberFormat="1" applyFont="1" applyBorder="1" applyAlignment="1">
      <alignment horizontal="right"/>
    </xf>
    <xf numFmtId="1" fontId="3" fillId="0" borderId="1230" xfId="0" applyNumberFormat="1" applyFont="1" applyBorder="1" applyAlignment="1">
      <alignment horizontal="right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0" borderId="1143" xfId="0" applyNumberFormat="1" applyFont="1" applyBorder="1" applyAlignment="1">
      <alignment horizontal="right"/>
    </xf>
    <xf numFmtId="1" fontId="3" fillId="0" borderId="1229" xfId="0" applyNumberFormat="1" applyFont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1191" xfId="0" applyNumberFormat="1" applyFont="1" applyBorder="1" applyAlignment="1">
      <alignment horizontal="right"/>
    </xf>
    <xf numFmtId="1" fontId="3" fillId="0" borderId="1225" xfId="0" applyNumberFormat="1" applyFont="1" applyBorder="1" applyAlignment="1">
      <alignment horizontal="right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0" fontId="70" fillId="0" borderId="0" xfId="0" applyFont="1" applyAlignment="1">
      <alignment horizontal="center"/>
    </xf>
    <xf numFmtId="0" fontId="70" fillId="0" borderId="1139" xfId="0" applyFont="1" applyBorder="1" applyAlignment="1">
      <alignment horizontal="center"/>
    </xf>
    <xf numFmtId="0" fontId="66" fillId="3" borderId="0" xfId="0" applyFont="1" applyFill="1" applyAlignment="1">
      <alignment horizontal="center" vertical="center"/>
    </xf>
    <xf numFmtId="0" fontId="70" fillId="20" borderId="0" xfId="0" applyFont="1" applyFill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3" borderId="1139" xfId="0" applyFont="1" applyFill="1" applyBorder="1" applyAlignment="1">
      <alignment horizontal="center" vertical="center"/>
    </xf>
    <xf numFmtId="2" fontId="3" fillId="4" borderId="885" xfId="6" applyNumberFormat="1" applyFont="1" applyFill="1" applyBorder="1" applyAlignment="1" applyProtection="1">
      <alignment horizontal="left"/>
      <protection locked="0"/>
    </xf>
    <xf numFmtId="2" fontId="3" fillId="4" borderId="911" xfId="6" applyNumberFormat="1" applyFont="1" applyFill="1" applyBorder="1" applyAlignment="1" applyProtection="1">
      <alignment horizontal="left"/>
      <protection locked="0"/>
    </xf>
    <xf numFmtId="2" fontId="3" fillId="4" borderId="685" xfId="6" applyNumberFormat="1" applyFont="1" applyFill="1" applyBorder="1" applyAlignment="1" applyProtection="1">
      <alignment horizontal="left"/>
      <protection locked="0"/>
    </xf>
    <xf numFmtId="2" fontId="3" fillId="4" borderId="703" xfId="6" applyNumberFormat="1" applyFont="1" applyFill="1" applyBorder="1" applyAlignment="1" applyProtection="1">
      <alignment horizontal="left"/>
      <protection locked="0"/>
    </xf>
    <xf numFmtId="2" fontId="3" fillId="4" borderId="947" xfId="6" applyNumberFormat="1" applyFont="1" applyFill="1" applyBorder="1" applyAlignment="1" applyProtection="1">
      <alignment horizontal="left"/>
      <protection locked="0"/>
    </xf>
    <xf numFmtId="2" fontId="3" fillId="4" borderId="954" xfId="0" applyNumberFormat="1" applyFont="1" applyFill="1" applyBorder="1" applyAlignment="1" applyProtection="1">
      <alignment horizontal="left"/>
      <protection locked="0"/>
    </xf>
    <xf numFmtId="2" fontId="3" fillId="4" borderId="952" xfId="0" applyNumberFormat="1" applyFont="1" applyFill="1" applyBorder="1" applyAlignment="1" applyProtection="1">
      <alignment horizontal="left"/>
      <protection locked="0"/>
    </xf>
    <xf numFmtId="2" fontId="3" fillId="4" borderId="946" xfId="0" applyNumberFormat="1" applyFont="1" applyFill="1" applyBorder="1" applyAlignment="1" applyProtection="1">
      <alignment horizontal="left"/>
      <protection locked="0"/>
    </xf>
    <xf numFmtId="2" fontId="3" fillId="4" borderId="946" xfId="6" applyNumberFormat="1" applyFont="1" applyFill="1" applyBorder="1" applyAlignment="1" applyProtection="1">
      <alignment horizontal="left"/>
      <protection locked="0"/>
    </xf>
    <xf numFmtId="1" fontId="8" fillId="62" borderId="0" xfId="0" applyNumberFormat="1" applyFont="1" applyFill="1"/>
    <xf numFmtId="0" fontId="3" fillId="0" borderId="1139" xfId="0" applyFont="1" applyBorder="1"/>
    <xf numFmtId="1" fontId="72" fillId="62" borderId="0" xfId="0" applyNumberFormat="1" applyFont="1" applyFill="1"/>
    <xf numFmtId="1" fontId="8" fillId="3" borderId="1139" xfId="0" applyNumberFormat="1" applyFont="1" applyFill="1" applyBorder="1"/>
    <xf numFmtId="0" fontId="66" fillId="0" borderId="0" xfId="0" quotePrefix="1" applyFont="1" applyAlignment="1">
      <alignment horizontal="center"/>
    </xf>
    <xf numFmtId="0" fontId="68" fillId="0" borderId="0" xfId="0" quotePrefix="1" applyFont="1" applyAlignment="1">
      <alignment horizontal="center"/>
    </xf>
    <xf numFmtId="0" fontId="65" fillId="0" borderId="0" xfId="0" applyFont="1" applyAlignment="1">
      <alignment horizontal="center"/>
    </xf>
    <xf numFmtId="1" fontId="66" fillId="0" borderId="0" xfId="0" applyNumberFormat="1" applyFont="1" applyAlignment="1">
      <alignment horizontal="center"/>
    </xf>
    <xf numFmtId="1" fontId="68" fillId="0" borderId="1139" xfId="0" applyNumberFormat="1" applyFont="1" applyBorder="1" applyAlignment="1">
      <alignment horizontal="center"/>
    </xf>
    <xf numFmtId="0" fontId="3" fillId="62" borderId="0" xfId="0" applyFont="1" applyFill="1"/>
    <xf numFmtId="1" fontId="72" fillId="62" borderId="0" xfId="0" applyNumberFormat="1" applyFont="1" applyFill="1" applyProtection="1">
      <protection locked="0"/>
    </xf>
    <xf numFmtId="0" fontId="74" fillId="0" borderId="1139" xfId="0" applyFont="1" applyBorder="1"/>
    <xf numFmtId="0" fontId="74" fillId="62" borderId="0" xfId="0" applyFont="1" applyFill="1"/>
    <xf numFmtId="1" fontId="66" fillId="3" borderId="1139" xfId="0" applyNumberFormat="1" applyFont="1" applyFill="1" applyBorder="1" applyAlignment="1">
      <alignment horizontal="center"/>
    </xf>
    <xf numFmtId="1" fontId="66" fillId="3" borderId="0" xfId="0" applyNumberFormat="1" applyFont="1" applyFill="1" applyAlignment="1">
      <alignment horizontal="center"/>
    </xf>
    <xf numFmtId="1" fontId="68" fillId="3" borderId="1139" xfId="0" applyNumberFormat="1" applyFont="1" applyFill="1" applyBorder="1" applyAlignment="1">
      <alignment horizontal="center"/>
    </xf>
    <xf numFmtId="1" fontId="3" fillId="3" borderId="1110" xfId="0" applyNumberFormat="1" applyFont="1" applyFill="1" applyBorder="1" applyAlignment="1">
      <alignment horizontal="right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3" borderId="1185" xfId="0" applyNumberFormat="1" applyFont="1" applyFill="1" applyBorder="1" applyAlignment="1">
      <alignment horizontal="right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5" fillId="4" borderId="964" xfId="0" applyNumberFormat="1" applyFont="1" applyFill="1" applyBorder="1" applyAlignment="1" applyProtection="1">
      <alignment horizontal="left"/>
      <protection locked="0"/>
    </xf>
    <xf numFmtId="1" fontId="3" fillId="0" borderId="964" xfId="0" applyNumberFormat="1" applyFont="1" applyBorder="1" applyAlignment="1">
      <alignment horizontal="left"/>
    </xf>
    <xf numFmtId="1" fontId="3" fillId="0" borderId="665" xfId="0" applyNumberFormat="1" applyFont="1" applyBorder="1" applyAlignment="1">
      <alignment horizontal="left"/>
    </xf>
    <xf numFmtId="1" fontId="3" fillId="0" borderId="703" xfId="0" applyNumberFormat="1" applyFont="1" applyBorder="1" applyAlignment="1">
      <alignment horizontal="left"/>
    </xf>
    <xf numFmtId="1" fontId="3" fillId="4" borderId="964" xfId="0" applyNumberFormat="1" applyFont="1" applyFill="1" applyBorder="1" applyAlignment="1" applyProtection="1">
      <alignment horizontal="left"/>
      <protection locked="0"/>
    </xf>
    <xf numFmtId="1" fontId="3" fillId="4" borderId="893" xfId="0" applyNumberFormat="1" applyFont="1" applyFill="1" applyBorder="1" applyAlignment="1" applyProtection="1">
      <alignment horizontal="left"/>
      <protection locked="0"/>
    </xf>
    <xf numFmtId="1" fontId="3" fillId="4" borderId="883" xfId="0" applyNumberFormat="1" applyFont="1" applyFill="1" applyBorder="1" applyAlignment="1" applyProtection="1">
      <alignment horizontal="left"/>
      <protection locked="0"/>
    </xf>
    <xf numFmtId="1" fontId="3" fillId="4" borderId="968" xfId="0" applyNumberFormat="1" applyFont="1" applyFill="1" applyBorder="1" applyAlignment="1" applyProtection="1">
      <alignment horizontal="left"/>
      <protection locked="0"/>
    </xf>
    <xf numFmtId="1" fontId="3" fillId="0" borderId="968" xfId="0" applyNumberFormat="1" applyFont="1" applyBorder="1" applyAlignment="1">
      <alignment horizontal="left"/>
    </xf>
    <xf numFmtId="1" fontId="3" fillId="0" borderId="5" xfId="0" applyNumberFormat="1" applyFont="1" applyBorder="1" applyAlignment="1">
      <alignment horizontal="left"/>
    </xf>
    <xf numFmtId="1" fontId="3" fillId="0" borderId="951" xfId="0" applyNumberFormat="1" applyFont="1" applyBorder="1" applyAlignment="1">
      <alignment horizontal="left"/>
    </xf>
    <xf numFmtId="1" fontId="3" fillId="4" borderId="392" xfId="0" applyNumberFormat="1" applyFont="1" applyFill="1" applyBorder="1" applyAlignment="1" applyProtection="1">
      <alignment horizontal="left"/>
      <protection locked="0"/>
    </xf>
    <xf numFmtId="1" fontId="3" fillId="4" borderId="951" xfId="0" applyNumberFormat="1" applyFont="1" applyFill="1" applyBorder="1" applyAlignment="1" applyProtection="1">
      <alignment horizontal="left"/>
      <protection locked="0"/>
    </xf>
    <xf numFmtId="1" fontId="3" fillId="4" borderId="955" xfId="0" applyNumberFormat="1" applyFont="1" applyFill="1" applyBorder="1" applyAlignment="1" applyProtection="1">
      <alignment horizontal="left"/>
      <protection locked="0"/>
    </xf>
    <xf numFmtId="1" fontId="3" fillId="4" borderId="134" xfId="0" applyNumberFormat="1" applyFont="1" applyFill="1" applyBorder="1" applyAlignment="1" applyProtection="1">
      <alignment horizontal="left"/>
      <protection locked="0"/>
    </xf>
    <xf numFmtId="1" fontId="3" fillId="0" borderId="9" xfId="0" applyNumberFormat="1" applyFont="1" applyBorder="1" applyAlignment="1">
      <alignment horizontal="left"/>
    </xf>
    <xf numFmtId="1" fontId="3" fillId="0" borderId="359" xfId="0" applyNumberFormat="1" applyFont="1" applyBorder="1" applyAlignment="1">
      <alignment horizontal="left"/>
    </xf>
    <xf numFmtId="1" fontId="3" fillId="4" borderId="359" xfId="0" applyNumberFormat="1" applyFont="1" applyFill="1" applyBorder="1" applyAlignment="1" applyProtection="1">
      <alignment horizontal="left"/>
      <protection locked="0"/>
    </xf>
    <xf numFmtId="1" fontId="3" fillId="4" borderId="6" xfId="0" applyNumberFormat="1" applyFont="1" applyFill="1" applyBorder="1" applyAlignment="1" applyProtection="1">
      <alignment horizontal="left"/>
      <protection locked="0"/>
    </xf>
    <xf numFmtId="1" fontId="3" fillId="4" borderId="945" xfId="0" applyNumberFormat="1" applyFont="1" applyFill="1" applyBorder="1" applyAlignment="1" applyProtection="1">
      <alignment horizontal="left"/>
      <protection locked="0"/>
    </xf>
    <xf numFmtId="1" fontId="3" fillId="4" borderId="20" xfId="0" applyNumberFormat="1" applyFont="1" applyFill="1" applyBorder="1" applyAlignment="1" applyProtection="1">
      <alignment horizontal="left"/>
      <protection locked="0"/>
    </xf>
    <xf numFmtId="1" fontId="3" fillId="4" borderId="87" xfId="0" applyNumberFormat="1" applyFont="1" applyFill="1" applyBorder="1" applyAlignment="1" applyProtection="1">
      <alignment horizontal="left"/>
      <protection locked="0"/>
    </xf>
    <xf numFmtId="1" fontId="3" fillId="4" borderId="958" xfId="0" applyNumberFormat="1" applyFont="1" applyFill="1" applyBorder="1" applyAlignment="1" applyProtection="1">
      <alignment horizontal="left"/>
      <protection locked="0"/>
    </xf>
    <xf numFmtId="1" fontId="3" fillId="4" borderId="351" xfId="0" applyNumberFormat="1" applyFont="1" applyFill="1" applyBorder="1" applyAlignment="1" applyProtection="1">
      <alignment horizontal="left"/>
      <protection locked="0"/>
    </xf>
    <xf numFmtId="1" fontId="3" fillId="4" borderId="0" xfId="0" applyNumberFormat="1" applyFont="1" applyFill="1" applyAlignment="1" applyProtection="1">
      <alignment horizontal="left"/>
      <protection locked="0"/>
    </xf>
    <xf numFmtId="1" fontId="3" fillId="4" borderId="203" xfId="0" applyNumberFormat="1" applyFont="1" applyFill="1" applyBorder="1" applyAlignment="1" applyProtection="1">
      <alignment horizontal="left"/>
      <protection locked="0"/>
    </xf>
    <xf numFmtId="1" fontId="3" fillId="4" borderId="967" xfId="0" applyNumberFormat="1" applyFont="1" applyFill="1" applyBorder="1" applyAlignment="1" applyProtection="1">
      <alignment horizontal="left"/>
      <protection locked="0"/>
    </xf>
    <xf numFmtId="1" fontId="3" fillId="4" borderId="352" xfId="0" applyNumberFormat="1" applyFont="1" applyFill="1" applyBorder="1" applyAlignment="1" applyProtection="1">
      <alignment horizontal="left"/>
      <protection locked="0"/>
    </xf>
    <xf numFmtId="1" fontId="3" fillId="4" borderId="973" xfId="0" applyNumberFormat="1" applyFont="1" applyFill="1" applyBorder="1" applyAlignment="1" applyProtection="1">
      <alignment horizontal="left"/>
      <protection locked="0"/>
    </xf>
    <xf numFmtId="1" fontId="5" fillId="6" borderId="1143" xfId="0" applyNumberFormat="1" applyFont="1" applyFill="1" applyBorder="1" applyAlignment="1">
      <alignment horizontal="left"/>
    </xf>
    <xf numFmtId="1" fontId="3" fillId="6" borderId="1178" xfId="0" applyNumberFormat="1" applyFont="1" applyFill="1" applyBorder="1" applyAlignment="1">
      <alignment horizontal="left"/>
    </xf>
    <xf numFmtId="1" fontId="3" fillId="6" borderId="972" xfId="0" applyNumberFormat="1" applyFont="1" applyFill="1" applyBorder="1" applyAlignment="1">
      <alignment horizontal="left"/>
    </xf>
    <xf numFmtId="1" fontId="3" fillId="6" borderId="1143" xfId="0" applyNumberFormat="1" applyFont="1" applyFill="1" applyBorder="1" applyAlignment="1">
      <alignment horizontal="left"/>
    </xf>
    <xf numFmtId="1" fontId="3" fillId="6" borderId="969" xfId="0" applyNumberFormat="1" applyFont="1" applyFill="1" applyBorder="1" applyAlignment="1">
      <alignment horizontal="left"/>
    </xf>
    <xf numFmtId="1" fontId="3" fillId="6" borderId="973" xfId="0" applyNumberFormat="1" applyFont="1" applyFill="1" applyBorder="1" applyAlignment="1">
      <alignment horizontal="left"/>
    </xf>
    <xf numFmtId="1" fontId="3" fillId="6" borderId="958" xfId="0" applyNumberFormat="1" applyFont="1" applyFill="1" applyBorder="1" applyAlignment="1">
      <alignment horizontal="left"/>
    </xf>
    <xf numFmtId="1" fontId="5" fillId="6" borderId="969" xfId="0" applyNumberFormat="1" applyFont="1" applyFill="1" applyBorder="1" applyAlignment="1">
      <alignment horizontal="left"/>
    </xf>
    <xf numFmtId="0" fontId="65" fillId="5" borderId="0" xfId="0" applyFont="1" applyFill="1"/>
    <xf numFmtId="0" fontId="43" fillId="62" borderId="0" xfId="0" applyFont="1" applyFill="1"/>
    <xf numFmtId="0" fontId="12" fillId="62" borderId="0" xfId="0" applyFont="1" applyFill="1"/>
    <xf numFmtId="0" fontId="37" fillId="0" borderId="1139" xfId="0" applyFont="1" applyBorder="1"/>
    <xf numFmtId="0" fontId="75" fillId="5" borderId="0" xfId="0" applyFont="1" applyFill="1"/>
    <xf numFmtId="0" fontId="75" fillId="5" borderId="1139" xfId="0" applyFont="1" applyFill="1" applyBorder="1"/>
    <xf numFmtId="1" fontId="3" fillId="4" borderId="988" xfId="0" applyNumberFormat="1" applyFont="1" applyFill="1" applyBorder="1" applyAlignment="1" applyProtection="1">
      <alignment horizontal="left"/>
      <protection locked="0"/>
    </xf>
    <xf numFmtId="1" fontId="3" fillId="0" borderId="300" xfId="0" applyNumberFormat="1" applyFont="1" applyBorder="1" applyAlignment="1">
      <alignment horizontal="left"/>
    </xf>
    <xf numFmtId="1" fontId="3" fillId="0" borderId="22" xfId="0" applyNumberFormat="1" applyFont="1" applyBorder="1" applyAlignment="1">
      <alignment horizontal="left"/>
    </xf>
    <xf numFmtId="1" fontId="3" fillId="4" borderId="275" xfId="0" applyNumberFormat="1" applyFont="1" applyFill="1" applyBorder="1" applyAlignment="1" applyProtection="1">
      <alignment horizontal="left"/>
      <protection locked="0"/>
    </xf>
    <xf numFmtId="1" fontId="3" fillId="4" borderId="270" xfId="0" applyNumberFormat="1" applyFont="1" applyFill="1" applyBorder="1" applyAlignment="1" applyProtection="1">
      <alignment horizontal="left"/>
      <protection locked="0"/>
    </xf>
    <xf numFmtId="1" fontId="3" fillId="4" borderId="22" xfId="0" applyNumberFormat="1" applyFont="1" applyFill="1" applyBorder="1" applyAlignment="1" applyProtection="1">
      <alignment horizontal="left"/>
      <protection locked="0"/>
    </xf>
    <xf numFmtId="1" fontId="3" fillId="4" borderId="267" xfId="0" applyNumberFormat="1" applyFont="1" applyFill="1" applyBorder="1" applyAlignment="1" applyProtection="1">
      <alignment horizontal="left"/>
      <protection locked="0"/>
    </xf>
    <xf numFmtId="1" fontId="3" fillId="4" borderId="950" xfId="0" applyNumberFormat="1" applyFont="1" applyFill="1" applyBorder="1" applyAlignment="1" applyProtection="1">
      <alignment horizontal="left"/>
      <protection locked="0"/>
    </xf>
    <xf numFmtId="1" fontId="3" fillId="4" borderId="685" xfId="0" applyNumberFormat="1" applyFont="1" applyFill="1" applyBorder="1" applyAlignment="1" applyProtection="1">
      <alignment horizontal="left"/>
      <protection locked="0"/>
    </xf>
    <xf numFmtId="1" fontId="3" fillId="4" borderId="902" xfId="0" applyNumberFormat="1" applyFont="1" applyFill="1" applyBorder="1" applyAlignment="1" applyProtection="1">
      <alignment horizontal="left"/>
      <protection locked="0"/>
    </xf>
    <xf numFmtId="1" fontId="3" fillId="4" borderId="280" xfId="0" applyNumberFormat="1" applyFont="1" applyFill="1" applyBorder="1" applyAlignment="1" applyProtection="1">
      <alignment horizontal="left"/>
      <protection locked="0"/>
    </xf>
    <xf numFmtId="1" fontId="3" fillId="4" borderId="971" xfId="0" applyNumberFormat="1" applyFont="1" applyFill="1" applyBorder="1" applyAlignment="1" applyProtection="1">
      <alignment horizontal="left"/>
      <protection locked="0"/>
    </xf>
    <xf numFmtId="1" fontId="3" fillId="4" borderId="972" xfId="0" applyNumberFormat="1" applyFont="1" applyFill="1" applyBorder="1" applyAlignment="1" applyProtection="1">
      <alignment horizontal="left"/>
      <protection locked="0"/>
    </xf>
    <xf numFmtId="0" fontId="3" fillId="0" borderId="300" xfId="0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/>
    </xf>
    <xf numFmtId="1" fontId="3" fillId="4" borderId="300" xfId="0" applyNumberFormat="1" applyFont="1" applyFill="1" applyBorder="1" applyAlignment="1" applyProtection="1">
      <alignment horizontal="left"/>
      <protection locked="0"/>
    </xf>
    <xf numFmtId="1" fontId="3" fillId="4" borderId="279" xfId="0" applyNumberFormat="1" applyFont="1" applyFill="1" applyBorder="1" applyAlignment="1" applyProtection="1">
      <alignment horizontal="left"/>
      <protection locked="0"/>
    </xf>
    <xf numFmtId="1" fontId="3" fillId="4" borderId="970" xfId="0" applyNumberFormat="1" applyFont="1" applyFill="1" applyBorder="1" applyAlignment="1" applyProtection="1">
      <alignment horizontal="left"/>
      <protection locked="0"/>
    </xf>
    <xf numFmtId="0" fontId="76" fillId="0" borderId="1139" xfId="0" applyFont="1" applyBorder="1" applyAlignment="1">
      <alignment horizontal="center"/>
    </xf>
    <xf numFmtId="0" fontId="30" fillId="0" borderId="1139" xfId="0" applyFont="1" applyBorder="1" applyAlignment="1">
      <alignment horizontal="center"/>
    </xf>
    <xf numFmtId="1" fontId="3" fillId="3" borderId="1139" xfId="0" applyNumberFormat="1" applyFont="1" applyFill="1" applyBorder="1"/>
    <xf numFmtId="1" fontId="3" fillId="62" borderId="0" xfId="0" applyNumberFormat="1" applyFont="1" applyFill="1"/>
    <xf numFmtId="1" fontId="69" fillId="3" borderId="1139" xfId="0" applyNumberFormat="1" applyFont="1" applyFill="1" applyBorder="1"/>
    <xf numFmtId="1" fontId="72" fillId="62" borderId="0" xfId="0" applyNumberFormat="1" applyFont="1" applyFill="1" applyAlignment="1">
      <alignment vertical="center"/>
    </xf>
    <xf numFmtId="0" fontId="77" fillId="6" borderId="0" xfId="0" applyFont="1" applyFill="1" applyAlignment="1">
      <alignment horizontal="center"/>
    </xf>
    <xf numFmtId="0" fontId="0" fillId="62" borderId="0" xfId="0" applyFill="1" applyAlignment="1">
      <alignment horizontal="center"/>
    </xf>
    <xf numFmtId="0" fontId="76" fillId="0" borderId="0" xfId="0" applyFont="1" applyAlignment="1">
      <alignment horizontal="center"/>
    </xf>
    <xf numFmtId="0" fontId="0" fillId="62" borderId="1139" xfId="0" applyFill="1" applyBorder="1" applyAlignment="1">
      <alignment horizontal="center"/>
    </xf>
    <xf numFmtId="0" fontId="76" fillId="3" borderId="1139" xfId="0" applyFont="1" applyFill="1" applyBorder="1" applyAlignment="1">
      <alignment horizontal="center"/>
    </xf>
    <xf numFmtId="0" fontId="5" fillId="0" borderId="1139" xfId="0" applyFont="1" applyBorder="1"/>
    <xf numFmtId="1" fontId="3" fillId="6" borderId="943" xfId="0" applyNumberFormat="1" applyFont="1" applyFill="1" applyBorder="1" applyAlignment="1">
      <alignment horizontal="left"/>
    </xf>
    <xf numFmtId="0" fontId="78" fillId="62" borderId="0" xfId="22" applyFont="1" applyFill="1" applyAlignment="1" applyProtection="1"/>
    <xf numFmtId="0" fontId="25" fillId="62" borderId="0" xfId="0" applyFont="1" applyFill="1"/>
    <xf numFmtId="0" fontId="25" fillId="5" borderId="0" xfId="0" applyFont="1" applyFill="1"/>
    <xf numFmtId="166" fontId="3" fillId="5" borderId="1085" xfId="18" applyNumberFormat="1" applyFont="1" applyFill="1" applyBorder="1" applyAlignment="1" applyProtection="1">
      <alignment vertical="center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22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66" fontId="3" fillId="5" borderId="1141" xfId="18" applyNumberFormat="1" applyFont="1" applyFill="1" applyBorder="1" applyAlignment="1" applyProtection="1">
      <alignment horizontal="right" vertical="center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1192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3" borderId="1183" xfId="0" applyNumberFormat="1" applyFont="1" applyFill="1" applyBorder="1"/>
    <xf numFmtId="1" fontId="3" fillId="6" borderId="1225" xfId="0" applyNumberFormat="1" applyFont="1" applyFill="1" applyBorder="1"/>
    <xf numFmtId="1" fontId="3" fillId="36" borderId="1085" xfId="0" applyNumberFormat="1" applyFont="1" applyFill="1" applyBorder="1" applyProtection="1">
      <protection locked="0"/>
    </xf>
    <xf numFmtId="1" fontId="79" fillId="3" borderId="0" xfId="0" applyNumberFormat="1" applyFont="1" applyFill="1" applyAlignment="1">
      <alignment horizontal="left"/>
    </xf>
    <xf numFmtId="1" fontId="79" fillId="3" borderId="251" xfId="0" applyNumberFormat="1" applyFont="1" applyFill="1" applyBorder="1"/>
    <xf numFmtId="1" fontId="79" fillId="0" borderId="0" xfId="0" applyNumberFormat="1" applyFont="1"/>
    <xf numFmtId="1" fontId="79" fillId="5" borderId="305" xfId="0" applyNumberFormat="1" applyFont="1" applyFill="1" applyBorder="1"/>
    <xf numFmtId="0" fontId="34" fillId="40" borderId="373" xfId="0" applyFont="1" applyFill="1" applyBorder="1" applyAlignment="1">
      <alignment horizontal="center" vertical="center" wrapText="1"/>
    </xf>
    <xf numFmtId="0" fontId="35" fillId="0" borderId="325" xfId="0" applyFont="1" applyBorder="1" applyAlignment="1">
      <alignment horizontal="center" vertical="center" wrapText="1"/>
    </xf>
    <xf numFmtId="0" fontId="35" fillId="0" borderId="368" xfId="0" applyFont="1" applyBorder="1" applyAlignment="1">
      <alignment horizontal="center" vertical="center" wrapText="1"/>
    </xf>
    <xf numFmtId="0" fontId="17" fillId="39" borderId="374" xfId="0" applyFont="1" applyFill="1" applyBorder="1" applyAlignment="1">
      <alignment horizontal="center" vertical="center" wrapText="1"/>
    </xf>
    <xf numFmtId="0" fontId="17" fillId="0" borderId="378" xfId="0" applyFont="1" applyBorder="1" applyAlignment="1">
      <alignment horizontal="center" vertical="center" wrapText="1"/>
    </xf>
    <xf numFmtId="0" fontId="14" fillId="39" borderId="374" xfId="0" applyFont="1" applyFill="1" applyBorder="1" applyAlignment="1">
      <alignment horizontal="center" vertical="center" wrapText="1"/>
    </xf>
    <xf numFmtId="0" fontId="14" fillId="39" borderId="375" xfId="0" applyFont="1" applyFill="1" applyBorder="1" applyAlignment="1">
      <alignment horizontal="center" vertical="center" wrapText="1"/>
    </xf>
    <xf numFmtId="0" fontId="14" fillId="39" borderId="378" xfId="0" applyFont="1" applyFill="1" applyBorder="1" applyAlignment="1">
      <alignment horizontal="center" vertical="center" wrapText="1"/>
    </xf>
    <xf numFmtId="0" fontId="28" fillId="40" borderId="374" xfId="7" applyFont="1" applyFill="1" applyBorder="1" applyAlignment="1">
      <alignment horizontal="center" vertical="center"/>
    </xf>
    <xf numFmtId="0" fontId="28" fillId="40" borderId="378" xfId="7" applyFont="1" applyFill="1" applyBorder="1" applyAlignment="1">
      <alignment horizontal="center" vertical="center"/>
    </xf>
    <xf numFmtId="0" fontId="28" fillId="39" borderId="374" xfId="0" applyFont="1" applyFill="1" applyBorder="1" applyAlignment="1">
      <alignment horizontal="center" vertical="center"/>
    </xf>
    <xf numFmtId="0" fontId="28" fillId="39" borderId="378" xfId="0" applyFont="1" applyFill="1" applyBorder="1" applyAlignment="1">
      <alignment horizontal="center" vertical="center"/>
    </xf>
    <xf numFmtId="1" fontId="2" fillId="0" borderId="1011" xfId="39" applyNumberFormat="1" applyFont="1" applyBorder="1" applyAlignment="1" applyProtection="1">
      <alignment horizontal="left" wrapText="1"/>
    </xf>
    <xf numFmtId="1" fontId="2" fillId="0" borderId="496" xfId="39" applyNumberFormat="1" applyFont="1" applyBorder="1" applyAlignment="1" applyProtection="1">
      <alignment horizontal="left" wrapText="1"/>
    </xf>
    <xf numFmtId="1" fontId="3" fillId="0" borderId="494" xfId="39" applyNumberFormat="1" applyFont="1" applyBorder="1" applyAlignment="1" applyProtection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</xf>
    <xf numFmtId="1" fontId="3" fillId="0" borderId="325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8" xfId="39" applyFont="1" applyBorder="1" applyAlignment="1" applyProtection="1">
      <alignment horizontal="center" vertical="center" wrapText="1"/>
    </xf>
    <xf numFmtId="0" fontId="3" fillId="0" borderId="353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89" xfId="39" applyFont="1" applyBorder="1" applyAlignment="1" applyProtection="1">
      <alignment horizontal="center" vertical="center" wrapText="1"/>
    </xf>
    <xf numFmtId="1" fontId="3" fillId="0" borderId="353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0" fontId="3" fillId="0" borderId="353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89" xfId="39" applyFont="1" applyBorder="1" applyAlignment="1" applyProtection="1">
      <alignment horizontal="center" wrapText="1"/>
    </xf>
    <xf numFmtId="1" fontId="2" fillId="3" borderId="375" xfId="0" applyNumberFormat="1" applyFont="1" applyFill="1" applyBorder="1" applyAlignment="1">
      <alignment horizontal="left"/>
    </xf>
    <xf numFmtId="1" fontId="2" fillId="0" borderId="375" xfId="0" applyNumberFormat="1" applyFont="1" applyBorder="1" applyAlignment="1">
      <alignment horizontal="left"/>
    </xf>
    <xf numFmtId="1" fontId="2" fillId="0" borderId="431" xfId="0" applyNumberFormat="1" applyFont="1" applyBorder="1" applyAlignment="1">
      <alignment horizontal="left"/>
    </xf>
    <xf numFmtId="1" fontId="2" fillId="0" borderId="481" xfId="0" applyNumberFormat="1" applyFont="1" applyBorder="1" applyAlignment="1">
      <alignment horizontal="left"/>
    </xf>
    <xf numFmtId="1" fontId="2" fillId="3" borderId="496" xfId="0" applyNumberFormat="1" applyFont="1" applyFill="1" applyBorder="1" applyAlignment="1">
      <alignment horizontal="left"/>
    </xf>
    <xf numFmtId="0" fontId="3" fillId="0" borderId="502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0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19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/>
    </xf>
    <xf numFmtId="1" fontId="2" fillId="3" borderId="303" xfId="0" applyNumberFormat="1" applyFont="1" applyFill="1" applyBorder="1" applyAlignment="1">
      <alignment horizontal="left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2" fillId="3" borderId="481" xfId="0" applyNumberFormat="1" applyFont="1" applyFill="1" applyBorder="1" applyAlignment="1">
      <alignment horizontal="lef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8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500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7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0" xfId="15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74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516" xfId="15" applyNumberFormat="1" applyFont="1" applyBorder="1" applyAlignment="1" applyProtection="1">
      <alignment horizontal="center" vertical="center" wrapText="1"/>
      <protection locked="0"/>
    </xf>
    <xf numFmtId="1" fontId="3" fillId="0" borderId="560" xfId="15" applyNumberFormat="1" applyFont="1" applyBorder="1" applyAlignment="1" applyProtection="1">
      <alignment horizontal="center" vertical="center" wrapText="1"/>
      <protection locked="0"/>
    </xf>
    <xf numFmtId="0" fontId="3" fillId="0" borderId="516" xfId="0" applyFont="1" applyBorder="1" applyAlignment="1">
      <alignment horizontal="center" vertical="center" wrapText="1"/>
    </xf>
    <xf numFmtId="0" fontId="3" fillId="0" borderId="274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40" xfId="0" applyFont="1" applyBorder="1" applyAlignment="1">
      <alignment horizont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258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45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277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365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40" xfId="15" quotePrefix="1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8" xfId="15" applyNumberFormat="1" applyFont="1" applyBorder="1" applyAlignment="1" applyProtection="1">
      <alignment horizontal="center" vertical="center" wrapText="1"/>
      <protection locked="0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255" xfId="15" applyNumberFormat="1" applyFont="1" applyBorder="1" applyAlignment="1">
      <alignment horizontal="center" vertical="center" wrapText="1"/>
    </xf>
    <xf numFmtId="1" fontId="3" fillId="0" borderId="274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19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left" vertical="center" wrapText="1"/>
    </xf>
    <xf numFmtId="1" fontId="3" fillId="0" borderId="561" xfId="15" applyNumberFormat="1" applyFont="1" applyBorder="1" applyAlignment="1">
      <alignment horizontal="left" vertical="center" wrapText="1"/>
    </xf>
    <xf numFmtId="1" fontId="3" fillId="0" borderId="339" xfId="15" applyNumberFormat="1" applyFont="1" applyBorder="1" applyAlignment="1">
      <alignment horizontal="left" vertical="center" wrapText="1"/>
    </xf>
    <xf numFmtId="1" fontId="3" fillId="0" borderId="332" xfId="15" applyNumberFormat="1" applyFont="1" applyBorder="1" applyAlignment="1">
      <alignment horizontal="left" vertical="center" wrapText="1"/>
    </xf>
    <xf numFmtId="1" fontId="3" fillId="0" borderId="326" xfId="15" applyNumberFormat="1" applyFont="1" applyBorder="1" applyAlignment="1">
      <alignment horizontal="left" vertical="center" wrapText="1"/>
    </xf>
    <xf numFmtId="1" fontId="3" fillId="0" borderId="364" xfId="15" applyNumberFormat="1" applyFont="1" applyBorder="1" applyAlignment="1">
      <alignment horizontal="left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left" vertical="center"/>
    </xf>
    <xf numFmtId="0" fontId="0" fillId="0" borderId="334" xfId="0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33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 wrapText="1"/>
    </xf>
    <xf numFmtId="1" fontId="3" fillId="0" borderId="334" xfId="0" applyNumberFormat="1" applyFont="1" applyBorder="1" applyAlignment="1">
      <alignment horizontal="left" wrapText="1"/>
    </xf>
    <xf numFmtId="0" fontId="3" fillId="0" borderId="517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6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277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/>
    </xf>
    <xf numFmtId="1" fontId="3" fillId="0" borderId="560" xfId="15" applyNumberFormat="1" applyFont="1" applyBorder="1" applyAlignment="1">
      <alignment horizontal="center" vertical="center"/>
    </xf>
    <xf numFmtId="1" fontId="3" fillId="0" borderId="527" xfId="15" applyNumberFormat="1" applyFont="1" applyBorder="1" applyAlignment="1">
      <alignment horizontal="left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52" xfId="15" applyNumberFormat="1" applyFont="1" applyBorder="1" applyAlignment="1">
      <alignment horizontal="left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560" xfId="0" applyFont="1" applyBorder="1" applyAlignment="1">
      <alignment horizontal="left" vertical="center" wrapText="1"/>
    </xf>
    <xf numFmtId="0" fontId="3" fillId="0" borderId="489" xfId="0" applyFont="1" applyBorder="1" applyAlignment="1">
      <alignment horizontal="left" vertical="center" wrapText="1"/>
    </xf>
    <xf numFmtId="1" fontId="3" fillId="0" borderId="564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19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16" xfId="14" applyNumberFormat="1" applyFont="1" applyBorder="1" applyAlignment="1">
      <alignment horizontal="center" vertical="center"/>
    </xf>
    <xf numFmtId="1" fontId="3" fillId="0" borderId="274" xfId="14" applyNumberFormat="1" applyFont="1" applyBorder="1" applyAlignment="1">
      <alignment horizontal="center" vertical="center"/>
    </xf>
    <xf numFmtId="1" fontId="3" fillId="0" borderId="530" xfId="14" applyNumberFormat="1" applyFont="1" applyBorder="1" applyAlignment="1">
      <alignment horizontal="center" vertical="center"/>
    </xf>
    <xf numFmtId="1" fontId="3" fillId="0" borderId="560" xfId="14" applyNumberFormat="1" applyFont="1" applyBorder="1" applyAlignment="1">
      <alignment horizontal="center" vertical="center"/>
    </xf>
    <xf numFmtId="1" fontId="3" fillId="0" borderId="496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543" xfId="15" quotePrefix="1" applyNumberFormat="1" applyFont="1" applyBorder="1" applyAlignment="1">
      <alignment horizontal="center" vertical="center" wrapText="1"/>
    </xf>
    <xf numFmtId="1" fontId="3" fillId="0" borderId="544" xfId="15" quotePrefix="1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left" vertical="center" wrapText="1"/>
    </xf>
    <xf numFmtId="1" fontId="3" fillId="0" borderId="500" xfId="15" applyNumberFormat="1" applyFont="1" applyBorder="1" applyAlignment="1">
      <alignment horizontal="left" vertical="center" wrapText="1"/>
    </xf>
    <xf numFmtId="1" fontId="3" fillId="0" borderId="560" xfId="15" applyNumberFormat="1" applyFont="1" applyBorder="1" applyAlignment="1">
      <alignment horizontal="center"/>
    </xf>
    <xf numFmtId="1" fontId="3" fillId="0" borderId="489" xfId="15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 wrapText="1"/>
    </xf>
    <xf numFmtId="1" fontId="3" fillId="0" borderId="522" xfId="0" applyNumberFormat="1" applyFont="1" applyBorder="1" applyAlignment="1">
      <alignment horizont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2" fillId="3" borderId="274" xfId="0" applyNumberFormat="1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6" borderId="277" xfId="0" applyNumberFormat="1" applyFont="1" applyFill="1" applyBorder="1" applyAlignment="1">
      <alignment horizontal="left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6" borderId="282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5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/>
    </xf>
    <xf numFmtId="1" fontId="3" fillId="0" borderId="185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5" xfId="0" applyNumberFormat="1" applyFont="1" applyBorder="1" applyAlignment="1">
      <alignment horizontal="center" vertical="center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/>
    </xf>
    <xf numFmtId="1" fontId="3" fillId="0" borderId="276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8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/>
    </xf>
    <xf numFmtId="1" fontId="3" fillId="0" borderId="560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14" fillId="5" borderId="620" xfId="29" quotePrefix="1" applyNumberFormat="1" applyFont="1" applyFill="1" applyBorder="1" applyAlignment="1">
      <alignment horizontal="left"/>
    </xf>
    <xf numFmtId="1" fontId="14" fillId="5" borderId="628" xfId="29" quotePrefix="1" applyNumberFormat="1" applyFont="1" applyFill="1" applyBorder="1" applyAlignment="1">
      <alignment horizontal="left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68" xfId="29" applyNumberFormat="1" applyFont="1" applyBorder="1" applyAlignment="1">
      <alignment horizontal="center" vertical="center" wrapText="1"/>
    </xf>
    <xf numFmtId="1" fontId="3" fillId="0" borderId="274" xfId="30" applyNumberFormat="1" applyFont="1" applyBorder="1" applyAlignment="1">
      <alignment horizontal="center" vertical="center"/>
    </xf>
    <xf numFmtId="1" fontId="3" fillId="0" borderId="530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5" fillId="0" borderId="1181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/>
    </xf>
    <xf numFmtId="1" fontId="5" fillId="0" borderId="1142" xfId="30" applyNumberFormat="1" applyFont="1" applyBorder="1" applyAlignment="1">
      <alignment horizontal="center" vertical="center"/>
    </xf>
    <xf numFmtId="1" fontId="5" fillId="0" borderId="119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/>
    </xf>
    <xf numFmtId="0" fontId="3" fillId="0" borderId="522" xfId="0" applyFont="1" applyBorder="1" applyAlignment="1">
      <alignment horizontal="center"/>
    </xf>
    <xf numFmtId="0" fontId="3" fillId="0" borderId="52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27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2" fillId="0" borderId="596" xfId="0" applyNumberFormat="1" applyFont="1" applyBorder="1" applyAlignment="1">
      <alignment horizontal="left"/>
    </xf>
    <xf numFmtId="1" fontId="3" fillId="0" borderId="57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/>
    </xf>
    <xf numFmtId="1" fontId="3" fillId="6" borderId="587" xfId="0" applyNumberFormat="1" applyFont="1" applyFill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left" vertical="center"/>
    </xf>
    <xf numFmtId="1" fontId="3" fillId="0" borderId="578" xfId="30" applyNumberFormat="1" applyFont="1" applyBorder="1" applyAlignment="1">
      <alignment horizontal="center" vertical="center"/>
    </xf>
    <xf numFmtId="1" fontId="3" fillId="0" borderId="564" xfId="30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324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516" xfId="30" applyNumberFormat="1" applyFont="1" applyBorder="1" applyAlignment="1">
      <alignment horizontal="center" vertical="center" wrapText="1"/>
    </xf>
    <xf numFmtId="1" fontId="3" fillId="0" borderId="274" xfId="30" applyNumberFormat="1" applyFont="1" applyBorder="1" applyAlignment="1">
      <alignment horizontal="center" vertical="center" wrapText="1"/>
    </xf>
    <xf numFmtId="1" fontId="3" fillId="0" borderId="560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4" fillId="0" borderId="595" xfId="0" applyNumberFormat="1" applyFont="1" applyBorder="1" applyAlignment="1">
      <alignment horizontal="left" vertical="center"/>
    </xf>
    <xf numFmtId="1" fontId="4" fillId="0" borderId="620" xfId="0" applyNumberFormat="1" applyFont="1" applyBorder="1" applyAlignment="1">
      <alignment horizontal="left" vertical="center"/>
    </xf>
    <xf numFmtId="1" fontId="4" fillId="0" borderId="581" xfId="0" applyNumberFormat="1" applyFont="1" applyBorder="1" applyAlignment="1">
      <alignment horizontal="left" vertical="center"/>
    </xf>
    <xf numFmtId="1" fontId="2" fillId="5" borderId="614" xfId="29" quotePrefix="1" applyNumberFormat="1" applyFont="1" applyFill="1" applyBorder="1" applyAlignment="1">
      <alignment horizontal="left"/>
    </xf>
    <xf numFmtId="1" fontId="2" fillId="5" borderId="622" xfId="29" quotePrefix="1" applyNumberFormat="1" applyFont="1" applyFill="1" applyBorder="1" applyAlignment="1">
      <alignment horizontal="left"/>
    </xf>
    <xf numFmtId="1" fontId="3" fillId="0" borderId="577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68" xfId="29" applyNumberFormat="1" applyFont="1" applyBorder="1" applyAlignment="1">
      <alignment horizontal="center" vertical="center" wrapText="1"/>
    </xf>
    <xf numFmtId="1" fontId="3" fillId="0" borderId="516" xfId="29" applyNumberFormat="1" applyFont="1" applyBorder="1" applyAlignment="1">
      <alignment horizontal="center" vertical="center" wrapText="1"/>
    </xf>
    <xf numFmtId="1" fontId="3" fillId="0" borderId="488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597" xfId="29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/>
    </xf>
    <xf numFmtId="0" fontId="3" fillId="0" borderId="368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wrapText="1"/>
    </xf>
    <xf numFmtId="0" fontId="3" fillId="0" borderId="1182" xfId="0" applyFont="1" applyBorder="1" applyAlignment="1">
      <alignment horizontal="center" wrapText="1"/>
    </xf>
    <xf numFmtId="0" fontId="3" fillId="0" borderId="118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18" xfId="0" applyFont="1" applyBorder="1" applyAlignment="1">
      <alignment horizontal="center" wrapText="1"/>
    </xf>
    <xf numFmtId="0" fontId="3" fillId="0" borderId="1072" xfId="0" applyFont="1" applyBorder="1" applyAlignment="1">
      <alignment horizontal="center"/>
    </xf>
    <xf numFmtId="0" fontId="3" fillId="0" borderId="1183" xfId="0" applyFont="1" applyBorder="1" applyAlignment="1">
      <alignment horizontal="center"/>
    </xf>
    <xf numFmtId="0" fontId="3" fillId="0" borderId="522" xfId="0" applyFont="1" applyBorder="1" applyAlignment="1">
      <alignment horizont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95" xfId="0" applyNumberFormat="1" applyFont="1" applyFill="1" applyBorder="1" applyAlignment="1">
      <alignment horizontal="center" vertical="center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9" xfId="0" applyNumberFormat="1" applyFont="1" applyFill="1" applyBorder="1" applyAlignment="1">
      <alignment horizontal="left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6" borderId="689" xfId="0" applyNumberFormat="1" applyFont="1" applyFill="1" applyBorder="1" applyAlignment="1">
      <alignment horizontal="center" vertical="center"/>
    </xf>
    <xf numFmtId="1" fontId="3" fillId="6" borderId="634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6" borderId="662" xfId="0" applyNumberFormat="1" applyFont="1" applyFill="1" applyBorder="1" applyAlignment="1">
      <alignment horizontal="center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6" borderId="704" xfId="0" applyNumberFormat="1" applyFont="1" applyFill="1" applyBorder="1" applyAlignment="1">
      <alignment horizontal="center" vertical="center" wrapText="1"/>
    </xf>
    <xf numFmtId="1" fontId="3" fillId="6" borderId="255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0" fontId="3" fillId="5" borderId="665" xfId="0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87" xfId="0" applyNumberFormat="1" applyFont="1" applyBorder="1"/>
    <xf numFmtId="1" fontId="3" fillId="0" borderId="684" xfId="0" applyNumberFormat="1" applyFont="1" applyBorder="1" applyAlignment="1">
      <alignment horizontal="center"/>
    </xf>
    <xf numFmtId="1" fontId="3" fillId="0" borderId="587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249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588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1" fontId="3" fillId="0" borderId="585" xfId="0" applyNumberFormat="1" applyFont="1" applyBorder="1"/>
    <xf numFmtId="1" fontId="3" fillId="0" borderId="329" xfId="0" applyNumberFormat="1" applyFont="1" applyBorder="1"/>
    <xf numFmtId="1" fontId="3" fillId="0" borderId="338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horizontal="left" wrapText="1"/>
    </xf>
    <xf numFmtId="1" fontId="3" fillId="0" borderId="634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left" wrapText="1"/>
    </xf>
    <xf numFmtId="1" fontId="3" fillId="0" borderId="35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07" xfId="0" applyNumberFormat="1" applyFont="1" applyBorder="1" applyAlignment="1">
      <alignment horizontal="left" wrapText="1"/>
    </xf>
    <xf numFmtId="1" fontId="3" fillId="0" borderId="625" xfId="0" applyNumberFormat="1" applyFont="1" applyBorder="1"/>
    <xf numFmtId="1" fontId="3" fillId="0" borderId="607" xfId="0" applyNumberFormat="1" applyFont="1" applyBorder="1"/>
    <xf numFmtId="1" fontId="3" fillId="0" borderId="419" xfId="0" applyNumberFormat="1" applyFont="1" applyBorder="1"/>
    <xf numFmtId="1" fontId="3" fillId="0" borderId="352" xfId="0" applyNumberFormat="1" applyFont="1" applyBorder="1"/>
    <xf numFmtId="1" fontId="3" fillId="0" borderId="633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/>
    <xf numFmtId="1" fontId="3" fillId="0" borderId="634" xfId="0" applyNumberFormat="1" applyFont="1" applyBorder="1"/>
    <xf numFmtId="1" fontId="3" fillId="0" borderId="51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3" borderId="633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/>
    </xf>
    <xf numFmtId="1" fontId="3" fillId="0" borderId="633" xfId="0" applyNumberFormat="1" applyFont="1" applyBorder="1" applyAlignment="1">
      <alignment horizontal="center"/>
    </xf>
    <xf numFmtId="1" fontId="3" fillId="0" borderId="613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07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88" xfId="0" applyNumberFormat="1" applyFont="1" applyBorder="1" applyAlignment="1">
      <alignment horizontal="left"/>
    </xf>
    <xf numFmtId="1" fontId="3" fillId="0" borderId="489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 applyProtection="1">
      <alignment wrapText="1"/>
      <protection hidden="1"/>
    </xf>
    <xf numFmtId="1" fontId="3" fillId="0" borderId="634" xfId="0" applyNumberFormat="1" applyFont="1" applyBorder="1" applyAlignment="1" applyProtection="1">
      <alignment wrapText="1"/>
      <protection hidden="1"/>
    </xf>
    <xf numFmtId="0" fontId="3" fillId="0" borderId="666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488" xfId="0" applyNumberFormat="1" applyFont="1" applyBorder="1"/>
    <xf numFmtId="1" fontId="3" fillId="0" borderId="676" xfId="0" applyNumberFormat="1" applyFont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/>
    </xf>
    <xf numFmtId="1" fontId="2" fillId="0" borderId="633" xfId="0" applyNumberFormat="1" applyFont="1" applyBorder="1"/>
    <xf numFmtId="1" fontId="2" fillId="0" borderId="634" xfId="0" applyNumberFormat="1" applyFont="1" applyBorder="1"/>
    <xf numFmtId="1" fontId="2" fillId="0" borderId="595" xfId="0" applyNumberFormat="1" applyFont="1" applyBorder="1" applyAlignment="1">
      <alignment wrapText="1"/>
    </xf>
    <xf numFmtId="1" fontId="2" fillId="0" borderId="634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6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595" xfId="0" applyNumberFormat="1" applyFont="1" applyBorder="1"/>
    <xf numFmtId="1" fontId="3" fillId="0" borderId="606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68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613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>
      <alignment horizontal="left" vertical="center"/>
    </xf>
    <xf numFmtId="1" fontId="3" fillId="0" borderId="666" xfId="0" applyNumberFormat="1" applyFont="1" applyBorder="1" applyAlignment="1">
      <alignment horizontal="left" vertical="center"/>
    </xf>
    <xf numFmtId="0" fontId="3" fillId="0" borderId="689" xfId="0" applyFont="1" applyBorder="1" applyAlignment="1">
      <alignment wrapText="1"/>
    </xf>
    <xf numFmtId="0" fontId="3" fillId="0" borderId="634" xfId="0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5" borderId="419" xfId="0" applyNumberFormat="1" applyFont="1" applyFill="1" applyBorder="1" applyAlignment="1">
      <alignment wrapText="1"/>
    </xf>
    <xf numFmtId="1" fontId="3" fillId="5" borderId="352" xfId="0" applyNumberFormat="1" applyFont="1" applyFill="1" applyBorder="1" applyAlignment="1">
      <alignment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66" xfId="15" applyNumberFormat="1" applyFont="1" applyBorder="1" applyAlignment="1">
      <alignment horizontal="center" vertical="center" wrapText="1"/>
    </xf>
    <xf numFmtId="1" fontId="3" fillId="0" borderId="676" xfId="15" applyNumberFormat="1" applyFont="1" applyBorder="1" applyAlignment="1">
      <alignment horizontal="center" vertical="center" wrapText="1"/>
    </xf>
    <xf numFmtId="1" fontId="3" fillId="0" borderId="652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8" xfId="15" applyNumberFormat="1" applyFont="1" applyBorder="1" applyAlignment="1">
      <alignment horizontal="center" vertical="center" wrapText="1"/>
    </xf>
    <xf numFmtId="0" fontId="3" fillId="45" borderId="182" xfId="0" applyFont="1" applyFill="1" applyBorder="1" applyAlignment="1">
      <alignment horizontal="center" vertical="center" wrapText="1"/>
    </xf>
    <xf numFmtId="0" fontId="3" fillId="45" borderId="403" xfId="0" applyFont="1" applyFill="1" applyBorder="1" applyAlignment="1">
      <alignment horizontal="center" vertical="center" wrapText="1"/>
    </xf>
    <xf numFmtId="0" fontId="3" fillId="45" borderId="501" xfId="0" applyFont="1" applyFill="1" applyBorder="1" applyAlignment="1">
      <alignment horizontal="center" vertical="center" wrapText="1"/>
    </xf>
    <xf numFmtId="0" fontId="3" fillId="0" borderId="625" xfId="0" applyFont="1" applyBorder="1" applyAlignment="1">
      <alignment wrapText="1"/>
    </xf>
    <xf numFmtId="0" fontId="3" fillId="0" borderId="607" xfId="0" applyFont="1" applyBorder="1" applyAlignment="1">
      <alignment wrapText="1"/>
    </xf>
    <xf numFmtId="0" fontId="3" fillId="0" borderId="338" xfId="0" applyFont="1" applyBorder="1" applyAlignment="1">
      <alignment wrapText="1"/>
    </xf>
    <xf numFmtId="0" fontId="3" fillId="0" borderId="334" xfId="0" applyFont="1" applyBorder="1" applyAlignment="1">
      <alignment wrapText="1"/>
    </xf>
    <xf numFmtId="0" fontId="3" fillId="0" borderId="665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1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75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2" xfId="0" applyFont="1" applyFill="1" applyBorder="1" applyAlignment="1">
      <alignment horizontal="center" vertical="center" wrapText="1"/>
    </xf>
    <xf numFmtId="0" fontId="3" fillId="45" borderId="534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1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1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3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20" borderId="419" xfId="0" applyFont="1" applyFill="1" applyBorder="1" applyAlignment="1">
      <alignment wrapText="1"/>
    </xf>
    <xf numFmtId="0" fontId="3" fillId="20" borderId="352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3" xfId="0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88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0" fontId="3" fillId="5" borderId="726" xfId="0" applyFont="1" applyFill="1" applyBorder="1" applyAlignment="1">
      <alignment horizontal="center" vertical="center"/>
    </xf>
    <xf numFmtId="0" fontId="3" fillId="5" borderId="689" xfId="0" applyFont="1" applyFill="1" applyBorder="1" applyAlignment="1">
      <alignment horizontal="center" vertical="center"/>
    </xf>
    <xf numFmtId="0" fontId="3" fillId="5" borderId="634" xfId="0" applyFont="1" applyFill="1" applyBorder="1" applyAlignment="1">
      <alignment horizontal="center" vertical="center"/>
    </xf>
    <xf numFmtId="1" fontId="2" fillId="0" borderId="689" xfId="0" applyNumberFormat="1" applyFont="1" applyBorder="1" applyAlignment="1" applyProtection="1">
      <alignment horizontal="left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13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319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255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2" fillId="0" borderId="251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 wrapText="1"/>
    </xf>
    <xf numFmtId="0" fontId="3" fillId="5" borderId="630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8" xfId="0" applyFont="1" applyFill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center" wrapText="1"/>
    </xf>
    <xf numFmtId="1" fontId="3" fillId="0" borderId="254" xfId="0" applyNumberFormat="1" applyFont="1" applyBorder="1" applyAlignment="1">
      <alignment horizontal="center" wrapText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324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665" xfId="0" applyNumberFormat="1" applyFont="1" applyFill="1" applyBorder="1" applyAlignment="1">
      <alignment horizontal="center" vertical="center"/>
    </xf>
    <xf numFmtId="1" fontId="3" fillId="3" borderId="666" xfId="0" applyNumberFormat="1" applyFont="1" applyFill="1" applyBorder="1" applyAlignment="1">
      <alignment horizontal="center" vertical="center"/>
    </xf>
    <xf numFmtId="1" fontId="3" fillId="3" borderId="259" xfId="0" applyNumberFormat="1" applyFont="1" applyFill="1" applyBorder="1" applyAlignment="1">
      <alignment horizontal="center" vertical="center"/>
    </xf>
    <xf numFmtId="1" fontId="3" fillId="3" borderId="251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0" fontId="3" fillId="0" borderId="726" xfId="0" applyFont="1" applyBorder="1" applyAlignment="1">
      <alignment horizontal="center" vertical="center" wrapText="1"/>
    </xf>
    <xf numFmtId="1" fontId="2" fillId="0" borderId="741" xfId="0" applyNumberFormat="1" applyFont="1" applyBorder="1" applyAlignment="1">
      <alignment horizontal="left"/>
    </xf>
    <xf numFmtId="1" fontId="2" fillId="0" borderId="665" xfId="0" applyNumberFormat="1" applyFont="1" applyBorder="1" applyAlignment="1">
      <alignment horizontal="left"/>
    </xf>
    <xf numFmtId="0" fontId="3" fillId="0" borderId="1133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20" borderId="1011" xfId="0" applyFont="1" applyFill="1" applyBorder="1" applyAlignment="1">
      <alignment horizontal="center" vertical="center" wrapText="1"/>
    </xf>
    <xf numFmtId="0" fontId="3" fillId="20" borderId="666" xfId="0" applyFont="1" applyFill="1" applyBorder="1" applyAlignment="1">
      <alignment horizontal="center" vertical="center" wrapText="1"/>
    </xf>
    <xf numFmtId="0" fontId="3" fillId="20" borderId="1125" xfId="0" applyFont="1" applyFill="1" applyBorder="1" applyAlignment="1">
      <alignment horizontal="center" vertical="center" wrapText="1"/>
    </xf>
    <xf numFmtId="0" fontId="3" fillId="20" borderId="252" xfId="0" applyFont="1" applyFill="1" applyBorder="1" applyAlignment="1">
      <alignment horizontal="center" vertical="center" wrapText="1"/>
    </xf>
    <xf numFmtId="0" fontId="3" fillId="0" borderId="726" xfId="0" applyFont="1" applyBorder="1" applyAlignment="1">
      <alignment horizontal="center"/>
    </xf>
    <xf numFmtId="0" fontId="3" fillId="0" borderId="689" xfId="0" applyFont="1" applyBorder="1" applyAlignment="1">
      <alignment horizontal="center"/>
    </xf>
    <xf numFmtId="0" fontId="3" fillId="0" borderId="613" xfId="0" applyFont="1" applyBorder="1" applyAlignment="1">
      <alignment horizont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81" xfId="0" applyNumberFormat="1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1125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/>
    </xf>
    <xf numFmtId="1" fontId="3" fillId="22" borderId="516" xfId="0" applyNumberFormat="1" applyFont="1" applyFill="1" applyBorder="1" applyAlignment="1">
      <alignment horizontal="center" vertical="center" wrapText="1"/>
    </xf>
    <xf numFmtId="1" fontId="3" fillId="22" borderId="666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 shrinkToFit="1"/>
    </xf>
    <xf numFmtId="1" fontId="3" fillId="0" borderId="334" xfId="0" applyNumberFormat="1" applyFont="1" applyBorder="1" applyAlignment="1">
      <alignment horizontal="left" vertical="center" shrinkToFit="1"/>
    </xf>
    <xf numFmtId="1" fontId="3" fillId="0" borderId="419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35" xfId="0" applyNumberFormat="1" applyFont="1" applyBorder="1" applyAlignment="1">
      <alignment horizontal="left"/>
    </xf>
    <xf numFmtId="1" fontId="2" fillId="0" borderId="719" xfId="0" applyNumberFormat="1" applyFont="1" applyBorder="1" applyAlignment="1">
      <alignment horizontal="left"/>
    </xf>
    <xf numFmtId="0" fontId="3" fillId="0" borderId="298" xfId="0" applyFont="1" applyBorder="1" applyAlignment="1">
      <alignment horizontal="left" wrapText="1"/>
    </xf>
    <xf numFmtId="0" fontId="3" fillId="0" borderId="299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6" fontId="3" fillId="0" borderId="299" xfId="0" applyNumberFormat="1" applyFont="1" applyBorder="1" applyAlignment="1">
      <alignment horizontal="center" vertical="center"/>
    </xf>
    <xf numFmtId="17" fontId="3" fillId="0" borderId="299" xfId="0" applyNumberFormat="1" applyFont="1" applyBorder="1" applyAlignment="1">
      <alignment horizontal="center" vertical="center"/>
    </xf>
    <xf numFmtId="17" fontId="3" fillId="0" borderId="252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5" xfId="0" applyFont="1" applyBorder="1" applyAlignment="1">
      <alignment horizontal="center" vertical="center"/>
    </xf>
    <xf numFmtId="0" fontId="3" fillId="0" borderId="185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wrapText="1"/>
    </xf>
    <xf numFmtId="0" fontId="3" fillId="0" borderId="252" xfId="0" applyFont="1" applyBorder="1" applyAlignment="1">
      <alignment horizontal="left" vertical="center" wrapText="1"/>
    </xf>
    <xf numFmtId="0" fontId="3" fillId="0" borderId="721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40" xfId="0" applyFont="1" applyBorder="1" applyAlignment="1">
      <alignment horizontal="left" vertical="center"/>
    </xf>
    <xf numFmtId="1" fontId="3" fillId="0" borderId="1169" xfId="0" applyNumberFormat="1" applyFont="1" applyBorder="1" applyAlignment="1">
      <alignment horizontal="center" vertical="center"/>
    </xf>
    <xf numFmtId="0" fontId="8" fillId="0" borderId="1173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66" xfId="0" applyNumberFormat="1" applyFont="1" applyBorder="1" applyAlignment="1">
      <alignment horizontal="center" vertical="center" wrapText="1"/>
    </xf>
    <xf numFmtId="0" fontId="22" fillId="0" borderId="1167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5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2" fillId="0" borderId="689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center" vertical="center" wrapText="1"/>
    </xf>
    <xf numFmtId="1" fontId="3" fillId="3" borderId="666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516" xfId="0" applyNumberFormat="1" applyFont="1" applyFill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/>
    </xf>
    <xf numFmtId="1" fontId="4" fillId="3" borderId="721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2" fillId="0" borderId="752" xfId="0" applyNumberFormat="1" applyFont="1" applyBorder="1" applyAlignment="1">
      <alignment horizontal="left"/>
    </xf>
    <xf numFmtId="1" fontId="3" fillId="0" borderId="236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726" xfId="0" quotePrefix="1" applyNumberFormat="1" applyFont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1" fontId="3" fillId="5" borderId="630" xfId="0" applyNumberFormat="1" applyFont="1" applyFill="1" applyBorder="1" applyAlignment="1">
      <alignment horizontal="center" vertical="center"/>
    </xf>
    <xf numFmtId="1" fontId="3" fillId="5" borderId="298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/>
    </xf>
    <xf numFmtId="1" fontId="3" fillId="3" borderId="689" xfId="0" applyNumberFormat="1" applyFont="1" applyFill="1" applyBorder="1" applyAlignment="1">
      <alignment horizontal="center"/>
    </xf>
    <xf numFmtId="1" fontId="3" fillId="3" borderId="634" xfId="0" applyNumberFormat="1" applyFont="1" applyFill="1" applyBorder="1" applyAlignment="1">
      <alignment horizont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wrapText="1"/>
    </xf>
    <xf numFmtId="1" fontId="3" fillId="0" borderId="689" xfId="0" applyNumberFormat="1" applyFont="1" applyBorder="1" applyAlignment="1">
      <alignment horizontal="center" wrapText="1"/>
    </xf>
    <xf numFmtId="1" fontId="3" fillId="0" borderId="774" xfId="0" applyNumberFormat="1" applyFont="1" applyBorder="1" applyAlignment="1">
      <alignment horizont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28" borderId="1072" xfId="0" applyNumberFormat="1" applyFont="1" applyFill="1" applyBorder="1" applyAlignment="1">
      <alignment horizontal="center" vertical="center" wrapText="1"/>
    </xf>
    <xf numFmtId="1" fontId="3" fillId="28" borderId="1182" xfId="0" applyNumberFormat="1" applyFont="1" applyFill="1" applyBorder="1" applyAlignment="1">
      <alignment horizontal="center" vertical="center" wrapText="1"/>
    </xf>
    <xf numFmtId="1" fontId="3" fillId="28" borderId="118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0" borderId="750" xfId="0" applyNumberFormat="1" applyFont="1" applyBorder="1"/>
    <xf numFmtId="1" fontId="3" fillId="0" borderId="651" xfId="0" applyNumberFormat="1" applyFont="1" applyBorder="1"/>
    <xf numFmtId="1" fontId="3" fillId="0" borderId="680" xfId="0" applyNumberFormat="1" applyFont="1" applyBorder="1"/>
    <xf numFmtId="1" fontId="3" fillId="0" borderId="340" xfId="0" applyNumberFormat="1" applyFont="1" applyBorder="1"/>
    <xf numFmtId="1" fontId="3" fillId="0" borderId="336" xfId="0" applyNumberFormat="1" applyFont="1" applyBorder="1"/>
    <xf numFmtId="1" fontId="3" fillId="0" borderId="334" xfId="0" applyNumberFormat="1" applyFont="1" applyBorder="1"/>
    <xf numFmtId="1" fontId="3" fillId="0" borderId="339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6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51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81" xfId="0" applyNumberFormat="1" applyFont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0" borderId="312" xfId="0" applyNumberFormat="1" applyFont="1" applyBorder="1"/>
    <xf numFmtId="1" fontId="3" fillId="0" borderId="0" xfId="0" applyNumberFormat="1" applyFont="1"/>
    <xf numFmtId="1" fontId="3" fillId="0" borderId="340" xfId="0" applyNumberFormat="1" applyFont="1" applyBorder="1" applyAlignment="1">
      <alignment horizontal="left" vertical="center" wrapText="1"/>
    </xf>
    <xf numFmtId="1" fontId="3" fillId="3" borderId="236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3" borderId="516" xfId="0" applyNumberFormat="1" applyFont="1" applyFill="1" applyBorder="1" applyAlignment="1">
      <alignment horizontal="left" vertical="center" wrapText="1"/>
    </xf>
    <xf numFmtId="1" fontId="3" fillId="3" borderId="666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680" xfId="0" applyNumberFormat="1" applyFont="1" applyBorder="1" applyAlignment="1">
      <alignment horizontal="left"/>
    </xf>
    <xf numFmtId="1" fontId="3" fillId="0" borderId="288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0" borderId="236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6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left" vertical="center"/>
    </xf>
    <xf numFmtId="1" fontId="3" fillId="20" borderId="630" xfId="0" applyNumberFormat="1" applyFont="1" applyFill="1" applyBorder="1" applyAlignment="1">
      <alignment horizontal="left" vertical="center" wrapText="1"/>
    </xf>
    <xf numFmtId="1" fontId="3" fillId="20" borderId="325" xfId="0" applyNumberFormat="1" applyFont="1" applyFill="1" applyBorder="1" applyAlignment="1">
      <alignment horizontal="left" vertical="center" wrapText="1"/>
    </xf>
    <xf numFmtId="1" fontId="3" fillId="20" borderId="298" xfId="0" applyNumberFormat="1" applyFont="1" applyFill="1" applyBorder="1" applyAlignment="1">
      <alignment horizontal="left" vertical="center" wrapText="1"/>
    </xf>
    <xf numFmtId="1" fontId="3" fillId="5" borderId="630" xfId="0" applyNumberFormat="1" applyFont="1" applyFill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516" xfId="0" applyNumberFormat="1" applyFont="1" applyFill="1" applyBorder="1" applyAlignment="1">
      <alignment horizontal="left" vertical="center" wrapText="1"/>
    </xf>
    <xf numFmtId="1" fontId="3" fillId="5" borderId="312" xfId="0" applyNumberFormat="1" applyFont="1" applyFill="1" applyBorder="1" applyAlignment="1">
      <alignment horizontal="left" vertical="center" wrapText="1"/>
    </xf>
    <xf numFmtId="1" fontId="3" fillId="3" borderId="652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0" fontId="3" fillId="5" borderId="336" xfId="0" applyFont="1" applyFill="1" applyBorder="1" applyAlignment="1">
      <alignment horizontal="left" vertical="center"/>
    </xf>
    <xf numFmtId="0" fontId="3" fillId="5" borderId="334" xfId="0" applyFont="1" applyFill="1" applyBorder="1" applyAlignment="1">
      <alignment horizontal="left" vertical="center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5" borderId="248" xfId="0" applyNumberFormat="1" applyFont="1" applyFill="1" applyBorder="1" applyAlignment="1">
      <alignment horizontal="center" vertical="center" wrapText="1"/>
    </xf>
    <xf numFmtId="1" fontId="3" fillId="0" borderId="781" xfId="9" applyNumberFormat="1" applyFont="1" applyFill="1" applyBorder="1" applyAlignment="1">
      <alignment horizontal="center" vertical="center" wrapText="1"/>
    </xf>
    <xf numFmtId="1" fontId="3" fillId="0" borderId="690" xfId="9" applyNumberFormat="1" applyFont="1" applyFill="1" applyBorder="1" applyAlignment="1">
      <alignment horizontal="center" vertical="center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5" borderId="4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 applyProtection="1">
      <alignment horizontal="left" vertical="center" wrapText="1"/>
      <protection hidden="1"/>
    </xf>
    <xf numFmtId="1" fontId="3" fillId="0" borderId="334" xfId="0" applyNumberFormat="1" applyFont="1" applyBorder="1" applyAlignment="1" applyProtection="1">
      <alignment horizontal="left" vertical="center" wrapText="1"/>
      <protection hidden="1"/>
    </xf>
    <xf numFmtId="1" fontId="3" fillId="5" borderId="80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833" xfId="0" applyNumberFormat="1" applyFont="1" applyBorder="1" applyAlignment="1" applyProtection="1">
      <alignment horizontal="left" vertical="center" wrapText="1"/>
      <protection hidden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2" fillId="3" borderId="836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left"/>
    </xf>
    <xf numFmtId="1" fontId="3" fillId="0" borderId="846" xfId="0" applyNumberFormat="1" applyFont="1" applyBorder="1" applyAlignment="1">
      <alignment horizontal="left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left"/>
    </xf>
    <xf numFmtId="1" fontId="3" fillId="0" borderId="256" xfId="0" applyNumberFormat="1" applyFont="1" applyBorder="1" applyAlignment="1">
      <alignment horizontal="left"/>
    </xf>
    <xf numFmtId="1" fontId="3" fillId="0" borderId="845" xfId="0" applyNumberFormat="1" applyFont="1" applyBorder="1"/>
    <xf numFmtId="1" fontId="3" fillId="0" borderId="846" xfId="0" applyNumberFormat="1" applyFont="1" applyBorder="1"/>
    <xf numFmtId="1" fontId="3" fillId="0" borderId="254" xfId="0" applyNumberFormat="1" applyFont="1" applyBorder="1"/>
    <xf numFmtId="1" fontId="3" fillId="0" borderId="256" xfId="0" applyNumberFormat="1" applyFont="1" applyBorder="1"/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left" vertical="center"/>
    </xf>
    <xf numFmtId="0" fontId="3" fillId="0" borderId="833" xfId="0" applyFont="1" applyBorder="1" applyAlignment="1">
      <alignment horizontal="left" vertical="center"/>
    </xf>
    <xf numFmtId="0" fontId="3" fillId="0" borderId="800" xfId="0" applyFont="1" applyBorder="1" applyAlignment="1">
      <alignment horizontal="left" vertical="center"/>
    </xf>
    <xf numFmtId="0" fontId="3" fillId="0" borderId="334" xfId="0" applyFont="1" applyBorder="1" applyAlignment="1">
      <alignment horizontal="left" vertical="center"/>
    </xf>
    <xf numFmtId="0" fontId="3" fillId="0" borderId="39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6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0" fontId="3" fillId="0" borderId="352" xfId="0" applyFont="1" applyBorder="1" applyAlignment="1">
      <alignment horizontal="left" vertical="center"/>
    </xf>
    <xf numFmtId="0" fontId="3" fillId="0" borderId="834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298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0" fontId="3" fillId="0" borderId="828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/>
    </xf>
    <xf numFmtId="1" fontId="2" fillId="3" borderId="836" xfId="0" applyNumberFormat="1" applyFont="1" applyFill="1" applyBorder="1" applyAlignment="1">
      <alignment horizontal="left"/>
    </xf>
    <xf numFmtId="0" fontId="3" fillId="0" borderId="828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2" fillId="3" borderId="251" xfId="0" applyNumberFormat="1" applyFont="1" applyFill="1" applyBorder="1" applyAlignment="1">
      <alignment horizontal="left"/>
    </xf>
    <xf numFmtId="49" fontId="3" fillId="0" borderId="835" xfId="0" applyNumberFormat="1" applyFont="1" applyBorder="1" applyAlignment="1">
      <alignment horizontal="center"/>
    </xf>
    <xf numFmtId="49" fontId="3" fillId="0" borderId="83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36" xfId="0" applyFont="1" applyBorder="1" applyAlignment="1">
      <alignment horizontal="left" wrapText="1"/>
    </xf>
    <xf numFmtId="0" fontId="3" fillId="0" borderId="834" xfId="0" applyFont="1" applyBorder="1" applyAlignment="1">
      <alignment horizontal="center" vertical="center" wrapText="1"/>
    </xf>
    <xf numFmtId="0" fontId="3" fillId="0" borderId="298" xfId="0" applyFont="1" applyBorder="1" applyAlignment="1">
      <alignment horizontal="center" vertical="center" wrapText="1"/>
    </xf>
    <xf numFmtId="0" fontId="2" fillId="0" borderId="251" xfId="0" applyFont="1" applyBorder="1" applyAlignment="1">
      <alignment horizontal="left" wrapText="1"/>
    </xf>
    <xf numFmtId="0" fontId="4" fillId="0" borderId="834" xfId="0" applyFont="1" applyBorder="1" applyAlignment="1">
      <alignment horizontal="center" vertical="center" wrapText="1"/>
    </xf>
    <xf numFmtId="0" fontId="4" fillId="0" borderId="298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/>
    </xf>
    <xf numFmtId="0" fontId="3" fillId="0" borderId="755" xfId="0" applyFont="1" applyBorder="1" applyAlignment="1">
      <alignment horizontal="center"/>
    </xf>
    <xf numFmtId="0" fontId="3" fillId="0" borderId="852" xfId="0" applyFont="1" applyBorder="1" applyAlignment="1">
      <alignment horizontal="center" vertical="center" wrapText="1"/>
    </xf>
    <xf numFmtId="0" fontId="0" fillId="0" borderId="834" xfId="0" applyBorder="1" applyAlignment="1">
      <alignment horizontal="center" vertical="center" wrapText="1"/>
    </xf>
    <xf numFmtId="0" fontId="0" fillId="0" borderId="298" xfId="0" applyBorder="1" applyAlignment="1">
      <alignment horizontal="center" vertical="center" wrapText="1"/>
    </xf>
    <xf numFmtId="0" fontId="2" fillId="5" borderId="25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2" xfId="0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2" fillId="3" borderId="665" xfId="0" applyNumberFormat="1" applyFont="1" applyFill="1" applyBorder="1" applyAlignment="1">
      <alignment horizontal="left"/>
    </xf>
    <xf numFmtId="1" fontId="3" fillId="0" borderId="666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 wrapText="1"/>
    </xf>
    <xf numFmtId="1" fontId="3" fillId="0" borderId="1144" xfId="6" applyNumberFormat="1" applyFont="1" applyBorder="1" applyAlignment="1">
      <alignment horizontal="center" vertical="center"/>
    </xf>
    <xf numFmtId="1" fontId="3" fillId="0" borderId="1182" xfId="6" applyNumberFormat="1" applyFont="1" applyBorder="1" applyAlignment="1">
      <alignment horizontal="center" vertical="center"/>
    </xf>
    <xf numFmtId="1" fontId="3" fillId="0" borderId="1183" xfId="6" applyNumberFormat="1" applyFont="1" applyBorder="1" applyAlignment="1">
      <alignment horizontal="center" vertical="center"/>
    </xf>
    <xf numFmtId="1" fontId="3" fillId="0" borderId="1072" xfId="6" applyNumberFormat="1" applyFont="1" applyBorder="1" applyAlignment="1">
      <alignment horizontal="center" vertical="center" wrapText="1"/>
    </xf>
    <xf numFmtId="1" fontId="3" fillId="0" borderId="1140" xfId="6" applyNumberFormat="1" applyFont="1" applyBorder="1" applyAlignment="1">
      <alignment horizontal="center" vertical="center" wrapText="1"/>
    </xf>
    <xf numFmtId="1" fontId="3" fillId="0" borderId="1074" xfId="6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left" vertical="center" wrapText="1"/>
    </xf>
    <xf numFmtId="1" fontId="3" fillId="0" borderId="298" xfId="6" applyNumberFormat="1" applyFont="1" applyBorder="1" applyAlignment="1">
      <alignment horizontal="left" vertical="center" wrapText="1"/>
    </xf>
    <xf numFmtId="1" fontId="2" fillId="0" borderId="935" xfId="0" applyNumberFormat="1" applyFont="1" applyBorder="1"/>
    <xf numFmtId="1" fontId="2" fillId="0" borderId="895" xfId="0" applyNumberFormat="1" applyFont="1" applyBorder="1"/>
    <xf numFmtId="1" fontId="2" fillId="0" borderId="665" xfId="0" applyNumberFormat="1" applyFont="1" applyBorder="1"/>
    <xf numFmtId="1" fontId="2" fillId="0" borderId="936" xfId="0" applyNumberFormat="1" applyFont="1" applyBorder="1"/>
    <xf numFmtId="1" fontId="3" fillId="0" borderId="89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left" vertical="center"/>
    </xf>
    <xf numFmtId="1" fontId="3" fillId="0" borderId="298" xfId="6" applyNumberFormat="1" applyFont="1" applyBorder="1" applyAlignment="1">
      <alignment horizontal="left" vertical="center"/>
    </xf>
    <xf numFmtId="1" fontId="3" fillId="0" borderId="894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0" fontId="7" fillId="5" borderId="901" xfId="0" applyFont="1" applyFill="1" applyBorder="1" applyAlignment="1">
      <alignment horizontal="center"/>
    </xf>
    <xf numFmtId="0" fontId="7" fillId="5" borderId="916" xfId="0" applyFont="1" applyFill="1" applyBorder="1" applyAlignment="1">
      <alignment horizontal="center"/>
    </xf>
    <xf numFmtId="1" fontId="3" fillId="0" borderId="893" xfId="0" applyNumberFormat="1" applyFont="1" applyBorder="1" applyAlignment="1">
      <alignment horizontal="center" vertical="center" wrapText="1"/>
    </xf>
    <xf numFmtId="1" fontId="6" fillId="5" borderId="901" xfId="0" applyNumberFormat="1" applyFont="1" applyFill="1" applyBorder="1" applyAlignment="1">
      <alignment horizontal="center"/>
    </xf>
    <xf numFmtId="1" fontId="3" fillId="0" borderId="665" xfId="6" applyNumberFormat="1" applyFont="1" applyBorder="1" applyAlignment="1">
      <alignment horizontal="center" vertical="center" wrapText="1"/>
    </xf>
    <xf numFmtId="1" fontId="3" fillId="0" borderId="251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2" fillId="0" borderId="895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center" vertical="center"/>
    </xf>
    <xf numFmtId="1" fontId="3" fillId="0" borderId="298" xfId="6" applyNumberFormat="1" applyFont="1" applyBorder="1" applyAlignment="1">
      <alignment horizontal="center" vertical="center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5" borderId="898" xfId="6" applyNumberFormat="1" applyFont="1" applyFill="1" applyBorder="1" applyAlignment="1" applyProtection="1">
      <alignment horizontal="center" wrapText="1"/>
      <protection locked="0"/>
    </xf>
    <xf numFmtId="1" fontId="3" fillId="5" borderId="893" xfId="6" applyNumberFormat="1" applyFont="1" applyFill="1" applyBorder="1" applyAlignment="1" applyProtection="1">
      <alignment horizontal="center" wrapText="1"/>
      <protection locked="0"/>
    </xf>
    <xf numFmtId="1" fontId="3" fillId="0" borderId="901" xfId="6" applyNumberFormat="1" applyFont="1" applyBorder="1" applyAlignment="1">
      <alignment horizontal="center"/>
    </xf>
    <xf numFmtId="1" fontId="3" fillId="0" borderId="916" xfId="6" applyNumberFormat="1" applyFont="1" applyBorder="1" applyAlignment="1">
      <alignment horizontal="center"/>
    </xf>
    <xf numFmtId="1" fontId="3" fillId="5" borderId="89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665" xfId="0" applyNumberFormat="1" applyFont="1" applyFill="1" applyBorder="1" applyAlignment="1">
      <alignment horizontal="center" vertical="center"/>
    </xf>
    <xf numFmtId="1" fontId="4" fillId="3" borderId="683" xfId="0" applyNumberFormat="1" applyFont="1" applyFill="1" applyBorder="1" applyAlignment="1">
      <alignment horizontal="center" vertical="center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298" xfId="6" applyNumberFormat="1" applyFont="1" applyBorder="1" applyAlignment="1">
      <alignment horizontal="center" vertical="center" wrapText="1"/>
    </xf>
    <xf numFmtId="1" fontId="3" fillId="0" borderId="884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886" xfId="6" applyNumberFormat="1" applyFont="1" applyBorder="1" applyAlignment="1">
      <alignment horizontal="left"/>
    </xf>
    <xf numFmtId="1" fontId="3" fillId="0" borderId="904" xfId="6" applyNumberFormat="1" applyFont="1" applyBorder="1" applyAlignment="1">
      <alignment horizontal="left"/>
    </xf>
    <xf numFmtId="1" fontId="3" fillId="0" borderId="419" xfId="6" applyNumberFormat="1" applyFont="1" applyBorder="1" applyAlignment="1">
      <alignment horizontal="left"/>
    </xf>
    <xf numFmtId="1" fontId="3" fillId="0" borderId="352" xfId="6" applyNumberFormat="1" applyFont="1" applyBorder="1" applyAlignment="1">
      <alignment horizontal="left"/>
    </xf>
    <xf numFmtId="0" fontId="64" fillId="0" borderId="1072" xfId="0" applyFont="1" applyBorder="1" applyAlignment="1">
      <alignment horizontal="center"/>
    </xf>
    <xf numFmtId="0" fontId="64" fillId="0" borderId="1183" xfId="0" applyFont="1" applyBorder="1" applyAlignment="1">
      <alignment horizontal="center"/>
    </xf>
    <xf numFmtId="1" fontId="4" fillId="3" borderId="836" xfId="0" applyNumberFormat="1" applyFont="1" applyFill="1" applyBorder="1" applyAlignment="1">
      <alignment horizontal="center" vertical="center"/>
    </xf>
    <xf numFmtId="1" fontId="4" fillId="3" borderId="832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/>
    </xf>
    <xf numFmtId="1" fontId="3" fillId="0" borderId="963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0" fontId="3" fillId="0" borderId="893" xfId="0" applyFont="1" applyBorder="1" applyAlignment="1">
      <alignment horizontal="left" vertical="center"/>
    </xf>
    <xf numFmtId="0" fontId="3" fillId="0" borderId="299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182" xfId="0" applyNumberFormat="1" applyFont="1" applyFill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/>
    </xf>
    <xf numFmtId="1" fontId="2" fillId="0" borderId="895" xfId="0" applyNumberFormat="1" applyFont="1" applyBorder="1" applyAlignment="1">
      <alignment horizontal="left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/>
    </xf>
    <xf numFmtId="1" fontId="3" fillId="3" borderId="898" xfId="0" applyNumberFormat="1" applyFont="1" applyFill="1" applyBorder="1" applyAlignment="1">
      <alignment horizontal="center"/>
    </xf>
    <xf numFmtId="1" fontId="3" fillId="3" borderId="89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3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55" xfId="14" applyNumberFormat="1" applyFont="1" applyBorder="1" applyAlignment="1">
      <alignment horizontal="center" vertical="center" wrapText="1"/>
    </xf>
    <xf numFmtId="1" fontId="3" fillId="0" borderId="880" xfId="14" applyNumberFormat="1" applyFont="1" applyBorder="1" applyAlignment="1">
      <alignment horizontal="center" vertical="center" wrapText="1"/>
    </xf>
    <xf numFmtId="1" fontId="3" fillId="0" borderId="665" xfId="14" applyNumberFormat="1" applyFont="1" applyBorder="1" applyAlignment="1">
      <alignment horizontal="center" vertical="center" wrapText="1"/>
    </xf>
    <xf numFmtId="1" fontId="3" fillId="0" borderId="299" xfId="14" applyNumberFormat="1" applyFont="1" applyBorder="1" applyAlignment="1">
      <alignment horizontal="center" vertical="center" wrapText="1"/>
    </xf>
    <xf numFmtId="1" fontId="3" fillId="0" borderId="251" xfId="14" applyNumberFormat="1" applyFont="1" applyBorder="1" applyAlignment="1">
      <alignment horizontal="center" vertical="center" wrapText="1"/>
    </xf>
    <xf numFmtId="1" fontId="3" fillId="0" borderId="978" xfId="14" quotePrefix="1" applyNumberFormat="1" applyFont="1" applyBorder="1" applyAlignment="1" applyProtection="1">
      <alignment horizontal="center" vertical="center"/>
      <protection hidden="1"/>
    </xf>
    <xf numFmtId="1" fontId="3" fillId="0" borderId="893" xfId="14" quotePrefix="1" applyNumberFormat="1" applyFont="1" applyBorder="1" applyAlignment="1" applyProtection="1">
      <alignment horizontal="center" vertical="center"/>
      <protection hidden="1"/>
    </xf>
    <xf numFmtId="1" fontId="3" fillId="0" borderId="259" xfId="14" quotePrefix="1" applyNumberFormat="1" applyFont="1" applyBorder="1" applyAlignment="1" applyProtection="1">
      <alignment horizontal="center" vertical="center"/>
      <protection hidden="1"/>
    </xf>
    <xf numFmtId="1" fontId="3" fillId="0" borderId="755" xfId="14" quotePrefix="1" applyNumberFormat="1" applyFont="1" applyBorder="1" applyAlignment="1" applyProtection="1">
      <alignment horizontal="center" vertical="center"/>
      <protection hidden="1"/>
    </xf>
    <xf numFmtId="1" fontId="3" fillId="0" borderId="881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/>
    </xf>
    <xf numFmtId="1" fontId="3" fillId="3" borderId="896" xfId="0" applyNumberFormat="1" applyFont="1" applyFill="1" applyBorder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894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984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2" fillId="0" borderId="753" xfId="0" applyNumberFormat="1" applyFont="1" applyBorder="1" applyAlignment="1">
      <alignment horizontal="left" wrapText="1"/>
    </xf>
    <xf numFmtId="1" fontId="2" fillId="0" borderId="251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4" fillId="0" borderId="665" xfId="0" applyNumberFormat="1" applyFont="1" applyBorder="1" applyAlignment="1">
      <alignment horizontal="left" wrapText="1"/>
    </xf>
    <xf numFmtId="1" fontId="3" fillId="0" borderId="894" xfId="0" applyNumberFormat="1" applyFont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0" fontId="3" fillId="0" borderId="259" xfId="0" applyFont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3" borderId="894" xfId="0" applyNumberFormat="1" applyFont="1" applyFill="1" applyBorder="1" applyAlignment="1">
      <alignment horizontal="left" vertical="center" wrapText="1"/>
    </xf>
    <xf numFmtId="1" fontId="3" fillId="3" borderId="898" xfId="0" applyNumberFormat="1" applyFont="1" applyFill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/>
    </xf>
    <xf numFmtId="1" fontId="6" fillId="3" borderId="894" xfId="0" applyNumberFormat="1" applyFont="1" applyFill="1" applyBorder="1" applyAlignment="1">
      <alignment horizontal="center" vertical="center"/>
    </xf>
    <xf numFmtId="1" fontId="6" fillId="3" borderId="895" xfId="0" applyNumberFormat="1" applyFont="1" applyFill="1" applyBorder="1" applyAlignment="1">
      <alignment horizontal="center" vertical="center"/>
    </xf>
    <xf numFmtId="1" fontId="6" fillId="3" borderId="896" xfId="0" applyNumberFormat="1" applyFont="1" applyFill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81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254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left" vertical="center"/>
    </xf>
    <xf numFmtId="1" fontId="3" fillId="5" borderId="352" xfId="0" applyNumberFormat="1" applyFont="1" applyFill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2" fillId="3" borderId="251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left"/>
    </xf>
    <xf numFmtId="1" fontId="3" fillId="0" borderId="919" xfId="0" applyNumberFormat="1" applyFont="1" applyBorder="1" applyAlignment="1">
      <alignment horizontal="left"/>
    </xf>
    <xf numFmtId="1" fontId="3" fillId="0" borderId="902" xfId="0" applyNumberFormat="1" applyFont="1" applyBorder="1" applyAlignment="1">
      <alignment horizontal="left"/>
    </xf>
    <xf numFmtId="1" fontId="3" fillId="0" borderId="977" xfId="0" applyNumberFormat="1" applyFont="1" applyBorder="1" applyAlignment="1">
      <alignment horizontal="left"/>
    </xf>
    <xf numFmtId="1" fontId="3" fillId="5" borderId="894" xfId="14" applyNumberFormat="1" applyFont="1" applyFill="1" applyBorder="1" applyAlignment="1">
      <alignment horizontal="center" wrapText="1"/>
    </xf>
    <xf numFmtId="1" fontId="3" fillId="5" borderId="898" xfId="14" applyNumberFormat="1" applyFont="1" applyFill="1" applyBorder="1" applyAlignment="1">
      <alignment horizontal="center" wrapText="1"/>
    </xf>
    <xf numFmtId="1" fontId="3" fillId="5" borderId="984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0" borderId="884" xfId="14" applyNumberFormat="1" applyFont="1" applyBorder="1" applyAlignment="1">
      <alignment horizontal="left" vertical="center" wrapText="1"/>
    </xf>
    <xf numFmtId="1" fontId="3" fillId="0" borderId="902" xfId="14" applyNumberFormat="1" applyFont="1" applyBorder="1" applyAlignment="1">
      <alignment horizontal="left" vertical="center" wrapText="1"/>
    </xf>
    <xf numFmtId="1" fontId="3" fillId="0" borderId="967" xfId="14" applyNumberFormat="1" applyFont="1" applyBorder="1" applyAlignment="1">
      <alignment horizontal="left" vertical="center" wrapText="1"/>
    </xf>
    <xf numFmtId="1" fontId="3" fillId="0" borderId="955" xfId="14" applyNumberFormat="1" applyFont="1" applyBorder="1" applyAlignment="1">
      <alignment horizontal="left" vertical="center" wrapText="1"/>
    </xf>
    <xf numFmtId="1" fontId="3" fillId="0" borderId="977" xfId="14" applyNumberFormat="1" applyFont="1" applyBorder="1" applyAlignment="1">
      <alignment horizontal="left" vertical="center" wrapText="1"/>
    </xf>
    <xf numFmtId="1" fontId="3" fillId="0" borderId="352" xfId="14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left" vertical="center" wrapText="1"/>
    </xf>
    <xf numFmtId="1" fontId="2" fillId="3" borderId="665" xfId="14" applyNumberFormat="1" applyFont="1" applyFill="1" applyBorder="1" applyAlignment="1">
      <alignment horizontal="left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251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236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6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67" xfId="14" applyNumberFormat="1" applyFont="1" applyFill="1" applyBorder="1" applyAlignment="1">
      <alignment horizontal="left" vertical="center" wrapText="1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5" borderId="977" xfId="14" applyNumberFormat="1" applyFont="1" applyFill="1" applyBorder="1" applyAlignment="1">
      <alignment horizontal="left" vertical="center" wrapText="1"/>
    </xf>
    <xf numFmtId="1" fontId="3" fillId="5" borderId="352" xfId="14" applyNumberFormat="1" applyFont="1" applyFill="1" applyBorder="1" applyAlignment="1">
      <alignment horizontal="left" vertical="center" wrapText="1"/>
    </xf>
    <xf numFmtId="1" fontId="3" fillId="0" borderId="236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vertical="center" wrapText="1"/>
    </xf>
    <xf numFmtId="1" fontId="3" fillId="5" borderId="984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center"/>
    </xf>
    <xf numFmtId="1" fontId="3" fillId="0" borderId="251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2" fillId="3" borderId="895" xfId="14" applyNumberFormat="1" applyFont="1" applyFill="1" applyBorder="1" applyAlignment="1">
      <alignment horizontal="left" wrapText="1"/>
    </xf>
    <xf numFmtId="1" fontId="2" fillId="3" borderId="251" xfId="14" applyNumberFormat="1" applyFont="1" applyFill="1" applyBorder="1" applyAlignment="1">
      <alignment horizontal="left" wrapText="1"/>
    </xf>
    <xf numFmtId="1" fontId="3" fillId="3" borderId="893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left"/>
    </xf>
    <xf numFmtId="1" fontId="3" fillId="0" borderId="898" xfId="0" applyNumberFormat="1" applyFont="1" applyBorder="1" applyAlignment="1">
      <alignment horizontal="left"/>
    </xf>
    <xf numFmtId="1" fontId="3" fillId="3" borderId="964" xfId="14" applyNumberFormat="1" applyFont="1" applyFill="1" applyBorder="1" applyAlignment="1">
      <alignment horizontal="center" vertical="center" wrapText="1"/>
    </xf>
    <xf numFmtId="1" fontId="3" fillId="3" borderId="254" xfId="14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2" fillId="5" borderId="895" xfId="14" applyNumberFormat="1" applyFont="1" applyFill="1" applyBorder="1" applyAlignment="1">
      <alignment horizontal="left" wrapText="1"/>
    </xf>
    <xf numFmtId="1" fontId="2" fillId="5" borderId="25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7" xfId="0" applyNumberFormat="1" applyFont="1" applyFill="1" applyBorder="1" applyAlignment="1">
      <alignment horizontal="left"/>
    </xf>
    <xf numFmtId="1" fontId="3" fillId="3" borderId="352" xfId="0" applyNumberFormat="1" applyFont="1" applyFill="1" applyBorder="1" applyAlignment="1">
      <alignment horizontal="left"/>
    </xf>
    <xf numFmtId="1" fontId="3" fillId="0" borderId="893" xfId="0" applyNumberFormat="1" applyFont="1" applyBorder="1"/>
    <xf numFmtId="1" fontId="2" fillId="3" borderId="895" xfId="0" applyNumberFormat="1" applyFont="1" applyFill="1" applyBorder="1" applyAlignment="1">
      <alignment horizontal="left"/>
    </xf>
    <xf numFmtId="1" fontId="3" fillId="3" borderId="901" xfId="0" applyNumberFormat="1" applyFont="1" applyFill="1" applyBorder="1" applyAlignment="1">
      <alignment horizontal="left" vertical="center"/>
    </xf>
    <xf numFmtId="1" fontId="3" fillId="3" borderId="884" xfId="0" applyNumberFormat="1" applyFont="1" applyFill="1" applyBorder="1"/>
    <xf numFmtId="1" fontId="3" fillId="3" borderId="919" xfId="0" applyNumberFormat="1" applyFont="1" applyFill="1" applyBorder="1"/>
    <xf numFmtId="1" fontId="3" fillId="3" borderId="902" xfId="0" applyNumberFormat="1" applyFont="1" applyFill="1" applyBorder="1"/>
    <xf numFmtId="1" fontId="3" fillId="3" borderId="967" xfId="0" applyNumberFormat="1" applyFont="1" applyFill="1" applyBorder="1"/>
    <xf numFmtId="1" fontId="3" fillId="3" borderId="958" xfId="0" applyNumberFormat="1" applyFont="1" applyFill="1" applyBorder="1"/>
    <xf numFmtId="1" fontId="3" fillId="3" borderId="955" xfId="0" applyNumberFormat="1" applyFont="1" applyFill="1" applyBorder="1"/>
    <xf numFmtId="1" fontId="3" fillId="3" borderId="986" xfId="0" applyNumberFormat="1" applyFont="1" applyFill="1" applyBorder="1"/>
    <xf numFmtId="1" fontId="3" fillId="3" borderId="251" xfId="0" applyNumberFormat="1" applyFont="1" applyFill="1" applyBorder="1"/>
    <xf numFmtId="1" fontId="3" fillId="3" borderId="755" xfId="0" applyNumberFormat="1" applyFont="1" applyFill="1" applyBorder="1"/>
    <xf numFmtId="1" fontId="3" fillId="3" borderId="901" xfId="0" applyNumberFormat="1" applyFont="1" applyFill="1" applyBorder="1" applyAlignment="1">
      <alignment horizontal="left" vertical="center" wrapText="1"/>
    </xf>
    <xf numFmtId="0" fontId="3" fillId="0" borderId="881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2" fillId="0" borderId="25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7" xfId="0" applyNumberFormat="1" applyFont="1" applyFill="1" applyBorder="1"/>
    <xf numFmtId="1" fontId="3" fillId="3" borderId="365" xfId="0" applyNumberFormat="1" applyFont="1" applyFill="1" applyBorder="1"/>
    <xf numFmtId="1" fontId="3" fillId="3" borderId="352" xfId="0" applyNumberFormat="1" applyFont="1" applyFill="1" applyBorder="1"/>
    <xf numFmtId="0" fontId="3" fillId="0" borderId="986" xfId="0" applyFont="1" applyBorder="1" applyAlignment="1">
      <alignment horizontal="center" vertical="center" wrapText="1"/>
    </xf>
    <xf numFmtId="1" fontId="3" fillId="3" borderId="236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67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2" fillId="0" borderId="895" xfId="0" applyFont="1" applyBorder="1" applyAlignment="1">
      <alignment horizontal="left"/>
    </xf>
    <xf numFmtId="0" fontId="3" fillId="0" borderId="967" xfId="0" applyFont="1" applyBorder="1" applyAlignment="1">
      <alignment horizontal="left" vertical="center" wrapText="1"/>
    </xf>
    <xf numFmtId="0" fontId="3" fillId="0" borderId="955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left" vertical="center" wrapText="1"/>
    </xf>
    <xf numFmtId="0" fontId="3" fillId="0" borderId="984" xfId="0" applyFont="1" applyBorder="1" applyAlignment="1">
      <alignment horizontal="left"/>
    </xf>
    <xf numFmtId="0" fontId="3" fillId="0" borderId="894" xfId="0" applyFont="1" applyBorder="1" applyAlignment="1">
      <alignment horizontal="center"/>
    </xf>
    <xf numFmtId="0" fontId="3" fillId="0" borderId="898" xfId="0" applyFont="1" applyBorder="1" applyAlignment="1">
      <alignment horizontal="center"/>
    </xf>
    <xf numFmtId="0" fontId="3" fillId="0" borderId="884" xfId="0" applyFont="1" applyBorder="1" applyAlignment="1">
      <alignment horizontal="left" vertical="center"/>
    </xf>
    <xf numFmtId="0" fontId="3" fillId="0" borderId="902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901" xfId="0" applyFont="1" applyBorder="1" applyAlignment="1">
      <alignment horizontal="center" vertical="center"/>
    </xf>
    <xf numFmtId="0" fontId="3" fillId="0" borderId="885" xfId="0" applyFont="1" applyBorder="1"/>
    <xf numFmtId="0" fontId="3" fillId="0" borderId="984" xfId="0" applyFont="1" applyBorder="1"/>
    <xf numFmtId="0" fontId="3" fillId="0" borderId="901" xfId="0" applyFont="1" applyBorder="1" applyAlignment="1">
      <alignment horizontal="center"/>
    </xf>
    <xf numFmtId="0" fontId="5" fillId="0" borderId="881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84" xfId="0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64" fontId="3" fillId="0" borderId="901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665" xfId="18" applyNumberFormat="1" applyFont="1" applyBorder="1" applyAlignment="1" applyProtection="1">
      <alignment horizontal="center" vertical="center"/>
    </xf>
    <xf numFmtId="164" fontId="3" fillId="0" borderId="880" xfId="17" applyNumberFormat="1" applyFont="1" applyBorder="1" applyAlignment="1">
      <alignment horizontal="center" vertical="center"/>
    </xf>
    <xf numFmtId="164" fontId="3" fillId="0" borderId="893" xfId="17" applyNumberFormat="1" applyFont="1" applyBorder="1" applyAlignment="1">
      <alignment horizontal="center" vertical="center"/>
    </xf>
    <xf numFmtId="164" fontId="3" fillId="0" borderId="986" xfId="17" applyNumberFormat="1" applyFont="1" applyBorder="1" applyAlignment="1">
      <alignment horizontal="center" vertical="center"/>
    </xf>
    <xf numFmtId="164" fontId="3" fillId="0" borderId="755" xfId="17" applyNumberFormat="1" applyFont="1" applyBorder="1" applyAlignment="1">
      <alignment horizontal="center" vertical="center"/>
    </xf>
    <xf numFmtId="164" fontId="3" fillId="0" borderId="894" xfId="18" applyNumberFormat="1" applyFont="1" applyBorder="1" applyAlignment="1" applyProtection="1">
      <alignment horizontal="center" vertical="center" wrapText="1"/>
    </xf>
    <xf numFmtId="164" fontId="3" fillId="0" borderId="895" xfId="18" applyNumberFormat="1" applyFont="1" applyBorder="1" applyAlignment="1" applyProtection="1">
      <alignment horizontal="center" vertical="center" wrapText="1"/>
    </xf>
    <xf numFmtId="1" fontId="3" fillId="0" borderId="967" xfId="0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984" xfId="0" applyNumberFormat="1" applyFont="1" applyBorder="1" applyAlignment="1" applyProtection="1">
      <alignment horizontal="center" vertical="center" wrapText="1"/>
      <protection hidden="1"/>
    </xf>
    <xf numFmtId="1" fontId="3" fillId="0" borderId="967" xfId="0" quotePrefix="1" applyNumberFormat="1" applyFont="1" applyBorder="1" applyAlignment="1">
      <alignment horizontal="left"/>
    </xf>
    <xf numFmtId="1" fontId="3" fillId="0" borderId="916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left" vertical="center" wrapText="1"/>
    </xf>
    <xf numFmtId="1" fontId="3" fillId="0" borderId="1181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0" fontId="6" fillId="0" borderId="1182" xfId="0" applyFont="1" applyBorder="1" applyAlignment="1">
      <alignment horizontal="center" vertical="center"/>
    </xf>
    <xf numFmtId="0" fontId="6" fillId="0" borderId="1184" xfId="0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 vertical="center" wrapText="1"/>
    </xf>
    <xf numFmtId="1" fontId="3" fillId="3" borderId="986" xfId="0" applyNumberFormat="1" applyFont="1" applyFill="1" applyBorder="1" applyAlignment="1">
      <alignment horizontal="left" wrapText="1"/>
    </xf>
    <xf numFmtId="1" fontId="3" fillId="3" borderId="755" xfId="0" applyNumberFormat="1" applyFont="1" applyFill="1" applyBorder="1" applyAlignment="1">
      <alignment horizontal="left" wrapText="1"/>
    </xf>
    <xf numFmtId="1" fontId="3" fillId="0" borderId="880" xfId="0" applyNumberFormat="1" applyFont="1" applyBorder="1" applyAlignment="1">
      <alignment horizontal="left" wrapText="1"/>
    </xf>
    <xf numFmtId="1" fontId="3" fillId="0" borderId="893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84" xfId="0" applyNumberFormat="1" applyFont="1" applyBorder="1"/>
    <xf numFmtId="1" fontId="3" fillId="0" borderId="919" xfId="0" applyNumberFormat="1" applyFont="1" applyBorder="1"/>
    <xf numFmtId="1" fontId="3" fillId="0" borderId="902" xfId="0" applyNumberFormat="1" applyFont="1" applyBorder="1"/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left" wrapText="1"/>
    </xf>
    <xf numFmtId="1" fontId="3" fillId="3" borderId="90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8" xfId="0" applyNumberFormat="1" applyFont="1" applyBorder="1" applyAlignment="1">
      <alignment horizontal="left"/>
    </xf>
    <xf numFmtId="1" fontId="3" fillId="0" borderId="1139" xfId="0" applyNumberFormat="1" applyFont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wrapText="1"/>
    </xf>
    <xf numFmtId="1" fontId="3" fillId="0" borderId="898" xfId="0" applyNumberFormat="1" applyFont="1" applyBorder="1" applyAlignment="1">
      <alignment horizontal="center" wrapText="1"/>
    </xf>
    <xf numFmtId="1" fontId="3" fillId="0" borderId="894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1119" xfId="0" applyNumberFormat="1" applyFont="1" applyBorder="1" applyAlignment="1">
      <alignment horizontal="left" vertical="center"/>
    </xf>
    <xf numFmtId="1" fontId="3" fillId="0" borderId="1139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/>
    </xf>
    <xf numFmtId="1" fontId="3" fillId="3" borderId="884" xfId="0" applyNumberFormat="1" applyFont="1" applyFill="1" applyBorder="1" applyAlignment="1">
      <alignment horizontal="left"/>
    </xf>
    <xf numFmtId="1" fontId="3" fillId="3" borderId="919" xfId="0" applyNumberFormat="1" applyFont="1" applyFill="1" applyBorder="1" applyAlignment="1">
      <alignment horizontal="left"/>
    </xf>
    <xf numFmtId="1" fontId="3" fillId="3" borderId="902" xfId="0" applyNumberFormat="1" applyFont="1" applyFill="1" applyBorder="1" applyAlignment="1">
      <alignment horizontal="left"/>
    </xf>
    <xf numFmtId="1" fontId="3" fillId="3" borderId="365" xfId="0" applyNumberFormat="1" applyFont="1" applyFill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 vertical="center"/>
    </xf>
    <xf numFmtId="1" fontId="3" fillId="0" borderId="894" xfId="2" applyNumberFormat="1" applyFont="1" applyBorder="1" applyAlignment="1">
      <alignment horizontal="center" vertical="center"/>
    </xf>
    <xf numFmtId="1" fontId="3" fillId="0" borderId="895" xfId="2" applyNumberFormat="1" applyFont="1" applyBorder="1" applyAlignment="1">
      <alignment horizontal="center" vertical="center"/>
    </xf>
    <xf numFmtId="1" fontId="3" fillId="0" borderId="896" xfId="2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4" xfId="2" applyNumberFormat="1" applyFont="1" applyBorder="1" applyAlignment="1">
      <alignment horizontal="left" vertical="center" wrapText="1"/>
    </xf>
    <xf numFmtId="1" fontId="3" fillId="0" borderId="997" xfId="2" applyNumberFormat="1" applyFont="1" applyBorder="1" applyAlignment="1">
      <alignment horizontal="left" vertical="center" wrapText="1"/>
    </xf>
    <xf numFmtId="1" fontId="3" fillId="0" borderId="880" xfId="2" applyNumberFormat="1" applyFont="1" applyBorder="1" applyAlignment="1">
      <alignment horizontal="left" vertical="center" wrapText="1"/>
    </xf>
    <xf numFmtId="1" fontId="3" fillId="0" borderId="998" xfId="2" applyNumberFormat="1" applyFont="1" applyBorder="1" applyAlignment="1">
      <alignment horizontal="left" vertical="center" wrapText="1"/>
    </xf>
    <xf numFmtId="1" fontId="3" fillId="0" borderId="277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wrapText="1"/>
    </xf>
    <xf numFmtId="1" fontId="3" fillId="0" borderId="976" xfId="0" applyNumberFormat="1" applyFont="1" applyBorder="1" applyAlignment="1">
      <alignment horizontal="center" wrapText="1"/>
    </xf>
    <xf numFmtId="0" fontId="3" fillId="0" borderId="1001" xfId="0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01" xfId="0" applyNumberFormat="1" applyFont="1" applyBorder="1" applyAlignment="1">
      <alignment horizontal="left" vertical="center" wrapText="1"/>
    </xf>
    <xf numFmtId="0" fontId="74" fillId="0" borderId="881" xfId="0" applyFont="1" applyBorder="1" applyAlignment="1">
      <alignment horizontal="center" vertical="center" wrapText="1"/>
    </xf>
    <xf numFmtId="0" fontId="74" fillId="0" borderId="984" xfId="0" applyFont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left" vertical="center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1001" xfId="0" quotePrefix="1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251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0" fontId="3" fillId="5" borderId="665" xfId="0" applyFont="1" applyFill="1" applyBorder="1" applyAlignment="1">
      <alignment horizontal="center" wrapText="1"/>
    </xf>
    <xf numFmtId="0" fontId="3" fillId="5" borderId="1012" xfId="0" applyFont="1" applyFill="1" applyBorder="1" applyAlignment="1">
      <alignment horizontal="center" wrapText="1"/>
    </xf>
    <xf numFmtId="1" fontId="3" fillId="5" borderId="1001" xfId="0" applyNumberFormat="1" applyFont="1" applyFill="1" applyBorder="1" applyAlignment="1">
      <alignment horizontal="center" vertical="center" wrapText="1"/>
    </xf>
    <xf numFmtId="0" fontId="3" fillId="5" borderId="962" xfId="0" applyFont="1" applyFill="1" applyBorder="1" applyAlignment="1">
      <alignment horizontal="center" wrapText="1"/>
    </xf>
    <xf numFmtId="0" fontId="3" fillId="5" borderId="882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center" vertical="center"/>
    </xf>
    <xf numFmtId="0" fontId="3" fillId="0" borderId="885" xfId="0" applyFont="1" applyBorder="1" applyAlignment="1">
      <alignment horizontal="left" vertical="center" wrapText="1"/>
    </xf>
    <xf numFmtId="0" fontId="3" fillId="0" borderId="947" xfId="0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0" fontId="3" fillId="0" borderId="1049" xfId="0" applyFont="1" applyBorder="1" applyAlignment="1">
      <alignment horizontal="center"/>
    </xf>
    <xf numFmtId="0" fontId="3" fillId="0" borderId="1001" xfId="0" applyFont="1" applyBorder="1" applyAlignment="1">
      <alignment horizontal="center"/>
    </xf>
    <xf numFmtId="0" fontId="3" fillId="0" borderId="1050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12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55" xfId="34" applyNumberFormat="1" applyFont="1" applyBorder="1" applyAlignment="1">
      <alignment horizontal="center" vertical="center" wrapText="1"/>
    </xf>
    <xf numFmtId="1" fontId="3" fillId="0" borderId="1009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8" xfId="34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261" xfId="0" applyNumberFormat="1" applyFont="1" applyBorder="1" applyAlignment="1">
      <alignment horizontal="center" vertical="center"/>
    </xf>
    <xf numFmtId="1" fontId="74" fillId="0" borderId="1186" xfId="0" applyNumberFormat="1" applyFont="1" applyBorder="1" applyAlignment="1">
      <alignment horizontal="center" vertical="center" wrapText="1"/>
    </xf>
    <xf numFmtId="1" fontId="74" fillId="0" borderId="325" xfId="0" applyNumberFormat="1" applyFont="1" applyBorder="1" applyAlignment="1">
      <alignment horizontal="center" vertical="center" wrapText="1"/>
    </xf>
    <xf numFmtId="1" fontId="74" fillId="0" borderId="1141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wrapText="1"/>
    </xf>
    <xf numFmtId="1" fontId="6" fillId="0" borderId="1001" xfId="34" applyNumberFormat="1" applyFont="1" applyBorder="1" applyAlignment="1">
      <alignment horizontal="center" vertical="center" wrapText="1"/>
    </xf>
    <xf numFmtId="1" fontId="6" fillId="0" borderId="1009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8" xfId="34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1001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894" xfId="0" applyNumberFormat="1" applyFont="1" applyFill="1" applyBorder="1" applyAlignment="1">
      <alignment horizontal="left"/>
    </xf>
    <xf numFmtId="1" fontId="2" fillId="3" borderId="1053" xfId="0" applyNumberFormat="1" applyFont="1" applyFill="1" applyBorder="1" applyAlignment="1">
      <alignment horizontal="left"/>
    </xf>
    <xf numFmtId="0" fontId="2" fillId="0" borderId="1053" xfId="0" applyFont="1" applyBorder="1" applyAlignment="1">
      <alignment horizontal="left"/>
    </xf>
    <xf numFmtId="1" fontId="3" fillId="0" borderId="1048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horizontal="center" vertical="center" wrapText="1"/>
      <protection hidden="1"/>
    </xf>
    <xf numFmtId="0" fontId="3" fillId="0" borderId="1060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8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5" xfId="0" applyFont="1" applyFill="1" applyBorder="1" applyAlignment="1">
      <alignment horizontal="center" vertical="center" wrapText="1"/>
    </xf>
    <xf numFmtId="0" fontId="3" fillId="5" borderId="1012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0" fontId="3" fillId="5" borderId="102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260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5" borderId="298" xfId="0" applyFont="1" applyFill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0" fontId="2" fillId="5" borderId="1053" xfId="0" applyFont="1" applyFill="1" applyBorder="1" applyAlignment="1">
      <alignment horizontal="left" vertical="center"/>
    </xf>
    <xf numFmtId="0" fontId="2" fillId="0" borderId="1053" xfId="0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0" fontId="2" fillId="0" borderId="1011" xfId="22" applyFont="1" applyBorder="1" applyAlignment="1" applyProtection="1">
      <alignment horizontal="left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0" fontId="2" fillId="0" borderId="251" xfId="20" applyFont="1" applyBorder="1" applyAlignment="1">
      <alignment horizontal="left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49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0" fontId="2" fillId="0" borderId="1053" xfId="20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77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1" fontId="3" fillId="5" borderId="104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894" xfId="17" applyNumberFormat="1" applyFont="1" applyBorder="1" applyAlignment="1">
      <alignment horizontal="center" vertical="center"/>
    </xf>
    <xf numFmtId="164" fontId="3" fillId="0" borderId="896" xfId="17" applyNumberFormat="1" applyFont="1" applyBorder="1" applyAlignment="1">
      <alignment horizontal="center" vertical="center"/>
    </xf>
    <xf numFmtId="0" fontId="2" fillId="0" borderId="1011" xfId="20" applyFont="1" applyBorder="1" applyAlignment="1">
      <alignment horizontal="left" vertical="center" wrapText="1"/>
    </xf>
    <xf numFmtId="1" fontId="3" fillId="0" borderId="1001" xfId="0" applyNumberFormat="1" applyFont="1" applyBorder="1" applyAlignment="1" applyProtection="1">
      <alignment horizontal="center" vertical="center" wrapText="1"/>
      <protection hidden="1"/>
    </xf>
    <xf numFmtId="164" fontId="3" fillId="0" borderId="983" xfId="17" applyNumberFormat="1" applyFont="1" applyBorder="1" applyAlignment="1">
      <alignment horizontal="center" vertical="center"/>
    </xf>
    <xf numFmtId="164" fontId="3" fillId="0" borderId="1015" xfId="17" applyNumberFormat="1" applyFont="1" applyBorder="1" applyAlignment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8" xfId="18" applyNumberFormat="1" applyFont="1" applyBorder="1" applyAlignment="1" applyProtection="1">
      <alignment horizontal="center" vertical="center"/>
    </xf>
    <xf numFmtId="164" fontId="3" fillId="0" borderId="894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755" xfId="18" applyNumberFormat="1" applyFont="1" applyBorder="1" applyAlignment="1" applyProtection="1">
      <alignment horizontal="center" vertical="center"/>
    </xf>
    <xf numFmtId="0" fontId="2" fillId="0" borderId="299" xfId="20" applyFont="1" applyBorder="1" applyAlignment="1">
      <alignment horizontal="left" vertical="center" wrapText="1"/>
    </xf>
    <xf numFmtId="164" fontId="3" fillId="0" borderId="1001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1011" xfId="18" applyNumberFormat="1" applyFont="1" applyBorder="1" applyAlignment="1" applyProtection="1">
      <alignment horizontal="center" vertical="center" wrapText="1"/>
    </xf>
    <xf numFmtId="164" fontId="3" fillId="0" borderId="1012" xfId="18" applyNumberFormat="1" applyFont="1" applyBorder="1" applyAlignment="1" applyProtection="1">
      <alignment horizontal="center" vertical="center" wrapText="1"/>
    </xf>
    <xf numFmtId="0" fontId="2" fillId="0" borderId="89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84" xfId="0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wrapText="1"/>
    </xf>
    <xf numFmtId="0" fontId="3" fillId="0" borderId="1012" xfId="0" applyFont="1" applyBorder="1" applyAlignment="1">
      <alignment horizontal="center" wrapText="1"/>
    </xf>
    <xf numFmtId="0" fontId="3" fillId="0" borderId="299" xfId="0" applyFont="1" applyBorder="1" applyAlignment="1">
      <alignment horizontal="center" wrapText="1"/>
    </xf>
    <xf numFmtId="0" fontId="3" fillId="0" borderId="755" xfId="0" applyFont="1" applyBorder="1" applyAlignment="1">
      <alignment horizont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7" fillId="0" borderId="1048" xfId="0" applyFont="1" applyBorder="1" applyAlignment="1">
      <alignment horizontal="center" vertical="center"/>
    </xf>
    <xf numFmtId="0" fontId="7" fillId="0" borderId="298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0" fontId="5" fillId="0" borderId="1186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114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0" fontId="3" fillId="20" borderId="1048" xfId="0" applyFont="1" applyFill="1" applyBorder="1" applyAlignment="1">
      <alignment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wrapText="1"/>
    </xf>
    <xf numFmtId="0" fontId="3" fillId="0" borderId="1077" xfId="0" applyFont="1" applyBorder="1" applyAlignment="1">
      <alignment horizont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/>
    </xf>
    <xf numFmtId="0" fontId="3" fillId="5" borderId="1084" xfId="0" applyFont="1" applyFill="1" applyBorder="1" applyAlignment="1">
      <alignment horizontal="center" vertical="center"/>
    </xf>
    <xf numFmtId="0" fontId="3" fillId="20" borderId="1084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1" fontId="3" fillId="3" borderId="1072" xfId="0" applyNumberFormat="1" applyFont="1" applyFill="1" applyBorder="1" applyAlignment="1">
      <alignment horizontal="center"/>
    </xf>
    <xf numFmtId="1" fontId="3" fillId="3" borderId="1053" xfId="0" applyNumberFormat="1" applyFont="1" applyFill="1" applyBorder="1" applyAlignment="1">
      <alignment horizontal="center"/>
    </xf>
    <xf numFmtId="1" fontId="3" fillId="3" borderId="1074" xfId="0" applyNumberFormat="1" applyFont="1" applyFill="1" applyBorder="1" applyAlignment="1">
      <alignment horizontal="center"/>
    </xf>
    <xf numFmtId="0" fontId="3" fillId="0" borderId="1077" xfId="0" applyFont="1" applyBorder="1" applyAlignment="1">
      <alignment horizontal="center"/>
    </xf>
    <xf numFmtId="0" fontId="3" fillId="0" borderId="1084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1" fontId="3" fillId="5" borderId="277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/>
    </xf>
    <xf numFmtId="0" fontId="3" fillId="5" borderId="1011" xfId="0" applyFont="1" applyFill="1" applyBorder="1" applyAlignment="1">
      <alignment horizontal="center" vertical="center"/>
    </xf>
    <xf numFmtId="0" fontId="3" fillId="5" borderId="1012" xfId="0" applyFont="1" applyFill="1" applyBorder="1" applyAlignment="1">
      <alignment horizontal="center" vertical="center"/>
    </xf>
    <xf numFmtId="0" fontId="3" fillId="5" borderId="299" xfId="0" applyFont="1" applyFill="1" applyBorder="1" applyAlignment="1">
      <alignment horizontal="center" vertical="center"/>
    </xf>
    <xf numFmtId="0" fontId="3" fillId="5" borderId="251" xfId="0" applyFont="1" applyFill="1" applyBorder="1" applyAlignment="1">
      <alignment horizontal="center" vertical="center"/>
    </xf>
    <xf numFmtId="0" fontId="3" fillId="5" borderId="755" xfId="0" applyFont="1" applyFill="1" applyBorder="1" applyAlignment="1">
      <alignment horizontal="center" vertical="center"/>
    </xf>
    <xf numFmtId="0" fontId="3" fillId="5" borderId="1011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299" xfId="0" applyFont="1" applyFill="1" applyBorder="1" applyAlignment="1">
      <alignment horizontal="center" wrapText="1"/>
    </xf>
    <xf numFmtId="0" fontId="3" fillId="5" borderId="251" xfId="0" applyFont="1" applyFill="1" applyBorder="1" applyAlignment="1">
      <alignment horizontal="center" wrapText="1"/>
    </xf>
    <xf numFmtId="0" fontId="3" fillId="5" borderId="732" xfId="0" applyFont="1" applyFill="1" applyBorder="1" applyAlignment="1">
      <alignment horizont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0" fontId="3" fillId="0" borderId="1053" xfId="0" applyFont="1" applyBorder="1" applyAlignment="1">
      <alignment horizontal="center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3" borderId="231" xfId="0" applyNumberFormat="1" applyFont="1" applyFill="1" applyBorder="1" applyAlignment="1">
      <alignment horizontal="center" vertical="center" wrapText="1"/>
    </xf>
    <xf numFmtId="0" fontId="2" fillId="5" borderId="1053" xfId="0" applyFont="1" applyFill="1" applyBorder="1"/>
    <xf numFmtId="0" fontId="2" fillId="5" borderId="1011" xfId="0" applyFont="1" applyFill="1" applyBorder="1"/>
    <xf numFmtId="0" fontId="2" fillId="5" borderId="251" xfId="0" applyFont="1" applyFill="1" applyBorder="1"/>
    <xf numFmtId="0" fontId="2" fillId="5" borderId="0" xfId="0" applyFont="1" applyFill="1"/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/>
    </xf>
    <xf numFmtId="0" fontId="3" fillId="0" borderId="1011" xfId="0" applyFont="1" applyBorder="1" applyAlignment="1">
      <alignment horizontal="center"/>
    </xf>
    <xf numFmtId="0" fontId="3" fillId="0" borderId="1023" xfId="0" applyFont="1" applyBorder="1" applyAlignment="1">
      <alignment horizontal="center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0" fontId="2" fillId="0" borderId="251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15" fillId="0" borderId="1072" xfId="0" applyFont="1" applyBorder="1" applyAlignment="1" applyProtection="1">
      <alignment horizontal="center" vertical="center"/>
      <protection hidden="1"/>
    </xf>
    <xf numFmtId="0" fontId="15" fillId="0" borderId="1140" xfId="0" applyFont="1" applyBorder="1" applyAlignment="1" applyProtection="1">
      <alignment horizontal="center" vertical="center"/>
      <protection hidden="1"/>
    </xf>
    <xf numFmtId="0" fontId="15" fillId="0" borderId="1124" xfId="0" applyFont="1" applyBorder="1" applyAlignment="1" applyProtection="1">
      <alignment horizontal="center" vertical="center"/>
      <protection hidden="1"/>
    </xf>
    <xf numFmtId="0" fontId="38" fillId="38" borderId="1072" xfId="0" applyFont="1" applyFill="1" applyBorder="1" applyAlignment="1">
      <alignment horizontal="center" vertical="center" wrapText="1"/>
    </xf>
    <xf numFmtId="0" fontId="38" fillId="38" borderId="1053" xfId="0" applyFont="1" applyFill="1" applyBorder="1" applyAlignment="1">
      <alignment horizontal="center" vertical="center" wrapText="1"/>
    </xf>
    <xf numFmtId="0" fontId="38" fillId="38" borderId="1077" xfId="0" applyFont="1" applyFill="1" applyBorder="1" applyAlignment="1">
      <alignment horizontal="center" vertical="center" wrapText="1"/>
    </xf>
    <xf numFmtId="0" fontId="40" fillId="38" borderId="1010" xfId="0" applyFont="1" applyFill="1" applyBorder="1" applyAlignment="1" applyProtection="1">
      <alignment horizontal="center" vertical="center" wrapText="1"/>
      <protection hidden="1"/>
    </xf>
    <xf numFmtId="0" fontId="40" fillId="38" borderId="1011" xfId="0" applyFont="1" applyFill="1" applyBorder="1" applyAlignment="1" applyProtection="1">
      <alignment horizontal="center" vertical="center" wrapText="1"/>
      <protection hidden="1"/>
    </xf>
    <xf numFmtId="0" fontId="40" fillId="38" borderId="1012" xfId="0" applyFont="1" applyFill="1" applyBorder="1" applyAlignment="1" applyProtection="1">
      <alignment horizontal="center" vertical="center" wrapText="1"/>
      <protection hidden="1"/>
    </xf>
    <xf numFmtId="0" fontId="40" fillId="38" borderId="299" xfId="0" applyFont="1" applyFill="1" applyBorder="1" applyAlignment="1" applyProtection="1">
      <alignment horizontal="center" vertical="center" wrapText="1"/>
      <protection hidden="1"/>
    </xf>
    <xf numFmtId="0" fontId="40" fillId="38" borderId="251" xfId="0" applyFont="1" applyFill="1" applyBorder="1" applyAlignment="1" applyProtection="1">
      <alignment horizontal="center" vertical="center" wrapText="1"/>
      <protection hidden="1"/>
    </xf>
    <xf numFmtId="0" fontId="40" fillId="38" borderId="75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981" t="s">
        <v>0</v>
      </c>
      <c r="B1" s="5982"/>
      <c r="C1" s="5983" t="s">
        <v>1</v>
      </c>
      <c r="D1" s="5984"/>
      <c r="E1" s="5984"/>
      <c r="F1" s="5984"/>
      <c r="G1" s="5984"/>
      <c r="H1" s="5985"/>
    </row>
    <row r="2" spans="1:23" ht="21.75" customHeight="1" x14ac:dyDescent="0.2">
      <c r="A2" s="442" t="s">
        <v>2</v>
      </c>
      <c r="B2" s="443"/>
      <c r="C2" s="444"/>
      <c r="D2" s="445"/>
      <c r="E2" s="445"/>
      <c r="F2" s="445"/>
      <c r="G2" s="446"/>
      <c r="H2" s="447"/>
      <c r="I2" s="136" t="str">
        <f>IF(OR(C2="",D2="",E2="",F2="",G2=""),"Falta Cód. Com.","")</f>
        <v>Falta Cód. Com.</v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1</v>
      </c>
    </row>
    <row r="3" spans="1:23" ht="21.75" customHeight="1" x14ac:dyDescent="0.2">
      <c r="A3" s="448" t="s">
        <v>3</v>
      </c>
      <c r="B3" s="449"/>
      <c r="C3" s="444"/>
      <c r="D3" s="445"/>
      <c r="E3" s="445"/>
      <c r="F3" s="445"/>
      <c r="G3" s="445"/>
      <c r="H3" s="446"/>
      <c r="I3" s="450" t="str">
        <f>IF(OR(C3="",D3="",E3="",F3="",G3="",H3=""),"Falta Cód. Est.","")</f>
        <v>Falta Cód. Est.</v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1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1"/>
      <c r="B5" s="452"/>
      <c r="C5" s="453"/>
      <c r="D5" s="453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4"/>
      <c r="C6" s="455"/>
      <c r="D6" s="289"/>
      <c r="E6" s="116"/>
      <c r="F6" s="116"/>
      <c r="G6" s="116"/>
      <c r="H6" s="116"/>
      <c r="I6" s="117" t="str">
        <f>IF(OR(C6="",D6=""),"Falta Cód. Mes.","")</f>
        <v>Falta Cód. Mes.</v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1</v>
      </c>
    </row>
    <row r="7" spans="1:23" ht="21.75" customHeight="1" x14ac:dyDescent="0.2">
      <c r="A7" s="442" t="s">
        <v>5</v>
      </c>
      <c r="B7" s="456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7"/>
      <c r="B8" s="458"/>
      <c r="C8" s="114"/>
      <c r="D8" s="114"/>
      <c r="E8" s="114"/>
      <c r="F8" s="114"/>
      <c r="G8" s="114"/>
      <c r="H8" s="114"/>
    </row>
    <row r="9" spans="1:23" ht="28.5" customHeight="1" x14ac:dyDescent="0.15">
      <c r="A9" s="5986" t="s">
        <v>4428</v>
      </c>
      <c r="B9" s="5987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59" t="s">
        <v>6</v>
      </c>
      <c r="B11" s="460"/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1" t="s">
        <v>8</v>
      </c>
      <c r="B12" s="460"/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2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988" t="s">
        <v>13</v>
      </c>
      <c r="B15" s="5989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978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979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980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3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I274"/>
  <sheetViews>
    <sheetView showGridLines="0" zoomScaleNormal="100" workbookViewId="0"/>
  </sheetViews>
  <sheetFormatPr baseColWidth="10" defaultColWidth="11.42578125" defaultRowHeight="15" x14ac:dyDescent="0.25"/>
  <cols>
    <col min="1" max="1" width="16.7109375" customWidth="1"/>
    <col min="2" max="2" width="53.7109375" customWidth="1"/>
    <col min="3" max="3" width="26" customWidth="1"/>
    <col min="4" max="4" width="12.42578125" customWidth="1"/>
    <col min="5" max="5" width="12.140625" customWidth="1"/>
    <col min="6" max="6" width="14.42578125" bestFit="1" customWidth="1"/>
    <col min="7" max="7" width="12.28515625" customWidth="1"/>
    <col min="9" max="9" width="12.85546875" customWidth="1"/>
    <col min="10" max="10" width="14.28515625" customWidth="1"/>
    <col min="11" max="11" width="12.28515625" customWidth="1"/>
    <col min="12" max="12" width="16" customWidth="1"/>
    <col min="13" max="13" width="14.5703125" customWidth="1"/>
    <col min="14" max="14" width="13.85546875" customWidth="1"/>
    <col min="24" max="35" width="12.7109375" customWidth="1"/>
    <col min="37" max="37" width="13.5703125" customWidth="1"/>
    <col min="38" max="39" width="15.7109375" customWidth="1"/>
    <col min="40" max="40" width="12.42578125" customWidth="1"/>
    <col min="43" max="43" width="12.7109375" customWidth="1"/>
    <col min="48" max="48" width="9.42578125" customWidth="1"/>
    <col min="79" max="113" width="11.42578125" hidden="1" customWidth="1"/>
    <col min="114" max="131" width="11.42578125" customWidth="1"/>
  </cols>
  <sheetData>
    <row r="1" spans="1:112" x14ac:dyDescent="0.25">
      <c r="B1" s="50" t="s">
        <v>23</v>
      </c>
    </row>
    <row r="2" spans="1:112" x14ac:dyDescent="0.25">
      <c r="B2" s="50" t="str">
        <f>CONCATENATE("COMUNA: ",NOMBRE!B2, " (",NOMBRE!C2,NOMBRE!D2,NOMBRE!E2,NOMBRE!F2,NOMBRE!G2,")")</f>
        <v>COMUNA:  ()</v>
      </c>
    </row>
    <row r="3" spans="1:112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112" x14ac:dyDescent="0.25">
      <c r="B4" s="50" t="str">
        <f>CONCATENATE("MES: ",NOMBRE!B6, " (",NOMBRE!C6,NOMBRE!D6,")")</f>
        <v>MES:  ()</v>
      </c>
    </row>
    <row r="5" spans="1:112" x14ac:dyDescent="0.25">
      <c r="B5" s="50" t="str">
        <f>CONCATENATE("AÑO: ",NOMBRE!B7)</f>
        <v>AÑO: 2025</v>
      </c>
    </row>
    <row r="6" spans="1:112" s="9" customFormat="1" ht="18" customHeight="1" x14ac:dyDescent="0.2">
      <c r="B6" s="6087" t="s">
        <v>24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1741"/>
      <c r="S6" s="1741"/>
      <c r="T6" s="1741"/>
      <c r="U6" s="1741"/>
      <c r="V6" s="1741"/>
      <c r="W6" s="1741"/>
      <c r="X6" s="1741"/>
      <c r="Y6" s="1741"/>
      <c r="Z6" s="1741"/>
      <c r="AA6" s="1741"/>
      <c r="AB6" s="1741"/>
      <c r="AC6" s="1741"/>
      <c r="AD6" s="1741"/>
      <c r="AE6" s="1741"/>
      <c r="AF6" s="1741"/>
      <c r="AG6" s="1741"/>
      <c r="AH6" s="1741"/>
      <c r="AI6" s="1741"/>
      <c r="AJ6" s="1741"/>
      <c r="AK6" s="1741"/>
      <c r="AL6" s="1741"/>
      <c r="AM6" s="1838"/>
      <c r="AN6" s="1838"/>
      <c r="AO6" s="1838"/>
      <c r="AP6" s="1838"/>
      <c r="AQ6" s="1838"/>
      <c r="AR6" s="1838"/>
      <c r="AS6" s="1838"/>
      <c r="AT6" s="1838"/>
      <c r="BB6" s="1839"/>
      <c r="BC6" s="1839"/>
      <c r="BD6" s="1839"/>
      <c r="BE6" s="1839"/>
      <c r="BF6" s="1839"/>
      <c r="BG6" s="1839"/>
      <c r="BH6" s="1839"/>
      <c r="BI6" s="1839"/>
      <c r="BJ6" s="1839"/>
      <c r="BK6" s="1839"/>
      <c r="BL6" s="1839"/>
      <c r="BM6" s="1839"/>
      <c r="BN6" s="1839"/>
      <c r="BO6" s="1839"/>
      <c r="BP6" s="1839"/>
      <c r="BQ6" s="1839"/>
      <c r="BR6" s="1839"/>
      <c r="BS6" s="1839"/>
      <c r="BT6" s="1839"/>
      <c r="BU6" s="1839"/>
      <c r="BV6" s="1839"/>
      <c r="BW6" s="1839"/>
      <c r="BX6" s="1839"/>
      <c r="BY6" s="1839"/>
      <c r="BZ6" s="1839"/>
      <c r="CA6" s="183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  <c r="DH6" s="89"/>
    </row>
    <row r="8" spans="1:112" ht="18" customHeight="1" x14ac:dyDescent="0.25">
      <c r="B8" s="6089" t="s">
        <v>25</v>
      </c>
      <c r="C8" s="6089"/>
      <c r="D8" s="6089"/>
      <c r="E8" s="6089"/>
      <c r="F8" s="6089"/>
      <c r="G8" s="6089"/>
      <c r="H8" s="6089"/>
      <c r="I8" s="6089"/>
      <c r="J8" s="6089"/>
      <c r="K8" s="6089"/>
      <c r="L8" s="6089"/>
      <c r="M8" s="6089"/>
      <c r="N8" s="6089"/>
      <c r="O8" s="6089"/>
      <c r="P8" s="6089"/>
      <c r="Q8" s="6089"/>
      <c r="R8" s="6089"/>
      <c r="S8" s="6089"/>
      <c r="T8" s="6089"/>
      <c r="U8" s="6089"/>
      <c r="V8" s="6089"/>
      <c r="W8" s="6089"/>
      <c r="X8" s="6089"/>
      <c r="Y8" s="6089"/>
      <c r="Z8" s="6089"/>
      <c r="AA8" s="6089"/>
      <c r="AB8" s="6089"/>
      <c r="AC8" s="6089"/>
      <c r="AD8" s="6089"/>
      <c r="AE8" s="6089"/>
      <c r="AF8" s="6089"/>
      <c r="AG8" s="6089"/>
      <c r="AH8" s="6089"/>
      <c r="AI8" s="6089"/>
    </row>
    <row r="9" spans="1:112" x14ac:dyDescent="0.25">
      <c r="B9" s="6038" t="s">
        <v>26</v>
      </c>
      <c r="C9" s="6038" t="s">
        <v>27</v>
      </c>
      <c r="D9" s="6022" t="s">
        <v>28</v>
      </c>
      <c r="E9" s="6068" t="s">
        <v>29</v>
      </c>
      <c r="F9" s="6075"/>
      <c r="G9" s="6075"/>
      <c r="H9" s="6075"/>
      <c r="I9" s="6075"/>
      <c r="J9" s="6075"/>
      <c r="K9" s="6075"/>
      <c r="L9" s="6075"/>
      <c r="M9" s="6075"/>
      <c r="N9" s="6075"/>
      <c r="O9" s="6075"/>
      <c r="P9" s="6075"/>
      <c r="Q9" s="6075"/>
      <c r="R9" s="6075"/>
      <c r="S9" s="6075"/>
      <c r="T9" s="6075"/>
      <c r="U9" s="6076"/>
      <c r="V9" s="6075" t="s">
        <v>30</v>
      </c>
      <c r="W9" s="6076"/>
      <c r="X9" s="6033" t="s">
        <v>31</v>
      </c>
      <c r="Y9" s="6085" t="s">
        <v>32</v>
      </c>
      <c r="Z9" s="6085" t="s">
        <v>33</v>
      </c>
      <c r="AA9" s="6085" t="s">
        <v>34</v>
      </c>
      <c r="AB9" s="6085" t="s">
        <v>35</v>
      </c>
      <c r="AC9" s="6085" t="s">
        <v>36</v>
      </c>
      <c r="AD9" s="6085" t="s">
        <v>37</v>
      </c>
      <c r="AE9" s="6026" t="s">
        <v>38</v>
      </c>
      <c r="AF9" s="6091" t="s">
        <v>39</v>
      </c>
      <c r="AG9" s="6042"/>
      <c r="AH9" s="6026"/>
      <c r="AI9" s="6022" t="s">
        <v>40</v>
      </c>
    </row>
    <row r="10" spans="1:112" ht="30" customHeight="1" x14ac:dyDescent="0.25">
      <c r="B10" s="6040"/>
      <c r="C10" s="6040"/>
      <c r="D10" s="6024"/>
      <c r="E10" s="1842" t="s">
        <v>41</v>
      </c>
      <c r="F10" s="1843" t="s">
        <v>42</v>
      </c>
      <c r="G10" s="1843" t="s">
        <v>43</v>
      </c>
      <c r="H10" s="1844" t="s">
        <v>44</v>
      </c>
      <c r="I10" s="1845" t="s">
        <v>45</v>
      </c>
      <c r="J10" s="1845" t="s">
        <v>46</v>
      </c>
      <c r="K10" s="1845" t="s">
        <v>47</v>
      </c>
      <c r="L10" s="1845" t="s">
        <v>48</v>
      </c>
      <c r="M10" s="1845" t="s">
        <v>49</v>
      </c>
      <c r="N10" s="1845" t="s">
        <v>50</v>
      </c>
      <c r="O10" s="1845" t="s">
        <v>51</v>
      </c>
      <c r="P10" s="1845" t="s">
        <v>52</v>
      </c>
      <c r="Q10" s="1845" t="s">
        <v>53</v>
      </c>
      <c r="R10" s="1845" t="s">
        <v>54</v>
      </c>
      <c r="S10" s="1845" t="s">
        <v>55</v>
      </c>
      <c r="T10" s="1845" t="s">
        <v>56</v>
      </c>
      <c r="U10" s="1846" t="s">
        <v>57</v>
      </c>
      <c r="V10" s="1847" t="s">
        <v>58</v>
      </c>
      <c r="W10" s="1848" t="s">
        <v>59</v>
      </c>
      <c r="X10" s="6035"/>
      <c r="Y10" s="6086"/>
      <c r="Z10" s="6086"/>
      <c r="AA10" s="6086"/>
      <c r="AB10" s="6086"/>
      <c r="AC10" s="6086"/>
      <c r="AD10" s="6086"/>
      <c r="AE10" s="6090"/>
      <c r="AF10" s="1849" t="s">
        <v>60</v>
      </c>
      <c r="AG10" s="1844" t="s">
        <v>61</v>
      </c>
      <c r="AH10" s="1850" t="s">
        <v>62</v>
      </c>
      <c r="AI10" s="6024"/>
    </row>
    <row r="11" spans="1:112" ht="15" customHeight="1" x14ac:dyDescent="0.25">
      <c r="A11" s="5601" t="s">
        <v>4429</v>
      </c>
      <c r="B11" s="6057" t="s">
        <v>63</v>
      </c>
      <c r="C11" s="1851" t="s">
        <v>64</v>
      </c>
      <c r="D11" s="1852" t="s">
        <v>4567</v>
      </c>
      <c r="E11" s="1853" t="s">
        <v>4568</v>
      </c>
      <c r="F11" s="1854" t="s">
        <v>4569</v>
      </c>
      <c r="G11" s="1014" t="s">
        <v>4570</v>
      </c>
      <c r="H11" s="1014" t="s">
        <v>4571</v>
      </c>
      <c r="I11" s="1014" t="s">
        <v>4572</v>
      </c>
      <c r="J11" s="1014" t="s">
        <v>4573</v>
      </c>
      <c r="K11" s="1014" t="s">
        <v>4574</v>
      </c>
      <c r="L11" s="1014" t="s">
        <v>4575</v>
      </c>
      <c r="M11" s="1014" t="s">
        <v>4576</v>
      </c>
      <c r="N11" s="1014" t="s">
        <v>4577</v>
      </c>
      <c r="O11" s="1014" t="s">
        <v>4578</v>
      </c>
      <c r="P11" s="1855" t="s">
        <v>4579</v>
      </c>
      <c r="Q11" s="1856" t="s">
        <v>4580</v>
      </c>
      <c r="R11" s="1857" t="s">
        <v>4581</v>
      </c>
      <c r="S11" s="1857" t="s">
        <v>4582</v>
      </c>
      <c r="T11" s="1857" t="s">
        <v>4583</v>
      </c>
      <c r="U11" s="1858" t="s">
        <v>4584</v>
      </c>
      <c r="V11" s="1859" t="s">
        <v>4585</v>
      </c>
      <c r="W11" s="1860" t="s">
        <v>4586</v>
      </c>
      <c r="X11" s="336" t="s">
        <v>4587</v>
      </c>
      <c r="Y11" s="1857" t="s">
        <v>4588</v>
      </c>
      <c r="Z11" s="1014" t="s">
        <v>4589</v>
      </c>
      <c r="AA11" s="1014" t="s">
        <v>4590</v>
      </c>
      <c r="AB11" s="1014" t="s">
        <v>4591</v>
      </c>
      <c r="AC11" s="1014" t="s">
        <v>4592</v>
      </c>
      <c r="AD11" s="1014" t="s">
        <v>4593</v>
      </c>
      <c r="AE11" s="142" t="s">
        <v>4594</v>
      </c>
      <c r="AF11" s="1861" t="s">
        <v>4595</v>
      </c>
      <c r="AG11" s="1862" t="s">
        <v>4596</v>
      </c>
      <c r="AH11" s="29" t="s">
        <v>4597</v>
      </c>
      <c r="AI11" s="1863" t="s">
        <v>4598</v>
      </c>
      <c r="AJ11" s="1864" t="e">
        <f>$CB11&amp;CC11&amp;CD11&amp;CE11&amp;CF11&amp;CG11&amp;CH11&amp;CI11&amp;CJ11&amp;CK11&amp;CL11&amp;CM11&amp;CN11</f>
        <v>#VALUE!</v>
      </c>
      <c r="CB11" s="1865" t="e">
        <f t="shared" ref="CB11:CB32" si="0">IF((V11+W11)&lt;&gt;$D11," * La suma de la variable Sexo (Hombres + Mujeres) no puede ser distinto al Total","")</f>
        <v>#VALUE!</v>
      </c>
      <c r="CC11" s="1865" t="str">
        <f t="shared" ref="CC11:CC22" si="1">IF(AND($D11&lt;&gt;0,X11=""),"* No olvide ingresar la variable "&amp;X$9&amp;""&amp;". Digite CERO si no tiene.  ",IF(X11&gt;$D11,"* La variable Control con pareja, familiar u otro no debe ser mayor al Total. ",""))</f>
        <v xml:space="preserve">* La variable Control con pareja, familiar u otro no debe ser mayor al Total. </v>
      </c>
      <c r="CD11" s="1866"/>
      <c r="CE11" s="1865" t="str">
        <f>IF(AND($D11&lt;&gt;0,Z11=""),"* No olvide ingresar la variable "&amp;Z$9&amp;""&amp;". Digite CERO si no tiene.  ",IF(Z11&gt;$D11,"* La variable Espacios Amigables/ Adolescentes no debe ser mayor al Total. ",""))</f>
        <v xml:space="preserve">* La variable Espacios Amigables/ Adolescentes no debe ser mayor al Total. </v>
      </c>
      <c r="CF11" s="1865" t="str">
        <f t="shared" ref="CF11:CF28" si="2">IF(AND($D11&lt;&gt;0,AA11=""),"* No olvide ingresar la variable "&amp;AA9&amp;""&amp;". Digite CERO si no tiene.  ",IF(AA11&gt;$D11,"* La variable Niños, Niñas, Adolescentes y Jóvenes SENAME no debe ser mayor al Total. ",""))</f>
        <v xml:space="preserve">* La variable Niños, Niñas, Adolescentes y Jóvenes SENAME no debe ser mayor al Total. </v>
      </c>
      <c r="CG11" s="1865" t="str">
        <f t="shared" ref="CG11:CG28" si="3">IF(AND($D11&lt;&gt;0,AB11=""),"* No olvide ingresar la variable "&amp;AB9&amp;""&amp;". Digite CERO si no tiene.  ",IF(AB11&gt;$D11,"* La variable Niños, Niñas, Adolescentes y Jóvenes Mejor Niñez no debe ser mayor al Total. ",""))</f>
        <v xml:space="preserve">* La variable Niños, Niñas, Adolescentes y Jóvenes Mejor Niñez no debe ser mayor al Total. </v>
      </c>
      <c r="CH11" s="1865" t="str">
        <f t="shared" ref="CH11:CH32" si="4">IF(AND($D11&lt;&gt;0,AC11=""),"* No olvide ingresar la variable "&amp;AC$9&amp;""&amp;". Digite CERO si no tiene. ",IF(AC11&gt;$D11,"* La variable de Pueblos Originarios no debe ser mayor al Total. ",""))</f>
        <v xml:space="preserve">* La variable de Pueblos Originarios no debe ser mayor al Total. </v>
      </c>
      <c r="CI11" s="1865" t="str">
        <f t="shared" ref="CI11:CI32" si="5">IF(AND($D11&lt;&gt;0,AD11=""),"* No olvide ingresar la variable "&amp;AD$9&amp;""&amp;". Digite CERO si no tiene.  ",IF(AD11&gt;$D11,"* La variable Migrantes no debe ser mayor al Total. ",""))</f>
        <v xml:space="preserve">* La variable Migrantes no debe ser mayor al Total. </v>
      </c>
      <c r="CJ11" s="1865" t="str">
        <f t="shared" ref="CJ11:CJ32" si="6">IF(AND($D11&lt;&gt;0,AE11=""),"* No olvide ingresar la variable "&amp;AE$9&amp;""&amp;". Digite CERO si no tiene.  ",IF(AE11&gt;$D11,"* La variable Personas con discapacidad no debe ser mayor al Total. ",""))</f>
        <v xml:space="preserve">* La variable Personas con discapacidad no debe ser mayor al Total. </v>
      </c>
      <c r="CK11" s="1865" t="str">
        <f>IF(AND($W11&lt;&gt;0,AF11=""),"* No olvide ingresar la variable "&amp;AF$10&amp;""&amp;". Digite CERO si no tiene.  ",IF(AF11&gt;$W11,"* La variable Trans masculino no debe ser mayor al Total Mujeres. ",""))</f>
        <v xml:space="preserve">* La variable Trans masculino no debe ser mayor al Total Mujeres. </v>
      </c>
      <c r="CL11" s="1865" t="str">
        <f>IF(AND($V11&lt;&gt;0,AG11=""),"* No olvide ingresar la variable "&amp;AG$10&amp;""&amp;". Digite CERO si no tiene.  ",IF(AG11&gt;$V11,"* La variable Trans Femenino no debe ser mayor al Total Hombres ",""))</f>
        <v xml:space="preserve">* La variable Trans Femenino no debe ser mayor al Total Hombres </v>
      </c>
      <c r="CM11" s="1865" t="str">
        <f>IF(AND($D11&lt;&gt;0,AH11=""),"* No olvide ingresar la variable "&amp;AH$10&amp;""&amp;". Digite CERO si no tiene.  ",IF(AH11&gt;$D11,"* La variable No binarie no debe ser mayor al Total. ",""))</f>
        <v xml:space="preserve">* La variable No binarie no debe ser mayor al Total. </v>
      </c>
      <c r="CN11" s="1866"/>
      <c r="CV11" s="1867" t="e">
        <f>IF((V11+W11)&lt;&gt;$D11,1,0)</f>
        <v>#VALUE!</v>
      </c>
      <c r="CW11" s="1867">
        <f t="shared" ref="CW11:CW12" si="7">IF(AND(D11&gt;0,X11=""),1,IF(X11&gt;D11,1,0))</f>
        <v>1</v>
      </c>
      <c r="CX11" s="1868"/>
      <c r="CY11" s="1867">
        <f>IF(AND($D11&lt;&gt;0,Z11=""),1,IF(Z11&gt;$D11,1,0))</f>
        <v>1</v>
      </c>
      <c r="CZ11" s="1867">
        <f>IF(AND($D11&lt;&gt;0,AA11=""),1,IF(AA11&gt;D11,1,0))</f>
        <v>1</v>
      </c>
      <c r="DA11" s="1867">
        <f>IF(AND($D11&lt;&gt;0,AB11=""),1,IF(AB11&gt;D11,1,0))</f>
        <v>1</v>
      </c>
      <c r="DB11" s="1867">
        <f>IF(AND($D11&lt;&gt;0,AC11=""),1,IF(AC11&gt;D11,1,0))</f>
        <v>1</v>
      </c>
      <c r="DC11" s="1867">
        <f>IF(AND($D11&lt;&gt;0,AD11=""),1,IF(AD11&gt;D11,1,0))</f>
        <v>1</v>
      </c>
      <c r="DD11" s="1867">
        <f>IF(AND($D11&lt;&gt;0,AE11=""),1,IF(AE11&gt;$D11,1,0))</f>
        <v>1</v>
      </c>
      <c r="DE11" s="1867">
        <f>IF(AND($W11&lt;&gt;0,AF11=""),1,IF(AF11&gt;$W11,1,0))</f>
        <v>1</v>
      </c>
      <c r="DF11" s="1867">
        <f>IF(AND($V11&lt;&gt;0,AG11=""),1,IF(AG11&gt;$V11,1,0))</f>
        <v>1</v>
      </c>
      <c r="DG11" s="1867">
        <f>IF(AND($D11&lt;&gt;0,AH11=""),1,IF(AH11&gt;$D11,1,0))</f>
        <v>1</v>
      </c>
      <c r="DH11" s="1869"/>
    </row>
    <row r="12" spans="1:112" ht="15" customHeight="1" x14ac:dyDescent="0.25">
      <c r="A12" s="5601" t="s">
        <v>4430</v>
      </c>
      <c r="B12" s="6084"/>
      <c r="C12" s="517" t="s">
        <v>65</v>
      </c>
      <c r="D12" s="1870" t="s">
        <v>4567</v>
      </c>
      <c r="E12" s="1871" t="s">
        <v>4568</v>
      </c>
      <c r="F12" s="1872" t="s">
        <v>4569</v>
      </c>
      <c r="G12" s="1873" t="s">
        <v>4570</v>
      </c>
      <c r="H12" s="1873" t="s">
        <v>4571</v>
      </c>
      <c r="I12" s="1873" t="s">
        <v>4572</v>
      </c>
      <c r="J12" s="1873" t="s">
        <v>4573</v>
      </c>
      <c r="K12" s="1873" t="s">
        <v>4574</v>
      </c>
      <c r="L12" s="1873" t="s">
        <v>4575</v>
      </c>
      <c r="M12" s="1873" t="s">
        <v>4576</v>
      </c>
      <c r="N12" s="1873" t="s">
        <v>4577</v>
      </c>
      <c r="O12" s="1873" t="s">
        <v>4578</v>
      </c>
      <c r="P12" s="1874" t="s">
        <v>4579</v>
      </c>
      <c r="Q12" s="1875" t="s">
        <v>4580</v>
      </c>
      <c r="R12" s="1875" t="s">
        <v>4581</v>
      </c>
      <c r="S12" s="1875" t="s">
        <v>4582</v>
      </c>
      <c r="T12" s="1875" t="s">
        <v>4583</v>
      </c>
      <c r="U12" s="1876" t="s">
        <v>4584</v>
      </c>
      <c r="V12" s="1877" t="s">
        <v>4585</v>
      </c>
      <c r="W12" s="1878" t="s">
        <v>4586</v>
      </c>
      <c r="X12" s="1879" t="s">
        <v>4587</v>
      </c>
      <c r="Y12" s="1875" t="s">
        <v>4588</v>
      </c>
      <c r="Z12" s="1873" t="s">
        <v>4589</v>
      </c>
      <c r="AA12" s="1873" t="s">
        <v>4590</v>
      </c>
      <c r="AB12" s="1873" t="s">
        <v>4591</v>
      </c>
      <c r="AC12" s="1873" t="s">
        <v>4592</v>
      </c>
      <c r="AD12" s="1873" t="s">
        <v>4593</v>
      </c>
      <c r="AE12" s="854" t="s">
        <v>4594</v>
      </c>
      <c r="AF12" s="964" t="s">
        <v>4595</v>
      </c>
      <c r="AG12" s="1880" t="s">
        <v>4596</v>
      </c>
      <c r="AH12" s="854" t="s">
        <v>4597</v>
      </c>
      <c r="AI12" s="1881" t="s">
        <v>4598</v>
      </c>
      <c r="AJ12" s="1864" t="e">
        <f t="shared" ref="AJ12:AJ32" si="8">$CB12&amp;CC12&amp;CD12&amp;CE12&amp;CF12&amp;CG12&amp;CH12&amp;CI12&amp;CJ12&amp;CK12&amp;CL12&amp;CM12&amp;CN12</f>
        <v>#VALUE!</v>
      </c>
      <c r="CB12" s="1865" t="e">
        <f t="shared" si="0"/>
        <v>#VALUE!</v>
      </c>
      <c r="CC12" s="1865" t="str">
        <f t="shared" si="1"/>
        <v xml:space="preserve">* La variable Control con pareja, familiar u otro no debe ser mayor al Total. </v>
      </c>
      <c r="CD12" s="1866"/>
      <c r="CE12" s="1865" t="str">
        <f>IF(AND($D12&lt;&gt;0,Z12=""),"* No olvide ingresar la variable "&amp;Z$9&amp;""&amp;". Digite CERO si no tiene.  ",IF(Z12&gt;$D12,"* La variable Espacios Amigables/ Adolescentes no debe ser mayor al Total. ",""))</f>
        <v xml:space="preserve">* La variable Espacios Amigables/ Adolescentes no debe ser mayor al Total. </v>
      </c>
      <c r="CF12" s="1865" t="str">
        <f t="shared" si="2"/>
        <v xml:space="preserve">* La variable Niños, Niñas, Adolescentes y Jóvenes SENAME no debe ser mayor al Total. </v>
      </c>
      <c r="CG12" s="1865" t="str">
        <f t="shared" si="3"/>
        <v xml:space="preserve">* La variable Niños, Niñas, Adolescentes y Jóvenes Mejor Niñez no debe ser mayor al Total. </v>
      </c>
      <c r="CH12" s="1865" t="str">
        <f t="shared" si="4"/>
        <v xml:space="preserve">* La variable de Pueblos Originarios no debe ser mayor al Total. </v>
      </c>
      <c r="CI12" s="1865" t="str">
        <f t="shared" si="5"/>
        <v xml:space="preserve">* La variable Migrantes no debe ser mayor al Total. </v>
      </c>
      <c r="CJ12" s="1865" t="str">
        <f t="shared" si="6"/>
        <v xml:space="preserve">* La variable Personas con discapacidad no debe ser mayor al Total. </v>
      </c>
      <c r="CK12" s="1865" t="str">
        <f t="shared" ref="CK12:CK32" si="9">IF(AND($W12&lt;&gt;0,AF12=""),"* No olvide ingresar la variable "&amp;AF$10&amp;""&amp;". Digite CERO si no tiene.  ",IF(AF12&gt;$W12,"* La variable Trans masculino no debe ser mayor al Total Mujeres. ",""))</f>
        <v xml:space="preserve">* La variable Trans masculino no debe ser mayor al Total Mujeres. </v>
      </c>
      <c r="CL12" s="1865" t="str">
        <f t="shared" ref="CL12:CL32" si="10">IF(AND($V12&lt;&gt;0,AG12=""),"* No olvide ingresar la variable "&amp;AG$10&amp;""&amp;". Digite CERO si no tiene.  ",IF(AG12&gt;$V12,"* La variable Trans Femenino no debe ser mayor al Total Hombres ",""))</f>
        <v xml:space="preserve">* La variable Trans Femenino no debe ser mayor al Total Hombres </v>
      </c>
      <c r="CM12" s="1865" t="str">
        <f t="shared" ref="CM12:CM32" si="11">IF(AND($D12&lt;&gt;0,AH12=""),"* No olvide ingresar la variable "&amp;AH$10&amp;""&amp;". Digite CERO si no tiene.  ",IF(AH12&gt;$D12,"* La variable No binarie no debe ser mayor al Total. ",""))</f>
        <v xml:space="preserve">* La variable No binarie no debe ser mayor al Total. </v>
      </c>
      <c r="CN12" s="1866"/>
      <c r="CV12" s="1867" t="e">
        <f t="shared" ref="CV12:CV32" si="12">IF((V12+W12)&lt;&gt;$D12,1,0)</f>
        <v>#VALUE!</v>
      </c>
      <c r="CW12" s="1867">
        <f t="shared" si="7"/>
        <v>1</v>
      </c>
      <c r="CX12" s="1868"/>
      <c r="CY12" s="1867">
        <f>IF(AND($D12&lt;&gt;0,Z12=""),1,IF(Z12&gt;$D12,1,0))</f>
        <v>1</v>
      </c>
      <c r="CZ12" s="1867">
        <f t="shared" ref="CZ12:CZ22" si="13">IF(AND($D12&lt;&gt;0,AA12=""),1,IF(AA12&gt;D12,1,0))</f>
        <v>1</v>
      </c>
      <c r="DA12" s="1867">
        <f t="shared" ref="DA12:DA22" si="14">IF(AND($D12&lt;&gt;0,AB12=""),1,IF(AB12&gt;D12,1,0))</f>
        <v>1</v>
      </c>
      <c r="DB12" s="1867">
        <f t="shared" ref="DB12:DB28" si="15">IF(AND($D12&lt;&gt;0,AC12=""),1,IF(AC12&gt;D12,1,0))</f>
        <v>1</v>
      </c>
      <c r="DC12" s="1867">
        <f t="shared" ref="DC12:DC28" si="16">IF(AND($D12&lt;&gt;0,AD12=""),1,IF(AD12&gt;D12,1,0))</f>
        <v>1</v>
      </c>
      <c r="DD12" s="1867">
        <f t="shared" ref="DD12:DD28" si="17">IF(AND($D12&lt;&gt;0,AE12=""),1,IF(AE12&gt;$D12,1,0))</f>
        <v>1</v>
      </c>
      <c r="DE12" s="1867">
        <f t="shared" ref="DE12:DE28" si="18">IF(AND($W12&lt;&gt;0,AF12=""),1,IF(AF12&gt;$W12,1,0))</f>
        <v>1</v>
      </c>
      <c r="DF12" s="1867">
        <f t="shared" ref="DF12" si="19">IF(AND($V12&lt;&gt;0,AG12=""),1,IF(AG12&gt;$V12,1,0))</f>
        <v>1</v>
      </c>
      <c r="DG12" s="1867">
        <f t="shared" ref="DG12:DG22" si="20">IF(AND($D12&lt;&gt;0,AH12=""),1,IF(AH12&gt;$D12,1,0))</f>
        <v>1</v>
      </c>
      <c r="DH12" s="1869"/>
    </row>
    <row r="13" spans="1:112" ht="15" customHeight="1" x14ac:dyDescent="0.25">
      <c r="A13" s="5601" t="s">
        <v>4431</v>
      </c>
      <c r="B13" s="6057" t="s">
        <v>66</v>
      </c>
      <c r="C13" s="1851" t="s">
        <v>64</v>
      </c>
      <c r="D13" s="1882" t="s">
        <v>4567</v>
      </c>
      <c r="E13" s="333" t="s">
        <v>4568</v>
      </c>
      <c r="F13" s="1883" t="s">
        <v>4569</v>
      </c>
      <c r="G13" s="1014" t="s">
        <v>4570</v>
      </c>
      <c r="H13" s="1014" t="s">
        <v>4571</v>
      </c>
      <c r="I13" s="1014" t="s">
        <v>4572</v>
      </c>
      <c r="J13" s="1014" t="s">
        <v>4573</v>
      </c>
      <c r="K13" s="1014" t="s">
        <v>4574</v>
      </c>
      <c r="L13" s="1014" t="s">
        <v>4575</v>
      </c>
      <c r="M13" s="1014" t="s">
        <v>4576</v>
      </c>
      <c r="N13" s="1014" t="s">
        <v>4577</v>
      </c>
      <c r="O13" s="1862" t="s">
        <v>4578</v>
      </c>
      <c r="P13" s="1856" t="s">
        <v>4579</v>
      </c>
      <c r="Q13" s="1857" t="s">
        <v>4580</v>
      </c>
      <c r="R13" s="1857" t="s">
        <v>4581</v>
      </c>
      <c r="S13" s="1857" t="s">
        <v>4582</v>
      </c>
      <c r="T13" s="1857" t="s">
        <v>4583</v>
      </c>
      <c r="U13" s="991" t="s">
        <v>4584</v>
      </c>
      <c r="V13" s="1883" t="s">
        <v>4585</v>
      </c>
      <c r="W13" s="1884" t="s">
        <v>4586</v>
      </c>
      <c r="X13" s="336" t="s">
        <v>4587</v>
      </c>
      <c r="Y13" s="1885" t="s">
        <v>4588</v>
      </c>
      <c r="Z13" s="1886" t="s">
        <v>4589</v>
      </c>
      <c r="AA13" s="232" t="s">
        <v>4590</v>
      </c>
      <c r="AB13" s="232" t="s">
        <v>4591</v>
      </c>
      <c r="AC13" s="232" t="s">
        <v>4592</v>
      </c>
      <c r="AD13" s="232" t="s">
        <v>4593</v>
      </c>
      <c r="AE13" s="29" t="s">
        <v>4594</v>
      </c>
      <c r="AF13" s="1887" t="s">
        <v>4595</v>
      </c>
      <c r="AG13" s="1888" t="s">
        <v>4596</v>
      </c>
      <c r="AH13" s="29" t="s">
        <v>4597</v>
      </c>
      <c r="AI13" s="1863" t="s">
        <v>4598</v>
      </c>
      <c r="AJ13" s="1864" t="e">
        <f t="shared" si="8"/>
        <v>#VALUE!</v>
      </c>
      <c r="CB13" s="1865" t="e">
        <f t="shared" si="0"/>
        <v>#VALUE!</v>
      </c>
      <c r="CC13" s="1865" t="str">
        <f t="shared" si="1"/>
        <v xml:space="preserve">* La variable Control con pareja, familiar u otro no debe ser mayor al Total. </v>
      </c>
      <c r="CD13" s="1866"/>
      <c r="CE13" s="1866"/>
      <c r="CF13" s="1865" t="str">
        <f t="shared" si="2"/>
        <v xml:space="preserve">* La variable Niños, Niñas, Adolescentes y Jóvenes SENAME no debe ser mayor al Total. </v>
      </c>
      <c r="CG13" s="1865" t="str">
        <f t="shared" si="3"/>
        <v xml:space="preserve">* La variable Niños, Niñas, Adolescentes y Jóvenes Mejor Niñez no debe ser mayor al Total. </v>
      </c>
      <c r="CH13" s="1865" t="str">
        <f t="shared" si="4"/>
        <v xml:space="preserve">* La variable de Pueblos Originarios no debe ser mayor al Total. </v>
      </c>
      <c r="CI13" s="1865" t="str">
        <f t="shared" si="5"/>
        <v xml:space="preserve">* La variable Migrantes no debe ser mayor al Total. </v>
      </c>
      <c r="CJ13" s="1865" t="str">
        <f t="shared" si="6"/>
        <v xml:space="preserve">* La variable Personas con discapacidad no debe ser mayor al Total. </v>
      </c>
      <c r="CK13" s="1865" t="str">
        <f t="shared" si="9"/>
        <v xml:space="preserve">* La variable Trans masculino no debe ser mayor al Total Mujeres. </v>
      </c>
      <c r="CL13" s="1866"/>
      <c r="CM13" s="1865" t="str">
        <f t="shared" si="11"/>
        <v xml:space="preserve">* La variable No binarie no debe ser mayor al Total. </v>
      </c>
      <c r="CN13" s="1866"/>
      <c r="CV13" s="1867" t="e">
        <f t="shared" si="12"/>
        <v>#VALUE!</v>
      </c>
      <c r="CW13" s="1867">
        <f>IF(AND(D13&gt;0,X13=""),1,IF(X13&gt;D13,1,0))</f>
        <v>1</v>
      </c>
      <c r="CX13" s="1868"/>
      <c r="CY13" s="1868"/>
      <c r="CZ13" s="1867">
        <f t="shared" si="13"/>
        <v>1</v>
      </c>
      <c r="DA13" s="1867">
        <f t="shared" si="14"/>
        <v>1</v>
      </c>
      <c r="DB13" s="1867">
        <f t="shared" si="15"/>
        <v>1</v>
      </c>
      <c r="DC13" s="1867">
        <f t="shared" si="16"/>
        <v>1</v>
      </c>
      <c r="DD13" s="1867">
        <f t="shared" si="17"/>
        <v>1</v>
      </c>
      <c r="DE13" s="1867">
        <f t="shared" si="18"/>
        <v>1</v>
      </c>
      <c r="DF13" s="1868"/>
      <c r="DG13" s="1867">
        <f t="shared" si="20"/>
        <v>1</v>
      </c>
      <c r="DH13" s="1869"/>
    </row>
    <row r="14" spans="1:112" ht="15" customHeight="1" x14ac:dyDescent="0.25">
      <c r="A14" s="5601" t="s">
        <v>4432</v>
      </c>
      <c r="B14" s="6058"/>
      <c r="C14" s="517" t="s">
        <v>65</v>
      </c>
      <c r="D14" s="1889" t="s">
        <v>4567</v>
      </c>
      <c r="E14" s="1890" t="s">
        <v>4568</v>
      </c>
      <c r="F14" s="1891" t="s">
        <v>4569</v>
      </c>
      <c r="G14" s="232" t="s">
        <v>4570</v>
      </c>
      <c r="H14" s="232" t="s">
        <v>4571</v>
      </c>
      <c r="I14" s="232" t="s">
        <v>4572</v>
      </c>
      <c r="J14" s="232" t="s">
        <v>4573</v>
      </c>
      <c r="K14" s="232" t="s">
        <v>4574</v>
      </c>
      <c r="L14" s="232" t="s">
        <v>4575</v>
      </c>
      <c r="M14" s="232" t="s">
        <v>4576</v>
      </c>
      <c r="N14" s="232" t="s">
        <v>4577</v>
      </c>
      <c r="O14" s="1880" t="s">
        <v>4578</v>
      </c>
      <c r="P14" s="1892" t="s">
        <v>4579</v>
      </c>
      <c r="Q14" s="1875" t="s">
        <v>4580</v>
      </c>
      <c r="R14" s="1875" t="s">
        <v>4581</v>
      </c>
      <c r="S14" s="1875" t="s">
        <v>4582</v>
      </c>
      <c r="T14" s="1875" t="s">
        <v>4583</v>
      </c>
      <c r="U14" s="1893" t="s">
        <v>4584</v>
      </c>
      <c r="V14" s="1894" t="s">
        <v>4585</v>
      </c>
      <c r="W14" s="1878" t="s">
        <v>4586</v>
      </c>
      <c r="X14" s="1879" t="s">
        <v>4587</v>
      </c>
      <c r="Y14" s="1875" t="s">
        <v>4588</v>
      </c>
      <c r="Z14" s="1895" t="s">
        <v>4589</v>
      </c>
      <c r="AA14" s="1873" t="s">
        <v>4590</v>
      </c>
      <c r="AB14" s="1873" t="s">
        <v>4591</v>
      </c>
      <c r="AC14" s="1873" t="s">
        <v>4592</v>
      </c>
      <c r="AD14" s="1873" t="s">
        <v>4593</v>
      </c>
      <c r="AE14" s="854" t="s">
        <v>4594</v>
      </c>
      <c r="AF14" s="853" t="s">
        <v>4595</v>
      </c>
      <c r="AG14" s="1896" t="s">
        <v>4596</v>
      </c>
      <c r="AH14" s="854" t="s">
        <v>4597</v>
      </c>
      <c r="AI14" s="1881" t="s">
        <v>4598</v>
      </c>
      <c r="AJ14" s="1864" t="e">
        <f t="shared" si="8"/>
        <v>#VALUE!</v>
      </c>
      <c r="CB14" s="1865" t="e">
        <f t="shared" si="0"/>
        <v>#VALUE!</v>
      </c>
      <c r="CC14" s="1865" t="str">
        <f t="shared" si="1"/>
        <v xml:space="preserve">* La variable Control con pareja, familiar u otro no debe ser mayor al Total. </v>
      </c>
      <c r="CD14" s="1866"/>
      <c r="CE14" s="1866"/>
      <c r="CF14" s="1865" t="str">
        <f t="shared" si="2"/>
        <v xml:space="preserve">* La variable Niños, Niñas, Adolescentes y Jóvenes SENAME no debe ser mayor al Total. </v>
      </c>
      <c r="CG14" s="1865" t="str">
        <f t="shared" si="3"/>
        <v xml:space="preserve">* La variable Niños, Niñas, Adolescentes y Jóvenes Mejor Niñez no debe ser mayor al Total. </v>
      </c>
      <c r="CH14" s="1865" t="str">
        <f t="shared" si="4"/>
        <v xml:space="preserve">* La variable de Pueblos Originarios no debe ser mayor al Total. </v>
      </c>
      <c r="CI14" s="1865" t="str">
        <f t="shared" si="5"/>
        <v xml:space="preserve">* La variable Migrantes no debe ser mayor al Total. </v>
      </c>
      <c r="CJ14" s="1865" t="str">
        <f t="shared" si="6"/>
        <v xml:space="preserve">* La variable Personas con discapacidad no debe ser mayor al Total. </v>
      </c>
      <c r="CK14" s="1865" t="str">
        <f t="shared" si="9"/>
        <v xml:space="preserve">* La variable Trans masculino no debe ser mayor al Total Mujeres. </v>
      </c>
      <c r="CL14" s="1866"/>
      <c r="CM14" s="1865" t="str">
        <f t="shared" si="11"/>
        <v xml:space="preserve">* La variable No binarie no debe ser mayor al Total. </v>
      </c>
      <c r="CN14" s="1866"/>
      <c r="CV14" s="1867" t="e">
        <f t="shared" si="12"/>
        <v>#VALUE!</v>
      </c>
      <c r="CW14" s="1867">
        <f>IF(AND(D14&gt;0,X14=""),1,IF(X14&gt;SUM(D14),1,0))</f>
        <v>1</v>
      </c>
      <c r="CX14" s="1868"/>
      <c r="CY14" s="1868"/>
      <c r="CZ14" s="1867">
        <f t="shared" si="13"/>
        <v>1</v>
      </c>
      <c r="DA14" s="1867">
        <f t="shared" si="14"/>
        <v>1</v>
      </c>
      <c r="DB14" s="1867">
        <f t="shared" si="15"/>
        <v>1</v>
      </c>
      <c r="DC14" s="1867">
        <f t="shared" si="16"/>
        <v>1</v>
      </c>
      <c r="DD14" s="1867">
        <f t="shared" si="17"/>
        <v>1</v>
      </c>
      <c r="DE14" s="1867">
        <f t="shared" si="18"/>
        <v>1</v>
      </c>
      <c r="DF14" s="1868"/>
      <c r="DG14" s="1867">
        <f t="shared" si="20"/>
        <v>1</v>
      </c>
      <c r="DH14" s="1869"/>
    </row>
    <row r="15" spans="1:112" ht="15" customHeight="1" x14ac:dyDescent="0.25">
      <c r="A15" s="5601" t="s">
        <v>4433</v>
      </c>
      <c r="B15" s="6057" t="s">
        <v>67</v>
      </c>
      <c r="C15" s="1851" t="s">
        <v>64</v>
      </c>
      <c r="D15" s="1852" t="s">
        <v>4567</v>
      </c>
      <c r="E15" s="1853" t="s">
        <v>4568</v>
      </c>
      <c r="F15" s="1854" t="s">
        <v>4569</v>
      </c>
      <c r="G15" s="1862" t="s">
        <v>4570</v>
      </c>
      <c r="H15" s="1862" t="s">
        <v>4571</v>
      </c>
      <c r="I15" s="1862" t="s">
        <v>4572</v>
      </c>
      <c r="J15" s="1862" t="s">
        <v>4573</v>
      </c>
      <c r="K15" s="1862" t="s">
        <v>4574</v>
      </c>
      <c r="L15" s="1862" t="s">
        <v>4575</v>
      </c>
      <c r="M15" s="1862" t="s">
        <v>4576</v>
      </c>
      <c r="N15" s="1862" t="s">
        <v>4577</v>
      </c>
      <c r="O15" s="1862" t="s">
        <v>4578</v>
      </c>
      <c r="P15" s="1856" t="s">
        <v>4579</v>
      </c>
      <c r="Q15" s="1857" t="s">
        <v>4580</v>
      </c>
      <c r="R15" s="1857" t="s">
        <v>4581</v>
      </c>
      <c r="S15" s="1857" t="s">
        <v>4582</v>
      </c>
      <c r="T15" s="1857" t="s">
        <v>4583</v>
      </c>
      <c r="U15" s="1897" t="s">
        <v>4584</v>
      </c>
      <c r="V15" s="1854" t="s">
        <v>4585</v>
      </c>
      <c r="W15" s="1884" t="s">
        <v>4586</v>
      </c>
      <c r="X15" s="336" t="s">
        <v>4587</v>
      </c>
      <c r="Y15" s="1857" t="s">
        <v>4588</v>
      </c>
      <c r="Z15" s="1898" t="s">
        <v>4589</v>
      </c>
      <c r="AA15" s="232" t="s">
        <v>4590</v>
      </c>
      <c r="AB15" s="232" t="s">
        <v>4591</v>
      </c>
      <c r="AC15" s="232" t="s">
        <v>4592</v>
      </c>
      <c r="AD15" s="232" t="s">
        <v>4593</v>
      </c>
      <c r="AE15" s="29" t="s">
        <v>4594</v>
      </c>
      <c r="AF15" s="1887" t="s">
        <v>4595</v>
      </c>
      <c r="AG15" s="1888" t="s">
        <v>4596</v>
      </c>
      <c r="AH15" s="29" t="s">
        <v>4597</v>
      </c>
      <c r="AI15" s="1863" t="s">
        <v>4598</v>
      </c>
      <c r="AJ15" s="1864" t="e">
        <f t="shared" si="8"/>
        <v>#VALUE!</v>
      </c>
      <c r="CB15" s="1865" t="e">
        <f t="shared" si="0"/>
        <v>#VALUE!</v>
      </c>
      <c r="CC15" s="1865" t="str">
        <f t="shared" si="1"/>
        <v xml:space="preserve">* La variable Control con pareja, familiar u otro no debe ser mayor al Total. </v>
      </c>
      <c r="CD15" s="1866"/>
      <c r="CE15" s="1866"/>
      <c r="CF15" s="1865" t="str">
        <f t="shared" si="2"/>
        <v xml:space="preserve">* La variable Niños, Niñas, Adolescentes y Jóvenes SENAME no debe ser mayor al Total. </v>
      </c>
      <c r="CG15" s="1865" t="str">
        <f t="shared" si="3"/>
        <v xml:space="preserve">* La variable Niños, Niñas, Adolescentes y Jóvenes Mejor Niñez no debe ser mayor al Total. </v>
      </c>
      <c r="CH15" s="1865" t="str">
        <f t="shared" si="4"/>
        <v xml:space="preserve">* La variable de Pueblos Originarios no debe ser mayor al Total. </v>
      </c>
      <c r="CI15" s="1865" t="str">
        <f t="shared" si="5"/>
        <v xml:space="preserve">* La variable Migrantes no debe ser mayor al Total. </v>
      </c>
      <c r="CJ15" s="1865" t="str">
        <f t="shared" si="6"/>
        <v xml:space="preserve">* La variable Personas con discapacidad no debe ser mayor al Total. </v>
      </c>
      <c r="CK15" s="1865" t="str">
        <f t="shared" si="9"/>
        <v xml:space="preserve">* La variable Trans masculino no debe ser mayor al Total Mujeres. </v>
      </c>
      <c r="CL15" s="1866"/>
      <c r="CM15" s="1865" t="str">
        <f t="shared" si="11"/>
        <v xml:space="preserve">* La variable No binarie no debe ser mayor al Total. </v>
      </c>
      <c r="CN15" s="1866"/>
      <c r="CV15" s="1867" t="e">
        <f t="shared" si="12"/>
        <v>#VALUE!</v>
      </c>
      <c r="CW15" s="1867">
        <f t="shared" ref="CW15:CW22" si="21">IF(AND(D15&gt;0,X15=""),1,IF(X15&gt;SUM(D15),1,0))</f>
        <v>1</v>
      </c>
      <c r="CX15" s="1868"/>
      <c r="CY15" s="1868"/>
      <c r="CZ15" s="1867">
        <f t="shared" si="13"/>
        <v>1</v>
      </c>
      <c r="DA15" s="1867">
        <f t="shared" si="14"/>
        <v>1</v>
      </c>
      <c r="DB15" s="1867">
        <f t="shared" si="15"/>
        <v>1</v>
      </c>
      <c r="DC15" s="1867">
        <f t="shared" si="16"/>
        <v>1</v>
      </c>
      <c r="DD15" s="1867">
        <f t="shared" si="17"/>
        <v>1</v>
      </c>
      <c r="DE15" s="1867">
        <f t="shared" si="18"/>
        <v>1</v>
      </c>
      <c r="DF15" s="1868"/>
      <c r="DG15" s="1867">
        <f t="shared" si="20"/>
        <v>1</v>
      </c>
      <c r="DH15" s="1869"/>
    </row>
    <row r="16" spans="1:112" ht="15" customHeight="1" x14ac:dyDescent="0.25">
      <c r="A16" s="5601" t="s">
        <v>4434</v>
      </c>
      <c r="B16" s="6059"/>
      <c r="C16" s="517" t="s">
        <v>65</v>
      </c>
      <c r="D16" s="1870" t="s">
        <v>4567</v>
      </c>
      <c r="E16" s="1871" t="s">
        <v>4568</v>
      </c>
      <c r="F16" s="1872" t="s">
        <v>4569</v>
      </c>
      <c r="G16" s="1880" t="s">
        <v>4570</v>
      </c>
      <c r="H16" s="1880" t="s">
        <v>4571</v>
      </c>
      <c r="I16" s="1880" t="s">
        <v>4572</v>
      </c>
      <c r="J16" s="1880" t="s">
        <v>4573</v>
      </c>
      <c r="K16" s="1880" t="s">
        <v>4574</v>
      </c>
      <c r="L16" s="1880" t="s">
        <v>4575</v>
      </c>
      <c r="M16" s="1880" t="s">
        <v>4576</v>
      </c>
      <c r="N16" s="1880" t="s">
        <v>4577</v>
      </c>
      <c r="O16" s="1873" t="s">
        <v>4578</v>
      </c>
      <c r="P16" s="1874" t="s">
        <v>4579</v>
      </c>
      <c r="Q16" s="1875" t="s">
        <v>4580</v>
      </c>
      <c r="R16" s="1875" t="s">
        <v>4581</v>
      </c>
      <c r="S16" s="1875" t="s">
        <v>4582</v>
      </c>
      <c r="T16" s="1875" t="s">
        <v>4583</v>
      </c>
      <c r="U16" s="1876" t="s">
        <v>4584</v>
      </c>
      <c r="V16" s="1899" t="s">
        <v>4585</v>
      </c>
      <c r="W16" s="1878" t="s">
        <v>4586</v>
      </c>
      <c r="X16" s="1879" t="s">
        <v>4587</v>
      </c>
      <c r="Y16" s="1875" t="s">
        <v>4588</v>
      </c>
      <c r="Z16" s="1895" t="s">
        <v>4589</v>
      </c>
      <c r="AA16" s="1873" t="s">
        <v>4590</v>
      </c>
      <c r="AB16" s="1873" t="s">
        <v>4591</v>
      </c>
      <c r="AC16" s="1873" t="s">
        <v>4592</v>
      </c>
      <c r="AD16" s="1873" t="s">
        <v>4593</v>
      </c>
      <c r="AE16" s="854" t="s">
        <v>4594</v>
      </c>
      <c r="AF16" s="853" t="s">
        <v>4595</v>
      </c>
      <c r="AG16" s="1896" t="s">
        <v>4596</v>
      </c>
      <c r="AH16" s="854" t="s">
        <v>4597</v>
      </c>
      <c r="AI16" s="1881" t="s">
        <v>4598</v>
      </c>
      <c r="AJ16" s="1864" t="e">
        <f t="shared" si="8"/>
        <v>#VALUE!</v>
      </c>
      <c r="CB16" s="1865" t="e">
        <f t="shared" si="0"/>
        <v>#VALUE!</v>
      </c>
      <c r="CC16" s="1865" t="str">
        <f t="shared" si="1"/>
        <v xml:space="preserve">* La variable Control con pareja, familiar u otro no debe ser mayor al Total. </v>
      </c>
      <c r="CD16" s="1866"/>
      <c r="CE16" s="1866"/>
      <c r="CF16" s="1865" t="str">
        <f t="shared" si="2"/>
        <v xml:space="preserve">* La variable Niños, Niñas, Adolescentes y Jóvenes SENAME no debe ser mayor al Total. </v>
      </c>
      <c r="CG16" s="1865" t="str">
        <f t="shared" si="3"/>
        <v xml:space="preserve">* La variable Niños, Niñas, Adolescentes y Jóvenes Mejor Niñez no debe ser mayor al Total. </v>
      </c>
      <c r="CH16" s="1865" t="str">
        <f t="shared" si="4"/>
        <v xml:space="preserve">* La variable de Pueblos Originarios no debe ser mayor al Total. </v>
      </c>
      <c r="CI16" s="1865" t="str">
        <f t="shared" si="5"/>
        <v xml:space="preserve">* La variable Migrantes no debe ser mayor al Total. </v>
      </c>
      <c r="CJ16" s="1865" t="str">
        <f t="shared" si="6"/>
        <v xml:space="preserve">* La variable Personas con discapacidad no debe ser mayor al Total. </v>
      </c>
      <c r="CK16" s="1865" t="str">
        <f t="shared" si="9"/>
        <v xml:space="preserve">* La variable Trans masculino no debe ser mayor al Total Mujeres. </v>
      </c>
      <c r="CL16" s="1866"/>
      <c r="CM16" s="1865" t="str">
        <f t="shared" si="11"/>
        <v xml:space="preserve">* La variable No binarie no debe ser mayor al Total. </v>
      </c>
      <c r="CN16" s="1866"/>
      <c r="CV16" s="1867" t="e">
        <f t="shared" si="12"/>
        <v>#VALUE!</v>
      </c>
      <c r="CW16" s="1867">
        <f t="shared" si="21"/>
        <v>1</v>
      </c>
      <c r="CX16" s="1868"/>
      <c r="CY16" s="1868"/>
      <c r="CZ16" s="1867">
        <f t="shared" si="13"/>
        <v>1</v>
      </c>
      <c r="DA16" s="1867">
        <f t="shared" si="14"/>
        <v>1</v>
      </c>
      <c r="DB16" s="1867">
        <f t="shared" si="15"/>
        <v>1</v>
      </c>
      <c r="DC16" s="1867">
        <f t="shared" si="16"/>
        <v>1</v>
      </c>
      <c r="DD16" s="1867">
        <f t="shared" si="17"/>
        <v>1</v>
      </c>
      <c r="DE16" s="1867">
        <f t="shared" si="18"/>
        <v>1</v>
      </c>
      <c r="DF16" s="1868"/>
      <c r="DG16" s="1867">
        <f t="shared" si="20"/>
        <v>1</v>
      </c>
      <c r="DH16" s="1869"/>
    </row>
    <row r="17" spans="1:112" ht="15" customHeight="1" x14ac:dyDescent="0.25">
      <c r="A17" s="5601" t="s">
        <v>4435</v>
      </c>
      <c r="B17" s="6057" t="s">
        <v>68</v>
      </c>
      <c r="C17" s="1851" t="s">
        <v>64</v>
      </c>
      <c r="D17" s="1852" t="s">
        <v>4567</v>
      </c>
      <c r="E17" s="1853" t="s">
        <v>4568</v>
      </c>
      <c r="F17" s="1854" t="s">
        <v>4569</v>
      </c>
      <c r="G17" s="1862" t="s">
        <v>4570</v>
      </c>
      <c r="H17" s="1862" t="s">
        <v>4571</v>
      </c>
      <c r="I17" s="1862" t="s">
        <v>4572</v>
      </c>
      <c r="J17" s="1862" t="s">
        <v>4573</v>
      </c>
      <c r="K17" s="1862" t="s">
        <v>4574</v>
      </c>
      <c r="L17" s="1862" t="s">
        <v>4575</v>
      </c>
      <c r="M17" s="1862" t="s">
        <v>4576</v>
      </c>
      <c r="N17" s="1862" t="s">
        <v>4577</v>
      </c>
      <c r="O17" s="1862" t="s">
        <v>4578</v>
      </c>
      <c r="P17" s="1856" t="s">
        <v>4579</v>
      </c>
      <c r="Q17" s="1857" t="s">
        <v>4580</v>
      </c>
      <c r="R17" s="1857" t="s">
        <v>4581</v>
      </c>
      <c r="S17" s="1857" t="s">
        <v>4582</v>
      </c>
      <c r="T17" s="1857" t="s">
        <v>4583</v>
      </c>
      <c r="U17" s="1897" t="s">
        <v>4584</v>
      </c>
      <c r="V17" s="1854" t="s">
        <v>4585</v>
      </c>
      <c r="W17" s="1860" t="s">
        <v>4586</v>
      </c>
      <c r="X17" s="336" t="s">
        <v>4587</v>
      </c>
      <c r="Y17" s="1857" t="s">
        <v>4588</v>
      </c>
      <c r="Z17" s="1898" t="s">
        <v>4589</v>
      </c>
      <c r="AA17" s="232" t="s">
        <v>4590</v>
      </c>
      <c r="AB17" s="232" t="s">
        <v>4591</v>
      </c>
      <c r="AC17" s="232" t="s">
        <v>4592</v>
      </c>
      <c r="AD17" s="232" t="s">
        <v>4593</v>
      </c>
      <c r="AE17" s="29" t="s">
        <v>4594</v>
      </c>
      <c r="AF17" s="1887" t="s">
        <v>4595</v>
      </c>
      <c r="AG17" s="1888" t="s">
        <v>4596</v>
      </c>
      <c r="AH17" s="29" t="s">
        <v>4597</v>
      </c>
      <c r="AI17" s="1863" t="s">
        <v>4598</v>
      </c>
      <c r="AJ17" s="1864" t="e">
        <f t="shared" si="8"/>
        <v>#VALUE!</v>
      </c>
      <c r="CB17" s="1865" t="e">
        <f t="shared" si="0"/>
        <v>#VALUE!</v>
      </c>
      <c r="CC17" s="1865" t="str">
        <f t="shared" si="1"/>
        <v xml:space="preserve">* La variable Control con pareja, familiar u otro no debe ser mayor al Total. </v>
      </c>
      <c r="CD17" s="1866"/>
      <c r="CE17" s="1866"/>
      <c r="CF17" s="1865" t="str">
        <f t="shared" si="2"/>
        <v xml:space="preserve">* La variable Niños, Niñas, Adolescentes y Jóvenes SENAME no debe ser mayor al Total. </v>
      </c>
      <c r="CG17" s="1865" t="str">
        <f t="shared" si="3"/>
        <v xml:space="preserve">* La variable Niños, Niñas, Adolescentes y Jóvenes Mejor Niñez no debe ser mayor al Total. </v>
      </c>
      <c r="CH17" s="1865" t="str">
        <f t="shared" si="4"/>
        <v xml:space="preserve">* La variable de Pueblos Originarios no debe ser mayor al Total. </v>
      </c>
      <c r="CI17" s="1865" t="str">
        <f t="shared" si="5"/>
        <v xml:space="preserve">* La variable Migrantes no debe ser mayor al Total. </v>
      </c>
      <c r="CJ17" s="1865" t="str">
        <f t="shared" si="6"/>
        <v xml:space="preserve">* La variable Personas con discapacidad no debe ser mayor al Total. </v>
      </c>
      <c r="CK17" s="1865" t="str">
        <f t="shared" si="9"/>
        <v xml:space="preserve">* La variable Trans masculino no debe ser mayor al Total Mujeres. </v>
      </c>
      <c r="CL17" s="1866"/>
      <c r="CM17" s="1865" t="str">
        <f t="shared" si="11"/>
        <v xml:space="preserve">* La variable No binarie no debe ser mayor al Total. </v>
      </c>
      <c r="CN17" s="1866"/>
      <c r="CV17" s="1867" t="e">
        <f t="shared" si="12"/>
        <v>#VALUE!</v>
      </c>
      <c r="CW17" s="1867">
        <f t="shared" si="21"/>
        <v>1</v>
      </c>
      <c r="CX17" s="1868"/>
      <c r="CY17" s="1868"/>
      <c r="CZ17" s="1867">
        <f t="shared" si="13"/>
        <v>1</v>
      </c>
      <c r="DA17" s="1867">
        <f t="shared" si="14"/>
        <v>1</v>
      </c>
      <c r="DB17" s="1867">
        <f t="shared" si="15"/>
        <v>1</v>
      </c>
      <c r="DC17" s="1867">
        <f t="shared" si="16"/>
        <v>1</v>
      </c>
      <c r="DD17" s="1867">
        <f t="shared" si="17"/>
        <v>1</v>
      </c>
      <c r="DE17" s="1867">
        <f t="shared" si="18"/>
        <v>1</v>
      </c>
      <c r="DF17" s="1868"/>
      <c r="DG17" s="1867">
        <f t="shared" si="20"/>
        <v>1</v>
      </c>
      <c r="DH17" s="1869"/>
    </row>
    <row r="18" spans="1:112" ht="15" customHeight="1" x14ac:dyDescent="0.25">
      <c r="A18" s="5601" t="s">
        <v>4436</v>
      </c>
      <c r="B18" s="6059"/>
      <c r="C18" s="517" t="s">
        <v>65</v>
      </c>
      <c r="D18" s="1870" t="s">
        <v>4567</v>
      </c>
      <c r="E18" s="1871" t="s">
        <v>4568</v>
      </c>
      <c r="F18" s="1872" t="s">
        <v>4569</v>
      </c>
      <c r="G18" s="1880" t="s">
        <v>4570</v>
      </c>
      <c r="H18" s="1880" t="s">
        <v>4571</v>
      </c>
      <c r="I18" s="1880" t="s">
        <v>4572</v>
      </c>
      <c r="J18" s="1880" t="s">
        <v>4573</v>
      </c>
      <c r="K18" s="1880" t="s">
        <v>4574</v>
      </c>
      <c r="L18" s="1880" t="s">
        <v>4575</v>
      </c>
      <c r="M18" s="1880" t="s">
        <v>4576</v>
      </c>
      <c r="N18" s="1880" t="s">
        <v>4577</v>
      </c>
      <c r="O18" s="1873" t="s">
        <v>4578</v>
      </c>
      <c r="P18" s="1874" t="s">
        <v>4579</v>
      </c>
      <c r="Q18" s="1875" t="s">
        <v>4580</v>
      </c>
      <c r="R18" s="1875" t="s">
        <v>4581</v>
      </c>
      <c r="S18" s="1875" t="s">
        <v>4582</v>
      </c>
      <c r="T18" s="1875" t="s">
        <v>4583</v>
      </c>
      <c r="U18" s="1876" t="s">
        <v>4584</v>
      </c>
      <c r="V18" s="1872" t="s">
        <v>4585</v>
      </c>
      <c r="W18" s="1878" t="s">
        <v>4586</v>
      </c>
      <c r="X18" s="1879" t="s">
        <v>4587</v>
      </c>
      <c r="Y18" s="1875" t="s">
        <v>4588</v>
      </c>
      <c r="Z18" s="1895" t="s">
        <v>4589</v>
      </c>
      <c r="AA18" s="1873" t="s">
        <v>4590</v>
      </c>
      <c r="AB18" s="1873" t="s">
        <v>4591</v>
      </c>
      <c r="AC18" s="1873" t="s">
        <v>4592</v>
      </c>
      <c r="AD18" s="1873" t="s">
        <v>4593</v>
      </c>
      <c r="AE18" s="854" t="s">
        <v>4594</v>
      </c>
      <c r="AF18" s="853" t="s">
        <v>4595</v>
      </c>
      <c r="AG18" s="1896" t="s">
        <v>4596</v>
      </c>
      <c r="AH18" s="854" t="s">
        <v>4597</v>
      </c>
      <c r="AI18" s="1881" t="s">
        <v>4598</v>
      </c>
      <c r="AJ18" s="1864" t="e">
        <f t="shared" si="8"/>
        <v>#VALUE!</v>
      </c>
      <c r="AL18" s="166"/>
      <c r="AM18" s="166"/>
      <c r="CB18" s="1865" t="e">
        <f t="shared" si="0"/>
        <v>#VALUE!</v>
      </c>
      <c r="CC18" s="1865" t="str">
        <f t="shared" si="1"/>
        <v xml:space="preserve">* La variable Control con pareja, familiar u otro no debe ser mayor al Total. </v>
      </c>
      <c r="CD18" s="1866"/>
      <c r="CE18" s="1866"/>
      <c r="CF18" s="1865" t="str">
        <f t="shared" si="2"/>
        <v xml:space="preserve">* La variable Niños, Niñas, Adolescentes y Jóvenes SENAME no debe ser mayor al Total. </v>
      </c>
      <c r="CG18" s="1865" t="str">
        <f t="shared" si="3"/>
        <v xml:space="preserve">* La variable Niños, Niñas, Adolescentes y Jóvenes Mejor Niñez no debe ser mayor al Total. </v>
      </c>
      <c r="CH18" s="1865" t="str">
        <f t="shared" si="4"/>
        <v xml:space="preserve">* La variable de Pueblos Originarios no debe ser mayor al Total. </v>
      </c>
      <c r="CI18" s="1865" t="str">
        <f t="shared" si="5"/>
        <v xml:space="preserve">* La variable Migrantes no debe ser mayor al Total. </v>
      </c>
      <c r="CJ18" s="1865" t="str">
        <f t="shared" si="6"/>
        <v xml:space="preserve">* La variable Personas con discapacidad no debe ser mayor al Total. </v>
      </c>
      <c r="CK18" s="1865" t="str">
        <f t="shared" si="9"/>
        <v xml:space="preserve">* La variable Trans masculino no debe ser mayor al Total Mujeres. </v>
      </c>
      <c r="CL18" s="1866"/>
      <c r="CM18" s="1865" t="str">
        <f t="shared" si="11"/>
        <v xml:space="preserve">* La variable No binarie no debe ser mayor al Total. </v>
      </c>
      <c r="CN18" s="1866"/>
      <c r="CV18" s="1867" t="e">
        <f t="shared" si="12"/>
        <v>#VALUE!</v>
      </c>
      <c r="CW18" s="1867">
        <f t="shared" si="21"/>
        <v>1</v>
      </c>
      <c r="CX18" s="1868"/>
      <c r="CY18" s="1868"/>
      <c r="CZ18" s="1867">
        <f t="shared" si="13"/>
        <v>1</v>
      </c>
      <c r="DA18" s="1867">
        <f t="shared" si="14"/>
        <v>1</v>
      </c>
      <c r="DB18" s="1867">
        <f t="shared" si="15"/>
        <v>1</v>
      </c>
      <c r="DC18" s="1867">
        <f t="shared" si="16"/>
        <v>1</v>
      </c>
      <c r="DD18" s="1867">
        <f t="shared" si="17"/>
        <v>1</v>
      </c>
      <c r="DE18" s="1867">
        <f t="shared" si="18"/>
        <v>1</v>
      </c>
      <c r="DF18" s="1868"/>
      <c r="DG18" s="1867">
        <f t="shared" si="20"/>
        <v>1</v>
      </c>
      <c r="DH18" s="1869"/>
    </row>
    <row r="19" spans="1:112" ht="15" customHeight="1" x14ac:dyDescent="0.25">
      <c r="A19" s="5601" t="s">
        <v>4437</v>
      </c>
      <c r="B19" s="6058" t="s">
        <v>69</v>
      </c>
      <c r="C19" s="1851" t="s">
        <v>64</v>
      </c>
      <c r="D19" s="1882" t="s">
        <v>4567</v>
      </c>
      <c r="E19" s="333" t="s">
        <v>4568</v>
      </c>
      <c r="F19" s="1883" t="s">
        <v>4569</v>
      </c>
      <c r="G19" s="1014" t="s">
        <v>4570</v>
      </c>
      <c r="H19" s="1014" t="s">
        <v>4571</v>
      </c>
      <c r="I19" s="1014" t="s">
        <v>4572</v>
      </c>
      <c r="J19" s="1014" t="s">
        <v>4573</v>
      </c>
      <c r="K19" s="1014" t="s">
        <v>4574</v>
      </c>
      <c r="L19" s="1014" t="s">
        <v>4575</v>
      </c>
      <c r="M19" s="1014" t="s">
        <v>4576</v>
      </c>
      <c r="N19" s="1014" t="s">
        <v>4577</v>
      </c>
      <c r="O19" s="1014" t="s">
        <v>4578</v>
      </c>
      <c r="P19" s="1855" t="s">
        <v>4579</v>
      </c>
      <c r="Q19" s="1885" t="s">
        <v>4580</v>
      </c>
      <c r="R19" s="1885" t="s">
        <v>4581</v>
      </c>
      <c r="S19" s="1885" t="s">
        <v>4582</v>
      </c>
      <c r="T19" s="1885" t="s">
        <v>4583</v>
      </c>
      <c r="U19" s="991" t="s">
        <v>4584</v>
      </c>
      <c r="V19" s="1883" t="s">
        <v>4585</v>
      </c>
      <c r="W19" s="1884" t="s">
        <v>4586</v>
      </c>
      <c r="X19" s="336" t="s">
        <v>4587</v>
      </c>
      <c r="Y19" s="1014" t="s">
        <v>4588</v>
      </c>
      <c r="Z19" s="1886" t="s">
        <v>4589</v>
      </c>
      <c r="AA19" s="232" t="s">
        <v>4590</v>
      </c>
      <c r="AB19" s="232" t="s">
        <v>4591</v>
      </c>
      <c r="AC19" s="232" t="s">
        <v>4592</v>
      </c>
      <c r="AD19" s="232" t="s">
        <v>4593</v>
      </c>
      <c r="AE19" s="29" t="s">
        <v>4594</v>
      </c>
      <c r="AF19" s="1887" t="s">
        <v>4595</v>
      </c>
      <c r="AG19" s="1888" t="s">
        <v>4596</v>
      </c>
      <c r="AH19" s="29" t="s">
        <v>4597</v>
      </c>
      <c r="AI19" s="1863" t="s">
        <v>4598</v>
      </c>
      <c r="AJ19" s="1864" t="e">
        <f t="shared" si="8"/>
        <v>#VALUE!</v>
      </c>
      <c r="AL19" s="166"/>
      <c r="AM19" s="166"/>
      <c r="CB19" s="1865" t="e">
        <f t="shared" si="0"/>
        <v>#VALUE!</v>
      </c>
      <c r="CC19" s="1865" t="str">
        <f t="shared" si="1"/>
        <v xml:space="preserve">* La variable Control con pareja, familiar u otro no debe ser mayor al Total. </v>
      </c>
      <c r="CD19" s="1865" t="str">
        <f t="shared" ref="CD19:CD26" si="22">IF(AND($D19&lt;&gt;0,Y19=""),"* No olvide ingresar la columna "&amp;Y$9&amp;""&amp;" (Digite CERO si no tiene).  ",IF(Y19&gt;$D19,"* El Número de Control de diada con presencia del padre no puede superar el Total. ",""))</f>
        <v xml:space="preserve">* El Número de Control de diada con presencia del padre no puede superar el Total. </v>
      </c>
      <c r="CE19" s="1866"/>
      <c r="CF19" s="1865" t="str">
        <f t="shared" si="2"/>
        <v xml:space="preserve">* La variable Niños, Niñas, Adolescentes y Jóvenes SENAME no debe ser mayor al Total. </v>
      </c>
      <c r="CG19" s="1865" t="str">
        <f t="shared" si="3"/>
        <v xml:space="preserve">* La variable Niños, Niñas, Adolescentes y Jóvenes Mejor Niñez no debe ser mayor al Total. </v>
      </c>
      <c r="CH19" s="1865" t="str">
        <f t="shared" si="4"/>
        <v xml:space="preserve">* La variable de Pueblos Originarios no debe ser mayor al Total. </v>
      </c>
      <c r="CI19" s="1865" t="str">
        <f t="shared" si="5"/>
        <v xml:space="preserve">* La variable Migrantes no debe ser mayor al Total. </v>
      </c>
      <c r="CJ19" s="1865" t="str">
        <f t="shared" si="6"/>
        <v xml:space="preserve">* La variable Personas con discapacidad no debe ser mayor al Total. </v>
      </c>
      <c r="CK19" s="1865" t="str">
        <f t="shared" si="9"/>
        <v xml:space="preserve">* La variable Trans masculino no debe ser mayor al Total Mujeres. </v>
      </c>
      <c r="CL19" s="1866"/>
      <c r="CM19" s="1865" t="str">
        <f t="shared" si="11"/>
        <v xml:space="preserve">* La variable No binarie no debe ser mayor al Total. </v>
      </c>
      <c r="CN19" s="1866"/>
      <c r="CV19" s="1867" t="e">
        <f t="shared" si="12"/>
        <v>#VALUE!</v>
      </c>
      <c r="CW19" s="1867">
        <f t="shared" si="21"/>
        <v>1</v>
      </c>
      <c r="CX19" s="1867">
        <f>IF(AND(D19&lt;&gt;0,Y19=""),1,IF(Y19&gt;D19,1,0))</f>
        <v>1</v>
      </c>
      <c r="CY19" s="1868"/>
      <c r="CZ19" s="1867">
        <f t="shared" si="13"/>
        <v>1</v>
      </c>
      <c r="DA19" s="1867">
        <f t="shared" si="14"/>
        <v>1</v>
      </c>
      <c r="DB19" s="1867">
        <f t="shared" si="15"/>
        <v>1</v>
      </c>
      <c r="DC19" s="1867">
        <f t="shared" si="16"/>
        <v>1</v>
      </c>
      <c r="DD19" s="1867">
        <f t="shared" si="17"/>
        <v>1</v>
      </c>
      <c r="DE19" s="1867">
        <f t="shared" si="18"/>
        <v>1</v>
      </c>
      <c r="DF19" s="1868"/>
      <c r="DG19" s="1867">
        <f t="shared" si="20"/>
        <v>1</v>
      </c>
      <c r="DH19" s="1869"/>
    </row>
    <row r="20" spans="1:112" ht="15" customHeight="1" x14ac:dyDescent="0.25">
      <c r="A20" s="5601" t="s">
        <v>4438</v>
      </c>
      <c r="B20" s="6058"/>
      <c r="C20" s="517" t="s">
        <v>65</v>
      </c>
      <c r="D20" s="1889" t="s">
        <v>4567</v>
      </c>
      <c r="E20" s="1890" t="s">
        <v>4568</v>
      </c>
      <c r="F20" s="1891" t="s">
        <v>4569</v>
      </c>
      <c r="G20" s="232" t="s">
        <v>4570</v>
      </c>
      <c r="H20" s="232" t="s">
        <v>4571</v>
      </c>
      <c r="I20" s="232" t="s">
        <v>4572</v>
      </c>
      <c r="J20" s="232" t="s">
        <v>4573</v>
      </c>
      <c r="K20" s="232" t="s">
        <v>4574</v>
      </c>
      <c r="L20" s="232" t="s">
        <v>4575</v>
      </c>
      <c r="M20" s="232" t="s">
        <v>4576</v>
      </c>
      <c r="N20" s="232" t="s">
        <v>4577</v>
      </c>
      <c r="O20" s="1873" t="s">
        <v>4578</v>
      </c>
      <c r="P20" s="1892" t="s">
        <v>4579</v>
      </c>
      <c r="Q20" s="1875" t="s">
        <v>4580</v>
      </c>
      <c r="R20" s="1875" t="s">
        <v>4581</v>
      </c>
      <c r="S20" s="1875" t="s">
        <v>4582</v>
      </c>
      <c r="T20" s="1875" t="s">
        <v>4583</v>
      </c>
      <c r="U20" s="1893" t="s">
        <v>4584</v>
      </c>
      <c r="V20" s="1894" t="s">
        <v>4585</v>
      </c>
      <c r="W20" s="1878" t="s">
        <v>4586</v>
      </c>
      <c r="X20" s="992" t="s">
        <v>4587</v>
      </c>
      <c r="Y20" s="993" t="s">
        <v>4588</v>
      </c>
      <c r="Z20" s="1895" t="s">
        <v>4589</v>
      </c>
      <c r="AA20" s="1873" t="s">
        <v>4590</v>
      </c>
      <c r="AB20" s="1873" t="s">
        <v>4591</v>
      </c>
      <c r="AC20" s="1873" t="s">
        <v>4592</v>
      </c>
      <c r="AD20" s="1873" t="s">
        <v>4593</v>
      </c>
      <c r="AE20" s="854" t="s">
        <v>4594</v>
      </c>
      <c r="AF20" s="853" t="s">
        <v>4595</v>
      </c>
      <c r="AG20" s="1896" t="s">
        <v>4596</v>
      </c>
      <c r="AH20" s="854" t="s">
        <v>4597</v>
      </c>
      <c r="AI20" s="1881" t="s">
        <v>4598</v>
      </c>
      <c r="AJ20" s="1864" t="e">
        <f t="shared" si="8"/>
        <v>#VALUE!</v>
      </c>
      <c r="CB20" s="1865" t="e">
        <f t="shared" si="0"/>
        <v>#VALUE!</v>
      </c>
      <c r="CC20" s="1865" t="str">
        <f t="shared" si="1"/>
        <v xml:space="preserve">* La variable Control con pareja, familiar u otro no debe ser mayor al Total. </v>
      </c>
      <c r="CD20" s="1865" t="str">
        <f t="shared" si="22"/>
        <v xml:space="preserve">* El Número de Control de diada con presencia del padre no puede superar el Total. </v>
      </c>
      <c r="CE20" s="1866"/>
      <c r="CF20" s="1865" t="str">
        <f t="shared" si="2"/>
        <v xml:space="preserve">* La variable Niños, Niñas, Adolescentes y Jóvenes SENAME no debe ser mayor al Total. </v>
      </c>
      <c r="CG20" s="1865" t="str">
        <f t="shared" si="3"/>
        <v xml:space="preserve">* La variable Niños, Niñas, Adolescentes y Jóvenes Mejor Niñez no debe ser mayor al Total. </v>
      </c>
      <c r="CH20" s="1865" t="str">
        <f t="shared" si="4"/>
        <v xml:space="preserve">* La variable de Pueblos Originarios no debe ser mayor al Total. </v>
      </c>
      <c r="CI20" s="1865" t="str">
        <f t="shared" si="5"/>
        <v xml:space="preserve">* La variable Migrantes no debe ser mayor al Total. </v>
      </c>
      <c r="CJ20" s="1865" t="str">
        <f t="shared" si="6"/>
        <v xml:space="preserve">* La variable Personas con discapacidad no debe ser mayor al Total. </v>
      </c>
      <c r="CK20" s="1865" t="str">
        <f t="shared" si="9"/>
        <v xml:space="preserve">* La variable Trans masculino no debe ser mayor al Total Mujeres. </v>
      </c>
      <c r="CL20" s="1866"/>
      <c r="CM20" s="1865" t="str">
        <f t="shared" si="11"/>
        <v xml:space="preserve">* La variable No binarie no debe ser mayor al Total. </v>
      </c>
      <c r="CN20" s="1866"/>
      <c r="CV20" s="1867" t="e">
        <f t="shared" si="12"/>
        <v>#VALUE!</v>
      </c>
      <c r="CW20" s="1867">
        <f t="shared" si="21"/>
        <v>1</v>
      </c>
      <c r="CX20" s="1867">
        <f t="shared" ref="CX20:CX26" si="23">IF(AND(D20&lt;&gt;0,Y20=""),1,IF(Y20&gt;D20,1,0))</f>
        <v>1</v>
      </c>
      <c r="CY20" s="1868"/>
      <c r="CZ20" s="1867">
        <f t="shared" si="13"/>
        <v>1</v>
      </c>
      <c r="DA20" s="1867">
        <f t="shared" si="14"/>
        <v>1</v>
      </c>
      <c r="DB20" s="1867">
        <f t="shared" si="15"/>
        <v>1</v>
      </c>
      <c r="DC20" s="1867">
        <f t="shared" si="16"/>
        <v>1</v>
      </c>
      <c r="DD20" s="1867">
        <f t="shared" si="17"/>
        <v>1</v>
      </c>
      <c r="DE20" s="1867">
        <f t="shared" si="18"/>
        <v>1</v>
      </c>
      <c r="DF20" s="1868"/>
      <c r="DG20" s="1867">
        <f t="shared" si="20"/>
        <v>1</v>
      </c>
      <c r="DH20" s="1869"/>
    </row>
    <row r="21" spans="1:112" ht="15" customHeight="1" x14ac:dyDescent="0.25">
      <c r="A21" s="5601" t="s">
        <v>4439</v>
      </c>
      <c r="B21" s="6057" t="s">
        <v>70</v>
      </c>
      <c r="C21" s="1851" t="s">
        <v>64</v>
      </c>
      <c r="D21" s="1852" t="s">
        <v>4567</v>
      </c>
      <c r="E21" s="1853" t="s">
        <v>4568</v>
      </c>
      <c r="F21" s="1854" t="s">
        <v>4569</v>
      </c>
      <c r="G21" s="1862" t="s">
        <v>4570</v>
      </c>
      <c r="H21" s="1862" t="s">
        <v>4571</v>
      </c>
      <c r="I21" s="1862" t="s">
        <v>4572</v>
      </c>
      <c r="J21" s="1862" t="s">
        <v>4573</v>
      </c>
      <c r="K21" s="1862" t="s">
        <v>4574</v>
      </c>
      <c r="L21" s="1862" t="s">
        <v>4575</v>
      </c>
      <c r="M21" s="1862" t="s">
        <v>4576</v>
      </c>
      <c r="N21" s="1862" t="s">
        <v>4577</v>
      </c>
      <c r="O21" s="1862" t="s">
        <v>4578</v>
      </c>
      <c r="P21" s="1856" t="s">
        <v>4579</v>
      </c>
      <c r="Q21" s="1857" t="s">
        <v>4580</v>
      </c>
      <c r="R21" s="1857" t="s">
        <v>4581</v>
      </c>
      <c r="S21" s="1857" t="s">
        <v>4582</v>
      </c>
      <c r="T21" s="1857" t="s">
        <v>4583</v>
      </c>
      <c r="U21" s="1897" t="s">
        <v>4584</v>
      </c>
      <c r="V21" s="1854" t="s">
        <v>4585</v>
      </c>
      <c r="W21" s="1884" t="s">
        <v>4586</v>
      </c>
      <c r="X21" s="1900" t="s">
        <v>4587</v>
      </c>
      <c r="Y21" s="1901" t="s">
        <v>4588</v>
      </c>
      <c r="Z21" s="1886" t="s">
        <v>4589</v>
      </c>
      <c r="AA21" s="232" t="s">
        <v>4590</v>
      </c>
      <c r="AB21" s="232" t="s">
        <v>4591</v>
      </c>
      <c r="AC21" s="232" t="s">
        <v>4592</v>
      </c>
      <c r="AD21" s="232" t="s">
        <v>4593</v>
      </c>
      <c r="AE21" s="29" t="s">
        <v>4594</v>
      </c>
      <c r="AF21" s="1887" t="s">
        <v>4595</v>
      </c>
      <c r="AG21" s="1888" t="s">
        <v>4596</v>
      </c>
      <c r="AH21" s="29" t="s">
        <v>4597</v>
      </c>
      <c r="AI21" s="1863" t="s">
        <v>4598</v>
      </c>
      <c r="AJ21" s="1864" t="e">
        <f t="shared" si="8"/>
        <v>#VALUE!</v>
      </c>
      <c r="CB21" s="1865" t="e">
        <f t="shared" si="0"/>
        <v>#VALUE!</v>
      </c>
      <c r="CC21" s="1865" t="str">
        <f t="shared" si="1"/>
        <v xml:space="preserve">* La variable Control con pareja, familiar u otro no debe ser mayor al Total. </v>
      </c>
      <c r="CD21" s="1865" t="str">
        <f t="shared" si="22"/>
        <v xml:space="preserve">* El Número de Control de diada con presencia del padre no puede superar el Total. </v>
      </c>
      <c r="CE21" s="1866"/>
      <c r="CF21" s="1865" t="str">
        <f t="shared" si="2"/>
        <v xml:space="preserve">* La variable Niños, Niñas, Adolescentes y Jóvenes SENAME no debe ser mayor al Total. </v>
      </c>
      <c r="CG21" s="1865" t="str">
        <f t="shared" si="3"/>
        <v xml:space="preserve">* La variable Niños, Niñas, Adolescentes y Jóvenes Mejor Niñez no debe ser mayor al Total. </v>
      </c>
      <c r="CH21" s="1865" t="str">
        <f t="shared" si="4"/>
        <v xml:space="preserve">* La variable de Pueblos Originarios no debe ser mayor al Total. </v>
      </c>
      <c r="CI21" s="1865" t="str">
        <f t="shared" si="5"/>
        <v xml:space="preserve">* La variable Migrantes no debe ser mayor al Total. </v>
      </c>
      <c r="CJ21" s="1865" t="str">
        <f t="shared" si="6"/>
        <v xml:space="preserve">* La variable Personas con discapacidad no debe ser mayor al Total. </v>
      </c>
      <c r="CK21" s="1865" t="str">
        <f t="shared" si="9"/>
        <v xml:space="preserve">* La variable Trans masculino no debe ser mayor al Total Mujeres. </v>
      </c>
      <c r="CL21" s="1866"/>
      <c r="CM21" s="1865" t="str">
        <f t="shared" si="11"/>
        <v xml:space="preserve">* La variable No binarie no debe ser mayor al Total. </v>
      </c>
      <c r="CN21" s="1866"/>
      <c r="CV21" s="1867" t="e">
        <f t="shared" si="12"/>
        <v>#VALUE!</v>
      </c>
      <c r="CW21" s="1867">
        <f>IF(AND(D21&gt;0,X21=""),1,IF(X21&gt;SUM(D21),1,0))</f>
        <v>1</v>
      </c>
      <c r="CX21" s="1867">
        <f t="shared" si="23"/>
        <v>1</v>
      </c>
      <c r="CY21" s="1868"/>
      <c r="CZ21" s="1867">
        <f t="shared" si="13"/>
        <v>1</v>
      </c>
      <c r="DA21" s="1867">
        <f t="shared" si="14"/>
        <v>1</v>
      </c>
      <c r="DB21" s="1867">
        <f t="shared" si="15"/>
        <v>1</v>
      </c>
      <c r="DC21" s="1867">
        <f t="shared" si="16"/>
        <v>1</v>
      </c>
      <c r="DD21" s="1867">
        <f t="shared" si="17"/>
        <v>1</v>
      </c>
      <c r="DE21" s="1867">
        <f t="shared" si="18"/>
        <v>1</v>
      </c>
      <c r="DF21" s="1868"/>
      <c r="DG21" s="1867">
        <f t="shared" si="20"/>
        <v>1</v>
      </c>
      <c r="DH21" s="1869"/>
    </row>
    <row r="22" spans="1:112" ht="15" customHeight="1" x14ac:dyDescent="0.25">
      <c r="A22" s="5601" t="s">
        <v>4440</v>
      </c>
      <c r="B22" s="6059"/>
      <c r="C22" s="517" t="s">
        <v>65</v>
      </c>
      <c r="D22" s="1870" t="s">
        <v>4567</v>
      </c>
      <c r="E22" s="1871" t="s">
        <v>4568</v>
      </c>
      <c r="F22" s="1872" t="s">
        <v>4569</v>
      </c>
      <c r="G22" s="1880" t="s">
        <v>4570</v>
      </c>
      <c r="H22" s="1880" t="s">
        <v>4571</v>
      </c>
      <c r="I22" s="1880" t="s">
        <v>4572</v>
      </c>
      <c r="J22" s="1880" t="s">
        <v>4573</v>
      </c>
      <c r="K22" s="1880" t="s">
        <v>4574</v>
      </c>
      <c r="L22" s="1880" t="s">
        <v>4575</v>
      </c>
      <c r="M22" s="1880" t="s">
        <v>4576</v>
      </c>
      <c r="N22" s="1880" t="s">
        <v>4577</v>
      </c>
      <c r="O22" s="1880" t="s">
        <v>4578</v>
      </c>
      <c r="P22" s="1892" t="s">
        <v>4579</v>
      </c>
      <c r="Q22" s="1875" t="s">
        <v>4580</v>
      </c>
      <c r="R22" s="1875" t="s">
        <v>4581</v>
      </c>
      <c r="S22" s="1875" t="s">
        <v>4582</v>
      </c>
      <c r="T22" s="1875" t="s">
        <v>4583</v>
      </c>
      <c r="U22" s="1876" t="s">
        <v>4584</v>
      </c>
      <c r="V22" s="1899" t="s">
        <v>4585</v>
      </c>
      <c r="W22" s="1878" t="s">
        <v>4586</v>
      </c>
      <c r="X22" s="1879" t="s">
        <v>4587</v>
      </c>
      <c r="Y22" s="1873" t="s">
        <v>4588</v>
      </c>
      <c r="Z22" s="1895" t="s">
        <v>4589</v>
      </c>
      <c r="AA22" s="1873" t="s">
        <v>4590</v>
      </c>
      <c r="AB22" s="1873" t="s">
        <v>4591</v>
      </c>
      <c r="AC22" s="1873" t="s">
        <v>4592</v>
      </c>
      <c r="AD22" s="1873" t="s">
        <v>4593</v>
      </c>
      <c r="AE22" s="854" t="s">
        <v>4594</v>
      </c>
      <c r="AF22" s="853" t="s">
        <v>4595</v>
      </c>
      <c r="AG22" s="1896" t="s">
        <v>4596</v>
      </c>
      <c r="AH22" s="854" t="s">
        <v>4597</v>
      </c>
      <c r="AI22" s="1881" t="s">
        <v>4598</v>
      </c>
      <c r="AJ22" s="1864" t="e">
        <f t="shared" si="8"/>
        <v>#VALUE!</v>
      </c>
      <c r="CB22" s="1865" t="e">
        <f t="shared" si="0"/>
        <v>#VALUE!</v>
      </c>
      <c r="CC22" s="1865" t="str">
        <f t="shared" si="1"/>
        <v xml:space="preserve">* La variable Control con pareja, familiar u otro no debe ser mayor al Total. </v>
      </c>
      <c r="CD22" s="1865" t="str">
        <f t="shared" si="22"/>
        <v xml:space="preserve">* El Número de Control de diada con presencia del padre no puede superar el Total. </v>
      </c>
      <c r="CE22" s="1866"/>
      <c r="CF22" s="1865" t="str">
        <f t="shared" si="2"/>
        <v xml:space="preserve">* La variable Niños, Niñas, Adolescentes y Jóvenes SENAME no debe ser mayor al Total. </v>
      </c>
      <c r="CG22" s="1865" t="str">
        <f t="shared" si="3"/>
        <v xml:space="preserve">* La variable Niños, Niñas, Adolescentes y Jóvenes Mejor Niñez no debe ser mayor al Total. </v>
      </c>
      <c r="CH22" s="1865" t="str">
        <f t="shared" si="4"/>
        <v xml:space="preserve">* La variable de Pueblos Originarios no debe ser mayor al Total. </v>
      </c>
      <c r="CI22" s="1865" t="str">
        <f t="shared" si="5"/>
        <v xml:space="preserve">* La variable Migrantes no debe ser mayor al Total. </v>
      </c>
      <c r="CJ22" s="1865" t="str">
        <f t="shared" si="6"/>
        <v xml:space="preserve">* La variable Personas con discapacidad no debe ser mayor al Total. </v>
      </c>
      <c r="CK22" s="1865" t="str">
        <f t="shared" si="9"/>
        <v xml:space="preserve">* La variable Trans masculino no debe ser mayor al Total Mujeres. </v>
      </c>
      <c r="CL22" s="1866"/>
      <c r="CM22" s="1865" t="str">
        <f>IF(AND($D22&lt;&gt;0,AH22=""),"* No olvide ingresar la variable "&amp;AH$10&amp;""&amp;". Digite CERO si no tiene.  ",IF(AH22&gt;$D22,"* La variable No binarie no debe ser mayor al Total. ",""))</f>
        <v xml:space="preserve">* La variable No binarie no debe ser mayor al Total. </v>
      </c>
      <c r="CN22" s="1866"/>
      <c r="CV22" s="1867" t="e">
        <f t="shared" si="12"/>
        <v>#VALUE!</v>
      </c>
      <c r="CW22" s="1867">
        <f t="shared" si="21"/>
        <v>1</v>
      </c>
      <c r="CX22" s="1867">
        <f t="shared" si="23"/>
        <v>1</v>
      </c>
      <c r="CY22" s="1868"/>
      <c r="CZ22" s="1867">
        <f t="shared" si="13"/>
        <v>1</v>
      </c>
      <c r="DA22" s="1867">
        <f t="shared" si="14"/>
        <v>1</v>
      </c>
      <c r="DB22" s="1867">
        <f t="shared" si="15"/>
        <v>1</v>
      </c>
      <c r="DC22" s="1867">
        <f t="shared" si="16"/>
        <v>1</v>
      </c>
      <c r="DD22" s="1867">
        <f t="shared" si="17"/>
        <v>1</v>
      </c>
      <c r="DE22" s="1867">
        <f t="shared" si="18"/>
        <v>1</v>
      </c>
      <c r="DF22" s="1868"/>
      <c r="DG22" s="1867">
        <f t="shared" si="20"/>
        <v>1</v>
      </c>
      <c r="DH22" s="1869"/>
    </row>
    <row r="23" spans="1:112" ht="15" customHeight="1" x14ac:dyDescent="0.25">
      <c r="A23" s="5601" t="s">
        <v>4441</v>
      </c>
      <c r="B23" s="6058" t="s">
        <v>71</v>
      </c>
      <c r="C23" s="1851" t="s">
        <v>64</v>
      </c>
      <c r="D23" s="1882" t="s">
        <v>4567</v>
      </c>
      <c r="E23" s="1902" t="s">
        <v>4568</v>
      </c>
      <c r="F23" s="1854" t="s">
        <v>4569</v>
      </c>
      <c r="G23" s="1857" t="s">
        <v>4570</v>
      </c>
      <c r="H23" s="1857" t="s">
        <v>4571</v>
      </c>
      <c r="I23" s="1857" t="s">
        <v>4572</v>
      </c>
      <c r="J23" s="1857" t="s">
        <v>4573</v>
      </c>
      <c r="K23" s="1857" t="s">
        <v>4574</v>
      </c>
      <c r="L23" s="1857" t="s">
        <v>4575</v>
      </c>
      <c r="M23" s="1857" t="s">
        <v>4576</v>
      </c>
      <c r="N23" s="1857" t="s">
        <v>4577</v>
      </c>
      <c r="O23" s="1857" t="s">
        <v>4578</v>
      </c>
      <c r="P23" s="1857" t="s">
        <v>4579</v>
      </c>
      <c r="Q23" s="1857" t="s">
        <v>4580</v>
      </c>
      <c r="R23" s="1857" t="s">
        <v>4581</v>
      </c>
      <c r="S23" s="1857" t="s">
        <v>4582</v>
      </c>
      <c r="T23" s="1857" t="s">
        <v>4583</v>
      </c>
      <c r="U23" s="1897" t="s">
        <v>4584</v>
      </c>
      <c r="V23" s="1859" t="s">
        <v>4585</v>
      </c>
      <c r="W23" s="1884" t="s">
        <v>4586</v>
      </c>
      <c r="X23" s="1903" t="s">
        <v>4587</v>
      </c>
      <c r="Y23" s="232" t="s">
        <v>4588</v>
      </c>
      <c r="Z23" s="1886" t="s">
        <v>4589</v>
      </c>
      <c r="AA23" s="232" t="s">
        <v>4590</v>
      </c>
      <c r="AB23" s="232" t="s">
        <v>4591</v>
      </c>
      <c r="AC23" s="232" t="s">
        <v>4592</v>
      </c>
      <c r="AD23" s="232" t="s">
        <v>4593</v>
      </c>
      <c r="AE23" s="29" t="s">
        <v>4594</v>
      </c>
      <c r="AF23" s="1904" t="s">
        <v>4595</v>
      </c>
      <c r="AG23" s="1888" t="s">
        <v>4596</v>
      </c>
      <c r="AH23" s="1905" t="s">
        <v>4597</v>
      </c>
      <c r="AI23" s="1863" t="s">
        <v>4598</v>
      </c>
      <c r="AJ23" s="1864" t="e">
        <f t="shared" si="8"/>
        <v>#VALUE!</v>
      </c>
      <c r="CB23" s="1865" t="e">
        <f t="shared" si="0"/>
        <v>#VALUE!</v>
      </c>
      <c r="CC23" s="1866"/>
      <c r="CD23" s="1865" t="str">
        <f t="shared" si="22"/>
        <v xml:space="preserve">* El Número de Control de diada con presencia del padre no puede superar el Total. </v>
      </c>
      <c r="CE23" s="1866"/>
      <c r="CF23" s="1865" t="str">
        <f t="shared" si="2"/>
        <v xml:space="preserve">* La variable Niños, Niñas, Adolescentes y Jóvenes SENAME no debe ser mayor al Total. </v>
      </c>
      <c r="CG23" s="1865" t="str">
        <f t="shared" si="3"/>
        <v xml:space="preserve">* La variable Niños, Niñas, Adolescentes y Jóvenes Mejor Niñez no debe ser mayor al Total. </v>
      </c>
      <c r="CH23" s="1865" t="str">
        <f t="shared" si="4"/>
        <v xml:space="preserve">* La variable de Pueblos Originarios no debe ser mayor al Total. </v>
      </c>
      <c r="CI23" s="1865" t="str">
        <f t="shared" si="5"/>
        <v xml:space="preserve">* La variable Migrantes no debe ser mayor al Total. </v>
      </c>
      <c r="CJ23" s="1865" t="str">
        <f t="shared" si="6"/>
        <v xml:space="preserve">* La variable Personas con discapacidad no debe ser mayor al Total. </v>
      </c>
      <c r="CK23" s="1866"/>
      <c r="CL23" s="1866"/>
      <c r="CM23" s="1866"/>
      <c r="CN23" s="1866"/>
      <c r="CV23" s="1867" t="e">
        <f t="shared" si="12"/>
        <v>#VALUE!</v>
      </c>
      <c r="CW23" s="1868"/>
      <c r="CX23" s="1867">
        <f t="shared" si="23"/>
        <v>1</v>
      </c>
      <c r="CY23" s="1868"/>
      <c r="CZ23" s="1867">
        <f t="shared" ref="CZ23:CZ28" si="24">IF(AND($D23&lt;&gt;0,AA23=""),1,IF(AA23&gt;D23,1,0))</f>
        <v>1</v>
      </c>
      <c r="DA23" s="1867">
        <f t="shared" ref="DA23:DA28" si="25">IF(AND($D23&lt;&gt;0,AB23=""),1,IF(AB23&gt;D23,1,0))</f>
        <v>1</v>
      </c>
      <c r="DB23" s="1867">
        <f t="shared" si="15"/>
        <v>1</v>
      </c>
      <c r="DC23" s="1867">
        <f t="shared" si="16"/>
        <v>1</v>
      </c>
      <c r="DD23" s="1867">
        <f t="shared" si="17"/>
        <v>1</v>
      </c>
      <c r="DE23" s="1868"/>
      <c r="DF23" s="1868"/>
      <c r="DG23" s="1868"/>
      <c r="DH23" s="1869"/>
    </row>
    <row r="24" spans="1:112" ht="15" customHeight="1" x14ac:dyDescent="0.25">
      <c r="A24" s="5601" t="s">
        <v>4442</v>
      </c>
      <c r="B24" s="6058"/>
      <c r="C24" s="517" t="s">
        <v>65</v>
      </c>
      <c r="D24" s="1882" t="s">
        <v>4567</v>
      </c>
      <c r="E24" s="1906" t="s">
        <v>4568</v>
      </c>
      <c r="F24" s="1872" t="s">
        <v>4569</v>
      </c>
      <c r="G24" s="1875" t="s">
        <v>4570</v>
      </c>
      <c r="H24" s="1875" t="s">
        <v>4571</v>
      </c>
      <c r="I24" s="1875" t="s">
        <v>4572</v>
      </c>
      <c r="J24" s="1875" t="s">
        <v>4573</v>
      </c>
      <c r="K24" s="1875" t="s">
        <v>4574</v>
      </c>
      <c r="L24" s="1875" t="s">
        <v>4575</v>
      </c>
      <c r="M24" s="1875" t="s">
        <v>4576</v>
      </c>
      <c r="N24" s="1875" t="s">
        <v>4577</v>
      </c>
      <c r="O24" s="1875" t="s">
        <v>4578</v>
      </c>
      <c r="P24" s="1875" t="s">
        <v>4579</v>
      </c>
      <c r="Q24" s="1875" t="s">
        <v>4580</v>
      </c>
      <c r="R24" s="1875" t="s">
        <v>4581</v>
      </c>
      <c r="S24" s="1875" t="s">
        <v>4582</v>
      </c>
      <c r="T24" s="1875" t="s">
        <v>4583</v>
      </c>
      <c r="U24" s="1876" t="s">
        <v>4584</v>
      </c>
      <c r="V24" s="1877" t="s">
        <v>4585</v>
      </c>
      <c r="W24" s="1878" t="s">
        <v>4586</v>
      </c>
      <c r="X24" s="1907" t="s">
        <v>4587</v>
      </c>
      <c r="Y24" s="1873" t="s">
        <v>4588</v>
      </c>
      <c r="Z24" s="1895" t="s">
        <v>4589</v>
      </c>
      <c r="AA24" s="1873" t="s">
        <v>4590</v>
      </c>
      <c r="AB24" s="1873" t="s">
        <v>4591</v>
      </c>
      <c r="AC24" s="1873" t="s">
        <v>4592</v>
      </c>
      <c r="AD24" s="1873" t="s">
        <v>4593</v>
      </c>
      <c r="AE24" s="854" t="s">
        <v>4594</v>
      </c>
      <c r="AF24" s="1908" t="s">
        <v>4595</v>
      </c>
      <c r="AG24" s="1895" t="s">
        <v>4596</v>
      </c>
      <c r="AH24" s="1909" t="s">
        <v>4597</v>
      </c>
      <c r="AI24" s="1881" t="s">
        <v>4598</v>
      </c>
      <c r="AJ24" s="1864" t="e">
        <f t="shared" si="8"/>
        <v>#VALUE!</v>
      </c>
      <c r="CB24" s="1865" t="e">
        <f t="shared" si="0"/>
        <v>#VALUE!</v>
      </c>
      <c r="CC24" s="1866"/>
      <c r="CD24" s="1865" t="str">
        <f t="shared" si="22"/>
        <v xml:space="preserve">* El Número de Control de diada con presencia del padre no puede superar el Total. </v>
      </c>
      <c r="CE24" s="1866"/>
      <c r="CF24" s="1865" t="str">
        <f t="shared" si="2"/>
        <v xml:space="preserve">* La variable Niños, Niñas, Adolescentes y Jóvenes SENAME no debe ser mayor al Total. </v>
      </c>
      <c r="CG24" s="1865" t="str">
        <f t="shared" si="3"/>
        <v xml:space="preserve">* La variable Niños, Niñas, Adolescentes y Jóvenes Mejor Niñez no debe ser mayor al Total. </v>
      </c>
      <c r="CH24" s="1865" t="str">
        <f t="shared" si="4"/>
        <v xml:space="preserve">* La variable de Pueblos Originarios no debe ser mayor al Total. </v>
      </c>
      <c r="CI24" s="1865" t="str">
        <f t="shared" si="5"/>
        <v xml:space="preserve">* La variable Migrantes no debe ser mayor al Total. </v>
      </c>
      <c r="CJ24" s="1865" t="str">
        <f t="shared" si="6"/>
        <v xml:space="preserve">* La variable Personas con discapacidad no debe ser mayor al Total. </v>
      </c>
      <c r="CK24" s="1866"/>
      <c r="CL24" s="1866"/>
      <c r="CM24" s="1866"/>
      <c r="CN24" s="1866"/>
      <c r="CV24" s="1867" t="e">
        <f t="shared" si="12"/>
        <v>#VALUE!</v>
      </c>
      <c r="CW24" s="1868"/>
      <c r="CX24" s="1867">
        <f t="shared" si="23"/>
        <v>1</v>
      </c>
      <c r="CY24" s="1868"/>
      <c r="CZ24" s="1867">
        <f t="shared" si="24"/>
        <v>1</v>
      </c>
      <c r="DA24" s="1867">
        <f t="shared" si="25"/>
        <v>1</v>
      </c>
      <c r="DB24" s="1867">
        <f t="shared" si="15"/>
        <v>1</v>
      </c>
      <c r="DC24" s="1867">
        <f t="shared" si="16"/>
        <v>1</v>
      </c>
      <c r="DD24" s="1867">
        <f t="shared" si="17"/>
        <v>1</v>
      </c>
      <c r="DE24" s="1868"/>
      <c r="DF24" s="1868"/>
      <c r="DG24" s="1868"/>
      <c r="DH24" s="1869"/>
    </row>
    <row r="25" spans="1:112" ht="15" customHeight="1" x14ac:dyDescent="0.25">
      <c r="A25" s="5601" t="s">
        <v>4443</v>
      </c>
      <c r="B25" s="6057" t="s">
        <v>72</v>
      </c>
      <c r="C25" s="1851" t="s">
        <v>64</v>
      </c>
      <c r="D25" s="1852" t="s">
        <v>4567</v>
      </c>
      <c r="E25" s="326" t="s">
        <v>4568</v>
      </c>
      <c r="F25" s="1883" t="s">
        <v>4569</v>
      </c>
      <c r="G25" s="1885" t="s">
        <v>4570</v>
      </c>
      <c r="H25" s="1885" t="s">
        <v>4571</v>
      </c>
      <c r="I25" s="1885" t="s">
        <v>4572</v>
      </c>
      <c r="J25" s="1885" t="s">
        <v>4573</v>
      </c>
      <c r="K25" s="1885" t="s">
        <v>4574</v>
      </c>
      <c r="L25" s="1885" t="s">
        <v>4575</v>
      </c>
      <c r="M25" s="1885" t="s">
        <v>4576</v>
      </c>
      <c r="N25" s="1885" t="s">
        <v>4577</v>
      </c>
      <c r="O25" s="1885" t="s">
        <v>4578</v>
      </c>
      <c r="P25" s="1885" t="s">
        <v>4579</v>
      </c>
      <c r="Q25" s="1857" t="s">
        <v>4580</v>
      </c>
      <c r="R25" s="1857" t="s">
        <v>4581</v>
      </c>
      <c r="S25" s="1857" t="s">
        <v>4582</v>
      </c>
      <c r="T25" s="1857" t="s">
        <v>4583</v>
      </c>
      <c r="U25" s="1897" t="s">
        <v>4584</v>
      </c>
      <c r="V25" s="1859" t="s">
        <v>4585</v>
      </c>
      <c r="W25" s="1884" t="s">
        <v>4586</v>
      </c>
      <c r="X25" s="1903" t="s">
        <v>4587</v>
      </c>
      <c r="Y25" s="232" t="s">
        <v>4588</v>
      </c>
      <c r="Z25" s="1886" t="s">
        <v>4589</v>
      </c>
      <c r="AA25" s="232" t="s">
        <v>4590</v>
      </c>
      <c r="AB25" s="232" t="s">
        <v>4591</v>
      </c>
      <c r="AC25" s="232" t="s">
        <v>4592</v>
      </c>
      <c r="AD25" s="232" t="s">
        <v>4593</v>
      </c>
      <c r="AE25" s="29" t="s">
        <v>4594</v>
      </c>
      <c r="AF25" s="1904" t="s">
        <v>4595</v>
      </c>
      <c r="AG25" s="1886" t="s">
        <v>4596</v>
      </c>
      <c r="AH25" s="1905" t="s">
        <v>4597</v>
      </c>
      <c r="AI25" s="1863" t="s">
        <v>4598</v>
      </c>
      <c r="AJ25" s="1864" t="e">
        <f t="shared" si="8"/>
        <v>#VALUE!</v>
      </c>
      <c r="CB25" s="1865" t="e">
        <f t="shared" si="0"/>
        <v>#VALUE!</v>
      </c>
      <c r="CC25" s="1866"/>
      <c r="CD25" s="1865" t="str">
        <f t="shared" si="22"/>
        <v xml:space="preserve">* El Número de Control de diada con presencia del padre no puede superar el Total. </v>
      </c>
      <c r="CE25" s="1866"/>
      <c r="CF25" s="1865" t="str">
        <f t="shared" si="2"/>
        <v xml:space="preserve">* La variable Niños, Niñas, Adolescentes y Jóvenes SENAME no debe ser mayor al Total. </v>
      </c>
      <c r="CG25" s="1865" t="str">
        <f t="shared" si="3"/>
        <v xml:space="preserve">* La variable Niños, Niñas, Adolescentes y Jóvenes Mejor Niñez no debe ser mayor al Total. </v>
      </c>
      <c r="CH25" s="1865" t="str">
        <f t="shared" si="4"/>
        <v xml:space="preserve">* La variable de Pueblos Originarios no debe ser mayor al Total. </v>
      </c>
      <c r="CI25" s="1865" t="str">
        <f t="shared" si="5"/>
        <v xml:space="preserve">* La variable Migrantes no debe ser mayor al Total. </v>
      </c>
      <c r="CJ25" s="1865" t="str">
        <f t="shared" si="6"/>
        <v xml:space="preserve">* La variable Personas con discapacidad no debe ser mayor al Total. </v>
      </c>
      <c r="CK25" s="1866"/>
      <c r="CL25" s="1866"/>
      <c r="CM25" s="1866"/>
      <c r="CN25" s="1866"/>
      <c r="CV25" s="1867" t="e">
        <f t="shared" si="12"/>
        <v>#VALUE!</v>
      </c>
      <c r="CW25" s="1868"/>
      <c r="CX25" s="1867">
        <f t="shared" si="23"/>
        <v>1</v>
      </c>
      <c r="CY25" s="1868"/>
      <c r="CZ25" s="1867">
        <f t="shared" si="24"/>
        <v>1</v>
      </c>
      <c r="DA25" s="1867">
        <f t="shared" si="25"/>
        <v>1</v>
      </c>
      <c r="DB25" s="1867">
        <f t="shared" si="15"/>
        <v>1</v>
      </c>
      <c r="DC25" s="1867">
        <f t="shared" si="16"/>
        <v>1</v>
      </c>
      <c r="DD25" s="1867">
        <f t="shared" si="17"/>
        <v>1</v>
      </c>
      <c r="DE25" s="1868"/>
      <c r="DF25" s="1868"/>
      <c r="DG25" s="1868"/>
      <c r="DH25" s="1869"/>
    </row>
    <row r="26" spans="1:112" ht="15" customHeight="1" x14ac:dyDescent="0.25">
      <c r="A26" s="5601" t="s">
        <v>4444</v>
      </c>
      <c r="B26" s="6059"/>
      <c r="C26" s="517" t="s">
        <v>65</v>
      </c>
      <c r="D26" s="1870" t="s">
        <v>4567</v>
      </c>
      <c r="E26" s="1887" t="s">
        <v>4568</v>
      </c>
      <c r="F26" s="1872" t="s">
        <v>4569</v>
      </c>
      <c r="G26" s="1875" t="s">
        <v>4570</v>
      </c>
      <c r="H26" s="1875" t="s">
        <v>4571</v>
      </c>
      <c r="I26" s="1875" t="s">
        <v>4572</v>
      </c>
      <c r="J26" s="1875" t="s">
        <v>4573</v>
      </c>
      <c r="K26" s="1875" t="s">
        <v>4574</v>
      </c>
      <c r="L26" s="1875" t="s">
        <v>4575</v>
      </c>
      <c r="M26" s="1875" t="s">
        <v>4576</v>
      </c>
      <c r="N26" s="1875" t="s">
        <v>4577</v>
      </c>
      <c r="O26" s="1875" t="s">
        <v>4578</v>
      </c>
      <c r="P26" s="1875" t="s">
        <v>4579</v>
      </c>
      <c r="Q26" s="1875" t="s">
        <v>4580</v>
      </c>
      <c r="R26" s="1875" t="s">
        <v>4581</v>
      </c>
      <c r="S26" s="1875" t="s">
        <v>4582</v>
      </c>
      <c r="T26" s="1875" t="s">
        <v>4583</v>
      </c>
      <c r="U26" s="1876" t="s">
        <v>4584</v>
      </c>
      <c r="V26" s="1877" t="s">
        <v>4585</v>
      </c>
      <c r="W26" s="1878" t="s">
        <v>4586</v>
      </c>
      <c r="X26" s="1907" t="s">
        <v>4587</v>
      </c>
      <c r="Y26" s="1873" t="s">
        <v>4588</v>
      </c>
      <c r="Z26" s="1895" t="s">
        <v>4589</v>
      </c>
      <c r="AA26" s="1873" t="s">
        <v>4590</v>
      </c>
      <c r="AB26" s="1873" t="s">
        <v>4591</v>
      </c>
      <c r="AC26" s="1873" t="s">
        <v>4592</v>
      </c>
      <c r="AD26" s="1873" t="s">
        <v>4593</v>
      </c>
      <c r="AE26" s="854" t="s">
        <v>4594</v>
      </c>
      <c r="AF26" s="1908" t="s">
        <v>4595</v>
      </c>
      <c r="AG26" s="1895" t="s">
        <v>4596</v>
      </c>
      <c r="AH26" s="1909" t="s">
        <v>4597</v>
      </c>
      <c r="AI26" s="1881" t="s">
        <v>4598</v>
      </c>
      <c r="AJ26" s="1864" t="e">
        <f t="shared" si="8"/>
        <v>#VALUE!</v>
      </c>
      <c r="CB26" s="1865" t="e">
        <f t="shared" si="0"/>
        <v>#VALUE!</v>
      </c>
      <c r="CC26" s="1866"/>
      <c r="CD26" s="1865" t="str">
        <f t="shared" si="22"/>
        <v xml:space="preserve">* El Número de Control de diada con presencia del padre no puede superar el Total. </v>
      </c>
      <c r="CE26" s="1866"/>
      <c r="CF26" s="1865" t="str">
        <f t="shared" si="2"/>
        <v xml:space="preserve">* La variable Niños, Niñas, Adolescentes y Jóvenes SENAME no debe ser mayor al Total. </v>
      </c>
      <c r="CG26" s="1865" t="str">
        <f t="shared" si="3"/>
        <v xml:space="preserve">* La variable Niños, Niñas, Adolescentes y Jóvenes Mejor Niñez no debe ser mayor al Total. </v>
      </c>
      <c r="CH26" s="1865" t="str">
        <f t="shared" si="4"/>
        <v xml:space="preserve">* La variable de Pueblos Originarios no debe ser mayor al Total. </v>
      </c>
      <c r="CI26" s="1865" t="str">
        <f t="shared" si="5"/>
        <v xml:space="preserve">* La variable Migrantes no debe ser mayor al Total. </v>
      </c>
      <c r="CJ26" s="1865" t="str">
        <f t="shared" si="6"/>
        <v xml:space="preserve">* La variable Personas con discapacidad no debe ser mayor al Total. </v>
      </c>
      <c r="CK26" s="1866"/>
      <c r="CL26" s="1866"/>
      <c r="CM26" s="1866"/>
      <c r="CN26" s="1866"/>
      <c r="CV26" s="1867" t="e">
        <f t="shared" si="12"/>
        <v>#VALUE!</v>
      </c>
      <c r="CW26" s="1868"/>
      <c r="CX26" s="1867">
        <f t="shared" si="23"/>
        <v>1</v>
      </c>
      <c r="CY26" s="1868"/>
      <c r="CZ26" s="1867">
        <f t="shared" si="24"/>
        <v>1</v>
      </c>
      <c r="DA26" s="1867">
        <f t="shared" si="25"/>
        <v>1</v>
      </c>
      <c r="DB26" s="1867">
        <f t="shared" si="15"/>
        <v>1</v>
      </c>
      <c r="DC26" s="1867">
        <f t="shared" si="16"/>
        <v>1</v>
      </c>
      <c r="DD26" s="1867">
        <f t="shared" si="17"/>
        <v>1</v>
      </c>
      <c r="DE26" s="1868"/>
      <c r="DF26" s="1868"/>
      <c r="DG26" s="1868"/>
      <c r="DH26" s="1869"/>
    </row>
    <row r="27" spans="1:112" ht="15" customHeight="1" x14ac:dyDescent="0.25">
      <c r="A27" s="5601" t="s">
        <v>4445</v>
      </c>
      <c r="B27" s="6088" t="s">
        <v>73</v>
      </c>
      <c r="C27" s="1851" t="s">
        <v>64</v>
      </c>
      <c r="D27" s="1851" t="s">
        <v>4567</v>
      </c>
      <c r="E27" s="1853" t="s">
        <v>4568</v>
      </c>
      <c r="F27" s="1854" t="s">
        <v>4569</v>
      </c>
      <c r="G27" s="1862" t="s">
        <v>4570</v>
      </c>
      <c r="H27" s="1862" t="s">
        <v>4571</v>
      </c>
      <c r="I27" s="1862" t="s">
        <v>4572</v>
      </c>
      <c r="J27" s="1862" t="s">
        <v>4573</v>
      </c>
      <c r="K27" s="1862" t="s">
        <v>4574</v>
      </c>
      <c r="L27" s="1862" t="s">
        <v>4575</v>
      </c>
      <c r="M27" s="1862" t="s">
        <v>4576</v>
      </c>
      <c r="N27" s="1862" t="s">
        <v>4577</v>
      </c>
      <c r="O27" s="1862" t="s">
        <v>4578</v>
      </c>
      <c r="P27" s="1862" t="s">
        <v>4579</v>
      </c>
      <c r="Q27" s="1862" t="s">
        <v>4580</v>
      </c>
      <c r="R27" s="1862" t="s">
        <v>4581</v>
      </c>
      <c r="S27" s="1862" t="s">
        <v>4582</v>
      </c>
      <c r="T27" s="1862" t="s">
        <v>4583</v>
      </c>
      <c r="U27" s="1910" t="s">
        <v>4584</v>
      </c>
      <c r="V27" s="1883" t="s">
        <v>4585</v>
      </c>
      <c r="W27" s="1884" t="s">
        <v>4586</v>
      </c>
      <c r="X27" s="1903" t="s">
        <v>4587</v>
      </c>
      <c r="Y27" s="1885" t="s">
        <v>4588</v>
      </c>
      <c r="Z27" s="232" t="s">
        <v>4589</v>
      </c>
      <c r="AA27" s="232" t="s">
        <v>4590</v>
      </c>
      <c r="AB27" s="232" t="s">
        <v>4591</v>
      </c>
      <c r="AC27" s="232" t="s">
        <v>4592</v>
      </c>
      <c r="AD27" s="232" t="s">
        <v>4593</v>
      </c>
      <c r="AE27" s="29" t="s">
        <v>4594</v>
      </c>
      <c r="AF27" s="1887" t="s">
        <v>4595</v>
      </c>
      <c r="AG27" s="1888" t="s">
        <v>4596</v>
      </c>
      <c r="AH27" s="29" t="s">
        <v>4597</v>
      </c>
      <c r="AI27" s="1863" t="s">
        <v>4598</v>
      </c>
      <c r="AJ27" s="1864" t="e">
        <f t="shared" si="8"/>
        <v>#VALUE!</v>
      </c>
      <c r="CB27" s="1865" t="e">
        <f t="shared" si="0"/>
        <v>#VALUE!</v>
      </c>
      <c r="CC27" s="1866"/>
      <c r="CD27" s="1866"/>
      <c r="CE27" s="1865" t="str">
        <f t="shared" ref="CE27:CE28" si="26">IF(AND($D27&lt;&gt;0,Z27=""),"* No olvide ingresar la variable "&amp;Z$9&amp;""&amp;". Digite CERO si no tiene.  ",IF(Z27&gt;$D27,"* La variable Espacios Amigables/ Adolescentes no debe ser mayor al Total. ",""))</f>
        <v xml:space="preserve">* La variable Espacios Amigables/ Adolescentes no debe ser mayor al Total. </v>
      </c>
      <c r="CF27" s="1865" t="str">
        <f t="shared" si="2"/>
        <v xml:space="preserve">* La variable Niños, Niñas, Adolescentes y Jóvenes SENAME no debe ser mayor al Total. </v>
      </c>
      <c r="CG27" s="1865" t="str">
        <f t="shared" si="3"/>
        <v xml:space="preserve">* La variable Niños, Niñas, Adolescentes y Jóvenes Mejor Niñez no debe ser mayor al Total. </v>
      </c>
      <c r="CH27" s="1865" t="str">
        <f t="shared" si="4"/>
        <v xml:space="preserve">* La variable de Pueblos Originarios no debe ser mayor al Total. </v>
      </c>
      <c r="CI27" s="1865" t="str">
        <f t="shared" si="5"/>
        <v xml:space="preserve">* La variable Migrantes no debe ser mayor al Total. </v>
      </c>
      <c r="CJ27" s="1865" t="str">
        <f t="shared" si="6"/>
        <v xml:space="preserve">* La variable Personas con discapacidad no debe ser mayor al Total. </v>
      </c>
      <c r="CK27" s="1865" t="str">
        <f>IF(AND($W27&lt;&gt;0,AF27=""),"* No olvide ingresar la variable "&amp;AF$10&amp;""&amp;". Digite CERO si no tiene.  ",IF(AF27&gt;$W27,"* La variable Trans masculino no debe ser mayor al Total Mujeres. ",""))</f>
        <v xml:space="preserve">* La variable Trans masculino no debe ser mayor al Total Mujeres. </v>
      </c>
      <c r="CL27" s="1866"/>
      <c r="CM27" s="1865" t="str">
        <f>IF(AND($D27&lt;&gt;0,AH27=""),"* No olvide ingresar la variable "&amp;AH$10&amp;""&amp;". Digite CERO si no tiene.  ",IF(AH27&gt;$D27,"* La variable No binarie no debe ser mayor al Total. ",""))</f>
        <v xml:space="preserve">* La variable No binarie no debe ser mayor al Total. </v>
      </c>
      <c r="CN27" s="1866"/>
      <c r="CV27" s="1867" t="e">
        <f t="shared" si="12"/>
        <v>#VALUE!</v>
      </c>
      <c r="CW27" s="1868"/>
      <c r="CX27" s="1868"/>
      <c r="CY27" s="1867">
        <f t="shared" ref="CY27:CY28" si="27">IF(AND($D27&lt;&gt;0,Z27=""),1,IF(Z27&gt;$D27,1,0))</f>
        <v>1</v>
      </c>
      <c r="CZ27" s="1867">
        <f t="shared" si="24"/>
        <v>1</v>
      </c>
      <c r="DA27" s="1867">
        <f t="shared" si="25"/>
        <v>1</v>
      </c>
      <c r="DB27" s="1867">
        <f t="shared" si="15"/>
        <v>1</v>
      </c>
      <c r="DC27" s="1867">
        <f t="shared" si="16"/>
        <v>1</v>
      </c>
      <c r="DD27" s="1867">
        <f t="shared" si="17"/>
        <v>1</v>
      </c>
      <c r="DE27" s="1867">
        <f>IF(AND($W27&lt;&gt;0,AF27=""),1,IF(AF27&gt;$W27,1,0))</f>
        <v>1</v>
      </c>
      <c r="DF27" s="1868"/>
      <c r="DG27" s="1867">
        <f>IF(AND($D27&lt;&gt;0,AH27=""),1,IF(AH27&gt;$D27,1,0))</f>
        <v>1</v>
      </c>
      <c r="DH27" s="1869"/>
    </row>
    <row r="28" spans="1:112" ht="15" customHeight="1" x14ac:dyDescent="0.25">
      <c r="A28" s="5601" t="s">
        <v>4446</v>
      </c>
      <c r="B28" s="6088"/>
      <c r="C28" s="517" t="s">
        <v>65</v>
      </c>
      <c r="D28" s="193" t="s">
        <v>4567</v>
      </c>
      <c r="E28" s="1871" t="s">
        <v>4568</v>
      </c>
      <c r="F28" s="1872" t="s">
        <v>4569</v>
      </c>
      <c r="G28" s="232" t="s">
        <v>4570</v>
      </c>
      <c r="H28" s="232" t="s">
        <v>4571</v>
      </c>
      <c r="I28" s="232" t="s">
        <v>4572</v>
      </c>
      <c r="J28" s="232" t="s">
        <v>4573</v>
      </c>
      <c r="K28" s="232" t="s">
        <v>4574</v>
      </c>
      <c r="L28" s="232" t="s">
        <v>4575</v>
      </c>
      <c r="M28" s="232" t="s">
        <v>4576</v>
      </c>
      <c r="N28" s="232" t="s">
        <v>4577</v>
      </c>
      <c r="O28" s="1873" t="s">
        <v>4578</v>
      </c>
      <c r="P28" s="1880" t="s">
        <v>4579</v>
      </c>
      <c r="Q28" s="1880" t="s">
        <v>4580</v>
      </c>
      <c r="R28" s="232" t="s">
        <v>4581</v>
      </c>
      <c r="S28" s="232" t="s">
        <v>4582</v>
      </c>
      <c r="T28" s="232" t="s">
        <v>4583</v>
      </c>
      <c r="U28" s="1911" t="s">
        <v>4584</v>
      </c>
      <c r="V28" s="1894" t="s">
        <v>4585</v>
      </c>
      <c r="W28" s="1878" t="s">
        <v>4586</v>
      </c>
      <c r="X28" s="1907" t="s">
        <v>4587</v>
      </c>
      <c r="Y28" s="1875" t="s">
        <v>4588</v>
      </c>
      <c r="Z28" s="1873" t="s">
        <v>4589</v>
      </c>
      <c r="AA28" s="1873" t="s">
        <v>4590</v>
      </c>
      <c r="AB28" s="1873" t="s">
        <v>4591</v>
      </c>
      <c r="AC28" s="1873" t="s">
        <v>4592</v>
      </c>
      <c r="AD28" s="1873" t="s">
        <v>4593</v>
      </c>
      <c r="AE28" s="854" t="s">
        <v>4594</v>
      </c>
      <c r="AF28" s="853" t="s">
        <v>4595</v>
      </c>
      <c r="AG28" s="1896" t="s">
        <v>4596</v>
      </c>
      <c r="AH28" s="854" t="s">
        <v>4597</v>
      </c>
      <c r="AI28" s="1881" t="s">
        <v>4598</v>
      </c>
      <c r="AJ28" s="1864" t="e">
        <f t="shared" si="8"/>
        <v>#VALUE!</v>
      </c>
      <c r="CB28" s="1865" t="e">
        <f t="shared" si="0"/>
        <v>#VALUE!</v>
      </c>
      <c r="CC28" s="1866"/>
      <c r="CD28" s="1866"/>
      <c r="CE28" s="1865" t="str">
        <f t="shared" si="26"/>
        <v xml:space="preserve">* La variable Espacios Amigables/ Adolescentes no debe ser mayor al Total. </v>
      </c>
      <c r="CF28" s="1865" t="str">
        <f t="shared" si="2"/>
        <v xml:space="preserve">* La variable Niños, Niñas, Adolescentes y Jóvenes SENAME no debe ser mayor al Total. </v>
      </c>
      <c r="CG28" s="1865" t="str">
        <f t="shared" si="3"/>
        <v xml:space="preserve">* La variable Niños, Niñas, Adolescentes y Jóvenes Mejor Niñez no debe ser mayor al Total. </v>
      </c>
      <c r="CH28" s="1865" t="str">
        <f t="shared" si="4"/>
        <v xml:space="preserve">* La variable de Pueblos Originarios no debe ser mayor al Total. </v>
      </c>
      <c r="CI28" s="1865" t="str">
        <f t="shared" si="5"/>
        <v xml:space="preserve">* La variable Migrantes no debe ser mayor al Total. </v>
      </c>
      <c r="CJ28" s="1865" t="str">
        <f t="shared" si="6"/>
        <v xml:space="preserve">* La variable Personas con discapacidad no debe ser mayor al Total. </v>
      </c>
      <c r="CK28" s="1865" t="str">
        <f>IF(AND($W28&lt;&gt;0,AF28=""),"* No olvide ingresar la variable "&amp;AF$10&amp;""&amp;". Digite CERO si no tiene.  ",IF(AF28&gt;$W28,"* La variable Trans masculino no debe ser mayor al Total Mujeres. ",""))</f>
        <v xml:space="preserve">* La variable Trans masculino no debe ser mayor al Total Mujeres. </v>
      </c>
      <c r="CL28" s="1866"/>
      <c r="CM28" s="1865" t="str">
        <f>IF(AND($D28&lt;&gt;0,AH28=""),"* No olvide ingresar la variable "&amp;AH$10&amp;""&amp;". Digite CERO si no tiene.  ",IF(AH28&gt;$D28,"* La variable No binarie no debe ser mayor al Total. ",""))</f>
        <v xml:space="preserve">* La variable No binarie no debe ser mayor al Total. </v>
      </c>
      <c r="CN28" s="1866"/>
      <c r="CV28" s="1867" t="e">
        <f t="shared" si="12"/>
        <v>#VALUE!</v>
      </c>
      <c r="CW28" s="1868"/>
      <c r="CX28" s="1868"/>
      <c r="CY28" s="1867">
        <f t="shared" si="27"/>
        <v>1</v>
      </c>
      <c r="CZ28" s="1867">
        <f t="shared" si="24"/>
        <v>1</v>
      </c>
      <c r="DA28" s="1867">
        <f t="shared" si="25"/>
        <v>1</v>
      </c>
      <c r="DB28" s="1867">
        <f t="shared" si="15"/>
        <v>1</v>
      </c>
      <c r="DC28" s="1867">
        <f t="shared" si="16"/>
        <v>1</v>
      </c>
      <c r="DD28" s="1867">
        <f t="shared" si="17"/>
        <v>1</v>
      </c>
      <c r="DE28" s="1867">
        <f t="shared" si="18"/>
        <v>1</v>
      </c>
      <c r="DF28" s="1868"/>
      <c r="DG28" s="1867">
        <f>IF(AND($D28&lt;&gt;0,AH28=""),1,IF(AH28&gt;$D28,1,0))</f>
        <v>1</v>
      </c>
      <c r="DH28" s="1869"/>
    </row>
    <row r="29" spans="1:112" ht="15" customHeight="1" x14ac:dyDescent="0.25">
      <c r="A29" s="5601" t="s">
        <v>4447</v>
      </c>
      <c r="B29" s="6057" t="s">
        <v>74</v>
      </c>
      <c r="C29" s="1851" t="s">
        <v>64</v>
      </c>
      <c r="D29" s="1912" t="s">
        <v>4567</v>
      </c>
      <c r="E29" s="1913" t="s">
        <v>4568</v>
      </c>
      <c r="F29" s="1914" t="s">
        <v>4569</v>
      </c>
      <c r="G29" s="1857" t="s">
        <v>4570</v>
      </c>
      <c r="H29" s="1857" t="s">
        <v>4571</v>
      </c>
      <c r="I29" s="1857" t="s">
        <v>4572</v>
      </c>
      <c r="J29" s="1857" t="s">
        <v>4573</v>
      </c>
      <c r="K29" s="1857" t="s">
        <v>4574</v>
      </c>
      <c r="L29" s="1857" t="s">
        <v>4575</v>
      </c>
      <c r="M29" s="1862" t="s">
        <v>4576</v>
      </c>
      <c r="N29" s="1862" t="s">
        <v>4577</v>
      </c>
      <c r="O29" s="1862" t="s">
        <v>4578</v>
      </c>
      <c r="P29" s="1862" t="s">
        <v>4579</v>
      </c>
      <c r="Q29" s="1862" t="s">
        <v>4580</v>
      </c>
      <c r="R29" s="1857" t="s">
        <v>4581</v>
      </c>
      <c r="S29" s="1857" t="s">
        <v>4582</v>
      </c>
      <c r="T29" s="1857" t="s">
        <v>4583</v>
      </c>
      <c r="U29" s="1897" t="s">
        <v>4584</v>
      </c>
      <c r="V29" s="1854" t="s">
        <v>4585</v>
      </c>
      <c r="W29" s="1884" t="s">
        <v>4586</v>
      </c>
      <c r="X29" s="1903" t="s">
        <v>4587</v>
      </c>
      <c r="Y29" s="1885" t="s">
        <v>4588</v>
      </c>
      <c r="Z29" s="1886" t="s">
        <v>4589</v>
      </c>
      <c r="AA29" s="1886" t="s">
        <v>4590</v>
      </c>
      <c r="AB29" s="1886" t="s">
        <v>4591</v>
      </c>
      <c r="AC29" s="232" t="s">
        <v>4592</v>
      </c>
      <c r="AD29" s="232" t="s">
        <v>4593</v>
      </c>
      <c r="AE29" s="29" t="s">
        <v>4594</v>
      </c>
      <c r="AF29" s="1887" t="s">
        <v>4595</v>
      </c>
      <c r="AG29" s="1888" t="s">
        <v>4596</v>
      </c>
      <c r="AH29" s="29" t="s">
        <v>4597</v>
      </c>
      <c r="AI29" s="1863" t="s">
        <v>4598</v>
      </c>
      <c r="AJ29" s="1864" t="e">
        <f t="shared" si="8"/>
        <v>#VALUE!</v>
      </c>
      <c r="CB29" s="1865" t="e">
        <f t="shared" si="0"/>
        <v>#VALUE!</v>
      </c>
      <c r="CC29" s="1866"/>
      <c r="CD29" s="1866"/>
      <c r="CE29" s="1866"/>
      <c r="CF29" s="1866"/>
      <c r="CG29" s="1866"/>
      <c r="CH29" s="1865" t="str">
        <f t="shared" si="4"/>
        <v xml:space="preserve">* La variable de Pueblos Originarios no debe ser mayor al Total. </v>
      </c>
      <c r="CI29" s="1865" t="str">
        <f t="shared" si="5"/>
        <v xml:space="preserve">* La variable Migrantes no debe ser mayor al Total. </v>
      </c>
      <c r="CJ29" s="1865" t="str">
        <f t="shared" si="6"/>
        <v xml:space="preserve">* La variable Personas con discapacidad no debe ser mayor al Total. </v>
      </c>
      <c r="CK29" s="1865" t="str">
        <f t="shared" si="9"/>
        <v xml:space="preserve">* La variable Trans masculino no debe ser mayor al Total Mujeres. </v>
      </c>
      <c r="CL29" s="1866"/>
      <c r="CM29" s="1865" t="str">
        <f t="shared" si="11"/>
        <v xml:space="preserve">* La variable No binarie no debe ser mayor al Total. </v>
      </c>
      <c r="CN29" s="1866"/>
      <c r="CV29" s="1867" t="e">
        <f t="shared" si="12"/>
        <v>#VALUE!</v>
      </c>
      <c r="CW29" s="1868"/>
      <c r="CX29" s="1868"/>
      <c r="CY29" s="1868"/>
      <c r="CZ29" s="1868"/>
      <c r="DA29" s="1868"/>
      <c r="DB29" s="1867">
        <f t="shared" ref="DB29:DB32" si="28">IF(AND($D29&lt;&gt;0,AC29=""),1,IF(AC29&gt;D29,1,0))</f>
        <v>1</v>
      </c>
      <c r="DC29" s="1867">
        <f t="shared" ref="DC29:DC32" si="29">IF(AND($D29&lt;&gt;0,AD29=""),1,IF(AD29&gt;D29,1,0))</f>
        <v>1</v>
      </c>
      <c r="DD29" s="1867">
        <f t="shared" ref="DD29:DD32" si="30">IF(AND($D29&lt;&gt;0,AE29=""),1,IF(AE29&gt;$D29,1,0))</f>
        <v>1</v>
      </c>
      <c r="DE29" s="1867">
        <f t="shared" ref="DE29:DE32" si="31">IF(AND($W29&lt;&gt;0,AF29=""),1,IF(AF29&gt;$W29,1,0))</f>
        <v>1</v>
      </c>
      <c r="DF29" s="1868"/>
      <c r="DG29" s="1867">
        <f t="shared" ref="DG29:DG32" si="32">IF(AND($D29&lt;&gt;0,AH29=""),1,IF(AH29&gt;$D29,1,0))</f>
        <v>1</v>
      </c>
      <c r="DH29" s="1869"/>
    </row>
    <row r="30" spans="1:112" ht="15" customHeight="1" x14ac:dyDescent="0.25">
      <c r="A30" s="5601" t="s">
        <v>4448</v>
      </c>
      <c r="B30" s="6059"/>
      <c r="C30" s="517" t="s">
        <v>65</v>
      </c>
      <c r="D30" s="1915" t="s">
        <v>4567</v>
      </c>
      <c r="E30" s="1871" t="s">
        <v>4568</v>
      </c>
      <c r="F30" s="1872" t="s">
        <v>4569</v>
      </c>
      <c r="G30" s="1916" t="s">
        <v>4570</v>
      </c>
      <c r="H30" s="1916" t="s">
        <v>4571</v>
      </c>
      <c r="I30" s="1916" t="s">
        <v>4572</v>
      </c>
      <c r="J30" s="1916" t="s">
        <v>4573</v>
      </c>
      <c r="K30" s="1916" t="s">
        <v>4574</v>
      </c>
      <c r="L30" s="1916" t="s">
        <v>4575</v>
      </c>
      <c r="M30" s="1880" t="s">
        <v>4576</v>
      </c>
      <c r="N30" s="1873" t="s">
        <v>4577</v>
      </c>
      <c r="O30" s="1873" t="s">
        <v>4578</v>
      </c>
      <c r="P30" s="1880" t="s">
        <v>4579</v>
      </c>
      <c r="Q30" s="1880" t="s">
        <v>4580</v>
      </c>
      <c r="R30" s="1916" t="s">
        <v>4581</v>
      </c>
      <c r="S30" s="1916" t="s">
        <v>4582</v>
      </c>
      <c r="T30" s="1916" t="s">
        <v>4583</v>
      </c>
      <c r="U30" s="1917" t="s">
        <v>4584</v>
      </c>
      <c r="V30" s="1872" t="s">
        <v>4585</v>
      </c>
      <c r="W30" s="1878" t="s">
        <v>4586</v>
      </c>
      <c r="X30" s="1907" t="s">
        <v>4587</v>
      </c>
      <c r="Y30" s="1875" t="s">
        <v>4588</v>
      </c>
      <c r="Z30" s="1895" t="s">
        <v>4589</v>
      </c>
      <c r="AA30" s="1895" t="s">
        <v>4590</v>
      </c>
      <c r="AB30" s="1895" t="s">
        <v>4591</v>
      </c>
      <c r="AC30" s="1873" t="s">
        <v>4592</v>
      </c>
      <c r="AD30" s="1873" t="s">
        <v>4593</v>
      </c>
      <c r="AE30" s="854" t="s">
        <v>4594</v>
      </c>
      <c r="AF30" s="853" t="s">
        <v>4595</v>
      </c>
      <c r="AG30" s="1896" t="s">
        <v>4596</v>
      </c>
      <c r="AH30" s="854" t="s">
        <v>4597</v>
      </c>
      <c r="AI30" s="1881" t="s">
        <v>4598</v>
      </c>
      <c r="AJ30" s="1864" t="e">
        <f t="shared" si="8"/>
        <v>#VALUE!</v>
      </c>
      <c r="CB30" s="1865" t="e">
        <f t="shared" si="0"/>
        <v>#VALUE!</v>
      </c>
      <c r="CC30" s="1866"/>
      <c r="CD30" s="1866"/>
      <c r="CE30" s="1866"/>
      <c r="CF30" s="1866"/>
      <c r="CG30" s="1866"/>
      <c r="CH30" s="1865" t="str">
        <f t="shared" si="4"/>
        <v xml:space="preserve">* La variable de Pueblos Originarios no debe ser mayor al Total. </v>
      </c>
      <c r="CI30" s="1865" t="str">
        <f t="shared" si="5"/>
        <v xml:space="preserve">* La variable Migrantes no debe ser mayor al Total. </v>
      </c>
      <c r="CJ30" s="1865" t="str">
        <f t="shared" si="6"/>
        <v xml:space="preserve">* La variable Personas con discapacidad no debe ser mayor al Total. </v>
      </c>
      <c r="CK30" s="1865" t="str">
        <f>IF(AND($W30&lt;&gt;0,AF30=""),"* No olvide ingresar la variable "&amp;AF$10&amp;""&amp;". Digite CERO si no tiene.  ",IF(AF30&gt;$W30,"* La variable Trans masculino no debe ser mayor al Total Mujeres. ",""))</f>
        <v xml:space="preserve">* La variable Trans masculino no debe ser mayor al Total Mujeres. </v>
      </c>
      <c r="CL30" s="1866"/>
      <c r="CM30" s="1865" t="str">
        <f>IF(AND($D30&lt;&gt;0,AH30=""),"* No olvide ingresar la variable "&amp;AH$10&amp;""&amp;". Digite CERO si no tiene.  ",IF(AH30&gt;$D30,"* La variable No binarie no debe ser mayor al Total. ",""))</f>
        <v xml:space="preserve">* La variable No binarie no debe ser mayor al Total. </v>
      </c>
      <c r="CN30" s="1866"/>
      <c r="CV30" s="1867" t="e">
        <f t="shared" si="12"/>
        <v>#VALUE!</v>
      </c>
      <c r="CW30" s="1868"/>
      <c r="CX30" s="1868"/>
      <c r="CY30" s="1868"/>
      <c r="CZ30" s="1868"/>
      <c r="DA30" s="1868"/>
      <c r="DB30" s="1867">
        <f t="shared" si="28"/>
        <v>1</v>
      </c>
      <c r="DC30" s="1867">
        <f t="shared" si="29"/>
        <v>1</v>
      </c>
      <c r="DD30" s="1867">
        <f t="shared" si="30"/>
        <v>1</v>
      </c>
      <c r="DE30" s="1867">
        <f t="shared" si="31"/>
        <v>1</v>
      </c>
      <c r="DF30" s="1868"/>
      <c r="DG30" s="1867">
        <f t="shared" si="32"/>
        <v>1</v>
      </c>
      <c r="DH30" s="1869"/>
    </row>
    <row r="31" spans="1:112" ht="15" customHeight="1" x14ac:dyDescent="0.25">
      <c r="A31" s="5601" t="s">
        <v>4449</v>
      </c>
      <c r="B31" s="6058" t="s">
        <v>75</v>
      </c>
      <c r="C31" s="1851" t="s">
        <v>64</v>
      </c>
      <c r="D31" s="1851" t="s">
        <v>4567</v>
      </c>
      <c r="E31" s="1853" t="s">
        <v>4568</v>
      </c>
      <c r="F31" s="1854" t="s">
        <v>4569</v>
      </c>
      <c r="G31" s="1014" t="s">
        <v>4570</v>
      </c>
      <c r="H31" s="1014" t="s">
        <v>4571</v>
      </c>
      <c r="I31" s="1014" t="s">
        <v>4572</v>
      </c>
      <c r="J31" s="1014" t="s">
        <v>4573</v>
      </c>
      <c r="K31" s="1014" t="s">
        <v>4574</v>
      </c>
      <c r="L31" s="1014" t="s">
        <v>4575</v>
      </c>
      <c r="M31" s="1014" t="s">
        <v>4576</v>
      </c>
      <c r="N31" s="1862" t="s">
        <v>4577</v>
      </c>
      <c r="O31" s="1862" t="s">
        <v>4578</v>
      </c>
      <c r="P31" s="1862" t="s">
        <v>4579</v>
      </c>
      <c r="Q31" s="1862" t="s">
        <v>4580</v>
      </c>
      <c r="R31" s="1014" t="s">
        <v>4581</v>
      </c>
      <c r="S31" s="1014" t="s">
        <v>4582</v>
      </c>
      <c r="T31" s="1014" t="s">
        <v>4583</v>
      </c>
      <c r="U31" s="1910" t="s">
        <v>4584</v>
      </c>
      <c r="V31" s="44" t="s">
        <v>4585</v>
      </c>
      <c r="W31" s="1884" t="s">
        <v>4586</v>
      </c>
      <c r="X31" s="1900" t="s">
        <v>4587</v>
      </c>
      <c r="Y31" s="1885" t="s">
        <v>4588</v>
      </c>
      <c r="Z31" s="232" t="s">
        <v>4589</v>
      </c>
      <c r="AA31" s="232" t="s">
        <v>4590</v>
      </c>
      <c r="AB31" s="232" t="s">
        <v>4591</v>
      </c>
      <c r="AC31" s="232" t="s">
        <v>4592</v>
      </c>
      <c r="AD31" s="232" t="s">
        <v>4593</v>
      </c>
      <c r="AE31" s="29" t="s">
        <v>4594</v>
      </c>
      <c r="AF31" s="1887" t="s">
        <v>4595</v>
      </c>
      <c r="AG31" s="232" t="s">
        <v>4596</v>
      </c>
      <c r="AH31" s="29" t="s">
        <v>4597</v>
      </c>
      <c r="AI31" s="1918" t="s">
        <v>4598</v>
      </c>
      <c r="AJ31" s="1864" t="e">
        <f t="shared" si="8"/>
        <v>#VALUE!</v>
      </c>
      <c r="CB31" s="1865" t="e">
        <f t="shared" si="0"/>
        <v>#VALUE!</v>
      </c>
      <c r="CC31" s="1865" t="str">
        <f>IF(AND($D31&lt;&gt;0,X31=""),"* No olvide ingresar la variable "&amp;X$9&amp;""&amp;". Digite CERO si no tiene. ",IF(X31&gt;$D31,"* La variable Control con pareja, familiar u otro no debe ser mayor al Total. ",""))</f>
        <v xml:space="preserve">* La variable Control con pareja, familiar u otro no debe ser mayor al Total. </v>
      </c>
      <c r="CD31" s="1866"/>
      <c r="CE31" s="1865" t="str">
        <f>IF(AND($D31&lt;&gt;0,Z31=""),"* No olvide ingresar la variable "&amp;Z$9&amp;""&amp;". Digite CERO si no tiene.  ",IF(Z31&gt;$D31,"* La variable Espacios Amigables/ Adolescentes no debe ser mayor al Total. ",""))</f>
        <v xml:space="preserve">* La variable Espacios Amigables/ Adolescentes no debe ser mayor al Total. </v>
      </c>
      <c r="CF31" s="1865" t="str">
        <f>IF(AND($D31&lt;&gt;0,AA31=""),"* No olvide ingresar la variable "&amp;AA29&amp;""&amp;". Digite CERO si no tiene.  ",IF(AA31&gt;$D31,"* La variable Niños, Niñas, Adolescentes y Jóvenes SENAME no debe ser mayor al Total. ",""))</f>
        <v xml:space="preserve">* La variable Niños, Niñas, Adolescentes y Jóvenes SENAME no debe ser mayor al Total. </v>
      </c>
      <c r="CG31" s="1865" t="str">
        <f>IF(AND($D31&lt;&gt;0,AB31=""),"* No olvide ingresar la variable "&amp;AB29&amp;""&amp;". Digite CERO si no tiene.  ",IF(AB31&gt;$D31,"* La variable Niños, Niñas, Adolescentes y Jóvenes Mejor Niñez no debe ser mayor al Total. ",""))</f>
        <v xml:space="preserve">* La variable Niños, Niñas, Adolescentes y Jóvenes Mejor Niñez no debe ser mayor al Total. </v>
      </c>
      <c r="CH31" s="1865" t="str">
        <f t="shared" si="4"/>
        <v xml:space="preserve">* La variable de Pueblos Originarios no debe ser mayor al Total. </v>
      </c>
      <c r="CI31" s="1865" t="str">
        <f t="shared" si="5"/>
        <v xml:space="preserve">* La variable Migrantes no debe ser mayor al Total. </v>
      </c>
      <c r="CJ31" s="1865" t="str">
        <f t="shared" si="6"/>
        <v xml:space="preserve">* La variable Personas con discapacidad no debe ser mayor al Total. </v>
      </c>
      <c r="CK31" s="1865" t="str">
        <f t="shared" si="9"/>
        <v xml:space="preserve">* La variable Trans masculino no debe ser mayor al Total Mujeres. </v>
      </c>
      <c r="CL31" s="1865" t="str">
        <f t="shared" si="10"/>
        <v xml:space="preserve">* La variable Trans Femenino no debe ser mayor al Total Hombres </v>
      </c>
      <c r="CM31" s="1865" t="str">
        <f t="shared" si="11"/>
        <v xml:space="preserve">* La variable No binarie no debe ser mayor al Total. </v>
      </c>
      <c r="CN31" s="1865" t="str">
        <f>IF(AND($D31&lt;&gt;0,AI31=""),"* No olvide ingresar la variable "&amp;AI$9&amp;""&amp;". Digite CERO si no tiene.  ",IF(AI31&gt;$D31,"* La variable Adolescente acude a control MAC con pareja no debe ser mayor al Total. ",""))</f>
        <v xml:space="preserve">* La variable Adolescente acude a control MAC con pareja no debe ser mayor al Total. </v>
      </c>
      <c r="CV31" s="1867" t="e">
        <f t="shared" si="12"/>
        <v>#VALUE!</v>
      </c>
      <c r="CW31" s="1867">
        <f t="shared" ref="CW31:CW32" si="33">IF(AND(D31&gt;0,X31=""),1,IF(X31&gt;SUM(D31),1,0))</f>
        <v>1</v>
      </c>
      <c r="CX31" s="1868"/>
      <c r="CY31" s="1867">
        <f t="shared" ref="CY31:CY32" si="34">IF(AND($D31&lt;&gt;0,Z31=""),1,IF(Z31&gt;$D31,1,0))</f>
        <v>1</v>
      </c>
      <c r="CZ31" s="1867">
        <f t="shared" ref="CZ31:CZ32" si="35">IF(AND($D31&lt;&gt;0,AA31=""),1,IF(AA31&gt;D31,1,0))</f>
        <v>1</v>
      </c>
      <c r="DA31" s="1867">
        <f t="shared" ref="DA31:DA32" si="36">IF(AND($D31&lt;&gt;0,AB31=""),1,IF(AB31&gt;D31,1,0))</f>
        <v>1</v>
      </c>
      <c r="DB31" s="1867">
        <f t="shared" si="28"/>
        <v>1</v>
      </c>
      <c r="DC31" s="1867">
        <f t="shared" si="29"/>
        <v>1</v>
      </c>
      <c r="DD31" s="1867">
        <f t="shared" si="30"/>
        <v>1</v>
      </c>
      <c r="DE31" s="1867">
        <f t="shared" si="31"/>
        <v>1</v>
      </c>
      <c r="DF31" s="1867">
        <f t="shared" ref="DF31:DF32" si="37">IF(AND($V31&lt;&gt;0,AG31=""),1,IF(AG31&gt;$V31,1,0))</f>
        <v>1</v>
      </c>
      <c r="DG31" s="1867">
        <f>IF(AND($D31&lt;&gt;0,AH31=""),1,IF(AH31&gt;$D31,1,0))</f>
        <v>1</v>
      </c>
      <c r="DH31" s="1867">
        <f>IF(AND($D31&lt;&gt;0,AI31=""),1,IF(AI31&gt;$D31,1,0))</f>
        <v>1</v>
      </c>
    </row>
    <row r="32" spans="1:112" ht="15" customHeight="1" x14ac:dyDescent="0.25">
      <c r="A32" s="5601" t="s">
        <v>4450</v>
      </c>
      <c r="B32" s="6059"/>
      <c r="C32" s="517" t="s">
        <v>65</v>
      </c>
      <c r="D32" s="517" t="s">
        <v>4567</v>
      </c>
      <c r="E32" s="1871" t="s">
        <v>4568</v>
      </c>
      <c r="F32" s="1872" t="s">
        <v>4569</v>
      </c>
      <c r="G32" s="1873" t="s">
        <v>4570</v>
      </c>
      <c r="H32" s="1873" t="s">
        <v>4571</v>
      </c>
      <c r="I32" s="1873" t="s">
        <v>4572</v>
      </c>
      <c r="J32" s="1873" t="s">
        <v>4573</v>
      </c>
      <c r="K32" s="1873" t="s">
        <v>4574</v>
      </c>
      <c r="L32" s="1873" t="s">
        <v>4575</v>
      </c>
      <c r="M32" s="1873" t="s">
        <v>4576</v>
      </c>
      <c r="N32" s="1873" t="s">
        <v>4577</v>
      </c>
      <c r="O32" s="1880" t="s">
        <v>4578</v>
      </c>
      <c r="P32" s="1880" t="s">
        <v>4579</v>
      </c>
      <c r="Q32" s="1880" t="s">
        <v>4580</v>
      </c>
      <c r="R32" s="1873" t="s">
        <v>4581</v>
      </c>
      <c r="S32" s="1873" t="s">
        <v>4582</v>
      </c>
      <c r="T32" s="1873" t="s">
        <v>4583</v>
      </c>
      <c r="U32" s="1919" t="s">
        <v>4584</v>
      </c>
      <c r="V32" s="1877" t="s">
        <v>4585</v>
      </c>
      <c r="W32" s="1878" t="s">
        <v>4586</v>
      </c>
      <c r="X32" s="1879" t="s">
        <v>4587</v>
      </c>
      <c r="Y32" s="1875" t="s">
        <v>4588</v>
      </c>
      <c r="Z32" s="1873" t="s">
        <v>4589</v>
      </c>
      <c r="AA32" s="1873" t="s">
        <v>4590</v>
      </c>
      <c r="AB32" s="1873" t="s">
        <v>4591</v>
      </c>
      <c r="AC32" s="1873" t="s">
        <v>4592</v>
      </c>
      <c r="AD32" s="1873" t="s">
        <v>4593</v>
      </c>
      <c r="AE32" s="854" t="s">
        <v>4594</v>
      </c>
      <c r="AF32" s="853" t="s">
        <v>4595</v>
      </c>
      <c r="AG32" s="1873" t="s">
        <v>4596</v>
      </c>
      <c r="AH32" s="854" t="s">
        <v>4597</v>
      </c>
      <c r="AI32" s="1920" t="s">
        <v>4598</v>
      </c>
      <c r="AJ32" s="1864" t="e">
        <f t="shared" si="8"/>
        <v>#VALUE!</v>
      </c>
      <c r="CB32" s="1865" t="e">
        <f t="shared" si="0"/>
        <v>#VALUE!</v>
      </c>
      <c r="CC32" s="1865" t="str">
        <f>IF(AND($D32&lt;&gt;0,X32=""),"* No olvide ingresar la variable "&amp;X$9&amp;""&amp;". Digite CERO si no tiene.  ",IF(X32&gt;$D32,"* La variable Control con pareja, familiar u otro no debe ser mayor al Total. ",""))</f>
        <v xml:space="preserve">* La variable Control con pareja, familiar u otro no debe ser mayor al Total. </v>
      </c>
      <c r="CD32" s="1866"/>
      <c r="CE32" s="1865" t="str">
        <f>IF(AND($D32&lt;&gt;0,Z32=""),"* No olvide ingresar la variable "&amp;Z$9&amp;""&amp;". Digite CERO si no tiene.  ",IF(Z32&gt;$D32,"* La variable Espacios Amigables/ Adolescentes no debe ser mayor al Total. ",""))</f>
        <v xml:space="preserve">* La variable Espacios Amigables/ Adolescentes no debe ser mayor al Total. </v>
      </c>
      <c r="CF32" s="1865" t="str">
        <f>IF(AND($D32&lt;&gt;0,AA32=""),"* No olvide ingresar la variable "&amp;AA30&amp;""&amp;". Digite CERO si no tiene.  ",IF(AA32&gt;$D32,"* La variable Niños, Niñas, Adolescentes y Jóvenes SENAME no debe ser mayor al Total. ",""))</f>
        <v xml:space="preserve">* La variable Niños, Niñas, Adolescentes y Jóvenes SENAME no debe ser mayor al Total. </v>
      </c>
      <c r="CG32" s="1865" t="str">
        <f>IF(AND($D32&lt;&gt;0,AB32=""),"* No olvide ingresar la variable "&amp;AB30&amp;""&amp;". Digite CERO si no tiene.  ",IF(AB32&gt;$D32,"* La variable Niños, Niñas, Adolescentes y Jóvenes Mejor Niñez no debe ser mayor al Total. ",""))</f>
        <v xml:space="preserve">* La variable Niños, Niñas, Adolescentes y Jóvenes Mejor Niñez no debe ser mayor al Total. </v>
      </c>
      <c r="CH32" s="1865" t="str">
        <f t="shared" si="4"/>
        <v xml:space="preserve">* La variable de Pueblos Originarios no debe ser mayor al Total. </v>
      </c>
      <c r="CI32" s="1865" t="str">
        <f t="shared" si="5"/>
        <v xml:space="preserve">* La variable Migrantes no debe ser mayor al Total. </v>
      </c>
      <c r="CJ32" s="1865" t="str">
        <f t="shared" si="6"/>
        <v xml:space="preserve">* La variable Personas con discapacidad no debe ser mayor al Total. </v>
      </c>
      <c r="CK32" s="1865" t="str">
        <f t="shared" si="9"/>
        <v xml:space="preserve">* La variable Trans masculino no debe ser mayor al Total Mujeres. </v>
      </c>
      <c r="CL32" s="1865" t="str">
        <f t="shared" si="10"/>
        <v xml:space="preserve">* La variable Trans Femenino no debe ser mayor al Total Hombres </v>
      </c>
      <c r="CM32" s="1865" t="str">
        <f t="shared" si="11"/>
        <v xml:space="preserve">* La variable No binarie no debe ser mayor al Total. </v>
      </c>
      <c r="CN32" s="1865" t="str">
        <f>IF(AND($D32&lt;&gt;0,AI32=""),"* No olvide ingresar la variable "&amp;AI$9&amp;""&amp;". Digite CERO si no tiene.  ",IF(AI32&gt;$D32,"* La variable Adolescente acude a control MAC con pareja no debe ser mayor al Total. ",""))</f>
        <v xml:space="preserve">* La variable Adolescente acude a control MAC con pareja no debe ser mayor al Total. </v>
      </c>
      <c r="CV32" s="1867" t="e">
        <f t="shared" si="12"/>
        <v>#VALUE!</v>
      </c>
      <c r="CW32" s="1867">
        <f t="shared" si="33"/>
        <v>1</v>
      </c>
      <c r="CX32" s="1868"/>
      <c r="CY32" s="1867">
        <f t="shared" si="34"/>
        <v>1</v>
      </c>
      <c r="CZ32" s="1867">
        <f t="shared" si="35"/>
        <v>1</v>
      </c>
      <c r="DA32" s="1867">
        <f t="shared" si="36"/>
        <v>1</v>
      </c>
      <c r="DB32" s="1867">
        <f t="shared" si="28"/>
        <v>1</v>
      </c>
      <c r="DC32" s="1867">
        <f t="shared" si="29"/>
        <v>1</v>
      </c>
      <c r="DD32" s="1867">
        <f t="shared" si="30"/>
        <v>1</v>
      </c>
      <c r="DE32" s="1867">
        <f t="shared" si="31"/>
        <v>1</v>
      </c>
      <c r="DF32" s="1867">
        <f t="shared" si="37"/>
        <v>1</v>
      </c>
      <c r="DG32" s="1867">
        <f t="shared" si="32"/>
        <v>1</v>
      </c>
      <c r="DH32" s="1867">
        <f t="shared" ref="DH32" si="38">IF(AND($D32&lt;&gt;0,AI32=""),1,IF(AI32&gt;$D32,1,0))</f>
        <v>1</v>
      </c>
    </row>
    <row r="33" spans="1:106" ht="18" customHeight="1" x14ac:dyDescent="0.25">
      <c r="B33" s="6013" t="s">
        <v>76</v>
      </c>
      <c r="C33" s="6013"/>
      <c r="D33" s="6013"/>
      <c r="E33" s="6013"/>
      <c r="F33" s="6013"/>
      <c r="G33" s="6013"/>
      <c r="H33" s="6013"/>
      <c r="I33" s="6013"/>
      <c r="J33" s="6013"/>
      <c r="K33" s="6013"/>
      <c r="L33" s="6013"/>
      <c r="M33" s="6013"/>
      <c r="N33" s="6013"/>
      <c r="O33" s="6013"/>
      <c r="P33" s="6013"/>
      <c r="Q33" s="6013"/>
      <c r="R33" s="6013"/>
      <c r="S33" s="6013"/>
      <c r="T33" s="6013"/>
      <c r="U33" s="6013"/>
      <c r="V33" s="6013"/>
      <c r="W33" s="6013"/>
      <c r="X33" s="6013"/>
      <c r="Y33" s="6013"/>
      <c r="Z33" s="6013"/>
      <c r="AA33" s="6013"/>
      <c r="AB33" s="6013"/>
      <c r="AC33" s="6013"/>
      <c r="AD33" s="6013"/>
      <c r="AE33" s="6013"/>
      <c r="AF33" s="6013"/>
      <c r="AG33" s="6013"/>
      <c r="AH33" s="6013"/>
      <c r="AI33" s="6013"/>
      <c r="AJ33" s="1921"/>
      <c r="AK33" s="1921"/>
      <c r="AL33" s="1921"/>
      <c r="AM33" s="1921"/>
      <c r="AN33" s="1921"/>
      <c r="AO33" s="1921"/>
    </row>
    <row r="34" spans="1:106" ht="26.45" customHeight="1" x14ac:dyDescent="0.25">
      <c r="B34" s="6038" t="s">
        <v>26</v>
      </c>
      <c r="C34" s="6038" t="s">
        <v>27</v>
      </c>
      <c r="D34" s="6070" t="s">
        <v>77</v>
      </c>
      <c r="E34" s="6077"/>
      <c r="F34" s="6030"/>
      <c r="G34" s="6068" t="s">
        <v>29</v>
      </c>
      <c r="H34" s="6075"/>
      <c r="I34" s="6075"/>
      <c r="J34" s="6075"/>
      <c r="K34" s="6075"/>
      <c r="L34" s="6075"/>
      <c r="M34" s="6075"/>
      <c r="N34" s="6075"/>
      <c r="O34" s="6075"/>
      <c r="P34" s="6075"/>
      <c r="Q34" s="6075"/>
      <c r="R34" s="6075"/>
      <c r="S34" s="6075"/>
      <c r="T34" s="6075"/>
      <c r="U34" s="6075"/>
      <c r="V34" s="6075"/>
      <c r="W34" s="6075"/>
      <c r="X34" s="6075"/>
      <c r="Y34" s="6075"/>
      <c r="Z34" s="6075"/>
      <c r="AA34" s="6075"/>
      <c r="AB34" s="6075"/>
      <c r="AC34" s="6075"/>
      <c r="AD34" s="6075"/>
      <c r="AE34" s="6075"/>
      <c r="AF34" s="6075"/>
      <c r="AG34" s="6075"/>
      <c r="AH34" s="6075"/>
      <c r="AI34" s="6076"/>
      <c r="AJ34" s="6078" t="s">
        <v>78</v>
      </c>
      <c r="AK34" s="6079"/>
      <c r="AL34" s="6080" t="s">
        <v>34</v>
      </c>
      <c r="AM34" s="6082" t="s">
        <v>35</v>
      </c>
      <c r="AN34" s="6082" t="s">
        <v>36</v>
      </c>
      <c r="AO34" s="6072" t="s">
        <v>37</v>
      </c>
    </row>
    <row r="35" spans="1:106" ht="31.5" x14ac:dyDescent="0.25">
      <c r="B35" s="6040"/>
      <c r="C35" s="6040"/>
      <c r="D35" s="1761" t="s">
        <v>79</v>
      </c>
      <c r="E35" s="1922" t="s">
        <v>58</v>
      </c>
      <c r="F35" s="1850" t="s">
        <v>59</v>
      </c>
      <c r="G35" s="1923" t="s">
        <v>80</v>
      </c>
      <c r="H35" s="1844" t="s">
        <v>81</v>
      </c>
      <c r="I35" s="1844" t="s">
        <v>82</v>
      </c>
      <c r="J35" s="1844" t="s">
        <v>83</v>
      </c>
      <c r="K35" s="1924" t="s">
        <v>84</v>
      </c>
      <c r="L35" s="1844" t="s">
        <v>85</v>
      </c>
      <c r="M35" s="1844" t="s">
        <v>86</v>
      </c>
      <c r="N35" s="1844" t="s">
        <v>87</v>
      </c>
      <c r="O35" s="1844" t="s">
        <v>88</v>
      </c>
      <c r="P35" s="1844" t="s">
        <v>89</v>
      </c>
      <c r="Q35" s="1844" t="s">
        <v>90</v>
      </c>
      <c r="R35" s="1844" t="s">
        <v>91</v>
      </c>
      <c r="S35" s="1844" t="s">
        <v>92</v>
      </c>
      <c r="T35" s="1844" t="s">
        <v>93</v>
      </c>
      <c r="U35" s="1845" t="s">
        <v>94</v>
      </c>
      <c r="V35" s="1845" t="s">
        <v>44</v>
      </c>
      <c r="W35" s="1845" t="s">
        <v>45</v>
      </c>
      <c r="X35" s="1845" t="s">
        <v>46</v>
      </c>
      <c r="Y35" s="1845" t="s">
        <v>47</v>
      </c>
      <c r="Z35" s="1845" t="s">
        <v>48</v>
      </c>
      <c r="AA35" s="1845" t="s">
        <v>49</v>
      </c>
      <c r="AB35" s="1845" t="s">
        <v>50</v>
      </c>
      <c r="AC35" s="1845" t="s">
        <v>51</v>
      </c>
      <c r="AD35" s="1845" t="s">
        <v>52</v>
      </c>
      <c r="AE35" s="1845" t="s">
        <v>53</v>
      </c>
      <c r="AF35" s="1845" t="s">
        <v>54</v>
      </c>
      <c r="AG35" s="1845" t="s">
        <v>55</v>
      </c>
      <c r="AH35" s="1845" t="s">
        <v>56</v>
      </c>
      <c r="AI35" s="1846" t="s">
        <v>57</v>
      </c>
      <c r="AJ35" s="1925" t="s">
        <v>95</v>
      </c>
      <c r="AK35" s="1926" t="s">
        <v>96</v>
      </c>
      <c r="AL35" s="6081"/>
      <c r="AM35" s="6083"/>
      <c r="AN35" s="6083"/>
      <c r="AO35" s="6073"/>
    </row>
    <row r="36" spans="1:106" ht="15" customHeight="1" x14ac:dyDescent="0.25">
      <c r="A36" s="5602" t="s">
        <v>4451</v>
      </c>
      <c r="B36" s="6057" t="s">
        <v>97</v>
      </c>
      <c r="C36" s="1851" t="s">
        <v>64</v>
      </c>
      <c r="D36" s="1851" t="s">
        <v>4567</v>
      </c>
      <c r="E36" s="1928" t="s">
        <v>4568</v>
      </c>
      <c r="F36" s="1929" t="s">
        <v>4569</v>
      </c>
      <c r="G36" s="1930" t="s">
        <v>4570</v>
      </c>
      <c r="H36" s="1862" t="s">
        <v>4571</v>
      </c>
      <c r="I36" s="1862" t="s">
        <v>4572</v>
      </c>
      <c r="J36" s="1862" t="s">
        <v>4573</v>
      </c>
      <c r="K36" s="1931" t="s">
        <v>4574</v>
      </c>
      <c r="L36" s="1931" t="s">
        <v>4575</v>
      </c>
      <c r="M36" s="1862" t="s">
        <v>4576</v>
      </c>
      <c r="N36" s="1862" t="s">
        <v>4577</v>
      </c>
      <c r="O36" s="1932" t="s">
        <v>4578</v>
      </c>
      <c r="P36" s="1932" t="s">
        <v>4579</v>
      </c>
      <c r="Q36" s="1933" t="s">
        <v>4580</v>
      </c>
      <c r="R36" s="1862" t="s">
        <v>4581</v>
      </c>
      <c r="S36" s="1862" t="s">
        <v>4582</v>
      </c>
      <c r="T36" s="1862" t="s">
        <v>4583</v>
      </c>
      <c r="U36" s="1931" t="s">
        <v>4584</v>
      </c>
      <c r="V36" s="1931" t="s">
        <v>4585</v>
      </c>
      <c r="W36" s="1862" t="s">
        <v>4586</v>
      </c>
      <c r="X36" s="1862" t="s">
        <v>4587</v>
      </c>
      <c r="Y36" s="1931" t="s">
        <v>4588</v>
      </c>
      <c r="Z36" s="1931" t="s">
        <v>4589</v>
      </c>
      <c r="AA36" s="1933" t="s">
        <v>4590</v>
      </c>
      <c r="AB36" s="1862" t="s">
        <v>4591</v>
      </c>
      <c r="AC36" s="1862" t="s">
        <v>4592</v>
      </c>
      <c r="AD36" s="1862" t="s">
        <v>4593</v>
      </c>
      <c r="AE36" s="1931" t="s">
        <v>4594</v>
      </c>
      <c r="AF36" s="1931" t="s">
        <v>4595</v>
      </c>
      <c r="AG36" s="1862" t="s">
        <v>4596</v>
      </c>
      <c r="AH36" s="1862" t="s">
        <v>4597</v>
      </c>
      <c r="AI36" s="1934" t="s">
        <v>4598</v>
      </c>
      <c r="AJ36" s="1930" t="s">
        <v>4599</v>
      </c>
      <c r="AK36" s="1935" t="s">
        <v>4600</v>
      </c>
      <c r="AL36" s="1930" t="s">
        <v>4601</v>
      </c>
      <c r="AM36" s="1862" t="s">
        <v>4602</v>
      </c>
      <c r="AN36" s="1862" t="s">
        <v>4603</v>
      </c>
      <c r="AO36" s="1935" t="s">
        <v>4604</v>
      </c>
      <c r="AP36" s="1864" t="e">
        <f>CB36&amp;CC36&amp;CD36&amp;CE36&amp;CF36&amp;CG36&amp;CH36</f>
        <v>#VALUE!</v>
      </c>
      <c r="CB36" s="1865" t="e">
        <f>IF((E36+F36)&lt;&gt;$D36," * La suma de la variable Sexo (Hombres + Mujeres) no puede ser distinto al Total","")</f>
        <v>#VALUE!</v>
      </c>
      <c r="CC36" s="1865" t="str">
        <f>IF(AND(SUM(G36:N36)&gt;0,AJ36="")," * No olvide digitar la variable "&amp;AJ$34&amp;""&amp;" de menor de 1 año. Digite CERO si no tiene. ",IF(AJ36&gt;SUM(G36:N36),"*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6" s="1865" t="str">
        <f>IF(AND(SUM(O36:Q36)&gt;0,AK36="")," * No olvide digitar la variable "&amp;AJ$34&amp;""&amp;" de 1 año a 3 años 11 meses 29 días. Digite CERO si no tiene. ",IF(AK36&gt;SUM(O36:Q36),"*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6" s="1865" t="str">
        <f>IF(AND($D36&lt;&gt;0,AL36=""),"* No olvide ingresar la variable "&amp;AL$34&amp;""&amp;". Digite CERO si no tiene.  ",IF(AL36&gt;$D36,"* La variable Niños, Niñas, Adolescentes y Jóvenes SENAME no debe ser mayor al Total Ambos Sexos. ",""))</f>
        <v xml:space="preserve">* La variable Niños, Niñas, Adolescentes y Jóvenes SENAME no debe ser mayor al Total Ambos Sexos. </v>
      </c>
      <c r="CF36" s="1865" t="str">
        <f>IF(AND($D36&lt;&gt;0,AM36=""),"* No olvide ingresar la variable "&amp;AM$34&amp;""&amp;". Digite CERO si no tiene.  ",IF(AM36&gt;$D36,"* La variable de Niños, Niñas, Adolescentes y Jóvenes Mejor Niñez no debe ser mayor al Total Ambos Sexos. ",""))</f>
        <v xml:space="preserve">* La variable de Niños, Niñas, Adolescentes y Jóvenes Mejor Niñez no debe ser mayor al Total Ambos Sexos. </v>
      </c>
      <c r="CG36" s="1865" t="str">
        <f>IF(AND($D36&lt;&gt;0,AN36=""),"* No olvide ingresar la variable "&amp;AN$34&amp;""&amp;". Digite CERO si no tiene.  ",IF(AN36&gt;$D36,"* La variable Pueblos Originarios no debe ser mayor al Total Ambos Sexos. ",""))</f>
        <v xml:space="preserve">* La variable Pueblos Originarios no debe ser mayor al Total Ambos Sexos. </v>
      </c>
      <c r="CH36" s="1865" t="str">
        <f>IF(AND($D36&lt;&gt;0,AO36=""),"* No olvide ingresar la variable "&amp;AO$34&amp;""&amp;". Digite CERO si no tiene.  ",IF(AO36&gt;$D36,"* La variable Migrantes no debe ser mayor al Total Ambos Sexos. ",""))</f>
        <v xml:space="preserve">* La variable Migrantes no debe ser mayor al Total Ambos Sexos. </v>
      </c>
      <c r="CI36" s="1936"/>
      <c r="CJ36" s="1937"/>
      <c r="CV36" s="1867">
        <f>IF(D36&lt;&gt;SUM(E36:F36),1,0)</f>
        <v>1</v>
      </c>
      <c r="CW36" s="1867">
        <f>IF(AND(SUM(G36:N36)&gt;0,AJ36=""),1,IF(AJ36&gt;SUM(G36:N36),1,0))</f>
        <v>1</v>
      </c>
      <c r="CX36" s="1867">
        <f>IF(AND(SUM(O36:Q36)&gt;0,AK36=""),1,IF(AK36&gt;SUM(O36:Q36),1,0))</f>
        <v>1</v>
      </c>
      <c r="CY36" s="1867">
        <f t="shared" ref="CY36:DB39" si="39">IF(AND($D36&lt;&gt;0,AL36=""),1,IF(AL36&gt;$D36,1,0))</f>
        <v>1</v>
      </c>
      <c r="CZ36" s="1867">
        <f t="shared" si="39"/>
        <v>1</v>
      </c>
      <c r="DA36" s="1867">
        <f t="shared" si="39"/>
        <v>1</v>
      </c>
      <c r="DB36" s="1867">
        <f t="shared" si="39"/>
        <v>1</v>
      </c>
    </row>
    <row r="37" spans="1:106" ht="15" customHeight="1" x14ac:dyDescent="0.25">
      <c r="A37" s="5601" t="s">
        <v>4452</v>
      </c>
      <c r="B37" s="6058"/>
      <c r="C37" s="357" t="s">
        <v>98</v>
      </c>
      <c r="D37" s="357" t="s">
        <v>4567</v>
      </c>
      <c r="E37" s="1928" t="s">
        <v>4568</v>
      </c>
      <c r="F37" s="1929" t="s">
        <v>4569</v>
      </c>
      <c r="G37" s="328" t="s">
        <v>4570</v>
      </c>
      <c r="H37" s="1938" t="s">
        <v>4571</v>
      </c>
      <c r="I37" s="1938" t="s">
        <v>4572</v>
      </c>
      <c r="J37" s="1939" t="s">
        <v>4573</v>
      </c>
      <c r="K37" s="1938" t="s">
        <v>4574</v>
      </c>
      <c r="L37" s="1938" t="s">
        <v>4575</v>
      </c>
      <c r="M37" s="1939" t="s">
        <v>4576</v>
      </c>
      <c r="N37" s="1938" t="s">
        <v>4577</v>
      </c>
      <c r="O37" s="1938" t="s">
        <v>4578</v>
      </c>
      <c r="P37" s="1939" t="s">
        <v>4579</v>
      </c>
      <c r="Q37" s="1938" t="s">
        <v>4580</v>
      </c>
      <c r="R37" s="1938" t="s">
        <v>4581</v>
      </c>
      <c r="S37" s="1939" t="s">
        <v>4582</v>
      </c>
      <c r="T37" s="1938" t="s">
        <v>4583</v>
      </c>
      <c r="U37" s="1938" t="s">
        <v>4584</v>
      </c>
      <c r="V37" s="1939" t="s">
        <v>4585</v>
      </c>
      <c r="W37" s="1938" t="s">
        <v>4586</v>
      </c>
      <c r="X37" s="1938" t="s">
        <v>4587</v>
      </c>
      <c r="Y37" s="1939" t="s">
        <v>4588</v>
      </c>
      <c r="Z37" s="1938" t="s">
        <v>4589</v>
      </c>
      <c r="AA37" s="1938" t="s">
        <v>4590</v>
      </c>
      <c r="AB37" s="1939" t="s">
        <v>4591</v>
      </c>
      <c r="AC37" s="1938" t="s">
        <v>4592</v>
      </c>
      <c r="AD37" s="1938" t="s">
        <v>4593</v>
      </c>
      <c r="AE37" s="1939" t="s">
        <v>4594</v>
      </c>
      <c r="AF37" s="1938" t="s">
        <v>4595</v>
      </c>
      <c r="AG37" s="1938" t="s">
        <v>4596</v>
      </c>
      <c r="AH37" s="1939" t="s">
        <v>4597</v>
      </c>
      <c r="AI37" s="1940" t="s">
        <v>4598</v>
      </c>
      <c r="AJ37" s="328" t="s">
        <v>4599</v>
      </c>
      <c r="AK37" s="1941" t="s">
        <v>4600</v>
      </c>
      <c r="AL37" s="1942" t="s">
        <v>4601</v>
      </c>
      <c r="AM37" s="1938" t="s">
        <v>4602</v>
      </c>
      <c r="AN37" s="1938" t="s">
        <v>4603</v>
      </c>
      <c r="AO37" s="1941" t="s">
        <v>4604</v>
      </c>
      <c r="AP37" s="1864" t="e">
        <f t="shared" ref="AP37:AP39" si="40">CB37&amp;CC37&amp;CD37&amp;CE37&amp;CF37&amp;CG37&amp;CH37</f>
        <v>#VALUE!</v>
      </c>
      <c r="CB37" s="1865" t="e">
        <f t="shared" ref="CB37:CB38" si="41">IF((E37+F37)&lt;&gt;$D37," * La suma de la variable Sexo (Hombres + Mujeres) no puede ser distinto al Total","")</f>
        <v>#VALUE!</v>
      </c>
      <c r="CC37" s="1865" t="str">
        <f>IF(AND(SUM(G37:N37)&gt;0,AJ37="")," * No olvide digitar la variable "&amp;AJ$34&amp;""&amp;" de menor de 1 año. Digite CERO si no tiene. ",IF(AJ37&gt;SUM(G37:N37),"*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7" s="1865" t="str">
        <f>IF(AND(SUM(O37:Q37)&gt;0,AK37="")," * No olvide digitar la variable "&amp;AJ$34&amp;""&amp;" de 1 año a 3 años 11 meses 29 días. Digite CERO si no tiene. ",IF(AK37&gt;SUM(O37:Q37),"*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7" s="1865" t="str">
        <f t="shared" ref="CE37:CE39" si="42">IF(AND($D37&lt;&gt;0,AL37=""),"* No olvide ingresar la variable "&amp;AL$34&amp;""&amp;". Digite CERO si no tiene.  ",IF(AL37&gt;$D37,"* La variable Niños, Niñas, Adolescentes y Jóvenes SENAME no debe ser mayor al Total Ambos Sexos. ",""))</f>
        <v xml:space="preserve">* La variable Niños, Niñas, Adolescentes y Jóvenes SENAME no debe ser mayor al Total Ambos Sexos. </v>
      </c>
      <c r="CF37" s="1865" t="str">
        <f t="shared" ref="CF37:CF39" si="43">IF(AND($D37&lt;&gt;0,AM37=""),"* No olvide ingresar la variable "&amp;AM$34&amp;""&amp;". Digite CERO si no tiene.  ",IF(AM37&gt;$D37,"* La variable de Niños, Niñas, Adolescentes y Jóvenes Mejor Niñez no debe ser mayor al Total Ambos Sexos. ",""))</f>
        <v xml:space="preserve">* La variable de Niños, Niñas, Adolescentes y Jóvenes Mejor Niñez no debe ser mayor al Total Ambos Sexos. </v>
      </c>
      <c r="CG37" s="1865" t="str">
        <f t="shared" ref="CG37:CG39" si="44">IF(AND($D37&lt;&gt;0,AN37=""),"* No olvide ingresar la variable "&amp;AN$34&amp;""&amp;". Digite CERO si no tiene.  ",IF(AN37&gt;$D37,"* La variable Pueblos Originarios no debe ser mayor al Total Ambos Sexos. ",""))</f>
        <v xml:space="preserve">* La variable Pueblos Originarios no debe ser mayor al Total Ambos Sexos. </v>
      </c>
      <c r="CH37" s="1865" t="str">
        <f t="shared" ref="CH37:CH39" si="45">IF(AND($D37&lt;&gt;0,AO37=""),"* No olvide ingresar la variable "&amp;AO$34&amp;""&amp;". Digite CERO si no tiene.  ",IF(AO37&gt;$D37,"* La variable Migrantes no debe ser mayor al Total Ambos Sexos. ",""))</f>
        <v xml:space="preserve">* La variable Migrantes no debe ser mayor al Total Ambos Sexos. </v>
      </c>
      <c r="CI37" s="1937"/>
      <c r="CV37" s="1867">
        <f t="shared" ref="CV37:CV38" si="46">IF(D37&lt;&gt;SUM(E37:F37),1,0)</f>
        <v>1</v>
      </c>
      <c r="CW37" s="1867">
        <f>IF(AND(SUM(G37:N37)&gt;0,AJ37=""),1,IF(AJ37&gt;SUM(G37:N37),1,0))</f>
        <v>1</v>
      </c>
      <c r="CX37" s="1867">
        <f>IF(AND(SUM(O37:Q37)&gt;0,AK37=""),1,IF(AK37&gt;SUM(O37:Q37),1,0))</f>
        <v>1</v>
      </c>
      <c r="CY37" s="1867">
        <f t="shared" si="39"/>
        <v>1</v>
      </c>
      <c r="CZ37" s="1867">
        <f t="shared" si="39"/>
        <v>1</v>
      </c>
      <c r="DA37" s="1867">
        <f t="shared" si="39"/>
        <v>1</v>
      </c>
      <c r="DB37" s="1867">
        <f t="shared" si="39"/>
        <v>1</v>
      </c>
    </row>
    <row r="38" spans="1:106" ht="15" customHeight="1" x14ac:dyDescent="0.25">
      <c r="A38" s="5601" t="s">
        <v>4453</v>
      </c>
      <c r="B38" s="6058"/>
      <c r="C38" s="357" t="s">
        <v>65</v>
      </c>
      <c r="D38" s="193" t="s">
        <v>4567</v>
      </c>
      <c r="E38" s="1928" t="s">
        <v>4568</v>
      </c>
      <c r="F38" s="1929" t="s">
        <v>4569</v>
      </c>
      <c r="G38" s="328" t="s">
        <v>4570</v>
      </c>
      <c r="H38" s="1943" t="s">
        <v>4571</v>
      </c>
      <c r="I38" s="1943" t="s">
        <v>4572</v>
      </c>
      <c r="J38" s="1943" t="s">
        <v>4573</v>
      </c>
      <c r="K38" s="1943" t="s">
        <v>4574</v>
      </c>
      <c r="L38" s="1943" t="s">
        <v>4575</v>
      </c>
      <c r="M38" s="1943" t="s">
        <v>4576</v>
      </c>
      <c r="N38" s="1943" t="s">
        <v>4577</v>
      </c>
      <c r="O38" s="1943" t="s">
        <v>4578</v>
      </c>
      <c r="P38" s="1943" t="s">
        <v>4579</v>
      </c>
      <c r="Q38" s="1943" t="s">
        <v>4580</v>
      </c>
      <c r="R38" s="1943" t="s">
        <v>4581</v>
      </c>
      <c r="S38" s="1943" t="s">
        <v>4582</v>
      </c>
      <c r="T38" s="1943" t="s">
        <v>4583</v>
      </c>
      <c r="U38" s="1939" t="s">
        <v>4584</v>
      </c>
      <c r="V38" s="1939" t="s">
        <v>4585</v>
      </c>
      <c r="W38" s="1939" t="s">
        <v>4586</v>
      </c>
      <c r="X38" s="1939" t="s">
        <v>4587</v>
      </c>
      <c r="Y38" s="1939" t="s">
        <v>4588</v>
      </c>
      <c r="Z38" s="1939" t="s">
        <v>4589</v>
      </c>
      <c r="AA38" s="1939" t="s">
        <v>4590</v>
      </c>
      <c r="AB38" s="1939" t="s">
        <v>4591</v>
      </c>
      <c r="AC38" s="1939" t="s">
        <v>4592</v>
      </c>
      <c r="AD38" s="1939" t="s">
        <v>4593</v>
      </c>
      <c r="AE38" s="1939" t="s">
        <v>4594</v>
      </c>
      <c r="AF38" s="1939" t="s">
        <v>4595</v>
      </c>
      <c r="AG38" s="1939" t="s">
        <v>4596</v>
      </c>
      <c r="AH38" s="1939" t="s">
        <v>4597</v>
      </c>
      <c r="AI38" s="331" t="s">
        <v>4598</v>
      </c>
      <c r="AJ38" s="328" t="s">
        <v>4599</v>
      </c>
      <c r="AK38" s="1944" t="s">
        <v>4600</v>
      </c>
      <c r="AL38" s="1942" t="s">
        <v>4601</v>
      </c>
      <c r="AM38" s="1938" t="s">
        <v>4602</v>
      </c>
      <c r="AN38" s="1938" t="s">
        <v>4603</v>
      </c>
      <c r="AO38" s="1941" t="s">
        <v>4604</v>
      </c>
      <c r="AP38" s="1864" t="e">
        <f t="shared" si="40"/>
        <v>#VALUE!</v>
      </c>
      <c r="CB38" s="1865" t="e">
        <f t="shared" si="41"/>
        <v>#VALUE!</v>
      </c>
      <c r="CC38" s="1865" t="str">
        <f>IF(AND(SUM(G38:N38)&gt;0,AJ38="")," * No olvide digitar la variable "&amp;AJ$34&amp;""&amp;" de menor de 1 año. Digite CERO si no tiene. ",IF(AJ38&gt;SUM(G38:N38),"*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8" s="1945"/>
      <c r="CE38" s="1865" t="str">
        <f t="shared" si="42"/>
        <v xml:space="preserve">* La variable Niños, Niñas, Adolescentes y Jóvenes SENAME no debe ser mayor al Total Ambos Sexos. </v>
      </c>
      <c r="CF38" s="1865" t="str">
        <f t="shared" si="43"/>
        <v xml:space="preserve">* La variable de Niños, Niñas, Adolescentes y Jóvenes Mejor Niñez no debe ser mayor al Total Ambos Sexos. </v>
      </c>
      <c r="CG38" s="1865" t="str">
        <f t="shared" si="44"/>
        <v xml:space="preserve">* La variable Pueblos Originarios no debe ser mayor al Total Ambos Sexos. </v>
      </c>
      <c r="CH38" s="1865" t="str">
        <f t="shared" si="45"/>
        <v xml:space="preserve">* La variable Migrantes no debe ser mayor al Total Ambos Sexos. </v>
      </c>
      <c r="CI38" s="1937"/>
      <c r="CV38" s="1867">
        <f t="shared" si="46"/>
        <v>1</v>
      </c>
      <c r="CW38" s="1867">
        <f>IF(AND(SUM(G38)&gt;0,AJ38=""),1,IF(AJ38&gt;SUM(G38),1,0))</f>
        <v>1</v>
      </c>
      <c r="CX38" s="1869"/>
      <c r="CY38" s="1867">
        <f t="shared" si="39"/>
        <v>1</v>
      </c>
      <c r="CZ38" s="1867">
        <f t="shared" si="39"/>
        <v>1</v>
      </c>
      <c r="DA38" s="1867">
        <f t="shared" si="39"/>
        <v>1</v>
      </c>
      <c r="DB38" s="1867">
        <f t="shared" si="39"/>
        <v>1</v>
      </c>
    </row>
    <row r="39" spans="1:106" ht="15" customHeight="1" x14ac:dyDescent="0.25">
      <c r="A39" s="5601" t="s">
        <v>4454</v>
      </c>
      <c r="B39" s="6059"/>
      <c r="C39" s="526" t="s">
        <v>99</v>
      </c>
      <c r="D39" s="517" t="s">
        <v>4567</v>
      </c>
      <c r="E39" s="1946" t="s">
        <v>4568</v>
      </c>
      <c r="F39" s="1947" t="s">
        <v>4569</v>
      </c>
      <c r="G39" s="1948" t="s">
        <v>4570</v>
      </c>
      <c r="H39" s="1899" t="s">
        <v>4571</v>
      </c>
      <c r="I39" s="1899" t="s">
        <v>4572</v>
      </c>
      <c r="J39" s="1899" t="s">
        <v>4573</v>
      </c>
      <c r="K39" s="1899" t="s">
        <v>4574</v>
      </c>
      <c r="L39" s="1916" t="s">
        <v>4575</v>
      </c>
      <c r="M39" s="1916" t="s">
        <v>4576</v>
      </c>
      <c r="N39" s="1916" t="s">
        <v>4577</v>
      </c>
      <c r="O39" s="1949" t="s">
        <v>4578</v>
      </c>
      <c r="P39" s="1873" t="s">
        <v>4579</v>
      </c>
      <c r="Q39" s="1949" t="s">
        <v>4580</v>
      </c>
      <c r="R39" s="1949" t="s">
        <v>4581</v>
      </c>
      <c r="S39" s="1873" t="s">
        <v>4582</v>
      </c>
      <c r="T39" s="1949" t="s">
        <v>4583</v>
      </c>
      <c r="U39" s="1916" t="s">
        <v>4584</v>
      </c>
      <c r="V39" s="1916" t="s">
        <v>4585</v>
      </c>
      <c r="W39" s="1916" t="s">
        <v>4586</v>
      </c>
      <c r="X39" s="1916" t="s">
        <v>4587</v>
      </c>
      <c r="Y39" s="1916" t="s">
        <v>4588</v>
      </c>
      <c r="Z39" s="1916" t="s">
        <v>4589</v>
      </c>
      <c r="AA39" s="1916" t="s">
        <v>4590</v>
      </c>
      <c r="AB39" s="1916" t="s">
        <v>4591</v>
      </c>
      <c r="AC39" s="1916" t="s">
        <v>4592</v>
      </c>
      <c r="AD39" s="1916" t="s">
        <v>4593</v>
      </c>
      <c r="AE39" s="1916" t="s">
        <v>4594</v>
      </c>
      <c r="AF39" s="1916" t="s">
        <v>4595</v>
      </c>
      <c r="AG39" s="1916" t="s">
        <v>4596</v>
      </c>
      <c r="AH39" s="1950" t="s">
        <v>4597</v>
      </c>
      <c r="AI39" s="1917" t="s">
        <v>4598</v>
      </c>
      <c r="AJ39" s="1951" t="s">
        <v>4599</v>
      </c>
      <c r="AK39" s="1952" t="s">
        <v>4600</v>
      </c>
      <c r="AL39" s="1953" t="s">
        <v>4601</v>
      </c>
      <c r="AM39" s="1949" t="s">
        <v>4602</v>
      </c>
      <c r="AN39" s="1949" t="s">
        <v>4603</v>
      </c>
      <c r="AO39" s="1952" t="s">
        <v>4604</v>
      </c>
      <c r="AP39" s="1864" t="e">
        <f t="shared" si="40"/>
        <v>#VALUE!</v>
      </c>
      <c r="CB39" s="1865" t="e">
        <f>IF((E39+F39)&lt;&gt;$D39," * La suma de la variable Sexo (Hombres + Mujeres) no puede ser distinto al Total","")</f>
        <v>#VALUE!</v>
      </c>
      <c r="CC39" s="1945"/>
      <c r="CD39" s="1865" t="str">
        <f>IF(AND(SUM(O39:Q39)&gt;0,AK39="")," * No olvide digitar la variable "&amp;AJ$34&amp;""&amp;" de 1 año a 3 años 11 meses 29 días. Digite CERO si no tiene. ",IF(AK39&gt;SUM(O39:Q39),"*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9" s="1865" t="str">
        <f t="shared" si="42"/>
        <v xml:space="preserve">* La variable Niños, Niñas, Adolescentes y Jóvenes SENAME no debe ser mayor al Total Ambos Sexos. </v>
      </c>
      <c r="CF39" s="1865" t="str">
        <f t="shared" si="43"/>
        <v xml:space="preserve">* La variable de Niños, Niñas, Adolescentes y Jóvenes Mejor Niñez no debe ser mayor al Total Ambos Sexos. </v>
      </c>
      <c r="CG39" s="1865" t="str">
        <f t="shared" si="44"/>
        <v xml:space="preserve">* La variable Pueblos Originarios no debe ser mayor al Total Ambos Sexos. </v>
      </c>
      <c r="CH39" s="1865" t="str">
        <f t="shared" si="45"/>
        <v xml:space="preserve">* La variable Migrantes no debe ser mayor al Total Ambos Sexos. </v>
      </c>
      <c r="CI39" s="1937"/>
      <c r="CV39" s="1867">
        <f>IF(D39&lt;&gt;SUM(E39:F39),1,0)</f>
        <v>1</v>
      </c>
      <c r="CW39" s="1869"/>
      <c r="CX39" s="1867">
        <f>IF(AND(SUM(O39:Q39)&gt;0,AK39=""),1,IF(AK39&gt;SUM(O39:Q39),1,0))</f>
        <v>1</v>
      </c>
      <c r="CY39" s="1867">
        <f t="shared" si="39"/>
        <v>1</v>
      </c>
      <c r="CZ39" s="1867">
        <f t="shared" si="39"/>
        <v>1</v>
      </c>
      <c r="DA39" s="1867">
        <f t="shared" si="39"/>
        <v>1</v>
      </c>
      <c r="DB39" s="1867">
        <f t="shared" si="39"/>
        <v>1</v>
      </c>
    </row>
    <row r="40" spans="1:106" ht="18" customHeight="1" x14ac:dyDescent="0.25">
      <c r="A40" s="6"/>
      <c r="B40" s="6014" t="s">
        <v>100</v>
      </c>
      <c r="C40" s="6014"/>
      <c r="D40" s="6014"/>
      <c r="E40" s="6014"/>
      <c r="F40" s="6014"/>
      <c r="G40" s="6014"/>
      <c r="H40" s="6014"/>
      <c r="I40" s="6014"/>
      <c r="J40" s="6014"/>
      <c r="K40" s="6014"/>
      <c r="L40" s="6014"/>
      <c r="M40" s="6014"/>
      <c r="N40" s="6014"/>
      <c r="O40" s="6014"/>
      <c r="P40" s="6014"/>
      <c r="Q40" s="6014"/>
      <c r="R40" s="6014"/>
      <c r="S40" s="6014"/>
      <c r="T40" s="6014"/>
      <c r="U40" s="6014"/>
      <c r="V40" s="6014"/>
      <c r="W40" s="6014"/>
      <c r="X40" s="6014"/>
      <c r="Y40" s="6014"/>
      <c r="Z40" s="6014"/>
      <c r="AA40" s="6014"/>
      <c r="AB40" s="6014"/>
      <c r="AC40" s="6014"/>
      <c r="AD40" s="6014"/>
      <c r="AE40" s="6014"/>
      <c r="AF40" s="6014"/>
      <c r="AG40" s="6014"/>
      <c r="AH40" s="6014"/>
      <c r="AI40" s="6014"/>
      <c r="AJ40" s="6014"/>
      <c r="AK40" s="6014"/>
      <c r="AL40" s="6014"/>
      <c r="AM40" s="6014"/>
      <c r="AN40" s="6015"/>
      <c r="AO40" s="1954"/>
      <c r="AP40" s="1955"/>
    </row>
    <row r="41" spans="1:106" ht="15" customHeight="1" x14ac:dyDescent="0.25">
      <c r="A41" s="6"/>
      <c r="B41" s="6038" t="s">
        <v>26</v>
      </c>
      <c r="C41" s="6038" t="s">
        <v>27</v>
      </c>
      <c r="D41" s="6074" t="s">
        <v>77</v>
      </c>
      <c r="E41" s="6042"/>
      <c r="F41" s="6026"/>
      <c r="G41" s="6068" t="s">
        <v>101</v>
      </c>
      <c r="H41" s="6075"/>
      <c r="I41" s="6075"/>
      <c r="J41" s="6075"/>
      <c r="K41" s="6075"/>
      <c r="L41" s="6075"/>
      <c r="M41" s="6075"/>
      <c r="N41" s="6075"/>
      <c r="O41" s="6075"/>
      <c r="P41" s="6075"/>
      <c r="Q41" s="6075"/>
      <c r="R41" s="6075"/>
      <c r="S41" s="6075"/>
      <c r="T41" s="6075"/>
      <c r="U41" s="6075"/>
      <c r="V41" s="6075"/>
      <c r="W41" s="6075"/>
      <c r="X41" s="6075"/>
      <c r="Y41" s="6075"/>
      <c r="Z41" s="6075"/>
      <c r="AA41" s="6075"/>
      <c r="AB41" s="6075"/>
      <c r="AC41" s="6075"/>
      <c r="AD41" s="6075"/>
      <c r="AE41" s="6075"/>
      <c r="AF41" s="6075"/>
      <c r="AG41" s="6075"/>
      <c r="AH41" s="6075"/>
      <c r="AI41" s="6075"/>
      <c r="AJ41" s="6075"/>
      <c r="AK41" s="6075"/>
      <c r="AL41" s="6075"/>
      <c r="AM41" s="6075"/>
      <c r="AN41" s="6076"/>
      <c r="AO41" s="6033" t="s">
        <v>36</v>
      </c>
      <c r="AP41" s="6065" t="s">
        <v>37</v>
      </c>
      <c r="AQ41" s="6022" t="s">
        <v>102</v>
      </c>
    </row>
    <row r="42" spans="1:106" ht="15" customHeight="1" x14ac:dyDescent="0.25">
      <c r="A42" s="6"/>
      <c r="B42" s="6039"/>
      <c r="C42" s="6039"/>
      <c r="D42" s="6044"/>
      <c r="E42" s="6045"/>
      <c r="F42" s="6027"/>
      <c r="G42" s="6068" t="s">
        <v>103</v>
      </c>
      <c r="H42" s="6069"/>
      <c r="I42" s="6068" t="s">
        <v>42</v>
      </c>
      <c r="J42" s="6069"/>
      <c r="K42" s="6068" t="s">
        <v>43</v>
      </c>
      <c r="L42" s="6069"/>
      <c r="M42" s="6068" t="s">
        <v>44</v>
      </c>
      <c r="N42" s="6069"/>
      <c r="O42" s="6070" t="s">
        <v>45</v>
      </c>
      <c r="P42" s="6030"/>
      <c r="Q42" s="6070" t="s">
        <v>46</v>
      </c>
      <c r="R42" s="6030"/>
      <c r="S42" s="6070" t="s">
        <v>47</v>
      </c>
      <c r="T42" s="6030"/>
      <c r="U42" s="6070" t="s">
        <v>48</v>
      </c>
      <c r="V42" s="6030"/>
      <c r="W42" s="6070" t="s">
        <v>49</v>
      </c>
      <c r="X42" s="6030"/>
      <c r="Y42" s="6070" t="s">
        <v>50</v>
      </c>
      <c r="Z42" s="6030"/>
      <c r="AA42" s="6070" t="s">
        <v>51</v>
      </c>
      <c r="AB42" s="6030"/>
      <c r="AC42" s="6070" t="s">
        <v>52</v>
      </c>
      <c r="AD42" s="6030"/>
      <c r="AE42" s="6070" t="s">
        <v>53</v>
      </c>
      <c r="AF42" s="6030"/>
      <c r="AG42" s="6070" t="s">
        <v>54</v>
      </c>
      <c r="AH42" s="6030"/>
      <c r="AI42" s="6070" t="s">
        <v>55</v>
      </c>
      <c r="AJ42" s="6030"/>
      <c r="AK42" s="6070" t="s">
        <v>56</v>
      </c>
      <c r="AL42" s="6030"/>
      <c r="AM42" s="6070" t="s">
        <v>57</v>
      </c>
      <c r="AN42" s="6071"/>
      <c r="AO42" s="6034"/>
      <c r="AP42" s="6066"/>
      <c r="AQ42" s="6023"/>
    </row>
    <row r="43" spans="1:106" ht="15" customHeight="1" x14ac:dyDescent="0.25">
      <c r="A43" s="6"/>
      <c r="B43" s="6040"/>
      <c r="C43" s="6040"/>
      <c r="D43" s="1922" t="s">
        <v>79</v>
      </c>
      <c r="E43" s="1840" t="s">
        <v>58</v>
      </c>
      <c r="F43" s="1956" t="s">
        <v>59</v>
      </c>
      <c r="G43" s="1957" t="s">
        <v>58</v>
      </c>
      <c r="H43" s="1850" t="s">
        <v>59</v>
      </c>
      <c r="I43" s="1957" t="s">
        <v>58</v>
      </c>
      <c r="J43" s="1850" t="s">
        <v>59</v>
      </c>
      <c r="K43" s="1957" t="s">
        <v>58</v>
      </c>
      <c r="L43" s="1850" t="s">
        <v>59</v>
      </c>
      <c r="M43" s="1957" t="s">
        <v>58</v>
      </c>
      <c r="N43" s="1850" t="s">
        <v>59</v>
      </c>
      <c r="O43" s="1957" t="s">
        <v>58</v>
      </c>
      <c r="P43" s="1850" t="s">
        <v>59</v>
      </c>
      <c r="Q43" s="1957" t="s">
        <v>58</v>
      </c>
      <c r="R43" s="1850" t="s">
        <v>59</v>
      </c>
      <c r="S43" s="1957" t="s">
        <v>58</v>
      </c>
      <c r="T43" s="1850" t="s">
        <v>59</v>
      </c>
      <c r="U43" s="1957" t="s">
        <v>58</v>
      </c>
      <c r="V43" s="1850" t="s">
        <v>59</v>
      </c>
      <c r="W43" s="1957" t="s">
        <v>58</v>
      </c>
      <c r="X43" s="1850" t="s">
        <v>59</v>
      </c>
      <c r="Y43" s="1957" t="s">
        <v>58</v>
      </c>
      <c r="Z43" s="1850" t="s">
        <v>59</v>
      </c>
      <c r="AA43" s="1957" t="s">
        <v>58</v>
      </c>
      <c r="AB43" s="1850" t="s">
        <v>59</v>
      </c>
      <c r="AC43" s="1957" t="s">
        <v>58</v>
      </c>
      <c r="AD43" s="1850" t="s">
        <v>59</v>
      </c>
      <c r="AE43" s="1957" t="s">
        <v>58</v>
      </c>
      <c r="AF43" s="1850" t="s">
        <v>59</v>
      </c>
      <c r="AG43" s="1957" t="s">
        <v>58</v>
      </c>
      <c r="AH43" s="1850" t="s">
        <v>59</v>
      </c>
      <c r="AI43" s="1957" t="s">
        <v>58</v>
      </c>
      <c r="AJ43" s="1850" t="s">
        <v>59</v>
      </c>
      <c r="AK43" s="1957" t="s">
        <v>58</v>
      </c>
      <c r="AL43" s="1850" t="s">
        <v>59</v>
      </c>
      <c r="AM43" s="1957" t="s">
        <v>58</v>
      </c>
      <c r="AN43" s="1841" t="s">
        <v>59</v>
      </c>
      <c r="AO43" s="6035"/>
      <c r="AP43" s="6067"/>
      <c r="AQ43" s="6024"/>
    </row>
    <row r="44" spans="1:106" ht="15" customHeight="1" x14ac:dyDescent="0.25">
      <c r="A44" s="5602" t="s">
        <v>4455</v>
      </c>
      <c r="B44" s="6057" t="s">
        <v>104</v>
      </c>
      <c r="C44" s="1851" t="s">
        <v>64</v>
      </c>
      <c r="D44" s="1958" t="s">
        <v>4567</v>
      </c>
      <c r="E44" s="1959" t="s">
        <v>4568</v>
      </c>
      <c r="F44" s="1960" t="s">
        <v>4569</v>
      </c>
      <c r="G44" s="1853" t="s">
        <v>4570</v>
      </c>
      <c r="H44" s="1961" t="s">
        <v>4571</v>
      </c>
      <c r="I44" s="1853" t="s">
        <v>4572</v>
      </c>
      <c r="J44" s="1961" t="s">
        <v>4573</v>
      </c>
      <c r="K44" s="1853" t="s">
        <v>4574</v>
      </c>
      <c r="L44" s="1961" t="s">
        <v>4575</v>
      </c>
      <c r="M44" s="1902" t="s">
        <v>4576</v>
      </c>
      <c r="N44" s="1962" t="s">
        <v>4577</v>
      </c>
      <c r="O44" s="1902" t="s">
        <v>4578</v>
      </c>
      <c r="P44" s="1962" t="s">
        <v>4579</v>
      </c>
      <c r="Q44" s="1902" t="s">
        <v>4580</v>
      </c>
      <c r="R44" s="1962" t="s">
        <v>4581</v>
      </c>
      <c r="S44" s="1902" t="s">
        <v>4582</v>
      </c>
      <c r="T44" s="1962" t="s">
        <v>4583</v>
      </c>
      <c r="U44" s="1902" t="s">
        <v>4584</v>
      </c>
      <c r="V44" s="1962" t="s">
        <v>4585</v>
      </c>
      <c r="W44" s="1902" t="s">
        <v>4586</v>
      </c>
      <c r="X44" s="1962" t="s">
        <v>4587</v>
      </c>
      <c r="Y44" s="1902" t="s">
        <v>4588</v>
      </c>
      <c r="Z44" s="1962" t="s">
        <v>4589</v>
      </c>
      <c r="AA44" s="1902" t="s">
        <v>4590</v>
      </c>
      <c r="AB44" s="1962" t="s">
        <v>4591</v>
      </c>
      <c r="AC44" s="1902" t="s">
        <v>4592</v>
      </c>
      <c r="AD44" s="1962" t="s">
        <v>4593</v>
      </c>
      <c r="AE44" s="1902" t="s">
        <v>4594</v>
      </c>
      <c r="AF44" s="1962" t="s">
        <v>4595</v>
      </c>
      <c r="AG44" s="1902" t="s">
        <v>4596</v>
      </c>
      <c r="AH44" s="1962" t="s">
        <v>4597</v>
      </c>
      <c r="AI44" s="1902" t="s">
        <v>4598</v>
      </c>
      <c r="AJ44" s="1962" t="s">
        <v>4599</v>
      </c>
      <c r="AK44" s="1902" t="s">
        <v>4600</v>
      </c>
      <c r="AL44" s="1962" t="s">
        <v>4601</v>
      </c>
      <c r="AM44" s="1902" t="s">
        <v>4602</v>
      </c>
      <c r="AN44" s="1910" t="s">
        <v>4603</v>
      </c>
      <c r="AO44" s="1963" t="s">
        <v>4604</v>
      </c>
      <c r="AP44" s="1962" t="s">
        <v>4605</v>
      </c>
      <c r="AQ44" s="1935" t="s">
        <v>4606</v>
      </c>
      <c r="AR44" s="1864" t="str">
        <f>CB44&amp;CC44&amp;CD44</f>
        <v xml:space="preserve">* La variable Pueblos Originarios no debe ser mayor al Total Ambos Sexos. * La variable Migrantes no debe ser mayor al Total Ambos Sexos. * La variable Extensión Horaria (PRAPS) no debe ser mayor al Total Ambos Sexos. </v>
      </c>
      <c r="BV44" s="1936"/>
      <c r="BW44" s="1936"/>
      <c r="BX44" s="1936"/>
      <c r="BY44" s="1936"/>
      <c r="BZ44" s="1936"/>
      <c r="CA44" s="1936"/>
      <c r="CB44" s="1865" t="str">
        <f>IF(AND($D44&lt;&gt;0,AO44=""),"* No olvide ingresar la variable "&amp;AO$41&amp;""&amp;". Digite CERO si no tiene. ",IF(AO44&gt;$D44,"* La variable Pueblos Originarios no debe ser mayor al Total Ambos Sexos. ",""))</f>
        <v xml:space="preserve">* La variable Pueblos Originarios no debe ser mayor al Total Ambos Sexos. </v>
      </c>
      <c r="CC44" s="1865" t="str">
        <f>IF(AND($D44&lt;&gt;0,AP44=""),"* No olvide ingresar la variable "&amp;AP$41&amp;""&amp;" (Digite CERO si no tiene). ",IF(AP44&gt;$D44,"* La variable Migrantes no debe ser mayor al Total Ambos Sexos. ",""))</f>
        <v xml:space="preserve">* La variable Migrantes no debe ser mayor al Total Ambos Sexos. </v>
      </c>
      <c r="CD44" s="1865" t="str">
        <f>IF(AND($D44&lt;&gt;0,AQ44=""),"* No olvide ingresar la variable "&amp;AQ$41&amp;""&amp;" (Digite CERO si no tiene). ",IF(AQ44&gt;$D44,"* La variable Extensión Horaria (PRAPS) no debe ser mayor al Total Ambos Sexos. ",""))</f>
        <v xml:space="preserve">* La variable Extensión Horaria (PRAPS) no debe ser mayor al Total Ambos Sexos. </v>
      </c>
      <c r="CE44" s="1936"/>
      <c r="CV44" s="1867">
        <f>IF(AND($D44&lt;&gt;0,AO44=""),1,IF(AO44&gt;$D44,1,0))</f>
        <v>1</v>
      </c>
      <c r="CW44" s="1867">
        <f>IF(AND($D44&lt;&gt;0,AP44=""),1,IF(AP44&gt;$D44,1,0))</f>
        <v>1</v>
      </c>
      <c r="CX44" s="1867">
        <f>IF(AND($D44&lt;&gt;0,AQ44=""),1,IF(AQ44&gt;$D44,1,0))</f>
        <v>1</v>
      </c>
    </row>
    <row r="45" spans="1:106" ht="15" customHeight="1" x14ac:dyDescent="0.25">
      <c r="A45" s="5602" t="s">
        <v>4456</v>
      </c>
      <c r="B45" s="6058"/>
      <c r="C45" s="357" t="s">
        <v>98</v>
      </c>
      <c r="D45" s="1964" t="s">
        <v>4567</v>
      </c>
      <c r="E45" s="1965" t="s">
        <v>4568</v>
      </c>
      <c r="F45" s="1966" t="s">
        <v>4569</v>
      </c>
      <c r="G45" s="1967" t="s">
        <v>4570</v>
      </c>
      <c r="H45" s="1968" t="s">
        <v>4571</v>
      </c>
      <c r="I45" s="1943" t="s">
        <v>4572</v>
      </c>
      <c r="J45" s="1968" t="s">
        <v>4573</v>
      </c>
      <c r="K45" s="1943" t="s">
        <v>4574</v>
      </c>
      <c r="L45" s="1968" t="s">
        <v>4575</v>
      </c>
      <c r="M45" s="328" t="s">
        <v>4576</v>
      </c>
      <c r="N45" s="1969" t="s">
        <v>4577</v>
      </c>
      <c r="O45" s="328" t="s">
        <v>4578</v>
      </c>
      <c r="P45" s="1969" t="s">
        <v>4579</v>
      </c>
      <c r="Q45" s="328" t="s">
        <v>4580</v>
      </c>
      <c r="R45" s="1969" t="s">
        <v>4581</v>
      </c>
      <c r="S45" s="328" t="s">
        <v>4582</v>
      </c>
      <c r="T45" s="1969" t="s">
        <v>4583</v>
      </c>
      <c r="U45" s="328" t="s">
        <v>4584</v>
      </c>
      <c r="V45" s="1969" t="s">
        <v>4585</v>
      </c>
      <c r="W45" s="328" t="s">
        <v>4586</v>
      </c>
      <c r="X45" s="1969" t="s">
        <v>4587</v>
      </c>
      <c r="Y45" s="328" t="s">
        <v>4588</v>
      </c>
      <c r="Z45" s="1969" t="s">
        <v>4589</v>
      </c>
      <c r="AA45" s="328" t="s">
        <v>4590</v>
      </c>
      <c r="AB45" s="1969" t="s">
        <v>4591</v>
      </c>
      <c r="AC45" s="328" t="s">
        <v>4592</v>
      </c>
      <c r="AD45" s="1969" t="s">
        <v>4593</v>
      </c>
      <c r="AE45" s="328" t="s">
        <v>4594</v>
      </c>
      <c r="AF45" s="1969" t="s">
        <v>4595</v>
      </c>
      <c r="AG45" s="328" t="s">
        <v>4596</v>
      </c>
      <c r="AH45" s="1969" t="s">
        <v>4597</v>
      </c>
      <c r="AI45" s="328" t="s">
        <v>4598</v>
      </c>
      <c r="AJ45" s="1969" t="s">
        <v>4599</v>
      </c>
      <c r="AK45" s="328" t="s">
        <v>4600</v>
      </c>
      <c r="AL45" s="1969" t="s">
        <v>4601</v>
      </c>
      <c r="AM45" s="328" t="s">
        <v>4602</v>
      </c>
      <c r="AN45" s="331" t="s">
        <v>4603</v>
      </c>
      <c r="AO45" s="1970" t="s">
        <v>4604</v>
      </c>
      <c r="AP45" s="1969" t="s">
        <v>4605</v>
      </c>
      <c r="AQ45" s="329" t="s">
        <v>4606</v>
      </c>
      <c r="AR45" s="1864" t="str">
        <f t="shared" ref="AR45:AR66" si="47">CB45&amp;CC45&amp;CD45</f>
        <v xml:space="preserve">* La variable Pueblos Originarios no debe ser mayor al Total Ambos Sexos. * La variable Migrantes no debe ser mayor al Total Ambos Sexos. * La variable Extensión Horaria (PRAPS) no debe ser mayor al Total Ambos Sexos. </v>
      </c>
      <c r="BV45" s="1936"/>
      <c r="BW45" s="1936"/>
      <c r="BX45" s="1936"/>
      <c r="BY45" s="1936"/>
      <c r="BZ45" s="1936"/>
      <c r="CA45" s="1936"/>
      <c r="CB45" s="1865" t="str">
        <f t="shared" ref="CB45:CB66" si="48">IF(AND($D45&lt;&gt;0,AO45=""),"* No olvide ingresar la variable "&amp;AO$41&amp;""&amp;". Digite CERO si no tiene. ",IF(AO45&gt;$D45,"* La variable Pueblos Originarios no debe ser mayor al Total Ambos Sexos. ",""))</f>
        <v xml:space="preserve">* La variable Pueblos Originarios no debe ser mayor al Total Ambos Sexos. </v>
      </c>
      <c r="CC45" s="1865" t="str">
        <f t="shared" ref="CC45:CC66" si="49">IF(AND($D45&lt;&gt;0,AP45=""),"* No olvide ingresar la variable "&amp;AP$41&amp;""&amp;" (Digite CERO si no tiene). ",IF(AP45&gt;$D45,"* La variable Migrantes no debe ser mayor al Total Ambos Sexos. ",""))</f>
        <v xml:space="preserve">* La variable Migrantes no debe ser mayor al Total Ambos Sexos. </v>
      </c>
      <c r="CD45" s="1865" t="str">
        <f t="shared" ref="CD45:CD47" si="50">IF(AND($D45&lt;&gt;0,AQ45=""),"* No olvide ingresar la variable "&amp;AQ$41&amp;""&amp;" (Digite CERO si no tiene). ",IF(AQ45&gt;$D45,"* La variable Extensión Horaria (PRAPS) no debe ser mayor al Total Ambos Sexos. ",""))</f>
        <v xml:space="preserve">* La variable Extensión Horaria (PRAPS) no debe ser mayor al Total Ambos Sexos. </v>
      </c>
      <c r="CE45" s="1936"/>
      <c r="CV45" s="1867">
        <f t="shared" ref="CV45:CV66" si="51">IF(AND($D45&lt;&gt;0,AO45=""),1,IF(AO45&gt;$D45,1,0))</f>
        <v>1</v>
      </c>
      <c r="CW45" s="1867">
        <f t="shared" ref="CW45:CW66" si="52">IF(AND($D45&lt;&gt;0,AP45=""),1,IF(AP45&gt;$D45,1,0))</f>
        <v>1</v>
      </c>
      <c r="CX45" s="1867">
        <f t="shared" ref="CX45:CX46" si="53">IF(AND($D45&lt;&gt;0,AQ45=""),1,IF(AQ45&gt;$D45,1,0))</f>
        <v>1</v>
      </c>
    </row>
    <row r="46" spans="1:106" ht="13.5" customHeight="1" x14ac:dyDescent="0.25">
      <c r="A46" s="5602" t="s">
        <v>4457</v>
      </c>
      <c r="B46" s="6058"/>
      <c r="C46" s="357" t="s">
        <v>105</v>
      </c>
      <c r="D46" s="1964" t="s">
        <v>4567</v>
      </c>
      <c r="E46" s="1965" t="s">
        <v>4568</v>
      </c>
      <c r="F46" s="1966" t="s">
        <v>4569</v>
      </c>
      <c r="G46" s="333" t="s">
        <v>4570</v>
      </c>
      <c r="H46" s="987" t="s">
        <v>4571</v>
      </c>
      <c r="I46" s="1885" t="s">
        <v>4572</v>
      </c>
      <c r="J46" s="987" t="s">
        <v>4573</v>
      </c>
      <c r="K46" s="1885" t="s">
        <v>4574</v>
      </c>
      <c r="L46" s="987" t="s">
        <v>4575</v>
      </c>
      <c r="M46" s="328" t="s">
        <v>4576</v>
      </c>
      <c r="N46" s="1969" t="s">
        <v>4577</v>
      </c>
      <c r="O46" s="328" t="s">
        <v>4578</v>
      </c>
      <c r="P46" s="1969" t="s">
        <v>4579</v>
      </c>
      <c r="Q46" s="328" t="s">
        <v>4580</v>
      </c>
      <c r="R46" s="1969" t="s">
        <v>4581</v>
      </c>
      <c r="S46" s="328" t="s">
        <v>4582</v>
      </c>
      <c r="T46" s="1969" t="s">
        <v>4583</v>
      </c>
      <c r="U46" s="328" t="s">
        <v>4584</v>
      </c>
      <c r="V46" s="1969" t="s">
        <v>4585</v>
      </c>
      <c r="W46" s="328" t="s">
        <v>4586</v>
      </c>
      <c r="X46" s="1969" t="s">
        <v>4587</v>
      </c>
      <c r="Y46" s="328" t="s">
        <v>4588</v>
      </c>
      <c r="Z46" s="1969" t="s">
        <v>4589</v>
      </c>
      <c r="AA46" s="328" t="s">
        <v>4590</v>
      </c>
      <c r="AB46" s="1969" t="s">
        <v>4591</v>
      </c>
      <c r="AC46" s="328" t="s">
        <v>4592</v>
      </c>
      <c r="AD46" s="1969" t="s">
        <v>4593</v>
      </c>
      <c r="AE46" s="328" t="s">
        <v>4594</v>
      </c>
      <c r="AF46" s="1969" t="s">
        <v>4595</v>
      </c>
      <c r="AG46" s="328" t="s">
        <v>4596</v>
      </c>
      <c r="AH46" s="1969" t="s">
        <v>4597</v>
      </c>
      <c r="AI46" s="328" t="s">
        <v>4598</v>
      </c>
      <c r="AJ46" s="1969" t="s">
        <v>4599</v>
      </c>
      <c r="AK46" s="328" t="s">
        <v>4600</v>
      </c>
      <c r="AL46" s="1969" t="s">
        <v>4601</v>
      </c>
      <c r="AM46" s="328" t="s">
        <v>4602</v>
      </c>
      <c r="AN46" s="331" t="s">
        <v>4603</v>
      </c>
      <c r="AO46" s="1970" t="s">
        <v>4604</v>
      </c>
      <c r="AP46" s="1969" t="s">
        <v>4605</v>
      </c>
      <c r="AQ46" s="329" t="s">
        <v>4606</v>
      </c>
      <c r="AR46" s="1864" t="str">
        <f t="shared" si="47"/>
        <v xml:space="preserve">* La variable Pueblos Originarios no debe ser mayor al Total Ambos Sexos. * La variable Migrantes no debe ser mayor al Total Ambos Sexos. * La variable Extensión Horaria (PRAPS) no debe ser mayor al Total Ambos Sexos. </v>
      </c>
      <c r="BV46" s="1936"/>
      <c r="BW46" s="1936"/>
      <c r="BX46" s="1936"/>
      <c r="BY46" s="1936"/>
      <c r="BZ46" s="1936"/>
      <c r="CA46" s="1936"/>
      <c r="CB46" s="1865" t="str">
        <f t="shared" si="48"/>
        <v xml:space="preserve">* La variable Pueblos Originarios no debe ser mayor al Total Ambos Sexos. </v>
      </c>
      <c r="CC46" s="1865" t="str">
        <f t="shared" si="49"/>
        <v xml:space="preserve">* La variable Migrantes no debe ser mayor al Total Ambos Sexos. </v>
      </c>
      <c r="CD46" s="1865" t="str">
        <f t="shared" si="50"/>
        <v xml:space="preserve">* La variable Extensión Horaria (PRAPS) no debe ser mayor al Total Ambos Sexos. </v>
      </c>
      <c r="CE46" s="1936"/>
      <c r="CV46" s="1867">
        <f t="shared" si="51"/>
        <v>1</v>
      </c>
      <c r="CW46" s="1867">
        <f t="shared" si="52"/>
        <v>1</v>
      </c>
      <c r="CX46" s="1867">
        <f t="shared" si="53"/>
        <v>1</v>
      </c>
    </row>
    <row r="47" spans="1:106" ht="13.5" customHeight="1" x14ac:dyDescent="0.25">
      <c r="A47" s="5601" t="s">
        <v>4458</v>
      </c>
      <c r="B47" s="6059"/>
      <c r="C47" s="526" t="s">
        <v>99</v>
      </c>
      <c r="D47" s="1971" t="s">
        <v>4567</v>
      </c>
      <c r="E47" s="1972" t="s">
        <v>4568</v>
      </c>
      <c r="F47" s="1973" t="s">
        <v>4569</v>
      </c>
      <c r="G47" s="333" t="s">
        <v>4570</v>
      </c>
      <c r="H47" s="1974" t="s">
        <v>4571</v>
      </c>
      <c r="I47" s="333" t="s">
        <v>4572</v>
      </c>
      <c r="J47" s="1974" t="s">
        <v>4573</v>
      </c>
      <c r="K47" s="333" t="s">
        <v>4574</v>
      </c>
      <c r="L47" s="1974" t="s">
        <v>4575</v>
      </c>
      <c r="M47" s="853" t="s">
        <v>4576</v>
      </c>
      <c r="N47" s="1975" t="s">
        <v>4577</v>
      </c>
      <c r="O47" s="853" t="s">
        <v>4578</v>
      </c>
      <c r="P47" s="1975" t="s">
        <v>4579</v>
      </c>
      <c r="Q47" s="853" t="s">
        <v>4580</v>
      </c>
      <c r="R47" s="1975" t="s">
        <v>4581</v>
      </c>
      <c r="S47" s="853" t="s">
        <v>4582</v>
      </c>
      <c r="T47" s="1975" t="s">
        <v>4583</v>
      </c>
      <c r="U47" s="853" t="s">
        <v>4584</v>
      </c>
      <c r="V47" s="1975" t="s">
        <v>4585</v>
      </c>
      <c r="W47" s="853" t="s">
        <v>4586</v>
      </c>
      <c r="X47" s="1975" t="s">
        <v>4587</v>
      </c>
      <c r="Y47" s="853" t="s">
        <v>4588</v>
      </c>
      <c r="Z47" s="1975" t="s">
        <v>4589</v>
      </c>
      <c r="AA47" s="853" t="s">
        <v>4590</v>
      </c>
      <c r="AB47" s="1975" t="s">
        <v>4591</v>
      </c>
      <c r="AC47" s="853" t="s">
        <v>4592</v>
      </c>
      <c r="AD47" s="1975" t="s">
        <v>4593</v>
      </c>
      <c r="AE47" s="853" t="s">
        <v>4594</v>
      </c>
      <c r="AF47" s="1975" t="s">
        <v>4595</v>
      </c>
      <c r="AG47" s="853" t="s">
        <v>4596</v>
      </c>
      <c r="AH47" s="1975" t="s">
        <v>4597</v>
      </c>
      <c r="AI47" s="853" t="s">
        <v>4598</v>
      </c>
      <c r="AJ47" s="1975" t="s">
        <v>4599</v>
      </c>
      <c r="AK47" s="853" t="s">
        <v>4600</v>
      </c>
      <c r="AL47" s="1975" t="s">
        <v>4601</v>
      </c>
      <c r="AM47" s="853" t="s">
        <v>4602</v>
      </c>
      <c r="AN47" s="1919" t="s">
        <v>4603</v>
      </c>
      <c r="AO47" s="1879" t="s">
        <v>4604</v>
      </c>
      <c r="AP47" s="1975" t="s">
        <v>4605</v>
      </c>
      <c r="AQ47" s="854" t="s">
        <v>4606</v>
      </c>
      <c r="AR47" s="1864" t="str">
        <f t="shared" si="47"/>
        <v xml:space="preserve">* La variable Pueblos Originarios no debe ser mayor al Total Ambos Sexos. * La variable Migrantes no debe ser mayor al Total Ambos Sexos. * La variable Extensión Horaria (PRAPS) no debe ser mayor al Total Ambos Sexos. </v>
      </c>
      <c r="BV47" s="1936"/>
      <c r="BW47" s="1936"/>
      <c r="BX47" s="1936"/>
      <c r="BY47" s="1936"/>
      <c r="BZ47" s="1936"/>
      <c r="CA47" s="1936"/>
      <c r="CB47" s="1865" t="str">
        <f t="shared" si="48"/>
        <v xml:space="preserve">* La variable Pueblos Originarios no debe ser mayor al Total Ambos Sexos. </v>
      </c>
      <c r="CC47" s="1865" t="str">
        <f t="shared" si="49"/>
        <v xml:space="preserve">* La variable Migrantes no debe ser mayor al Total Ambos Sexos. </v>
      </c>
      <c r="CD47" s="1865" t="str">
        <f t="shared" si="50"/>
        <v xml:space="preserve">* La variable Extensión Horaria (PRAPS) no debe ser mayor al Total Ambos Sexos. </v>
      </c>
      <c r="CE47" s="1936"/>
      <c r="CV47" s="1867">
        <f t="shared" si="51"/>
        <v>1</v>
      </c>
      <c r="CW47" s="1867">
        <f t="shared" si="52"/>
        <v>1</v>
      </c>
      <c r="CX47" s="1867">
        <f>IF(AND($D47&lt;&gt;0,AQ47=""),1,IF(AQ47&gt;$D47,1,0))</f>
        <v>1</v>
      </c>
    </row>
    <row r="48" spans="1:106" ht="13.5" customHeight="1" x14ac:dyDescent="0.25">
      <c r="A48" s="5601" t="s">
        <v>4459</v>
      </c>
      <c r="B48" s="6058" t="s">
        <v>106</v>
      </c>
      <c r="C48" s="1851" t="s">
        <v>64</v>
      </c>
      <c r="D48" s="1958" t="s">
        <v>4567</v>
      </c>
      <c r="E48" s="1959" t="s">
        <v>4568</v>
      </c>
      <c r="F48" s="1960" t="s">
        <v>4569</v>
      </c>
      <c r="G48" s="1853" t="s">
        <v>4570</v>
      </c>
      <c r="H48" s="1976" t="s">
        <v>4571</v>
      </c>
      <c r="I48" s="1853" t="s">
        <v>4572</v>
      </c>
      <c r="J48" s="1976" t="s">
        <v>4573</v>
      </c>
      <c r="K48" s="1853" t="s">
        <v>4574</v>
      </c>
      <c r="L48" s="1961" t="s">
        <v>4575</v>
      </c>
      <c r="M48" s="1853" t="s">
        <v>4576</v>
      </c>
      <c r="N48" s="1961" t="s">
        <v>4577</v>
      </c>
      <c r="O48" s="1853" t="s">
        <v>4578</v>
      </c>
      <c r="P48" s="1961" t="s">
        <v>4579</v>
      </c>
      <c r="Q48" s="1853" t="s">
        <v>4580</v>
      </c>
      <c r="R48" s="1961" t="s">
        <v>4581</v>
      </c>
      <c r="S48" s="1853" t="s">
        <v>4582</v>
      </c>
      <c r="T48" s="1961" t="s">
        <v>4583</v>
      </c>
      <c r="U48" s="1853" t="s">
        <v>4584</v>
      </c>
      <c r="V48" s="1961" t="s">
        <v>4585</v>
      </c>
      <c r="W48" s="1853" t="s">
        <v>4586</v>
      </c>
      <c r="X48" s="1961" t="s">
        <v>4587</v>
      </c>
      <c r="Y48" s="1853" t="s">
        <v>4588</v>
      </c>
      <c r="Z48" s="1961" t="s">
        <v>4589</v>
      </c>
      <c r="AA48" s="1853" t="s">
        <v>4590</v>
      </c>
      <c r="AB48" s="1961" t="s">
        <v>4591</v>
      </c>
      <c r="AC48" s="1853" t="s">
        <v>4592</v>
      </c>
      <c r="AD48" s="1961" t="s">
        <v>4593</v>
      </c>
      <c r="AE48" s="1853" t="s">
        <v>4594</v>
      </c>
      <c r="AF48" s="1961" t="s">
        <v>4595</v>
      </c>
      <c r="AG48" s="1902" t="s">
        <v>4596</v>
      </c>
      <c r="AH48" s="1962" t="s">
        <v>4597</v>
      </c>
      <c r="AI48" s="1902" t="s">
        <v>4598</v>
      </c>
      <c r="AJ48" s="1962" t="s">
        <v>4599</v>
      </c>
      <c r="AK48" s="1902" t="s">
        <v>4600</v>
      </c>
      <c r="AL48" s="1962" t="s">
        <v>4601</v>
      </c>
      <c r="AM48" s="1902" t="s">
        <v>4602</v>
      </c>
      <c r="AN48" s="1910" t="s">
        <v>4603</v>
      </c>
      <c r="AO48" s="1963" t="s">
        <v>4604</v>
      </c>
      <c r="AP48" s="1962" t="s">
        <v>4605</v>
      </c>
      <c r="AQ48" s="1977" t="s">
        <v>4606</v>
      </c>
      <c r="AR48" s="1864" t="str">
        <f t="shared" si="47"/>
        <v xml:space="preserve">* La variable Pueblos Originarios no debe ser mayor al Total Ambos Sexos. * La variable Migrantes no debe ser mayor al Total Ambos Sexos. </v>
      </c>
      <c r="BV48" s="1936"/>
      <c r="BW48" s="1936"/>
      <c r="BX48" s="1936"/>
      <c r="BY48" s="1936"/>
      <c r="BZ48" s="1936"/>
      <c r="CA48" s="1936"/>
      <c r="CB48" s="1865" t="str">
        <f t="shared" si="48"/>
        <v xml:space="preserve">* La variable Pueblos Originarios no debe ser mayor al Total Ambos Sexos. </v>
      </c>
      <c r="CC48" s="1865" t="str">
        <f t="shared" si="49"/>
        <v xml:space="preserve">* La variable Migrantes no debe ser mayor al Total Ambos Sexos. </v>
      </c>
      <c r="CD48" s="1945"/>
      <c r="CE48" s="1936"/>
      <c r="CV48" s="1867">
        <f t="shared" si="51"/>
        <v>1</v>
      </c>
      <c r="CW48" s="1867">
        <f t="shared" si="52"/>
        <v>1</v>
      </c>
    </row>
    <row r="49" spans="1:101" ht="13.5" customHeight="1" x14ac:dyDescent="0.25">
      <c r="A49" s="5601" t="s">
        <v>4460</v>
      </c>
      <c r="B49" s="6058"/>
      <c r="C49" s="357" t="s">
        <v>98</v>
      </c>
      <c r="D49" s="1978" t="s">
        <v>4567</v>
      </c>
      <c r="E49" s="1979" t="s">
        <v>4568</v>
      </c>
      <c r="F49" s="1980" t="s">
        <v>4569</v>
      </c>
      <c r="G49" s="1981" t="s">
        <v>4570</v>
      </c>
      <c r="H49" s="1982" t="s">
        <v>4571</v>
      </c>
      <c r="I49" s="1981" t="s">
        <v>4572</v>
      </c>
      <c r="J49" s="1982" t="s">
        <v>4573</v>
      </c>
      <c r="K49" s="1981" t="s">
        <v>4574</v>
      </c>
      <c r="L49" s="32" t="s">
        <v>4575</v>
      </c>
      <c r="M49" s="1981" t="s">
        <v>4576</v>
      </c>
      <c r="N49" s="32" t="s">
        <v>4577</v>
      </c>
      <c r="O49" s="1981" t="s">
        <v>4578</v>
      </c>
      <c r="P49" s="32" t="s">
        <v>4579</v>
      </c>
      <c r="Q49" s="1981" t="s">
        <v>4580</v>
      </c>
      <c r="R49" s="32" t="s">
        <v>4581</v>
      </c>
      <c r="S49" s="1981" t="s">
        <v>4582</v>
      </c>
      <c r="T49" s="32" t="s">
        <v>4583</v>
      </c>
      <c r="U49" s="1981" t="s">
        <v>4584</v>
      </c>
      <c r="V49" s="32" t="s">
        <v>4585</v>
      </c>
      <c r="W49" s="1981" t="s">
        <v>4586</v>
      </c>
      <c r="X49" s="32" t="s">
        <v>4587</v>
      </c>
      <c r="Y49" s="1981" t="s">
        <v>4588</v>
      </c>
      <c r="Z49" s="32" t="s">
        <v>4589</v>
      </c>
      <c r="AA49" s="1981" t="s">
        <v>4590</v>
      </c>
      <c r="AB49" s="32" t="s">
        <v>4591</v>
      </c>
      <c r="AC49" s="1981" t="s">
        <v>4592</v>
      </c>
      <c r="AD49" s="32" t="s">
        <v>4593</v>
      </c>
      <c r="AE49" s="1981" t="s">
        <v>4594</v>
      </c>
      <c r="AF49" s="32" t="s">
        <v>4595</v>
      </c>
      <c r="AG49" s="1887" t="s">
        <v>4596</v>
      </c>
      <c r="AH49" s="30" t="s">
        <v>4597</v>
      </c>
      <c r="AI49" s="1887" t="s">
        <v>4598</v>
      </c>
      <c r="AJ49" s="30" t="s">
        <v>4599</v>
      </c>
      <c r="AK49" s="1887" t="s">
        <v>4600</v>
      </c>
      <c r="AL49" s="30" t="s">
        <v>4601</v>
      </c>
      <c r="AM49" s="1887" t="s">
        <v>4602</v>
      </c>
      <c r="AN49" s="1911" t="s">
        <v>4603</v>
      </c>
      <c r="AO49" s="1983" t="s">
        <v>4604</v>
      </c>
      <c r="AP49" s="30" t="s">
        <v>4605</v>
      </c>
      <c r="AQ49" s="1984" t="s">
        <v>4606</v>
      </c>
      <c r="AR49" s="1864" t="str">
        <f t="shared" si="47"/>
        <v xml:space="preserve">* La variable Pueblos Originarios no debe ser mayor al Total Ambos Sexos. * La variable Migrantes no debe ser mayor al Total Ambos Sexos. </v>
      </c>
      <c r="BV49" s="1936"/>
      <c r="BW49" s="1936"/>
      <c r="BX49" s="1936"/>
      <c r="BY49" s="1936"/>
      <c r="BZ49" s="1936"/>
      <c r="CA49" s="1936"/>
      <c r="CB49" s="1865" t="str">
        <f t="shared" si="48"/>
        <v xml:space="preserve">* La variable Pueblos Originarios no debe ser mayor al Total Ambos Sexos. </v>
      </c>
      <c r="CC49" s="1865" t="str">
        <f t="shared" si="49"/>
        <v xml:space="preserve">* La variable Migrantes no debe ser mayor al Total Ambos Sexos. </v>
      </c>
      <c r="CD49" s="1945"/>
      <c r="CE49" s="1936"/>
      <c r="CV49" s="1867">
        <f t="shared" si="51"/>
        <v>1</v>
      </c>
      <c r="CW49" s="1867">
        <f t="shared" si="52"/>
        <v>1</v>
      </c>
    </row>
    <row r="50" spans="1:101" ht="22.5" x14ac:dyDescent="0.25">
      <c r="A50" s="5601" t="s">
        <v>4461</v>
      </c>
      <c r="B50" s="6059"/>
      <c r="C50" s="1985" t="s">
        <v>107</v>
      </c>
      <c r="D50" s="1971" t="s">
        <v>4567</v>
      </c>
      <c r="E50" s="1972" t="s">
        <v>4568</v>
      </c>
      <c r="F50" s="1973" t="s">
        <v>4569</v>
      </c>
      <c r="G50" s="1871" t="s">
        <v>4570</v>
      </c>
      <c r="H50" s="1986" t="s">
        <v>4571</v>
      </c>
      <c r="I50" s="1871" t="s">
        <v>4572</v>
      </c>
      <c r="J50" s="1986" t="s">
        <v>4573</v>
      </c>
      <c r="K50" s="1871" t="s">
        <v>4574</v>
      </c>
      <c r="L50" s="1987" t="s">
        <v>4575</v>
      </c>
      <c r="M50" s="1871" t="s">
        <v>4576</v>
      </c>
      <c r="N50" s="1987" t="s">
        <v>4577</v>
      </c>
      <c r="O50" s="1871" t="s">
        <v>4578</v>
      </c>
      <c r="P50" s="1987" t="s">
        <v>4579</v>
      </c>
      <c r="Q50" s="1871" t="s">
        <v>4580</v>
      </c>
      <c r="R50" s="1987" t="s">
        <v>4581</v>
      </c>
      <c r="S50" s="1871" t="s">
        <v>4582</v>
      </c>
      <c r="T50" s="1987" t="s">
        <v>4583</v>
      </c>
      <c r="U50" s="1871" t="s">
        <v>4584</v>
      </c>
      <c r="V50" s="1987" t="s">
        <v>4585</v>
      </c>
      <c r="W50" s="1871" t="s">
        <v>4586</v>
      </c>
      <c r="X50" s="1987" t="s">
        <v>4587</v>
      </c>
      <c r="Y50" s="1871" t="s">
        <v>4588</v>
      </c>
      <c r="Z50" s="1987" t="s">
        <v>4589</v>
      </c>
      <c r="AA50" s="1871" t="s">
        <v>4590</v>
      </c>
      <c r="AB50" s="1987" t="s">
        <v>4591</v>
      </c>
      <c r="AC50" s="1871" t="s">
        <v>4592</v>
      </c>
      <c r="AD50" s="1987" t="s">
        <v>4593</v>
      </c>
      <c r="AE50" s="1871" t="s">
        <v>4594</v>
      </c>
      <c r="AF50" s="1987" t="s">
        <v>4595</v>
      </c>
      <c r="AG50" s="853" t="s">
        <v>4596</v>
      </c>
      <c r="AH50" s="1975" t="s">
        <v>4597</v>
      </c>
      <c r="AI50" s="853" t="s">
        <v>4598</v>
      </c>
      <c r="AJ50" s="1975" t="s">
        <v>4599</v>
      </c>
      <c r="AK50" s="853" t="s">
        <v>4600</v>
      </c>
      <c r="AL50" s="1975" t="s">
        <v>4601</v>
      </c>
      <c r="AM50" s="853" t="s">
        <v>4602</v>
      </c>
      <c r="AN50" s="1919" t="s">
        <v>4603</v>
      </c>
      <c r="AO50" s="1879" t="s">
        <v>4604</v>
      </c>
      <c r="AP50" s="1975" t="s">
        <v>4605</v>
      </c>
      <c r="AQ50" s="1988" t="s">
        <v>4606</v>
      </c>
      <c r="AR50" s="1864" t="str">
        <f t="shared" si="47"/>
        <v xml:space="preserve">* La variable Pueblos Originarios no debe ser mayor al Total Ambos Sexos. * La variable Migrantes no debe ser mayor al Total Ambos Sexos. </v>
      </c>
      <c r="BV50" s="1936"/>
      <c r="BW50" s="1936"/>
      <c r="BX50" s="1936"/>
      <c r="BY50" s="1936"/>
      <c r="BZ50" s="1936"/>
      <c r="CA50" s="1936"/>
      <c r="CB50" s="1865" t="str">
        <f t="shared" si="48"/>
        <v xml:space="preserve">* La variable Pueblos Originarios no debe ser mayor al Total Ambos Sexos. </v>
      </c>
      <c r="CC50" s="1865" t="str">
        <f t="shared" si="49"/>
        <v xml:space="preserve">* La variable Migrantes no debe ser mayor al Total Ambos Sexos. </v>
      </c>
      <c r="CD50" s="1945"/>
      <c r="CE50" s="1936"/>
      <c r="CV50" s="1867">
        <f t="shared" si="51"/>
        <v>1</v>
      </c>
      <c r="CW50" s="1867">
        <f t="shared" si="52"/>
        <v>1</v>
      </c>
    </row>
    <row r="51" spans="1:101" ht="13.5" customHeight="1" x14ac:dyDescent="0.25">
      <c r="A51" s="5601" t="s">
        <v>4462</v>
      </c>
      <c r="B51" s="6060" t="s">
        <v>108</v>
      </c>
      <c r="C51" s="1851" t="s">
        <v>64</v>
      </c>
      <c r="D51" s="1989" t="s">
        <v>4567</v>
      </c>
      <c r="E51" s="1990" t="s">
        <v>4568</v>
      </c>
      <c r="F51" s="1991" t="s">
        <v>4569</v>
      </c>
      <c r="G51" s="1853" t="s">
        <v>4570</v>
      </c>
      <c r="H51" s="1976" t="s">
        <v>4571</v>
      </c>
      <c r="I51" s="1853" t="s">
        <v>4572</v>
      </c>
      <c r="J51" s="1976" t="s">
        <v>4573</v>
      </c>
      <c r="K51" s="1853" t="s">
        <v>4574</v>
      </c>
      <c r="L51" s="1961" t="s">
        <v>4575</v>
      </c>
      <c r="M51" s="1853" t="s">
        <v>4576</v>
      </c>
      <c r="N51" s="1961" t="s">
        <v>4577</v>
      </c>
      <c r="O51" s="1853" t="s">
        <v>4578</v>
      </c>
      <c r="P51" s="1961" t="s">
        <v>4579</v>
      </c>
      <c r="Q51" s="1853" t="s">
        <v>4580</v>
      </c>
      <c r="R51" s="1961" t="s">
        <v>4581</v>
      </c>
      <c r="S51" s="1853" t="s">
        <v>4582</v>
      </c>
      <c r="T51" s="1961" t="s">
        <v>4583</v>
      </c>
      <c r="U51" s="1853" t="s">
        <v>4584</v>
      </c>
      <c r="V51" s="1961" t="s">
        <v>4585</v>
      </c>
      <c r="W51" s="1853" t="s">
        <v>4586</v>
      </c>
      <c r="X51" s="1961" t="s">
        <v>4587</v>
      </c>
      <c r="Y51" s="1853" t="s">
        <v>4588</v>
      </c>
      <c r="Z51" s="1961" t="s">
        <v>4589</v>
      </c>
      <c r="AA51" s="1853" t="s">
        <v>4590</v>
      </c>
      <c r="AB51" s="1961" t="s">
        <v>4591</v>
      </c>
      <c r="AC51" s="1853" t="s">
        <v>4592</v>
      </c>
      <c r="AD51" s="1961" t="s">
        <v>4593</v>
      </c>
      <c r="AE51" s="1853" t="s">
        <v>4594</v>
      </c>
      <c r="AF51" s="1961" t="s">
        <v>4595</v>
      </c>
      <c r="AG51" s="1902" t="s">
        <v>4596</v>
      </c>
      <c r="AH51" s="1962" t="s">
        <v>4597</v>
      </c>
      <c r="AI51" s="1902" t="s">
        <v>4598</v>
      </c>
      <c r="AJ51" s="1962" t="s">
        <v>4599</v>
      </c>
      <c r="AK51" s="1902" t="s">
        <v>4600</v>
      </c>
      <c r="AL51" s="1962" t="s">
        <v>4601</v>
      </c>
      <c r="AM51" s="1902" t="s">
        <v>4602</v>
      </c>
      <c r="AN51" s="1910" t="s">
        <v>4603</v>
      </c>
      <c r="AO51" s="1963" t="s">
        <v>4604</v>
      </c>
      <c r="AP51" s="1962" t="s">
        <v>4605</v>
      </c>
      <c r="AQ51" s="1977" t="s">
        <v>4606</v>
      </c>
      <c r="AR51" s="1864" t="str">
        <f t="shared" si="47"/>
        <v xml:space="preserve">* La variable Pueblos Originarios no debe ser mayor al Total Ambos Sexos. * La variable Migrantes no debe ser mayor al Total Ambos Sexos. </v>
      </c>
      <c r="BV51" s="1936"/>
      <c r="BW51" s="1936"/>
      <c r="BX51" s="1936"/>
      <c r="BY51" s="1936"/>
      <c r="BZ51" s="1936"/>
      <c r="CA51" s="1936"/>
      <c r="CB51" s="1865" t="str">
        <f t="shared" si="48"/>
        <v xml:space="preserve">* La variable Pueblos Originarios no debe ser mayor al Total Ambos Sexos. </v>
      </c>
      <c r="CC51" s="1865" t="str">
        <f t="shared" si="49"/>
        <v xml:space="preserve">* La variable Migrantes no debe ser mayor al Total Ambos Sexos. </v>
      </c>
      <c r="CD51" s="1945"/>
      <c r="CE51" s="1936"/>
      <c r="CV51" s="1867">
        <f t="shared" si="51"/>
        <v>1</v>
      </c>
      <c r="CW51" s="1867">
        <f t="shared" si="52"/>
        <v>1</v>
      </c>
    </row>
    <row r="52" spans="1:101" ht="15" customHeight="1" x14ac:dyDescent="0.25">
      <c r="A52" s="5601" t="s">
        <v>4463</v>
      </c>
      <c r="B52" s="6058"/>
      <c r="C52" s="357" t="s">
        <v>98</v>
      </c>
      <c r="D52" s="1978" t="s">
        <v>4567</v>
      </c>
      <c r="E52" s="1979" t="s">
        <v>4568</v>
      </c>
      <c r="F52" s="1980" t="s">
        <v>4569</v>
      </c>
      <c r="G52" s="1981" t="s">
        <v>4570</v>
      </c>
      <c r="H52" s="1982" t="s">
        <v>4571</v>
      </c>
      <c r="I52" s="1981" t="s">
        <v>4572</v>
      </c>
      <c r="J52" s="1982" t="s">
        <v>4573</v>
      </c>
      <c r="K52" s="1981" t="s">
        <v>4574</v>
      </c>
      <c r="L52" s="32" t="s">
        <v>4575</v>
      </c>
      <c r="M52" s="1981" t="s">
        <v>4576</v>
      </c>
      <c r="N52" s="32" t="s">
        <v>4577</v>
      </c>
      <c r="O52" s="1981" t="s">
        <v>4578</v>
      </c>
      <c r="P52" s="32" t="s">
        <v>4579</v>
      </c>
      <c r="Q52" s="1981" t="s">
        <v>4580</v>
      </c>
      <c r="R52" s="32" t="s">
        <v>4581</v>
      </c>
      <c r="S52" s="1981" t="s">
        <v>4582</v>
      </c>
      <c r="T52" s="32" t="s">
        <v>4583</v>
      </c>
      <c r="U52" s="1981" t="s">
        <v>4584</v>
      </c>
      <c r="V52" s="32" t="s">
        <v>4585</v>
      </c>
      <c r="W52" s="1981" t="s">
        <v>4586</v>
      </c>
      <c r="X52" s="32" t="s">
        <v>4587</v>
      </c>
      <c r="Y52" s="1981" t="s">
        <v>4588</v>
      </c>
      <c r="Z52" s="32" t="s">
        <v>4589</v>
      </c>
      <c r="AA52" s="1981" t="s">
        <v>4590</v>
      </c>
      <c r="AB52" s="32" t="s">
        <v>4591</v>
      </c>
      <c r="AC52" s="1981" t="s">
        <v>4592</v>
      </c>
      <c r="AD52" s="32" t="s">
        <v>4593</v>
      </c>
      <c r="AE52" s="1981" t="s">
        <v>4594</v>
      </c>
      <c r="AF52" s="32" t="s">
        <v>4595</v>
      </c>
      <c r="AG52" s="1887" t="s">
        <v>4596</v>
      </c>
      <c r="AH52" s="30" t="s">
        <v>4597</v>
      </c>
      <c r="AI52" s="1887" t="s">
        <v>4598</v>
      </c>
      <c r="AJ52" s="30" t="s">
        <v>4599</v>
      </c>
      <c r="AK52" s="1887" t="s">
        <v>4600</v>
      </c>
      <c r="AL52" s="30" t="s">
        <v>4601</v>
      </c>
      <c r="AM52" s="1887" t="s">
        <v>4602</v>
      </c>
      <c r="AN52" s="1911" t="s">
        <v>4603</v>
      </c>
      <c r="AO52" s="1983" t="s">
        <v>4604</v>
      </c>
      <c r="AP52" s="30" t="s">
        <v>4605</v>
      </c>
      <c r="AQ52" s="1984" t="s">
        <v>4606</v>
      </c>
      <c r="AR52" s="1864" t="str">
        <f t="shared" si="47"/>
        <v xml:space="preserve">* La variable Pueblos Originarios no debe ser mayor al Total Ambos Sexos. * La variable Migrantes no debe ser mayor al Total Ambos Sexos. </v>
      </c>
      <c r="BV52" s="1936"/>
      <c r="BW52" s="1936"/>
      <c r="BX52" s="1936"/>
      <c r="BY52" s="1936"/>
      <c r="BZ52" s="1936"/>
      <c r="CA52" s="1936"/>
      <c r="CB52" s="1865" t="str">
        <f t="shared" si="48"/>
        <v xml:space="preserve">* La variable Pueblos Originarios no debe ser mayor al Total Ambos Sexos. </v>
      </c>
      <c r="CC52" s="1865" t="str">
        <f t="shared" si="49"/>
        <v xml:space="preserve">* La variable Migrantes no debe ser mayor al Total Ambos Sexos. </v>
      </c>
      <c r="CD52" s="1945"/>
      <c r="CE52" s="1936"/>
      <c r="CV52" s="1867">
        <f t="shared" si="51"/>
        <v>1</v>
      </c>
      <c r="CW52" s="1867">
        <f t="shared" si="52"/>
        <v>1</v>
      </c>
    </row>
    <row r="53" spans="1:101" ht="24.6" customHeight="1" x14ac:dyDescent="0.25">
      <c r="A53" s="5601" t="s">
        <v>4464</v>
      </c>
      <c r="B53" s="6059"/>
      <c r="C53" s="1985" t="s">
        <v>107</v>
      </c>
      <c r="D53" s="1992" t="s">
        <v>4567</v>
      </c>
      <c r="E53" s="1993" t="s">
        <v>4568</v>
      </c>
      <c r="F53" s="1994" t="s">
        <v>4569</v>
      </c>
      <c r="G53" s="1871" t="s">
        <v>4570</v>
      </c>
      <c r="H53" s="1986" t="s">
        <v>4571</v>
      </c>
      <c r="I53" s="1871" t="s">
        <v>4572</v>
      </c>
      <c r="J53" s="1986" t="s">
        <v>4573</v>
      </c>
      <c r="K53" s="1871" t="s">
        <v>4574</v>
      </c>
      <c r="L53" s="1987" t="s">
        <v>4575</v>
      </c>
      <c r="M53" s="1871" t="s">
        <v>4576</v>
      </c>
      <c r="N53" s="1987" t="s">
        <v>4577</v>
      </c>
      <c r="O53" s="1871" t="s">
        <v>4578</v>
      </c>
      <c r="P53" s="1987" t="s">
        <v>4579</v>
      </c>
      <c r="Q53" s="1871" t="s">
        <v>4580</v>
      </c>
      <c r="R53" s="1987" t="s">
        <v>4581</v>
      </c>
      <c r="S53" s="1871" t="s">
        <v>4582</v>
      </c>
      <c r="T53" s="1987" t="s">
        <v>4583</v>
      </c>
      <c r="U53" s="1871" t="s">
        <v>4584</v>
      </c>
      <c r="V53" s="1987" t="s">
        <v>4585</v>
      </c>
      <c r="W53" s="1871" t="s">
        <v>4586</v>
      </c>
      <c r="X53" s="1987" t="s">
        <v>4587</v>
      </c>
      <c r="Y53" s="1871" t="s">
        <v>4588</v>
      </c>
      <c r="Z53" s="1987" t="s">
        <v>4589</v>
      </c>
      <c r="AA53" s="1871" t="s">
        <v>4590</v>
      </c>
      <c r="AB53" s="1987" t="s">
        <v>4591</v>
      </c>
      <c r="AC53" s="1871" t="s">
        <v>4592</v>
      </c>
      <c r="AD53" s="1987" t="s">
        <v>4593</v>
      </c>
      <c r="AE53" s="1871" t="s">
        <v>4594</v>
      </c>
      <c r="AF53" s="1987" t="s">
        <v>4595</v>
      </c>
      <c r="AG53" s="853" t="s">
        <v>4596</v>
      </c>
      <c r="AH53" s="1975" t="s">
        <v>4597</v>
      </c>
      <c r="AI53" s="853" t="s">
        <v>4598</v>
      </c>
      <c r="AJ53" s="1975" t="s">
        <v>4599</v>
      </c>
      <c r="AK53" s="853" t="s">
        <v>4600</v>
      </c>
      <c r="AL53" s="1975" t="s">
        <v>4601</v>
      </c>
      <c r="AM53" s="853" t="s">
        <v>4602</v>
      </c>
      <c r="AN53" s="1919" t="s">
        <v>4603</v>
      </c>
      <c r="AO53" s="1879" t="s">
        <v>4604</v>
      </c>
      <c r="AP53" s="1975" t="s">
        <v>4605</v>
      </c>
      <c r="AQ53" s="1988" t="s">
        <v>4606</v>
      </c>
      <c r="AR53" s="1864" t="str">
        <f t="shared" si="47"/>
        <v xml:space="preserve">* La variable Pueblos Originarios no debe ser mayor al Total Ambos Sexos. * La variable Migrantes no debe ser mayor al Total Ambos Sexos. </v>
      </c>
      <c r="BV53" s="1936"/>
      <c r="BW53" s="1936"/>
      <c r="BX53" s="1936"/>
      <c r="BY53" s="1936"/>
      <c r="BZ53" s="1936"/>
      <c r="CA53" s="1936"/>
      <c r="CB53" s="1865" t="str">
        <f t="shared" si="48"/>
        <v xml:space="preserve">* La variable Pueblos Originarios no debe ser mayor al Total Ambos Sexos. </v>
      </c>
      <c r="CC53" s="1865" t="str">
        <f t="shared" si="49"/>
        <v xml:space="preserve">* La variable Migrantes no debe ser mayor al Total Ambos Sexos. </v>
      </c>
      <c r="CD53" s="1945"/>
      <c r="CE53" s="1936"/>
      <c r="CV53" s="1867">
        <f t="shared" si="51"/>
        <v>1</v>
      </c>
      <c r="CW53" s="1867">
        <f t="shared" si="52"/>
        <v>1</v>
      </c>
    </row>
    <row r="54" spans="1:101" ht="15" customHeight="1" x14ac:dyDescent="0.25">
      <c r="A54" s="5601" t="s">
        <v>4465</v>
      </c>
      <c r="B54" s="6061" t="s">
        <v>109</v>
      </c>
      <c r="C54" s="1851" t="s">
        <v>64</v>
      </c>
      <c r="D54" s="1995" t="s">
        <v>4567</v>
      </c>
      <c r="E54" s="1996" t="s">
        <v>4568</v>
      </c>
      <c r="F54" s="1997" t="s">
        <v>4569</v>
      </c>
      <c r="G54" s="1902" t="s">
        <v>4570</v>
      </c>
      <c r="H54" s="1962" t="s">
        <v>4571</v>
      </c>
      <c r="I54" s="1902" t="s">
        <v>4572</v>
      </c>
      <c r="J54" s="1962" t="s">
        <v>4573</v>
      </c>
      <c r="K54" s="1902" t="s">
        <v>4574</v>
      </c>
      <c r="L54" s="1962" t="s">
        <v>4575</v>
      </c>
      <c r="M54" s="1902" t="s">
        <v>4576</v>
      </c>
      <c r="N54" s="1962" t="s">
        <v>4577</v>
      </c>
      <c r="O54" s="1902" t="s">
        <v>4578</v>
      </c>
      <c r="P54" s="1962" t="s">
        <v>4579</v>
      </c>
      <c r="Q54" s="1902" t="s">
        <v>4580</v>
      </c>
      <c r="R54" s="1962" t="s">
        <v>4581</v>
      </c>
      <c r="S54" s="1902" t="s">
        <v>4582</v>
      </c>
      <c r="T54" s="1962" t="s">
        <v>4583</v>
      </c>
      <c r="U54" s="1902" t="s">
        <v>4584</v>
      </c>
      <c r="V54" s="1962" t="s">
        <v>4585</v>
      </c>
      <c r="W54" s="1902" t="s">
        <v>4586</v>
      </c>
      <c r="X54" s="1962" t="s">
        <v>4587</v>
      </c>
      <c r="Y54" s="1902" t="s">
        <v>4588</v>
      </c>
      <c r="Z54" s="1962" t="s">
        <v>4589</v>
      </c>
      <c r="AA54" s="1902" t="s">
        <v>4590</v>
      </c>
      <c r="AB54" s="1962" t="s">
        <v>4591</v>
      </c>
      <c r="AC54" s="1902" t="s">
        <v>4592</v>
      </c>
      <c r="AD54" s="1962" t="s">
        <v>4593</v>
      </c>
      <c r="AE54" s="1902" t="s">
        <v>4594</v>
      </c>
      <c r="AF54" s="1962" t="s">
        <v>4595</v>
      </c>
      <c r="AG54" s="1902" t="s">
        <v>4596</v>
      </c>
      <c r="AH54" s="1962" t="s">
        <v>4597</v>
      </c>
      <c r="AI54" s="1902" t="s">
        <v>4598</v>
      </c>
      <c r="AJ54" s="1962" t="s">
        <v>4599</v>
      </c>
      <c r="AK54" s="1902" t="s">
        <v>4600</v>
      </c>
      <c r="AL54" s="1962" t="s">
        <v>4601</v>
      </c>
      <c r="AM54" s="1902" t="s">
        <v>4602</v>
      </c>
      <c r="AN54" s="1910" t="s">
        <v>4603</v>
      </c>
      <c r="AO54" s="1963" t="s">
        <v>4604</v>
      </c>
      <c r="AP54" s="1962" t="s">
        <v>4605</v>
      </c>
      <c r="AQ54" s="1977" t="s">
        <v>4606</v>
      </c>
      <c r="AR54" s="1864" t="str">
        <f t="shared" si="47"/>
        <v xml:space="preserve">* La variable Pueblos Originarios no debe ser mayor al Total Ambos Sexos. * La variable Migrantes no debe ser mayor al Total Ambos Sexos. </v>
      </c>
      <c r="BV54" s="1936"/>
      <c r="BW54" s="1936"/>
      <c r="BX54" s="1936"/>
      <c r="BY54" s="1936"/>
      <c r="BZ54" s="1936"/>
      <c r="CA54" s="1936"/>
      <c r="CB54" s="1865" t="str">
        <f t="shared" si="48"/>
        <v xml:space="preserve">* La variable Pueblos Originarios no debe ser mayor al Total Ambos Sexos. </v>
      </c>
      <c r="CC54" s="1865" t="str">
        <f t="shared" si="49"/>
        <v xml:space="preserve">* La variable Migrantes no debe ser mayor al Total Ambos Sexos. </v>
      </c>
      <c r="CD54" s="1945"/>
      <c r="CE54" s="1936"/>
      <c r="CV54" s="1867">
        <f t="shared" si="51"/>
        <v>1</v>
      </c>
      <c r="CW54" s="1867">
        <f t="shared" si="52"/>
        <v>1</v>
      </c>
    </row>
    <row r="55" spans="1:101" ht="15" customHeight="1" x14ac:dyDescent="0.25">
      <c r="A55" s="5601" t="s">
        <v>4466</v>
      </c>
      <c r="B55" s="6058"/>
      <c r="C55" s="357" t="s">
        <v>98</v>
      </c>
      <c r="D55" s="1998" t="s">
        <v>4567</v>
      </c>
      <c r="E55" s="1999" t="s">
        <v>4568</v>
      </c>
      <c r="F55" s="2000" t="s">
        <v>4569</v>
      </c>
      <c r="G55" s="328" t="s">
        <v>4570</v>
      </c>
      <c r="H55" s="1969" t="s">
        <v>4571</v>
      </c>
      <c r="I55" s="328" t="s">
        <v>4572</v>
      </c>
      <c r="J55" s="1969" t="s">
        <v>4573</v>
      </c>
      <c r="K55" s="328" t="s">
        <v>4574</v>
      </c>
      <c r="L55" s="1969" t="s">
        <v>4575</v>
      </c>
      <c r="M55" s="328" t="s">
        <v>4576</v>
      </c>
      <c r="N55" s="1969" t="s">
        <v>4577</v>
      </c>
      <c r="O55" s="328" t="s">
        <v>4578</v>
      </c>
      <c r="P55" s="1969" t="s">
        <v>4579</v>
      </c>
      <c r="Q55" s="328" t="s">
        <v>4580</v>
      </c>
      <c r="R55" s="1969" t="s">
        <v>4581</v>
      </c>
      <c r="S55" s="328" t="s">
        <v>4582</v>
      </c>
      <c r="T55" s="1969" t="s">
        <v>4583</v>
      </c>
      <c r="U55" s="328" t="s">
        <v>4584</v>
      </c>
      <c r="V55" s="1969" t="s">
        <v>4585</v>
      </c>
      <c r="W55" s="328" t="s">
        <v>4586</v>
      </c>
      <c r="X55" s="1969" t="s">
        <v>4587</v>
      </c>
      <c r="Y55" s="328" t="s">
        <v>4588</v>
      </c>
      <c r="Z55" s="1969" t="s">
        <v>4589</v>
      </c>
      <c r="AA55" s="328" t="s">
        <v>4590</v>
      </c>
      <c r="AB55" s="1969" t="s">
        <v>4591</v>
      </c>
      <c r="AC55" s="328" t="s">
        <v>4592</v>
      </c>
      <c r="AD55" s="1969" t="s">
        <v>4593</v>
      </c>
      <c r="AE55" s="328" t="s">
        <v>4594</v>
      </c>
      <c r="AF55" s="1969" t="s">
        <v>4595</v>
      </c>
      <c r="AG55" s="328" t="s">
        <v>4596</v>
      </c>
      <c r="AH55" s="1969" t="s">
        <v>4597</v>
      </c>
      <c r="AI55" s="328" t="s">
        <v>4598</v>
      </c>
      <c r="AJ55" s="1969" t="s">
        <v>4599</v>
      </c>
      <c r="AK55" s="328" t="s">
        <v>4600</v>
      </c>
      <c r="AL55" s="1969" t="s">
        <v>4601</v>
      </c>
      <c r="AM55" s="328" t="s">
        <v>4602</v>
      </c>
      <c r="AN55" s="331" t="s">
        <v>4603</v>
      </c>
      <c r="AO55" s="1970" t="s">
        <v>4604</v>
      </c>
      <c r="AP55" s="1969" t="s">
        <v>4605</v>
      </c>
      <c r="AQ55" s="2001" t="s">
        <v>4606</v>
      </c>
      <c r="AR55" s="1864" t="str">
        <f t="shared" si="47"/>
        <v xml:space="preserve">* La variable Pueblos Originarios no debe ser mayor al Total Ambos Sexos. * La variable Migrantes no debe ser mayor al Total Ambos Sexos. </v>
      </c>
      <c r="BV55" s="1936"/>
      <c r="BW55" s="1936"/>
      <c r="BX55" s="1936"/>
      <c r="BY55" s="1936"/>
      <c r="BZ55" s="1936"/>
      <c r="CA55" s="1936"/>
      <c r="CB55" s="1865" t="str">
        <f t="shared" si="48"/>
        <v xml:space="preserve">* La variable Pueblos Originarios no debe ser mayor al Total Ambos Sexos. </v>
      </c>
      <c r="CC55" s="1865" t="str">
        <f t="shared" si="49"/>
        <v xml:space="preserve">* La variable Migrantes no debe ser mayor al Total Ambos Sexos. </v>
      </c>
      <c r="CD55" s="1945"/>
      <c r="CE55" s="1936"/>
      <c r="CV55" s="1867">
        <f t="shared" si="51"/>
        <v>1</v>
      </c>
      <c r="CW55" s="1867">
        <f t="shared" si="52"/>
        <v>1</v>
      </c>
    </row>
    <row r="56" spans="1:101" ht="15" customHeight="1" x14ac:dyDescent="0.25">
      <c r="A56" s="5601" t="s">
        <v>4467</v>
      </c>
      <c r="B56" s="6059"/>
      <c r="C56" s="357" t="s">
        <v>65</v>
      </c>
      <c r="D56" s="2002" t="s">
        <v>4567</v>
      </c>
      <c r="E56" s="2003" t="s">
        <v>4568</v>
      </c>
      <c r="F56" s="2004" t="s">
        <v>4569</v>
      </c>
      <c r="G56" s="853" t="s">
        <v>4570</v>
      </c>
      <c r="H56" s="1975" t="s">
        <v>4571</v>
      </c>
      <c r="I56" s="853" t="s">
        <v>4572</v>
      </c>
      <c r="J56" s="1975" t="s">
        <v>4573</v>
      </c>
      <c r="K56" s="853" t="s">
        <v>4574</v>
      </c>
      <c r="L56" s="1975" t="s">
        <v>4575</v>
      </c>
      <c r="M56" s="853" t="s">
        <v>4576</v>
      </c>
      <c r="N56" s="1975" t="s">
        <v>4577</v>
      </c>
      <c r="O56" s="853" t="s">
        <v>4578</v>
      </c>
      <c r="P56" s="1975" t="s">
        <v>4579</v>
      </c>
      <c r="Q56" s="853" t="s">
        <v>4580</v>
      </c>
      <c r="R56" s="1975" t="s">
        <v>4581</v>
      </c>
      <c r="S56" s="853" t="s">
        <v>4582</v>
      </c>
      <c r="T56" s="1975" t="s">
        <v>4583</v>
      </c>
      <c r="U56" s="853" t="s">
        <v>4584</v>
      </c>
      <c r="V56" s="1975" t="s">
        <v>4585</v>
      </c>
      <c r="W56" s="853" t="s">
        <v>4586</v>
      </c>
      <c r="X56" s="1975" t="s">
        <v>4587</v>
      </c>
      <c r="Y56" s="853" t="s">
        <v>4588</v>
      </c>
      <c r="Z56" s="1975" t="s">
        <v>4589</v>
      </c>
      <c r="AA56" s="853" t="s">
        <v>4590</v>
      </c>
      <c r="AB56" s="1975" t="s">
        <v>4591</v>
      </c>
      <c r="AC56" s="853" t="s">
        <v>4592</v>
      </c>
      <c r="AD56" s="1975" t="s">
        <v>4593</v>
      </c>
      <c r="AE56" s="853" t="s">
        <v>4594</v>
      </c>
      <c r="AF56" s="1975" t="s">
        <v>4595</v>
      </c>
      <c r="AG56" s="853" t="s">
        <v>4596</v>
      </c>
      <c r="AH56" s="1975" t="s">
        <v>4597</v>
      </c>
      <c r="AI56" s="853" t="s">
        <v>4598</v>
      </c>
      <c r="AJ56" s="1975" t="s">
        <v>4599</v>
      </c>
      <c r="AK56" s="853" t="s">
        <v>4600</v>
      </c>
      <c r="AL56" s="1975" t="s">
        <v>4601</v>
      </c>
      <c r="AM56" s="853" t="s">
        <v>4602</v>
      </c>
      <c r="AN56" s="1919" t="s">
        <v>4603</v>
      </c>
      <c r="AO56" s="1879" t="s">
        <v>4604</v>
      </c>
      <c r="AP56" s="1975" t="s">
        <v>4605</v>
      </c>
      <c r="AQ56" s="1988" t="s">
        <v>4606</v>
      </c>
      <c r="AR56" s="1864" t="str">
        <f t="shared" si="47"/>
        <v xml:space="preserve">* La variable Pueblos Originarios no debe ser mayor al Total Ambos Sexos. * La variable Migrantes no debe ser mayor al Total Ambos Sexos. </v>
      </c>
      <c r="BV56" s="1936"/>
      <c r="BW56" s="1936"/>
      <c r="BX56" s="1936"/>
      <c r="BY56" s="1936"/>
      <c r="BZ56" s="1936"/>
      <c r="CA56" s="1936"/>
      <c r="CB56" s="1865" t="str">
        <f t="shared" si="48"/>
        <v xml:space="preserve">* La variable Pueblos Originarios no debe ser mayor al Total Ambos Sexos. </v>
      </c>
      <c r="CC56" s="1865" t="str">
        <f t="shared" si="49"/>
        <v xml:space="preserve">* La variable Migrantes no debe ser mayor al Total Ambos Sexos. </v>
      </c>
      <c r="CD56" s="1945"/>
      <c r="CE56" s="1936"/>
      <c r="CV56" s="1867">
        <f t="shared" si="51"/>
        <v>1</v>
      </c>
      <c r="CW56" s="1867">
        <f t="shared" si="52"/>
        <v>1</v>
      </c>
    </row>
    <row r="57" spans="1:101" ht="15" customHeight="1" x14ac:dyDescent="0.25">
      <c r="A57" s="5601" t="s">
        <v>4468</v>
      </c>
      <c r="B57" s="6062" t="s">
        <v>110</v>
      </c>
      <c r="C57" s="1851" t="s">
        <v>64</v>
      </c>
      <c r="D57" s="2005" t="s">
        <v>4567</v>
      </c>
      <c r="E57" s="2006" t="s">
        <v>4568</v>
      </c>
      <c r="F57" s="2007" t="s">
        <v>4569</v>
      </c>
      <c r="G57" s="1902" t="s">
        <v>4570</v>
      </c>
      <c r="H57" s="1962" t="s">
        <v>4571</v>
      </c>
      <c r="I57" s="1902" t="s">
        <v>4572</v>
      </c>
      <c r="J57" s="1962" t="s">
        <v>4573</v>
      </c>
      <c r="K57" s="1902" t="s">
        <v>4574</v>
      </c>
      <c r="L57" s="1962" t="s">
        <v>4575</v>
      </c>
      <c r="M57" s="1902" t="s">
        <v>4576</v>
      </c>
      <c r="N57" s="1962" t="s">
        <v>4577</v>
      </c>
      <c r="O57" s="1902" t="s">
        <v>4578</v>
      </c>
      <c r="P57" s="1962" t="s">
        <v>4579</v>
      </c>
      <c r="Q57" s="1902" t="s">
        <v>4580</v>
      </c>
      <c r="R57" s="1962" t="s">
        <v>4581</v>
      </c>
      <c r="S57" s="1902" t="s">
        <v>4582</v>
      </c>
      <c r="T57" s="1962" t="s">
        <v>4583</v>
      </c>
      <c r="U57" s="1902" t="s">
        <v>4584</v>
      </c>
      <c r="V57" s="1962" t="s">
        <v>4585</v>
      </c>
      <c r="W57" s="1902" t="s">
        <v>4586</v>
      </c>
      <c r="X57" s="1962" t="s">
        <v>4587</v>
      </c>
      <c r="Y57" s="1902" t="s">
        <v>4588</v>
      </c>
      <c r="Z57" s="1962" t="s">
        <v>4589</v>
      </c>
      <c r="AA57" s="1902" t="s">
        <v>4590</v>
      </c>
      <c r="AB57" s="1962" t="s">
        <v>4591</v>
      </c>
      <c r="AC57" s="1902" t="s">
        <v>4592</v>
      </c>
      <c r="AD57" s="1962" t="s">
        <v>4593</v>
      </c>
      <c r="AE57" s="1902" t="s">
        <v>4594</v>
      </c>
      <c r="AF57" s="1962" t="s">
        <v>4595</v>
      </c>
      <c r="AG57" s="1902" t="s">
        <v>4596</v>
      </c>
      <c r="AH57" s="1962" t="s">
        <v>4597</v>
      </c>
      <c r="AI57" s="1902" t="s">
        <v>4598</v>
      </c>
      <c r="AJ57" s="1962" t="s">
        <v>4599</v>
      </c>
      <c r="AK57" s="1902" t="s">
        <v>4600</v>
      </c>
      <c r="AL57" s="1962" t="s">
        <v>4601</v>
      </c>
      <c r="AM57" s="1902" t="s">
        <v>4602</v>
      </c>
      <c r="AN57" s="1910" t="s">
        <v>4603</v>
      </c>
      <c r="AO57" s="1963" t="s">
        <v>4604</v>
      </c>
      <c r="AP57" s="1962" t="s">
        <v>4605</v>
      </c>
      <c r="AQ57" s="1977" t="s">
        <v>4606</v>
      </c>
      <c r="AR57" s="1864" t="str">
        <f t="shared" si="47"/>
        <v xml:space="preserve">* La variable Pueblos Originarios no debe ser mayor al Total Ambos Sexos. * La variable Migrantes no debe ser mayor al Total Ambos Sexos. </v>
      </c>
      <c r="BV57" s="1936"/>
      <c r="BW57" s="1936"/>
      <c r="BX57" s="1936"/>
      <c r="BY57" s="1936"/>
      <c r="BZ57" s="1936"/>
      <c r="CA57" s="1936"/>
      <c r="CB57" s="1865" t="str">
        <f t="shared" si="48"/>
        <v xml:space="preserve">* La variable Pueblos Originarios no debe ser mayor al Total Ambos Sexos. </v>
      </c>
      <c r="CC57" s="1865" t="str">
        <f t="shared" si="49"/>
        <v xml:space="preserve">* La variable Migrantes no debe ser mayor al Total Ambos Sexos. </v>
      </c>
      <c r="CD57" s="1945"/>
      <c r="CE57" s="1936"/>
      <c r="CV57" s="1867">
        <f t="shared" si="51"/>
        <v>1</v>
      </c>
      <c r="CW57" s="1867">
        <f t="shared" si="52"/>
        <v>1</v>
      </c>
    </row>
    <row r="58" spans="1:101" ht="15" customHeight="1" x14ac:dyDescent="0.25">
      <c r="A58" s="5601" t="s">
        <v>4469</v>
      </c>
      <c r="B58" s="6058"/>
      <c r="C58" s="357" t="s">
        <v>98</v>
      </c>
      <c r="D58" s="2008" t="s">
        <v>4567</v>
      </c>
      <c r="E58" s="2009" t="s">
        <v>4568</v>
      </c>
      <c r="F58" s="2010" t="s">
        <v>4569</v>
      </c>
      <c r="G58" s="328" t="s">
        <v>4570</v>
      </c>
      <c r="H58" s="1969" t="s">
        <v>4571</v>
      </c>
      <c r="I58" s="328" t="s">
        <v>4572</v>
      </c>
      <c r="J58" s="1969" t="s">
        <v>4573</v>
      </c>
      <c r="K58" s="328" t="s">
        <v>4574</v>
      </c>
      <c r="L58" s="1969" t="s">
        <v>4575</v>
      </c>
      <c r="M58" s="328" t="s">
        <v>4576</v>
      </c>
      <c r="N58" s="1969" t="s">
        <v>4577</v>
      </c>
      <c r="O58" s="328" t="s">
        <v>4578</v>
      </c>
      <c r="P58" s="1969" t="s">
        <v>4579</v>
      </c>
      <c r="Q58" s="328" t="s">
        <v>4580</v>
      </c>
      <c r="R58" s="1969" t="s">
        <v>4581</v>
      </c>
      <c r="S58" s="328" t="s">
        <v>4582</v>
      </c>
      <c r="T58" s="1969" t="s">
        <v>4583</v>
      </c>
      <c r="U58" s="328" t="s">
        <v>4584</v>
      </c>
      <c r="V58" s="1969" t="s">
        <v>4585</v>
      </c>
      <c r="W58" s="328" t="s">
        <v>4586</v>
      </c>
      <c r="X58" s="1969" t="s">
        <v>4587</v>
      </c>
      <c r="Y58" s="328" t="s">
        <v>4588</v>
      </c>
      <c r="Z58" s="1969" t="s">
        <v>4589</v>
      </c>
      <c r="AA58" s="328" t="s">
        <v>4590</v>
      </c>
      <c r="AB58" s="1969" t="s">
        <v>4591</v>
      </c>
      <c r="AC58" s="328" t="s">
        <v>4592</v>
      </c>
      <c r="AD58" s="1969" t="s">
        <v>4593</v>
      </c>
      <c r="AE58" s="328" t="s">
        <v>4594</v>
      </c>
      <c r="AF58" s="1969" t="s">
        <v>4595</v>
      </c>
      <c r="AG58" s="328" t="s">
        <v>4596</v>
      </c>
      <c r="AH58" s="1969" t="s">
        <v>4597</v>
      </c>
      <c r="AI58" s="328" t="s">
        <v>4598</v>
      </c>
      <c r="AJ58" s="1969" t="s">
        <v>4599</v>
      </c>
      <c r="AK58" s="328" t="s">
        <v>4600</v>
      </c>
      <c r="AL58" s="1969" t="s">
        <v>4601</v>
      </c>
      <c r="AM58" s="328" t="s">
        <v>4602</v>
      </c>
      <c r="AN58" s="331" t="s">
        <v>4603</v>
      </c>
      <c r="AO58" s="1970" t="s">
        <v>4604</v>
      </c>
      <c r="AP58" s="1969" t="s">
        <v>4605</v>
      </c>
      <c r="AQ58" s="2001" t="s">
        <v>4606</v>
      </c>
      <c r="AR58" s="1864" t="str">
        <f t="shared" si="47"/>
        <v xml:space="preserve">* La variable Pueblos Originarios no debe ser mayor al Total Ambos Sexos. * La variable Migrantes no debe ser mayor al Total Ambos Sexos. </v>
      </c>
      <c r="BV58" s="1936"/>
      <c r="BW58" s="1936"/>
      <c r="BX58" s="1936"/>
      <c r="BY58" s="1936"/>
      <c r="BZ58" s="1936"/>
      <c r="CA58" s="1936"/>
      <c r="CB58" s="1865" t="str">
        <f t="shared" si="48"/>
        <v xml:space="preserve">* La variable Pueblos Originarios no debe ser mayor al Total Ambos Sexos. </v>
      </c>
      <c r="CC58" s="1865" t="str">
        <f t="shared" si="49"/>
        <v xml:space="preserve">* La variable Migrantes no debe ser mayor al Total Ambos Sexos. </v>
      </c>
      <c r="CD58" s="1945"/>
      <c r="CE58" s="1936"/>
      <c r="CV58" s="1867">
        <f t="shared" si="51"/>
        <v>1</v>
      </c>
      <c r="CW58" s="1867">
        <f t="shared" si="52"/>
        <v>1</v>
      </c>
    </row>
    <row r="59" spans="1:101" ht="15" customHeight="1" x14ac:dyDescent="0.25">
      <c r="A59" s="5601" t="s">
        <v>4470</v>
      </c>
      <c r="B59" s="6058"/>
      <c r="C59" s="357" t="s">
        <v>65</v>
      </c>
      <c r="D59" s="2008" t="s">
        <v>4567</v>
      </c>
      <c r="E59" s="2009" t="s">
        <v>4568</v>
      </c>
      <c r="F59" s="2010" t="s">
        <v>4569</v>
      </c>
      <c r="G59" s="328" t="s">
        <v>4570</v>
      </c>
      <c r="H59" s="1969" t="s">
        <v>4571</v>
      </c>
      <c r="I59" s="328" t="s">
        <v>4572</v>
      </c>
      <c r="J59" s="1969" t="s">
        <v>4573</v>
      </c>
      <c r="K59" s="328" t="s">
        <v>4574</v>
      </c>
      <c r="L59" s="1969" t="s">
        <v>4575</v>
      </c>
      <c r="M59" s="328" t="s">
        <v>4576</v>
      </c>
      <c r="N59" s="1969" t="s">
        <v>4577</v>
      </c>
      <c r="O59" s="328" t="s">
        <v>4578</v>
      </c>
      <c r="P59" s="1969" t="s">
        <v>4579</v>
      </c>
      <c r="Q59" s="328" t="s">
        <v>4580</v>
      </c>
      <c r="R59" s="1969" t="s">
        <v>4581</v>
      </c>
      <c r="S59" s="328" t="s">
        <v>4582</v>
      </c>
      <c r="T59" s="1969" t="s">
        <v>4583</v>
      </c>
      <c r="U59" s="328" t="s">
        <v>4584</v>
      </c>
      <c r="V59" s="1969" t="s">
        <v>4585</v>
      </c>
      <c r="W59" s="328" t="s">
        <v>4586</v>
      </c>
      <c r="X59" s="1969" t="s">
        <v>4587</v>
      </c>
      <c r="Y59" s="328" t="s">
        <v>4588</v>
      </c>
      <c r="Z59" s="1969" t="s">
        <v>4589</v>
      </c>
      <c r="AA59" s="328" t="s">
        <v>4590</v>
      </c>
      <c r="AB59" s="1969" t="s">
        <v>4591</v>
      </c>
      <c r="AC59" s="328" t="s">
        <v>4592</v>
      </c>
      <c r="AD59" s="1969" t="s">
        <v>4593</v>
      </c>
      <c r="AE59" s="328" t="s">
        <v>4594</v>
      </c>
      <c r="AF59" s="1969" t="s">
        <v>4595</v>
      </c>
      <c r="AG59" s="328" t="s">
        <v>4596</v>
      </c>
      <c r="AH59" s="1969" t="s">
        <v>4597</v>
      </c>
      <c r="AI59" s="328" t="s">
        <v>4598</v>
      </c>
      <c r="AJ59" s="1969" t="s">
        <v>4599</v>
      </c>
      <c r="AK59" s="328" t="s">
        <v>4600</v>
      </c>
      <c r="AL59" s="1969" t="s">
        <v>4601</v>
      </c>
      <c r="AM59" s="328" t="s">
        <v>4602</v>
      </c>
      <c r="AN59" s="331" t="s">
        <v>4603</v>
      </c>
      <c r="AO59" s="1970" t="s">
        <v>4604</v>
      </c>
      <c r="AP59" s="1969" t="s">
        <v>4605</v>
      </c>
      <c r="AQ59" s="2001" t="s">
        <v>4606</v>
      </c>
      <c r="AR59" s="1864" t="str">
        <f t="shared" si="47"/>
        <v xml:space="preserve">* La variable Pueblos Originarios no debe ser mayor al Total Ambos Sexos. * La variable Migrantes no debe ser mayor al Total Ambos Sexos. </v>
      </c>
      <c r="BV59" s="1936"/>
      <c r="BW59" s="1936"/>
      <c r="BX59" s="1936"/>
      <c r="BY59" s="1936"/>
      <c r="BZ59" s="1936"/>
      <c r="CA59" s="1936"/>
      <c r="CB59" s="1865" t="str">
        <f t="shared" si="48"/>
        <v xml:space="preserve">* La variable Pueblos Originarios no debe ser mayor al Total Ambos Sexos. </v>
      </c>
      <c r="CC59" s="1865" t="str">
        <f t="shared" si="49"/>
        <v xml:space="preserve">* La variable Migrantes no debe ser mayor al Total Ambos Sexos. </v>
      </c>
      <c r="CD59" s="1945"/>
      <c r="CE59" s="1936"/>
      <c r="CV59" s="1867">
        <f t="shared" si="51"/>
        <v>1</v>
      </c>
      <c r="CW59" s="1867">
        <f t="shared" si="52"/>
        <v>1</v>
      </c>
    </row>
    <row r="60" spans="1:101" ht="15" customHeight="1" x14ac:dyDescent="0.25">
      <c r="A60" s="5601" t="s">
        <v>4471</v>
      </c>
      <c r="B60" s="6058"/>
      <c r="C60" s="357" t="s">
        <v>105</v>
      </c>
      <c r="D60" s="2008" t="s">
        <v>4567</v>
      </c>
      <c r="E60" s="2009" t="s">
        <v>4568</v>
      </c>
      <c r="F60" s="2010" t="s">
        <v>4569</v>
      </c>
      <c r="G60" s="328" t="s">
        <v>4570</v>
      </c>
      <c r="H60" s="1969" t="s">
        <v>4571</v>
      </c>
      <c r="I60" s="328" t="s">
        <v>4572</v>
      </c>
      <c r="J60" s="1969" t="s">
        <v>4573</v>
      </c>
      <c r="K60" s="328" t="s">
        <v>4574</v>
      </c>
      <c r="L60" s="1969" t="s">
        <v>4575</v>
      </c>
      <c r="M60" s="328" t="s">
        <v>4576</v>
      </c>
      <c r="N60" s="1969" t="s">
        <v>4577</v>
      </c>
      <c r="O60" s="328" t="s">
        <v>4578</v>
      </c>
      <c r="P60" s="1969" t="s">
        <v>4579</v>
      </c>
      <c r="Q60" s="328" t="s">
        <v>4580</v>
      </c>
      <c r="R60" s="1969" t="s">
        <v>4581</v>
      </c>
      <c r="S60" s="328" t="s">
        <v>4582</v>
      </c>
      <c r="T60" s="1969" t="s">
        <v>4583</v>
      </c>
      <c r="U60" s="328" t="s">
        <v>4584</v>
      </c>
      <c r="V60" s="1969" t="s">
        <v>4585</v>
      </c>
      <c r="W60" s="328" t="s">
        <v>4586</v>
      </c>
      <c r="X60" s="1969" t="s">
        <v>4587</v>
      </c>
      <c r="Y60" s="328" t="s">
        <v>4588</v>
      </c>
      <c r="Z60" s="1969" t="s">
        <v>4589</v>
      </c>
      <c r="AA60" s="328" t="s">
        <v>4590</v>
      </c>
      <c r="AB60" s="1969" t="s">
        <v>4591</v>
      </c>
      <c r="AC60" s="328" t="s">
        <v>4592</v>
      </c>
      <c r="AD60" s="1969" t="s">
        <v>4593</v>
      </c>
      <c r="AE60" s="328" t="s">
        <v>4594</v>
      </c>
      <c r="AF60" s="1969" t="s">
        <v>4595</v>
      </c>
      <c r="AG60" s="328" t="s">
        <v>4596</v>
      </c>
      <c r="AH60" s="1969" t="s">
        <v>4597</v>
      </c>
      <c r="AI60" s="328" t="s">
        <v>4598</v>
      </c>
      <c r="AJ60" s="1969" t="s">
        <v>4599</v>
      </c>
      <c r="AK60" s="328" t="s">
        <v>4600</v>
      </c>
      <c r="AL60" s="1969" t="s">
        <v>4601</v>
      </c>
      <c r="AM60" s="328" t="s">
        <v>4602</v>
      </c>
      <c r="AN60" s="331" t="s">
        <v>4603</v>
      </c>
      <c r="AO60" s="1970" t="s">
        <v>4604</v>
      </c>
      <c r="AP60" s="1969" t="s">
        <v>4605</v>
      </c>
      <c r="AQ60" s="2001" t="s">
        <v>4606</v>
      </c>
      <c r="AR60" s="1864" t="str">
        <f t="shared" si="47"/>
        <v xml:space="preserve">* La variable Pueblos Originarios no debe ser mayor al Total Ambos Sexos. * La variable Migrantes no debe ser mayor al Total Ambos Sexos. </v>
      </c>
      <c r="BV60" s="1936"/>
      <c r="BW60" s="1936"/>
      <c r="BX60" s="1936"/>
      <c r="BY60" s="1936"/>
      <c r="BZ60" s="1936"/>
      <c r="CA60" s="1936"/>
      <c r="CB60" s="1865" t="str">
        <f t="shared" si="48"/>
        <v xml:space="preserve">* La variable Pueblos Originarios no debe ser mayor al Total Ambos Sexos. </v>
      </c>
      <c r="CC60" s="1865" t="str">
        <f t="shared" si="49"/>
        <v xml:space="preserve">* La variable Migrantes no debe ser mayor al Total Ambos Sexos. </v>
      </c>
      <c r="CD60" s="1945"/>
      <c r="CE60" s="1936"/>
      <c r="CV60" s="1867">
        <f t="shared" si="51"/>
        <v>1</v>
      </c>
      <c r="CW60" s="1867">
        <f t="shared" si="52"/>
        <v>1</v>
      </c>
    </row>
    <row r="61" spans="1:101" ht="15" customHeight="1" x14ac:dyDescent="0.25">
      <c r="A61" s="5601" t="s">
        <v>4472</v>
      </c>
      <c r="B61" s="6058"/>
      <c r="C61" s="357" t="s">
        <v>99</v>
      </c>
      <c r="D61" s="2011" t="s">
        <v>4567</v>
      </c>
      <c r="E61" s="2012" t="s">
        <v>4568</v>
      </c>
      <c r="F61" s="2013" t="s">
        <v>4569</v>
      </c>
      <c r="G61" s="328" t="s">
        <v>4570</v>
      </c>
      <c r="H61" s="1969" t="s">
        <v>4571</v>
      </c>
      <c r="I61" s="328" t="s">
        <v>4572</v>
      </c>
      <c r="J61" s="1969" t="s">
        <v>4573</v>
      </c>
      <c r="K61" s="328" t="s">
        <v>4574</v>
      </c>
      <c r="L61" s="1969" t="s">
        <v>4575</v>
      </c>
      <c r="M61" s="328" t="s">
        <v>4576</v>
      </c>
      <c r="N61" s="1969" t="s">
        <v>4577</v>
      </c>
      <c r="O61" s="328" t="s">
        <v>4578</v>
      </c>
      <c r="P61" s="1969" t="s">
        <v>4579</v>
      </c>
      <c r="Q61" s="328" t="s">
        <v>4580</v>
      </c>
      <c r="R61" s="1969" t="s">
        <v>4581</v>
      </c>
      <c r="S61" s="328" t="s">
        <v>4582</v>
      </c>
      <c r="T61" s="1969" t="s">
        <v>4583</v>
      </c>
      <c r="U61" s="328" t="s">
        <v>4584</v>
      </c>
      <c r="V61" s="1969" t="s">
        <v>4585</v>
      </c>
      <c r="W61" s="328" t="s">
        <v>4586</v>
      </c>
      <c r="X61" s="1969" t="s">
        <v>4587</v>
      </c>
      <c r="Y61" s="328" t="s">
        <v>4588</v>
      </c>
      <c r="Z61" s="1969" t="s">
        <v>4589</v>
      </c>
      <c r="AA61" s="328" t="s">
        <v>4590</v>
      </c>
      <c r="AB61" s="1969" t="s">
        <v>4591</v>
      </c>
      <c r="AC61" s="328" t="s">
        <v>4592</v>
      </c>
      <c r="AD61" s="1969" t="s">
        <v>4593</v>
      </c>
      <c r="AE61" s="328" t="s">
        <v>4594</v>
      </c>
      <c r="AF61" s="1969" t="s">
        <v>4595</v>
      </c>
      <c r="AG61" s="328" t="s">
        <v>4596</v>
      </c>
      <c r="AH61" s="1969" t="s">
        <v>4597</v>
      </c>
      <c r="AI61" s="328" t="s">
        <v>4598</v>
      </c>
      <c r="AJ61" s="1969" t="s">
        <v>4599</v>
      </c>
      <c r="AK61" s="328" t="s">
        <v>4600</v>
      </c>
      <c r="AL61" s="1969" t="s">
        <v>4601</v>
      </c>
      <c r="AM61" s="328" t="s">
        <v>4602</v>
      </c>
      <c r="AN61" s="331" t="s">
        <v>4603</v>
      </c>
      <c r="AO61" s="1970" t="s">
        <v>4604</v>
      </c>
      <c r="AP61" s="1969" t="s">
        <v>4605</v>
      </c>
      <c r="AQ61" s="2001" t="s">
        <v>4606</v>
      </c>
      <c r="AR61" s="1864" t="str">
        <f t="shared" si="47"/>
        <v xml:space="preserve">* La variable Pueblos Originarios no debe ser mayor al Total Ambos Sexos. * La variable Migrantes no debe ser mayor al Total Ambos Sexos. </v>
      </c>
      <c r="BV61" s="1936"/>
      <c r="BW61" s="1936"/>
      <c r="BX61" s="1936"/>
      <c r="BY61" s="1936"/>
      <c r="BZ61" s="1936"/>
      <c r="CA61" s="1936"/>
      <c r="CB61" s="1865" t="str">
        <f t="shared" si="48"/>
        <v xml:space="preserve">* La variable Pueblos Originarios no debe ser mayor al Total Ambos Sexos. </v>
      </c>
      <c r="CC61" s="1865" t="str">
        <f t="shared" si="49"/>
        <v xml:space="preserve">* La variable Migrantes no debe ser mayor al Total Ambos Sexos. </v>
      </c>
      <c r="CD61" s="1945"/>
      <c r="CE61" s="1936"/>
      <c r="CV61" s="1867">
        <f t="shared" si="51"/>
        <v>1</v>
      </c>
      <c r="CW61" s="1867">
        <f t="shared" si="52"/>
        <v>1</v>
      </c>
    </row>
    <row r="62" spans="1:101" ht="24" customHeight="1" x14ac:dyDescent="0.25">
      <c r="A62" s="5601" t="s">
        <v>4473</v>
      </c>
      <c r="B62" s="6059"/>
      <c r="C62" s="1985" t="s">
        <v>107</v>
      </c>
      <c r="D62" s="1978" t="s">
        <v>4567</v>
      </c>
      <c r="E62" s="1979" t="s">
        <v>4568</v>
      </c>
      <c r="F62" s="2014" t="s">
        <v>4569</v>
      </c>
      <c r="G62" s="853" t="s">
        <v>4570</v>
      </c>
      <c r="H62" s="1975" t="s">
        <v>4571</v>
      </c>
      <c r="I62" s="853" t="s">
        <v>4572</v>
      </c>
      <c r="J62" s="1975" t="s">
        <v>4573</v>
      </c>
      <c r="K62" s="853" t="s">
        <v>4574</v>
      </c>
      <c r="L62" s="1975" t="s">
        <v>4575</v>
      </c>
      <c r="M62" s="853" t="s">
        <v>4576</v>
      </c>
      <c r="N62" s="1975" t="s">
        <v>4577</v>
      </c>
      <c r="O62" s="853" t="s">
        <v>4578</v>
      </c>
      <c r="P62" s="854" t="s">
        <v>4579</v>
      </c>
      <c r="Q62" s="853" t="s">
        <v>4580</v>
      </c>
      <c r="R62" s="854" t="s">
        <v>4581</v>
      </c>
      <c r="S62" s="853" t="s">
        <v>4582</v>
      </c>
      <c r="T62" s="1975" t="s">
        <v>4583</v>
      </c>
      <c r="U62" s="853" t="s">
        <v>4584</v>
      </c>
      <c r="V62" s="1975" t="s">
        <v>4585</v>
      </c>
      <c r="W62" s="853" t="s">
        <v>4586</v>
      </c>
      <c r="X62" s="1975" t="s">
        <v>4587</v>
      </c>
      <c r="Y62" s="853" t="s">
        <v>4588</v>
      </c>
      <c r="Z62" s="1975" t="s">
        <v>4589</v>
      </c>
      <c r="AA62" s="853" t="s">
        <v>4590</v>
      </c>
      <c r="AB62" s="1975" t="s">
        <v>4591</v>
      </c>
      <c r="AC62" s="853" t="s">
        <v>4592</v>
      </c>
      <c r="AD62" s="1975" t="s">
        <v>4593</v>
      </c>
      <c r="AE62" s="853" t="s">
        <v>4594</v>
      </c>
      <c r="AF62" s="1975" t="s">
        <v>4595</v>
      </c>
      <c r="AG62" s="853" t="s">
        <v>4596</v>
      </c>
      <c r="AH62" s="1975" t="s">
        <v>4597</v>
      </c>
      <c r="AI62" s="853" t="s">
        <v>4598</v>
      </c>
      <c r="AJ62" s="1975" t="s">
        <v>4599</v>
      </c>
      <c r="AK62" s="853" t="s">
        <v>4600</v>
      </c>
      <c r="AL62" s="1975" t="s">
        <v>4601</v>
      </c>
      <c r="AM62" s="2015" t="s">
        <v>4602</v>
      </c>
      <c r="AN62" s="1919" t="s">
        <v>4603</v>
      </c>
      <c r="AO62" s="1879" t="s">
        <v>4604</v>
      </c>
      <c r="AP62" s="1975" t="s">
        <v>4605</v>
      </c>
      <c r="AQ62" s="1988" t="s">
        <v>4606</v>
      </c>
      <c r="AR62" s="1864" t="str">
        <f t="shared" si="47"/>
        <v xml:space="preserve">* La variable Pueblos Originarios no debe ser mayor al Total Ambos Sexos. * La variable Migrantes no debe ser mayor al Total Ambos Sexos. </v>
      </c>
      <c r="BV62" s="1936"/>
      <c r="BW62" s="1936"/>
      <c r="BX62" s="1936"/>
      <c r="BY62" s="1936"/>
      <c r="BZ62" s="1936"/>
      <c r="CA62" s="1936"/>
      <c r="CB62" s="1865" t="str">
        <f t="shared" si="48"/>
        <v xml:space="preserve">* La variable Pueblos Originarios no debe ser mayor al Total Ambos Sexos. </v>
      </c>
      <c r="CC62" s="1865" t="str">
        <f t="shared" si="49"/>
        <v xml:space="preserve">* La variable Migrantes no debe ser mayor al Total Ambos Sexos. </v>
      </c>
      <c r="CD62" s="1945"/>
      <c r="CE62" s="1936"/>
      <c r="CV62" s="1867">
        <f t="shared" si="51"/>
        <v>1</v>
      </c>
      <c r="CW62" s="1867">
        <f t="shared" si="52"/>
        <v>1</v>
      </c>
    </row>
    <row r="63" spans="1:101" ht="15" customHeight="1" x14ac:dyDescent="0.25">
      <c r="A63" s="5601" t="s">
        <v>4474</v>
      </c>
      <c r="B63" s="6063" t="s">
        <v>111</v>
      </c>
      <c r="C63" s="1851" t="s">
        <v>64</v>
      </c>
      <c r="D63" s="2016" t="s">
        <v>4567</v>
      </c>
      <c r="E63" s="2017" t="s">
        <v>4568</v>
      </c>
      <c r="F63" s="2018" t="s">
        <v>4569</v>
      </c>
      <c r="G63" s="1902" t="s">
        <v>4570</v>
      </c>
      <c r="H63" s="1962" t="s">
        <v>4571</v>
      </c>
      <c r="I63" s="1902" t="s">
        <v>4572</v>
      </c>
      <c r="J63" s="1962" t="s">
        <v>4573</v>
      </c>
      <c r="K63" s="1902" t="s">
        <v>4574</v>
      </c>
      <c r="L63" s="1962" t="s">
        <v>4575</v>
      </c>
      <c r="M63" s="1902" t="s">
        <v>4576</v>
      </c>
      <c r="N63" s="1962" t="s">
        <v>4577</v>
      </c>
      <c r="O63" s="1853" t="s">
        <v>4578</v>
      </c>
      <c r="P63" s="1976" t="s">
        <v>4579</v>
      </c>
      <c r="Q63" s="1853" t="s">
        <v>4580</v>
      </c>
      <c r="R63" s="1976" t="s">
        <v>4581</v>
      </c>
      <c r="S63" s="1853" t="s">
        <v>4582</v>
      </c>
      <c r="T63" s="1961" t="s">
        <v>4583</v>
      </c>
      <c r="U63" s="1853" t="s">
        <v>4584</v>
      </c>
      <c r="V63" s="1961" t="s">
        <v>4585</v>
      </c>
      <c r="W63" s="1853" t="s">
        <v>4586</v>
      </c>
      <c r="X63" s="1961" t="s">
        <v>4587</v>
      </c>
      <c r="Y63" s="1853" t="s">
        <v>4588</v>
      </c>
      <c r="Z63" s="1961" t="s">
        <v>4589</v>
      </c>
      <c r="AA63" s="1853" t="s">
        <v>4590</v>
      </c>
      <c r="AB63" s="1961" t="s">
        <v>4591</v>
      </c>
      <c r="AC63" s="1853" t="s">
        <v>4592</v>
      </c>
      <c r="AD63" s="1961" t="s">
        <v>4593</v>
      </c>
      <c r="AE63" s="1853" t="s">
        <v>4594</v>
      </c>
      <c r="AF63" s="1961" t="s">
        <v>4595</v>
      </c>
      <c r="AG63" s="1853" t="s">
        <v>4596</v>
      </c>
      <c r="AH63" s="1961" t="s">
        <v>4597</v>
      </c>
      <c r="AI63" s="1853" t="s">
        <v>4598</v>
      </c>
      <c r="AJ63" s="1961" t="s">
        <v>4599</v>
      </c>
      <c r="AK63" s="1853" t="s">
        <v>4600</v>
      </c>
      <c r="AL63" s="1961" t="s">
        <v>4601</v>
      </c>
      <c r="AM63" s="2019" t="s">
        <v>4602</v>
      </c>
      <c r="AN63" s="1897" t="s">
        <v>4603</v>
      </c>
      <c r="AO63" s="1963" t="s">
        <v>4604</v>
      </c>
      <c r="AP63" s="1962" t="s">
        <v>4605</v>
      </c>
      <c r="AQ63" s="1977" t="s">
        <v>4606</v>
      </c>
      <c r="AR63" s="1864" t="str">
        <f t="shared" si="47"/>
        <v xml:space="preserve">* La variable Pueblos Originarios no debe ser mayor al Total Ambos Sexos. * La variable Migrantes no debe ser mayor al Total Ambos Sexos. </v>
      </c>
      <c r="BV63" s="1936"/>
      <c r="BW63" s="1936"/>
      <c r="BX63" s="1936"/>
      <c r="BY63" s="1936"/>
      <c r="BZ63" s="1936"/>
      <c r="CA63" s="1936"/>
      <c r="CB63" s="1865" t="str">
        <f t="shared" si="48"/>
        <v xml:space="preserve">* La variable Pueblos Originarios no debe ser mayor al Total Ambos Sexos. </v>
      </c>
      <c r="CC63" s="1865" t="str">
        <f t="shared" si="49"/>
        <v xml:space="preserve">* La variable Migrantes no debe ser mayor al Total Ambos Sexos. </v>
      </c>
      <c r="CD63" s="1945"/>
      <c r="CE63" s="1936"/>
      <c r="CV63" s="1867">
        <f t="shared" si="51"/>
        <v>1</v>
      </c>
      <c r="CW63" s="1867">
        <f t="shared" si="52"/>
        <v>1</v>
      </c>
    </row>
    <row r="64" spans="1:101" ht="15" customHeight="1" x14ac:dyDescent="0.25">
      <c r="A64" s="5601" t="s">
        <v>4475</v>
      </c>
      <c r="B64" s="6058"/>
      <c r="C64" s="357" t="s">
        <v>98</v>
      </c>
      <c r="D64" s="2008" t="s">
        <v>4567</v>
      </c>
      <c r="E64" s="2009" t="s">
        <v>4568</v>
      </c>
      <c r="F64" s="2010" t="s">
        <v>4569</v>
      </c>
      <c r="G64" s="328" t="s">
        <v>4570</v>
      </c>
      <c r="H64" s="1969" t="s">
        <v>4571</v>
      </c>
      <c r="I64" s="328" t="s">
        <v>4572</v>
      </c>
      <c r="J64" s="1969" t="s">
        <v>4573</v>
      </c>
      <c r="K64" s="328" t="s">
        <v>4574</v>
      </c>
      <c r="L64" s="1969" t="s">
        <v>4575</v>
      </c>
      <c r="M64" s="328" t="s">
        <v>4576</v>
      </c>
      <c r="N64" s="1969" t="s">
        <v>4577</v>
      </c>
      <c r="O64" s="1967" t="s">
        <v>4578</v>
      </c>
      <c r="P64" s="1944" t="s">
        <v>4579</v>
      </c>
      <c r="Q64" s="1967" t="s">
        <v>4580</v>
      </c>
      <c r="R64" s="1944" t="s">
        <v>4581</v>
      </c>
      <c r="S64" s="1967" t="s">
        <v>4582</v>
      </c>
      <c r="T64" s="1968" t="s">
        <v>4583</v>
      </c>
      <c r="U64" s="1967" t="s">
        <v>4584</v>
      </c>
      <c r="V64" s="1968" t="s">
        <v>4585</v>
      </c>
      <c r="W64" s="1967" t="s">
        <v>4586</v>
      </c>
      <c r="X64" s="1968" t="s">
        <v>4587</v>
      </c>
      <c r="Y64" s="1967" t="s">
        <v>4588</v>
      </c>
      <c r="Z64" s="1968" t="s">
        <v>4589</v>
      </c>
      <c r="AA64" s="1967" t="s">
        <v>4590</v>
      </c>
      <c r="AB64" s="1968" t="s">
        <v>4591</v>
      </c>
      <c r="AC64" s="1967" t="s">
        <v>4592</v>
      </c>
      <c r="AD64" s="1968" t="s">
        <v>4593</v>
      </c>
      <c r="AE64" s="1967" t="s">
        <v>4594</v>
      </c>
      <c r="AF64" s="1968" t="s">
        <v>4595</v>
      </c>
      <c r="AG64" s="1967" t="s">
        <v>4596</v>
      </c>
      <c r="AH64" s="1968" t="s">
        <v>4597</v>
      </c>
      <c r="AI64" s="1967" t="s">
        <v>4598</v>
      </c>
      <c r="AJ64" s="1968" t="s">
        <v>4599</v>
      </c>
      <c r="AK64" s="1967" t="s">
        <v>4600</v>
      </c>
      <c r="AL64" s="1968" t="s">
        <v>4601</v>
      </c>
      <c r="AM64" s="2020" t="s">
        <v>4602</v>
      </c>
      <c r="AN64" s="2021" t="s">
        <v>4603</v>
      </c>
      <c r="AO64" s="1970" t="s">
        <v>4604</v>
      </c>
      <c r="AP64" s="1969" t="s">
        <v>4605</v>
      </c>
      <c r="AQ64" s="2001" t="s">
        <v>4606</v>
      </c>
      <c r="AR64" s="1864" t="str">
        <f t="shared" si="47"/>
        <v xml:space="preserve">* La variable Pueblos Originarios no debe ser mayor al Total Ambos Sexos. * La variable Migrantes no debe ser mayor al Total Ambos Sexos. </v>
      </c>
      <c r="BV64" s="1936"/>
      <c r="BW64" s="1936"/>
      <c r="BX64" s="1936"/>
      <c r="BY64" s="1936"/>
      <c r="BZ64" s="1936"/>
      <c r="CA64" s="1936"/>
      <c r="CB64" s="1865" t="str">
        <f t="shared" si="48"/>
        <v xml:space="preserve">* La variable Pueblos Originarios no debe ser mayor al Total Ambos Sexos. </v>
      </c>
      <c r="CC64" s="1865" t="str">
        <f t="shared" si="49"/>
        <v xml:space="preserve">* La variable Migrantes no debe ser mayor al Total Ambos Sexos. </v>
      </c>
      <c r="CD64" s="1945"/>
      <c r="CE64" s="1936"/>
      <c r="CV64" s="1867">
        <f t="shared" si="51"/>
        <v>1</v>
      </c>
      <c r="CW64" s="1867">
        <f t="shared" si="52"/>
        <v>1</v>
      </c>
    </row>
    <row r="65" spans="1:103" ht="15" customHeight="1" x14ac:dyDescent="0.25">
      <c r="A65" s="5601" t="s">
        <v>4476</v>
      </c>
      <c r="B65" s="6058"/>
      <c r="C65" s="357" t="s">
        <v>65</v>
      </c>
      <c r="D65" s="2008" t="s">
        <v>4567</v>
      </c>
      <c r="E65" s="2009" t="s">
        <v>4568</v>
      </c>
      <c r="F65" s="2010" t="s">
        <v>4569</v>
      </c>
      <c r="G65" s="328" t="s">
        <v>4570</v>
      </c>
      <c r="H65" s="1969" t="s">
        <v>4571</v>
      </c>
      <c r="I65" s="328" t="s">
        <v>4572</v>
      </c>
      <c r="J65" s="1969" t="s">
        <v>4573</v>
      </c>
      <c r="K65" s="328" t="s">
        <v>4574</v>
      </c>
      <c r="L65" s="1969" t="s">
        <v>4575</v>
      </c>
      <c r="M65" s="328" t="s">
        <v>4576</v>
      </c>
      <c r="N65" s="1969" t="s">
        <v>4577</v>
      </c>
      <c r="O65" s="1967" t="s">
        <v>4578</v>
      </c>
      <c r="P65" s="1944" t="s">
        <v>4579</v>
      </c>
      <c r="Q65" s="1967" t="s">
        <v>4580</v>
      </c>
      <c r="R65" s="1944" t="s">
        <v>4581</v>
      </c>
      <c r="S65" s="1967" t="s">
        <v>4582</v>
      </c>
      <c r="T65" s="1968" t="s">
        <v>4583</v>
      </c>
      <c r="U65" s="1967" t="s">
        <v>4584</v>
      </c>
      <c r="V65" s="1968" t="s">
        <v>4585</v>
      </c>
      <c r="W65" s="1967" t="s">
        <v>4586</v>
      </c>
      <c r="X65" s="1968" t="s">
        <v>4587</v>
      </c>
      <c r="Y65" s="1967" t="s">
        <v>4588</v>
      </c>
      <c r="Z65" s="1968" t="s">
        <v>4589</v>
      </c>
      <c r="AA65" s="1967" t="s">
        <v>4590</v>
      </c>
      <c r="AB65" s="1968" t="s">
        <v>4591</v>
      </c>
      <c r="AC65" s="1967" t="s">
        <v>4592</v>
      </c>
      <c r="AD65" s="1968" t="s">
        <v>4593</v>
      </c>
      <c r="AE65" s="1967" t="s">
        <v>4594</v>
      </c>
      <c r="AF65" s="1968" t="s">
        <v>4595</v>
      </c>
      <c r="AG65" s="1967" t="s">
        <v>4596</v>
      </c>
      <c r="AH65" s="1968" t="s">
        <v>4597</v>
      </c>
      <c r="AI65" s="1967" t="s">
        <v>4598</v>
      </c>
      <c r="AJ65" s="1968" t="s">
        <v>4599</v>
      </c>
      <c r="AK65" s="1967" t="s">
        <v>4600</v>
      </c>
      <c r="AL65" s="1968" t="s">
        <v>4601</v>
      </c>
      <c r="AM65" s="2020" t="s">
        <v>4602</v>
      </c>
      <c r="AN65" s="2021" t="s">
        <v>4603</v>
      </c>
      <c r="AO65" s="1970" t="s">
        <v>4604</v>
      </c>
      <c r="AP65" s="1969" t="s">
        <v>4605</v>
      </c>
      <c r="AQ65" s="2001" t="s">
        <v>4606</v>
      </c>
      <c r="AR65" s="1864" t="str">
        <f t="shared" si="47"/>
        <v xml:space="preserve">* La variable Pueblos Originarios no debe ser mayor al Total Ambos Sexos. * La variable Migrantes no debe ser mayor al Total Ambos Sexos. </v>
      </c>
      <c r="BV65" s="1936"/>
      <c r="BW65" s="1936"/>
      <c r="BX65" s="1936"/>
      <c r="BY65" s="1936"/>
      <c r="BZ65" s="1936"/>
      <c r="CA65" s="1936"/>
      <c r="CB65" s="1865" t="str">
        <f t="shared" si="48"/>
        <v xml:space="preserve">* La variable Pueblos Originarios no debe ser mayor al Total Ambos Sexos. </v>
      </c>
      <c r="CC65" s="1865" t="str">
        <f t="shared" si="49"/>
        <v xml:space="preserve">* La variable Migrantes no debe ser mayor al Total Ambos Sexos. </v>
      </c>
      <c r="CD65" s="1945"/>
      <c r="CE65" s="1936"/>
      <c r="CV65" s="1867">
        <f t="shared" si="51"/>
        <v>1</v>
      </c>
      <c r="CW65" s="1867">
        <f t="shared" si="52"/>
        <v>1</v>
      </c>
    </row>
    <row r="66" spans="1:103" ht="15" customHeight="1" x14ac:dyDescent="0.25">
      <c r="A66" s="5601" t="s">
        <v>4477</v>
      </c>
      <c r="B66" s="6059"/>
      <c r="C66" s="517" t="s">
        <v>105</v>
      </c>
      <c r="D66" s="2022" t="s">
        <v>4567</v>
      </c>
      <c r="E66" s="2023" t="s">
        <v>4568</v>
      </c>
      <c r="F66" s="2024" t="s">
        <v>4569</v>
      </c>
      <c r="G66" s="853" t="s">
        <v>4570</v>
      </c>
      <c r="H66" s="1975" t="s">
        <v>4571</v>
      </c>
      <c r="I66" s="853" t="s">
        <v>4572</v>
      </c>
      <c r="J66" s="1975" t="s">
        <v>4573</v>
      </c>
      <c r="K66" s="853" t="s">
        <v>4574</v>
      </c>
      <c r="L66" s="1975" t="s">
        <v>4575</v>
      </c>
      <c r="M66" s="853" t="s">
        <v>4576</v>
      </c>
      <c r="N66" s="1975" t="s">
        <v>4577</v>
      </c>
      <c r="O66" s="1871" t="s">
        <v>4578</v>
      </c>
      <c r="P66" s="1986" t="s">
        <v>4579</v>
      </c>
      <c r="Q66" s="1871" t="s">
        <v>4580</v>
      </c>
      <c r="R66" s="1986" t="s">
        <v>4581</v>
      </c>
      <c r="S66" s="1871" t="s">
        <v>4582</v>
      </c>
      <c r="T66" s="1987" t="s">
        <v>4583</v>
      </c>
      <c r="U66" s="1871" t="s">
        <v>4584</v>
      </c>
      <c r="V66" s="1987" t="s">
        <v>4585</v>
      </c>
      <c r="W66" s="1871" t="s">
        <v>4586</v>
      </c>
      <c r="X66" s="1987" t="s">
        <v>4587</v>
      </c>
      <c r="Y66" s="1871" t="s">
        <v>4588</v>
      </c>
      <c r="Z66" s="1987" t="s">
        <v>4589</v>
      </c>
      <c r="AA66" s="1871" t="s">
        <v>4590</v>
      </c>
      <c r="AB66" s="1987" t="s">
        <v>4591</v>
      </c>
      <c r="AC66" s="1871" t="s">
        <v>4592</v>
      </c>
      <c r="AD66" s="1987" t="s">
        <v>4593</v>
      </c>
      <c r="AE66" s="1871" t="s">
        <v>4594</v>
      </c>
      <c r="AF66" s="1987" t="s">
        <v>4595</v>
      </c>
      <c r="AG66" s="1871" t="s">
        <v>4596</v>
      </c>
      <c r="AH66" s="1987" t="s">
        <v>4597</v>
      </c>
      <c r="AI66" s="1871" t="s">
        <v>4598</v>
      </c>
      <c r="AJ66" s="1987" t="s">
        <v>4599</v>
      </c>
      <c r="AK66" s="1871" t="s">
        <v>4600</v>
      </c>
      <c r="AL66" s="1987" t="s">
        <v>4601</v>
      </c>
      <c r="AM66" s="2025" t="s">
        <v>4602</v>
      </c>
      <c r="AN66" s="1876" t="s">
        <v>4603</v>
      </c>
      <c r="AO66" s="1879" t="s">
        <v>4604</v>
      </c>
      <c r="AP66" s="1975" t="s">
        <v>4605</v>
      </c>
      <c r="AQ66" s="1988" t="s">
        <v>4606</v>
      </c>
      <c r="AR66" s="1864" t="str">
        <f t="shared" si="47"/>
        <v xml:space="preserve">* La variable Pueblos Originarios no debe ser mayor al Total Ambos Sexos. * La variable Migrantes no debe ser mayor al Total Ambos Sexos. </v>
      </c>
      <c r="BV66" s="1936"/>
      <c r="BW66" s="1936"/>
      <c r="BX66" s="1936"/>
      <c r="BY66" s="1936"/>
      <c r="BZ66" s="1936"/>
      <c r="CA66" s="1936"/>
      <c r="CB66" s="1865" t="str">
        <f t="shared" si="48"/>
        <v xml:space="preserve">* La variable Pueblos Originarios no debe ser mayor al Total Ambos Sexos. </v>
      </c>
      <c r="CC66" s="1865" t="str">
        <f t="shared" si="49"/>
        <v xml:space="preserve">* La variable Migrantes no debe ser mayor al Total Ambos Sexos. </v>
      </c>
      <c r="CD66" s="1945"/>
      <c r="CE66" s="1936"/>
      <c r="CV66" s="1867">
        <f t="shared" si="51"/>
        <v>1</v>
      </c>
      <c r="CW66" s="1867">
        <f t="shared" si="52"/>
        <v>1</v>
      </c>
    </row>
    <row r="67" spans="1:103" ht="18" customHeight="1" x14ac:dyDescent="0.25">
      <c r="A67" s="5603"/>
      <c r="B67" s="6016" t="s">
        <v>112</v>
      </c>
      <c r="C67" s="6016"/>
      <c r="D67" s="6016"/>
      <c r="E67" s="6016"/>
      <c r="F67" s="6016"/>
      <c r="G67" s="6016"/>
      <c r="H67" s="6016"/>
      <c r="I67" s="6016"/>
      <c r="J67" s="6016"/>
      <c r="K67" s="6016"/>
      <c r="L67" s="6016"/>
      <c r="M67" s="6016"/>
      <c r="N67" s="1838"/>
      <c r="O67" s="1838"/>
    </row>
    <row r="68" spans="1:103" ht="19.899999999999999" customHeight="1" x14ac:dyDescent="0.25">
      <c r="A68" s="5603"/>
      <c r="B68" s="6041" t="s">
        <v>113</v>
      </c>
      <c r="C68" s="6043"/>
      <c r="D68" s="6009" t="s">
        <v>94</v>
      </c>
      <c r="E68" s="6046"/>
      <c r="F68" s="6025"/>
      <c r="G68" s="6046" t="s">
        <v>44</v>
      </c>
      <c r="H68" s="6046"/>
      <c r="I68" s="6047"/>
      <c r="J68" s="6055" t="s">
        <v>36</v>
      </c>
      <c r="K68" s="6054" t="s">
        <v>37</v>
      </c>
      <c r="L68" s="6043" t="s">
        <v>34</v>
      </c>
      <c r="M68" s="6054" t="s">
        <v>35</v>
      </c>
    </row>
    <row r="69" spans="1:103" ht="24" customHeight="1" x14ac:dyDescent="0.25">
      <c r="A69" s="5603"/>
      <c r="B69" s="6064"/>
      <c r="C69" s="6028"/>
      <c r="D69" s="2029" t="s">
        <v>79</v>
      </c>
      <c r="E69" s="2030" t="s">
        <v>58</v>
      </c>
      <c r="F69" s="2027" t="s">
        <v>59</v>
      </c>
      <c r="G69" s="2026" t="s">
        <v>79</v>
      </c>
      <c r="H69" s="2031" t="s">
        <v>58</v>
      </c>
      <c r="I69" s="2032" t="s">
        <v>59</v>
      </c>
      <c r="J69" s="6056"/>
      <c r="K69" s="6024"/>
      <c r="L69" s="6028"/>
      <c r="M69" s="6024"/>
    </row>
    <row r="70" spans="1:103" ht="15" customHeight="1" x14ac:dyDescent="0.25">
      <c r="A70" s="5601" t="s">
        <v>4478</v>
      </c>
      <c r="B70" s="6049" t="s">
        <v>114</v>
      </c>
      <c r="C70" s="6049"/>
      <c r="D70" s="1851" t="s">
        <v>4567</v>
      </c>
      <c r="E70" s="2034" t="s">
        <v>4568</v>
      </c>
      <c r="F70" s="329" t="s">
        <v>4569</v>
      </c>
      <c r="G70" s="146" t="s">
        <v>4570</v>
      </c>
      <c r="H70" s="44" t="s">
        <v>4571</v>
      </c>
      <c r="I70" s="331" t="s">
        <v>4572</v>
      </c>
      <c r="J70" s="2035" t="s">
        <v>4573</v>
      </c>
      <c r="K70" s="2036" t="s">
        <v>4574</v>
      </c>
      <c r="L70" s="329" t="s">
        <v>4575</v>
      </c>
      <c r="M70" s="2037" t="s">
        <v>4576</v>
      </c>
      <c r="N70" s="1864" t="e">
        <f>$CB70&amp;CC70&amp;CD70&amp;CE70</f>
        <v>#VALUE!</v>
      </c>
      <c r="AS70" s="1936"/>
      <c r="AT70" s="1936"/>
      <c r="AU70" s="1936"/>
      <c r="AV70" s="1936"/>
      <c r="AW70" s="1936"/>
      <c r="AX70" s="1936"/>
      <c r="AY70" s="1936"/>
      <c r="AZ70" s="1936"/>
      <c r="BA70" s="1936"/>
      <c r="BB70" s="1936"/>
      <c r="BC70" s="1936"/>
      <c r="BD70" s="1936"/>
      <c r="BE70" s="1936"/>
      <c r="BF70" s="1936"/>
      <c r="BG70" s="1936"/>
      <c r="BH70" s="1936"/>
      <c r="BI70" s="1936"/>
      <c r="BJ70" s="1936"/>
      <c r="BK70" s="1936"/>
      <c r="BL70" s="1936"/>
      <c r="BM70" s="1936"/>
      <c r="BN70" s="1936"/>
      <c r="BO70" s="1936"/>
      <c r="BP70" s="1936"/>
      <c r="BQ70" s="1936"/>
      <c r="BR70" s="1936"/>
      <c r="BS70" s="1936"/>
      <c r="BT70" s="1936"/>
      <c r="BU70" s="1936"/>
      <c r="BV70" s="1936"/>
      <c r="BW70" s="1936"/>
      <c r="BX70" s="1936"/>
      <c r="BY70" s="1936"/>
      <c r="BZ70" s="1936"/>
      <c r="CA70" s="1936"/>
      <c r="CB70" s="1865" t="e">
        <f>IF(AND(($D70+G70)&lt;&gt;0,$J70=""),"* No olvide ingresar la variable "&amp;$J$68&amp;""&amp;". Digite CERO si no tiene. ",IF(J70&gt;($D70+$G70),"* La variable de Pueblos Originarios no debe ser mayor a la suma de los grupos etarios de Ambos Sexos. ",""))</f>
        <v>#VALUE!</v>
      </c>
      <c r="CC70" s="1865" t="e">
        <f>IF(AND(($D70+G70)&lt;&gt;0,$K70=""),"* No olvide ingresar la variable "&amp;$K$68&amp;""&amp;". Digite CERO si no tiene. ",IF(K70&gt;($D70+$G70),"* La variable Migrantes no debe ser mayor a la suma de los grupos etarios de Ambos Sexos. ",""))</f>
        <v>#VALUE!</v>
      </c>
      <c r="CD70" s="1865" t="e">
        <f>IF(AND(($D70+G70)&lt;&gt;0,$L70=""),"* No olvide ingresar la variable "&amp;$L$68&amp;""&amp;". Digite CERO si no tiene. ",IF(L70&gt;($D70+$G70),"* La variable "&amp;$L$68&amp;" no debe ser mayor a la suma de los grupos etarios de Ambos Sexos. ",""))</f>
        <v>#VALUE!</v>
      </c>
      <c r="CE70" s="1865" t="e">
        <f>IF(AND(($D70+G70)&lt;&gt;0,$M70=""),"* No olvide ingresar la variable "&amp;$M$68&amp;""&amp;". Digite CERO si no tiene. ",IF(M70&gt;($D70+$G70),"* El Número de "&amp;$M$68&amp;" no debe ser mayor a la suma de los grupos etarios de Ambos Sexos. ",""))</f>
        <v>#VALUE!</v>
      </c>
      <c r="CF70" s="1937"/>
      <c r="CG70" s="1937"/>
      <c r="CJ70" s="1937"/>
      <c r="CV70" s="1867" t="e">
        <f>IF(AND(($D70+G70)&lt;&gt;0,$J70=""),1,IF(J70&gt;($D70+$G70),1,0))</f>
        <v>#VALUE!</v>
      </c>
      <c r="CW70" s="1867" t="e">
        <f>IF(AND(($D70+G70)&lt;&gt;0,$K70=""),1,IF(K70&gt;($D70+$G70),1,0))</f>
        <v>#VALUE!</v>
      </c>
      <c r="CX70" s="1867" t="e">
        <f>IF(AND(($D70+G70)&lt;&gt;0,$L70=""),1,IF(L70&gt;($D70+$G70),1,0))</f>
        <v>#VALUE!</v>
      </c>
      <c r="CY70" s="1867" t="e">
        <f>IF(AND(($D70+G70)&lt;&gt;0,$M70=""),1,IF(M70&gt;($D70+$G70),1,0))</f>
        <v>#VALUE!</v>
      </c>
    </row>
    <row r="71" spans="1:103" ht="15" customHeight="1" x14ac:dyDescent="0.25">
      <c r="A71" s="5601" t="s">
        <v>4479</v>
      </c>
      <c r="B71" s="6050" t="s">
        <v>115</v>
      </c>
      <c r="C71" s="6050"/>
      <c r="D71" s="357" t="s">
        <v>4567</v>
      </c>
      <c r="E71" s="2034" t="s">
        <v>4568</v>
      </c>
      <c r="F71" s="329" t="s">
        <v>4569</v>
      </c>
      <c r="G71" s="479" t="s">
        <v>4570</v>
      </c>
      <c r="H71" s="2034" t="s">
        <v>4571</v>
      </c>
      <c r="I71" s="331" t="s">
        <v>4572</v>
      </c>
      <c r="J71" s="2035" t="s">
        <v>4573</v>
      </c>
      <c r="K71" s="2036" t="s">
        <v>4574</v>
      </c>
      <c r="L71" s="329" t="s">
        <v>4575</v>
      </c>
      <c r="M71" s="2037" t="s">
        <v>4576</v>
      </c>
      <c r="N71" s="1864" t="e">
        <f t="shared" ref="N71:N73" si="54">$CB71&amp;CC71&amp;CD71&amp;CE71</f>
        <v>#VALUE!</v>
      </c>
      <c r="AS71" s="1936"/>
      <c r="AT71" s="1936"/>
      <c r="AU71" s="1936"/>
      <c r="AV71" s="1936"/>
      <c r="AW71" s="1936"/>
      <c r="AX71" s="1936"/>
      <c r="AY71" s="1936"/>
      <c r="AZ71" s="1936"/>
      <c r="BA71" s="1936"/>
      <c r="BB71" s="1936"/>
      <c r="BC71" s="1936"/>
      <c r="BD71" s="1936"/>
      <c r="BE71" s="1936"/>
      <c r="BF71" s="1936"/>
      <c r="BG71" s="1936"/>
      <c r="BH71" s="1936"/>
      <c r="BI71" s="1936"/>
      <c r="BJ71" s="1936"/>
      <c r="BK71" s="1936"/>
      <c r="BL71" s="1936"/>
      <c r="BM71" s="1936"/>
      <c r="BN71" s="1936"/>
      <c r="BO71" s="1936"/>
      <c r="BP71" s="1936"/>
      <c r="BQ71" s="1936"/>
      <c r="BR71" s="1936"/>
      <c r="BS71" s="1936"/>
      <c r="BT71" s="1936"/>
      <c r="BU71" s="1936"/>
      <c r="BV71" s="1936"/>
      <c r="BW71" s="1936"/>
      <c r="BX71" s="1936"/>
      <c r="BY71" s="1936"/>
      <c r="BZ71" s="1936"/>
      <c r="CA71" s="1936"/>
      <c r="CB71" s="1865" t="e">
        <f t="shared" ref="CB71:CB73" si="55">IF(AND(($D71+G71)&lt;&gt;0,$J71=""),"* No olvide ingresar la variable "&amp;$J$68&amp;""&amp;". Digite CERO si no tiene. ",IF(J71&gt;($D71+$G71),"* La variable de Pueblos Originarios no debe ser mayor a la suma de los grupos etarios de Ambos Sexos. ",""))</f>
        <v>#VALUE!</v>
      </c>
      <c r="CC71" s="1865" t="e">
        <f t="shared" ref="CC71:CC73" si="56">IF(AND(($D71+G71)&lt;&gt;0,$K71=""),"* No olvide ingresar la variable "&amp;$K$68&amp;""&amp;". Digite CERO si no tiene. ",IF(K71&gt;($D71+$G71),"* La variable Migrantes no debe ser mayor a la suma de los grupos etarios de Ambos Sexos. ",""))</f>
        <v>#VALUE!</v>
      </c>
      <c r="CD71" s="1865" t="e">
        <f t="shared" ref="CD71:CD73" si="57">IF(AND(($D71+G71)&lt;&gt;0,$L71=""),"* No olvide ingresar la variable "&amp;$L$68&amp;""&amp;". Digite CERO si no tiene. ",IF(L71&gt;($D71+$G71),"* La variable "&amp;$L$68&amp;" no debe ser mayor a la suma de los grupos etarios de Ambos Sexos. ",""))</f>
        <v>#VALUE!</v>
      </c>
      <c r="CE71" s="1865" t="e">
        <f t="shared" ref="CE71:CE73" si="58">IF(AND(($D71+G71)&lt;&gt;0,$M71=""),"* No olvide ingresar la variable "&amp;$M$68&amp;""&amp;". Digite CERO si no tiene. ",IF(M71&gt;($D71+$G71),"* El Número de "&amp;$M$68&amp;" no debe ser mayor a la suma de los grupos etarios de Ambos Sexos. ",""))</f>
        <v>#VALUE!</v>
      </c>
      <c r="CF71" s="1937"/>
      <c r="CG71" s="1937"/>
      <c r="CJ71" s="1937"/>
      <c r="CV71" s="1867" t="e">
        <f>IF(AND(($D71+G71)&lt;&gt;0,$J71=""),1,IF(J71&gt;($D71+$G71),1,0))</f>
        <v>#VALUE!</v>
      </c>
      <c r="CW71" s="1867" t="e">
        <f>IF(AND(($D71+G71)&lt;&gt;0,$K71=""),1,IF(K71&gt;($D71+$G71),1,0))</f>
        <v>#VALUE!</v>
      </c>
      <c r="CX71" s="1867" t="e">
        <f>IF(AND(($D71+G71)&lt;&gt;0,$L71=""),1,IF(L71&gt;($D71+$G71),1,0))</f>
        <v>#VALUE!</v>
      </c>
      <c r="CY71" s="1867" t="e">
        <f>IF(AND(($D71+G71)&lt;&gt;0,$M71=""),1,IF(M71&gt;($D71+$G71),1,0))</f>
        <v>#VALUE!</v>
      </c>
    </row>
    <row r="72" spans="1:103" ht="15" customHeight="1" x14ac:dyDescent="0.25">
      <c r="A72" s="5601" t="s">
        <v>4480</v>
      </c>
      <c r="B72" s="6050" t="s">
        <v>116</v>
      </c>
      <c r="C72" s="6050"/>
      <c r="D72" s="357" t="s">
        <v>4567</v>
      </c>
      <c r="E72" s="2034" t="s">
        <v>4568</v>
      </c>
      <c r="F72" s="329" t="s">
        <v>4569</v>
      </c>
      <c r="G72" s="479" t="s">
        <v>4570</v>
      </c>
      <c r="H72" s="2034" t="s">
        <v>4571</v>
      </c>
      <c r="I72" s="331" t="s">
        <v>4572</v>
      </c>
      <c r="J72" s="2035" t="s">
        <v>4573</v>
      </c>
      <c r="K72" s="2036" t="s">
        <v>4574</v>
      </c>
      <c r="L72" s="329" t="s">
        <v>4575</v>
      </c>
      <c r="M72" s="2037" t="s">
        <v>4576</v>
      </c>
      <c r="N72" s="1864" t="e">
        <f t="shared" si="54"/>
        <v>#VALUE!</v>
      </c>
      <c r="AS72" s="1936"/>
      <c r="AT72" s="1936"/>
      <c r="AU72" s="1936"/>
      <c r="AV72" s="1936"/>
      <c r="AW72" s="1936"/>
      <c r="AX72" s="1936"/>
      <c r="AY72" s="1936"/>
      <c r="AZ72" s="1936"/>
      <c r="BA72" s="1936"/>
      <c r="BB72" s="1936"/>
      <c r="BC72" s="1936"/>
      <c r="BD72" s="1936"/>
      <c r="BE72" s="1936"/>
      <c r="BF72" s="1936"/>
      <c r="BG72" s="1936"/>
      <c r="BH72" s="1936"/>
      <c r="BI72" s="1936"/>
      <c r="BJ72" s="1936"/>
      <c r="BK72" s="1936"/>
      <c r="BL72" s="1936"/>
      <c r="BM72" s="1936"/>
      <c r="BN72" s="1936"/>
      <c r="BO72" s="1936"/>
      <c r="BP72" s="1936"/>
      <c r="BQ72" s="1936"/>
      <c r="BR72" s="1936"/>
      <c r="BS72" s="1936"/>
      <c r="BT72" s="1936"/>
      <c r="BU72" s="1936"/>
      <c r="BV72" s="1936"/>
      <c r="BW72" s="1936"/>
      <c r="BX72" s="1936"/>
      <c r="BY72" s="1936"/>
      <c r="BZ72" s="1936"/>
      <c r="CA72" s="1936"/>
      <c r="CB72" s="1865" t="e">
        <f>IF(AND(($D72+G72)&lt;&gt;0,$J72=""),"* No olvide ingresar la variable "&amp;$J$68&amp;""&amp;". Digite CERO si no tiene. ",IF(J72&gt;($D72+$G72),"* La variable de Pueblos Originarios no debe ser mayor a la suma de los grupos etarios de Ambos Sexos. ",""))</f>
        <v>#VALUE!</v>
      </c>
      <c r="CC72" s="1865" t="e">
        <f t="shared" si="56"/>
        <v>#VALUE!</v>
      </c>
      <c r="CD72" s="1865" t="e">
        <f t="shared" si="57"/>
        <v>#VALUE!</v>
      </c>
      <c r="CE72" s="1865" t="e">
        <f t="shared" si="58"/>
        <v>#VALUE!</v>
      </c>
      <c r="CF72" s="1937"/>
      <c r="CG72" s="1937"/>
      <c r="CJ72" s="1937"/>
      <c r="CV72" s="1867" t="e">
        <f>IF(AND(($D72+G72)&lt;&gt;0,$J72=""),1,IF(J72&gt;($D72+$G72),1,0))</f>
        <v>#VALUE!</v>
      </c>
      <c r="CW72" s="1867" t="e">
        <f>IF(AND(($D72+G72)&lt;&gt;0,$K72=""),1,IF(K72&gt;($D72+$G72),1,0))</f>
        <v>#VALUE!</v>
      </c>
      <c r="CX72" s="1867" t="e">
        <f>IF(AND(($D72+G72)&lt;&gt;0,$L72=""),1,IF(L72&gt;($D72+$G72),1,0))</f>
        <v>#VALUE!</v>
      </c>
      <c r="CY72" s="1867" t="e">
        <f>IF(AND(($D72+G72)&lt;&gt;0,$M72=""),1,IF(M72&gt;($D72+$G72),1,0))</f>
        <v>#VALUE!</v>
      </c>
    </row>
    <row r="73" spans="1:103" ht="15" customHeight="1" x14ac:dyDescent="0.25">
      <c r="A73" s="5601" t="s">
        <v>4481</v>
      </c>
      <c r="B73" s="6051" t="s">
        <v>117</v>
      </c>
      <c r="C73" s="6051"/>
      <c r="D73" s="193" t="s">
        <v>4567</v>
      </c>
      <c r="E73" s="2034" t="s">
        <v>4568</v>
      </c>
      <c r="F73" s="329" t="s">
        <v>4569</v>
      </c>
      <c r="G73" s="484" t="s">
        <v>4570</v>
      </c>
      <c r="H73" s="2034" t="s">
        <v>4571</v>
      </c>
      <c r="I73" s="331" t="s">
        <v>4572</v>
      </c>
      <c r="J73" s="2035" t="s">
        <v>4573</v>
      </c>
      <c r="K73" s="2036" t="s">
        <v>4574</v>
      </c>
      <c r="L73" s="329" t="s">
        <v>4575</v>
      </c>
      <c r="M73" s="2037" t="s">
        <v>4576</v>
      </c>
      <c r="N73" s="1864" t="e">
        <f t="shared" si="54"/>
        <v>#VALUE!</v>
      </c>
      <c r="AS73" s="1936"/>
      <c r="AT73" s="1936"/>
      <c r="AU73" s="1936"/>
      <c r="AV73" s="1936"/>
      <c r="AW73" s="1936"/>
      <c r="AX73" s="1936"/>
      <c r="AY73" s="1936"/>
      <c r="AZ73" s="1936"/>
      <c r="BA73" s="1936"/>
      <c r="BB73" s="1936"/>
      <c r="BC73" s="1936"/>
      <c r="BD73" s="1936"/>
      <c r="BE73" s="1936"/>
      <c r="BF73" s="1936"/>
      <c r="BG73" s="1936"/>
      <c r="BH73" s="1936"/>
      <c r="BI73" s="1936"/>
      <c r="BJ73" s="1936"/>
      <c r="BK73" s="1936"/>
      <c r="BL73" s="1936"/>
      <c r="BM73" s="1936"/>
      <c r="BN73" s="1936"/>
      <c r="BO73" s="1936"/>
      <c r="BP73" s="1936"/>
      <c r="BQ73" s="1936"/>
      <c r="BR73" s="1936"/>
      <c r="BS73" s="1936"/>
      <c r="BT73" s="1936"/>
      <c r="BU73" s="1936"/>
      <c r="BV73" s="1936"/>
      <c r="BW73" s="1936"/>
      <c r="BX73" s="1936"/>
      <c r="BY73" s="1936"/>
      <c r="BZ73" s="1936"/>
      <c r="CA73" s="1936"/>
      <c r="CB73" s="1865" t="e">
        <f t="shared" si="55"/>
        <v>#VALUE!</v>
      </c>
      <c r="CC73" s="1865" t="e">
        <f t="shared" si="56"/>
        <v>#VALUE!</v>
      </c>
      <c r="CD73" s="1865" t="e">
        <f t="shared" si="57"/>
        <v>#VALUE!</v>
      </c>
      <c r="CE73" s="1865" t="e">
        <f t="shared" si="58"/>
        <v>#VALUE!</v>
      </c>
      <c r="CF73" s="1937"/>
      <c r="CG73" s="1937"/>
      <c r="CJ73" s="1937"/>
      <c r="CV73" s="1867" t="e">
        <f>IF(AND(($D73+G73)&lt;&gt;0,$J73=""),1,IF(J73&gt;($D73+$G73),1,0))</f>
        <v>#VALUE!</v>
      </c>
      <c r="CW73" s="1867" t="e">
        <f>IF(AND(($D73+G73)&lt;&gt;0,$K73=""),1,IF(K73&gt;($D73+$G73),1,0))</f>
        <v>#VALUE!</v>
      </c>
      <c r="CX73" s="1867" t="e">
        <f>IF(AND(($D73+G73)&lt;&gt;0,$L73=""),1,IF(L73&gt;($D73+$G73),1,0))</f>
        <v>#VALUE!</v>
      </c>
      <c r="CY73" s="1867" t="e">
        <f>IF(AND(($D73+G73)&lt;&gt;0,$M73=""),1,IF(M73&gt;($D73+$G73),1,0))</f>
        <v>#VALUE!</v>
      </c>
    </row>
    <row r="74" spans="1:103" ht="15" customHeight="1" x14ac:dyDescent="0.25">
      <c r="A74" s="5604"/>
      <c r="B74" s="6052" t="s">
        <v>77</v>
      </c>
      <c r="C74" s="6052"/>
      <c r="D74" s="2038">
        <f t="shared" ref="D74:M74" si="59">SUM(D70:D73)</f>
        <v>0</v>
      </c>
      <c r="E74" s="2039">
        <f t="shared" si="59"/>
        <v>0</v>
      </c>
      <c r="F74" s="2040">
        <f t="shared" si="59"/>
        <v>0</v>
      </c>
      <c r="G74" s="2040">
        <f t="shared" si="59"/>
        <v>0</v>
      </c>
      <c r="H74" s="2039">
        <f t="shared" si="59"/>
        <v>0</v>
      </c>
      <c r="I74" s="2041">
        <f t="shared" si="59"/>
        <v>0</v>
      </c>
      <c r="J74" s="2042">
        <f t="shared" si="59"/>
        <v>0</v>
      </c>
      <c r="K74" s="2038">
        <f t="shared" si="59"/>
        <v>0</v>
      </c>
      <c r="L74" s="2040">
        <f t="shared" si="59"/>
        <v>0</v>
      </c>
      <c r="M74" s="2038">
        <f t="shared" si="59"/>
        <v>0</v>
      </c>
    </row>
    <row r="75" spans="1:103" ht="18" customHeight="1" x14ac:dyDescent="0.25">
      <c r="A75" s="6"/>
      <c r="B75" s="6017" t="s">
        <v>118</v>
      </c>
      <c r="C75" s="6017"/>
      <c r="D75" s="6017"/>
      <c r="E75" s="6017"/>
      <c r="F75" s="6017"/>
      <c r="G75" s="6017"/>
      <c r="H75" s="6017"/>
      <c r="I75" s="6017"/>
      <c r="J75" s="6017"/>
      <c r="K75" s="6017"/>
      <c r="L75" s="6017"/>
      <c r="M75" s="6017"/>
      <c r="N75" s="6017"/>
    </row>
    <row r="76" spans="1:103" ht="18" customHeight="1" x14ac:dyDescent="0.25">
      <c r="A76" s="6"/>
      <c r="B76" s="5993" t="s">
        <v>119</v>
      </c>
      <c r="C76" s="5993" t="s">
        <v>77</v>
      </c>
      <c r="D76" s="5993" t="s">
        <v>30</v>
      </c>
      <c r="E76" s="6037"/>
      <c r="F76" s="6036" t="s">
        <v>120</v>
      </c>
      <c r="G76" s="5993"/>
      <c r="H76" s="6025" t="s">
        <v>121</v>
      </c>
      <c r="I76" s="5993"/>
      <c r="J76" s="6037"/>
      <c r="K76" s="6053" t="s">
        <v>36</v>
      </c>
      <c r="L76" s="6048" t="s">
        <v>37</v>
      </c>
      <c r="M76" s="6048" t="s">
        <v>34</v>
      </c>
      <c r="N76" s="6025" t="s">
        <v>35</v>
      </c>
    </row>
    <row r="77" spans="1:103" ht="45" customHeight="1" x14ac:dyDescent="0.25">
      <c r="A77" s="6"/>
      <c r="B77" s="5993"/>
      <c r="C77" s="5993"/>
      <c r="D77" s="2031" t="s">
        <v>58</v>
      </c>
      <c r="E77" s="2028" t="s">
        <v>59</v>
      </c>
      <c r="F77" s="2043" t="s">
        <v>122</v>
      </c>
      <c r="G77" s="2027" t="s">
        <v>123</v>
      </c>
      <c r="H77" s="2031" t="s">
        <v>124</v>
      </c>
      <c r="I77" s="2044" t="s">
        <v>125</v>
      </c>
      <c r="J77" s="2028" t="s">
        <v>126</v>
      </c>
      <c r="K77" s="6053"/>
      <c r="L77" s="6048"/>
      <c r="M77" s="6048"/>
      <c r="N77" s="6025"/>
    </row>
    <row r="78" spans="1:103" ht="15" customHeight="1" x14ac:dyDescent="0.25">
      <c r="A78" s="5601" t="s">
        <v>4482</v>
      </c>
      <c r="B78" s="1851" t="s">
        <v>127</v>
      </c>
      <c r="C78" s="1852" t="s">
        <v>4567</v>
      </c>
      <c r="D78" s="1859" t="s">
        <v>4568</v>
      </c>
      <c r="E78" s="1910" t="s">
        <v>4569</v>
      </c>
      <c r="F78" s="1963" t="s">
        <v>4570</v>
      </c>
      <c r="G78" s="1962" t="s">
        <v>4571</v>
      </c>
      <c r="H78" s="2045" t="s">
        <v>4572</v>
      </c>
      <c r="I78" s="1859" t="s">
        <v>4573</v>
      </c>
      <c r="J78" s="1910" t="s">
        <v>4574</v>
      </c>
      <c r="K78" s="1963" t="s">
        <v>4575</v>
      </c>
      <c r="L78" s="1859" t="s">
        <v>4576</v>
      </c>
      <c r="M78" s="1862" t="s">
        <v>4577</v>
      </c>
      <c r="N78" s="1962" t="s">
        <v>4578</v>
      </c>
      <c r="O78" s="1864" t="str">
        <f>CB78&amp;CC78&amp;CD78&amp;CE78</f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78" s="1936"/>
      <c r="AU78" s="1936"/>
      <c r="AV78" s="1936"/>
      <c r="AW78" s="1936"/>
      <c r="AX78" s="1936"/>
      <c r="AY78" s="1936"/>
      <c r="AZ78" s="1936"/>
      <c r="BA78" s="1936"/>
      <c r="BB78" s="1936"/>
      <c r="BC78" s="1936"/>
      <c r="BD78" s="1936"/>
      <c r="BE78" s="1936"/>
      <c r="BF78" s="1936"/>
      <c r="BG78" s="1936"/>
      <c r="BH78" s="1936"/>
      <c r="BI78" s="1936"/>
      <c r="BJ78" s="1936"/>
      <c r="BK78" s="1936"/>
      <c r="BL78" s="1936"/>
      <c r="BM78" s="1936"/>
      <c r="BN78" s="1936"/>
      <c r="BO78" s="1936"/>
      <c r="BP78" s="1936"/>
      <c r="BQ78" s="1936"/>
      <c r="BR78" s="1936"/>
      <c r="BS78" s="1936"/>
      <c r="BT78" s="1936"/>
      <c r="BU78" s="1936"/>
      <c r="BV78" s="1936"/>
      <c r="BW78" s="1936"/>
      <c r="BX78" s="1936"/>
      <c r="BY78" s="1936"/>
      <c r="BZ78" s="1936"/>
      <c r="CA78" s="1936"/>
      <c r="CB78" s="1865" t="str">
        <f>IF(AND($C78&lt;&gt;0,K78=""),"* No olvide ingresar la variable "&amp;K$76&amp;""&amp;". Digite CERO si no tiene. ",IF(K78&gt;$C78,"* La variable Pueblos Originarios no debe ser mayor al Total. ",""))</f>
        <v xml:space="preserve">* La variable Pueblos Originarios no debe ser mayor al Total. </v>
      </c>
      <c r="CC78" s="1865" t="str">
        <f>IF(AND($C78&lt;&gt;0,L78=""),"* No olvide ingresar la variable "&amp;L$76&amp;""&amp;". Digite CERO si no tiene. ",IF(L78&gt;$C78,"* La variable Migrantes no debe ser mayor al Total. ",""))</f>
        <v xml:space="preserve">* La variable Migrantes no debe ser mayor al Total. </v>
      </c>
      <c r="CD78" s="1865" t="str">
        <f>IF(AND($C78&lt;&gt;0,M78=""),"* No olvide ingresar la variable "&amp;M$76&amp;""&amp;". Digite CERO si no tiene.  ",IF(M78&gt;$C78,"* La variable Niños, Niñas, Adolescentes y Jóvenes SENAME no debe ser mayor al Total. ",""))</f>
        <v xml:space="preserve">* La variable Niños, Niñas, Adolescentes y Jóvenes SENAME no debe ser mayor al Total. </v>
      </c>
      <c r="CE78" s="1865" t="str">
        <f>IF(AND($C78&lt;&gt;0,N78=""),"* No olvide ingresar la variable "&amp;N$76&amp;""&amp;". Digite CERO si no tiene.  ",IF(N78&gt;$C78,"* La variable Niños, Niñas, Adolescentes y Jóvenes Mejor Niñez no debe ser mayor al Total. ",""))</f>
        <v xml:space="preserve">* La variable Niños, Niñas, Adolescentes y Jóvenes Mejor Niñez no debe ser mayor al Total. </v>
      </c>
      <c r="CG78" s="1937"/>
      <c r="CH78" s="1937"/>
      <c r="CI78" s="1937"/>
      <c r="CJ78" s="1937"/>
      <c r="CV78" s="1867">
        <f t="shared" ref="CV78:CY82" si="60">IF(AND($C78&lt;&gt;0,K78=""),1,IF(K78&gt;$C78,1,0))</f>
        <v>1</v>
      </c>
      <c r="CW78" s="1867">
        <f t="shared" si="60"/>
        <v>1</v>
      </c>
      <c r="CX78" s="1867">
        <f t="shared" si="60"/>
        <v>1</v>
      </c>
      <c r="CY78" s="1867">
        <f t="shared" si="60"/>
        <v>1</v>
      </c>
    </row>
    <row r="79" spans="1:103" ht="15" customHeight="1" x14ac:dyDescent="0.25">
      <c r="A79" s="5601" t="s">
        <v>4483</v>
      </c>
      <c r="B79" s="357" t="s">
        <v>128</v>
      </c>
      <c r="C79" s="497" t="s">
        <v>4567</v>
      </c>
      <c r="D79" s="2034" t="s">
        <v>4568</v>
      </c>
      <c r="E79" s="331" t="s">
        <v>4569</v>
      </c>
      <c r="F79" s="1970" t="s">
        <v>4570</v>
      </c>
      <c r="G79" s="1969" t="s">
        <v>4571</v>
      </c>
      <c r="H79" s="2046" t="s">
        <v>4572</v>
      </c>
      <c r="I79" s="1939" t="s">
        <v>4573</v>
      </c>
      <c r="J79" s="331" t="s">
        <v>4574</v>
      </c>
      <c r="K79" s="1970" t="s">
        <v>4575</v>
      </c>
      <c r="L79" s="2034" t="s">
        <v>4576</v>
      </c>
      <c r="M79" s="1939" t="s">
        <v>4577</v>
      </c>
      <c r="N79" s="1969" t="s">
        <v>4578</v>
      </c>
      <c r="O79" s="1864" t="str">
        <f t="shared" ref="O79:O82" si="61">CB79&amp;CC79&amp;CD79&amp;CE79</f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79" s="1936"/>
      <c r="AU79" s="1936"/>
      <c r="AV79" s="1936"/>
      <c r="AW79" s="1936"/>
      <c r="AX79" s="1936"/>
      <c r="AY79" s="1936"/>
      <c r="AZ79" s="1936"/>
      <c r="BA79" s="1936"/>
      <c r="BB79" s="1936"/>
      <c r="BC79" s="1936"/>
      <c r="BD79" s="1936"/>
      <c r="BE79" s="1936"/>
      <c r="BF79" s="1936"/>
      <c r="BG79" s="1936"/>
      <c r="BH79" s="1936"/>
      <c r="BI79" s="1936"/>
      <c r="BJ79" s="1936"/>
      <c r="BK79" s="1936"/>
      <c r="BL79" s="1936"/>
      <c r="BM79" s="1936"/>
      <c r="BN79" s="1936"/>
      <c r="BO79" s="1936"/>
      <c r="BP79" s="1936"/>
      <c r="BQ79" s="1936"/>
      <c r="BR79" s="1936"/>
      <c r="BS79" s="1936"/>
      <c r="BT79" s="1936"/>
      <c r="BU79" s="1936"/>
      <c r="BV79" s="1936"/>
      <c r="BW79" s="1936"/>
      <c r="BX79" s="1936"/>
      <c r="BY79" s="1936"/>
      <c r="BZ79" s="1936"/>
      <c r="CA79" s="1936"/>
      <c r="CB79" s="1865" t="str">
        <f>IF(AND($C79&lt;&gt;0,K79=""),"* No olvide ingresar la variable "&amp;K$76&amp;""&amp;". Digite CERO si no tiene. ",IF(K79&gt;$C79,"* La variable Pueblos Originarios no debe ser mayor al Total. ",""))</f>
        <v xml:space="preserve">* La variable Pueblos Originarios no debe ser mayor al Total. </v>
      </c>
      <c r="CC79" s="1865" t="str">
        <f>IF(AND($C79&lt;&gt;0,L79=""),"* No olvide ingresar la variable "&amp;L$76&amp;""&amp;". Digite CERO si no tiene. ",IF(L79&gt;$C79,"* La variable Migrantes no debe ser mayor al Total. ",""))</f>
        <v xml:space="preserve">* La variable Migrantes no debe ser mayor al Total. </v>
      </c>
      <c r="CD79" s="1865" t="str">
        <f>IF(AND($C79&lt;&gt;0,M79=""),"* No olvide ingresar la variable "&amp;M$76&amp;""&amp;". Digite CERO si no tiene.  ",IF(M79&gt;$C79,"* La variable Niños, Niñas, Adolescentes y Jóvenes SENAME no debe ser mayor al Total. ",""))</f>
        <v xml:space="preserve">* La variable Niños, Niñas, Adolescentes y Jóvenes SENAME no debe ser mayor al Total. </v>
      </c>
      <c r="CE79" s="1865" t="str">
        <f>IF(AND($C79&lt;&gt;0,N79=""),"* No olvide ingresar la variable "&amp;N$76&amp;""&amp;". Digite CERO si no tiene.  ",IF(N79&gt;$C79,"* La variable Niños, Niñas, Adolescentes y Jóvenes Mejor Niñez no debe ser mayor al Total. ",""))</f>
        <v xml:space="preserve">* La variable Niños, Niñas, Adolescentes y Jóvenes Mejor Niñez no debe ser mayor al Total. </v>
      </c>
      <c r="CG79" s="1937"/>
      <c r="CH79" s="1937"/>
      <c r="CI79" s="1937"/>
      <c r="CJ79" s="1937"/>
      <c r="CV79" s="1867">
        <f t="shared" si="60"/>
        <v>1</v>
      </c>
      <c r="CW79" s="1867">
        <f t="shared" si="60"/>
        <v>1</v>
      </c>
      <c r="CX79" s="1867">
        <f t="shared" si="60"/>
        <v>1</v>
      </c>
      <c r="CY79" s="1867">
        <f t="shared" si="60"/>
        <v>1</v>
      </c>
    </row>
    <row r="80" spans="1:103" ht="15" customHeight="1" x14ac:dyDescent="0.25">
      <c r="A80" s="5601" t="s">
        <v>4484</v>
      </c>
      <c r="B80" s="357" t="s">
        <v>129</v>
      </c>
      <c r="C80" s="497" t="s">
        <v>4567</v>
      </c>
      <c r="D80" s="2034" t="s">
        <v>4568</v>
      </c>
      <c r="E80" s="331" t="s">
        <v>4569</v>
      </c>
      <c r="F80" s="1970" t="s">
        <v>4570</v>
      </c>
      <c r="G80" s="1969" t="s">
        <v>4571</v>
      </c>
      <c r="H80" s="2047" t="s">
        <v>4572</v>
      </c>
      <c r="I80" s="1939" t="s">
        <v>4573</v>
      </c>
      <c r="J80" s="331" t="s">
        <v>4574</v>
      </c>
      <c r="K80" s="1970" t="s">
        <v>4575</v>
      </c>
      <c r="L80" s="2034" t="s">
        <v>4576</v>
      </c>
      <c r="M80" s="1939" t="s">
        <v>4577</v>
      </c>
      <c r="N80" s="1969" t="s">
        <v>4578</v>
      </c>
      <c r="O80" s="1864" t="str">
        <f t="shared" si="61"/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80" s="1936"/>
      <c r="AU80" s="1936"/>
      <c r="AV80" s="1936"/>
      <c r="AW80" s="1936"/>
      <c r="AX80" s="1936"/>
      <c r="AY80" s="1936"/>
      <c r="AZ80" s="1936"/>
      <c r="BA80" s="1936"/>
      <c r="BB80" s="1936"/>
      <c r="BC80" s="1936"/>
      <c r="BD80" s="1936"/>
      <c r="BE80" s="1936"/>
      <c r="BF80" s="1936"/>
      <c r="BG80" s="1936"/>
      <c r="BH80" s="1936"/>
      <c r="BI80" s="1936"/>
      <c r="BJ80" s="1936"/>
      <c r="BK80" s="1936"/>
      <c r="BL80" s="1936"/>
      <c r="BM80" s="1936"/>
      <c r="BN80" s="1936"/>
      <c r="BO80" s="1936"/>
      <c r="BP80" s="1936"/>
      <c r="BQ80" s="1936"/>
      <c r="BR80" s="1936"/>
      <c r="BS80" s="1936"/>
      <c r="BT80" s="1936"/>
      <c r="BU80" s="1936"/>
      <c r="BV80" s="1936"/>
      <c r="BW80" s="1936"/>
      <c r="BX80" s="1936"/>
      <c r="BY80" s="1936"/>
      <c r="BZ80" s="1936"/>
      <c r="CA80" s="1936"/>
      <c r="CB80" s="1865" t="str">
        <f>IF(AND($C80&lt;&gt;0,K80=""),"* No olvide ingresar la variable "&amp;K$76&amp;""&amp;". Digite CERO si no tiene. ",IF(K80&gt;$C80,"* La variable Pueblos Originarios no debe ser mayor al Total. ",""))</f>
        <v xml:space="preserve">* La variable Pueblos Originarios no debe ser mayor al Total. </v>
      </c>
      <c r="CC80" s="1865" t="str">
        <f>IF(AND($C80&lt;&gt;0,L80=""),"* No olvide ingresar la variable "&amp;L$76&amp;""&amp;". Digite CERO si no tiene. ",IF(L80&gt;$C80,"* La variable Migrantes no debe ser mayor al Total. ",""))</f>
        <v xml:space="preserve">* La variable Migrantes no debe ser mayor al Total. </v>
      </c>
      <c r="CD80" s="1865" t="str">
        <f>IF(AND($C80&lt;&gt;0,M80=""),"* No olvide ingresar la variable "&amp;M$76&amp;""&amp;". Digite CERO si no tiene.  ",IF(M80&gt;$C80,"* La variable Niños, Niñas, Adolescentes y Jóvenes SENAME no debe ser mayor al Total. ",""))</f>
        <v xml:space="preserve">* La variable Niños, Niñas, Adolescentes y Jóvenes SENAME no debe ser mayor al Total. </v>
      </c>
      <c r="CE80" s="1865" t="str">
        <f>IF(AND($C80&lt;&gt;0,N80=""),"* No olvide ingresar la variable "&amp;N$76&amp;""&amp;". Digite CERO si no tiene.  ",IF(N80&gt;$C80,"* La variable Niños, Niñas, Adolescentes y Jóvenes Mejor Niñez no debe ser mayor al Total. ",""))</f>
        <v xml:space="preserve">* La variable Niños, Niñas, Adolescentes y Jóvenes Mejor Niñez no debe ser mayor al Total. </v>
      </c>
      <c r="CG80" s="1937"/>
      <c r="CH80" s="1937"/>
      <c r="CI80" s="1937"/>
      <c r="CJ80" s="1937"/>
      <c r="CV80" s="1867">
        <f t="shared" si="60"/>
        <v>1</v>
      </c>
      <c r="CW80" s="1867">
        <f t="shared" si="60"/>
        <v>1</v>
      </c>
      <c r="CX80" s="1867">
        <f t="shared" si="60"/>
        <v>1</v>
      </c>
      <c r="CY80" s="1867">
        <f t="shared" si="60"/>
        <v>1</v>
      </c>
    </row>
    <row r="81" spans="1:103" ht="15" customHeight="1" x14ac:dyDescent="0.25">
      <c r="A81" s="5601" t="s">
        <v>4485</v>
      </c>
      <c r="B81" s="357" t="s">
        <v>130</v>
      </c>
      <c r="C81" s="497" t="s">
        <v>4567</v>
      </c>
      <c r="D81" s="2034" t="s">
        <v>4568</v>
      </c>
      <c r="E81" s="331" t="s">
        <v>4569</v>
      </c>
      <c r="F81" s="1970" t="s">
        <v>4570</v>
      </c>
      <c r="G81" s="1969" t="s">
        <v>4571</v>
      </c>
      <c r="H81" s="2047" t="s">
        <v>4572</v>
      </c>
      <c r="I81" s="1939" t="s">
        <v>4573</v>
      </c>
      <c r="J81" s="331" t="s">
        <v>4574</v>
      </c>
      <c r="K81" s="1970" t="s">
        <v>4575</v>
      </c>
      <c r="L81" s="2034" t="s">
        <v>4576</v>
      </c>
      <c r="M81" s="1939" t="s">
        <v>4577</v>
      </c>
      <c r="N81" s="1969" t="s">
        <v>4578</v>
      </c>
      <c r="O81" s="1864" t="str">
        <f t="shared" si="61"/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81" s="1936"/>
      <c r="AU81" s="1936"/>
      <c r="AV81" s="1936"/>
      <c r="AW81" s="1936"/>
      <c r="AX81" s="1936"/>
      <c r="AY81" s="1936"/>
      <c r="AZ81" s="1936"/>
      <c r="BA81" s="1936"/>
      <c r="BB81" s="1936"/>
      <c r="BC81" s="1936"/>
      <c r="BD81" s="1936"/>
      <c r="BE81" s="1936"/>
      <c r="BF81" s="1936"/>
      <c r="BG81" s="1936"/>
      <c r="BH81" s="1936"/>
      <c r="BI81" s="1936"/>
      <c r="BJ81" s="1936"/>
      <c r="BK81" s="1936"/>
      <c r="BL81" s="1936"/>
      <c r="BM81" s="1936"/>
      <c r="BN81" s="1936"/>
      <c r="BO81" s="1936"/>
      <c r="BP81" s="1936"/>
      <c r="BQ81" s="1936"/>
      <c r="BR81" s="1936"/>
      <c r="BS81" s="1936"/>
      <c r="BT81" s="1936"/>
      <c r="BU81" s="1936"/>
      <c r="BV81" s="1936"/>
      <c r="BW81" s="1936"/>
      <c r="BX81" s="1936"/>
      <c r="BY81" s="1936"/>
      <c r="BZ81" s="1936"/>
      <c r="CA81" s="1936"/>
      <c r="CB81" s="1865" t="str">
        <f>IF(AND($C81&lt;&gt;0,K81=""),"* No olvide ingresar la variable "&amp;K$76&amp;""&amp;". Digite CERO si no tiene. ",IF(K81&gt;$C81,"* La variable Pueblos Originarios no debe ser mayor al Total. ",""))</f>
        <v xml:space="preserve">* La variable Pueblos Originarios no debe ser mayor al Total. </v>
      </c>
      <c r="CC81" s="1865" t="str">
        <f>IF(AND($C81&lt;&gt;0,L81=""),"* No olvide ingresar la variable "&amp;L$76&amp;""&amp;". Digite CERO si no tiene. ",IF(L81&gt;$C81,"* La variable Migrantes no debe ser mayor al Total. ",""))</f>
        <v xml:space="preserve">* La variable Migrantes no debe ser mayor al Total. </v>
      </c>
      <c r="CD81" s="1865" t="str">
        <f>IF(AND($C81&lt;&gt;0,M81=""),"* No olvide ingresar la variable "&amp;M$76&amp;""&amp;". Digite CERO si no tiene.  ",IF(M81&gt;$C81,"* La variable Niños, Niñas, Adolescentes y Jóvenes SENAME no debe ser mayor al Total. ",""))</f>
        <v xml:space="preserve">* La variable Niños, Niñas, Adolescentes y Jóvenes SENAME no debe ser mayor al Total. </v>
      </c>
      <c r="CE81" s="1865" t="str">
        <f>IF(AND($C81&lt;&gt;0,N81=""),"* No olvide ingresar la variable "&amp;N$76&amp;""&amp;". Digite CERO si no tiene.  ",IF(N81&gt;$C81,"* La variable Niños, Niñas, Adolescentes y Jóvenes Mejor Niñez no debe ser mayor al Total. ",""))</f>
        <v xml:space="preserve">* La variable Niños, Niñas, Adolescentes y Jóvenes Mejor Niñez no debe ser mayor al Total. </v>
      </c>
      <c r="CG81" s="1937"/>
      <c r="CH81" s="1937"/>
      <c r="CI81" s="1937"/>
      <c r="CJ81" s="1937"/>
      <c r="CV81" s="1867">
        <f t="shared" si="60"/>
        <v>1</v>
      </c>
      <c r="CW81" s="1867">
        <f t="shared" si="60"/>
        <v>1</v>
      </c>
      <c r="CX81" s="1867">
        <f t="shared" si="60"/>
        <v>1</v>
      </c>
      <c r="CY81" s="1867">
        <f t="shared" si="60"/>
        <v>1</v>
      </c>
    </row>
    <row r="82" spans="1:103" ht="15" customHeight="1" x14ac:dyDescent="0.25">
      <c r="A82" s="5601" t="s">
        <v>4486</v>
      </c>
      <c r="B82" s="357" t="s">
        <v>131</v>
      </c>
      <c r="C82" s="497" t="s">
        <v>4567</v>
      </c>
      <c r="D82" s="2034" t="s">
        <v>4568</v>
      </c>
      <c r="E82" s="331" t="s">
        <v>4569</v>
      </c>
      <c r="F82" s="1970" t="s">
        <v>4570</v>
      </c>
      <c r="G82" s="1969" t="s">
        <v>4571</v>
      </c>
      <c r="H82" s="2047" t="s">
        <v>4572</v>
      </c>
      <c r="I82" s="1939" t="s">
        <v>4573</v>
      </c>
      <c r="J82" s="331" t="s">
        <v>4574</v>
      </c>
      <c r="K82" s="1970" t="s">
        <v>4575</v>
      </c>
      <c r="L82" s="2034" t="s">
        <v>4576</v>
      </c>
      <c r="M82" s="1939" t="s">
        <v>4577</v>
      </c>
      <c r="N82" s="1969" t="s">
        <v>4578</v>
      </c>
      <c r="O82" s="1864" t="str">
        <f t="shared" si="61"/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82" s="1936"/>
      <c r="AU82" s="1936"/>
      <c r="AV82" s="1936"/>
      <c r="AW82" s="1936"/>
      <c r="AX82" s="1936"/>
      <c r="AY82" s="1936"/>
      <c r="AZ82" s="1936"/>
      <c r="BA82" s="1936"/>
      <c r="BB82" s="1936"/>
      <c r="BC82" s="1936"/>
      <c r="BD82" s="1936"/>
      <c r="BE82" s="1936"/>
      <c r="BF82" s="1936"/>
      <c r="BG82" s="1936"/>
      <c r="BH82" s="1936"/>
      <c r="BI82" s="1936"/>
      <c r="BJ82" s="1936"/>
      <c r="BK82" s="1936"/>
      <c r="BL82" s="1936"/>
      <c r="BM82" s="1936"/>
      <c r="BN82" s="1936"/>
      <c r="BO82" s="1936"/>
      <c r="BP82" s="1936"/>
      <c r="BQ82" s="1936"/>
      <c r="BR82" s="1936"/>
      <c r="BS82" s="1936"/>
      <c r="BT82" s="1936"/>
      <c r="BU82" s="1936"/>
      <c r="BV82" s="1936"/>
      <c r="BW82" s="1936"/>
      <c r="BX82" s="1936"/>
      <c r="BY82" s="1936"/>
      <c r="BZ82" s="1936"/>
      <c r="CA82" s="1936"/>
      <c r="CB82" s="1865" t="str">
        <f>IF(AND($C82&lt;&gt;0,K82=""),"* No olvide ingresar la variable "&amp;K$76&amp;""&amp;". Digite CERO si no tiene. ",IF(K82&gt;$C82,"* La variable Pueblos Originarios no debe ser mayor al Total. ",""))</f>
        <v xml:space="preserve">* La variable Pueblos Originarios no debe ser mayor al Total. </v>
      </c>
      <c r="CC82" s="1865" t="str">
        <f>IF(AND($C82&lt;&gt;0,L82=""),"* No olvide ingresar la variable "&amp;L$76&amp;""&amp;". Digite CERO si no tiene. ",IF(L82&gt;$C82,"* La variable Migrantes no debe ser mayor al Total. ",""))</f>
        <v xml:space="preserve">* La variable Migrantes no debe ser mayor al Total. </v>
      </c>
      <c r="CD82" s="1865" t="str">
        <f>IF(AND($C82&lt;&gt;0,M82=""),"* No olvide ingresar la variable "&amp;M$76&amp;""&amp;". Digite CERO si no tiene.  ",IF(M82&gt;$C82,"* La variable Niños, Niñas, Adolescentes y Jóvenes SENAME no debe ser mayor al Total. ",""))</f>
        <v xml:space="preserve">* La variable Niños, Niñas, Adolescentes y Jóvenes SENAME no debe ser mayor al Total. </v>
      </c>
      <c r="CE82" s="1865" t="str">
        <f>IF(AND($C82&lt;&gt;0,N82=""),"* No olvide ingresar la variable "&amp;N$76&amp;""&amp;". Digite CERO si no tiene.  ",IF(N82&gt;$C82,"* La variable Niños, Niñas, Adolescentes y Jóvenes Mejor Niñez no debe ser mayor al Total. ",""))</f>
        <v xml:space="preserve">* La variable Niños, Niñas, Adolescentes y Jóvenes Mejor Niñez no debe ser mayor al Total. </v>
      </c>
      <c r="CG82" s="1937"/>
      <c r="CH82" s="1937"/>
      <c r="CI82" s="1937"/>
      <c r="CJ82" s="1937"/>
      <c r="CV82" s="1867">
        <f t="shared" si="60"/>
        <v>1</v>
      </c>
      <c r="CW82" s="1867">
        <f t="shared" si="60"/>
        <v>1</v>
      </c>
      <c r="CX82" s="1867">
        <f t="shared" si="60"/>
        <v>1</v>
      </c>
      <c r="CY82" s="1867">
        <f t="shared" si="60"/>
        <v>1</v>
      </c>
    </row>
    <row r="83" spans="1:103" ht="15" customHeight="1" x14ac:dyDescent="0.25">
      <c r="A83" s="5601" t="s">
        <v>4487</v>
      </c>
      <c r="B83" s="2048" t="s">
        <v>132</v>
      </c>
      <c r="C83" s="2036" t="s">
        <v>4567</v>
      </c>
      <c r="D83" s="2049" t="s">
        <v>4568</v>
      </c>
      <c r="E83" s="2050" t="s">
        <v>4569</v>
      </c>
      <c r="F83" s="2051" t="s">
        <v>4570</v>
      </c>
      <c r="G83" s="2052" t="s">
        <v>4571</v>
      </c>
      <c r="H83" s="2053" t="s">
        <v>4572</v>
      </c>
      <c r="I83" s="1880" t="s">
        <v>4573</v>
      </c>
      <c r="J83" s="325" t="s">
        <v>4574</v>
      </c>
      <c r="K83" s="2051" t="s">
        <v>4575</v>
      </c>
      <c r="L83" s="2054" t="s">
        <v>4576</v>
      </c>
      <c r="M83" s="1892" t="s">
        <v>4577</v>
      </c>
      <c r="N83" s="2052" t="s">
        <v>4578</v>
      </c>
      <c r="O83" s="1864"/>
      <c r="AT83" s="1936"/>
      <c r="AU83" s="1936"/>
      <c r="AV83" s="1936"/>
      <c r="AW83" s="1936"/>
      <c r="AX83" s="1936"/>
      <c r="AY83" s="1936"/>
      <c r="AZ83" s="1936"/>
      <c r="BA83" s="1936"/>
      <c r="BB83" s="1936"/>
      <c r="BC83" s="1936"/>
      <c r="BD83" s="1936"/>
      <c r="BE83" s="1936"/>
      <c r="BF83" s="1936"/>
      <c r="BG83" s="1936"/>
      <c r="BH83" s="1936"/>
      <c r="BI83" s="1936"/>
      <c r="BJ83" s="1936"/>
      <c r="BK83" s="1936"/>
      <c r="BL83" s="1936"/>
      <c r="BM83" s="1936"/>
      <c r="BN83" s="1936"/>
      <c r="BO83" s="1936"/>
      <c r="BP83" s="1936"/>
      <c r="BQ83" s="1936"/>
      <c r="BR83" s="1936"/>
      <c r="BS83" s="1936"/>
      <c r="BT83" s="1936"/>
      <c r="BU83" s="1936"/>
      <c r="BV83" s="1936"/>
      <c r="BW83" s="1936"/>
      <c r="BX83" s="1936"/>
      <c r="BY83" s="1936"/>
      <c r="BZ83" s="1936"/>
      <c r="CA83" s="1936"/>
      <c r="CB83" s="1936"/>
      <c r="CC83" s="1936"/>
      <c r="CD83" s="1936"/>
      <c r="CE83" s="1936"/>
      <c r="CF83" s="1936"/>
      <c r="CG83" s="1937"/>
      <c r="CH83" s="1937"/>
      <c r="CI83" s="1937"/>
      <c r="CJ83" s="1937"/>
    </row>
    <row r="84" spans="1:103" ht="18" customHeight="1" x14ac:dyDescent="0.25">
      <c r="A84" s="6"/>
      <c r="B84" s="6017" t="s">
        <v>133</v>
      </c>
      <c r="C84" s="6017"/>
      <c r="D84" s="6017"/>
      <c r="E84" s="6017"/>
      <c r="F84" s="6017"/>
      <c r="G84" s="6017"/>
      <c r="H84" s="6017"/>
      <c r="I84" s="6017"/>
      <c r="J84" s="6017"/>
      <c r="K84" s="6017"/>
      <c r="L84" s="6017"/>
      <c r="M84" s="6017"/>
      <c r="N84" s="6017"/>
      <c r="O84" s="6017"/>
      <c r="P84" s="6017"/>
      <c r="Q84" s="6017"/>
      <c r="R84" s="6017"/>
      <c r="S84" s="6017"/>
      <c r="T84" s="6017"/>
      <c r="U84" s="6017"/>
      <c r="V84" s="6017"/>
      <c r="W84" s="6017"/>
      <c r="X84" s="6017"/>
      <c r="Y84" s="6017"/>
      <c r="Z84" s="6017"/>
      <c r="AA84" s="6017"/>
      <c r="AB84" s="6017"/>
      <c r="AC84" s="6017"/>
      <c r="AD84" s="6017"/>
      <c r="AE84" s="6017"/>
      <c r="AF84" s="6017"/>
      <c r="AG84" s="6017"/>
      <c r="AH84" s="1838"/>
      <c r="AI84" s="1838"/>
    </row>
    <row r="85" spans="1:103" ht="15" customHeight="1" x14ac:dyDescent="0.25">
      <c r="A85" s="6"/>
      <c r="B85" s="6038" t="s">
        <v>26</v>
      </c>
      <c r="C85" s="6041" t="s">
        <v>77</v>
      </c>
      <c r="D85" s="6042"/>
      <c r="E85" s="6043"/>
      <c r="F85" s="6009" t="s">
        <v>101</v>
      </c>
      <c r="G85" s="6046"/>
      <c r="H85" s="6046"/>
      <c r="I85" s="6046"/>
      <c r="J85" s="6046"/>
      <c r="K85" s="6046"/>
      <c r="L85" s="6046"/>
      <c r="M85" s="6046"/>
      <c r="N85" s="6046"/>
      <c r="O85" s="6046"/>
      <c r="P85" s="6046"/>
      <c r="Q85" s="6046"/>
      <c r="R85" s="6046"/>
      <c r="S85" s="6046"/>
      <c r="T85" s="6046"/>
      <c r="U85" s="6046"/>
      <c r="V85" s="6046"/>
      <c r="W85" s="6046"/>
      <c r="X85" s="6046"/>
      <c r="Y85" s="6046"/>
      <c r="Z85" s="6046"/>
      <c r="AA85" s="6046"/>
      <c r="AB85" s="6046"/>
      <c r="AC85" s="6046"/>
      <c r="AD85" s="6046"/>
      <c r="AE85" s="6046"/>
      <c r="AF85" s="6046"/>
      <c r="AG85" s="6047"/>
      <c r="AH85" s="6033" t="s">
        <v>37</v>
      </c>
      <c r="AI85" s="6026" t="s">
        <v>36</v>
      </c>
    </row>
    <row r="86" spans="1:103" ht="15" customHeight="1" x14ac:dyDescent="0.25">
      <c r="A86" s="6"/>
      <c r="B86" s="6039"/>
      <c r="C86" s="6044"/>
      <c r="D86" s="6045"/>
      <c r="E86" s="6027"/>
      <c r="F86" s="6009" t="s">
        <v>44</v>
      </c>
      <c r="G86" s="6025"/>
      <c r="H86" s="6029" t="s">
        <v>45</v>
      </c>
      <c r="I86" s="6030"/>
      <c r="J86" s="6029" t="s">
        <v>46</v>
      </c>
      <c r="K86" s="6030"/>
      <c r="L86" s="6031" t="s">
        <v>47</v>
      </c>
      <c r="M86" s="6030"/>
      <c r="N86" s="6029" t="s">
        <v>48</v>
      </c>
      <c r="O86" s="6030"/>
      <c r="P86" s="6029" t="s">
        <v>49</v>
      </c>
      <c r="Q86" s="6030"/>
      <c r="R86" s="6029" t="s">
        <v>50</v>
      </c>
      <c r="S86" s="6030"/>
      <c r="T86" s="6029" t="s">
        <v>51</v>
      </c>
      <c r="U86" s="6030"/>
      <c r="V86" s="6029" t="s">
        <v>52</v>
      </c>
      <c r="W86" s="6030"/>
      <c r="X86" s="6029" t="s">
        <v>53</v>
      </c>
      <c r="Y86" s="6029"/>
      <c r="Z86" s="6031" t="s">
        <v>54</v>
      </c>
      <c r="AA86" s="6030"/>
      <c r="AB86" s="6031" t="s">
        <v>55</v>
      </c>
      <c r="AC86" s="6030"/>
      <c r="AD86" s="6031" t="s">
        <v>56</v>
      </c>
      <c r="AE86" s="6030"/>
      <c r="AF86" s="6029" t="s">
        <v>57</v>
      </c>
      <c r="AG86" s="6032"/>
      <c r="AH86" s="6034"/>
      <c r="AI86" s="6027"/>
    </row>
    <row r="87" spans="1:103" ht="15" customHeight="1" x14ac:dyDescent="0.25">
      <c r="A87" s="6"/>
      <c r="B87" s="6040"/>
      <c r="C87" s="2055" t="s">
        <v>79</v>
      </c>
      <c r="D87" s="2030" t="s">
        <v>58</v>
      </c>
      <c r="E87" s="2027" t="s">
        <v>59</v>
      </c>
      <c r="F87" s="2031" t="s">
        <v>58</v>
      </c>
      <c r="G87" s="2027" t="s">
        <v>59</v>
      </c>
      <c r="H87" s="2030" t="s">
        <v>58</v>
      </c>
      <c r="I87" s="2027" t="s">
        <v>59</v>
      </c>
      <c r="J87" s="2030" t="s">
        <v>58</v>
      </c>
      <c r="K87" s="2027" t="s">
        <v>59</v>
      </c>
      <c r="L87" s="2031" t="s">
        <v>58</v>
      </c>
      <c r="M87" s="2027" t="s">
        <v>59</v>
      </c>
      <c r="N87" s="2030" t="s">
        <v>58</v>
      </c>
      <c r="O87" s="2027" t="s">
        <v>59</v>
      </c>
      <c r="P87" s="2030" t="s">
        <v>58</v>
      </c>
      <c r="Q87" s="2027" t="s">
        <v>59</v>
      </c>
      <c r="R87" s="2030" t="s">
        <v>58</v>
      </c>
      <c r="S87" s="2027" t="s">
        <v>59</v>
      </c>
      <c r="T87" s="2030" t="s">
        <v>58</v>
      </c>
      <c r="U87" s="2027" t="s">
        <v>59</v>
      </c>
      <c r="V87" s="2030" t="s">
        <v>58</v>
      </c>
      <c r="W87" s="2027" t="s">
        <v>59</v>
      </c>
      <c r="X87" s="2030" t="s">
        <v>58</v>
      </c>
      <c r="Y87" s="2026" t="s">
        <v>59</v>
      </c>
      <c r="Z87" s="2031" t="s">
        <v>58</v>
      </c>
      <c r="AA87" s="2027" t="s">
        <v>59</v>
      </c>
      <c r="AB87" s="2031" t="s">
        <v>58</v>
      </c>
      <c r="AC87" s="2027" t="s">
        <v>59</v>
      </c>
      <c r="AD87" s="2031" t="s">
        <v>58</v>
      </c>
      <c r="AE87" s="2027" t="s">
        <v>59</v>
      </c>
      <c r="AF87" s="2030" t="s">
        <v>58</v>
      </c>
      <c r="AG87" s="2028" t="s">
        <v>59</v>
      </c>
      <c r="AH87" s="6035"/>
      <c r="AI87" s="6028"/>
    </row>
    <row r="88" spans="1:103" ht="15" customHeight="1" x14ac:dyDescent="0.25">
      <c r="A88" s="5601" t="s">
        <v>4488</v>
      </c>
      <c r="B88" s="357" t="s">
        <v>134</v>
      </c>
      <c r="C88" s="2056" t="s">
        <v>4567</v>
      </c>
      <c r="D88" s="2057" t="s">
        <v>4568</v>
      </c>
      <c r="E88" s="2058" t="s">
        <v>4569</v>
      </c>
      <c r="F88" s="328" t="s">
        <v>4570</v>
      </c>
      <c r="G88" s="1969" t="s">
        <v>4571</v>
      </c>
      <c r="H88" s="2034" t="s">
        <v>4572</v>
      </c>
      <c r="I88" s="1969" t="s">
        <v>4573</v>
      </c>
      <c r="J88" s="2059" t="s">
        <v>4574</v>
      </c>
      <c r="K88" s="2060" t="s">
        <v>4575</v>
      </c>
      <c r="L88" s="2061" t="s">
        <v>4576</v>
      </c>
      <c r="M88" s="2060" t="s">
        <v>4577</v>
      </c>
      <c r="N88" s="2059" t="s">
        <v>4578</v>
      </c>
      <c r="O88" s="2060" t="s">
        <v>4579</v>
      </c>
      <c r="P88" s="2059" t="s">
        <v>4580</v>
      </c>
      <c r="Q88" s="2060" t="s">
        <v>4581</v>
      </c>
      <c r="R88" s="2059" t="s">
        <v>4582</v>
      </c>
      <c r="S88" s="2060" t="s">
        <v>4583</v>
      </c>
      <c r="T88" s="2059" t="s">
        <v>4584</v>
      </c>
      <c r="U88" s="2060" t="s">
        <v>4585</v>
      </c>
      <c r="V88" s="2059" t="s">
        <v>4586</v>
      </c>
      <c r="W88" s="2060" t="s">
        <v>4587</v>
      </c>
      <c r="X88" s="2059" t="s">
        <v>4588</v>
      </c>
      <c r="Y88" s="2062" t="s">
        <v>4589</v>
      </c>
      <c r="Z88" s="2061" t="s">
        <v>4590</v>
      </c>
      <c r="AA88" s="2060" t="s">
        <v>4591</v>
      </c>
      <c r="AB88" s="2061" t="s">
        <v>4592</v>
      </c>
      <c r="AC88" s="2060" t="s">
        <v>4593</v>
      </c>
      <c r="AD88" s="2061" t="s">
        <v>4594</v>
      </c>
      <c r="AE88" s="2060" t="s">
        <v>4595</v>
      </c>
      <c r="AF88" s="2059" t="s">
        <v>4596</v>
      </c>
      <c r="AG88" s="2063" t="s">
        <v>4597</v>
      </c>
      <c r="AH88" s="1963" t="s">
        <v>4598</v>
      </c>
      <c r="AI88" s="1935" t="s">
        <v>4599</v>
      </c>
      <c r="AJ88" s="1864" t="str">
        <f>$CB88&amp;CC88</f>
        <v xml:space="preserve">* La variable Migrantes no debe ser mayor al Total Ambos Sexos. * La variable Pueblos Originarios no debe ser mayor al Total Ambos Sexos. </v>
      </c>
      <c r="BO88" s="1936"/>
      <c r="BP88" s="1936"/>
      <c r="BQ88" s="1936"/>
      <c r="BR88" s="1936"/>
      <c r="BS88" s="1936"/>
      <c r="BT88" s="1936"/>
      <c r="BU88" s="1936"/>
      <c r="BV88" s="1936"/>
      <c r="BW88" s="1936"/>
      <c r="BX88" s="1936"/>
      <c r="BY88" s="1936"/>
      <c r="BZ88" s="1936"/>
      <c r="CA88" s="1936"/>
      <c r="CB88" s="1865" t="str">
        <f>IF(AND($C88&lt;&gt;0,AH88=""),"* No olvide ingresar la variable "&amp;AH$85&amp;""&amp;". Digite CERO si no tiene. ",IF(AH88&gt;$C88,"* La variable Migrantes no debe ser mayor al Total Ambos Sexos. ",""))</f>
        <v xml:space="preserve">* La variable Migrantes no debe ser mayor al Total Ambos Sexos. </v>
      </c>
      <c r="CC88" s="1865" t="str">
        <f>IF(AND($C88&lt;&gt;0,AI88=""),"* No olvide ingresar la variable "&amp;AI$85&amp;""&amp;". Digite CERO si no tiene. ",IF(AI88&gt;$C88,"* La variable Pueblos Originarios no debe ser mayor al Total Ambos Sexos. ",""))</f>
        <v xml:space="preserve">* La variable Pueblos Originarios no debe ser mayor al Total Ambos Sexos. </v>
      </c>
      <c r="CD88" s="1936"/>
      <c r="CE88" s="1936"/>
      <c r="CF88" s="1937"/>
      <c r="CG88" s="1937"/>
      <c r="CH88" s="1937"/>
      <c r="CI88" s="1937"/>
      <c r="CJ88" s="1937"/>
      <c r="CV88" s="1867">
        <f t="shared" ref="CV88:CW93" si="62">IF(AND($C88&lt;&gt;0,AH88=""),1,IF(AH88&gt;$C88,1,0))</f>
        <v>1</v>
      </c>
      <c r="CW88" s="1867">
        <f t="shared" si="62"/>
        <v>1</v>
      </c>
    </row>
    <row r="89" spans="1:103" ht="15" customHeight="1" x14ac:dyDescent="0.25">
      <c r="A89" s="5601" t="s">
        <v>4489</v>
      </c>
      <c r="B89" s="357" t="s">
        <v>135</v>
      </c>
      <c r="C89" s="2056" t="s">
        <v>4567</v>
      </c>
      <c r="D89" s="2057" t="s">
        <v>4568</v>
      </c>
      <c r="E89" s="2058" t="s">
        <v>4569</v>
      </c>
      <c r="F89" s="328" t="s">
        <v>4570</v>
      </c>
      <c r="G89" s="1969" t="s">
        <v>4571</v>
      </c>
      <c r="H89" s="2034" t="s">
        <v>4572</v>
      </c>
      <c r="I89" s="1969" t="s">
        <v>4573</v>
      </c>
      <c r="J89" s="2059" t="s">
        <v>4574</v>
      </c>
      <c r="K89" s="2060" t="s">
        <v>4575</v>
      </c>
      <c r="L89" s="2061" t="s">
        <v>4576</v>
      </c>
      <c r="M89" s="2060" t="s">
        <v>4577</v>
      </c>
      <c r="N89" s="2059" t="s">
        <v>4578</v>
      </c>
      <c r="O89" s="2060" t="s">
        <v>4579</v>
      </c>
      <c r="P89" s="2059" t="s">
        <v>4580</v>
      </c>
      <c r="Q89" s="2060" t="s">
        <v>4581</v>
      </c>
      <c r="R89" s="2059" t="s">
        <v>4582</v>
      </c>
      <c r="S89" s="2060" t="s">
        <v>4583</v>
      </c>
      <c r="T89" s="2059" t="s">
        <v>4584</v>
      </c>
      <c r="U89" s="2060" t="s">
        <v>4585</v>
      </c>
      <c r="V89" s="2059" t="s">
        <v>4586</v>
      </c>
      <c r="W89" s="2060" t="s">
        <v>4587</v>
      </c>
      <c r="X89" s="2059" t="s">
        <v>4588</v>
      </c>
      <c r="Y89" s="2062" t="s">
        <v>4589</v>
      </c>
      <c r="Z89" s="2061" t="s">
        <v>4590</v>
      </c>
      <c r="AA89" s="2060" t="s">
        <v>4591</v>
      </c>
      <c r="AB89" s="2061" t="s">
        <v>4592</v>
      </c>
      <c r="AC89" s="2060" t="s">
        <v>4593</v>
      </c>
      <c r="AD89" s="2061" t="s">
        <v>4594</v>
      </c>
      <c r="AE89" s="2060" t="s">
        <v>4595</v>
      </c>
      <c r="AF89" s="2059" t="s">
        <v>4596</v>
      </c>
      <c r="AG89" s="2063" t="s">
        <v>4597</v>
      </c>
      <c r="AH89" s="1970" t="s">
        <v>4598</v>
      </c>
      <c r="AI89" s="329" t="s">
        <v>4599</v>
      </c>
      <c r="AJ89" s="1864" t="str">
        <f t="shared" ref="AJ89:AJ93" si="63">$CB89&amp;CC89</f>
        <v xml:space="preserve">* La variable Migrantes no debe ser mayor al Total Ambos Sexos. * La variable Pueblos Originarios no debe ser mayor al Total Ambos Sexos. </v>
      </c>
      <c r="BO89" s="1936"/>
      <c r="BP89" s="1936"/>
      <c r="BQ89" s="1936"/>
      <c r="BR89" s="1936"/>
      <c r="BS89" s="1936"/>
      <c r="BT89" s="1936"/>
      <c r="BU89" s="1936"/>
      <c r="BV89" s="1936"/>
      <c r="BW89" s="1936"/>
      <c r="BX89" s="1936"/>
      <c r="BY89" s="1936"/>
      <c r="BZ89" s="1936"/>
      <c r="CA89" s="1936"/>
      <c r="CB89" s="1865" t="str">
        <f t="shared" ref="CB89:CB93" si="64">IF(AND($C89&lt;&gt;0,AH89=""),"* No olvide ingresar la variable "&amp;AH$85&amp;""&amp;". Digite CERO si no tiene. ",IF(AH89&gt;$C89,"* La variable Migrantes no debe ser mayor al Total Ambos Sexos. ",""))</f>
        <v xml:space="preserve">* La variable Migrantes no debe ser mayor al Total Ambos Sexos. </v>
      </c>
      <c r="CC89" s="1865" t="str">
        <f t="shared" ref="CC89:CC93" si="65">IF(AND($C89&lt;&gt;0,AI89=""),"* No olvide ingresar la variable "&amp;AI$85&amp;""&amp;". Digite CERO si no tiene. ",IF(AI89&gt;$C89,"* La variable Pueblos Originarios no debe ser mayor al Total Ambos Sexos. ",""))</f>
        <v xml:space="preserve">* La variable Pueblos Originarios no debe ser mayor al Total Ambos Sexos. </v>
      </c>
      <c r="CD89" s="1936"/>
      <c r="CE89" s="1936"/>
      <c r="CF89" s="1937"/>
      <c r="CG89" s="1937"/>
      <c r="CH89" s="1937"/>
      <c r="CI89" s="1937"/>
      <c r="CJ89" s="1937"/>
      <c r="CV89" s="1867">
        <f t="shared" si="62"/>
        <v>1</v>
      </c>
      <c r="CW89" s="1867">
        <f t="shared" si="62"/>
        <v>1</v>
      </c>
    </row>
    <row r="90" spans="1:103" ht="15" customHeight="1" x14ac:dyDescent="0.25">
      <c r="A90" s="5601" t="s">
        <v>4490</v>
      </c>
      <c r="B90" s="2064" t="s">
        <v>136</v>
      </c>
      <c r="C90" s="2065" t="s">
        <v>4567</v>
      </c>
      <c r="D90" s="2066" t="s">
        <v>4568</v>
      </c>
      <c r="E90" s="2014" t="s">
        <v>4569</v>
      </c>
      <c r="F90" s="1906" t="s">
        <v>4570</v>
      </c>
      <c r="G90" s="324" t="s">
        <v>4571</v>
      </c>
      <c r="H90" s="2053" t="s">
        <v>4572</v>
      </c>
      <c r="I90" s="324" t="s">
        <v>4573</v>
      </c>
      <c r="J90" s="2067" t="s">
        <v>4574</v>
      </c>
      <c r="K90" s="2068" t="s">
        <v>4575</v>
      </c>
      <c r="L90" s="2069" t="s">
        <v>4576</v>
      </c>
      <c r="M90" s="2068" t="s">
        <v>4577</v>
      </c>
      <c r="N90" s="2067" t="s">
        <v>4578</v>
      </c>
      <c r="O90" s="2068" t="s">
        <v>4579</v>
      </c>
      <c r="P90" s="2067" t="s">
        <v>4580</v>
      </c>
      <c r="Q90" s="2068" t="s">
        <v>4581</v>
      </c>
      <c r="R90" s="2067" t="s">
        <v>4582</v>
      </c>
      <c r="S90" s="2068" t="s">
        <v>4583</v>
      </c>
      <c r="T90" s="2067" t="s">
        <v>4584</v>
      </c>
      <c r="U90" s="2068" t="s">
        <v>4585</v>
      </c>
      <c r="V90" s="2067" t="s">
        <v>4586</v>
      </c>
      <c r="W90" s="2068" t="s">
        <v>4587</v>
      </c>
      <c r="X90" s="2067" t="s">
        <v>4588</v>
      </c>
      <c r="Y90" s="2070" t="s">
        <v>4589</v>
      </c>
      <c r="Z90" s="2069" t="s">
        <v>4590</v>
      </c>
      <c r="AA90" s="2068" t="s">
        <v>4591</v>
      </c>
      <c r="AB90" s="2069" t="s">
        <v>4592</v>
      </c>
      <c r="AC90" s="2068" t="s">
        <v>4593</v>
      </c>
      <c r="AD90" s="2069" t="s">
        <v>4594</v>
      </c>
      <c r="AE90" s="2068" t="s">
        <v>4595</v>
      </c>
      <c r="AF90" s="2067" t="s">
        <v>4596</v>
      </c>
      <c r="AG90" s="2071" t="s">
        <v>4597</v>
      </c>
      <c r="AH90" s="1879" t="s">
        <v>4598</v>
      </c>
      <c r="AI90" s="854" t="s">
        <v>4599</v>
      </c>
      <c r="AJ90" s="1864" t="str">
        <f t="shared" si="63"/>
        <v xml:space="preserve">* La variable Migrantes no debe ser mayor al Total Ambos Sexos. * La variable Pueblos Originarios no debe ser mayor al Total Ambos Sexos. </v>
      </c>
      <c r="BO90" s="1936"/>
      <c r="BP90" s="1936"/>
      <c r="BQ90" s="1936"/>
      <c r="BR90" s="1936"/>
      <c r="BS90" s="1936"/>
      <c r="BT90" s="1936"/>
      <c r="BU90" s="1936"/>
      <c r="BV90" s="1936"/>
      <c r="BW90" s="1936"/>
      <c r="BX90" s="1936"/>
      <c r="BY90" s="1936"/>
      <c r="BZ90" s="1936"/>
      <c r="CA90" s="1936"/>
      <c r="CB90" s="1865" t="str">
        <f t="shared" si="64"/>
        <v xml:space="preserve">* La variable Migrantes no debe ser mayor al Total Ambos Sexos. </v>
      </c>
      <c r="CC90" s="1865" t="str">
        <f t="shared" si="65"/>
        <v xml:space="preserve">* La variable Pueblos Originarios no debe ser mayor al Total Ambos Sexos. </v>
      </c>
      <c r="CD90" s="1936"/>
      <c r="CE90" s="1936"/>
      <c r="CF90" s="1937"/>
      <c r="CG90" s="1937"/>
      <c r="CH90" s="1937"/>
      <c r="CI90" s="1937"/>
      <c r="CJ90" s="1937"/>
      <c r="CV90" s="1867">
        <f t="shared" si="62"/>
        <v>1</v>
      </c>
      <c r="CW90" s="1867">
        <f t="shared" si="62"/>
        <v>1</v>
      </c>
    </row>
    <row r="91" spans="1:103" ht="15" customHeight="1" x14ac:dyDescent="0.25">
      <c r="A91" s="5601" t="s">
        <v>4491</v>
      </c>
      <c r="B91" s="357" t="s">
        <v>137</v>
      </c>
      <c r="C91" s="2072" t="s">
        <v>4567</v>
      </c>
      <c r="D91" s="2073" t="s">
        <v>4568</v>
      </c>
      <c r="E91" s="2074" t="s">
        <v>4569</v>
      </c>
      <c r="F91" s="328" t="s">
        <v>4570</v>
      </c>
      <c r="G91" s="1969" t="s">
        <v>4571</v>
      </c>
      <c r="H91" s="2034" t="s">
        <v>4572</v>
      </c>
      <c r="I91" s="1969" t="s">
        <v>4573</v>
      </c>
      <c r="J91" s="2059" t="s">
        <v>4574</v>
      </c>
      <c r="K91" s="2060" t="s">
        <v>4575</v>
      </c>
      <c r="L91" s="2061" t="s">
        <v>4576</v>
      </c>
      <c r="M91" s="2060" t="s">
        <v>4577</v>
      </c>
      <c r="N91" s="2059" t="s">
        <v>4578</v>
      </c>
      <c r="O91" s="2060" t="s">
        <v>4579</v>
      </c>
      <c r="P91" s="2059" t="s">
        <v>4580</v>
      </c>
      <c r="Q91" s="2060" t="s">
        <v>4581</v>
      </c>
      <c r="R91" s="2059" t="s">
        <v>4582</v>
      </c>
      <c r="S91" s="2060" t="s">
        <v>4583</v>
      </c>
      <c r="T91" s="2059" t="s">
        <v>4584</v>
      </c>
      <c r="U91" s="2060" t="s">
        <v>4585</v>
      </c>
      <c r="V91" s="2059" t="s">
        <v>4586</v>
      </c>
      <c r="W91" s="2060" t="s">
        <v>4587</v>
      </c>
      <c r="X91" s="2059" t="s">
        <v>4588</v>
      </c>
      <c r="Y91" s="2062" t="s">
        <v>4589</v>
      </c>
      <c r="Z91" s="2061" t="s">
        <v>4590</v>
      </c>
      <c r="AA91" s="2060" t="s">
        <v>4591</v>
      </c>
      <c r="AB91" s="2061" t="s">
        <v>4592</v>
      </c>
      <c r="AC91" s="2060" t="s">
        <v>4593</v>
      </c>
      <c r="AD91" s="2061" t="s">
        <v>4594</v>
      </c>
      <c r="AE91" s="2060" t="s">
        <v>4595</v>
      </c>
      <c r="AF91" s="2059" t="s">
        <v>4596</v>
      </c>
      <c r="AG91" s="2063" t="s">
        <v>4597</v>
      </c>
      <c r="AH91" s="1970" t="s">
        <v>4598</v>
      </c>
      <c r="AI91" s="329" t="s">
        <v>4599</v>
      </c>
      <c r="AJ91" s="1864" t="str">
        <f t="shared" si="63"/>
        <v xml:space="preserve">* La variable Migrantes no debe ser mayor al Total Ambos Sexos. * La variable Pueblos Originarios no debe ser mayor al Total Ambos Sexos. </v>
      </c>
      <c r="BO91" s="1936"/>
      <c r="BP91" s="1936"/>
      <c r="BQ91" s="1936"/>
      <c r="BR91" s="1936"/>
      <c r="BS91" s="1936"/>
      <c r="BT91" s="1936"/>
      <c r="BU91" s="1936"/>
      <c r="BV91" s="1936"/>
      <c r="BW91" s="1936"/>
      <c r="BX91" s="1936"/>
      <c r="BY91" s="1936"/>
      <c r="BZ91" s="1936"/>
      <c r="CA91" s="1936"/>
      <c r="CB91" s="1865" t="str">
        <f t="shared" si="64"/>
        <v xml:space="preserve">* La variable Migrantes no debe ser mayor al Total Ambos Sexos. </v>
      </c>
      <c r="CC91" s="1865" t="str">
        <f t="shared" si="65"/>
        <v xml:space="preserve">* La variable Pueblos Originarios no debe ser mayor al Total Ambos Sexos. </v>
      </c>
      <c r="CD91" s="1936"/>
      <c r="CE91" s="1936"/>
      <c r="CF91" s="1937"/>
      <c r="CG91" s="1937"/>
      <c r="CH91" s="1937"/>
      <c r="CI91" s="1937"/>
      <c r="CJ91" s="1937"/>
      <c r="CV91" s="1867">
        <f t="shared" si="62"/>
        <v>1</v>
      </c>
      <c r="CW91" s="1867">
        <f t="shared" si="62"/>
        <v>1</v>
      </c>
    </row>
    <row r="92" spans="1:103" ht="15" customHeight="1" x14ac:dyDescent="0.25">
      <c r="A92" s="5601" t="s">
        <v>4492</v>
      </c>
      <c r="B92" s="357" t="s">
        <v>138</v>
      </c>
      <c r="C92" s="2056" t="s">
        <v>4567</v>
      </c>
      <c r="D92" s="2057" t="s">
        <v>4568</v>
      </c>
      <c r="E92" s="2058" t="s">
        <v>4569</v>
      </c>
      <c r="F92" s="328" t="s">
        <v>4570</v>
      </c>
      <c r="G92" s="1969" t="s">
        <v>4571</v>
      </c>
      <c r="H92" s="2034" t="s">
        <v>4572</v>
      </c>
      <c r="I92" s="1969" t="s">
        <v>4573</v>
      </c>
      <c r="J92" s="2059" t="s">
        <v>4574</v>
      </c>
      <c r="K92" s="2060" t="s">
        <v>4575</v>
      </c>
      <c r="L92" s="2061" t="s">
        <v>4576</v>
      </c>
      <c r="M92" s="2060" t="s">
        <v>4577</v>
      </c>
      <c r="N92" s="2059" t="s">
        <v>4578</v>
      </c>
      <c r="O92" s="2060" t="s">
        <v>4579</v>
      </c>
      <c r="P92" s="2059" t="s">
        <v>4580</v>
      </c>
      <c r="Q92" s="2060" t="s">
        <v>4581</v>
      </c>
      <c r="R92" s="2059" t="s">
        <v>4582</v>
      </c>
      <c r="S92" s="2060" t="s">
        <v>4583</v>
      </c>
      <c r="T92" s="2059" t="s">
        <v>4584</v>
      </c>
      <c r="U92" s="2060" t="s">
        <v>4585</v>
      </c>
      <c r="V92" s="2059" t="s">
        <v>4586</v>
      </c>
      <c r="W92" s="2060" t="s">
        <v>4587</v>
      </c>
      <c r="X92" s="2059" t="s">
        <v>4588</v>
      </c>
      <c r="Y92" s="2062" t="s">
        <v>4589</v>
      </c>
      <c r="Z92" s="2061" t="s">
        <v>4590</v>
      </c>
      <c r="AA92" s="2060" t="s">
        <v>4591</v>
      </c>
      <c r="AB92" s="2061" t="s">
        <v>4592</v>
      </c>
      <c r="AC92" s="2060" t="s">
        <v>4593</v>
      </c>
      <c r="AD92" s="2061" t="s">
        <v>4594</v>
      </c>
      <c r="AE92" s="2060" t="s">
        <v>4595</v>
      </c>
      <c r="AF92" s="2059" t="s">
        <v>4596</v>
      </c>
      <c r="AG92" s="2063" t="s">
        <v>4597</v>
      </c>
      <c r="AH92" s="1970" t="s">
        <v>4598</v>
      </c>
      <c r="AI92" s="329" t="s">
        <v>4599</v>
      </c>
      <c r="AJ92" s="1864" t="str">
        <f t="shared" si="63"/>
        <v xml:space="preserve">* La variable Migrantes no debe ser mayor al Total Ambos Sexos. * La variable Pueblos Originarios no debe ser mayor al Total Ambos Sexos. </v>
      </c>
      <c r="BO92" s="1936"/>
      <c r="BP92" s="1936"/>
      <c r="BQ92" s="1936"/>
      <c r="BR92" s="1936"/>
      <c r="BS92" s="1936"/>
      <c r="BT92" s="1936"/>
      <c r="BU92" s="1936"/>
      <c r="BV92" s="1936"/>
      <c r="BW92" s="1936"/>
      <c r="BX92" s="1936"/>
      <c r="BY92" s="1936"/>
      <c r="BZ92" s="1936"/>
      <c r="CA92" s="1936"/>
      <c r="CB92" s="1865" t="str">
        <f t="shared" si="64"/>
        <v xml:space="preserve">* La variable Migrantes no debe ser mayor al Total Ambos Sexos. </v>
      </c>
      <c r="CC92" s="1865" t="str">
        <f t="shared" si="65"/>
        <v xml:space="preserve">* La variable Pueblos Originarios no debe ser mayor al Total Ambos Sexos. </v>
      </c>
      <c r="CD92" s="1936"/>
      <c r="CE92" s="1936"/>
      <c r="CF92" s="1937"/>
      <c r="CG92" s="1937"/>
      <c r="CH92" s="1937"/>
      <c r="CI92" s="1937"/>
      <c r="CJ92" s="1937"/>
      <c r="CV92" s="1867">
        <f t="shared" si="62"/>
        <v>1</v>
      </c>
      <c r="CW92" s="1867">
        <f t="shared" si="62"/>
        <v>1</v>
      </c>
    </row>
    <row r="93" spans="1:103" ht="15" customHeight="1" x14ac:dyDescent="0.25">
      <c r="A93" s="5601" t="s">
        <v>4493</v>
      </c>
      <c r="B93" s="2064" t="s">
        <v>139</v>
      </c>
      <c r="C93" s="2065" t="s">
        <v>4567</v>
      </c>
      <c r="D93" s="2066" t="s">
        <v>4568</v>
      </c>
      <c r="E93" s="2014" t="s">
        <v>4569</v>
      </c>
      <c r="F93" s="1906" t="s">
        <v>4570</v>
      </c>
      <c r="G93" s="324" t="s">
        <v>4571</v>
      </c>
      <c r="H93" s="2053" t="s">
        <v>4572</v>
      </c>
      <c r="I93" s="324" t="s">
        <v>4573</v>
      </c>
      <c r="J93" s="2067" t="s">
        <v>4574</v>
      </c>
      <c r="K93" s="2068" t="s">
        <v>4575</v>
      </c>
      <c r="L93" s="2069" t="s">
        <v>4576</v>
      </c>
      <c r="M93" s="2068" t="s">
        <v>4577</v>
      </c>
      <c r="N93" s="2067" t="s">
        <v>4578</v>
      </c>
      <c r="O93" s="2068" t="s">
        <v>4579</v>
      </c>
      <c r="P93" s="2067" t="s">
        <v>4580</v>
      </c>
      <c r="Q93" s="2068" t="s">
        <v>4581</v>
      </c>
      <c r="R93" s="2067" t="s">
        <v>4582</v>
      </c>
      <c r="S93" s="2068" t="s">
        <v>4583</v>
      </c>
      <c r="T93" s="2067" t="s">
        <v>4584</v>
      </c>
      <c r="U93" s="2068" t="s">
        <v>4585</v>
      </c>
      <c r="V93" s="2067" t="s">
        <v>4586</v>
      </c>
      <c r="W93" s="2068" t="s">
        <v>4587</v>
      </c>
      <c r="X93" s="2067" t="s">
        <v>4588</v>
      </c>
      <c r="Y93" s="2070" t="s">
        <v>4589</v>
      </c>
      <c r="Z93" s="2069" t="s">
        <v>4590</v>
      </c>
      <c r="AA93" s="2068" t="s">
        <v>4591</v>
      </c>
      <c r="AB93" s="2069" t="s">
        <v>4592</v>
      </c>
      <c r="AC93" s="2068" t="s">
        <v>4593</v>
      </c>
      <c r="AD93" s="2069" t="s">
        <v>4594</v>
      </c>
      <c r="AE93" s="2068" t="s">
        <v>4595</v>
      </c>
      <c r="AF93" s="2067" t="s">
        <v>4596</v>
      </c>
      <c r="AG93" s="2071" t="s">
        <v>4597</v>
      </c>
      <c r="AH93" s="2075" t="s">
        <v>4598</v>
      </c>
      <c r="AI93" s="2076" t="s">
        <v>4599</v>
      </c>
      <c r="AJ93" s="1864" t="str">
        <f t="shared" si="63"/>
        <v xml:space="preserve">* La variable Migrantes no debe ser mayor al Total Ambos Sexos. * La variable Pueblos Originarios no debe ser mayor al Total Ambos Sexos. </v>
      </c>
      <c r="BO93" s="1936"/>
      <c r="BP93" s="1936"/>
      <c r="BQ93" s="1936"/>
      <c r="BR93" s="1936"/>
      <c r="BS93" s="1936"/>
      <c r="BT93" s="1936"/>
      <c r="BU93" s="1936"/>
      <c r="BV93" s="1936"/>
      <c r="BW93" s="1936"/>
      <c r="BX93" s="1936"/>
      <c r="BY93" s="1936"/>
      <c r="BZ93" s="1936"/>
      <c r="CA93" s="1936"/>
      <c r="CB93" s="1865" t="str">
        <f t="shared" si="64"/>
        <v xml:space="preserve">* La variable Migrantes no debe ser mayor al Total Ambos Sexos. </v>
      </c>
      <c r="CC93" s="1865" t="str">
        <f t="shared" si="65"/>
        <v xml:space="preserve">* La variable Pueblos Originarios no debe ser mayor al Total Ambos Sexos. </v>
      </c>
      <c r="CD93" s="1936"/>
      <c r="CE93" s="1936"/>
      <c r="CF93" s="1937"/>
      <c r="CG93" s="1937"/>
      <c r="CH93" s="1937"/>
      <c r="CI93" s="1937"/>
      <c r="CJ93" s="1937"/>
      <c r="CV93" s="1867">
        <f t="shared" si="62"/>
        <v>1</v>
      </c>
      <c r="CW93" s="1867">
        <f t="shared" si="62"/>
        <v>1</v>
      </c>
    </row>
    <row r="94" spans="1:103" ht="23.25" customHeight="1" x14ac:dyDescent="0.25">
      <c r="B94" s="5990" t="s">
        <v>140</v>
      </c>
      <c r="C94" s="5990"/>
      <c r="D94" s="5990"/>
      <c r="E94" s="5990"/>
      <c r="F94" s="5990"/>
      <c r="G94" s="5990"/>
      <c r="H94" s="5990"/>
      <c r="I94" s="5990"/>
      <c r="J94" s="5990"/>
      <c r="K94" s="5990"/>
      <c r="L94" s="5990"/>
      <c r="M94" s="5990"/>
      <c r="N94" s="5990"/>
      <c r="O94" s="5990"/>
    </row>
    <row r="95" spans="1:103" ht="15" customHeight="1" x14ac:dyDescent="0.25">
      <c r="B95" s="5992" t="s">
        <v>141</v>
      </c>
      <c r="C95" s="5997" t="s">
        <v>142</v>
      </c>
      <c r="D95" s="5998"/>
      <c r="E95" s="5998"/>
      <c r="F95" s="5998"/>
      <c r="G95" s="5998"/>
      <c r="H95" s="5998"/>
      <c r="I95" s="5998"/>
      <c r="J95" s="5998"/>
      <c r="K95" s="5998"/>
      <c r="L95" s="5998"/>
      <c r="M95" s="6018" t="s">
        <v>143</v>
      </c>
    </row>
    <row r="96" spans="1:103" ht="15" customHeight="1" x14ac:dyDescent="0.25">
      <c r="B96" s="5993"/>
      <c r="C96" s="5994" t="s">
        <v>77</v>
      </c>
      <c r="D96" s="6006" t="s">
        <v>144</v>
      </c>
      <c r="E96" s="5992" t="s">
        <v>145</v>
      </c>
      <c r="F96" s="5992"/>
      <c r="G96" s="5997" t="s">
        <v>146</v>
      </c>
      <c r="H96" s="5998"/>
      <c r="I96" s="5998"/>
      <c r="J96" s="5998"/>
      <c r="K96" s="5998"/>
      <c r="L96" s="5998"/>
      <c r="M96" s="6019"/>
    </row>
    <row r="97" spans="1:100" ht="23.25" customHeight="1" x14ac:dyDescent="0.25">
      <c r="B97" s="5993"/>
      <c r="C97" s="5996"/>
      <c r="D97" s="6007"/>
      <c r="E97" s="2078" t="s">
        <v>147</v>
      </c>
      <c r="F97" s="2079" t="s">
        <v>148</v>
      </c>
      <c r="G97" s="2080" t="s">
        <v>149</v>
      </c>
      <c r="H97" s="2081" t="s">
        <v>150</v>
      </c>
      <c r="I97" s="2081" t="s">
        <v>151</v>
      </c>
      <c r="J97" s="2081" t="s">
        <v>152</v>
      </c>
      <c r="K97" s="2081" t="s">
        <v>153</v>
      </c>
      <c r="L97" s="2077" t="s">
        <v>154</v>
      </c>
      <c r="M97" s="6020"/>
    </row>
    <row r="98" spans="1:100" x14ac:dyDescent="0.25">
      <c r="A98" s="5605" t="s">
        <v>4494</v>
      </c>
      <c r="B98" s="2082" t="s">
        <v>155</v>
      </c>
      <c r="C98" s="2083" t="s">
        <v>4567</v>
      </c>
      <c r="D98" s="2084" t="s">
        <v>4568</v>
      </c>
      <c r="E98" s="2085" t="s">
        <v>4569</v>
      </c>
      <c r="F98" s="2086" t="s">
        <v>4570</v>
      </c>
      <c r="G98" s="2085" t="s">
        <v>4571</v>
      </c>
      <c r="H98" s="2087" t="s">
        <v>4572</v>
      </c>
      <c r="I98" s="2087" t="s">
        <v>4573</v>
      </c>
      <c r="J98" s="2087" t="s">
        <v>4574</v>
      </c>
      <c r="K98" s="2087" t="s">
        <v>4575</v>
      </c>
      <c r="L98" s="2088" t="s">
        <v>4576</v>
      </c>
      <c r="M98" s="2086" t="s">
        <v>4577</v>
      </c>
      <c r="N98" s="1864" t="str">
        <f>$CB98</f>
        <v xml:space="preserve">* La variable Total PAP informados en trans masculino no debe ser mayor al Total. </v>
      </c>
      <c r="CB98" s="1865" t="str">
        <f>IF(AND($C98&lt;&gt;0,M98=""),"* No olvide ingresar la variable "&amp;M$95&amp;""&amp;". Digite CERO si no tiene. ",IF(M98&gt;$C98,"* La variable Total PAP informados en trans masculino no debe ser mayor al Total. ",""))</f>
        <v xml:space="preserve">* La variable Total PAP informados en trans masculino no debe ser mayor al Total. </v>
      </c>
      <c r="CV98" s="1867">
        <f>IF(AND($C98&lt;&gt;0,M98=""),1,IF(M98&gt;$C98,1,0))</f>
        <v>1</v>
      </c>
    </row>
    <row r="99" spans="1:100" x14ac:dyDescent="0.25">
      <c r="A99" s="5605" t="s">
        <v>4495</v>
      </c>
      <c r="B99" s="2089" t="s">
        <v>156</v>
      </c>
      <c r="C99" s="2090" t="s">
        <v>4567</v>
      </c>
      <c r="D99" s="2091" t="s">
        <v>4568</v>
      </c>
      <c r="E99" s="2092" t="s">
        <v>4569</v>
      </c>
      <c r="F99" s="2093" t="s">
        <v>4570</v>
      </c>
      <c r="G99" s="2092" t="s">
        <v>4571</v>
      </c>
      <c r="H99" s="2094" t="s">
        <v>4572</v>
      </c>
      <c r="I99" s="2094" t="s">
        <v>4573</v>
      </c>
      <c r="J99" s="2094" t="s">
        <v>4574</v>
      </c>
      <c r="K99" s="2094" t="s">
        <v>4575</v>
      </c>
      <c r="L99" s="2095" t="s">
        <v>4576</v>
      </c>
      <c r="M99" s="2093" t="s">
        <v>4577</v>
      </c>
      <c r="N99" s="1864" t="str">
        <f t="shared" ref="N99:N110" si="66">$CB99</f>
        <v xml:space="preserve">* La variable Total PAP informados en trans masculino no debe ser mayor al Total. </v>
      </c>
      <c r="CB99" s="1865" t="str">
        <f t="shared" ref="CB99:CB109" si="67">IF(AND($C99&lt;&gt;0,M99=""),"* No olvide ingresar la variable "&amp;M$95&amp;""&amp;". Digite CERO si no tiene. ",IF(M99&gt;$C99,"* La variable Total PAP informados en trans masculino no debe ser mayor al Total. ",""))</f>
        <v xml:space="preserve">* La variable Total PAP informados en trans masculino no debe ser mayor al Total. </v>
      </c>
      <c r="CV99" s="1867">
        <f t="shared" ref="CV99:CV110" si="68">IF(AND($C99&lt;&gt;0,M99=""),1,IF(M99&gt;$C99,1,0))</f>
        <v>1</v>
      </c>
    </row>
    <row r="100" spans="1:100" x14ac:dyDescent="0.25">
      <c r="A100" s="5605" t="s">
        <v>4496</v>
      </c>
      <c r="B100" s="2089" t="s">
        <v>157</v>
      </c>
      <c r="C100" s="2083" t="s">
        <v>4567</v>
      </c>
      <c r="D100" s="2091" t="s">
        <v>4568</v>
      </c>
      <c r="E100" s="2092" t="s">
        <v>4569</v>
      </c>
      <c r="F100" s="2093" t="s">
        <v>4570</v>
      </c>
      <c r="G100" s="2092" t="s">
        <v>4571</v>
      </c>
      <c r="H100" s="2094" t="s">
        <v>4572</v>
      </c>
      <c r="I100" s="2094" t="s">
        <v>4573</v>
      </c>
      <c r="J100" s="2094" t="s">
        <v>4574</v>
      </c>
      <c r="K100" s="2094" t="s">
        <v>4575</v>
      </c>
      <c r="L100" s="2095" t="s">
        <v>4576</v>
      </c>
      <c r="M100" s="2093" t="s">
        <v>4577</v>
      </c>
      <c r="N100" s="1864" t="str">
        <f t="shared" si="66"/>
        <v xml:space="preserve">* La variable Total PAP informados en trans masculino no debe ser mayor al Total. </v>
      </c>
      <c r="CB100" s="1865" t="str">
        <f t="shared" si="67"/>
        <v xml:space="preserve">* La variable Total PAP informados en trans masculino no debe ser mayor al Total. </v>
      </c>
      <c r="CV100" s="1867">
        <f t="shared" si="68"/>
        <v>1</v>
      </c>
    </row>
    <row r="101" spans="1:100" x14ac:dyDescent="0.25">
      <c r="A101" s="5605" t="s">
        <v>4497</v>
      </c>
      <c r="B101" s="2089" t="s">
        <v>158</v>
      </c>
      <c r="C101" s="2090" t="s">
        <v>4567</v>
      </c>
      <c r="D101" s="2091" t="s">
        <v>4568</v>
      </c>
      <c r="E101" s="2092" t="s">
        <v>4569</v>
      </c>
      <c r="F101" s="2093" t="s">
        <v>4570</v>
      </c>
      <c r="G101" s="2092" t="s">
        <v>4571</v>
      </c>
      <c r="H101" s="2094" t="s">
        <v>4572</v>
      </c>
      <c r="I101" s="2094" t="s">
        <v>4573</v>
      </c>
      <c r="J101" s="2094" t="s">
        <v>4574</v>
      </c>
      <c r="K101" s="2094" t="s">
        <v>4575</v>
      </c>
      <c r="L101" s="2095" t="s">
        <v>4576</v>
      </c>
      <c r="M101" s="2093" t="s">
        <v>4577</v>
      </c>
      <c r="N101" s="1864" t="str">
        <f t="shared" si="66"/>
        <v xml:space="preserve">* La variable Total PAP informados en trans masculino no debe ser mayor al Total. </v>
      </c>
      <c r="CB101" s="1865" t="str">
        <f t="shared" si="67"/>
        <v xml:space="preserve">* La variable Total PAP informados en trans masculino no debe ser mayor al Total. </v>
      </c>
      <c r="CV101" s="1867">
        <f t="shared" si="68"/>
        <v>1</v>
      </c>
    </row>
    <row r="102" spans="1:100" x14ac:dyDescent="0.25">
      <c r="A102" s="5605" t="s">
        <v>4498</v>
      </c>
      <c r="B102" s="2089" t="s">
        <v>159</v>
      </c>
      <c r="C102" s="2090" t="s">
        <v>4567</v>
      </c>
      <c r="D102" s="2091" t="s">
        <v>4568</v>
      </c>
      <c r="E102" s="2092" t="s">
        <v>4569</v>
      </c>
      <c r="F102" s="2093" t="s">
        <v>4570</v>
      </c>
      <c r="G102" s="2092" t="s">
        <v>4571</v>
      </c>
      <c r="H102" s="2094" t="s">
        <v>4572</v>
      </c>
      <c r="I102" s="2094" t="s">
        <v>4573</v>
      </c>
      <c r="J102" s="2094" t="s">
        <v>4574</v>
      </c>
      <c r="K102" s="2094" t="s">
        <v>4575</v>
      </c>
      <c r="L102" s="2095" t="s">
        <v>4576</v>
      </c>
      <c r="M102" s="2093" t="s">
        <v>4577</v>
      </c>
      <c r="N102" s="1864" t="str">
        <f t="shared" si="66"/>
        <v xml:space="preserve">* La variable Total PAP informados en trans masculino no debe ser mayor al Total. </v>
      </c>
      <c r="CB102" s="1865" t="str">
        <f t="shared" si="67"/>
        <v xml:space="preserve">* La variable Total PAP informados en trans masculino no debe ser mayor al Total. </v>
      </c>
      <c r="CV102" s="1867">
        <f t="shared" si="68"/>
        <v>1</v>
      </c>
    </row>
    <row r="103" spans="1:100" x14ac:dyDescent="0.25">
      <c r="A103" s="5605" t="s">
        <v>4499</v>
      </c>
      <c r="B103" s="2089" t="s">
        <v>160</v>
      </c>
      <c r="C103" s="2090" t="s">
        <v>4567</v>
      </c>
      <c r="D103" s="2091" t="s">
        <v>4568</v>
      </c>
      <c r="E103" s="2092" t="s">
        <v>4569</v>
      </c>
      <c r="F103" s="2093" t="s">
        <v>4570</v>
      </c>
      <c r="G103" s="2092" t="s">
        <v>4571</v>
      </c>
      <c r="H103" s="2094" t="s">
        <v>4572</v>
      </c>
      <c r="I103" s="2094" t="s">
        <v>4573</v>
      </c>
      <c r="J103" s="2094" t="s">
        <v>4574</v>
      </c>
      <c r="K103" s="2094" t="s">
        <v>4575</v>
      </c>
      <c r="L103" s="2095" t="s">
        <v>4576</v>
      </c>
      <c r="M103" s="2093" t="s">
        <v>4577</v>
      </c>
      <c r="N103" s="1864" t="str">
        <f t="shared" si="66"/>
        <v xml:space="preserve">* La variable Total PAP informados en trans masculino no debe ser mayor al Total. </v>
      </c>
      <c r="CB103" s="1865" t="str">
        <f t="shared" si="67"/>
        <v xml:space="preserve">* La variable Total PAP informados en trans masculino no debe ser mayor al Total. </v>
      </c>
      <c r="CV103" s="1867">
        <f t="shared" si="68"/>
        <v>1</v>
      </c>
    </row>
    <row r="104" spans="1:100" x14ac:dyDescent="0.25">
      <c r="A104" s="5605" t="s">
        <v>4500</v>
      </c>
      <c r="B104" s="2089" t="s">
        <v>161</v>
      </c>
      <c r="C104" s="2090" t="s">
        <v>4567</v>
      </c>
      <c r="D104" s="2091" t="s">
        <v>4568</v>
      </c>
      <c r="E104" s="2092" t="s">
        <v>4569</v>
      </c>
      <c r="F104" s="2093" t="s">
        <v>4570</v>
      </c>
      <c r="G104" s="2092" t="s">
        <v>4571</v>
      </c>
      <c r="H104" s="2094" t="s">
        <v>4572</v>
      </c>
      <c r="I104" s="2094" t="s">
        <v>4573</v>
      </c>
      <c r="J104" s="2094" t="s">
        <v>4574</v>
      </c>
      <c r="K104" s="2094" t="s">
        <v>4575</v>
      </c>
      <c r="L104" s="2095" t="s">
        <v>4576</v>
      </c>
      <c r="M104" s="2093" t="s">
        <v>4577</v>
      </c>
      <c r="N104" s="1864" t="str">
        <f t="shared" si="66"/>
        <v xml:space="preserve">* La variable Total PAP informados en trans masculino no debe ser mayor al Total. </v>
      </c>
      <c r="CB104" s="1865" t="str">
        <f t="shared" si="67"/>
        <v xml:space="preserve">* La variable Total PAP informados en trans masculino no debe ser mayor al Total. </v>
      </c>
      <c r="CV104" s="1867">
        <f t="shared" si="68"/>
        <v>1</v>
      </c>
    </row>
    <row r="105" spans="1:100" x14ac:dyDescent="0.25">
      <c r="A105" s="5605" t="s">
        <v>4501</v>
      </c>
      <c r="B105" s="2089" t="s">
        <v>162</v>
      </c>
      <c r="C105" s="2090" t="s">
        <v>4567</v>
      </c>
      <c r="D105" s="2091" t="s">
        <v>4568</v>
      </c>
      <c r="E105" s="2092" t="s">
        <v>4569</v>
      </c>
      <c r="F105" s="2093" t="s">
        <v>4570</v>
      </c>
      <c r="G105" s="2092" t="s">
        <v>4571</v>
      </c>
      <c r="H105" s="2094" t="s">
        <v>4572</v>
      </c>
      <c r="I105" s="2094" t="s">
        <v>4573</v>
      </c>
      <c r="J105" s="2094" t="s">
        <v>4574</v>
      </c>
      <c r="K105" s="2094" t="s">
        <v>4575</v>
      </c>
      <c r="L105" s="2095" t="s">
        <v>4576</v>
      </c>
      <c r="M105" s="2093" t="s">
        <v>4577</v>
      </c>
      <c r="N105" s="1864" t="str">
        <f t="shared" si="66"/>
        <v xml:space="preserve">* La variable Total PAP informados en trans masculino no debe ser mayor al Total. </v>
      </c>
      <c r="CB105" s="1865" t="str">
        <f t="shared" si="67"/>
        <v xml:space="preserve">* La variable Total PAP informados en trans masculino no debe ser mayor al Total. </v>
      </c>
      <c r="CV105" s="1867">
        <f t="shared" si="68"/>
        <v>1</v>
      </c>
    </row>
    <row r="106" spans="1:100" x14ac:dyDescent="0.25">
      <c r="A106" s="5605" t="s">
        <v>4502</v>
      </c>
      <c r="B106" s="2089" t="s">
        <v>163</v>
      </c>
      <c r="C106" s="2090" t="s">
        <v>4567</v>
      </c>
      <c r="D106" s="2091" t="s">
        <v>4568</v>
      </c>
      <c r="E106" s="2092" t="s">
        <v>4569</v>
      </c>
      <c r="F106" s="2093" t="s">
        <v>4570</v>
      </c>
      <c r="G106" s="2092" t="s">
        <v>4571</v>
      </c>
      <c r="H106" s="2094" t="s">
        <v>4572</v>
      </c>
      <c r="I106" s="2094" t="s">
        <v>4573</v>
      </c>
      <c r="J106" s="2094" t="s">
        <v>4574</v>
      </c>
      <c r="K106" s="2094" t="s">
        <v>4575</v>
      </c>
      <c r="L106" s="2095" t="s">
        <v>4576</v>
      </c>
      <c r="M106" s="2093" t="s">
        <v>4577</v>
      </c>
      <c r="N106" s="1864" t="str">
        <f t="shared" si="66"/>
        <v xml:space="preserve">* La variable Total PAP informados en trans masculino no debe ser mayor al Total. </v>
      </c>
      <c r="CB106" s="1865" t="str">
        <f t="shared" si="67"/>
        <v xml:space="preserve">* La variable Total PAP informados en trans masculino no debe ser mayor al Total. </v>
      </c>
      <c r="CV106" s="1867">
        <f t="shared" si="68"/>
        <v>1</v>
      </c>
    </row>
    <row r="107" spans="1:100" x14ac:dyDescent="0.25">
      <c r="A107" s="5605" t="s">
        <v>4503</v>
      </c>
      <c r="B107" s="2089" t="s">
        <v>164</v>
      </c>
      <c r="C107" s="2090" t="s">
        <v>4567</v>
      </c>
      <c r="D107" s="2091" t="s">
        <v>4568</v>
      </c>
      <c r="E107" s="2092" t="s">
        <v>4569</v>
      </c>
      <c r="F107" s="2093" t="s">
        <v>4570</v>
      </c>
      <c r="G107" s="2092" t="s">
        <v>4571</v>
      </c>
      <c r="H107" s="2094" t="s">
        <v>4572</v>
      </c>
      <c r="I107" s="2094" t="s">
        <v>4573</v>
      </c>
      <c r="J107" s="2094" t="s">
        <v>4574</v>
      </c>
      <c r="K107" s="2094" t="s">
        <v>4575</v>
      </c>
      <c r="L107" s="2095" t="s">
        <v>4576</v>
      </c>
      <c r="M107" s="2093" t="s">
        <v>4577</v>
      </c>
      <c r="N107" s="1864" t="str">
        <f t="shared" si="66"/>
        <v xml:space="preserve">* La variable Total PAP informados en trans masculino no debe ser mayor al Total. </v>
      </c>
      <c r="CB107" s="1865" t="str">
        <f t="shared" si="67"/>
        <v xml:space="preserve">* La variable Total PAP informados en trans masculino no debe ser mayor al Total. </v>
      </c>
      <c r="CV107" s="1867">
        <f t="shared" si="68"/>
        <v>1</v>
      </c>
    </row>
    <row r="108" spans="1:100" x14ac:dyDescent="0.25">
      <c r="A108" s="5605" t="s">
        <v>4504</v>
      </c>
      <c r="B108" s="2089" t="s">
        <v>165</v>
      </c>
      <c r="C108" s="2090" t="s">
        <v>4567</v>
      </c>
      <c r="D108" s="2091" t="s">
        <v>4568</v>
      </c>
      <c r="E108" s="2092" t="s">
        <v>4569</v>
      </c>
      <c r="F108" s="2093" t="s">
        <v>4570</v>
      </c>
      <c r="G108" s="2092" t="s">
        <v>4571</v>
      </c>
      <c r="H108" s="2094" t="s">
        <v>4572</v>
      </c>
      <c r="I108" s="2094" t="s">
        <v>4573</v>
      </c>
      <c r="J108" s="2094" t="s">
        <v>4574</v>
      </c>
      <c r="K108" s="2094" t="s">
        <v>4575</v>
      </c>
      <c r="L108" s="2095" t="s">
        <v>4576</v>
      </c>
      <c r="M108" s="2093" t="s">
        <v>4577</v>
      </c>
      <c r="N108" s="1864" t="str">
        <f t="shared" si="66"/>
        <v xml:space="preserve">* La variable Total PAP informados en trans masculino no debe ser mayor al Total. </v>
      </c>
      <c r="CB108" s="1865" t="str">
        <f t="shared" si="67"/>
        <v xml:space="preserve">* La variable Total PAP informados en trans masculino no debe ser mayor al Total. </v>
      </c>
      <c r="CV108" s="1867">
        <f t="shared" si="68"/>
        <v>1</v>
      </c>
    </row>
    <row r="109" spans="1:100" x14ac:dyDescent="0.25">
      <c r="A109" s="5605" t="s">
        <v>4505</v>
      </c>
      <c r="B109" s="2089" t="s">
        <v>166</v>
      </c>
      <c r="C109" s="2090" t="s">
        <v>4567</v>
      </c>
      <c r="D109" s="2091" t="s">
        <v>4568</v>
      </c>
      <c r="E109" s="2092" t="s">
        <v>4569</v>
      </c>
      <c r="F109" s="2093" t="s">
        <v>4570</v>
      </c>
      <c r="G109" s="2092" t="s">
        <v>4571</v>
      </c>
      <c r="H109" s="2094" t="s">
        <v>4572</v>
      </c>
      <c r="I109" s="2094" t="s">
        <v>4573</v>
      </c>
      <c r="J109" s="2094" t="s">
        <v>4574</v>
      </c>
      <c r="K109" s="2094" t="s">
        <v>4575</v>
      </c>
      <c r="L109" s="2095" t="s">
        <v>4576</v>
      </c>
      <c r="M109" s="2093" t="s">
        <v>4577</v>
      </c>
      <c r="N109" s="1864" t="str">
        <f t="shared" si="66"/>
        <v xml:space="preserve">* La variable Total PAP informados en trans masculino no debe ser mayor al Total. </v>
      </c>
      <c r="CB109" s="1865" t="str">
        <f t="shared" si="67"/>
        <v xml:space="preserve">* La variable Total PAP informados en trans masculino no debe ser mayor al Total. </v>
      </c>
      <c r="CV109" s="1867">
        <f t="shared" si="68"/>
        <v>1</v>
      </c>
    </row>
    <row r="110" spans="1:100" x14ac:dyDescent="0.25">
      <c r="A110" s="5605" t="s">
        <v>4506</v>
      </c>
      <c r="B110" s="2096" t="s">
        <v>57</v>
      </c>
      <c r="C110" s="2097" t="s">
        <v>4567</v>
      </c>
      <c r="D110" s="2098" t="s">
        <v>4568</v>
      </c>
      <c r="E110" s="2099" t="s">
        <v>4569</v>
      </c>
      <c r="F110" s="2100" t="s">
        <v>4570</v>
      </c>
      <c r="G110" s="2099" t="s">
        <v>4571</v>
      </c>
      <c r="H110" s="2101" t="s">
        <v>4572</v>
      </c>
      <c r="I110" s="2101" t="s">
        <v>4573</v>
      </c>
      <c r="J110" s="2101" t="s">
        <v>4574</v>
      </c>
      <c r="K110" s="2101" t="s">
        <v>4575</v>
      </c>
      <c r="L110" s="2102" t="s">
        <v>4576</v>
      </c>
      <c r="M110" s="2100" t="s">
        <v>4577</v>
      </c>
      <c r="N110" s="1864" t="str">
        <f t="shared" si="66"/>
        <v xml:space="preserve">* La variable Total PAP informados en trans masculino no debe ser mayor al Total. </v>
      </c>
      <c r="CB110" s="1865" t="str">
        <f>IF(AND($C110&lt;&gt;0,M110=""),"* No olvide ingresar la variable "&amp;M$95&amp;""&amp;". Digite CERO si no tiene. ",IF(M110&gt;$C110,"* La variable Total PAP informados en trans masculino no debe ser mayor al Total. ",""))</f>
        <v xml:space="preserve">* La variable Total PAP informados en trans masculino no debe ser mayor al Total. </v>
      </c>
      <c r="CV110" s="1867">
        <f t="shared" si="68"/>
        <v>1</v>
      </c>
    </row>
    <row r="111" spans="1:100" x14ac:dyDescent="0.25">
      <c r="A111" s="5604"/>
      <c r="B111" s="2103" t="s">
        <v>77</v>
      </c>
      <c r="C111" s="2104">
        <f t="shared" ref="C111" si="69">SUM(D111:L111)</f>
        <v>0</v>
      </c>
      <c r="D111" s="2104">
        <f t="shared" ref="D111:M111" si="70">SUM(D98:D110)</f>
        <v>0</v>
      </c>
      <c r="E111" s="2105">
        <f t="shared" si="70"/>
        <v>0</v>
      </c>
      <c r="F111" s="2106">
        <f t="shared" si="70"/>
        <v>0</v>
      </c>
      <c r="G111" s="2105">
        <f t="shared" si="70"/>
        <v>0</v>
      </c>
      <c r="H111" s="2107">
        <f t="shared" si="70"/>
        <v>0</v>
      </c>
      <c r="I111" s="2107">
        <f t="shared" si="70"/>
        <v>0</v>
      </c>
      <c r="J111" s="2107">
        <f t="shared" si="70"/>
        <v>0</v>
      </c>
      <c r="K111" s="2107">
        <f t="shared" si="70"/>
        <v>0</v>
      </c>
      <c r="L111" s="2108">
        <f t="shared" si="70"/>
        <v>0</v>
      </c>
      <c r="M111" s="2106">
        <f t="shared" si="70"/>
        <v>0</v>
      </c>
    </row>
    <row r="112" spans="1:100" ht="18" customHeight="1" x14ac:dyDescent="0.25">
      <c r="A112" s="6"/>
      <c r="B112" s="2109" t="s">
        <v>167</v>
      </c>
      <c r="C112" s="2110"/>
      <c r="D112" s="2110"/>
      <c r="E112" s="2110"/>
      <c r="F112" s="2110"/>
      <c r="G112" s="2110"/>
      <c r="H112" s="2110"/>
      <c r="I112" s="2110"/>
      <c r="J112" s="2110"/>
      <c r="K112" s="2110"/>
      <c r="L112" s="2110"/>
      <c r="M112" s="2111"/>
    </row>
    <row r="113" spans="1:100" ht="30.75" customHeight="1" x14ac:dyDescent="0.25">
      <c r="A113" s="6"/>
      <c r="B113" s="5991" t="s">
        <v>168</v>
      </c>
      <c r="C113" s="5991"/>
      <c r="D113" s="5991"/>
      <c r="E113" s="5991"/>
      <c r="F113" s="5991"/>
      <c r="G113" s="5991"/>
      <c r="H113" s="5991"/>
      <c r="I113" s="5991"/>
      <c r="J113" s="5991"/>
      <c r="K113" s="5991"/>
      <c r="L113" s="5991"/>
      <c r="M113" s="5991"/>
      <c r="N113" s="2112"/>
      <c r="O113" s="2112"/>
    </row>
    <row r="114" spans="1:100" ht="15" customHeight="1" x14ac:dyDescent="0.25">
      <c r="A114" s="6"/>
      <c r="B114" s="5992" t="s">
        <v>141</v>
      </c>
      <c r="C114" s="5997" t="s">
        <v>169</v>
      </c>
      <c r="D114" s="5998"/>
      <c r="E114" s="5998"/>
      <c r="F114" s="5998"/>
      <c r="G114" s="5998"/>
      <c r="H114" s="5998"/>
      <c r="I114" s="5998"/>
      <c r="J114" s="5998"/>
      <c r="K114" s="5998"/>
      <c r="L114" s="5998"/>
      <c r="M114" s="6018" t="s">
        <v>143</v>
      </c>
    </row>
    <row r="115" spans="1:100" ht="15" customHeight="1" x14ac:dyDescent="0.25">
      <c r="A115" s="6"/>
      <c r="B115" s="5993"/>
      <c r="C115" s="5994" t="s">
        <v>77</v>
      </c>
      <c r="D115" s="6006" t="s">
        <v>144</v>
      </c>
      <c r="E115" s="5992" t="s">
        <v>145</v>
      </c>
      <c r="F115" s="5992"/>
      <c r="G115" s="5997" t="s">
        <v>146</v>
      </c>
      <c r="H115" s="5998"/>
      <c r="I115" s="5998"/>
      <c r="J115" s="5998"/>
      <c r="K115" s="5998"/>
      <c r="L115" s="5998"/>
      <c r="M115" s="6019"/>
    </row>
    <row r="116" spans="1:100" ht="27" customHeight="1" x14ac:dyDescent="0.25">
      <c r="A116" s="6"/>
      <c r="B116" s="5993"/>
      <c r="C116" s="5996"/>
      <c r="D116" s="6007"/>
      <c r="E116" s="2078" t="s">
        <v>147</v>
      </c>
      <c r="F116" s="2079" t="s">
        <v>148</v>
      </c>
      <c r="G116" s="2080" t="s">
        <v>149</v>
      </c>
      <c r="H116" s="2081" t="s">
        <v>150</v>
      </c>
      <c r="I116" s="2081" t="s">
        <v>151</v>
      </c>
      <c r="J116" s="2081" t="s">
        <v>152</v>
      </c>
      <c r="K116" s="2081" t="s">
        <v>153</v>
      </c>
      <c r="L116" s="2077" t="s">
        <v>154</v>
      </c>
      <c r="M116" s="6020"/>
    </row>
    <row r="117" spans="1:100" x14ac:dyDescent="0.25">
      <c r="A117" s="5605" t="s">
        <v>4507</v>
      </c>
      <c r="B117" s="2082" t="s">
        <v>155</v>
      </c>
      <c r="C117" s="2083" t="s">
        <v>4567</v>
      </c>
      <c r="D117" s="2093" t="s">
        <v>4568</v>
      </c>
      <c r="E117" s="2092" t="s">
        <v>4569</v>
      </c>
      <c r="F117" s="2093" t="s">
        <v>4570</v>
      </c>
      <c r="G117" s="2092" t="s">
        <v>4571</v>
      </c>
      <c r="H117" s="2094" t="s">
        <v>4572</v>
      </c>
      <c r="I117" s="2094" t="s">
        <v>4573</v>
      </c>
      <c r="J117" s="2094" t="s">
        <v>4574</v>
      </c>
      <c r="K117" s="2094" t="s">
        <v>4575</v>
      </c>
      <c r="L117" s="2095" t="s">
        <v>4576</v>
      </c>
      <c r="M117" s="2113" t="s">
        <v>4577</v>
      </c>
      <c r="N117" s="1864" t="str">
        <f t="shared" ref="N117:N129" si="71">$CB117</f>
        <v xml:space="preserve">* La variable Total PAP informados en trans masculino no debe ser mayor al Total. </v>
      </c>
      <c r="CB117" s="1865" t="str">
        <f>IF(AND($C117&lt;&gt;0,M117=""),"* No olvide ingresar la variable "&amp;M$114&amp;""&amp;". Digite CERO si no tiene. ",IF(M117&gt;$C117,"* La variable Total PAP informados en trans masculino no debe ser mayor al Total. ",""))</f>
        <v xml:space="preserve">* La variable Total PAP informados en trans masculino no debe ser mayor al Total. </v>
      </c>
      <c r="CV117" s="1867">
        <f>IF(AND($C117&lt;&gt;0,M117=""),1,IF(M117&gt;$C117,1,0))</f>
        <v>1</v>
      </c>
    </row>
    <row r="118" spans="1:100" x14ac:dyDescent="0.25">
      <c r="A118" s="5605" t="s">
        <v>4508</v>
      </c>
      <c r="B118" s="2089" t="s">
        <v>156</v>
      </c>
      <c r="C118" s="2083" t="s">
        <v>4567</v>
      </c>
      <c r="D118" s="2093" t="s">
        <v>4568</v>
      </c>
      <c r="E118" s="2092" t="s">
        <v>4569</v>
      </c>
      <c r="F118" s="2093" t="s">
        <v>4570</v>
      </c>
      <c r="G118" s="2092" t="s">
        <v>4571</v>
      </c>
      <c r="H118" s="2094" t="s">
        <v>4572</v>
      </c>
      <c r="I118" s="2094" t="s">
        <v>4573</v>
      </c>
      <c r="J118" s="2094" t="s">
        <v>4574</v>
      </c>
      <c r="K118" s="2094" t="s">
        <v>4575</v>
      </c>
      <c r="L118" s="2095" t="s">
        <v>4576</v>
      </c>
      <c r="M118" s="2093" t="s">
        <v>4577</v>
      </c>
      <c r="N118" s="1864" t="str">
        <f t="shared" si="71"/>
        <v xml:space="preserve">* La variable Total PAP informados en trans masculino no debe ser mayor al Total. </v>
      </c>
      <c r="CB118" s="1865" t="str">
        <f t="shared" ref="CB118:CB129" si="72">IF(AND($C118&lt;&gt;0,M118=""),"* No olvide ingresar la variable "&amp;M$114&amp;""&amp;". Digite CERO si no tiene. ",IF(M118&gt;$C118,"* La variable Total PAP informados en trans masculino no debe ser mayor al Total. ",""))</f>
        <v xml:space="preserve">* La variable Total PAP informados en trans masculino no debe ser mayor al Total. </v>
      </c>
      <c r="CV118" s="1867">
        <f t="shared" ref="CV118:CV129" si="73">IF(AND($C118&lt;&gt;0,M118=""),1,IF(M118&gt;$C118,1,0))</f>
        <v>1</v>
      </c>
    </row>
    <row r="119" spans="1:100" x14ac:dyDescent="0.25">
      <c r="A119" s="5605" t="s">
        <v>4509</v>
      </c>
      <c r="B119" s="2089" t="s">
        <v>157</v>
      </c>
      <c r="C119" s="2083" t="s">
        <v>4567</v>
      </c>
      <c r="D119" s="2093" t="s">
        <v>4568</v>
      </c>
      <c r="E119" s="2092" t="s">
        <v>4569</v>
      </c>
      <c r="F119" s="2093" t="s">
        <v>4570</v>
      </c>
      <c r="G119" s="2092" t="s">
        <v>4571</v>
      </c>
      <c r="H119" s="2094" t="s">
        <v>4572</v>
      </c>
      <c r="I119" s="2094" t="s">
        <v>4573</v>
      </c>
      <c r="J119" s="2094" t="s">
        <v>4574</v>
      </c>
      <c r="K119" s="2094" t="s">
        <v>4575</v>
      </c>
      <c r="L119" s="2095" t="s">
        <v>4576</v>
      </c>
      <c r="M119" s="2093" t="s">
        <v>4577</v>
      </c>
      <c r="N119" s="1864" t="str">
        <f t="shared" si="71"/>
        <v xml:space="preserve">* La variable Total PAP informados en trans masculino no debe ser mayor al Total. </v>
      </c>
      <c r="CB119" s="1865" t="str">
        <f t="shared" si="72"/>
        <v xml:space="preserve">* La variable Total PAP informados en trans masculino no debe ser mayor al Total. </v>
      </c>
      <c r="CV119" s="1867">
        <f t="shared" si="73"/>
        <v>1</v>
      </c>
    </row>
    <row r="120" spans="1:100" x14ac:dyDescent="0.25">
      <c r="A120" s="5605" t="s">
        <v>4510</v>
      </c>
      <c r="B120" s="2089" t="s">
        <v>158</v>
      </c>
      <c r="C120" s="2083" t="s">
        <v>4567</v>
      </c>
      <c r="D120" s="2093" t="s">
        <v>4568</v>
      </c>
      <c r="E120" s="2092" t="s">
        <v>4569</v>
      </c>
      <c r="F120" s="2093" t="s">
        <v>4570</v>
      </c>
      <c r="G120" s="2092" t="s">
        <v>4571</v>
      </c>
      <c r="H120" s="2094" t="s">
        <v>4572</v>
      </c>
      <c r="I120" s="2094" t="s">
        <v>4573</v>
      </c>
      <c r="J120" s="2094" t="s">
        <v>4574</v>
      </c>
      <c r="K120" s="2094" t="s">
        <v>4575</v>
      </c>
      <c r="L120" s="2095" t="s">
        <v>4576</v>
      </c>
      <c r="M120" s="2093" t="s">
        <v>4577</v>
      </c>
      <c r="N120" s="1864" t="str">
        <f t="shared" si="71"/>
        <v xml:space="preserve">* La variable Total PAP informados en trans masculino no debe ser mayor al Total. </v>
      </c>
      <c r="CB120" s="1865" t="str">
        <f t="shared" si="72"/>
        <v xml:space="preserve">* La variable Total PAP informados en trans masculino no debe ser mayor al Total. </v>
      </c>
      <c r="CV120" s="1867">
        <f t="shared" si="73"/>
        <v>1</v>
      </c>
    </row>
    <row r="121" spans="1:100" x14ac:dyDescent="0.25">
      <c r="A121" s="5605" t="s">
        <v>4511</v>
      </c>
      <c r="B121" s="2089" t="s">
        <v>159</v>
      </c>
      <c r="C121" s="2083" t="s">
        <v>4567</v>
      </c>
      <c r="D121" s="2093" t="s">
        <v>4568</v>
      </c>
      <c r="E121" s="2092" t="s">
        <v>4569</v>
      </c>
      <c r="F121" s="2093" t="s">
        <v>4570</v>
      </c>
      <c r="G121" s="2092" t="s">
        <v>4571</v>
      </c>
      <c r="H121" s="2094" t="s">
        <v>4572</v>
      </c>
      <c r="I121" s="2094" t="s">
        <v>4573</v>
      </c>
      <c r="J121" s="2094" t="s">
        <v>4574</v>
      </c>
      <c r="K121" s="2094" t="s">
        <v>4575</v>
      </c>
      <c r="L121" s="2095" t="s">
        <v>4576</v>
      </c>
      <c r="M121" s="2093" t="s">
        <v>4577</v>
      </c>
      <c r="N121" s="1864" t="str">
        <f t="shared" si="71"/>
        <v xml:space="preserve">* La variable Total PAP informados en trans masculino no debe ser mayor al Total. </v>
      </c>
      <c r="CB121" s="1865" t="str">
        <f t="shared" si="72"/>
        <v xml:space="preserve">* La variable Total PAP informados en trans masculino no debe ser mayor al Total. </v>
      </c>
      <c r="CV121" s="1867">
        <f t="shared" si="73"/>
        <v>1</v>
      </c>
    </row>
    <row r="122" spans="1:100" x14ac:dyDescent="0.25">
      <c r="A122" s="5605" t="s">
        <v>4512</v>
      </c>
      <c r="B122" s="2089" t="s">
        <v>160</v>
      </c>
      <c r="C122" s="2083" t="s">
        <v>4567</v>
      </c>
      <c r="D122" s="2093" t="s">
        <v>4568</v>
      </c>
      <c r="E122" s="2092" t="s">
        <v>4569</v>
      </c>
      <c r="F122" s="2093" t="s">
        <v>4570</v>
      </c>
      <c r="G122" s="2092" t="s">
        <v>4571</v>
      </c>
      <c r="H122" s="2094" t="s">
        <v>4572</v>
      </c>
      <c r="I122" s="2094" t="s">
        <v>4573</v>
      </c>
      <c r="J122" s="2094" t="s">
        <v>4574</v>
      </c>
      <c r="K122" s="2094" t="s">
        <v>4575</v>
      </c>
      <c r="L122" s="2095" t="s">
        <v>4576</v>
      </c>
      <c r="M122" s="2093" t="s">
        <v>4577</v>
      </c>
      <c r="N122" s="1864" t="str">
        <f t="shared" si="71"/>
        <v xml:space="preserve">* La variable Total PAP informados en trans masculino no debe ser mayor al Total. </v>
      </c>
      <c r="CB122" s="1865" t="str">
        <f t="shared" si="72"/>
        <v xml:space="preserve">* La variable Total PAP informados en trans masculino no debe ser mayor al Total. </v>
      </c>
      <c r="CV122" s="1867">
        <f t="shared" si="73"/>
        <v>1</v>
      </c>
    </row>
    <row r="123" spans="1:100" x14ac:dyDescent="0.25">
      <c r="A123" s="5605" t="s">
        <v>4513</v>
      </c>
      <c r="B123" s="2089" t="s">
        <v>161</v>
      </c>
      <c r="C123" s="2083" t="s">
        <v>4567</v>
      </c>
      <c r="D123" s="2093" t="s">
        <v>4568</v>
      </c>
      <c r="E123" s="2092" t="s">
        <v>4569</v>
      </c>
      <c r="F123" s="2093" t="s">
        <v>4570</v>
      </c>
      <c r="G123" s="2092" t="s">
        <v>4571</v>
      </c>
      <c r="H123" s="2094" t="s">
        <v>4572</v>
      </c>
      <c r="I123" s="2094" t="s">
        <v>4573</v>
      </c>
      <c r="J123" s="2094" t="s">
        <v>4574</v>
      </c>
      <c r="K123" s="2094" t="s">
        <v>4575</v>
      </c>
      <c r="L123" s="2095" t="s">
        <v>4576</v>
      </c>
      <c r="M123" s="2093" t="s">
        <v>4577</v>
      </c>
      <c r="N123" s="1864" t="str">
        <f t="shared" si="71"/>
        <v xml:space="preserve">* La variable Total PAP informados en trans masculino no debe ser mayor al Total. </v>
      </c>
      <c r="CB123" s="1865" t="str">
        <f t="shared" si="72"/>
        <v xml:space="preserve">* La variable Total PAP informados en trans masculino no debe ser mayor al Total. </v>
      </c>
      <c r="CV123" s="1867">
        <f t="shared" si="73"/>
        <v>1</v>
      </c>
    </row>
    <row r="124" spans="1:100" x14ac:dyDescent="0.25">
      <c r="A124" s="5605" t="s">
        <v>4514</v>
      </c>
      <c r="B124" s="2089" t="s">
        <v>162</v>
      </c>
      <c r="C124" s="2083" t="s">
        <v>4567</v>
      </c>
      <c r="D124" s="2093" t="s">
        <v>4568</v>
      </c>
      <c r="E124" s="2092" t="s">
        <v>4569</v>
      </c>
      <c r="F124" s="2093" t="s">
        <v>4570</v>
      </c>
      <c r="G124" s="2092" t="s">
        <v>4571</v>
      </c>
      <c r="H124" s="2094" t="s">
        <v>4572</v>
      </c>
      <c r="I124" s="2094" t="s">
        <v>4573</v>
      </c>
      <c r="J124" s="2094" t="s">
        <v>4574</v>
      </c>
      <c r="K124" s="2094" t="s">
        <v>4575</v>
      </c>
      <c r="L124" s="2095" t="s">
        <v>4576</v>
      </c>
      <c r="M124" s="2093" t="s">
        <v>4577</v>
      </c>
      <c r="N124" s="1864" t="str">
        <f t="shared" si="71"/>
        <v xml:space="preserve">* La variable Total PAP informados en trans masculino no debe ser mayor al Total. </v>
      </c>
      <c r="CB124" s="1865" t="str">
        <f t="shared" si="72"/>
        <v xml:space="preserve">* La variable Total PAP informados en trans masculino no debe ser mayor al Total. </v>
      </c>
      <c r="CV124" s="1867">
        <f t="shared" si="73"/>
        <v>1</v>
      </c>
    </row>
    <row r="125" spans="1:100" x14ac:dyDescent="0.25">
      <c r="A125" s="5605" t="s">
        <v>4515</v>
      </c>
      <c r="B125" s="2089" t="s">
        <v>163</v>
      </c>
      <c r="C125" s="2083" t="s">
        <v>4567</v>
      </c>
      <c r="D125" s="2093" t="s">
        <v>4568</v>
      </c>
      <c r="E125" s="2092" t="s">
        <v>4569</v>
      </c>
      <c r="F125" s="2093" t="s">
        <v>4570</v>
      </c>
      <c r="G125" s="2092" t="s">
        <v>4571</v>
      </c>
      <c r="H125" s="2094" t="s">
        <v>4572</v>
      </c>
      <c r="I125" s="2094" t="s">
        <v>4573</v>
      </c>
      <c r="J125" s="2094" t="s">
        <v>4574</v>
      </c>
      <c r="K125" s="2094" t="s">
        <v>4575</v>
      </c>
      <c r="L125" s="2095" t="s">
        <v>4576</v>
      </c>
      <c r="M125" s="2093" t="s">
        <v>4577</v>
      </c>
      <c r="N125" s="1864" t="str">
        <f t="shared" si="71"/>
        <v xml:space="preserve">* La variable Total PAP informados en trans masculino no debe ser mayor al Total. </v>
      </c>
      <c r="CB125" s="1865" t="str">
        <f t="shared" si="72"/>
        <v xml:space="preserve">* La variable Total PAP informados en trans masculino no debe ser mayor al Total. </v>
      </c>
      <c r="CV125" s="1867">
        <f t="shared" si="73"/>
        <v>1</v>
      </c>
    </row>
    <row r="126" spans="1:100" x14ac:dyDescent="0.25">
      <c r="A126" s="5605" t="s">
        <v>4516</v>
      </c>
      <c r="B126" s="2089" t="s">
        <v>164</v>
      </c>
      <c r="C126" s="2083" t="s">
        <v>4567</v>
      </c>
      <c r="D126" s="2093" t="s">
        <v>4568</v>
      </c>
      <c r="E126" s="2092" t="s">
        <v>4569</v>
      </c>
      <c r="F126" s="2093" t="s">
        <v>4570</v>
      </c>
      <c r="G126" s="2092" t="s">
        <v>4571</v>
      </c>
      <c r="H126" s="2094" t="s">
        <v>4572</v>
      </c>
      <c r="I126" s="2094" t="s">
        <v>4573</v>
      </c>
      <c r="J126" s="2094" t="s">
        <v>4574</v>
      </c>
      <c r="K126" s="2094" t="s">
        <v>4575</v>
      </c>
      <c r="L126" s="2095" t="s">
        <v>4576</v>
      </c>
      <c r="M126" s="2093" t="s">
        <v>4577</v>
      </c>
      <c r="N126" s="1864" t="str">
        <f t="shared" si="71"/>
        <v xml:space="preserve">* La variable Total PAP informados en trans masculino no debe ser mayor al Total. </v>
      </c>
      <c r="CB126" s="1865" t="str">
        <f t="shared" si="72"/>
        <v xml:space="preserve">* La variable Total PAP informados en trans masculino no debe ser mayor al Total. </v>
      </c>
      <c r="CV126" s="1867">
        <f t="shared" si="73"/>
        <v>1</v>
      </c>
    </row>
    <row r="127" spans="1:100" x14ac:dyDescent="0.25">
      <c r="A127" s="5605" t="s">
        <v>4517</v>
      </c>
      <c r="B127" s="2089" t="s">
        <v>165</v>
      </c>
      <c r="C127" s="2083" t="s">
        <v>4567</v>
      </c>
      <c r="D127" s="2093" t="s">
        <v>4568</v>
      </c>
      <c r="E127" s="2092" t="s">
        <v>4569</v>
      </c>
      <c r="F127" s="2093" t="s">
        <v>4570</v>
      </c>
      <c r="G127" s="2092" t="s">
        <v>4571</v>
      </c>
      <c r="H127" s="2094" t="s">
        <v>4572</v>
      </c>
      <c r="I127" s="2094" t="s">
        <v>4573</v>
      </c>
      <c r="J127" s="2094" t="s">
        <v>4574</v>
      </c>
      <c r="K127" s="2094" t="s">
        <v>4575</v>
      </c>
      <c r="L127" s="2095" t="s">
        <v>4576</v>
      </c>
      <c r="M127" s="2093" t="s">
        <v>4577</v>
      </c>
      <c r="N127" s="1864" t="str">
        <f t="shared" si="71"/>
        <v xml:space="preserve">* La variable Total PAP informados en trans masculino no debe ser mayor al Total. </v>
      </c>
      <c r="CB127" s="1865" t="str">
        <f t="shared" si="72"/>
        <v xml:space="preserve">* La variable Total PAP informados en trans masculino no debe ser mayor al Total. </v>
      </c>
      <c r="CV127" s="1867">
        <f t="shared" si="73"/>
        <v>1</v>
      </c>
    </row>
    <row r="128" spans="1:100" x14ac:dyDescent="0.25">
      <c r="A128" s="5605" t="s">
        <v>4518</v>
      </c>
      <c r="B128" s="2089" t="s">
        <v>166</v>
      </c>
      <c r="C128" s="2083" t="s">
        <v>4567</v>
      </c>
      <c r="D128" s="2093" t="s">
        <v>4568</v>
      </c>
      <c r="E128" s="2092" t="s">
        <v>4569</v>
      </c>
      <c r="F128" s="2093" t="s">
        <v>4570</v>
      </c>
      <c r="G128" s="2092" t="s">
        <v>4571</v>
      </c>
      <c r="H128" s="2094" t="s">
        <v>4572</v>
      </c>
      <c r="I128" s="2094" t="s">
        <v>4573</v>
      </c>
      <c r="J128" s="2094" t="s">
        <v>4574</v>
      </c>
      <c r="K128" s="2094" t="s">
        <v>4575</v>
      </c>
      <c r="L128" s="2095" t="s">
        <v>4576</v>
      </c>
      <c r="M128" s="2093" t="s">
        <v>4577</v>
      </c>
      <c r="N128" s="1864" t="str">
        <f t="shared" si="71"/>
        <v xml:space="preserve">* La variable Total PAP informados en trans masculino no debe ser mayor al Total. </v>
      </c>
      <c r="CB128" s="1865" t="str">
        <f t="shared" si="72"/>
        <v xml:space="preserve">* La variable Total PAP informados en trans masculino no debe ser mayor al Total. </v>
      </c>
      <c r="CV128" s="1867">
        <f t="shared" si="73"/>
        <v>1</v>
      </c>
    </row>
    <row r="129" spans="1:100" x14ac:dyDescent="0.25">
      <c r="A129" s="5605" t="s">
        <v>4519</v>
      </c>
      <c r="B129" s="2096" t="s">
        <v>57</v>
      </c>
      <c r="C129" s="2097" t="s">
        <v>4567</v>
      </c>
      <c r="D129" s="2100" t="s">
        <v>4568</v>
      </c>
      <c r="E129" s="2099" t="s">
        <v>4569</v>
      </c>
      <c r="F129" s="2100" t="s">
        <v>4570</v>
      </c>
      <c r="G129" s="2099" t="s">
        <v>4571</v>
      </c>
      <c r="H129" s="2101" t="s">
        <v>4572</v>
      </c>
      <c r="I129" s="2101" t="s">
        <v>4573</v>
      </c>
      <c r="J129" s="2101" t="s">
        <v>4574</v>
      </c>
      <c r="K129" s="2101" t="s">
        <v>4575</v>
      </c>
      <c r="L129" s="2102" t="s">
        <v>4576</v>
      </c>
      <c r="M129" s="2100" t="s">
        <v>4577</v>
      </c>
      <c r="N129" s="1864" t="str">
        <f t="shared" si="71"/>
        <v xml:space="preserve">* La variable Total PAP informados en trans masculino no debe ser mayor al Total. </v>
      </c>
      <c r="CB129" s="1865" t="str">
        <f t="shared" si="72"/>
        <v xml:space="preserve">* La variable Total PAP informados en trans masculino no debe ser mayor al Total. </v>
      </c>
      <c r="CV129" s="1867">
        <f t="shared" si="73"/>
        <v>1</v>
      </c>
    </row>
    <row r="130" spans="1:100" x14ac:dyDescent="0.25">
      <c r="A130" s="5604"/>
      <c r="B130" s="2103" t="s">
        <v>77</v>
      </c>
      <c r="C130" s="2104">
        <f t="shared" ref="C130" si="74">SUM(D130:L130)</f>
        <v>0</v>
      </c>
      <c r="D130" s="2104">
        <f t="shared" ref="D130:M130" si="75">SUM(D117:D129)</f>
        <v>0</v>
      </c>
      <c r="E130" s="2105">
        <f t="shared" si="75"/>
        <v>0</v>
      </c>
      <c r="F130" s="2106">
        <f t="shared" si="75"/>
        <v>0</v>
      </c>
      <c r="G130" s="2105">
        <f t="shared" si="75"/>
        <v>0</v>
      </c>
      <c r="H130" s="2107">
        <f t="shared" si="75"/>
        <v>0</v>
      </c>
      <c r="I130" s="2107">
        <f t="shared" si="75"/>
        <v>0</v>
      </c>
      <c r="J130" s="2107">
        <f t="shared" si="75"/>
        <v>0</v>
      </c>
      <c r="K130" s="2107">
        <f t="shared" si="75"/>
        <v>0</v>
      </c>
      <c r="L130" s="2108">
        <f t="shared" si="75"/>
        <v>0</v>
      </c>
      <c r="M130" s="2106">
        <f t="shared" si="75"/>
        <v>0</v>
      </c>
    </row>
    <row r="131" spans="1:100" ht="18" customHeight="1" x14ac:dyDescent="0.25">
      <c r="A131" s="6"/>
      <c r="B131" s="2109" t="s">
        <v>167</v>
      </c>
      <c r="C131" s="2114"/>
      <c r="D131" s="2114"/>
      <c r="E131" s="2110"/>
      <c r="F131" s="2110"/>
      <c r="G131" s="2110"/>
      <c r="H131" s="2110"/>
      <c r="I131" s="2110"/>
      <c r="J131" s="2110"/>
      <c r="K131" s="2110"/>
      <c r="L131" s="2110"/>
      <c r="M131" s="92"/>
    </row>
    <row r="132" spans="1:100" ht="18" customHeight="1" x14ac:dyDescent="0.25">
      <c r="A132" s="6"/>
      <c r="B132" s="6021" t="s">
        <v>170</v>
      </c>
      <c r="C132" s="6021"/>
      <c r="D132" s="6021"/>
      <c r="E132" s="6021"/>
      <c r="F132" s="6021"/>
      <c r="G132" s="6021"/>
      <c r="H132" s="6021"/>
      <c r="I132" s="6021"/>
      <c r="J132" s="6021"/>
      <c r="K132" s="6021"/>
      <c r="L132" s="6021"/>
      <c r="M132" s="2115"/>
    </row>
    <row r="133" spans="1:100" ht="15" customHeight="1" x14ac:dyDescent="0.25">
      <c r="A133" s="6"/>
      <c r="B133" s="5992" t="s">
        <v>141</v>
      </c>
      <c r="C133" s="5997" t="s">
        <v>169</v>
      </c>
      <c r="D133" s="5998"/>
      <c r="E133" s="5998"/>
      <c r="F133" s="5998"/>
      <c r="G133" s="5998"/>
      <c r="H133" s="5998"/>
      <c r="I133" s="5998"/>
      <c r="J133" s="5998"/>
      <c r="K133" s="5998"/>
      <c r="L133" s="5998"/>
      <c r="M133" s="6018" t="s">
        <v>143</v>
      </c>
    </row>
    <row r="134" spans="1:100" ht="15" customHeight="1" x14ac:dyDescent="0.25">
      <c r="A134" s="6"/>
      <c r="B134" s="5993"/>
      <c r="C134" s="5994" t="s">
        <v>77</v>
      </c>
      <c r="D134" s="6006" t="s">
        <v>144</v>
      </c>
      <c r="E134" s="5992" t="s">
        <v>145</v>
      </c>
      <c r="F134" s="5992"/>
      <c r="G134" s="5997" t="s">
        <v>146</v>
      </c>
      <c r="H134" s="5998"/>
      <c r="I134" s="5998"/>
      <c r="J134" s="5998"/>
      <c r="K134" s="5998"/>
      <c r="L134" s="5998"/>
      <c r="M134" s="6019"/>
    </row>
    <row r="135" spans="1:100" ht="31.5" x14ac:dyDescent="0.25">
      <c r="A135" s="6"/>
      <c r="B135" s="5993"/>
      <c r="C135" s="5996"/>
      <c r="D135" s="6007"/>
      <c r="E135" s="2078" t="s">
        <v>147</v>
      </c>
      <c r="F135" s="2079" t="s">
        <v>148</v>
      </c>
      <c r="G135" s="2080" t="s">
        <v>149</v>
      </c>
      <c r="H135" s="2081" t="s">
        <v>150</v>
      </c>
      <c r="I135" s="2081" t="s">
        <v>151</v>
      </c>
      <c r="J135" s="2081" t="s">
        <v>152</v>
      </c>
      <c r="K135" s="2081" t="s">
        <v>153</v>
      </c>
      <c r="L135" s="2077" t="s">
        <v>154</v>
      </c>
      <c r="M135" s="6020"/>
    </row>
    <row r="136" spans="1:100" x14ac:dyDescent="0.25">
      <c r="A136" s="5605" t="s">
        <v>4520</v>
      </c>
      <c r="B136" s="2082" t="s">
        <v>155</v>
      </c>
      <c r="C136" s="2083" t="s">
        <v>4567</v>
      </c>
      <c r="D136" s="2093" t="s">
        <v>4568</v>
      </c>
      <c r="E136" s="2092" t="s">
        <v>4569</v>
      </c>
      <c r="F136" s="2093" t="s">
        <v>4570</v>
      </c>
      <c r="G136" s="2092" t="s">
        <v>4571</v>
      </c>
      <c r="H136" s="2094" t="s">
        <v>4572</v>
      </c>
      <c r="I136" s="2094" t="s">
        <v>4573</v>
      </c>
      <c r="J136" s="2094" t="s">
        <v>4574</v>
      </c>
      <c r="K136" s="2094" t="s">
        <v>4575</v>
      </c>
      <c r="L136" s="2095" t="s">
        <v>4576</v>
      </c>
      <c r="M136" s="2113" t="s">
        <v>4577</v>
      </c>
      <c r="N136" s="1864" t="str">
        <f t="shared" ref="N136:N147" si="76">$CB136</f>
        <v xml:space="preserve">* La variable Total PAP informados en trans masculino no debe ser mayor al Total. </v>
      </c>
      <c r="CB136" s="1865" t="str">
        <f>IF(AND($C136&lt;&gt;0,M136=""),"* No olvide ingresar la variable "&amp;M$133&amp;""&amp;". Digite CERO si no tiene. ",IF(M136&gt;$C136,"* La variable Total PAP informados en trans masculino no debe ser mayor al Total. ",""))</f>
        <v xml:space="preserve">* La variable Total PAP informados en trans masculino no debe ser mayor al Total. </v>
      </c>
      <c r="CV136" s="1867">
        <f>IF(AND($C136&lt;&gt;0,M136=""),1,IF(M136&gt;$C136,1,0))</f>
        <v>1</v>
      </c>
    </row>
    <row r="137" spans="1:100" x14ac:dyDescent="0.25">
      <c r="A137" s="5605" t="s">
        <v>4521</v>
      </c>
      <c r="B137" s="2089" t="s">
        <v>156</v>
      </c>
      <c r="C137" s="2083" t="s">
        <v>4567</v>
      </c>
      <c r="D137" s="2093" t="s">
        <v>4568</v>
      </c>
      <c r="E137" s="2092" t="s">
        <v>4569</v>
      </c>
      <c r="F137" s="2093" t="s">
        <v>4570</v>
      </c>
      <c r="G137" s="2092" t="s">
        <v>4571</v>
      </c>
      <c r="H137" s="2094" t="s">
        <v>4572</v>
      </c>
      <c r="I137" s="2094" t="s">
        <v>4573</v>
      </c>
      <c r="J137" s="2094" t="s">
        <v>4574</v>
      </c>
      <c r="K137" s="2094" t="s">
        <v>4575</v>
      </c>
      <c r="L137" s="2095" t="s">
        <v>4576</v>
      </c>
      <c r="M137" s="2093" t="s">
        <v>4577</v>
      </c>
      <c r="N137" s="1864" t="str">
        <f t="shared" si="76"/>
        <v xml:space="preserve">* La variable Total PAP informados en trans masculino no debe ser mayor al Total. </v>
      </c>
      <c r="CB137" s="1865" t="str">
        <f t="shared" ref="CB137:CB148" si="77">IF(AND($C137&lt;&gt;0,M137=""),"* No olvide ingresar la variable "&amp;M$133&amp;""&amp;". Digite CERO si no tiene. ",IF(M137&gt;$C137,"* La variable Total PAP informados en trans masculino no debe ser mayor al Total. ",""))</f>
        <v xml:space="preserve">* La variable Total PAP informados en trans masculino no debe ser mayor al Total. </v>
      </c>
      <c r="CV137" s="1867">
        <f t="shared" ref="CV137:CV148" si="78">IF(AND($C137&lt;&gt;0,M137=""),1,IF(M137&gt;$C137,1,0))</f>
        <v>1</v>
      </c>
    </row>
    <row r="138" spans="1:100" x14ac:dyDescent="0.25">
      <c r="A138" s="5605" t="s">
        <v>4522</v>
      </c>
      <c r="B138" s="2089" t="s">
        <v>157</v>
      </c>
      <c r="C138" s="2083" t="s">
        <v>4567</v>
      </c>
      <c r="D138" s="2093" t="s">
        <v>4568</v>
      </c>
      <c r="E138" s="2092" t="s">
        <v>4569</v>
      </c>
      <c r="F138" s="2093" t="s">
        <v>4570</v>
      </c>
      <c r="G138" s="2092" t="s">
        <v>4571</v>
      </c>
      <c r="H138" s="2094" t="s">
        <v>4572</v>
      </c>
      <c r="I138" s="2094" t="s">
        <v>4573</v>
      </c>
      <c r="J138" s="2094" t="s">
        <v>4574</v>
      </c>
      <c r="K138" s="2094" t="s">
        <v>4575</v>
      </c>
      <c r="L138" s="2095" t="s">
        <v>4576</v>
      </c>
      <c r="M138" s="2093" t="s">
        <v>4577</v>
      </c>
      <c r="N138" s="1864" t="str">
        <f t="shared" si="76"/>
        <v xml:space="preserve">* La variable Total PAP informados en trans masculino no debe ser mayor al Total. </v>
      </c>
      <c r="CB138" s="1865" t="str">
        <f t="shared" si="77"/>
        <v xml:space="preserve">* La variable Total PAP informados en trans masculino no debe ser mayor al Total. </v>
      </c>
      <c r="CV138" s="1867">
        <f t="shared" si="78"/>
        <v>1</v>
      </c>
    </row>
    <row r="139" spans="1:100" x14ac:dyDescent="0.25">
      <c r="A139" s="5605" t="s">
        <v>4523</v>
      </c>
      <c r="B139" s="2089" t="s">
        <v>158</v>
      </c>
      <c r="C139" s="2083" t="s">
        <v>4567</v>
      </c>
      <c r="D139" s="2093" t="s">
        <v>4568</v>
      </c>
      <c r="E139" s="2092" t="s">
        <v>4569</v>
      </c>
      <c r="F139" s="2093" t="s">
        <v>4570</v>
      </c>
      <c r="G139" s="2092" t="s">
        <v>4571</v>
      </c>
      <c r="H139" s="2094" t="s">
        <v>4572</v>
      </c>
      <c r="I139" s="2094" t="s">
        <v>4573</v>
      </c>
      <c r="J139" s="2094" t="s">
        <v>4574</v>
      </c>
      <c r="K139" s="2094" t="s">
        <v>4575</v>
      </c>
      <c r="L139" s="2095" t="s">
        <v>4576</v>
      </c>
      <c r="M139" s="2093" t="s">
        <v>4577</v>
      </c>
      <c r="N139" s="1864" t="str">
        <f t="shared" si="76"/>
        <v xml:space="preserve">* La variable Total PAP informados en trans masculino no debe ser mayor al Total. </v>
      </c>
      <c r="CB139" s="1865" t="str">
        <f t="shared" si="77"/>
        <v xml:space="preserve">* La variable Total PAP informados en trans masculino no debe ser mayor al Total. </v>
      </c>
      <c r="CV139" s="1867">
        <f t="shared" si="78"/>
        <v>1</v>
      </c>
    </row>
    <row r="140" spans="1:100" x14ac:dyDescent="0.25">
      <c r="A140" s="5605" t="s">
        <v>4524</v>
      </c>
      <c r="B140" s="2089" t="s">
        <v>159</v>
      </c>
      <c r="C140" s="2083" t="s">
        <v>4567</v>
      </c>
      <c r="D140" s="2093" t="s">
        <v>4568</v>
      </c>
      <c r="E140" s="2092" t="s">
        <v>4569</v>
      </c>
      <c r="F140" s="2093" t="s">
        <v>4570</v>
      </c>
      <c r="G140" s="2092" t="s">
        <v>4571</v>
      </c>
      <c r="H140" s="2094" t="s">
        <v>4572</v>
      </c>
      <c r="I140" s="2094" t="s">
        <v>4573</v>
      </c>
      <c r="J140" s="2094" t="s">
        <v>4574</v>
      </c>
      <c r="K140" s="2094" t="s">
        <v>4575</v>
      </c>
      <c r="L140" s="2095" t="s">
        <v>4576</v>
      </c>
      <c r="M140" s="2093" t="s">
        <v>4577</v>
      </c>
      <c r="N140" s="1864" t="str">
        <f t="shared" si="76"/>
        <v xml:space="preserve">* La variable Total PAP informados en trans masculino no debe ser mayor al Total. </v>
      </c>
      <c r="CB140" s="1865" t="str">
        <f t="shared" si="77"/>
        <v xml:space="preserve">* La variable Total PAP informados en trans masculino no debe ser mayor al Total. </v>
      </c>
      <c r="CV140" s="1867">
        <f t="shared" si="78"/>
        <v>1</v>
      </c>
    </row>
    <row r="141" spans="1:100" x14ac:dyDescent="0.25">
      <c r="A141" s="5605" t="s">
        <v>4525</v>
      </c>
      <c r="B141" s="2089" t="s">
        <v>160</v>
      </c>
      <c r="C141" s="2083" t="s">
        <v>4567</v>
      </c>
      <c r="D141" s="2093" t="s">
        <v>4568</v>
      </c>
      <c r="E141" s="2092" t="s">
        <v>4569</v>
      </c>
      <c r="F141" s="2093" t="s">
        <v>4570</v>
      </c>
      <c r="G141" s="2092" t="s">
        <v>4571</v>
      </c>
      <c r="H141" s="2094" t="s">
        <v>4572</v>
      </c>
      <c r="I141" s="2094" t="s">
        <v>4573</v>
      </c>
      <c r="J141" s="2094" t="s">
        <v>4574</v>
      </c>
      <c r="K141" s="2094" t="s">
        <v>4575</v>
      </c>
      <c r="L141" s="2095" t="s">
        <v>4576</v>
      </c>
      <c r="M141" s="2093" t="s">
        <v>4577</v>
      </c>
      <c r="N141" s="1864" t="str">
        <f t="shared" si="76"/>
        <v xml:space="preserve">* La variable Total PAP informados en trans masculino no debe ser mayor al Total. </v>
      </c>
      <c r="CB141" s="1865" t="str">
        <f t="shared" si="77"/>
        <v xml:space="preserve">* La variable Total PAP informados en trans masculino no debe ser mayor al Total. </v>
      </c>
      <c r="CV141" s="1867">
        <f t="shared" si="78"/>
        <v>1</v>
      </c>
    </row>
    <row r="142" spans="1:100" x14ac:dyDescent="0.25">
      <c r="A142" s="5605" t="s">
        <v>4526</v>
      </c>
      <c r="B142" s="2089" t="s">
        <v>161</v>
      </c>
      <c r="C142" s="2083" t="s">
        <v>4567</v>
      </c>
      <c r="D142" s="2093" t="s">
        <v>4568</v>
      </c>
      <c r="E142" s="2092" t="s">
        <v>4569</v>
      </c>
      <c r="F142" s="2093" t="s">
        <v>4570</v>
      </c>
      <c r="G142" s="2092" t="s">
        <v>4571</v>
      </c>
      <c r="H142" s="2094" t="s">
        <v>4572</v>
      </c>
      <c r="I142" s="2094" t="s">
        <v>4573</v>
      </c>
      <c r="J142" s="2094" t="s">
        <v>4574</v>
      </c>
      <c r="K142" s="2094" t="s">
        <v>4575</v>
      </c>
      <c r="L142" s="2095" t="s">
        <v>4576</v>
      </c>
      <c r="M142" s="2093" t="s">
        <v>4577</v>
      </c>
      <c r="N142" s="1864" t="str">
        <f t="shared" si="76"/>
        <v xml:space="preserve">* La variable Total PAP informados en trans masculino no debe ser mayor al Total. </v>
      </c>
      <c r="CB142" s="1865" t="str">
        <f t="shared" si="77"/>
        <v xml:space="preserve">* La variable Total PAP informados en trans masculino no debe ser mayor al Total. </v>
      </c>
      <c r="CV142" s="1867">
        <f t="shared" si="78"/>
        <v>1</v>
      </c>
    </row>
    <row r="143" spans="1:100" x14ac:dyDescent="0.25">
      <c r="A143" s="5605" t="s">
        <v>4527</v>
      </c>
      <c r="B143" s="2089" t="s">
        <v>162</v>
      </c>
      <c r="C143" s="2083" t="s">
        <v>4567</v>
      </c>
      <c r="D143" s="2093" t="s">
        <v>4568</v>
      </c>
      <c r="E143" s="2092" t="s">
        <v>4569</v>
      </c>
      <c r="F143" s="2093" t="s">
        <v>4570</v>
      </c>
      <c r="G143" s="2092" t="s">
        <v>4571</v>
      </c>
      <c r="H143" s="2094" t="s">
        <v>4572</v>
      </c>
      <c r="I143" s="2094" t="s">
        <v>4573</v>
      </c>
      <c r="J143" s="2094" t="s">
        <v>4574</v>
      </c>
      <c r="K143" s="2094" t="s">
        <v>4575</v>
      </c>
      <c r="L143" s="2095" t="s">
        <v>4576</v>
      </c>
      <c r="M143" s="2093" t="s">
        <v>4577</v>
      </c>
      <c r="N143" s="1864" t="str">
        <f t="shared" si="76"/>
        <v xml:space="preserve">* La variable Total PAP informados en trans masculino no debe ser mayor al Total. </v>
      </c>
      <c r="CB143" s="1865" t="str">
        <f t="shared" si="77"/>
        <v xml:space="preserve">* La variable Total PAP informados en trans masculino no debe ser mayor al Total. </v>
      </c>
      <c r="CV143" s="1867">
        <f t="shared" si="78"/>
        <v>1</v>
      </c>
    </row>
    <row r="144" spans="1:100" x14ac:dyDescent="0.25">
      <c r="A144" s="5605" t="s">
        <v>4528</v>
      </c>
      <c r="B144" s="2089" t="s">
        <v>163</v>
      </c>
      <c r="C144" s="2083" t="s">
        <v>4567</v>
      </c>
      <c r="D144" s="2093" t="s">
        <v>4568</v>
      </c>
      <c r="E144" s="2092" t="s">
        <v>4569</v>
      </c>
      <c r="F144" s="2093" t="s">
        <v>4570</v>
      </c>
      <c r="G144" s="2092" t="s">
        <v>4571</v>
      </c>
      <c r="H144" s="2094" t="s">
        <v>4572</v>
      </c>
      <c r="I144" s="2094" t="s">
        <v>4573</v>
      </c>
      <c r="J144" s="2094" t="s">
        <v>4574</v>
      </c>
      <c r="K144" s="2094" t="s">
        <v>4575</v>
      </c>
      <c r="L144" s="2095" t="s">
        <v>4576</v>
      </c>
      <c r="M144" s="2093" t="s">
        <v>4577</v>
      </c>
      <c r="N144" s="1864" t="str">
        <f t="shared" si="76"/>
        <v xml:space="preserve">* La variable Total PAP informados en trans masculino no debe ser mayor al Total. </v>
      </c>
      <c r="CB144" s="1865" t="str">
        <f t="shared" si="77"/>
        <v xml:space="preserve">* La variable Total PAP informados en trans masculino no debe ser mayor al Total. </v>
      </c>
      <c r="CV144" s="1867">
        <f t="shared" si="78"/>
        <v>1</v>
      </c>
    </row>
    <row r="145" spans="1:100" x14ac:dyDescent="0.25">
      <c r="A145" s="5605" t="s">
        <v>4529</v>
      </c>
      <c r="B145" s="2089" t="s">
        <v>164</v>
      </c>
      <c r="C145" s="2083" t="s">
        <v>4567</v>
      </c>
      <c r="D145" s="2093" t="s">
        <v>4568</v>
      </c>
      <c r="E145" s="2092" t="s">
        <v>4569</v>
      </c>
      <c r="F145" s="2093" t="s">
        <v>4570</v>
      </c>
      <c r="G145" s="2092" t="s">
        <v>4571</v>
      </c>
      <c r="H145" s="2094" t="s">
        <v>4572</v>
      </c>
      <c r="I145" s="2094" t="s">
        <v>4573</v>
      </c>
      <c r="J145" s="2094" t="s">
        <v>4574</v>
      </c>
      <c r="K145" s="2094" t="s">
        <v>4575</v>
      </c>
      <c r="L145" s="2095" t="s">
        <v>4576</v>
      </c>
      <c r="M145" s="2093" t="s">
        <v>4577</v>
      </c>
      <c r="N145" s="1864" t="str">
        <f t="shared" si="76"/>
        <v xml:space="preserve">* La variable Total PAP informados en trans masculino no debe ser mayor al Total. </v>
      </c>
      <c r="CB145" s="1865" t="str">
        <f t="shared" si="77"/>
        <v xml:space="preserve">* La variable Total PAP informados en trans masculino no debe ser mayor al Total. </v>
      </c>
      <c r="CV145" s="1867">
        <f t="shared" si="78"/>
        <v>1</v>
      </c>
    </row>
    <row r="146" spans="1:100" x14ac:dyDescent="0.25">
      <c r="A146" s="5605" t="s">
        <v>4530</v>
      </c>
      <c r="B146" s="2089" t="s">
        <v>165</v>
      </c>
      <c r="C146" s="2083" t="s">
        <v>4567</v>
      </c>
      <c r="D146" s="2093" t="s">
        <v>4568</v>
      </c>
      <c r="E146" s="2092" t="s">
        <v>4569</v>
      </c>
      <c r="F146" s="2093" t="s">
        <v>4570</v>
      </c>
      <c r="G146" s="2092" t="s">
        <v>4571</v>
      </c>
      <c r="H146" s="2094" t="s">
        <v>4572</v>
      </c>
      <c r="I146" s="2094" t="s">
        <v>4573</v>
      </c>
      <c r="J146" s="2094" t="s">
        <v>4574</v>
      </c>
      <c r="K146" s="2094" t="s">
        <v>4575</v>
      </c>
      <c r="L146" s="2095" t="s">
        <v>4576</v>
      </c>
      <c r="M146" s="2093" t="s">
        <v>4577</v>
      </c>
      <c r="N146" s="1864" t="str">
        <f t="shared" si="76"/>
        <v xml:space="preserve">* La variable Total PAP informados en trans masculino no debe ser mayor al Total. </v>
      </c>
      <c r="CB146" s="1865" t="str">
        <f t="shared" si="77"/>
        <v xml:space="preserve">* La variable Total PAP informados en trans masculino no debe ser mayor al Total. </v>
      </c>
      <c r="CV146" s="1867">
        <f t="shared" si="78"/>
        <v>1</v>
      </c>
    </row>
    <row r="147" spans="1:100" x14ac:dyDescent="0.25">
      <c r="A147" s="5605" t="s">
        <v>4531</v>
      </c>
      <c r="B147" s="2089" t="s">
        <v>166</v>
      </c>
      <c r="C147" s="2083" t="s">
        <v>4567</v>
      </c>
      <c r="D147" s="2093" t="s">
        <v>4568</v>
      </c>
      <c r="E147" s="2092" t="s">
        <v>4569</v>
      </c>
      <c r="F147" s="2093" t="s">
        <v>4570</v>
      </c>
      <c r="G147" s="2092" t="s">
        <v>4571</v>
      </c>
      <c r="H147" s="2094" t="s">
        <v>4572</v>
      </c>
      <c r="I147" s="2094" t="s">
        <v>4573</v>
      </c>
      <c r="J147" s="2094" t="s">
        <v>4574</v>
      </c>
      <c r="K147" s="2094" t="s">
        <v>4575</v>
      </c>
      <c r="L147" s="2095" t="s">
        <v>4576</v>
      </c>
      <c r="M147" s="2093" t="s">
        <v>4577</v>
      </c>
      <c r="N147" s="1864" t="str">
        <f t="shared" si="76"/>
        <v xml:space="preserve">* La variable Total PAP informados en trans masculino no debe ser mayor al Total. </v>
      </c>
      <c r="CB147" s="1865" t="str">
        <f t="shared" si="77"/>
        <v xml:space="preserve">* La variable Total PAP informados en trans masculino no debe ser mayor al Total. </v>
      </c>
      <c r="CV147" s="1867">
        <f t="shared" si="78"/>
        <v>1</v>
      </c>
    </row>
    <row r="148" spans="1:100" x14ac:dyDescent="0.25">
      <c r="A148" s="5605" t="s">
        <v>4532</v>
      </c>
      <c r="B148" s="2096" t="s">
        <v>57</v>
      </c>
      <c r="C148" s="2097" t="s">
        <v>4567</v>
      </c>
      <c r="D148" s="2100" t="s">
        <v>4568</v>
      </c>
      <c r="E148" s="2099" t="s">
        <v>4569</v>
      </c>
      <c r="F148" s="2100" t="s">
        <v>4570</v>
      </c>
      <c r="G148" s="2099" t="s">
        <v>4571</v>
      </c>
      <c r="H148" s="2101" t="s">
        <v>4572</v>
      </c>
      <c r="I148" s="2101" t="s">
        <v>4573</v>
      </c>
      <c r="J148" s="2101" t="s">
        <v>4574</v>
      </c>
      <c r="K148" s="2101" t="s">
        <v>4575</v>
      </c>
      <c r="L148" s="2102" t="s">
        <v>4576</v>
      </c>
      <c r="M148" s="2100" t="s">
        <v>4577</v>
      </c>
      <c r="N148" s="1864" t="str">
        <f>$CB148</f>
        <v xml:space="preserve">* La variable Total PAP informados en trans masculino no debe ser mayor al Total. </v>
      </c>
      <c r="CB148" s="1865" t="str">
        <f t="shared" si="77"/>
        <v xml:space="preserve">* La variable Total PAP informados en trans masculino no debe ser mayor al Total. </v>
      </c>
      <c r="CV148" s="1867">
        <f t="shared" si="78"/>
        <v>1</v>
      </c>
    </row>
    <row r="149" spans="1:100" x14ac:dyDescent="0.25">
      <c r="A149" s="5604"/>
      <c r="B149" s="2103" t="s">
        <v>77</v>
      </c>
      <c r="C149" s="2104">
        <f>SUM(D149:L149)</f>
        <v>0</v>
      </c>
      <c r="D149" s="2104">
        <f t="shared" ref="D149:M149" si="79">SUM(D136:D148)</f>
        <v>0</v>
      </c>
      <c r="E149" s="2105">
        <f t="shared" si="79"/>
        <v>0</v>
      </c>
      <c r="F149" s="2106">
        <f t="shared" si="79"/>
        <v>0</v>
      </c>
      <c r="G149" s="2105">
        <f t="shared" si="79"/>
        <v>0</v>
      </c>
      <c r="H149" s="2107">
        <f t="shared" si="79"/>
        <v>0</v>
      </c>
      <c r="I149" s="2107">
        <f t="shared" si="79"/>
        <v>0</v>
      </c>
      <c r="J149" s="2107">
        <f t="shared" si="79"/>
        <v>0</v>
      </c>
      <c r="K149" s="2107">
        <f t="shared" si="79"/>
        <v>0</v>
      </c>
      <c r="L149" s="2108">
        <f t="shared" si="79"/>
        <v>0</v>
      </c>
      <c r="M149" s="2106">
        <f t="shared" si="79"/>
        <v>0</v>
      </c>
    </row>
    <row r="150" spans="1:100" x14ac:dyDescent="0.25">
      <c r="A150" s="6"/>
      <c r="B150" s="2114" t="s">
        <v>171</v>
      </c>
      <c r="C150" s="2114"/>
      <c r="D150" s="2114"/>
      <c r="E150" s="2110"/>
      <c r="F150" s="2110"/>
      <c r="G150" s="2110"/>
      <c r="H150" s="2110"/>
      <c r="I150" s="2110"/>
      <c r="J150" s="2110"/>
      <c r="K150" s="2110"/>
      <c r="L150" s="2110"/>
      <c r="M150" s="92"/>
    </row>
    <row r="151" spans="1:100" ht="27" customHeight="1" x14ac:dyDescent="0.25">
      <c r="A151" s="6"/>
      <c r="B151" s="5991" t="s">
        <v>172</v>
      </c>
      <c r="C151" s="5991"/>
      <c r="D151" s="5991"/>
      <c r="E151" s="5991"/>
      <c r="F151" s="5991"/>
      <c r="G151" s="5991"/>
      <c r="H151" s="5991"/>
      <c r="I151" s="5991"/>
      <c r="J151" s="5991"/>
      <c r="K151" s="5991"/>
      <c r="L151" s="5991"/>
      <c r="M151" s="5991"/>
      <c r="N151" s="5991"/>
      <c r="O151" s="2112"/>
    </row>
    <row r="152" spans="1:100" ht="18" customHeight="1" x14ac:dyDescent="0.25">
      <c r="A152" s="6"/>
      <c r="B152" s="5992" t="s">
        <v>173</v>
      </c>
      <c r="C152" s="5994" t="s">
        <v>174</v>
      </c>
      <c r="D152" s="5998" t="s">
        <v>175</v>
      </c>
      <c r="E152" s="5998"/>
      <c r="F152" s="5998"/>
      <c r="G152" s="5998"/>
      <c r="H152" s="6000" t="s">
        <v>176</v>
      </c>
      <c r="I152" s="6010" t="s">
        <v>177</v>
      </c>
      <c r="J152" s="5997" t="s">
        <v>178</v>
      </c>
      <c r="K152" s="5998"/>
      <c r="L152" s="5998"/>
      <c r="M152" s="5999"/>
      <c r="N152" s="6003" t="s">
        <v>179</v>
      </c>
    </row>
    <row r="153" spans="1:100" ht="18" customHeight="1" x14ac:dyDescent="0.25">
      <c r="A153" s="6"/>
      <c r="B153" s="5993"/>
      <c r="C153" s="5995"/>
      <c r="D153" s="6006" t="s">
        <v>180</v>
      </c>
      <c r="E153" s="5997" t="s">
        <v>146</v>
      </c>
      <c r="F153" s="5998"/>
      <c r="G153" s="5998"/>
      <c r="H153" s="6001"/>
      <c r="I153" s="6011"/>
      <c r="J153" s="5994" t="s">
        <v>180</v>
      </c>
      <c r="K153" s="5997" t="s">
        <v>146</v>
      </c>
      <c r="L153" s="5998"/>
      <c r="M153" s="5999"/>
      <c r="N153" s="6004"/>
    </row>
    <row r="154" spans="1:100" ht="18" customHeight="1" x14ac:dyDescent="0.25">
      <c r="A154" s="6"/>
      <c r="B154" s="5993"/>
      <c r="C154" s="5996"/>
      <c r="D154" s="6007"/>
      <c r="E154" s="2080" t="s">
        <v>181</v>
      </c>
      <c r="F154" s="2081" t="s">
        <v>182</v>
      </c>
      <c r="G154" s="2077" t="s">
        <v>183</v>
      </c>
      <c r="H154" s="6002"/>
      <c r="I154" s="6012"/>
      <c r="J154" s="5996"/>
      <c r="K154" s="2080" t="s">
        <v>181</v>
      </c>
      <c r="L154" s="2081" t="s">
        <v>182</v>
      </c>
      <c r="M154" s="2116" t="s">
        <v>183</v>
      </c>
      <c r="N154" s="6005"/>
    </row>
    <row r="155" spans="1:100" x14ac:dyDescent="0.25">
      <c r="A155" s="5605" t="s">
        <v>4533</v>
      </c>
      <c r="B155" s="2089" t="s">
        <v>157</v>
      </c>
      <c r="C155" s="2117" t="s">
        <v>4567</v>
      </c>
      <c r="D155" s="2117" t="s">
        <v>4568</v>
      </c>
      <c r="E155" s="2118" t="s">
        <v>4569</v>
      </c>
      <c r="F155" s="2119" t="s">
        <v>4570</v>
      </c>
      <c r="G155" s="2120" t="s">
        <v>4571</v>
      </c>
      <c r="H155" s="2121" t="s">
        <v>4572</v>
      </c>
      <c r="I155" s="2117" t="s">
        <v>4573</v>
      </c>
      <c r="J155" s="2117" t="s">
        <v>4574</v>
      </c>
      <c r="K155" s="2118" t="s">
        <v>4575</v>
      </c>
      <c r="L155" s="2119" t="s">
        <v>4576</v>
      </c>
      <c r="M155" s="2120" t="s">
        <v>4577</v>
      </c>
      <c r="N155" s="2117" t="s">
        <v>4578</v>
      </c>
      <c r="O155" s="1864" t="str">
        <f>$CB155</f>
        <v xml:space="preserve">* La variable Total PAP informados en trans masculino no debe ser mayor al Total. </v>
      </c>
      <c r="CB155" s="1865" t="str">
        <f>IF(AND($C155&lt;&gt;0,N155=""),"* No olvide ingresar la variable "&amp;N$152&amp;""&amp;". Digite CERO si no tiene. ",IF(N155&gt;$C155,"* La variable Total PAP informados en trans masculino no debe ser mayor al Total. ",""))</f>
        <v xml:space="preserve">* La variable Total PAP informados en trans masculino no debe ser mayor al Total. </v>
      </c>
      <c r="CV155" s="1867">
        <f>IF(AND($C155&lt;&gt;0,N155=""),1,IF(N155&gt;$C155,1,0))</f>
        <v>1</v>
      </c>
    </row>
    <row r="156" spans="1:100" x14ac:dyDescent="0.25">
      <c r="A156" s="5605" t="s">
        <v>4534</v>
      </c>
      <c r="B156" s="2089" t="s">
        <v>158</v>
      </c>
      <c r="C156" s="2117" t="s">
        <v>4567</v>
      </c>
      <c r="D156" s="2117" t="s">
        <v>4568</v>
      </c>
      <c r="E156" s="2118" t="s">
        <v>4569</v>
      </c>
      <c r="F156" s="2119" t="s">
        <v>4570</v>
      </c>
      <c r="G156" s="2120" t="s">
        <v>4571</v>
      </c>
      <c r="H156" s="2121" t="s">
        <v>4572</v>
      </c>
      <c r="I156" s="2117" t="s">
        <v>4573</v>
      </c>
      <c r="J156" s="2117" t="s">
        <v>4574</v>
      </c>
      <c r="K156" s="2118" t="s">
        <v>4575</v>
      </c>
      <c r="L156" s="2119" t="s">
        <v>4576</v>
      </c>
      <c r="M156" s="2120" t="s">
        <v>4577</v>
      </c>
      <c r="N156" s="2117" t="s">
        <v>4578</v>
      </c>
      <c r="O156" s="1864" t="str">
        <f t="shared" ref="O156:O165" si="80">$CB156</f>
        <v xml:space="preserve">* La variable Total PAP informados en trans masculino no debe ser mayor al Total. </v>
      </c>
      <c r="CB156" s="1865" t="str">
        <f t="shared" ref="CB156:CB165" si="81">IF(AND($C156&lt;&gt;0,N156=""),"* No olvide ingresar la variable "&amp;N$152&amp;""&amp;". Digite CERO si no tiene. ",IF(N156&gt;$C156,"* La variable Total PAP informados en trans masculino no debe ser mayor al Total. ",""))</f>
        <v xml:space="preserve">* La variable Total PAP informados en trans masculino no debe ser mayor al Total. </v>
      </c>
      <c r="CV156" s="1867">
        <f t="shared" ref="CV156:CV165" si="82">IF(AND($C156&lt;&gt;0,N156=""),1,IF(N156&gt;$C156,1,0))</f>
        <v>1</v>
      </c>
    </row>
    <row r="157" spans="1:100" x14ac:dyDescent="0.25">
      <c r="A157" s="5605" t="s">
        <v>4535</v>
      </c>
      <c r="B157" s="2089" t="s">
        <v>159</v>
      </c>
      <c r="C157" s="2117" t="s">
        <v>4567</v>
      </c>
      <c r="D157" s="2117" t="s">
        <v>4568</v>
      </c>
      <c r="E157" s="2118" t="s">
        <v>4569</v>
      </c>
      <c r="F157" s="2119" t="s">
        <v>4570</v>
      </c>
      <c r="G157" s="2120" t="s">
        <v>4571</v>
      </c>
      <c r="H157" s="2121" t="s">
        <v>4572</v>
      </c>
      <c r="I157" s="2117" t="s">
        <v>4573</v>
      </c>
      <c r="J157" s="2117" t="s">
        <v>4574</v>
      </c>
      <c r="K157" s="2118" t="s">
        <v>4575</v>
      </c>
      <c r="L157" s="2119" t="s">
        <v>4576</v>
      </c>
      <c r="M157" s="2120" t="s">
        <v>4577</v>
      </c>
      <c r="N157" s="2117" t="s">
        <v>4578</v>
      </c>
      <c r="O157" s="1864" t="str">
        <f t="shared" si="80"/>
        <v xml:space="preserve">* La variable Total PAP informados en trans masculino no debe ser mayor al Total. </v>
      </c>
      <c r="CB157" s="1865" t="str">
        <f t="shared" si="81"/>
        <v xml:space="preserve">* La variable Total PAP informados en trans masculino no debe ser mayor al Total. </v>
      </c>
      <c r="CV157" s="1867">
        <f t="shared" si="82"/>
        <v>1</v>
      </c>
    </row>
    <row r="158" spans="1:100" x14ac:dyDescent="0.25">
      <c r="A158" s="5605" t="s">
        <v>4536</v>
      </c>
      <c r="B158" s="2089" t="s">
        <v>160</v>
      </c>
      <c r="C158" s="2117" t="s">
        <v>4567</v>
      </c>
      <c r="D158" s="2117" t="s">
        <v>4568</v>
      </c>
      <c r="E158" s="2118" t="s">
        <v>4569</v>
      </c>
      <c r="F158" s="2119" t="s">
        <v>4570</v>
      </c>
      <c r="G158" s="2120" t="s">
        <v>4571</v>
      </c>
      <c r="H158" s="2121" t="s">
        <v>4572</v>
      </c>
      <c r="I158" s="2117" t="s">
        <v>4573</v>
      </c>
      <c r="J158" s="2117" t="s">
        <v>4574</v>
      </c>
      <c r="K158" s="2118" t="s">
        <v>4575</v>
      </c>
      <c r="L158" s="2119" t="s">
        <v>4576</v>
      </c>
      <c r="M158" s="2120" t="s">
        <v>4577</v>
      </c>
      <c r="N158" s="2117" t="s">
        <v>4578</v>
      </c>
      <c r="O158" s="1864" t="str">
        <f t="shared" si="80"/>
        <v xml:space="preserve">* La variable Total PAP informados en trans masculino no debe ser mayor al Total. </v>
      </c>
      <c r="CB158" s="1865" t="str">
        <f t="shared" si="81"/>
        <v xml:space="preserve">* La variable Total PAP informados en trans masculino no debe ser mayor al Total. </v>
      </c>
      <c r="CV158" s="1867">
        <f t="shared" si="82"/>
        <v>1</v>
      </c>
    </row>
    <row r="159" spans="1:100" x14ac:dyDescent="0.25">
      <c r="A159" s="5605" t="s">
        <v>4537</v>
      </c>
      <c r="B159" s="2089" t="s">
        <v>161</v>
      </c>
      <c r="C159" s="2117" t="s">
        <v>4567</v>
      </c>
      <c r="D159" s="2117" t="s">
        <v>4568</v>
      </c>
      <c r="E159" s="2118" t="s">
        <v>4569</v>
      </c>
      <c r="F159" s="2119" t="s">
        <v>4570</v>
      </c>
      <c r="G159" s="2120" t="s">
        <v>4571</v>
      </c>
      <c r="H159" s="2121" t="s">
        <v>4572</v>
      </c>
      <c r="I159" s="2117" t="s">
        <v>4573</v>
      </c>
      <c r="J159" s="2117" t="s">
        <v>4574</v>
      </c>
      <c r="K159" s="2118" t="s">
        <v>4575</v>
      </c>
      <c r="L159" s="2119" t="s">
        <v>4576</v>
      </c>
      <c r="M159" s="2120" t="s">
        <v>4577</v>
      </c>
      <c r="N159" s="2117" t="s">
        <v>4578</v>
      </c>
      <c r="O159" s="1864" t="str">
        <f t="shared" si="80"/>
        <v xml:space="preserve">* La variable Total PAP informados en trans masculino no debe ser mayor al Total. </v>
      </c>
      <c r="CB159" s="1865" t="str">
        <f t="shared" si="81"/>
        <v xml:space="preserve">* La variable Total PAP informados en trans masculino no debe ser mayor al Total. </v>
      </c>
      <c r="CV159" s="1867">
        <f t="shared" si="82"/>
        <v>1</v>
      </c>
    </row>
    <row r="160" spans="1:100" x14ac:dyDescent="0.25">
      <c r="A160" s="5605" t="s">
        <v>4538</v>
      </c>
      <c r="B160" s="2089" t="s">
        <v>162</v>
      </c>
      <c r="C160" s="2117" t="s">
        <v>4567</v>
      </c>
      <c r="D160" s="2117" t="s">
        <v>4568</v>
      </c>
      <c r="E160" s="2118" t="s">
        <v>4569</v>
      </c>
      <c r="F160" s="2119" t="s">
        <v>4570</v>
      </c>
      <c r="G160" s="2120" t="s">
        <v>4571</v>
      </c>
      <c r="H160" s="2121" t="s">
        <v>4572</v>
      </c>
      <c r="I160" s="2117" t="s">
        <v>4573</v>
      </c>
      <c r="J160" s="2117" t="s">
        <v>4574</v>
      </c>
      <c r="K160" s="2118" t="s">
        <v>4575</v>
      </c>
      <c r="L160" s="2119" t="s">
        <v>4576</v>
      </c>
      <c r="M160" s="2120" t="s">
        <v>4577</v>
      </c>
      <c r="N160" s="2117" t="s">
        <v>4578</v>
      </c>
      <c r="O160" s="1864" t="str">
        <f t="shared" si="80"/>
        <v xml:space="preserve">* La variable Total PAP informados en trans masculino no debe ser mayor al Total. </v>
      </c>
      <c r="CB160" s="1865" t="str">
        <f t="shared" si="81"/>
        <v xml:space="preserve">* La variable Total PAP informados en trans masculino no debe ser mayor al Total. </v>
      </c>
      <c r="CV160" s="1867">
        <f t="shared" si="82"/>
        <v>1</v>
      </c>
    </row>
    <row r="161" spans="1:101" x14ac:dyDescent="0.25">
      <c r="A161" s="5605" t="s">
        <v>4539</v>
      </c>
      <c r="B161" s="2089" t="s">
        <v>163</v>
      </c>
      <c r="C161" s="2117" t="s">
        <v>4567</v>
      </c>
      <c r="D161" s="2117" t="s">
        <v>4568</v>
      </c>
      <c r="E161" s="2118" t="s">
        <v>4569</v>
      </c>
      <c r="F161" s="2119" t="s">
        <v>4570</v>
      </c>
      <c r="G161" s="2120" t="s">
        <v>4571</v>
      </c>
      <c r="H161" s="2121" t="s">
        <v>4572</v>
      </c>
      <c r="I161" s="2117" t="s">
        <v>4573</v>
      </c>
      <c r="J161" s="2117" t="s">
        <v>4574</v>
      </c>
      <c r="K161" s="2118" t="s">
        <v>4575</v>
      </c>
      <c r="L161" s="2119" t="s">
        <v>4576</v>
      </c>
      <c r="M161" s="2120" t="s">
        <v>4577</v>
      </c>
      <c r="N161" s="2117" t="s">
        <v>4578</v>
      </c>
      <c r="O161" s="1864" t="str">
        <f t="shared" si="80"/>
        <v xml:space="preserve">* La variable Total PAP informados en trans masculino no debe ser mayor al Total. </v>
      </c>
      <c r="CB161" s="1865" t="str">
        <f t="shared" si="81"/>
        <v xml:space="preserve">* La variable Total PAP informados en trans masculino no debe ser mayor al Total. </v>
      </c>
      <c r="CV161" s="1867">
        <f t="shared" si="82"/>
        <v>1</v>
      </c>
    </row>
    <row r="162" spans="1:101" x14ac:dyDescent="0.25">
      <c r="A162" s="5605" t="s">
        <v>4540</v>
      </c>
      <c r="B162" s="2089" t="s">
        <v>164</v>
      </c>
      <c r="C162" s="2117" t="s">
        <v>4567</v>
      </c>
      <c r="D162" s="2117" t="s">
        <v>4568</v>
      </c>
      <c r="E162" s="2118" t="s">
        <v>4569</v>
      </c>
      <c r="F162" s="2119" t="s">
        <v>4570</v>
      </c>
      <c r="G162" s="2120" t="s">
        <v>4571</v>
      </c>
      <c r="H162" s="2121" t="s">
        <v>4572</v>
      </c>
      <c r="I162" s="2117" t="s">
        <v>4573</v>
      </c>
      <c r="J162" s="2117" t="s">
        <v>4574</v>
      </c>
      <c r="K162" s="2118" t="s">
        <v>4575</v>
      </c>
      <c r="L162" s="2119" t="s">
        <v>4576</v>
      </c>
      <c r="M162" s="2120" t="s">
        <v>4577</v>
      </c>
      <c r="N162" s="2117" t="s">
        <v>4578</v>
      </c>
      <c r="O162" s="1864" t="str">
        <f t="shared" si="80"/>
        <v xml:space="preserve">* La variable Total PAP informados en trans masculino no debe ser mayor al Total. </v>
      </c>
      <c r="CB162" s="1865" t="str">
        <f t="shared" si="81"/>
        <v xml:space="preserve">* La variable Total PAP informados en trans masculino no debe ser mayor al Total. </v>
      </c>
      <c r="CV162" s="1867">
        <f t="shared" si="82"/>
        <v>1</v>
      </c>
    </row>
    <row r="163" spans="1:101" x14ac:dyDescent="0.25">
      <c r="A163" s="5605" t="s">
        <v>4541</v>
      </c>
      <c r="B163" s="2089" t="s">
        <v>165</v>
      </c>
      <c r="C163" s="2117" t="s">
        <v>4567</v>
      </c>
      <c r="D163" s="2117" t="s">
        <v>4568</v>
      </c>
      <c r="E163" s="2118" t="s">
        <v>4569</v>
      </c>
      <c r="F163" s="2119" t="s">
        <v>4570</v>
      </c>
      <c r="G163" s="2120" t="s">
        <v>4571</v>
      </c>
      <c r="H163" s="2121" t="s">
        <v>4572</v>
      </c>
      <c r="I163" s="2117" t="s">
        <v>4573</v>
      </c>
      <c r="J163" s="2117" t="s">
        <v>4574</v>
      </c>
      <c r="K163" s="2118" t="s">
        <v>4575</v>
      </c>
      <c r="L163" s="2119" t="s">
        <v>4576</v>
      </c>
      <c r="M163" s="2120" t="s">
        <v>4577</v>
      </c>
      <c r="N163" s="2117" t="s">
        <v>4578</v>
      </c>
      <c r="O163" s="1864" t="str">
        <f t="shared" si="80"/>
        <v xml:space="preserve">* La variable Total PAP informados en trans masculino no debe ser mayor al Total. </v>
      </c>
      <c r="CB163" s="1865" t="str">
        <f t="shared" si="81"/>
        <v xml:space="preserve">* La variable Total PAP informados en trans masculino no debe ser mayor al Total. </v>
      </c>
      <c r="CV163" s="1867">
        <f t="shared" si="82"/>
        <v>1</v>
      </c>
    </row>
    <row r="164" spans="1:101" x14ac:dyDescent="0.25">
      <c r="A164" s="5605" t="s">
        <v>4542</v>
      </c>
      <c r="B164" s="2089" t="s">
        <v>166</v>
      </c>
      <c r="C164" s="2117" t="s">
        <v>4567</v>
      </c>
      <c r="D164" s="2117" t="s">
        <v>4568</v>
      </c>
      <c r="E164" s="2118" t="s">
        <v>4569</v>
      </c>
      <c r="F164" s="2119" t="s">
        <v>4570</v>
      </c>
      <c r="G164" s="2120" t="s">
        <v>4571</v>
      </c>
      <c r="H164" s="2121" t="s">
        <v>4572</v>
      </c>
      <c r="I164" s="2117" t="s">
        <v>4573</v>
      </c>
      <c r="J164" s="2117" t="s">
        <v>4574</v>
      </c>
      <c r="K164" s="2118" t="s">
        <v>4575</v>
      </c>
      <c r="L164" s="2119" t="s">
        <v>4576</v>
      </c>
      <c r="M164" s="2120" t="s">
        <v>4577</v>
      </c>
      <c r="N164" s="2117" t="s">
        <v>4578</v>
      </c>
      <c r="O164" s="1864" t="str">
        <f t="shared" si="80"/>
        <v xml:space="preserve">* La variable Total PAP informados en trans masculino no debe ser mayor al Total. </v>
      </c>
      <c r="CB164" s="1865" t="str">
        <f t="shared" si="81"/>
        <v xml:space="preserve">* La variable Total PAP informados en trans masculino no debe ser mayor al Total. </v>
      </c>
      <c r="CV164" s="1867">
        <f t="shared" si="82"/>
        <v>1</v>
      </c>
    </row>
    <row r="165" spans="1:101" x14ac:dyDescent="0.25">
      <c r="A165" s="5605" t="s">
        <v>4543</v>
      </c>
      <c r="B165" s="2096" t="s">
        <v>57</v>
      </c>
      <c r="C165" s="2122" t="s">
        <v>4567</v>
      </c>
      <c r="D165" s="2122" t="s">
        <v>4568</v>
      </c>
      <c r="E165" s="2123" t="s">
        <v>4569</v>
      </c>
      <c r="F165" s="2124" t="s">
        <v>4570</v>
      </c>
      <c r="G165" s="2125" t="s">
        <v>4571</v>
      </c>
      <c r="H165" s="2126" t="s">
        <v>4572</v>
      </c>
      <c r="I165" s="2122" t="s">
        <v>4573</v>
      </c>
      <c r="J165" s="2122" t="s">
        <v>4574</v>
      </c>
      <c r="K165" s="2123" t="s">
        <v>4575</v>
      </c>
      <c r="L165" s="2124" t="s">
        <v>4576</v>
      </c>
      <c r="M165" s="2125" t="s">
        <v>4577</v>
      </c>
      <c r="N165" s="2122" t="s">
        <v>4578</v>
      </c>
      <c r="O165" s="1864" t="str">
        <f t="shared" si="80"/>
        <v xml:space="preserve">* La variable Total PAP informados en trans masculino no debe ser mayor al Total. </v>
      </c>
      <c r="CB165" s="1865" t="str">
        <f t="shared" si="81"/>
        <v xml:space="preserve">* La variable Total PAP informados en trans masculino no debe ser mayor al Total. </v>
      </c>
      <c r="CV165" s="1867">
        <f t="shared" si="82"/>
        <v>1</v>
      </c>
    </row>
    <row r="166" spans="1:101" x14ac:dyDescent="0.25">
      <c r="A166" s="5604"/>
      <c r="B166" s="2103" t="s">
        <v>77</v>
      </c>
      <c r="C166" s="2104">
        <f>SUM(C155:C165)</f>
        <v>0</v>
      </c>
      <c r="D166" s="2104">
        <f t="shared" ref="D166:N166" si="83">SUM(D155:D165)</f>
        <v>0</v>
      </c>
      <c r="E166" s="2105">
        <f t="shared" si="83"/>
        <v>0</v>
      </c>
      <c r="F166" s="2107">
        <f t="shared" si="83"/>
        <v>0</v>
      </c>
      <c r="G166" s="2108">
        <f t="shared" si="83"/>
        <v>0</v>
      </c>
      <c r="H166" s="2127">
        <f t="shared" si="83"/>
        <v>0</v>
      </c>
      <c r="I166" s="2128">
        <f t="shared" si="83"/>
        <v>0</v>
      </c>
      <c r="J166" s="2104">
        <f t="shared" si="83"/>
        <v>0</v>
      </c>
      <c r="K166" s="2105">
        <f t="shared" si="83"/>
        <v>0</v>
      </c>
      <c r="L166" s="2107">
        <f t="shared" si="83"/>
        <v>0</v>
      </c>
      <c r="M166" s="2108">
        <f t="shared" si="83"/>
        <v>0</v>
      </c>
      <c r="N166" s="2106">
        <f t="shared" si="83"/>
        <v>0</v>
      </c>
    </row>
    <row r="167" spans="1:101" ht="18" customHeight="1" x14ac:dyDescent="0.25">
      <c r="A167" s="6"/>
      <c r="B167" s="2109" t="s">
        <v>167</v>
      </c>
      <c r="C167" s="2110"/>
      <c r="D167" s="2110"/>
      <c r="E167" s="2110"/>
      <c r="F167" s="2110"/>
      <c r="G167" s="2110"/>
      <c r="H167" s="2110"/>
      <c r="I167" s="2110"/>
      <c r="J167" s="2110"/>
      <c r="K167" s="2110"/>
      <c r="L167" s="2110"/>
      <c r="M167" s="2111"/>
    </row>
    <row r="168" spans="1:101" ht="37.5" customHeight="1" x14ac:dyDescent="0.25">
      <c r="A168" s="6"/>
      <c r="B168" s="5991" t="s">
        <v>184</v>
      </c>
      <c r="C168" s="5991"/>
      <c r="D168" s="5991"/>
      <c r="E168" s="5991"/>
      <c r="F168" s="5991"/>
      <c r="G168" s="5991"/>
      <c r="H168" s="5991"/>
      <c r="I168" s="5991"/>
      <c r="J168" s="2112"/>
      <c r="K168" s="2112"/>
      <c r="L168" s="2112"/>
      <c r="M168" s="2112"/>
      <c r="N168" s="2112"/>
      <c r="O168" s="2112"/>
    </row>
    <row r="169" spans="1:101" ht="15" customHeight="1" x14ac:dyDescent="0.25">
      <c r="A169" s="6"/>
      <c r="B169" s="6008" t="s">
        <v>173</v>
      </c>
      <c r="C169" s="5994" t="s">
        <v>77</v>
      </c>
      <c r="D169" s="5998" t="s">
        <v>185</v>
      </c>
      <c r="E169" s="5998"/>
      <c r="F169" s="5998"/>
      <c r="G169" s="5999"/>
      <c r="H169" s="6000" t="s">
        <v>176</v>
      </c>
      <c r="I169" s="6003" t="s">
        <v>186</v>
      </c>
    </row>
    <row r="170" spans="1:101" ht="15" customHeight="1" x14ac:dyDescent="0.25">
      <c r="A170" s="6"/>
      <c r="B170" s="6009"/>
      <c r="C170" s="5995"/>
      <c r="D170" s="6006" t="s">
        <v>180</v>
      </c>
      <c r="E170" s="5997" t="s">
        <v>146</v>
      </c>
      <c r="F170" s="5998"/>
      <c r="G170" s="5998"/>
      <c r="H170" s="6001"/>
      <c r="I170" s="6004"/>
    </row>
    <row r="171" spans="1:101" x14ac:dyDescent="0.25">
      <c r="A171" s="6"/>
      <c r="B171" s="6009"/>
      <c r="C171" s="5996"/>
      <c r="D171" s="6007"/>
      <c r="E171" s="2080" t="s">
        <v>181</v>
      </c>
      <c r="F171" s="2081" t="s">
        <v>182</v>
      </c>
      <c r="G171" s="2077" t="s">
        <v>183</v>
      </c>
      <c r="H171" s="6002"/>
      <c r="I171" s="6005"/>
    </row>
    <row r="172" spans="1:101" x14ac:dyDescent="0.25">
      <c r="A172" s="5605" t="s">
        <v>4544</v>
      </c>
      <c r="B172" s="2089" t="s">
        <v>157</v>
      </c>
      <c r="C172" s="2117" t="s">
        <v>4567</v>
      </c>
      <c r="D172" s="2117" t="s">
        <v>4568</v>
      </c>
      <c r="E172" s="2118" t="s">
        <v>4569</v>
      </c>
      <c r="F172" s="2119" t="s">
        <v>4570</v>
      </c>
      <c r="G172" s="2120" t="s">
        <v>4571</v>
      </c>
      <c r="H172" s="2121" t="s">
        <v>4572</v>
      </c>
      <c r="I172" s="2117" t="s">
        <v>4573</v>
      </c>
      <c r="J172" s="1864" t="str">
        <f>$CB172&amp;CC172</f>
        <v xml:space="preserve">* La variable Total VPH informados en trans masculino no debe ser mayor al Total. * La variable Total examen VPH autotoma informado no debe ser mayor al Total. </v>
      </c>
      <c r="CB172" s="1865" t="str">
        <f>IF(AND($C172&lt;&gt;0,H172=""),"* No olvide ingresar la variable "&amp;H$169&amp;""&amp;". Digite CERO si no tiene. ",IF(H172&gt;$C172,"* La variable Total VPH informados en trans masculino no debe ser mayor al Total. ",""))</f>
        <v xml:space="preserve">* La variable Total VPH informados en trans masculino no debe ser mayor al Total. </v>
      </c>
      <c r="CC172" s="1865" t="str">
        <f>IF(AND($C172&lt;&gt;0,I172=""),"* No olvide ingresar la variable "&amp;I$169&amp;""&amp;". Digite CERO si no tiene. ",IF(I172&gt;$C172,"* La variable Total examen VPH autotoma informado no debe ser mayor al Total. ",""))</f>
        <v xml:space="preserve">* La variable Total examen VPH autotoma informado no debe ser mayor al Total. </v>
      </c>
      <c r="CV172" s="1867">
        <f>IF(AND($C172&lt;&gt;0,H172=""),1,IF(H172&gt;$C172,1,0))</f>
        <v>1</v>
      </c>
      <c r="CW172" s="1867">
        <f>IF(AND($C172&lt;&gt;0,I172=""),1,IF(I172&gt;$C172,1,0))</f>
        <v>1</v>
      </c>
    </row>
    <row r="173" spans="1:101" x14ac:dyDescent="0.25">
      <c r="A173" s="5605" t="s">
        <v>4545</v>
      </c>
      <c r="B173" s="2089" t="s">
        <v>158</v>
      </c>
      <c r="C173" s="2117" t="s">
        <v>4567</v>
      </c>
      <c r="D173" s="2117" t="s">
        <v>4568</v>
      </c>
      <c r="E173" s="2118" t="s">
        <v>4569</v>
      </c>
      <c r="F173" s="2119" t="s">
        <v>4570</v>
      </c>
      <c r="G173" s="2120" t="s">
        <v>4571</v>
      </c>
      <c r="H173" s="2121" t="s">
        <v>4572</v>
      </c>
      <c r="I173" s="2117" t="s">
        <v>4573</v>
      </c>
      <c r="J173" s="1864" t="str">
        <f t="shared" ref="J173:J182" si="84">$CB173&amp;CC173</f>
        <v xml:space="preserve">* La variable Total VPH informados en trans masculino no debe ser mayor al Total. * La variable Total examen VPH autotoma informado no debe ser mayor al Total. </v>
      </c>
      <c r="CB173" s="1865" t="str">
        <f t="shared" ref="CB173:CB182" si="85">IF(AND($C173&lt;&gt;0,H173=""),"* No olvide ingresar la variable "&amp;H$169&amp;""&amp;". Digite CERO si no tiene. ",IF(H173&gt;$C173,"* La variable Total VPH informados en trans masculino no debe ser mayor al Total. ",""))</f>
        <v xml:space="preserve">* La variable Total VPH informados en trans masculino no debe ser mayor al Total. </v>
      </c>
      <c r="CC173" s="1865" t="str">
        <f t="shared" ref="CC173:CC182" si="86">IF(AND($C173&lt;&gt;0,I173=""),"* No olvide ingresar la variable "&amp;I$169&amp;""&amp;". Digite CERO si no tiene. ",IF(I173&gt;$C173,"* La variable Total examen VPH autotoma informado no debe ser mayor al Total. ",""))</f>
        <v xml:space="preserve">* La variable Total examen VPH autotoma informado no debe ser mayor al Total. </v>
      </c>
      <c r="CV173" s="1867">
        <f t="shared" ref="CV173:CV182" si="87">IF(AND($C173&lt;&gt;0,H173=""),1,IF(H173&gt;$C173,1,0))</f>
        <v>1</v>
      </c>
      <c r="CW173" s="1867">
        <f t="shared" ref="CW173:CW182" si="88">IF(AND($C173&lt;&gt;0,I173=""),1,IF(I173&gt;$C173,1,0))</f>
        <v>1</v>
      </c>
    </row>
    <row r="174" spans="1:101" x14ac:dyDescent="0.25">
      <c r="A174" s="5605" t="s">
        <v>4546</v>
      </c>
      <c r="B174" s="2089" t="s">
        <v>159</v>
      </c>
      <c r="C174" s="2117" t="s">
        <v>4567</v>
      </c>
      <c r="D174" s="2117" t="s">
        <v>4568</v>
      </c>
      <c r="E174" s="2118" t="s">
        <v>4569</v>
      </c>
      <c r="F174" s="2119" t="s">
        <v>4570</v>
      </c>
      <c r="G174" s="2120" t="s">
        <v>4571</v>
      </c>
      <c r="H174" s="2121" t="s">
        <v>4572</v>
      </c>
      <c r="I174" s="2117" t="s">
        <v>4573</v>
      </c>
      <c r="J174" s="1864" t="str">
        <f t="shared" si="84"/>
        <v xml:space="preserve">* La variable Total VPH informados en trans masculino no debe ser mayor al Total. * La variable Total examen VPH autotoma informado no debe ser mayor al Total. </v>
      </c>
      <c r="CB174" s="1865" t="str">
        <f t="shared" si="85"/>
        <v xml:space="preserve">* La variable Total VPH informados en trans masculino no debe ser mayor al Total. </v>
      </c>
      <c r="CC174" s="1865" t="str">
        <f t="shared" si="86"/>
        <v xml:space="preserve">* La variable Total examen VPH autotoma informado no debe ser mayor al Total. </v>
      </c>
      <c r="CV174" s="1867">
        <f t="shared" si="87"/>
        <v>1</v>
      </c>
      <c r="CW174" s="1867">
        <f t="shared" si="88"/>
        <v>1</v>
      </c>
    </row>
    <row r="175" spans="1:101" x14ac:dyDescent="0.25">
      <c r="A175" s="5605" t="s">
        <v>4547</v>
      </c>
      <c r="B175" s="2089" t="s">
        <v>160</v>
      </c>
      <c r="C175" s="2117" t="s">
        <v>4567</v>
      </c>
      <c r="D175" s="2117" t="s">
        <v>4568</v>
      </c>
      <c r="E175" s="2118" t="s">
        <v>4569</v>
      </c>
      <c r="F175" s="2119" t="s">
        <v>4570</v>
      </c>
      <c r="G175" s="2120" t="s">
        <v>4571</v>
      </c>
      <c r="H175" s="2121" t="s">
        <v>4572</v>
      </c>
      <c r="I175" s="2117" t="s">
        <v>4573</v>
      </c>
      <c r="J175" s="1864" t="str">
        <f t="shared" si="84"/>
        <v xml:space="preserve">* La variable Total VPH informados en trans masculino no debe ser mayor al Total. * La variable Total examen VPH autotoma informado no debe ser mayor al Total. </v>
      </c>
      <c r="CB175" s="1865" t="str">
        <f t="shared" si="85"/>
        <v xml:space="preserve">* La variable Total VPH informados en trans masculino no debe ser mayor al Total. </v>
      </c>
      <c r="CC175" s="1865" t="str">
        <f t="shared" si="86"/>
        <v xml:space="preserve">* La variable Total examen VPH autotoma informado no debe ser mayor al Total. </v>
      </c>
      <c r="CV175" s="1867">
        <f t="shared" si="87"/>
        <v>1</v>
      </c>
      <c r="CW175" s="1867">
        <f t="shared" si="88"/>
        <v>1</v>
      </c>
    </row>
    <row r="176" spans="1:101" x14ac:dyDescent="0.25">
      <c r="A176" s="5605" t="s">
        <v>4548</v>
      </c>
      <c r="B176" s="2089" t="s">
        <v>161</v>
      </c>
      <c r="C176" s="2117" t="s">
        <v>4567</v>
      </c>
      <c r="D176" s="2117" t="s">
        <v>4568</v>
      </c>
      <c r="E176" s="2118" t="s">
        <v>4569</v>
      </c>
      <c r="F176" s="2119" t="s">
        <v>4570</v>
      </c>
      <c r="G176" s="2120" t="s">
        <v>4571</v>
      </c>
      <c r="H176" s="2121" t="s">
        <v>4572</v>
      </c>
      <c r="I176" s="2117" t="s">
        <v>4573</v>
      </c>
      <c r="J176" s="1864" t="str">
        <f t="shared" si="84"/>
        <v xml:space="preserve">* La variable Total VPH informados en trans masculino no debe ser mayor al Total. * La variable Total examen VPH autotoma informado no debe ser mayor al Total. </v>
      </c>
      <c r="CB176" s="1865" t="str">
        <f t="shared" si="85"/>
        <v xml:space="preserve">* La variable Total VPH informados en trans masculino no debe ser mayor al Total. </v>
      </c>
      <c r="CC176" s="1865" t="str">
        <f t="shared" si="86"/>
        <v xml:space="preserve">* La variable Total examen VPH autotoma informado no debe ser mayor al Total. </v>
      </c>
      <c r="CV176" s="1867">
        <f t="shared" si="87"/>
        <v>1</v>
      </c>
      <c r="CW176" s="1867">
        <f t="shared" si="88"/>
        <v>1</v>
      </c>
    </row>
    <row r="177" spans="1:101" x14ac:dyDescent="0.25">
      <c r="A177" s="5605" t="s">
        <v>4549</v>
      </c>
      <c r="B177" s="2089" t="s">
        <v>162</v>
      </c>
      <c r="C177" s="2117" t="s">
        <v>4567</v>
      </c>
      <c r="D177" s="2117" t="s">
        <v>4568</v>
      </c>
      <c r="E177" s="2118" t="s">
        <v>4569</v>
      </c>
      <c r="F177" s="2119" t="s">
        <v>4570</v>
      </c>
      <c r="G177" s="2120" t="s">
        <v>4571</v>
      </c>
      <c r="H177" s="2121" t="s">
        <v>4572</v>
      </c>
      <c r="I177" s="2117" t="s">
        <v>4573</v>
      </c>
      <c r="J177" s="1864" t="str">
        <f t="shared" si="84"/>
        <v xml:space="preserve">* La variable Total VPH informados en trans masculino no debe ser mayor al Total. * La variable Total examen VPH autotoma informado no debe ser mayor al Total. </v>
      </c>
      <c r="CB177" s="1865" t="str">
        <f t="shared" si="85"/>
        <v xml:space="preserve">* La variable Total VPH informados en trans masculino no debe ser mayor al Total. </v>
      </c>
      <c r="CC177" s="1865" t="str">
        <f t="shared" si="86"/>
        <v xml:space="preserve">* La variable Total examen VPH autotoma informado no debe ser mayor al Total. </v>
      </c>
      <c r="CV177" s="1867">
        <f t="shared" si="87"/>
        <v>1</v>
      </c>
      <c r="CW177" s="1867">
        <f t="shared" si="88"/>
        <v>1</v>
      </c>
    </row>
    <row r="178" spans="1:101" x14ac:dyDescent="0.25">
      <c r="A178" s="5605" t="s">
        <v>4550</v>
      </c>
      <c r="B178" s="2089" t="s">
        <v>163</v>
      </c>
      <c r="C178" s="2117" t="s">
        <v>4567</v>
      </c>
      <c r="D178" s="2117" t="s">
        <v>4568</v>
      </c>
      <c r="E178" s="2118" t="s">
        <v>4569</v>
      </c>
      <c r="F178" s="2119" t="s">
        <v>4570</v>
      </c>
      <c r="G178" s="2120" t="s">
        <v>4571</v>
      </c>
      <c r="H178" s="2121" t="s">
        <v>4572</v>
      </c>
      <c r="I178" s="2117" t="s">
        <v>4573</v>
      </c>
      <c r="J178" s="1864" t="str">
        <f t="shared" si="84"/>
        <v xml:space="preserve">* La variable Total VPH informados en trans masculino no debe ser mayor al Total. * La variable Total examen VPH autotoma informado no debe ser mayor al Total. </v>
      </c>
      <c r="CB178" s="1865" t="str">
        <f t="shared" si="85"/>
        <v xml:space="preserve">* La variable Total VPH informados en trans masculino no debe ser mayor al Total. </v>
      </c>
      <c r="CC178" s="1865" t="str">
        <f t="shared" si="86"/>
        <v xml:space="preserve">* La variable Total examen VPH autotoma informado no debe ser mayor al Total. </v>
      </c>
      <c r="CV178" s="1867">
        <f t="shared" si="87"/>
        <v>1</v>
      </c>
      <c r="CW178" s="1867">
        <f t="shared" si="88"/>
        <v>1</v>
      </c>
    </row>
    <row r="179" spans="1:101" x14ac:dyDescent="0.25">
      <c r="A179" s="5605" t="s">
        <v>4551</v>
      </c>
      <c r="B179" s="2089" t="s">
        <v>164</v>
      </c>
      <c r="C179" s="2117" t="s">
        <v>4567</v>
      </c>
      <c r="D179" s="2117" t="s">
        <v>4568</v>
      </c>
      <c r="E179" s="2118" t="s">
        <v>4569</v>
      </c>
      <c r="F179" s="2119" t="s">
        <v>4570</v>
      </c>
      <c r="G179" s="2120" t="s">
        <v>4571</v>
      </c>
      <c r="H179" s="2121" t="s">
        <v>4572</v>
      </c>
      <c r="I179" s="2117" t="s">
        <v>4573</v>
      </c>
      <c r="J179" s="1864" t="str">
        <f t="shared" si="84"/>
        <v xml:space="preserve">* La variable Total VPH informados en trans masculino no debe ser mayor al Total. * La variable Total examen VPH autotoma informado no debe ser mayor al Total. </v>
      </c>
      <c r="CB179" s="1865" t="str">
        <f t="shared" si="85"/>
        <v xml:space="preserve">* La variable Total VPH informados en trans masculino no debe ser mayor al Total. </v>
      </c>
      <c r="CC179" s="1865" t="str">
        <f t="shared" si="86"/>
        <v xml:space="preserve">* La variable Total examen VPH autotoma informado no debe ser mayor al Total. </v>
      </c>
      <c r="CV179" s="1867">
        <f t="shared" si="87"/>
        <v>1</v>
      </c>
      <c r="CW179" s="1867">
        <f t="shared" si="88"/>
        <v>1</v>
      </c>
    </row>
    <row r="180" spans="1:101" x14ac:dyDescent="0.25">
      <c r="A180" s="5605" t="s">
        <v>4552</v>
      </c>
      <c r="B180" s="2089" t="s">
        <v>165</v>
      </c>
      <c r="C180" s="2117" t="s">
        <v>4567</v>
      </c>
      <c r="D180" s="2117" t="s">
        <v>4568</v>
      </c>
      <c r="E180" s="2118" t="s">
        <v>4569</v>
      </c>
      <c r="F180" s="2119" t="s">
        <v>4570</v>
      </c>
      <c r="G180" s="2120" t="s">
        <v>4571</v>
      </c>
      <c r="H180" s="2121" t="s">
        <v>4572</v>
      </c>
      <c r="I180" s="2117" t="s">
        <v>4573</v>
      </c>
      <c r="J180" s="1864" t="str">
        <f t="shared" si="84"/>
        <v xml:space="preserve">* La variable Total VPH informados en trans masculino no debe ser mayor al Total. * La variable Total examen VPH autotoma informado no debe ser mayor al Total. </v>
      </c>
      <c r="CB180" s="1865" t="str">
        <f t="shared" si="85"/>
        <v xml:space="preserve">* La variable Total VPH informados en trans masculino no debe ser mayor al Total. </v>
      </c>
      <c r="CC180" s="1865" t="str">
        <f t="shared" si="86"/>
        <v xml:space="preserve">* La variable Total examen VPH autotoma informado no debe ser mayor al Total. </v>
      </c>
      <c r="CV180" s="1867">
        <f t="shared" si="87"/>
        <v>1</v>
      </c>
      <c r="CW180" s="1867">
        <f t="shared" si="88"/>
        <v>1</v>
      </c>
    </row>
    <row r="181" spans="1:101" x14ac:dyDescent="0.25">
      <c r="A181" s="5605" t="s">
        <v>4553</v>
      </c>
      <c r="B181" s="2089" t="s">
        <v>166</v>
      </c>
      <c r="C181" s="2117" t="s">
        <v>4567</v>
      </c>
      <c r="D181" s="2117" t="s">
        <v>4568</v>
      </c>
      <c r="E181" s="2118" t="s">
        <v>4569</v>
      </c>
      <c r="F181" s="2119" t="s">
        <v>4570</v>
      </c>
      <c r="G181" s="2120" t="s">
        <v>4571</v>
      </c>
      <c r="H181" s="2121" t="s">
        <v>4572</v>
      </c>
      <c r="I181" s="2117" t="s">
        <v>4573</v>
      </c>
      <c r="J181" s="1864" t="str">
        <f t="shared" si="84"/>
        <v xml:space="preserve">* La variable Total VPH informados en trans masculino no debe ser mayor al Total. * La variable Total examen VPH autotoma informado no debe ser mayor al Total. </v>
      </c>
      <c r="CB181" s="1865" t="str">
        <f t="shared" si="85"/>
        <v xml:space="preserve">* La variable Total VPH informados en trans masculino no debe ser mayor al Total. </v>
      </c>
      <c r="CC181" s="1865" t="str">
        <f t="shared" si="86"/>
        <v xml:space="preserve">* La variable Total examen VPH autotoma informado no debe ser mayor al Total. </v>
      </c>
      <c r="CV181" s="1867">
        <f t="shared" si="87"/>
        <v>1</v>
      </c>
      <c r="CW181" s="1867">
        <f t="shared" si="88"/>
        <v>1</v>
      </c>
    </row>
    <row r="182" spans="1:101" x14ac:dyDescent="0.25">
      <c r="A182" s="5605" t="s">
        <v>4554</v>
      </c>
      <c r="B182" s="2096" t="s">
        <v>57</v>
      </c>
      <c r="C182" s="2122" t="s">
        <v>4567</v>
      </c>
      <c r="D182" s="2122" t="s">
        <v>4568</v>
      </c>
      <c r="E182" s="2123" t="s">
        <v>4569</v>
      </c>
      <c r="F182" s="2124" t="s">
        <v>4570</v>
      </c>
      <c r="G182" s="2125" t="s">
        <v>4571</v>
      </c>
      <c r="H182" s="2126" t="s">
        <v>4572</v>
      </c>
      <c r="I182" s="2122" t="s">
        <v>4573</v>
      </c>
      <c r="J182" s="1864" t="str">
        <f t="shared" si="84"/>
        <v xml:space="preserve">* La variable Total VPH informados en trans masculino no debe ser mayor al Total. * La variable Total examen VPH autotoma informado no debe ser mayor al Total. </v>
      </c>
      <c r="CB182" s="1865" t="str">
        <f t="shared" si="85"/>
        <v xml:space="preserve">* La variable Total VPH informados en trans masculino no debe ser mayor al Total. </v>
      </c>
      <c r="CC182" s="1865" t="str">
        <f t="shared" si="86"/>
        <v xml:space="preserve">* La variable Total examen VPH autotoma informado no debe ser mayor al Total. </v>
      </c>
      <c r="CV182" s="1867">
        <f t="shared" si="87"/>
        <v>1</v>
      </c>
      <c r="CW182" s="1867">
        <f t="shared" si="88"/>
        <v>1</v>
      </c>
    </row>
    <row r="183" spans="1:101" x14ac:dyDescent="0.25">
      <c r="A183" s="5604"/>
      <c r="B183" s="2103" t="s">
        <v>77</v>
      </c>
      <c r="C183" s="2104">
        <f>SUM(C172:C182)</f>
        <v>0</v>
      </c>
      <c r="D183" s="2104">
        <f t="shared" ref="D183:I183" si="89">SUM(D172:D182)</f>
        <v>0</v>
      </c>
      <c r="E183" s="2105">
        <f t="shared" si="89"/>
        <v>0</v>
      </c>
      <c r="F183" s="2107">
        <f t="shared" si="89"/>
        <v>0</v>
      </c>
      <c r="G183" s="2108">
        <f t="shared" si="89"/>
        <v>0</v>
      </c>
      <c r="H183" s="2127">
        <f t="shared" si="89"/>
        <v>0</v>
      </c>
      <c r="I183" s="2106">
        <f t="shared" si="89"/>
        <v>0</v>
      </c>
    </row>
    <row r="184" spans="1:101" ht="18" customHeight="1" x14ac:dyDescent="0.25">
      <c r="A184" s="6"/>
      <c r="B184" s="19" t="s">
        <v>187</v>
      </c>
    </row>
    <row r="185" spans="1:101" ht="33" customHeight="1" x14ac:dyDescent="0.25">
      <c r="A185" s="6"/>
      <c r="B185" s="5991" t="s">
        <v>188</v>
      </c>
      <c r="C185" s="5991"/>
      <c r="D185" s="5991"/>
      <c r="E185" s="5991"/>
      <c r="F185" s="5991"/>
      <c r="G185" s="5991"/>
      <c r="H185" s="5991"/>
      <c r="I185" s="5991"/>
      <c r="J185" s="2112"/>
      <c r="K185" s="2112"/>
      <c r="L185" s="2112"/>
      <c r="M185" s="2112"/>
      <c r="N185" s="2112"/>
    </row>
    <row r="186" spans="1:101" ht="15" customHeight="1" x14ac:dyDescent="0.25">
      <c r="A186" s="6"/>
      <c r="B186" s="5992" t="s">
        <v>173</v>
      </c>
      <c r="C186" s="5994" t="s">
        <v>77</v>
      </c>
      <c r="D186" s="5997" t="s">
        <v>185</v>
      </c>
      <c r="E186" s="5998"/>
      <c r="F186" s="5998"/>
      <c r="G186" s="5999"/>
      <c r="H186" s="6000" t="s">
        <v>176</v>
      </c>
      <c r="I186" s="6003" t="s">
        <v>186</v>
      </c>
      <c r="L186" s="2111"/>
    </row>
    <row r="187" spans="1:101" ht="15" customHeight="1" x14ac:dyDescent="0.25">
      <c r="A187" s="6"/>
      <c r="B187" s="5993"/>
      <c r="C187" s="5995"/>
      <c r="D187" s="6006" t="s">
        <v>180</v>
      </c>
      <c r="E187" s="5997" t="s">
        <v>146</v>
      </c>
      <c r="F187" s="5998"/>
      <c r="G187" s="5998"/>
      <c r="H187" s="6001"/>
      <c r="I187" s="6004"/>
      <c r="L187" s="2111"/>
    </row>
    <row r="188" spans="1:101" x14ac:dyDescent="0.25">
      <c r="A188" s="6"/>
      <c r="B188" s="5993"/>
      <c r="C188" s="5996"/>
      <c r="D188" s="6007"/>
      <c r="E188" s="2080" t="s">
        <v>181</v>
      </c>
      <c r="F188" s="2081" t="s">
        <v>182</v>
      </c>
      <c r="G188" s="2116" t="s">
        <v>189</v>
      </c>
      <c r="H188" s="6002"/>
      <c r="I188" s="6005"/>
      <c r="L188" s="2111"/>
    </row>
    <row r="189" spans="1:101" x14ac:dyDescent="0.25">
      <c r="A189" s="5605" t="s">
        <v>4555</v>
      </c>
      <c r="B189" s="2089" t="s">
        <v>157</v>
      </c>
      <c r="C189" s="2117" t="s">
        <v>4567</v>
      </c>
      <c r="D189" s="2117" t="s">
        <v>4568</v>
      </c>
      <c r="E189" s="2118" t="s">
        <v>4569</v>
      </c>
      <c r="F189" s="2119" t="s">
        <v>4570</v>
      </c>
      <c r="G189" s="2120" t="s">
        <v>4571</v>
      </c>
      <c r="H189" s="2121" t="s">
        <v>4572</v>
      </c>
      <c r="I189" s="2117" t="s">
        <v>4573</v>
      </c>
      <c r="J189" s="1864" t="str">
        <f>$CB189&amp;CC189</f>
        <v xml:space="preserve">* La variable Total VPH informados en trans masculino no debe ser mayor al Total. * La variable Total examen VPH autotoma informado no debe ser mayor al Total. </v>
      </c>
      <c r="L189" s="2111"/>
      <c r="CB189" s="1865" t="str">
        <f>IF(AND($C189&lt;&gt;0,H189=""),"* No olvide ingresar la variable "&amp;H$186&amp;""&amp;". Digite CERO si no tiene. ",IF(H189&gt;$C189,"* La variable Total VPH informados en trans masculino no debe ser mayor al Total. ",""))</f>
        <v xml:space="preserve">* La variable Total VPH informados en trans masculino no debe ser mayor al Total. </v>
      </c>
      <c r="CC189" s="1865" t="str">
        <f>IF(AND($C189&lt;&gt;0,I189=""),"* No olvide ingresar la variable "&amp;I$186&amp;""&amp;". Digite CERO si no tiene. ",IF(I189&gt;$C189,"* La variable Total examen VPH autotoma informado no debe ser mayor al Total. ",""))</f>
        <v xml:space="preserve">* La variable Total examen VPH autotoma informado no debe ser mayor al Total. </v>
      </c>
      <c r="CV189" s="1867">
        <f>IF(AND($C189&lt;&gt;0,H189=""),1,IF(H189&gt;$C189,1,0))</f>
        <v>1</v>
      </c>
      <c r="CW189" s="1867">
        <f>IF(AND($C189&lt;&gt;0,I189=""),1,IF(I189&gt;$C189,1,0))</f>
        <v>1</v>
      </c>
    </row>
    <row r="190" spans="1:101" x14ac:dyDescent="0.25">
      <c r="A190" s="5605" t="s">
        <v>4556</v>
      </c>
      <c r="B190" s="2089" t="s">
        <v>158</v>
      </c>
      <c r="C190" s="2117" t="s">
        <v>4567</v>
      </c>
      <c r="D190" s="2117" t="s">
        <v>4568</v>
      </c>
      <c r="E190" s="2118" t="s">
        <v>4569</v>
      </c>
      <c r="F190" s="2119" t="s">
        <v>4570</v>
      </c>
      <c r="G190" s="2120" t="s">
        <v>4571</v>
      </c>
      <c r="H190" s="2121" t="s">
        <v>4572</v>
      </c>
      <c r="I190" s="2117" t="s">
        <v>4573</v>
      </c>
      <c r="J190" s="1864" t="str">
        <f t="shared" ref="J190:J198" si="90">$CB190&amp;CC190</f>
        <v xml:space="preserve">* La variable Total VPH informados en trans masculino no debe ser mayor al Total. * La variable Total examen VPH autotoma informado no debe ser mayor al Total. </v>
      </c>
      <c r="L190" s="2111"/>
      <c r="CB190" s="1865" t="str">
        <f t="shared" ref="CB190:CB199" si="91">IF(AND($C190&lt;&gt;0,H190=""),"* No olvide ingresar la variable "&amp;H$186&amp;""&amp;". Digite CERO si no tiene. ",IF(H190&gt;$C190,"* La variable Total VPH informados en trans masculino no debe ser mayor al Total. ",""))</f>
        <v xml:space="preserve">* La variable Total VPH informados en trans masculino no debe ser mayor al Total. </v>
      </c>
      <c r="CC190" s="1865" t="str">
        <f t="shared" ref="CC190:CC199" si="92">IF(AND($C190&lt;&gt;0,I190=""),"* No olvide ingresar la variable "&amp;I$186&amp;""&amp;". Digite CERO si no tiene. ",IF(I190&gt;$C190,"* La variable Total examen VPH autotoma informado no debe ser mayor al Total. ",""))</f>
        <v xml:space="preserve">* La variable Total examen VPH autotoma informado no debe ser mayor al Total. </v>
      </c>
      <c r="CV190" s="1867">
        <f t="shared" ref="CV190:CV199" si="93">IF(AND($C190&lt;&gt;0,H190=""),1,IF(H190&gt;$C190,1,0))</f>
        <v>1</v>
      </c>
      <c r="CW190" s="1867">
        <f t="shared" ref="CW190:CW199" si="94">IF(AND($C190&lt;&gt;0,I190=""),1,IF(I190&gt;$C190,1,0))</f>
        <v>1</v>
      </c>
    </row>
    <row r="191" spans="1:101" x14ac:dyDescent="0.25">
      <c r="A191" s="5605" t="s">
        <v>4557</v>
      </c>
      <c r="B191" s="2089" t="s">
        <v>159</v>
      </c>
      <c r="C191" s="2117" t="s">
        <v>4567</v>
      </c>
      <c r="D191" s="2117" t="s">
        <v>4568</v>
      </c>
      <c r="E191" s="2118" t="s">
        <v>4569</v>
      </c>
      <c r="F191" s="2119" t="s">
        <v>4570</v>
      </c>
      <c r="G191" s="2120" t="s">
        <v>4571</v>
      </c>
      <c r="H191" s="2121" t="s">
        <v>4572</v>
      </c>
      <c r="I191" s="2117" t="s">
        <v>4573</v>
      </c>
      <c r="J191" s="1864" t="str">
        <f t="shared" si="90"/>
        <v xml:space="preserve">* La variable Total VPH informados en trans masculino no debe ser mayor al Total. * La variable Total examen VPH autotoma informado no debe ser mayor al Total. </v>
      </c>
      <c r="L191" s="2111"/>
      <c r="CB191" s="1865" t="str">
        <f t="shared" si="91"/>
        <v xml:space="preserve">* La variable Total VPH informados en trans masculino no debe ser mayor al Total. </v>
      </c>
      <c r="CC191" s="1865" t="str">
        <f t="shared" si="92"/>
        <v xml:space="preserve">* La variable Total examen VPH autotoma informado no debe ser mayor al Total. </v>
      </c>
      <c r="CV191" s="1867">
        <f t="shared" si="93"/>
        <v>1</v>
      </c>
      <c r="CW191" s="1867">
        <f t="shared" si="94"/>
        <v>1</v>
      </c>
    </row>
    <row r="192" spans="1:101" x14ac:dyDescent="0.25">
      <c r="A192" s="5605" t="s">
        <v>4558</v>
      </c>
      <c r="B192" s="2089" t="s">
        <v>160</v>
      </c>
      <c r="C192" s="2117" t="s">
        <v>4567</v>
      </c>
      <c r="D192" s="2117" t="s">
        <v>4568</v>
      </c>
      <c r="E192" s="2118" t="s">
        <v>4569</v>
      </c>
      <c r="F192" s="2119" t="s">
        <v>4570</v>
      </c>
      <c r="G192" s="2120" t="s">
        <v>4571</v>
      </c>
      <c r="H192" s="2121" t="s">
        <v>4572</v>
      </c>
      <c r="I192" s="2117" t="s">
        <v>4573</v>
      </c>
      <c r="J192" s="1864" t="str">
        <f t="shared" si="90"/>
        <v xml:space="preserve">* La variable Total VPH informados en trans masculino no debe ser mayor al Total. * La variable Total examen VPH autotoma informado no debe ser mayor al Total. </v>
      </c>
      <c r="L192" s="2111"/>
      <c r="CB192" s="1865" t="str">
        <f t="shared" si="91"/>
        <v xml:space="preserve">* La variable Total VPH informados en trans masculino no debe ser mayor al Total. </v>
      </c>
      <c r="CC192" s="1865" t="str">
        <f t="shared" si="92"/>
        <v xml:space="preserve">* La variable Total examen VPH autotoma informado no debe ser mayor al Total. </v>
      </c>
      <c r="CV192" s="1867">
        <f t="shared" si="93"/>
        <v>1</v>
      </c>
      <c r="CW192" s="1867">
        <f t="shared" si="94"/>
        <v>1</v>
      </c>
    </row>
    <row r="193" spans="1:101" x14ac:dyDescent="0.25">
      <c r="A193" s="5605" t="s">
        <v>4559</v>
      </c>
      <c r="B193" s="2089" t="s">
        <v>161</v>
      </c>
      <c r="C193" s="2117" t="s">
        <v>4567</v>
      </c>
      <c r="D193" s="2117" t="s">
        <v>4568</v>
      </c>
      <c r="E193" s="2118" t="s">
        <v>4569</v>
      </c>
      <c r="F193" s="2119" t="s">
        <v>4570</v>
      </c>
      <c r="G193" s="2120" t="s">
        <v>4571</v>
      </c>
      <c r="H193" s="2121" t="s">
        <v>4572</v>
      </c>
      <c r="I193" s="2117" t="s">
        <v>4573</v>
      </c>
      <c r="J193" s="1864" t="str">
        <f t="shared" si="90"/>
        <v xml:space="preserve">* La variable Total VPH informados en trans masculino no debe ser mayor al Total. * La variable Total examen VPH autotoma informado no debe ser mayor al Total. </v>
      </c>
      <c r="L193" s="2111"/>
      <c r="CB193" s="1865" t="str">
        <f t="shared" si="91"/>
        <v xml:space="preserve">* La variable Total VPH informados en trans masculino no debe ser mayor al Total. </v>
      </c>
      <c r="CC193" s="1865" t="str">
        <f t="shared" si="92"/>
        <v xml:space="preserve">* La variable Total examen VPH autotoma informado no debe ser mayor al Total. </v>
      </c>
      <c r="CV193" s="1867">
        <f t="shared" si="93"/>
        <v>1</v>
      </c>
      <c r="CW193" s="1867">
        <f t="shared" si="94"/>
        <v>1</v>
      </c>
    </row>
    <row r="194" spans="1:101" x14ac:dyDescent="0.25">
      <c r="A194" s="5605" t="s">
        <v>4560</v>
      </c>
      <c r="B194" s="2089" t="s">
        <v>162</v>
      </c>
      <c r="C194" s="2117" t="s">
        <v>4567</v>
      </c>
      <c r="D194" s="2117" t="s">
        <v>4568</v>
      </c>
      <c r="E194" s="2118" t="s">
        <v>4569</v>
      </c>
      <c r="F194" s="2119" t="s">
        <v>4570</v>
      </c>
      <c r="G194" s="2120" t="s">
        <v>4571</v>
      </c>
      <c r="H194" s="2121" t="s">
        <v>4572</v>
      </c>
      <c r="I194" s="2117" t="s">
        <v>4573</v>
      </c>
      <c r="J194" s="1864" t="str">
        <f t="shared" si="90"/>
        <v xml:space="preserve">* La variable Total VPH informados en trans masculino no debe ser mayor al Total. * La variable Total examen VPH autotoma informado no debe ser mayor al Total. </v>
      </c>
      <c r="L194" s="2111"/>
      <c r="CB194" s="1865" t="str">
        <f t="shared" si="91"/>
        <v xml:space="preserve">* La variable Total VPH informados en trans masculino no debe ser mayor al Total. </v>
      </c>
      <c r="CC194" s="1865" t="str">
        <f t="shared" si="92"/>
        <v xml:space="preserve">* La variable Total examen VPH autotoma informado no debe ser mayor al Total. </v>
      </c>
      <c r="CV194" s="1867">
        <f t="shared" si="93"/>
        <v>1</v>
      </c>
      <c r="CW194" s="1867">
        <f t="shared" si="94"/>
        <v>1</v>
      </c>
    </row>
    <row r="195" spans="1:101" x14ac:dyDescent="0.25">
      <c r="A195" s="5605" t="s">
        <v>4561</v>
      </c>
      <c r="B195" s="2089" t="s">
        <v>163</v>
      </c>
      <c r="C195" s="2117" t="s">
        <v>4567</v>
      </c>
      <c r="D195" s="2117" t="s">
        <v>4568</v>
      </c>
      <c r="E195" s="2118" t="s">
        <v>4569</v>
      </c>
      <c r="F195" s="2119" t="s">
        <v>4570</v>
      </c>
      <c r="G195" s="2120" t="s">
        <v>4571</v>
      </c>
      <c r="H195" s="2121" t="s">
        <v>4572</v>
      </c>
      <c r="I195" s="2117" t="s">
        <v>4573</v>
      </c>
      <c r="J195" s="1864" t="str">
        <f t="shared" si="90"/>
        <v xml:space="preserve">* La variable Total VPH informados en trans masculino no debe ser mayor al Total. * La variable Total examen VPH autotoma informado no debe ser mayor al Total. </v>
      </c>
      <c r="L195" s="2111"/>
      <c r="CB195" s="1865" t="str">
        <f t="shared" si="91"/>
        <v xml:space="preserve">* La variable Total VPH informados en trans masculino no debe ser mayor al Total. </v>
      </c>
      <c r="CC195" s="1865" t="str">
        <f t="shared" si="92"/>
        <v xml:space="preserve">* La variable Total examen VPH autotoma informado no debe ser mayor al Total. </v>
      </c>
      <c r="CV195" s="1867">
        <f t="shared" si="93"/>
        <v>1</v>
      </c>
      <c r="CW195" s="1867">
        <f t="shared" si="94"/>
        <v>1</v>
      </c>
    </row>
    <row r="196" spans="1:101" x14ac:dyDescent="0.25">
      <c r="A196" s="5605" t="s">
        <v>4562</v>
      </c>
      <c r="B196" s="2089" t="s">
        <v>164</v>
      </c>
      <c r="C196" s="2117" t="s">
        <v>4567</v>
      </c>
      <c r="D196" s="2117" t="s">
        <v>4568</v>
      </c>
      <c r="E196" s="2118" t="s">
        <v>4569</v>
      </c>
      <c r="F196" s="2119" t="s">
        <v>4570</v>
      </c>
      <c r="G196" s="2120" t="s">
        <v>4571</v>
      </c>
      <c r="H196" s="2121" t="s">
        <v>4572</v>
      </c>
      <c r="I196" s="2117" t="s">
        <v>4573</v>
      </c>
      <c r="J196" s="1864" t="str">
        <f t="shared" si="90"/>
        <v xml:space="preserve">* La variable Total VPH informados en trans masculino no debe ser mayor al Total. * La variable Total examen VPH autotoma informado no debe ser mayor al Total. </v>
      </c>
      <c r="L196" s="2111"/>
      <c r="CB196" s="1865" t="str">
        <f t="shared" si="91"/>
        <v xml:space="preserve">* La variable Total VPH informados en trans masculino no debe ser mayor al Total. </v>
      </c>
      <c r="CC196" s="1865" t="str">
        <f t="shared" si="92"/>
        <v xml:space="preserve">* La variable Total examen VPH autotoma informado no debe ser mayor al Total. </v>
      </c>
      <c r="CV196" s="1867">
        <f t="shared" si="93"/>
        <v>1</v>
      </c>
      <c r="CW196" s="1867">
        <f t="shared" si="94"/>
        <v>1</v>
      </c>
    </row>
    <row r="197" spans="1:101" x14ac:dyDescent="0.25">
      <c r="A197" s="5605" t="s">
        <v>4563</v>
      </c>
      <c r="B197" s="2089" t="s">
        <v>165</v>
      </c>
      <c r="C197" s="2117" t="s">
        <v>4567</v>
      </c>
      <c r="D197" s="2117" t="s">
        <v>4568</v>
      </c>
      <c r="E197" s="2118" t="s">
        <v>4569</v>
      </c>
      <c r="F197" s="2119" t="s">
        <v>4570</v>
      </c>
      <c r="G197" s="2120" t="s">
        <v>4571</v>
      </c>
      <c r="H197" s="2121" t="s">
        <v>4572</v>
      </c>
      <c r="I197" s="2117" t="s">
        <v>4573</v>
      </c>
      <c r="J197" s="1864" t="str">
        <f t="shared" si="90"/>
        <v xml:space="preserve">* La variable Total VPH informados en trans masculino no debe ser mayor al Total. * La variable Total examen VPH autotoma informado no debe ser mayor al Total. </v>
      </c>
      <c r="L197" s="2111"/>
      <c r="CB197" s="1865" t="str">
        <f t="shared" si="91"/>
        <v xml:space="preserve">* La variable Total VPH informados en trans masculino no debe ser mayor al Total. </v>
      </c>
      <c r="CC197" s="1865" t="str">
        <f t="shared" si="92"/>
        <v xml:space="preserve">* La variable Total examen VPH autotoma informado no debe ser mayor al Total. </v>
      </c>
      <c r="CV197" s="1867">
        <f>IF(AND($C197&lt;&gt;0,H197=""),1,IF(H197&gt;$C197,1,0))</f>
        <v>1</v>
      </c>
      <c r="CW197" s="1867">
        <f>IF(AND($C197&lt;&gt;0,I197=""),1,IF(I197&gt;$C197,1,0))</f>
        <v>1</v>
      </c>
    </row>
    <row r="198" spans="1:101" x14ac:dyDescent="0.25">
      <c r="A198" s="5605" t="s">
        <v>4564</v>
      </c>
      <c r="B198" s="2089" t="s">
        <v>166</v>
      </c>
      <c r="C198" s="2117" t="s">
        <v>4567</v>
      </c>
      <c r="D198" s="2117" t="s">
        <v>4568</v>
      </c>
      <c r="E198" s="2118" t="s">
        <v>4569</v>
      </c>
      <c r="F198" s="2119" t="s">
        <v>4570</v>
      </c>
      <c r="G198" s="2120" t="s">
        <v>4571</v>
      </c>
      <c r="H198" s="2121" t="s">
        <v>4572</v>
      </c>
      <c r="I198" s="2117" t="s">
        <v>4573</v>
      </c>
      <c r="J198" s="1864" t="str">
        <f t="shared" si="90"/>
        <v xml:space="preserve">* La variable Total VPH informados en trans masculino no debe ser mayor al Total. * La variable Total examen VPH autotoma informado no debe ser mayor al Total. </v>
      </c>
      <c r="L198" s="2111"/>
      <c r="CB198" s="1865" t="str">
        <f t="shared" si="91"/>
        <v xml:space="preserve">* La variable Total VPH informados en trans masculino no debe ser mayor al Total. </v>
      </c>
      <c r="CC198" s="1865" t="str">
        <f t="shared" si="92"/>
        <v xml:space="preserve">* La variable Total examen VPH autotoma informado no debe ser mayor al Total. </v>
      </c>
      <c r="CV198" s="1867">
        <f t="shared" si="93"/>
        <v>1</v>
      </c>
      <c r="CW198" s="1867">
        <f t="shared" si="94"/>
        <v>1</v>
      </c>
    </row>
    <row r="199" spans="1:101" x14ac:dyDescent="0.25">
      <c r="A199" s="5605" t="s">
        <v>4565</v>
      </c>
      <c r="B199" s="2096" t="s">
        <v>57</v>
      </c>
      <c r="C199" s="2122" t="s">
        <v>4567</v>
      </c>
      <c r="D199" s="2122" t="s">
        <v>4568</v>
      </c>
      <c r="E199" s="2123" t="s">
        <v>4569</v>
      </c>
      <c r="F199" s="2124" t="s">
        <v>4570</v>
      </c>
      <c r="G199" s="2125" t="s">
        <v>4571</v>
      </c>
      <c r="H199" s="2126" t="s">
        <v>4572</v>
      </c>
      <c r="I199" s="2122" t="s">
        <v>4573</v>
      </c>
      <c r="J199" s="1864" t="str">
        <f>$CB199&amp;CC199</f>
        <v xml:space="preserve">* La variable Total VPH informados en trans masculino no debe ser mayor al Total. * La variable Total examen VPH autotoma informado no debe ser mayor al Total. </v>
      </c>
      <c r="L199" s="2111"/>
      <c r="CB199" s="1865" t="str">
        <f t="shared" si="91"/>
        <v xml:space="preserve">* La variable Total VPH informados en trans masculino no debe ser mayor al Total. </v>
      </c>
      <c r="CC199" s="1865" t="str">
        <f t="shared" si="92"/>
        <v xml:space="preserve">* La variable Total examen VPH autotoma informado no debe ser mayor al Total. </v>
      </c>
      <c r="CV199" s="1867">
        <f t="shared" si="93"/>
        <v>1</v>
      </c>
      <c r="CW199" s="1867">
        <f t="shared" si="94"/>
        <v>1</v>
      </c>
    </row>
    <row r="200" spans="1:101" x14ac:dyDescent="0.25">
      <c r="A200" s="5604"/>
      <c r="B200" s="2103" t="s">
        <v>77</v>
      </c>
      <c r="C200" s="2104">
        <f>SUM(C189:C199)</f>
        <v>0</v>
      </c>
      <c r="D200" s="2104">
        <f t="shared" ref="D200:I200" si="95">SUM(D189:D199)</f>
        <v>0</v>
      </c>
      <c r="E200" s="2105">
        <f t="shared" si="95"/>
        <v>0</v>
      </c>
      <c r="F200" s="2107">
        <f t="shared" si="95"/>
        <v>0</v>
      </c>
      <c r="G200" s="2108">
        <f t="shared" si="95"/>
        <v>0</v>
      </c>
      <c r="H200" s="2127">
        <f>SUM(H189:H199)</f>
        <v>0</v>
      </c>
      <c r="I200" s="2106">
        <f t="shared" si="95"/>
        <v>0</v>
      </c>
      <c r="L200" s="2111"/>
    </row>
    <row r="202" spans="1:101" x14ac:dyDescent="0.25">
      <c r="A202" s="6" t="s">
        <v>4566</v>
      </c>
    </row>
    <row r="203" spans="1:101" x14ac:dyDescent="0.25">
      <c r="A203" s="5605" t="s">
        <v>4494</v>
      </c>
    </row>
    <row r="204" spans="1:101" x14ac:dyDescent="0.25">
      <c r="A204" s="5605" t="s">
        <v>4495</v>
      </c>
    </row>
    <row r="205" spans="1:101" x14ac:dyDescent="0.25">
      <c r="A205" s="5605" t="s">
        <v>4496</v>
      </c>
    </row>
    <row r="206" spans="1:101" x14ac:dyDescent="0.25">
      <c r="A206" s="5605" t="s">
        <v>4497</v>
      </c>
    </row>
    <row r="207" spans="1:101" x14ac:dyDescent="0.25">
      <c r="A207" s="5605" t="s">
        <v>4498</v>
      </c>
    </row>
    <row r="208" spans="1:101" x14ac:dyDescent="0.25">
      <c r="A208" s="5605" t="s">
        <v>4499</v>
      </c>
    </row>
    <row r="209" spans="1:1" x14ac:dyDescent="0.25">
      <c r="A209" s="5605" t="s">
        <v>4500</v>
      </c>
    </row>
    <row r="210" spans="1:1" x14ac:dyDescent="0.25">
      <c r="A210" s="5605" t="s">
        <v>4501</v>
      </c>
    </row>
    <row r="211" spans="1:1" x14ac:dyDescent="0.25">
      <c r="A211" s="5605" t="s">
        <v>4502</v>
      </c>
    </row>
    <row r="212" spans="1:1" x14ac:dyDescent="0.25">
      <c r="A212" s="5605" t="s">
        <v>4503</v>
      </c>
    </row>
    <row r="213" spans="1:1" x14ac:dyDescent="0.25">
      <c r="A213" s="5605" t="s">
        <v>4504</v>
      </c>
    </row>
    <row r="214" spans="1:1" x14ac:dyDescent="0.25">
      <c r="A214" s="5605" t="s">
        <v>4505</v>
      </c>
    </row>
    <row r="215" spans="1:1" x14ac:dyDescent="0.25">
      <c r="A215" s="5605" t="s">
        <v>4506</v>
      </c>
    </row>
    <row r="216" spans="1:1" x14ac:dyDescent="0.25">
      <c r="A216" s="5605" t="s">
        <v>4507</v>
      </c>
    </row>
    <row r="217" spans="1:1" x14ac:dyDescent="0.25">
      <c r="A217" s="5605" t="s">
        <v>4508</v>
      </c>
    </row>
    <row r="218" spans="1:1" x14ac:dyDescent="0.25">
      <c r="A218" s="5605" t="s">
        <v>4509</v>
      </c>
    </row>
    <row r="219" spans="1:1" x14ac:dyDescent="0.25">
      <c r="A219" s="5605" t="s">
        <v>4510</v>
      </c>
    </row>
    <row r="220" spans="1:1" x14ac:dyDescent="0.25">
      <c r="A220" s="5605" t="s">
        <v>4511</v>
      </c>
    </row>
    <row r="221" spans="1:1" x14ac:dyDescent="0.25">
      <c r="A221" s="5605" t="s">
        <v>4512</v>
      </c>
    </row>
    <row r="222" spans="1:1" x14ac:dyDescent="0.25">
      <c r="A222" s="5605" t="s">
        <v>4513</v>
      </c>
    </row>
    <row r="223" spans="1:1" x14ac:dyDescent="0.25">
      <c r="A223" s="5605" t="s">
        <v>4514</v>
      </c>
    </row>
    <row r="224" spans="1:1" x14ac:dyDescent="0.25">
      <c r="A224" s="5605" t="s">
        <v>4515</v>
      </c>
    </row>
    <row r="225" spans="1:1" x14ac:dyDescent="0.25">
      <c r="A225" s="5605" t="s">
        <v>4516</v>
      </c>
    </row>
    <row r="226" spans="1:1" x14ac:dyDescent="0.25">
      <c r="A226" s="5605" t="s">
        <v>4517</v>
      </c>
    </row>
    <row r="227" spans="1:1" x14ac:dyDescent="0.25">
      <c r="A227" s="5605" t="s">
        <v>4518</v>
      </c>
    </row>
    <row r="228" spans="1:1" x14ac:dyDescent="0.25">
      <c r="A228" s="5605" t="s">
        <v>4519</v>
      </c>
    </row>
    <row r="229" spans="1:1" x14ac:dyDescent="0.25">
      <c r="A229" s="5605" t="s">
        <v>4520</v>
      </c>
    </row>
    <row r="230" spans="1:1" x14ac:dyDescent="0.25">
      <c r="A230" s="5605" t="s">
        <v>4521</v>
      </c>
    </row>
    <row r="231" spans="1:1" x14ac:dyDescent="0.25">
      <c r="A231" s="5605" t="s">
        <v>4522</v>
      </c>
    </row>
    <row r="232" spans="1:1" x14ac:dyDescent="0.25">
      <c r="A232" s="5605" t="s">
        <v>4523</v>
      </c>
    </row>
    <row r="233" spans="1:1" x14ac:dyDescent="0.25">
      <c r="A233" s="5605" t="s">
        <v>4524</v>
      </c>
    </row>
    <row r="234" spans="1:1" x14ac:dyDescent="0.25">
      <c r="A234" s="5605" t="s">
        <v>4525</v>
      </c>
    </row>
    <row r="235" spans="1:1" x14ac:dyDescent="0.25">
      <c r="A235" s="5605" t="s">
        <v>4526</v>
      </c>
    </row>
    <row r="236" spans="1:1" x14ac:dyDescent="0.25">
      <c r="A236" s="5605" t="s">
        <v>4527</v>
      </c>
    </row>
    <row r="237" spans="1:1" x14ac:dyDescent="0.25">
      <c r="A237" s="5605" t="s">
        <v>4528</v>
      </c>
    </row>
    <row r="238" spans="1:1" x14ac:dyDescent="0.25">
      <c r="A238" s="5605" t="s">
        <v>4529</v>
      </c>
    </row>
    <row r="239" spans="1:1" x14ac:dyDescent="0.25">
      <c r="A239" s="5605" t="s">
        <v>4530</v>
      </c>
    </row>
    <row r="240" spans="1:1" x14ac:dyDescent="0.25">
      <c r="A240" s="5605" t="s">
        <v>4531</v>
      </c>
    </row>
    <row r="241" spans="1:1" x14ac:dyDescent="0.25">
      <c r="A241" s="5605" t="s">
        <v>4532</v>
      </c>
    </row>
    <row r="242" spans="1:1" x14ac:dyDescent="0.25">
      <c r="A242" s="5605" t="s">
        <v>4533</v>
      </c>
    </row>
    <row r="243" spans="1:1" x14ac:dyDescent="0.25">
      <c r="A243" s="5605" t="s">
        <v>4534</v>
      </c>
    </row>
    <row r="244" spans="1:1" x14ac:dyDescent="0.25">
      <c r="A244" s="5605" t="s">
        <v>4535</v>
      </c>
    </row>
    <row r="245" spans="1:1" x14ac:dyDescent="0.25">
      <c r="A245" s="5605" t="s">
        <v>4536</v>
      </c>
    </row>
    <row r="246" spans="1:1" x14ac:dyDescent="0.25">
      <c r="A246" s="5605" t="s">
        <v>4537</v>
      </c>
    </row>
    <row r="247" spans="1:1" x14ac:dyDescent="0.25">
      <c r="A247" s="5605" t="s">
        <v>4538</v>
      </c>
    </row>
    <row r="248" spans="1:1" x14ac:dyDescent="0.25">
      <c r="A248" s="5605" t="s">
        <v>4539</v>
      </c>
    </row>
    <row r="249" spans="1:1" x14ac:dyDescent="0.25">
      <c r="A249" s="5605" t="s">
        <v>4540</v>
      </c>
    </row>
    <row r="250" spans="1:1" x14ac:dyDescent="0.25">
      <c r="A250" s="5605" t="s">
        <v>4541</v>
      </c>
    </row>
    <row r="251" spans="1:1" x14ac:dyDescent="0.25">
      <c r="A251" s="5605" t="s">
        <v>4542</v>
      </c>
    </row>
    <row r="252" spans="1:1" x14ac:dyDescent="0.25">
      <c r="A252" s="5605" t="s">
        <v>4543</v>
      </c>
    </row>
    <row r="253" spans="1:1" x14ac:dyDescent="0.25">
      <c r="A253" s="5605" t="s">
        <v>4544</v>
      </c>
    </row>
    <row r="254" spans="1:1" x14ac:dyDescent="0.25">
      <c r="A254" s="5605" t="s">
        <v>4545</v>
      </c>
    </row>
    <row r="255" spans="1:1" x14ac:dyDescent="0.25">
      <c r="A255" s="5605" t="s">
        <v>4546</v>
      </c>
    </row>
    <row r="256" spans="1:1" ht="17.25" customHeight="1" x14ac:dyDescent="0.25">
      <c r="A256" s="5605" t="s">
        <v>4547</v>
      </c>
    </row>
    <row r="257" spans="1:3" ht="12" customHeight="1" x14ac:dyDescent="0.25">
      <c r="A257" s="5605" t="s">
        <v>4548</v>
      </c>
    </row>
    <row r="258" spans="1:3" x14ac:dyDescent="0.25">
      <c r="A258" s="5605" t="s">
        <v>4549</v>
      </c>
      <c r="B258" s="105">
        <f>SUM(D11:D32,D36:D39,D44:D66,D70:D73,G70:G73,C78:C83,C88:C93,C98:C110,C117:C129,C136:C148,C155:C165,C172:C182,C189:C199)</f>
        <v>0</v>
      </c>
      <c r="C258" s="105" t="e">
        <f>SUM(CV11:DH199)</f>
        <v>#VALUE!</v>
      </c>
    </row>
    <row r="259" spans="1:3" x14ac:dyDescent="0.25">
      <c r="A259" s="5605" t="s">
        <v>4550</v>
      </c>
    </row>
    <row r="260" spans="1:3" x14ac:dyDescent="0.25">
      <c r="A260" s="5605" t="s">
        <v>4551</v>
      </c>
    </row>
    <row r="261" spans="1:3" x14ac:dyDescent="0.25">
      <c r="A261" s="5605" t="s">
        <v>4552</v>
      </c>
    </row>
    <row r="262" spans="1:3" x14ac:dyDescent="0.25">
      <c r="A262" s="5605" t="s">
        <v>4553</v>
      </c>
    </row>
    <row r="263" spans="1:3" x14ac:dyDescent="0.25">
      <c r="A263" s="5605" t="s">
        <v>4554</v>
      </c>
    </row>
    <row r="264" spans="1:3" x14ac:dyDescent="0.25">
      <c r="A264" s="5605" t="s">
        <v>4555</v>
      </c>
    </row>
    <row r="265" spans="1:3" x14ac:dyDescent="0.25">
      <c r="A265" s="5605" t="s">
        <v>4556</v>
      </c>
    </row>
    <row r="266" spans="1:3" x14ac:dyDescent="0.25">
      <c r="A266" s="5605" t="s">
        <v>4557</v>
      </c>
    </row>
    <row r="267" spans="1:3" x14ac:dyDescent="0.25">
      <c r="A267" s="5605" t="s">
        <v>4558</v>
      </c>
    </row>
    <row r="268" spans="1:3" x14ac:dyDescent="0.25">
      <c r="A268" s="5605" t="s">
        <v>4559</v>
      </c>
    </row>
    <row r="269" spans="1:3" x14ac:dyDescent="0.25">
      <c r="A269" s="5605" t="s">
        <v>4560</v>
      </c>
    </row>
    <row r="270" spans="1:3" x14ac:dyDescent="0.25">
      <c r="A270" s="5605" t="s">
        <v>4561</v>
      </c>
    </row>
    <row r="271" spans="1:3" x14ac:dyDescent="0.25">
      <c r="A271" s="5605" t="s">
        <v>4562</v>
      </c>
    </row>
    <row r="272" spans="1:3" x14ac:dyDescent="0.25">
      <c r="A272" s="5605" t="s">
        <v>4563</v>
      </c>
    </row>
    <row r="273" spans="1:1" x14ac:dyDescent="0.25">
      <c r="A273" s="5605" t="s">
        <v>4564</v>
      </c>
    </row>
    <row r="274" spans="1:1" x14ac:dyDescent="0.25">
      <c r="A274" s="5605" t="s">
        <v>4565</v>
      </c>
    </row>
  </sheetData>
  <dataConsolidate/>
  <mergeCells count="165">
    <mergeCell ref="B6:Q6"/>
    <mergeCell ref="B9:B10"/>
    <mergeCell ref="C9:C10"/>
    <mergeCell ref="D9:D10"/>
    <mergeCell ref="E9:U9"/>
    <mergeCell ref="B19:B20"/>
    <mergeCell ref="B25:B26"/>
    <mergeCell ref="B27:B28"/>
    <mergeCell ref="B29:B30"/>
    <mergeCell ref="B8:AI8"/>
    <mergeCell ref="AE9:AE10"/>
    <mergeCell ref="AF9:AH9"/>
    <mergeCell ref="AI9:AI10"/>
    <mergeCell ref="B31:B32"/>
    <mergeCell ref="B11:B12"/>
    <mergeCell ref="B13:B14"/>
    <mergeCell ref="B15:B16"/>
    <mergeCell ref="B17:B18"/>
    <mergeCell ref="AB9:AB10"/>
    <mergeCell ref="AD9:AD10"/>
    <mergeCell ref="X9:X10"/>
    <mergeCell ref="Y9:Y10"/>
    <mergeCell ref="Z9:Z10"/>
    <mergeCell ref="AA9:AA10"/>
    <mergeCell ref="V9:W9"/>
    <mergeCell ref="B21:B22"/>
    <mergeCell ref="B23:B24"/>
    <mergeCell ref="AC9:AC10"/>
    <mergeCell ref="AO34:AO35"/>
    <mergeCell ref="B36:B39"/>
    <mergeCell ref="B41:B43"/>
    <mergeCell ref="C41:C43"/>
    <mergeCell ref="D41:F42"/>
    <mergeCell ref="G41:AN41"/>
    <mergeCell ref="AO41:AO43"/>
    <mergeCell ref="Y42:Z42"/>
    <mergeCell ref="B34:B35"/>
    <mergeCell ref="C34:C35"/>
    <mergeCell ref="D34:F34"/>
    <mergeCell ref="G34:AI34"/>
    <mergeCell ref="AJ34:AK34"/>
    <mergeCell ref="AL34:AL35"/>
    <mergeCell ref="AM34:AM35"/>
    <mergeCell ref="AN34:AN35"/>
    <mergeCell ref="AA42:AB42"/>
    <mergeCell ref="AC42:AD42"/>
    <mergeCell ref="AE42:AF42"/>
    <mergeCell ref="AG42:AH42"/>
    <mergeCell ref="AP41:AP43"/>
    <mergeCell ref="G42:H42"/>
    <mergeCell ref="I42:J42"/>
    <mergeCell ref="K42:L42"/>
    <mergeCell ref="M42:N42"/>
    <mergeCell ref="O42:P42"/>
    <mergeCell ref="Q42:R42"/>
    <mergeCell ref="S42:T42"/>
    <mergeCell ref="U42:V42"/>
    <mergeCell ref="W42:X42"/>
    <mergeCell ref="AM42:AN42"/>
    <mergeCell ref="AI42:AJ42"/>
    <mergeCell ref="AK42:AL42"/>
    <mergeCell ref="L68:L69"/>
    <mergeCell ref="M68:M69"/>
    <mergeCell ref="J68:J69"/>
    <mergeCell ref="K68:K69"/>
    <mergeCell ref="B44:B47"/>
    <mergeCell ref="B48:B50"/>
    <mergeCell ref="B51:B53"/>
    <mergeCell ref="B54:B56"/>
    <mergeCell ref="B57:B62"/>
    <mergeCell ref="B63:B66"/>
    <mergeCell ref="B68:C69"/>
    <mergeCell ref="B70:C70"/>
    <mergeCell ref="B71:C71"/>
    <mergeCell ref="B72:C72"/>
    <mergeCell ref="B73:C73"/>
    <mergeCell ref="B74:C74"/>
    <mergeCell ref="D76:E76"/>
    <mergeCell ref="K76:K77"/>
    <mergeCell ref="D68:F68"/>
    <mergeCell ref="G68:I68"/>
    <mergeCell ref="AH85:AH87"/>
    <mergeCell ref="F76:G76"/>
    <mergeCell ref="H76:J76"/>
    <mergeCell ref="B85:B87"/>
    <mergeCell ref="C85:E86"/>
    <mergeCell ref="F85:AG85"/>
    <mergeCell ref="V86:W86"/>
    <mergeCell ref="X86:Y86"/>
    <mergeCell ref="B76:B77"/>
    <mergeCell ref="C76:C77"/>
    <mergeCell ref="L76:L77"/>
    <mergeCell ref="M76:M77"/>
    <mergeCell ref="D152:G152"/>
    <mergeCell ref="H152:H154"/>
    <mergeCell ref="AQ41:AQ43"/>
    <mergeCell ref="B95:B97"/>
    <mergeCell ref="C95:L95"/>
    <mergeCell ref="M95:M97"/>
    <mergeCell ref="C96:C97"/>
    <mergeCell ref="D96:D97"/>
    <mergeCell ref="E96:F96"/>
    <mergeCell ref="G96:L96"/>
    <mergeCell ref="N76:N77"/>
    <mergeCell ref="AI85:AI87"/>
    <mergeCell ref="F86:G86"/>
    <mergeCell ref="H86:I86"/>
    <mergeCell ref="J86:K86"/>
    <mergeCell ref="L86:M86"/>
    <mergeCell ref="N86:O86"/>
    <mergeCell ref="P86:Q86"/>
    <mergeCell ref="R86:S86"/>
    <mergeCell ref="T86:U86"/>
    <mergeCell ref="Z86:AA86"/>
    <mergeCell ref="AB86:AC86"/>
    <mergeCell ref="AD86:AE86"/>
    <mergeCell ref="AF86:AG86"/>
    <mergeCell ref="B152:B154"/>
    <mergeCell ref="C152:C154"/>
    <mergeCell ref="B33:AI33"/>
    <mergeCell ref="B40:AN40"/>
    <mergeCell ref="B67:M67"/>
    <mergeCell ref="B75:N75"/>
    <mergeCell ref="B84:AG84"/>
    <mergeCell ref="N152:N154"/>
    <mergeCell ref="D153:D154"/>
    <mergeCell ref="E153:G153"/>
    <mergeCell ref="J153:J154"/>
    <mergeCell ref="K153:M153"/>
    <mergeCell ref="B151:N151"/>
    <mergeCell ref="B114:B116"/>
    <mergeCell ref="C114:L114"/>
    <mergeCell ref="M114:M116"/>
    <mergeCell ref="C115:C116"/>
    <mergeCell ref="D115:D116"/>
    <mergeCell ref="E115:F115"/>
    <mergeCell ref="G115:L115"/>
    <mergeCell ref="B132:L132"/>
    <mergeCell ref="C133:L133"/>
    <mergeCell ref="M133:M135"/>
    <mergeCell ref="C134:C135"/>
    <mergeCell ref="B94:O94"/>
    <mergeCell ref="B113:M113"/>
    <mergeCell ref="B185:I185"/>
    <mergeCell ref="B168:I168"/>
    <mergeCell ref="B133:B135"/>
    <mergeCell ref="B186:B188"/>
    <mergeCell ref="C186:C188"/>
    <mergeCell ref="D186:G186"/>
    <mergeCell ref="H186:H188"/>
    <mergeCell ref="I186:I188"/>
    <mergeCell ref="D187:D188"/>
    <mergeCell ref="E187:G187"/>
    <mergeCell ref="B169:B171"/>
    <mergeCell ref="C169:C171"/>
    <mergeCell ref="D169:G169"/>
    <mergeCell ref="H169:H171"/>
    <mergeCell ref="I169:I171"/>
    <mergeCell ref="D170:D171"/>
    <mergeCell ref="E170:G170"/>
    <mergeCell ref="I152:I154"/>
    <mergeCell ref="J152:M152"/>
    <mergeCell ref="D134:D135"/>
    <mergeCell ref="E134:F134"/>
    <mergeCell ref="G134:L134"/>
  </mergeCells>
  <dataValidations count="6">
    <dataValidation type="whole" operator="greaterThanOrEqual" allowBlank="1" showInputMessage="1" showErrorMessage="1" errorTitle="Error" error="Favor ingresar sólo números." sqref="E36:AO39 E70:M73 F88:AI93" xr:uid="{00000000-0002-0000-0100-000001000000}">
      <formula1>0</formula1>
    </dataValidation>
    <dataValidation allowBlank="1" showInputMessage="1" showErrorMessage="1" errorTitle="Error de ingreso" error="Debe ingresar sólo números enteros positivos." sqref="D115:L116 C95:C112 D130:L131 M114 D111:M112 M95 M130:M133 C132:L132 J153:M154 D149:M150 J166:N166 N152 J167:M167 C152 D134:L135 D153:G154 H152:I152 C133:C135 D187:G188 B151:B200 H169:I169 D170:G171 B94:B135 H186:I186 C114:C131 B136:C150 C183:J184 C169:D169 C200:J200 C186:D186 D96:L97 K169:L184 J169:J171 K186:L200 J186:J188 C166:I167" xr:uid="{E6BC3E83-3667-46C4-809D-5D8A08E97225}"/>
    <dataValidation type="whole" operator="greaterThanOrEqual" allowBlank="1" showInputMessage="1" showErrorMessage="1" sqref="D117:M129 D98:M110 D136:M148" xr:uid="{8786E3A2-9100-4496-8B9C-75D199DE1F5B}">
      <formula1>0</formula1>
    </dataValidation>
    <dataValidation type="whole" allowBlank="1" showInputMessage="1" showErrorMessage="1" sqref="D78:N83 C83" xr:uid="{9F322417-650A-459E-A7B4-BF384F151B71}">
      <formula1>0</formula1>
      <formula2>9.99999999999999E+36</formula2>
    </dataValidation>
    <dataValidation type="whole" allowBlank="1" showInputMessage="1" showErrorMessage="1" sqref="E11:AI32" xr:uid="{928EC4A0-5D2C-4C39-89CB-75C84D427FDB}">
      <formula1>0</formula1>
      <formula2>9.99999999999999E+34</formula2>
    </dataValidation>
    <dataValidation type="whole" allowBlank="1" showInputMessage="1" showErrorMessage="1" sqref="G44:AQ66 C172:I182 C189:I199 C155:N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M51"/>
  <sheetViews>
    <sheetView showGridLines="0" zoomScaleNormal="100" workbookViewId="0"/>
  </sheetViews>
  <sheetFormatPr baseColWidth="10" defaultColWidth="11.42578125" defaultRowHeight="15" x14ac:dyDescent="0.25"/>
  <cols>
    <col min="1" max="1" width="15" customWidth="1"/>
    <col min="2" max="2" width="44.140625" customWidth="1"/>
    <col min="3" max="3" width="13.42578125" customWidth="1"/>
    <col min="79" max="79" width="12" hidden="1" customWidth="1"/>
    <col min="80" max="91" width="11.42578125" hidden="1" customWidth="1"/>
    <col min="92" max="131" width="11.42578125" customWidth="1"/>
  </cols>
  <sheetData>
    <row r="1" spans="1:86" x14ac:dyDescent="0.25">
      <c r="B1" s="50" t="s">
        <v>23</v>
      </c>
    </row>
    <row r="2" spans="1:86" x14ac:dyDescent="0.25">
      <c r="B2" s="50" t="str">
        <f>CONCATENATE("COMUNA: ",NOMBRE!B2, " (",NOMBRE!C2,NOMBRE!D2,NOMBRE!E2,NOMBRE!F2,NOMBRE!G2,")")</f>
        <v>COMUNA:  ()</v>
      </c>
    </row>
    <row r="3" spans="1:86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B4" s="50" t="str">
        <f>CONCATENATE("MES: ",NOMBRE!B6, " (",NOMBRE!C6,NOMBRE!D6,")")</f>
        <v>MES:  ()</v>
      </c>
    </row>
    <row r="5" spans="1:86" x14ac:dyDescent="0.25">
      <c r="B5" s="50" t="str">
        <f>CONCATENATE("AÑO: ",NOMBRE!B7)</f>
        <v>AÑO: 2025</v>
      </c>
    </row>
    <row r="6" spans="1:86" s="88" customFormat="1" ht="19.5" x14ac:dyDescent="0.25">
      <c r="B6" s="6087" t="s">
        <v>190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  <c r="X6" s="6087"/>
      <c r="Y6" s="6087"/>
      <c r="Z6" s="6087"/>
      <c r="AA6" s="6087"/>
      <c r="AB6" s="6087"/>
      <c r="AC6" s="6087"/>
      <c r="AD6" s="6087"/>
      <c r="AE6" s="6087"/>
      <c r="AF6" s="2129"/>
      <c r="AG6" s="7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89"/>
      <c r="CC6" s="89"/>
      <c r="CD6" s="89"/>
      <c r="CE6" s="89"/>
      <c r="CF6" s="89"/>
      <c r="CG6" s="89"/>
      <c r="CH6" s="89"/>
    </row>
    <row r="8" spans="1:86" s="6" customFormat="1" ht="18" customHeight="1" x14ac:dyDescent="0.2">
      <c r="B8" s="6017" t="s">
        <v>191</v>
      </c>
      <c r="C8" s="6017"/>
      <c r="D8" s="6017"/>
      <c r="E8" s="6017"/>
      <c r="F8" s="6017"/>
      <c r="G8" s="6017"/>
      <c r="H8" s="6017"/>
      <c r="I8" s="6017"/>
      <c r="J8" s="6017"/>
      <c r="K8" s="6017"/>
      <c r="L8" s="6017"/>
      <c r="M8" s="6017"/>
      <c r="N8" s="6017"/>
      <c r="O8" s="6017"/>
      <c r="P8" s="6017"/>
      <c r="Q8" s="6017"/>
      <c r="R8" s="6017"/>
      <c r="S8" s="6017"/>
      <c r="T8" s="6017"/>
      <c r="U8" s="6017"/>
      <c r="V8" s="6017"/>
      <c r="W8" s="6017"/>
      <c r="X8" s="6017"/>
      <c r="Y8" s="6017"/>
      <c r="Z8" s="6017"/>
      <c r="AA8" s="6017"/>
      <c r="AB8" s="6017"/>
      <c r="AC8" s="6017"/>
      <c r="AD8" s="6017"/>
      <c r="AE8" s="6017"/>
      <c r="AF8" s="6017"/>
      <c r="AG8" s="6017"/>
    </row>
    <row r="9" spans="1:86" ht="15" customHeight="1" x14ac:dyDescent="0.25">
      <c r="B9" s="6054" t="s">
        <v>27</v>
      </c>
      <c r="C9" s="6031" t="s">
        <v>77</v>
      </c>
      <c r="D9" s="6029"/>
      <c r="E9" s="6094"/>
      <c r="F9" s="6009" t="s">
        <v>44</v>
      </c>
      <c r="G9" s="6095"/>
      <c r="H9" s="6009" t="s">
        <v>45</v>
      </c>
      <c r="I9" s="6025"/>
      <c r="J9" s="6009" t="s">
        <v>46</v>
      </c>
      <c r="K9" s="6025"/>
      <c r="L9" s="6009" t="s">
        <v>47</v>
      </c>
      <c r="M9" s="6025"/>
      <c r="N9" s="6009" t="s">
        <v>48</v>
      </c>
      <c r="O9" s="6025"/>
      <c r="P9" s="6009" t="s">
        <v>49</v>
      </c>
      <c r="Q9" s="6025"/>
      <c r="R9" s="6009" t="s">
        <v>50</v>
      </c>
      <c r="S9" s="6025"/>
      <c r="T9" s="6009" t="s">
        <v>51</v>
      </c>
      <c r="U9" s="6025"/>
      <c r="V9" s="6009" t="s">
        <v>52</v>
      </c>
      <c r="W9" s="6025"/>
      <c r="X9" s="6009" t="s">
        <v>53</v>
      </c>
      <c r="Y9" s="6025"/>
      <c r="Z9" s="6009" t="s">
        <v>54</v>
      </c>
      <c r="AA9" s="6025"/>
      <c r="AB9" s="6009" t="s">
        <v>55</v>
      </c>
      <c r="AC9" s="6025"/>
      <c r="AD9" s="6009" t="s">
        <v>56</v>
      </c>
      <c r="AE9" s="6025"/>
      <c r="AF9" s="6009" t="s">
        <v>57</v>
      </c>
      <c r="AG9" s="6047"/>
      <c r="AH9" s="6096" t="s">
        <v>36</v>
      </c>
      <c r="AI9" s="6026" t="s">
        <v>37</v>
      </c>
    </row>
    <row r="10" spans="1:86" ht="15" customHeight="1" x14ac:dyDescent="0.25">
      <c r="B10" s="6093"/>
      <c r="C10" s="2055" t="s">
        <v>79</v>
      </c>
      <c r="D10" s="2131" t="s">
        <v>58</v>
      </c>
      <c r="E10" s="2130" t="s">
        <v>59</v>
      </c>
      <c r="F10" s="2131" t="s">
        <v>58</v>
      </c>
      <c r="G10" s="2132" t="s">
        <v>59</v>
      </c>
      <c r="H10" s="2055" t="s">
        <v>58</v>
      </c>
      <c r="I10" s="2132" t="s">
        <v>59</v>
      </c>
      <c r="J10" s="2055" t="s">
        <v>58</v>
      </c>
      <c r="K10" s="2132" t="s">
        <v>59</v>
      </c>
      <c r="L10" s="2055" t="s">
        <v>58</v>
      </c>
      <c r="M10" s="2132" t="s">
        <v>59</v>
      </c>
      <c r="N10" s="2055" t="s">
        <v>58</v>
      </c>
      <c r="O10" s="2132" t="s">
        <v>59</v>
      </c>
      <c r="P10" s="2055" t="s">
        <v>58</v>
      </c>
      <c r="Q10" s="2132" t="s">
        <v>59</v>
      </c>
      <c r="R10" s="2055" t="s">
        <v>58</v>
      </c>
      <c r="S10" s="2132" t="s">
        <v>59</v>
      </c>
      <c r="T10" s="2055" t="s">
        <v>58</v>
      </c>
      <c r="U10" s="2132" t="s">
        <v>59</v>
      </c>
      <c r="V10" s="2055" t="s">
        <v>58</v>
      </c>
      <c r="W10" s="2132" t="s">
        <v>59</v>
      </c>
      <c r="X10" s="2055" t="s">
        <v>58</v>
      </c>
      <c r="Y10" s="2132" t="s">
        <v>59</v>
      </c>
      <c r="Z10" s="2055" t="s">
        <v>58</v>
      </c>
      <c r="AA10" s="2132" t="s">
        <v>59</v>
      </c>
      <c r="AB10" s="2055" t="s">
        <v>58</v>
      </c>
      <c r="AC10" s="2132" t="s">
        <v>59</v>
      </c>
      <c r="AD10" s="2055" t="s">
        <v>58</v>
      </c>
      <c r="AE10" s="2132" t="s">
        <v>59</v>
      </c>
      <c r="AF10" s="2055" t="s">
        <v>58</v>
      </c>
      <c r="AG10" s="2133" t="s">
        <v>59</v>
      </c>
      <c r="AH10" s="6035"/>
      <c r="AI10" s="6028"/>
    </row>
    <row r="11" spans="1:86" ht="15" customHeight="1" x14ac:dyDescent="0.25">
      <c r="A11" s="5606"/>
      <c r="B11" s="2134" t="s">
        <v>192</v>
      </c>
      <c r="C11" s="2135">
        <f>SUM(C12:C17)</f>
        <v>0</v>
      </c>
      <c r="D11" s="2039">
        <f>SUM(D12:D17)</f>
        <v>0</v>
      </c>
      <c r="E11" s="2040">
        <f>SUM(E12:E17)</f>
        <v>0</v>
      </c>
      <c r="F11" s="2039">
        <f>SUM(F12:F17)</f>
        <v>0</v>
      </c>
      <c r="G11" s="2136">
        <f t="shared" ref="G11:AG11" si="0">SUM(G12:G17)</f>
        <v>0</v>
      </c>
      <c r="H11" s="2039">
        <f t="shared" si="0"/>
        <v>0</v>
      </c>
      <c r="I11" s="2137">
        <f t="shared" si="0"/>
        <v>0</v>
      </c>
      <c r="J11" s="2135">
        <f t="shared" si="0"/>
        <v>0</v>
      </c>
      <c r="K11" s="2137">
        <f t="shared" si="0"/>
        <v>0</v>
      </c>
      <c r="L11" s="2135">
        <f t="shared" si="0"/>
        <v>0</v>
      </c>
      <c r="M11" s="2137">
        <f t="shared" si="0"/>
        <v>0</v>
      </c>
      <c r="N11" s="2135">
        <f t="shared" si="0"/>
        <v>0</v>
      </c>
      <c r="O11" s="2137">
        <f t="shared" si="0"/>
        <v>0</v>
      </c>
      <c r="P11" s="2135">
        <f t="shared" si="0"/>
        <v>0</v>
      </c>
      <c r="Q11" s="2137">
        <f t="shared" si="0"/>
        <v>0</v>
      </c>
      <c r="R11" s="2135">
        <f t="shared" si="0"/>
        <v>0</v>
      </c>
      <c r="S11" s="2137">
        <f t="shared" si="0"/>
        <v>0</v>
      </c>
      <c r="T11" s="2135">
        <f t="shared" si="0"/>
        <v>0</v>
      </c>
      <c r="U11" s="2137">
        <f t="shared" si="0"/>
        <v>0</v>
      </c>
      <c r="V11" s="2135">
        <f t="shared" si="0"/>
        <v>0</v>
      </c>
      <c r="W11" s="2137">
        <f t="shared" si="0"/>
        <v>0</v>
      </c>
      <c r="X11" s="2135">
        <f t="shared" si="0"/>
        <v>0</v>
      </c>
      <c r="Y11" s="2137">
        <f t="shared" si="0"/>
        <v>0</v>
      </c>
      <c r="Z11" s="2135">
        <f t="shared" si="0"/>
        <v>0</v>
      </c>
      <c r="AA11" s="2137">
        <f t="shared" si="0"/>
        <v>0</v>
      </c>
      <c r="AB11" s="2135">
        <f t="shared" si="0"/>
        <v>0</v>
      </c>
      <c r="AC11" s="2137">
        <f t="shared" si="0"/>
        <v>0</v>
      </c>
      <c r="AD11" s="2135">
        <f t="shared" si="0"/>
        <v>0</v>
      </c>
      <c r="AE11" s="2137">
        <f t="shared" si="0"/>
        <v>0</v>
      </c>
      <c r="AF11" s="2135">
        <f t="shared" si="0"/>
        <v>0</v>
      </c>
      <c r="AG11" s="2039">
        <f t="shared" si="0"/>
        <v>0</v>
      </c>
      <c r="AH11" s="2138">
        <f>SUM(AH12:AH17)</f>
        <v>0</v>
      </c>
      <c r="AI11" s="2040">
        <f>SUM(AI12:AI17)</f>
        <v>0</v>
      </c>
    </row>
    <row r="12" spans="1:86" ht="15" customHeight="1" x14ac:dyDescent="0.25">
      <c r="A12" s="5607" t="s">
        <v>4607</v>
      </c>
      <c r="B12" s="1784" t="s">
        <v>64</v>
      </c>
      <c r="C12" s="477" t="s">
        <v>4567</v>
      </c>
      <c r="D12" s="2139" t="s">
        <v>4568</v>
      </c>
      <c r="E12" s="2140" t="s">
        <v>4569</v>
      </c>
      <c r="F12" s="44" t="s">
        <v>4570</v>
      </c>
      <c r="G12" s="882" t="s">
        <v>4571</v>
      </c>
      <c r="H12" s="326" t="s">
        <v>4572</v>
      </c>
      <c r="I12" s="882" t="s">
        <v>4573</v>
      </c>
      <c r="J12" s="326" t="s">
        <v>4574</v>
      </c>
      <c r="K12" s="882" t="s">
        <v>4575</v>
      </c>
      <c r="L12" s="326" t="s">
        <v>4576</v>
      </c>
      <c r="M12" s="882" t="s">
        <v>4577</v>
      </c>
      <c r="N12" s="326" t="s">
        <v>4578</v>
      </c>
      <c r="O12" s="882" t="s">
        <v>4579</v>
      </c>
      <c r="P12" s="326" t="s">
        <v>4580</v>
      </c>
      <c r="Q12" s="882" t="s">
        <v>4581</v>
      </c>
      <c r="R12" s="326" t="s">
        <v>4582</v>
      </c>
      <c r="S12" s="882" t="s">
        <v>4583</v>
      </c>
      <c r="T12" s="326" t="s">
        <v>4584</v>
      </c>
      <c r="U12" s="882" t="s">
        <v>4585</v>
      </c>
      <c r="V12" s="326" t="s">
        <v>4586</v>
      </c>
      <c r="W12" s="882" t="s">
        <v>4587</v>
      </c>
      <c r="X12" s="326" t="s">
        <v>4588</v>
      </c>
      <c r="Y12" s="882" t="s">
        <v>4589</v>
      </c>
      <c r="Z12" s="326" t="s">
        <v>4590</v>
      </c>
      <c r="AA12" s="882" t="s">
        <v>4591</v>
      </c>
      <c r="AB12" s="326" t="s">
        <v>4592</v>
      </c>
      <c r="AC12" s="882" t="s">
        <v>4593</v>
      </c>
      <c r="AD12" s="326" t="s">
        <v>4594</v>
      </c>
      <c r="AE12" s="882" t="s">
        <v>4595</v>
      </c>
      <c r="AF12" s="326" t="s">
        <v>4596</v>
      </c>
      <c r="AG12" s="1001" t="s">
        <v>4597</v>
      </c>
      <c r="AH12" s="336" t="s">
        <v>4598</v>
      </c>
      <c r="AI12" s="142" t="s">
        <v>4599</v>
      </c>
      <c r="AJ12" s="1936" t="str">
        <f>CB12&amp;CC12</f>
        <v xml:space="preserve">* El Número de Pueblos Originarios no puede superar el Total Ambos Sexos. * El Número de Migrantes no puede superar el Total Ambos Sexos. </v>
      </c>
      <c r="CB12" s="1865" t="str">
        <f>IF(AND($C12&lt;&gt;0,AH12=""),"* No olvide ingresar la columna "&amp;AH$9&amp;""&amp;". Digite CERO si no tiene. ",IF(AH12&gt;$C12,"* El Número de Pueblos Originarios no puede superar el Total Ambos Sexos. ",""))</f>
        <v xml:space="preserve">* El Número de Pueblos Originarios no puede superar el Total Ambos Sexos. </v>
      </c>
      <c r="CC12" s="1865" t="str">
        <f>IF(AND($C12&lt;&gt;0,AI12=""),"* No olvide ingresar la columna "&amp;AI$9&amp;""&amp;". Digite CERO si no tiene.  ",IF(AI12&gt;$C12,"* El Número de Migrantes no puede superar el Total Ambos Sexos. ",""))</f>
        <v xml:space="preserve">* El Número de Migrantes no puede superar el Total Ambos Sexos. </v>
      </c>
      <c r="CG12" s="1867">
        <f>IF(AND($C12&lt;&gt;0,AH12=""),1,IF(AH12&gt;$C12,1,0))</f>
        <v>1</v>
      </c>
      <c r="CH12" s="1867">
        <f t="shared" ref="CG12:CH17" si="1">IF(AND($C12&lt;&gt;0,AI12=""),1,IF(AI12&gt;$C12,1,0))</f>
        <v>1</v>
      </c>
    </row>
    <row r="13" spans="1:86" ht="15" customHeight="1" x14ac:dyDescent="0.25">
      <c r="A13" s="5607" t="s">
        <v>4608</v>
      </c>
      <c r="B13" s="910" t="s">
        <v>98</v>
      </c>
      <c r="C13" s="477" t="s">
        <v>4567</v>
      </c>
      <c r="D13" s="478" t="s">
        <v>4568</v>
      </c>
      <c r="E13" s="479" t="s">
        <v>4569</v>
      </c>
      <c r="F13" s="2034" t="s">
        <v>4570</v>
      </c>
      <c r="G13" s="1969" t="s">
        <v>4571</v>
      </c>
      <c r="H13" s="328" t="s">
        <v>4572</v>
      </c>
      <c r="I13" s="1969" t="s">
        <v>4573</v>
      </c>
      <c r="J13" s="328" t="s">
        <v>4574</v>
      </c>
      <c r="K13" s="1969" t="s">
        <v>4575</v>
      </c>
      <c r="L13" s="328" t="s">
        <v>4576</v>
      </c>
      <c r="M13" s="1969" t="s">
        <v>4577</v>
      </c>
      <c r="N13" s="328" t="s">
        <v>4578</v>
      </c>
      <c r="O13" s="1969" t="s">
        <v>4579</v>
      </c>
      <c r="P13" s="328" t="s">
        <v>4580</v>
      </c>
      <c r="Q13" s="1969" t="s">
        <v>4581</v>
      </c>
      <c r="R13" s="328" t="s">
        <v>4582</v>
      </c>
      <c r="S13" s="1969" t="s">
        <v>4583</v>
      </c>
      <c r="T13" s="328" t="s">
        <v>4584</v>
      </c>
      <c r="U13" s="1969" t="s">
        <v>4585</v>
      </c>
      <c r="V13" s="328" t="s">
        <v>4586</v>
      </c>
      <c r="W13" s="1969" t="s">
        <v>4587</v>
      </c>
      <c r="X13" s="328" t="s">
        <v>4588</v>
      </c>
      <c r="Y13" s="1969" t="s">
        <v>4589</v>
      </c>
      <c r="Z13" s="328" t="s">
        <v>4590</v>
      </c>
      <c r="AA13" s="1969" t="s">
        <v>4591</v>
      </c>
      <c r="AB13" s="328" t="s">
        <v>4592</v>
      </c>
      <c r="AC13" s="1969" t="s">
        <v>4593</v>
      </c>
      <c r="AD13" s="328" t="s">
        <v>4594</v>
      </c>
      <c r="AE13" s="1969" t="s">
        <v>4595</v>
      </c>
      <c r="AF13" s="328" t="s">
        <v>4596</v>
      </c>
      <c r="AG13" s="331" t="s">
        <v>4597</v>
      </c>
      <c r="AH13" s="336" t="s">
        <v>4598</v>
      </c>
      <c r="AI13" s="142" t="s">
        <v>4599</v>
      </c>
      <c r="AJ13" s="1936" t="str">
        <f t="shared" ref="AJ13:AJ17" si="2">CB13&amp;CC13</f>
        <v xml:space="preserve">* El Número de Pueblos Originarios no puede superar el Total Ambos Sexos. * El Número de Migrantes no puede superar el Total Ambos Sexos. </v>
      </c>
      <c r="CB13" s="1865" t="str">
        <f t="shared" ref="CB13:CB17" si="3">IF(AND($C13&lt;&gt;0,AH13=""),"* No olvide ingresar la columna "&amp;AH$9&amp;""&amp;". Digite CERO si no tiene. ",IF(AH13&gt;$C13,"* El Número de Pueblos Originarios no puede superar el Total Ambos Sexos. ",""))</f>
        <v xml:space="preserve">* El Número de Pueblos Originarios no puede superar el Total Ambos Sexos. </v>
      </c>
      <c r="CC13" s="1865" t="str">
        <f t="shared" ref="CC13:CC17" si="4">IF(AND($C13&lt;&gt;0,AI13=""),"* No olvide ingresar la columna "&amp;AI$9&amp;""&amp;". Digite CERO si no tiene.  ",IF(AI13&gt;$C13,"* El Número de Migrantes no puede superar el Total Ambos Sexos. ",""))</f>
        <v xml:space="preserve">* El Número de Migrantes no puede superar el Total Ambos Sexos. </v>
      </c>
      <c r="CG13" s="1867">
        <f t="shared" si="1"/>
        <v>1</v>
      </c>
      <c r="CH13" s="1867">
        <f t="shared" si="1"/>
        <v>1</v>
      </c>
    </row>
    <row r="14" spans="1:86" ht="15" customHeight="1" x14ac:dyDescent="0.25">
      <c r="A14" s="5607" t="s">
        <v>4609</v>
      </c>
      <c r="B14" s="910" t="s">
        <v>65</v>
      </c>
      <c r="C14" s="477" t="s">
        <v>4567</v>
      </c>
      <c r="D14" s="478" t="s">
        <v>4568</v>
      </c>
      <c r="E14" s="479" t="s">
        <v>4569</v>
      </c>
      <c r="F14" s="44" t="s">
        <v>4570</v>
      </c>
      <c r="G14" s="882" t="s">
        <v>4571</v>
      </c>
      <c r="H14" s="326" t="s">
        <v>4572</v>
      </c>
      <c r="I14" s="882" t="s">
        <v>4573</v>
      </c>
      <c r="J14" s="326" t="s">
        <v>4574</v>
      </c>
      <c r="K14" s="882" t="s">
        <v>4575</v>
      </c>
      <c r="L14" s="326" t="s">
        <v>4576</v>
      </c>
      <c r="M14" s="882" t="s">
        <v>4577</v>
      </c>
      <c r="N14" s="326" t="s">
        <v>4578</v>
      </c>
      <c r="O14" s="882" t="s">
        <v>4579</v>
      </c>
      <c r="P14" s="326" t="s">
        <v>4580</v>
      </c>
      <c r="Q14" s="882" t="s">
        <v>4581</v>
      </c>
      <c r="R14" s="326" t="s">
        <v>4582</v>
      </c>
      <c r="S14" s="882" t="s">
        <v>4583</v>
      </c>
      <c r="T14" s="326" t="s">
        <v>4584</v>
      </c>
      <c r="U14" s="882" t="s">
        <v>4585</v>
      </c>
      <c r="V14" s="326" t="s">
        <v>4586</v>
      </c>
      <c r="W14" s="882" t="s">
        <v>4587</v>
      </c>
      <c r="X14" s="326" t="s">
        <v>4588</v>
      </c>
      <c r="Y14" s="882" t="s">
        <v>4589</v>
      </c>
      <c r="Z14" s="326" t="s">
        <v>4590</v>
      </c>
      <c r="AA14" s="882" t="s">
        <v>4591</v>
      </c>
      <c r="AB14" s="326" t="s">
        <v>4592</v>
      </c>
      <c r="AC14" s="882" t="s">
        <v>4593</v>
      </c>
      <c r="AD14" s="326" t="s">
        <v>4594</v>
      </c>
      <c r="AE14" s="882" t="s">
        <v>4595</v>
      </c>
      <c r="AF14" s="326" t="s">
        <v>4596</v>
      </c>
      <c r="AG14" s="1001" t="s">
        <v>4597</v>
      </c>
      <c r="AH14" s="336" t="s">
        <v>4598</v>
      </c>
      <c r="AI14" s="142" t="s">
        <v>4599</v>
      </c>
      <c r="AJ14" s="1936" t="str">
        <f t="shared" si="2"/>
        <v xml:space="preserve">* El Número de Pueblos Originarios no puede superar el Total Ambos Sexos. * El Número de Migrantes no puede superar el Total Ambos Sexos. </v>
      </c>
      <c r="CB14" s="1865" t="str">
        <f t="shared" si="3"/>
        <v xml:space="preserve">* El Número de Pueblos Originarios no puede superar el Total Ambos Sexos. </v>
      </c>
      <c r="CC14" s="1865" t="str">
        <f t="shared" si="4"/>
        <v xml:space="preserve">* El Número de Migrantes no puede superar el Total Ambos Sexos. </v>
      </c>
      <c r="CG14" s="1867">
        <f t="shared" si="1"/>
        <v>1</v>
      </c>
      <c r="CH14" s="1867">
        <f t="shared" si="1"/>
        <v>1</v>
      </c>
    </row>
    <row r="15" spans="1:86" ht="15" customHeight="1" x14ac:dyDescent="0.25">
      <c r="A15" s="5607" t="s">
        <v>4610</v>
      </c>
      <c r="B15" s="910" t="s">
        <v>105</v>
      </c>
      <c r="C15" s="477" t="s">
        <v>4567</v>
      </c>
      <c r="D15" s="478" t="s">
        <v>4568</v>
      </c>
      <c r="E15" s="479" t="s">
        <v>4569</v>
      </c>
      <c r="F15" s="44" t="s">
        <v>4570</v>
      </c>
      <c r="G15" s="882" t="s">
        <v>4571</v>
      </c>
      <c r="H15" s="326" t="s">
        <v>4572</v>
      </c>
      <c r="I15" s="882" t="s">
        <v>4573</v>
      </c>
      <c r="J15" s="326" t="s">
        <v>4574</v>
      </c>
      <c r="K15" s="882" t="s">
        <v>4575</v>
      </c>
      <c r="L15" s="326" t="s">
        <v>4576</v>
      </c>
      <c r="M15" s="882" t="s">
        <v>4577</v>
      </c>
      <c r="N15" s="326" t="s">
        <v>4578</v>
      </c>
      <c r="O15" s="882" t="s">
        <v>4579</v>
      </c>
      <c r="P15" s="326" t="s">
        <v>4580</v>
      </c>
      <c r="Q15" s="882" t="s">
        <v>4581</v>
      </c>
      <c r="R15" s="326" t="s">
        <v>4582</v>
      </c>
      <c r="S15" s="882" t="s">
        <v>4583</v>
      </c>
      <c r="T15" s="326" t="s">
        <v>4584</v>
      </c>
      <c r="U15" s="882" t="s">
        <v>4585</v>
      </c>
      <c r="V15" s="326" t="s">
        <v>4586</v>
      </c>
      <c r="W15" s="882" t="s">
        <v>4587</v>
      </c>
      <c r="X15" s="326" t="s">
        <v>4588</v>
      </c>
      <c r="Y15" s="882" t="s">
        <v>4589</v>
      </c>
      <c r="Z15" s="326" t="s">
        <v>4590</v>
      </c>
      <c r="AA15" s="882" t="s">
        <v>4591</v>
      </c>
      <c r="AB15" s="326" t="s">
        <v>4592</v>
      </c>
      <c r="AC15" s="882" t="s">
        <v>4593</v>
      </c>
      <c r="AD15" s="326" t="s">
        <v>4594</v>
      </c>
      <c r="AE15" s="882" t="s">
        <v>4595</v>
      </c>
      <c r="AF15" s="326" t="s">
        <v>4596</v>
      </c>
      <c r="AG15" s="1001" t="s">
        <v>4597</v>
      </c>
      <c r="AH15" s="336" t="s">
        <v>4598</v>
      </c>
      <c r="AI15" s="142" t="s">
        <v>4599</v>
      </c>
      <c r="AJ15" s="1936" t="str">
        <f t="shared" si="2"/>
        <v xml:space="preserve">* El Número de Pueblos Originarios no puede superar el Total Ambos Sexos. * El Número de Migrantes no puede superar el Total Ambos Sexos. </v>
      </c>
      <c r="CB15" s="1865" t="str">
        <f t="shared" si="3"/>
        <v xml:space="preserve">* El Número de Pueblos Originarios no puede superar el Total Ambos Sexos. </v>
      </c>
      <c r="CC15" s="1865" t="str">
        <f t="shared" si="4"/>
        <v xml:space="preserve">* El Número de Migrantes no puede superar el Total Ambos Sexos. </v>
      </c>
      <c r="CG15" s="1867">
        <f t="shared" si="1"/>
        <v>1</v>
      </c>
      <c r="CH15" s="1867">
        <f t="shared" si="1"/>
        <v>1</v>
      </c>
    </row>
    <row r="16" spans="1:86" ht="15" customHeight="1" x14ac:dyDescent="0.25">
      <c r="A16" s="5607" t="s">
        <v>4611</v>
      </c>
      <c r="B16" s="2141" t="s">
        <v>193</v>
      </c>
      <c r="C16" s="477" t="s">
        <v>4567</v>
      </c>
      <c r="D16" s="478" t="s">
        <v>4568</v>
      </c>
      <c r="E16" s="479" t="s">
        <v>4569</v>
      </c>
      <c r="F16" s="44" t="s">
        <v>4570</v>
      </c>
      <c r="G16" s="882" t="s">
        <v>4571</v>
      </c>
      <c r="H16" s="326" t="s">
        <v>4572</v>
      </c>
      <c r="I16" s="882" t="s">
        <v>4573</v>
      </c>
      <c r="J16" s="326" t="s">
        <v>4574</v>
      </c>
      <c r="K16" s="882" t="s">
        <v>4575</v>
      </c>
      <c r="L16" s="326" t="s">
        <v>4576</v>
      </c>
      <c r="M16" s="882" t="s">
        <v>4577</v>
      </c>
      <c r="N16" s="326" t="s">
        <v>4578</v>
      </c>
      <c r="O16" s="882" t="s">
        <v>4579</v>
      </c>
      <c r="P16" s="326" t="s">
        <v>4580</v>
      </c>
      <c r="Q16" s="882" t="s">
        <v>4581</v>
      </c>
      <c r="R16" s="326" t="s">
        <v>4582</v>
      </c>
      <c r="S16" s="882" t="s">
        <v>4583</v>
      </c>
      <c r="T16" s="326" t="s">
        <v>4584</v>
      </c>
      <c r="U16" s="882" t="s">
        <v>4585</v>
      </c>
      <c r="V16" s="326" t="s">
        <v>4586</v>
      </c>
      <c r="W16" s="882" t="s">
        <v>4587</v>
      </c>
      <c r="X16" s="326" t="s">
        <v>4588</v>
      </c>
      <c r="Y16" s="882" t="s">
        <v>4589</v>
      </c>
      <c r="Z16" s="326" t="s">
        <v>4590</v>
      </c>
      <c r="AA16" s="882" t="s">
        <v>4591</v>
      </c>
      <c r="AB16" s="326" t="s">
        <v>4592</v>
      </c>
      <c r="AC16" s="882" t="s">
        <v>4593</v>
      </c>
      <c r="AD16" s="326" t="s">
        <v>4594</v>
      </c>
      <c r="AE16" s="882" t="s">
        <v>4595</v>
      </c>
      <c r="AF16" s="326" t="s">
        <v>4596</v>
      </c>
      <c r="AG16" s="1001" t="s">
        <v>4597</v>
      </c>
      <c r="AH16" s="336" t="s">
        <v>4598</v>
      </c>
      <c r="AI16" s="142" t="s">
        <v>4599</v>
      </c>
      <c r="AJ16" s="1936" t="str">
        <f t="shared" si="2"/>
        <v xml:space="preserve">* El Número de Pueblos Originarios no puede superar el Total Ambos Sexos. * El Número de Migrantes no puede superar el Total Ambos Sexos. </v>
      </c>
      <c r="CB16" s="1865" t="str">
        <f t="shared" si="3"/>
        <v xml:space="preserve">* El Número de Pueblos Originarios no puede superar el Total Ambos Sexos. </v>
      </c>
      <c r="CC16" s="1865" t="str">
        <f t="shared" si="4"/>
        <v xml:space="preserve">* El Número de Migrantes no puede superar el Total Ambos Sexos. </v>
      </c>
      <c r="CG16" s="1867">
        <f t="shared" si="1"/>
        <v>1</v>
      </c>
      <c r="CH16" s="1867">
        <f t="shared" si="1"/>
        <v>1</v>
      </c>
    </row>
    <row r="17" spans="1:87" ht="15" customHeight="1" x14ac:dyDescent="0.25">
      <c r="A17" s="5607" t="s">
        <v>4612</v>
      </c>
      <c r="B17" s="2142" t="s">
        <v>194</v>
      </c>
      <c r="C17" s="482" t="s">
        <v>4567</v>
      </c>
      <c r="D17" s="483" t="s">
        <v>4568</v>
      </c>
      <c r="E17" s="484" t="s">
        <v>4569</v>
      </c>
      <c r="F17" s="853" t="s">
        <v>4570</v>
      </c>
      <c r="G17" s="1975" t="s">
        <v>4571</v>
      </c>
      <c r="H17" s="853" t="s">
        <v>4572</v>
      </c>
      <c r="I17" s="1975" t="s">
        <v>4573</v>
      </c>
      <c r="J17" s="853" t="s">
        <v>4574</v>
      </c>
      <c r="K17" s="1975" t="s">
        <v>4575</v>
      </c>
      <c r="L17" s="853" t="s">
        <v>4576</v>
      </c>
      <c r="M17" s="1975" t="s">
        <v>4577</v>
      </c>
      <c r="N17" s="853" t="s">
        <v>4578</v>
      </c>
      <c r="O17" s="1975" t="s">
        <v>4579</v>
      </c>
      <c r="P17" s="853" t="s">
        <v>4580</v>
      </c>
      <c r="Q17" s="1975" t="s">
        <v>4581</v>
      </c>
      <c r="R17" s="853" t="s">
        <v>4582</v>
      </c>
      <c r="S17" s="1975" t="s">
        <v>4583</v>
      </c>
      <c r="T17" s="853" t="s">
        <v>4584</v>
      </c>
      <c r="U17" s="1975" t="s">
        <v>4585</v>
      </c>
      <c r="V17" s="853" t="s">
        <v>4586</v>
      </c>
      <c r="W17" s="1975" t="s">
        <v>4587</v>
      </c>
      <c r="X17" s="853" t="s">
        <v>4588</v>
      </c>
      <c r="Y17" s="1975" t="s">
        <v>4589</v>
      </c>
      <c r="Z17" s="853" t="s">
        <v>4590</v>
      </c>
      <c r="AA17" s="1975" t="s">
        <v>4591</v>
      </c>
      <c r="AB17" s="853" t="s">
        <v>4592</v>
      </c>
      <c r="AC17" s="324" t="s">
        <v>4593</v>
      </c>
      <c r="AD17" s="1906" t="s">
        <v>4594</v>
      </c>
      <c r="AE17" s="324" t="s">
        <v>4595</v>
      </c>
      <c r="AF17" s="1906" t="s">
        <v>4596</v>
      </c>
      <c r="AG17" s="325" t="s">
        <v>4597</v>
      </c>
      <c r="AH17" s="1879" t="s">
        <v>4598</v>
      </c>
      <c r="AI17" s="854" t="s">
        <v>4599</v>
      </c>
      <c r="AJ17" s="1936" t="str">
        <f t="shared" si="2"/>
        <v xml:space="preserve">* El Número de Pueblos Originarios no puede superar el Total Ambos Sexos. * El Número de Migrantes no puede superar el Total Ambos Sexos. </v>
      </c>
      <c r="CB17" s="1865" t="str">
        <f t="shared" si="3"/>
        <v xml:space="preserve">* El Número de Pueblos Originarios no puede superar el Total Ambos Sexos. </v>
      </c>
      <c r="CC17" s="1865" t="str">
        <f t="shared" si="4"/>
        <v xml:space="preserve">* El Número de Migrantes no puede superar el Total Ambos Sexos. </v>
      </c>
      <c r="CG17" s="1867">
        <f t="shared" si="1"/>
        <v>1</v>
      </c>
      <c r="CH17" s="1867">
        <f t="shared" si="1"/>
        <v>1</v>
      </c>
    </row>
    <row r="18" spans="1:87" s="6" customFormat="1" ht="18" customHeight="1" x14ac:dyDescent="0.2">
      <c r="A18" s="5608"/>
      <c r="B18" s="6017" t="s">
        <v>195</v>
      </c>
      <c r="C18" s="6017"/>
      <c r="D18" s="6017"/>
      <c r="E18" s="6017"/>
      <c r="F18" s="6017"/>
      <c r="G18" s="6017"/>
      <c r="H18" s="6017"/>
      <c r="I18" s="6017"/>
      <c r="J18" s="6017"/>
      <c r="K18" s="6017"/>
      <c r="L18" s="6017"/>
      <c r="M18" s="6017"/>
      <c r="N18" s="6017"/>
      <c r="O18" s="6017"/>
      <c r="P18" s="6017"/>
      <c r="Q18" s="6017"/>
      <c r="R18" s="6017"/>
      <c r="S18" s="6017"/>
      <c r="T18" s="6017"/>
      <c r="U18" s="6017"/>
      <c r="V18" s="6017"/>
      <c r="W18" s="6017"/>
      <c r="X18" s="6017"/>
      <c r="Y18" s="6017"/>
      <c r="Z18" s="6017"/>
      <c r="AA18" s="6017"/>
      <c r="AB18" s="6017"/>
      <c r="AC18" s="6017"/>
      <c r="AD18" s="6017"/>
      <c r="AE18" s="6017"/>
      <c r="AF18" s="6017"/>
      <c r="AG18" s="6017"/>
      <c r="AH18" s="5"/>
      <c r="AI18" s="5"/>
    </row>
    <row r="19" spans="1:87" ht="15" customHeight="1" x14ac:dyDescent="0.25">
      <c r="A19" s="5608"/>
      <c r="B19" s="6097" t="s">
        <v>196</v>
      </c>
      <c r="C19" s="6031" t="s">
        <v>77</v>
      </c>
      <c r="D19" s="6029"/>
      <c r="E19" s="6094"/>
      <c r="F19" s="6009" t="s">
        <v>44</v>
      </c>
      <c r="G19" s="6095"/>
      <c r="H19" s="6009" t="s">
        <v>45</v>
      </c>
      <c r="I19" s="6025"/>
      <c r="J19" s="6009" t="s">
        <v>46</v>
      </c>
      <c r="K19" s="6025"/>
      <c r="L19" s="6009" t="s">
        <v>47</v>
      </c>
      <c r="M19" s="6025"/>
      <c r="N19" s="6009" t="s">
        <v>48</v>
      </c>
      <c r="O19" s="6025"/>
      <c r="P19" s="6009" t="s">
        <v>49</v>
      </c>
      <c r="Q19" s="6025"/>
      <c r="R19" s="6009" t="s">
        <v>50</v>
      </c>
      <c r="S19" s="6025"/>
      <c r="T19" s="6009" t="s">
        <v>51</v>
      </c>
      <c r="U19" s="6025"/>
      <c r="V19" s="6009" t="s">
        <v>52</v>
      </c>
      <c r="W19" s="6025"/>
      <c r="X19" s="6009" t="s">
        <v>53</v>
      </c>
      <c r="Y19" s="6025"/>
      <c r="Z19" s="6009" t="s">
        <v>54</v>
      </c>
      <c r="AA19" s="6025"/>
      <c r="AB19" s="6009" t="s">
        <v>55</v>
      </c>
      <c r="AC19" s="6025"/>
      <c r="AD19" s="6009" t="s">
        <v>56</v>
      </c>
      <c r="AE19" s="6025"/>
      <c r="AF19" s="6009" t="s">
        <v>57</v>
      </c>
      <c r="AG19" s="6047"/>
      <c r="AH19" s="6096" t="s">
        <v>36</v>
      </c>
      <c r="AI19" s="6026" t="s">
        <v>37</v>
      </c>
    </row>
    <row r="20" spans="1:87" ht="15" customHeight="1" x14ac:dyDescent="0.25">
      <c r="A20" s="5608"/>
      <c r="B20" s="6098"/>
      <c r="C20" s="2055" t="s">
        <v>79</v>
      </c>
      <c r="D20" s="2131" t="s">
        <v>58</v>
      </c>
      <c r="E20" s="2130" t="s">
        <v>59</v>
      </c>
      <c r="F20" s="2055" t="s">
        <v>58</v>
      </c>
      <c r="G20" s="2132" t="s">
        <v>59</v>
      </c>
      <c r="H20" s="2055" t="s">
        <v>58</v>
      </c>
      <c r="I20" s="2132" t="s">
        <v>59</v>
      </c>
      <c r="J20" s="2055" t="s">
        <v>58</v>
      </c>
      <c r="K20" s="2132" t="s">
        <v>59</v>
      </c>
      <c r="L20" s="2055" t="s">
        <v>58</v>
      </c>
      <c r="M20" s="2132" t="s">
        <v>59</v>
      </c>
      <c r="N20" s="2055" t="s">
        <v>58</v>
      </c>
      <c r="O20" s="2132" t="s">
        <v>59</v>
      </c>
      <c r="P20" s="2055" t="s">
        <v>58</v>
      </c>
      <c r="Q20" s="2132" t="s">
        <v>59</v>
      </c>
      <c r="R20" s="2055" t="s">
        <v>58</v>
      </c>
      <c r="S20" s="2132" t="s">
        <v>59</v>
      </c>
      <c r="T20" s="2055" t="s">
        <v>58</v>
      </c>
      <c r="U20" s="2132" t="s">
        <v>59</v>
      </c>
      <c r="V20" s="2055" t="s">
        <v>58</v>
      </c>
      <c r="W20" s="2132" t="s">
        <v>59</v>
      </c>
      <c r="X20" s="2055" t="s">
        <v>58</v>
      </c>
      <c r="Y20" s="2132" t="s">
        <v>59</v>
      </c>
      <c r="Z20" s="2055" t="s">
        <v>58</v>
      </c>
      <c r="AA20" s="2132" t="s">
        <v>59</v>
      </c>
      <c r="AB20" s="2055" t="s">
        <v>58</v>
      </c>
      <c r="AC20" s="2132" t="s">
        <v>59</v>
      </c>
      <c r="AD20" s="2055" t="s">
        <v>58</v>
      </c>
      <c r="AE20" s="2132" t="s">
        <v>59</v>
      </c>
      <c r="AF20" s="2055" t="s">
        <v>58</v>
      </c>
      <c r="AG20" s="2133" t="s">
        <v>59</v>
      </c>
      <c r="AH20" s="6035"/>
      <c r="AI20" s="6028"/>
    </row>
    <row r="21" spans="1:87" ht="15" customHeight="1" x14ac:dyDescent="0.25">
      <c r="A21" s="5606"/>
      <c r="B21" s="2134" t="s">
        <v>77</v>
      </c>
      <c r="C21" s="2135">
        <f>SUM(C22:C25)</f>
        <v>0</v>
      </c>
      <c r="D21" s="2039">
        <f>SUM(D22:D25)</f>
        <v>0</v>
      </c>
      <c r="E21" s="2040">
        <f>SUM(E22:E25)</f>
        <v>0</v>
      </c>
      <c r="F21" s="2135">
        <f t="shared" ref="F21:AG21" si="5">SUM(F22:F25)</f>
        <v>0</v>
      </c>
      <c r="G21" s="2136">
        <f t="shared" si="5"/>
        <v>0</v>
      </c>
      <c r="H21" s="2135">
        <f t="shared" si="5"/>
        <v>0</v>
      </c>
      <c r="I21" s="2136">
        <f t="shared" si="5"/>
        <v>0</v>
      </c>
      <c r="J21" s="2135">
        <f t="shared" si="5"/>
        <v>0</v>
      </c>
      <c r="K21" s="2136">
        <f t="shared" si="5"/>
        <v>0</v>
      </c>
      <c r="L21" s="2135">
        <f t="shared" si="5"/>
        <v>0</v>
      </c>
      <c r="M21" s="2136">
        <f t="shared" si="5"/>
        <v>0</v>
      </c>
      <c r="N21" s="2135">
        <f t="shared" si="5"/>
        <v>0</v>
      </c>
      <c r="O21" s="2136">
        <f t="shared" si="5"/>
        <v>0</v>
      </c>
      <c r="P21" s="2135">
        <f t="shared" si="5"/>
        <v>0</v>
      </c>
      <c r="Q21" s="2136">
        <f t="shared" si="5"/>
        <v>0</v>
      </c>
      <c r="R21" s="2135">
        <f t="shared" si="5"/>
        <v>0</v>
      </c>
      <c r="S21" s="2136">
        <f t="shared" si="5"/>
        <v>0</v>
      </c>
      <c r="T21" s="2135">
        <f t="shared" si="5"/>
        <v>0</v>
      </c>
      <c r="U21" s="2136">
        <f t="shared" si="5"/>
        <v>0</v>
      </c>
      <c r="V21" s="2135">
        <f t="shared" si="5"/>
        <v>0</v>
      </c>
      <c r="W21" s="2136">
        <f t="shared" si="5"/>
        <v>0</v>
      </c>
      <c r="X21" s="2135">
        <f t="shared" si="5"/>
        <v>0</v>
      </c>
      <c r="Y21" s="2136">
        <f t="shared" si="5"/>
        <v>0</v>
      </c>
      <c r="Z21" s="2135">
        <f t="shared" si="5"/>
        <v>0</v>
      </c>
      <c r="AA21" s="2136">
        <f t="shared" si="5"/>
        <v>0</v>
      </c>
      <c r="AB21" s="2135">
        <f t="shared" si="5"/>
        <v>0</v>
      </c>
      <c r="AC21" s="2136">
        <f t="shared" si="5"/>
        <v>0</v>
      </c>
      <c r="AD21" s="2135">
        <f t="shared" si="5"/>
        <v>0</v>
      </c>
      <c r="AE21" s="2136">
        <f t="shared" si="5"/>
        <v>0</v>
      </c>
      <c r="AF21" s="2135">
        <f t="shared" si="5"/>
        <v>0</v>
      </c>
      <c r="AG21" s="2041">
        <f t="shared" si="5"/>
        <v>0</v>
      </c>
      <c r="AH21" s="2138">
        <f>SUM(AH22:AH25)</f>
        <v>0</v>
      </c>
      <c r="AI21" s="2040">
        <f>SUM(AI22:AI25)</f>
        <v>0</v>
      </c>
      <c r="AJ21" s="24" t="str">
        <f>CB21&amp;CC21&amp;CD21</f>
        <v/>
      </c>
      <c r="CB21" s="1936"/>
      <c r="CC21" s="1865" t="str">
        <f>IF(D21&lt;&gt;D11," * Debe coincidir el Total de EMP según estado nutricional en Hombres, con los EMP realizados en Hombres según Profesional de la Sección A","")</f>
        <v/>
      </c>
      <c r="CD21" s="1865" t="str">
        <f>IF(E21&lt;&gt;E11," * Debe coincidir el Total de EMP según estado nutricional en Mujeres, con los EMP realizados en Mujeres según Profesional de la Sección A","")</f>
        <v/>
      </c>
      <c r="CH21" s="1867">
        <f>IF(D21&lt;&gt;D11,1,0)</f>
        <v>0</v>
      </c>
      <c r="CI21" s="1867">
        <f>IF(E21&lt;&gt;E11,1,0)</f>
        <v>0</v>
      </c>
    </row>
    <row r="22" spans="1:87" ht="15" customHeight="1" x14ac:dyDescent="0.25">
      <c r="A22" s="5601" t="s">
        <v>4613</v>
      </c>
      <c r="B22" s="1784" t="s">
        <v>197</v>
      </c>
      <c r="C22" s="477" t="s">
        <v>4567</v>
      </c>
      <c r="D22" s="478" t="s">
        <v>4568</v>
      </c>
      <c r="E22" s="479" t="s">
        <v>4569</v>
      </c>
      <c r="F22" s="326" t="s">
        <v>4570</v>
      </c>
      <c r="G22" s="882" t="s">
        <v>4571</v>
      </c>
      <c r="H22" s="326" t="s">
        <v>4572</v>
      </c>
      <c r="I22" s="882" t="s">
        <v>4573</v>
      </c>
      <c r="J22" s="326" t="s">
        <v>4574</v>
      </c>
      <c r="K22" s="882" t="s">
        <v>4575</v>
      </c>
      <c r="L22" s="326" t="s">
        <v>4576</v>
      </c>
      <c r="M22" s="882" t="s">
        <v>4577</v>
      </c>
      <c r="N22" s="326" t="s">
        <v>4578</v>
      </c>
      <c r="O22" s="882" t="s">
        <v>4579</v>
      </c>
      <c r="P22" s="326" t="s">
        <v>4580</v>
      </c>
      <c r="Q22" s="882" t="s">
        <v>4581</v>
      </c>
      <c r="R22" s="326" t="s">
        <v>4582</v>
      </c>
      <c r="S22" s="882" t="s">
        <v>4583</v>
      </c>
      <c r="T22" s="326" t="s">
        <v>4584</v>
      </c>
      <c r="U22" s="882" t="s">
        <v>4585</v>
      </c>
      <c r="V22" s="326" t="s">
        <v>4586</v>
      </c>
      <c r="W22" s="882" t="s">
        <v>4587</v>
      </c>
      <c r="X22" s="326" t="s">
        <v>4588</v>
      </c>
      <c r="Y22" s="882" t="s">
        <v>4589</v>
      </c>
      <c r="Z22" s="326" t="s">
        <v>4590</v>
      </c>
      <c r="AA22" s="882" t="s">
        <v>4591</v>
      </c>
      <c r="AB22" s="326" t="s">
        <v>4592</v>
      </c>
      <c r="AC22" s="882" t="s">
        <v>4593</v>
      </c>
      <c r="AD22" s="326" t="s">
        <v>4594</v>
      </c>
      <c r="AE22" s="882" t="s">
        <v>4595</v>
      </c>
      <c r="AF22" s="326" t="s">
        <v>4596</v>
      </c>
      <c r="AG22" s="1001" t="s">
        <v>4597</v>
      </c>
      <c r="AH22" s="336" t="s">
        <v>4598</v>
      </c>
      <c r="AI22" s="142" t="s">
        <v>4599</v>
      </c>
      <c r="AJ22" s="24" t="str">
        <f t="shared" ref="AJ22:AJ25" si="6">CB22&amp;CC22&amp;CD22</f>
        <v xml:space="preserve">* El Número de Pueblos Originarios no puede superar el Total Ambos Sexos. * El Número de Migrantes no puede superar el Total Ambos Sexos. </v>
      </c>
      <c r="CB22" s="1865" t="str">
        <f>IF(AND($C22&lt;&gt;0,AH22=""),"* No olvide digitar la columna "&amp;AH$19&amp;""&amp;". Digite CERO si no tiene.  ",IF(AH22&gt;$C22,"* El Número de Pueblos Originarios no puede superar el Total Ambos Sexos. ",""))</f>
        <v xml:space="preserve">* El Número de Pueblos Originarios no puede superar el Total Ambos Sexos. </v>
      </c>
      <c r="CC22" s="1865" t="str">
        <f>IF(AND($C22&lt;&gt;0,AI22=""),"* No olvide ingresar la columna "&amp;AI$19&amp;""&amp;" (Digite CERO si no tiene).  ",IF(AI22&gt;$C22,"* El Número de Migrantes no puede superar el Total Ambos Sexos. ",""))</f>
        <v xml:space="preserve">* El Número de Migrantes no puede superar el Total Ambos Sexos. </v>
      </c>
      <c r="CG22" s="1867">
        <f>IF(AND($C22&lt;&gt;0,AH22=""),1,IF(AH22&gt;$C22,1,0))</f>
        <v>1</v>
      </c>
      <c r="CH22" s="1867">
        <f>IF(AND($C22&lt;&gt;0,AI22=""),1,IF(AI22&gt;$C22,1,0))</f>
        <v>1</v>
      </c>
    </row>
    <row r="23" spans="1:87" ht="15" customHeight="1" x14ac:dyDescent="0.25">
      <c r="A23" s="5601" t="s">
        <v>4614</v>
      </c>
      <c r="B23" s="910" t="s">
        <v>198</v>
      </c>
      <c r="C23" s="477" t="s">
        <v>4567</v>
      </c>
      <c r="D23" s="478" t="s">
        <v>4568</v>
      </c>
      <c r="E23" s="479" t="s">
        <v>4569</v>
      </c>
      <c r="F23" s="328" t="s">
        <v>4570</v>
      </c>
      <c r="G23" s="1969" t="s">
        <v>4571</v>
      </c>
      <c r="H23" s="328" t="s">
        <v>4572</v>
      </c>
      <c r="I23" s="1969" t="s">
        <v>4573</v>
      </c>
      <c r="J23" s="328" t="s">
        <v>4574</v>
      </c>
      <c r="K23" s="1969" t="s">
        <v>4575</v>
      </c>
      <c r="L23" s="328" t="s">
        <v>4576</v>
      </c>
      <c r="M23" s="1969" t="s">
        <v>4577</v>
      </c>
      <c r="N23" s="328" t="s">
        <v>4578</v>
      </c>
      <c r="O23" s="1969" t="s">
        <v>4579</v>
      </c>
      <c r="P23" s="328" t="s">
        <v>4580</v>
      </c>
      <c r="Q23" s="1969" t="s">
        <v>4581</v>
      </c>
      <c r="R23" s="328" t="s">
        <v>4582</v>
      </c>
      <c r="S23" s="1969" t="s">
        <v>4583</v>
      </c>
      <c r="T23" s="328" t="s">
        <v>4584</v>
      </c>
      <c r="U23" s="1969" t="s">
        <v>4585</v>
      </c>
      <c r="V23" s="328" t="s">
        <v>4586</v>
      </c>
      <c r="W23" s="1969" t="s">
        <v>4587</v>
      </c>
      <c r="X23" s="328" t="s">
        <v>4588</v>
      </c>
      <c r="Y23" s="1969" t="s">
        <v>4589</v>
      </c>
      <c r="Z23" s="328" t="s">
        <v>4590</v>
      </c>
      <c r="AA23" s="1969" t="s">
        <v>4591</v>
      </c>
      <c r="AB23" s="328" t="s">
        <v>4592</v>
      </c>
      <c r="AC23" s="1969" t="s">
        <v>4593</v>
      </c>
      <c r="AD23" s="328" t="s">
        <v>4594</v>
      </c>
      <c r="AE23" s="1969" t="s">
        <v>4595</v>
      </c>
      <c r="AF23" s="328" t="s">
        <v>4596</v>
      </c>
      <c r="AG23" s="331" t="s">
        <v>4597</v>
      </c>
      <c r="AH23" s="1970" t="s">
        <v>4598</v>
      </c>
      <c r="AI23" s="329" t="s">
        <v>4599</v>
      </c>
      <c r="AJ23" s="24" t="str">
        <f t="shared" si="6"/>
        <v xml:space="preserve">* El Número de Pueblos Originarios no puede superar el Total Ambos Sexos. * El Número de Migrantes no puede superar el Total Ambos Sexos. </v>
      </c>
      <c r="CB23" s="1865" t="str">
        <f t="shared" ref="CB23:CB25" si="7">IF(AND($C23&lt;&gt;0,AH23=""),"* No olvide digitar la columna "&amp;AH$19&amp;""&amp;". Digite CERO si no tiene.  ",IF(AH23&gt;$C23,"* El Número de Pueblos Originarios no puede superar el Total Ambos Sexos. ",""))</f>
        <v xml:space="preserve">* El Número de Pueblos Originarios no puede superar el Total Ambos Sexos. </v>
      </c>
      <c r="CC23" s="1865" t="str">
        <f t="shared" ref="CC23:CC25" si="8">IF(AND($C23&lt;&gt;0,AI23=""),"* No olvide ingresar la columna "&amp;AI$19&amp;""&amp;" (Digite CERO si no tiene).  ",IF(AI23&gt;$C23,"* El Número de Migrantes no puede superar el Total Ambos Sexos. ",""))</f>
        <v xml:space="preserve">* El Número de Migrantes no puede superar el Total Ambos Sexos. </v>
      </c>
      <c r="CG23" s="1867">
        <f t="shared" ref="CG23:CH25" si="9">IF(AND($C23&lt;&gt;0,AH23=""),1,IF(AH23&gt;$C23,1,0))</f>
        <v>1</v>
      </c>
      <c r="CH23" s="1867">
        <f t="shared" si="9"/>
        <v>1</v>
      </c>
    </row>
    <row r="24" spans="1:87" ht="15" customHeight="1" x14ac:dyDescent="0.25">
      <c r="A24" s="5601" t="s">
        <v>4615</v>
      </c>
      <c r="B24" s="910" t="s">
        <v>199</v>
      </c>
      <c r="C24" s="477" t="s">
        <v>4567</v>
      </c>
      <c r="D24" s="478" t="s">
        <v>4568</v>
      </c>
      <c r="E24" s="479" t="s">
        <v>4569</v>
      </c>
      <c r="F24" s="326" t="s">
        <v>4570</v>
      </c>
      <c r="G24" s="882" t="s">
        <v>4571</v>
      </c>
      <c r="H24" s="326" t="s">
        <v>4572</v>
      </c>
      <c r="I24" s="882" t="s">
        <v>4573</v>
      </c>
      <c r="J24" s="326" t="s">
        <v>4574</v>
      </c>
      <c r="K24" s="882" t="s">
        <v>4575</v>
      </c>
      <c r="L24" s="326" t="s">
        <v>4576</v>
      </c>
      <c r="M24" s="882" t="s">
        <v>4577</v>
      </c>
      <c r="N24" s="326" t="s">
        <v>4578</v>
      </c>
      <c r="O24" s="882" t="s">
        <v>4579</v>
      </c>
      <c r="P24" s="326" t="s">
        <v>4580</v>
      </c>
      <c r="Q24" s="882" t="s">
        <v>4581</v>
      </c>
      <c r="R24" s="326" t="s">
        <v>4582</v>
      </c>
      <c r="S24" s="882" t="s">
        <v>4583</v>
      </c>
      <c r="T24" s="326" t="s">
        <v>4584</v>
      </c>
      <c r="U24" s="882" t="s">
        <v>4585</v>
      </c>
      <c r="V24" s="326" t="s">
        <v>4586</v>
      </c>
      <c r="W24" s="882" t="s">
        <v>4587</v>
      </c>
      <c r="X24" s="326" t="s">
        <v>4588</v>
      </c>
      <c r="Y24" s="882" t="s">
        <v>4589</v>
      </c>
      <c r="Z24" s="326" t="s">
        <v>4590</v>
      </c>
      <c r="AA24" s="882" t="s">
        <v>4591</v>
      </c>
      <c r="AB24" s="326" t="s">
        <v>4592</v>
      </c>
      <c r="AC24" s="882" t="s">
        <v>4593</v>
      </c>
      <c r="AD24" s="326" t="s">
        <v>4594</v>
      </c>
      <c r="AE24" s="882" t="s">
        <v>4595</v>
      </c>
      <c r="AF24" s="326" t="s">
        <v>4596</v>
      </c>
      <c r="AG24" s="1001" t="s">
        <v>4597</v>
      </c>
      <c r="AH24" s="336" t="s">
        <v>4598</v>
      </c>
      <c r="AI24" s="142" t="s">
        <v>4599</v>
      </c>
      <c r="AJ24" s="24" t="str">
        <f t="shared" si="6"/>
        <v xml:space="preserve">* El Número de Pueblos Originarios no puede superar el Total Ambos Sexos. * El Número de Migrantes no puede superar el Total Ambos Sexos. </v>
      </c>
      <c r="CB24" s="1865" t="str">
        <f t="shared" si="7"/>
        <v xml:space="preserve">* El Número de Pueblos Originarios no puede superar el Total Ambos Sexos. </v>
      </c>
      <c r="CC24" s="1865" t="str">
        <f t="shared" si="8"/>
        <v xml:space="preserve">* El Número de Migrantes no puede superar el Total Ambos Sexos. </v>
      </c>
      <c r="CG24" s="1867">
        <f t="shared" si="9"/>
        <v>1</v>
      </c>
      <c r="CH24" s="1867">
        <f t="shared" si="9"/>
        <v>1</v>
      </c>
    </row>
    <row r="25" spans="1:87" ht="15" customHeight="1" x14ac:dyDescent="0.25">
      <c r="A25" s="5601" t="s">
        <v>4616</v>
      </c>
      <c r="B25" s="2143" t="s">
        <v>200</v>
      </c>
      <c r="C25" s="482" t="s">
        <v>4567</v>
      </c>
      <c r="D25" s="483" t="s">
        <v>4568</v>
      </c>
      <c r="E25" s="484" t="s">
        <v>4569</v>
      </c>
      <c r="F25" s="853" t="s">
        <v>4570</v>
      </c>
      <c r="G25" s="1975" t="s">
        <v>4571</v>
      </c>
      <c r="H25" s="853" t="s">
        <v>4572</v>
      </c>
      <c r="I25" s="1975" t="s">
        <v>4573</v>
      </c>
      <c r="J25" s="853" t="s">
        <v>4574</v>
      </c>
      <c r="K25" s="1975" t="s">
        <v>4575</v>
      </c>
      <c r="L25" s="853" t="s">
        <v>4576</v>
      </c>
      <c r="M25" s="1975" t="s">
        <v>4577</v>
      </c>
      <c r="N25" s="853" t="s">
        <v>4578</v>
      </c>
      <c r="O25" s="1975" t="s">
        <v>4579</v>
      </c>
      <c r="P25" s="853" t="s">
        <v>4580</v>
      </c>
      <c r="Q25" s="1975" t="s">
        <v>4581</v>
      </c>
      <c r="R25" s="853" t="s">
        <v>4582</v>
      </c>
      <c r="S25" s="1975" t="s">
        <v>4583</v>
      </c>
      <c r="T25" s="853" t="s">
        <v>4584</v>
      </c>
      <c r="U25" s="1975" t="s">
        <v>4585</v>
      </c>
      <c r="V25" s="853" t="s">
        <v>4586</v>
      </c>
      <c r="W25" s="1975" t="s">
        <v>4587</v>
      </c>
      <c r="X25" s="853" t="s">
        <v>4588</v>
      </c>
      <c r="Y25" s="1975" t="s">
        <v>4589</v>
      </c>
      <c r="Z25" s="853" t="s">
        <v>4590</v>
      </c>
      <c r="AA25" s="1975" t="s">
        <v>4591</v>
      </c>
      <c r="AB25" s="853" t="s">
        <v>4592</v>
      </c>
      <c r="AC25" s="1975" t="s">
        <v>4593</v>
      </c>
      <c r="AD25" s="853" t="s">
        <v>4594</v>
      </c>
      <c r="AE25" s="1975" t="s">
        <v>4595</v>
      </c>
      <c r="AF25" s="853" t="s">
        <v>4596</v>
      </c>
      <c r="AG25" s="1919" t="s">
        <v>4597</v>
      </c>
      <c r="AH25" s="1879" t="s">
        <v>4598</v>
      </c>
      <c r="AI25" s="854" t="s">
        <v>4599</v>
      </c>
      <c r="AJ25" s="24" t="str">
        <f t="shared" si="6"/>
        <v xml:space="preserve">* El Número de Pueblos Originarios no puede superar el Total Ambos Sexos. * El Número de Migrantes no puede superar el Total Ambos Sexos. </v>
      </c>
      <c r="CB25" s="1865" t="str">
        <f t="shared" si="7"/>
        <v xml:space="preserve">* El Número de Pueblos Originarios no puede superar el Total Ambos Sexos. </v>
      </c>
      <c r="CC25" s="1865" t="str">
        <f t="shared" si="8"/>
        <v xml:space="preserve">* El Número de Migrantes no puede superar el Total Ambos Sexos. </v>
      </c>
      <c r="CG25" s="1867">
        <f t="shared" si="9"/>
        <v>1</v>
      </c>
      <c r="CH25" s="1867">
        <f t="shared" si="9"/>
        <v>1</v>
      </c>
    </row>
    <row r="26" spans="1:87" s="6" customFormat="1" ht="18" customHeight="1" x14ac:dyDescent="0.2">
      <c r="A26" s="5608"/>
      <c r="B26" s="6092" t="s">
        <v>201</v>
      </c>
      <c r="C26" s="6092"/>
      <c r="D26" s="6092"/>
      <c r="E26" s="6092"/>
      <c r="F26" s="6092"/>
      <c r="G26" s="6092"/>
      <c r="H26" s="6092"/>
      <c r="I26" s="6092"/>
      <c r="J26" s="6092"/>
      <c r="K26" s="6092"/>
      <c r="L26" s="6092"/>
      <c r="M26" s="6092"/>
      <c r="N26" s="6092"/>
      <c r="O26" s="6092"/>
      <c r="P26" s="6092"/>
      <c r="Q26" s="6092"/>
      <c r="R26" s="6092"/>
      <c r="S26" s="6092"/>
      <c r="T26" s="6092"/>
      <c r="U26" s="6092"/>
      <c r="V26" s="6092"/>
      <c r="W26" s="6092"/>
      <c r="X26" s="6092"/>
      <c r="Y26" s="6092"/>
      <c r="Z26" s="6092"/>
      <c r="AA26" s="6092"/>
      <c r="AB26" s="6092"/>
      <c r="AC26" s="6092"/>
      <c r="AD26" s="6092"/>
      <c r="AE26" s="6092"/>
      <c r="AF26" s="6092"/>
      <c r="AG26" s="6092"/>
      <c r="AH26" s="5"/>
      <c r="AI26" s="5"/>
      <c r="AJ26" s="24"/>
    </row>
    <row r="27" spans="1:87" ht="15" customHeight="1" x14ac:dyDescent="0.25">
      <c r="A27" s="5608"/>
      <c r="B27" s="6054" t="s">
        <v>202</v>
      </c>
      <c r="C27" s="6031" t="s">
        <v>77</v>
      </c>
      <c r="D27" s="6029"/>
      <c r="E27" s="6094"/>
      <c r="F27" s="6009" t="s">
        <v>44</v>
      </c>
      <c r="G27" s="6095"/>
      <c r="H27" s="6009" t="s">
        <v>45</v>
      </c>
      <c r="I27" s="6025"/>
      <c r="J27" s="6009" t="s">
        <v>46</v>
      </c>
      <c r="K27" s="6025"/>
      <c r="L27" s="6009" t="s">
        <v>47</v>
      </c>
      <c r="M27" s="6025"/>
      <c r="N27" s="6009" t="s">
        <v>48</v>
      </c>
      <c r="O27" s="6025"/>
      <c r="P27" s="6009" t="s">
        <v>49</v>
      </c>
      <c r="Q27" s="6025"/>
      <c r="R27" s="6009" t="s">
        <v>50</v>
      </c>
      <c r="S27" s="6025"/>
      <c r="T27" s="6009" t="s">
        <v>51</v>
      </c>
      <c r="U27" s="6025"/>
      <c r="V27" s="6009" t="s">
        <v>52</v>
      </c>
      <c r="W27" s="6025"/>
      <c r="X27" s="6009" t="s">
        <v>53</v>
      </c>
      <c r="Y27" s="6025"/>
      <c r="Z27" s="6009" t="s">
        <v>54</v>
      </c>
      <c r="AA27" s="6025"/>
      <c r="AB27" s="6009" t="s">
        <v>55</v>
      </c>
      <c r="AC27" s="6025"/>
      <c r="AD27" s="6009" t="s">
        <v>56</v>
      </c>
      <c r="AE27" s="6025"/>
      <c r="AF27" s="6009" t="s">
        <v>57</v>
      </c>
      <c r="AG27" s="6047"/>
      <c r="AH27" s="6096" t="s">
        <v>36</v>
      </c>
      <c r="AI27" s="6026" t="s">
        <v>37</v>
      </c>
    </row>
    <row r="28" spans="1:87" ht="15" customHeight="1" x14ac:dyDescent="0.25">
      <c r="A28" s="5608"/>
      <c r="B28" s="6093"/>
      <c r="C28" s="2055" t="s">
        <v>79</v>
      </c>
      <c r="D28" s="2131" t="s">
        <v>58</v>
      </c>
      <c r="E28" s="2130" t="s">
        <v>59</v>
      </c>
      <c r="F28" s="2055" t="s">
        <v>58</v>
      </c>
      <c r="G28" s="2132" t="s">
        <v>59</v>
      </c>
      <c r="H28" s="2055" t="s">
        <v>58</v>
      </c>
      <c r="I28" s="2132" t="s">
        <v>59</v>
      </c>
      <c r="J28" s="2055" t="s">
        <v>58</v>
      </c>
      <c r="K28" s="2132" t="s">
        <v>59</v>
      </c>
      <c r="L28" s="2055" t="s">
        <v>58</v>
      </c>
      <c r="M28" s="2132" t="s">
        <v>59</v>
      </c>
      <c r="N28" s="2055" t="s">
        <v>58</v>
      </c>
      <c r="O28" s="2132" t="s">
        <v>59</v>
      </c>
      <c r="P28" s="2055" t="s">
        <v>58</v>
      </c>
      <c r="Q28" s="2132" t="s">
        <v>59</v>
      </c>
      <c r="R28" s="2055" t="s">
        <v>58</v>
      </c>
      <c r="S28" s="2132" t="s">
        <v>59</v>
      </c>
      <c r="T28" s="2055" t="s">
        <v>58</v>
      </c>
      <c r="U28" s="2132" t="s">
        <v>59</v>
      </c>
      <c r="V28" s="2055" t="s">
        <v>58</v>
      </c>
      <c r="W28" s="2132" t="s">
        <v>59</v>
      </c>
      <c r="X28" s="2055" t="s">
        <v>58</v>
      </c>
      <c r="Y28" s="2132" t="s">
        <v>59</v>
      </c>
      <c r="Z28" s="2055" t="s">
        <v>58</v>
      </c>
      <c r="AA28" s="2132" t="s">
        <v>59</v>
      </c>
      <c r="AB28" s="2055" t="s">
        <v>58</v>
      </c>
      <c r="AC28" s="2132" t="s">
        <v>59</v>
      </c>
      <c r="AD28" s="2055" t="s">
        <v>58</v>
      </c>
      <c r="AE28" s="2132" t="s">
        <v>59</v>
      </c>
      <c r="AF28" s="2055" t="s">
        <v>58</v>
      </c>
      <c r="AG28" s="2133" t="s">
        <v>59</v>
      </c>
      <c r="AH28" s="6035"/>
      <c r="AI28" s="6028"/>
    </row>
    <row r="29" spans="1:87" ht="15" customHeight="1" x14ac:dyDescent="0.25">
      <c r="A29" s="5601" t="s">
        <v>4617</v>
      </c>
      <c r="B29" s="2144" t="s">
        <v>203</v>
      </c>
      <c r="C29" s="2145" t="s">
        <v>4567</v>
      </c>
      <c r="D29" s="2139" t="s">
        <v>4568</v>
      </c>
      <c r="E29" s="2140" t="s">
        <v>4569</v>
      </c>
      <c r="F29" s="1902" t="s">
        <v>4570</v>
      </c>
      <c r="G29" s="1962" t="s">
        <v>4571</v>
      </c>
      <c r="H29" s="1902" t="s">
        <v>4572</v>
      </c>
      <c r="I29" s="1962" t="s">
        <v>4573</v>
      </c>
      <c r="J29" s="1902" t="s">
        <v>4574</v>
      </c>
      <c r="K29" s="1962" t="s">
        <v>4575</v>
      </c>
      <c r="L29" s="1902" t="s">
        <v>4576</v>
      </c>
      <c r="M29" s="1962" t="s">
        <v>4577</v>
      </c>
      <c r="N29" s="1902" t="s">
        <v>4578</v>
      </c>
      <c r="O29" s="1962" t="s">
        <v>4579</v>
      </c>
      <c r="P29" s="1902" t="s">
        <v>4580</v>
      </c>
      <c r="Q29" s="1962" t="s">
        <v>4581</v>
      </c>
      <c r="R29" s="1902" t="s">
        <v>4582</v>
      </c>
      <c r="S29" s="1962" t="s">
        <v>4583</v>
      </c>
      <c r="T29" s="1902" t="s">
        <v>4584</v>
      </c>
      <c r="U29" s="1962" t="s">
        <v>4585</v>
      </c>
      <c r="V29" s="1902" t="s">
        <v>4586</v>
      </c>
      <c r="W29" s="1962" t="s">
        <v>4587</v>
      </c>
      <c r="X29" s="1902" t="s">
        <v>4588</v>
      </c>
      <c r="Y29" s="1962" t="s">
        <v>4589</v>
      </c>
      <c r="Z29" s="1902" t="s">
        <v>4590</v>
      </c>
      <c r="AA29" s="1962" t="s">
        <v>4591</v>
      </c>
      <c r="AB29" s="1902" t="s">
        <v>4592</v>
      </c>
      <c r="AC29" s="1962" t="s">
        <v>4593</v>
      </c>
      <c r="AD29" s="1902" t="s">
        <v>4594</v>
      </c>
      <c r="AE29" s="1962" t="s">
        <v>4595</v>
      </c>
      <c r="AF29" s="1902" t="s">
        <v>4596</v>
      </c>
      <c r="AG29" s="2146" t="s">
        <v>4597</v>
      </c>
      <c r="AH29" s="1963" t="s">
        <v>4598</v>
      </c>
      <c r="AI29" s="1935" t="s">
        <v>4599</v>
      </c>
      <c r="AJ29" s="24" t="str">
        <f t="shared" ref="AJ29:AJ30" si="10">$CB29&amp;CC29</f>
        <v xml:space="preserve">* El Número de Pueblos Originarios no puede superar el Total Ambos Sexos. * El Número de Migrantes no puede superar el Total Ambos Sexos. </v>
      </c>
      <c r="CB29" s="1865" t="str">
        <f>IF(AND($C29&lt;&gt;0,AH29=""),"* No olvide ingresar la columna "&amp;AH$27&amp;""&amp;". Digite CERO si no tiene.  ",IF(AH29&gt;$C29,"* El Número de Pueblos Originarios no puede superar el Total Ambos Sexos. ",""))</f>
        <v xml:space="preserve">* El Número de Pueblos Originarios no puede superar el Total Ambos Sexos. </v>
      </c>
      <c r="CC29" s="1865" t="str">
        <f>IF(AND($C29&lt;&gt;0,AI29=""),"* No olvide ingresar la columna "&amp;AI$19&amp;""&amp;". Digite CERO si no tiene.  ",IF(AI29&gt;$C29,"* El Número de Migrantes no puede superar el Total Ambos Sexos. ",""))</f>
        <v xml:space="preserve">* El Número de Migrantes no puede superar el Total Ambos Sexos. </v>
      </c>
      <c r="CG29" s="1867">
        <f t="shared" ref="CG29:CH30" si="11">IF(AND($C29&lt;&gt;0,AH29=""),1,IF(AH29&gt;$C29,1,0))</f>
        <v>1</v>
      </c>
      <c r="CH29" s="1867">
        <f t="shared" si="11"/>
        <v>1</v>
      </c>
    </row>
    <row r="30" spans="1:87" ht="15" customHeight="1" x14ac:dyDescent="0.25">
      <c r="A30" s="5601" t="s">
        <v>4618</v>
      </c>
      <c r="B30" s="523" t="s">
        <v>204</v>
      </c>
      <c r="C30" s="482" t="s">
        <v>4567</v>
      </c>
      <c r="D30" s="483" t="s">
        <v>4568</v>
      </c>
      <c r="E30" s="484" t="s">
        <v>4569</v>
      </c>
      <c r="F30" s="1906" t="s">
        <v>4570</v>
      </c>
      <c r="G30" s="324" t="s">
        <v>4571</v>
      </c>
      <c r="H30" s="1906" t="s">
        <v>4572</v>
      </c>
      <c r="I30" s="324" t="s">
        <v>4573</v>
      </c>
      <c r="J30" s="1906" t="s">
        <v>4574</v>
      </c>
      <c r="K30" s="324" t="s">
        <v>4575</v>
      </c>
      <c r="L30" s="1906" t="s">
        <v>4576</v>
      </c>
      <c r="M30" s="324" t="s">
        <v>4577</v>
      </c>
      <c r="N30" s="1906" t="s">
        <v>4578</v>
      </c>
      <c r="O30" s="324" t="s">
        <v>4579</v>
      </c>
      <c r="P30" s="1906" t="s">
        <v>4580</v>
      </c>
      <c r="Q30" s="324" t="s">
        <v>4581</v>
      </c>
      <c r="R30" s="1906" t="s">
        <v>4582</v>
      </c>
      <c r="S30" s="324" t="s">
        <v>4583</v>
      </c>
      <c r="T30" s="1906" t="s">
        <v>4584</v>
      </c>
      <c r="U30" s="324" t="s">
        <v>4585</v>
      </c>
      <c r="V30" s="1906" t="s">
        <v>4586</v>
      </c>
      <c r="W30" s="324" t="s">
        <v>4587</v>
      </c>
      <c r="X30" s="1906" t="s">
        <v>4588</v>
      </c>
      <c r="Y30" s="324" t="s">
        <v>4589</v>
      </c>
      <c r="Z30" s="1906" t="s">
        <v>4590</v>
      </c>
      <c r="AA30" s="324" t="s">
        <v>4591</v>
      </c>
      <c r="AB30" s="1906" t="s">
        <v>4592</v>
      </c>
      <c r="AC30" s="324" t="s">
        <v>4593</v>
      </c>
      <c r="AD30" s="1906" t="s">
        <v>4594</v>
      </c>
      <c r="AE30" s="324" t="s">
        <v>4595</v>
      </c>
      <c r="AF30" s="1906" t="s">
        <v>4596</v>
      </c>
      <c r="AG30" s="325" t="s">
        <v>4597</v>
      </c>
      <c r="AH30" s="2075" t="s">
        <v>4598</v>
      </c>
      <c r="AI30" s="854" t="s">
        <v>4599</v>
      </c>
      <c r="AJ30" s="24" t="str">
        <f t="shared" si="10"/>
        <v xml:space="preserve">* El Número de Pueblos Originarios no puede superar el Total Ambos Sexos. * El Número de Migrantes no puede superar el Total Ambos Sexos. </v>
      </c>
      <c r="CB30" s="1865" t="str">
        <f>IF(AND($C30&lt;&gt;0,AH30=""),"* No olvide ingresar la columna "&amp;AH$27&amp;""&amp;". Digite CERO si no tiene.  ",IF(AH30&gt;$C30,"* El Número de Pueblos Originarios no puede superar el Total Ambos Sexos. ",""))</f>
        <v xml:space="preserve">* El Número de Pueblos Originarios no puede superar el Total Ambos Sexos. </v>
      </c>
      <c r="CC30" s="1865" t="str">
        <f>IF(AND($C30&lt;&gt;0,AI30=""),"* No olvide ingresar la columna "&amp;AI$19&amp;""&amp;". Digite CERO si no tiene.  ",IF(AI30&gt;$C30,"* El Número de Migrantes no puede superar el Total Ambos Sexos. ",""))</f>
        <v xml:space="preserve">* El Número de Migrantes no puede superar el Total Ambos Sexos. </v>
      </c>
      <c r="CG30" s="1867">
        <f t="shared" si="11"/>
        <v>1</v>
      </c>
      <c r="CH30" s="1867">
        <f t="shared" si="11"/>
        <v>1</v>
      </c>
    </row>
    <row r="31" spans="1:87" ht="18" customHeight="1" x14ac:dyDescent="0.25">
      <c r="A31" s="5608"/>
      <c r="B31" s="6092" t="s">
        <v>205</v>
      </c>
      <c r="C31" s="6092"/>
      <c r="D31" s="6092"/>
      <c r="E31" s="6092"/>
      <c r="F31" s="6092"/>
      <c r="G31" s="6092"/>
      <c r="H31" s="6092"/>
      <c r="I31" s="6092"/>
      <c r="J31" s="6092"/>
      <c r="K31" s="6092"/>
      <c r="L31" s="6092"/>
      <c r="M31" s="6092"/>
      <c r="N31" s="6092"/>
      <c r="O31" s="6092"/>
      <c r="P31" s="6092"/>
      <c r="Q31" s="6092"/>
      <c r="R31" s="6092"/>
      <c r="S31" s="6092"/>
      <c r="T31" s="6092"/>
      <c r="U31" s="6092"/>
      <c r="V31" s="6092"/>
      <c r="W31" s="6092"/>
      <c r="X31" s="6092"/>
      <c r="Y31" s="6092"/>
      <c r="Z31" s="6092"/>
      <c r="AA31" s="6092"/>
      <c r="AB31" s="6092"/>
      <c r="AC31" s="6092"/>
      <c r="AD31" s="6092"/>
      <c r="AE31" s="6092"/>
      <c r="AF31" s="6092"/>
      <c r="AG31" s="6092"/>
      <c r="AH31" s="2147"/>
      <c r="AI31" s="1839"/>
    </row>
    <row r="32" spans="1:87" ht="15" customHeight="1" x14ac:dyDescent="0.25">
      <c r="A32" s="5608"/>
      <c r="B32" s="6054" t="s">
        <v>202</v>
      </c>
      <c r="C32" s="6031" t="s">
        <v>77</v>
      </c>
      <c r="D32" s="6029"/>
      <c r="E32" s="6094"/>
      <c r="F32" s="6009" t="s">
        <v>44</v>
      </c>
      <c r="G32" s="6095"/>
      <c r="H32" s="6009" t="s">
        <v>45</v>
      </c>
      <c r="I32" s="6025"/>
      <c r="J32" s="6009" t="s">
        <v>46</v>
      </c>
      <c r="K32" s="6025"/>
      <c r="L32" s="6009" t="s">
        <v>47</v>
      </c>
      <c r="M32" s="6025"/>
      <c r="N32" s="6009" t="s">
        <v>48</v>
      </c>
      <c r="O32" s="6025"/>
      <c r="P32" s="6009" t="s">
        <v>49</v>
      </c>
      <c r="Q32" s="6025"/>
      <c r="R32" s="6009" t="s">
        <v>50</v>
      </c>
      <c r="S32" s="6025"/>
      <c r="T32" s="6009" t="s">
        <v>51</v>
      </c>
      <c r="U32" s="6025"/>
      <c r="V32" s="6009" t="s">
        <v>52</v>
      </c>
      <c r="W32" s="6025"/>
      <c r="X32" s="6009" t="s">
        <v>53</v>
      </c>
      <c r="Y32" s="6025"/>
      <c r="Z32" s="6009" t="s">
        <v>54</v>
      </c>
      <c r="AA32" s="6025"/>
      <c r="AB32" s="6009" t="s">
        <v>55</v>
      </c>
      <c r="AC32" s="6025"/>
      <c r="AD32" s="6009" t="s">
        <v>56</v>
      </c>
      <c r="AE32" s="6025"/>
      <c r="AF32" s="6009" t="s">
        <v>57</v>
      </c>
      <c r="AG32" s="6047"/>
      <c r="AH32" s="6096" t="s">
        <v>36</v>
      </c>
      <c r="AI32" s="6026" t="s">
        <v>37</v>
      </c>
    </row>
    <row r="33" spans="1:86" ht="15" customHeight="1" x14ac:dyDescent="0.25">
      <c r="A33" s="5608"/>
      <c r="B33" s="6093"/>
      <c r="C33" s="2055" t="s">
        <v>79</v>
      </c>
      <c r="D33" s="2131" t="s">
        <v>58</v>
      </c>
      <c r="E33" s="2130" t="s">
        <v>59</v>
      </c>
      <c r="F33" s="2055" t="s">
        <v>58</v>
      </c>
      <c r="G33" s="2132" t="s">
        <v>59</v>
      </c>
      <c r="H33" s="2055" t="s">
        <v>58</v>
      </c>
      <c r="I33" s="2132" t="s">
        <v>59</v>
      </c>
      <c r="J33" s="2055" t="s">
        <v>58</v>
      </c>
      <c r="K33" s="2132" t="s">
        <v>59</v>
      </c>
      <c r="L33" s="2055" t="s">
        <v>58</v>
      </c>
      <c r="M33" s="2132" t="s">
        <v>59</v>
      </c>
      <c r="N33" s="2055" t="s">
        <v>58</v>
      </c>
      <c r="O33" s="2132" t="s">
        <v>59</v>
      </c>
      <c r="P33" s="2055" t="s">
        <v>58</v>
      </c>
      <c r="Q33" s="2132" t="s">
        <v>59</v>
      </c>
      <c r="R33" s="2055" t="s">
        <v>58</v>
      </c>
      <c r="S33" s="2132" t="s">
        <v>59</v>
      </c>
      <c r="T33" s="2055" t="s">
        <v>58</v>
      </c>
      <c r="U33" s="2132" t="s">
        <v>59</v>
      </c>
      <c r="V33" s="2055" t="s">
        <v>58</v>
      </c>
      <c r="W33" s="2132" t="s">
        <v>59</v>
      </c>
      <c r="X33" s="2055" t="s">
        <v>58</v>
      </c>
      <c r="Y33" s="2132" t="s">
        <v>59</v>
      </c>
      <c r="Z33" s="2055" t="s">
        <v>58</v>
      </c>
      <c r="AA33" s="2132" t="s">
        <v>59</v>
      </c>
      <c r="AB33" s="2055" t="s">
        <v>58</v>
      </c>
      <c r="AC33" s="2132" t="s">
        <v>59</v>
      </c>
      <c r="AD33" s="2055" t="s">
        <v>58</v>
      </c>
      <c r="AE33" s="2132" t="s">
        <v>59</v>
      </c>
      <c r="AF33" s="2055" t="s">
        <v>58</v>
      </c>
      <c r="AG33" s="2133" t="s">
        <v>59</v>
      </c>
      <c r="AH33" s="6035"/>
      <c r="AI33" s="6028"/>
    </row>
    <row r="34" spans="1:86" ht="15" customHeight="1" x14ac:dyDescent="0.25">
      <c r="A34" s="5601" t="s">
        <v>4619</v>
      </c>
      <c r="B34" s="2033" t="s">
        <v>206</v>
      </c>
      <c r="C34" s="477" t="s">
        <v>4567</v>
      </c>
      <c r="D34" s="478" t="s">
        <v>4568</v>
      </c>
      <c r="E34" s="479" t="s">
        <v>4569</v>
      </c>
      <c r="F34" s="326" t="s">
        <v>4570</v>
      </c>
      <c r="G34" s="882" t="s">
        <v>4571</v>
      </c>
      <c r="H34" s="326" t="s">
        <v>4572</v>
      </c>
      <c r="I34" s="882" t="s">
        <v>4573</v>
      </c>
      <c r="J34" s="326" t="s">
        <v>4574</v>
      </c>
      <c r="K34" s="882" t="s">
        <v>4575</v>
      </c>
      <c r="L34" s="326" t="s">
        <v>4576</v>
      </c>
      <c r="M34" s="882" t="s">
        <v>4577</v>
      </c>
      <c r="N34" s="326" t="s">
        <v>4578</v>
      </c>
      <c r="O34" s="882" t="s">
        <v>4579</v>
      </c>
      <c r="P34" s="326" t="s">
        <v>4580</v>
      </c>
      <c r="Q34" s="882" t="s">
        <v>4581</v>
      </c>
      <c r="R34" s="326" t="s">
        <v>4582</v>
      </c>
      <c r="S34" s="882" t="s">
        <v>4583</v>
      </c>
      <c r="T34" s="326" t="s">
        <v>4584</v>
      </c>
      <c r="U34" s="882" t="s">
        <v>4585</v>
      </c>
      <c r="V34" s="326" t="s">
        <v>4586</v>
      </c>
      <c r="W34" s="882" t="s">
        <v>4587</v>
      </c>
      <c r="X34" s="326" t="s">
        <v>4588</v>
      </c>
      <c r="Y34" s="882" t="s">
        <v>4589</v>
      </c>
      <c r="Z34" s="326" t="s">
        <v>4590</v>
      </c>
      <c r="AA34" s="882" t="s">
        <v>4591</v>
      </c>
      <c r="AB34" s="326" t="s">
        <v>4592</v>
      </c>
      <c r="AC34" s="882" t="s">
        <v>4593</v>
      </c>
      <c r="AD34" s="326" t="s">
        <v>4594</v>
      </c>
      <c r="AE34" s="882" t="s">
        <v>4595</v>
      </c>
      <c r="AF34" s="326" t="s">
        <v>4596</v>
      </c>
      <c r="AG34" s="1001" t="s">
        <v>4597</v>
      </c>
      <c r="AH34" s="1963" t="s">
        <v>4598</v>
      </c>
      <c r="AI34" s="1935" t="s">
        <v>4599</v>
      </c>
      <c r="AJ34" s="24" t="str">
        <f>$CB34&amp;CC34</f>
        <v xml:space="preserve">* El Número de Pueblos Originarios no puede superar el Total Ambos Sexos. * El Número de Migrantes no puede superar el Total Ambos Sexos. </v>
      </c>
      <c r="CB34" s="1865" t="str">
        <f>IF(AND($C34&lt;&gt;0,AH34=""),"* No olvide ingresar la columna "&amp;AH$19&amp;""&amp;". Digite CERO si no tiene. ",IF(AH34&gt;$C34,"* El Número de Pueblos Originarios no puede superar el Total Ambos Sexos. ",""))</f>
        <v xml:space="preserve">* El Número de Pueblos Originarios no puede superar el Total Ambos Sexos. </v>
      </c>
      <c r="CC34" s="1865" t="str">
        <f>IF(AND($C34&lt;&gt;0,AI34=""),"* No olvide ingresar la columna "&amp;AI$19&amp;""&amp;". Digite CERO si no tiene. ",IF(AI34&gt;$C34,"* El Número de Migrantes no puede superar el Total Ambos Sexos. ",""))</f>
        <v xml:space="preserve">* El Número de Migrantes no puede superar el Total Ambos Sexos. </v>
      </c>
      <c r="CG34" s="1867">
        <f>IF(AND($C34&lt;&gt;0,AH34=""),1,IF(AH34&gt;$C34,1,0))</f>
        <v>1</v>
      </c>
      <c r="CH34" s="1867">
        <f>IF(AND($C34&lt;&gt;0,AI34=""),1,IF(AI34&gt;$C34,1,0))</f>
        <v>1</v>
      </c>
    </row>
    <row r="35" spans="1:86" ht="15" customHeight="1" x14ac:dyDescent="0.25">
      <c r="A35" s="5601" t="s">
        <v>4620</v>
      </c>
      <c r="B35" s="2064" t="s">
        <v>207</v>
      </c>
      <c r="C35" s="482" t="s">
        <v>4567</v>
      </c>
      <c r="D35" s="483" t="s">
        <v>4568</v>
      </c>
      <c r="E35" s="484" t="s">
        <v>4569</v>
      </c>
      <c r="F35" s="853" t="s">
        <v>4570</v>
      </c>
      <c r="G35" s="1975" t="s">
        <v>4571</v>
      </c>
      <c r="H35" s="853" t="s">
        <v>4572</v>
      </c>
      <c r="I35" s="1975" t="s">
        <v>4573</v>
      </c>
      <c r="J35" s="853" t="s">
        <v>4574</v>
      </c>
      <c r="K35" s="1975" t="s">
        <v>4575</v>
      </c>
      <c r="L35" s="853" t="s">
        <v>4576</v>
      </c>
      <c r="M35" s="1975" t="s">
        <v>4577</v>
      </c>
      <c r="N35" s="853" t="s">
        <v>4578</v>
      </c>
      <c r="O35" s="1975" t="s">
        <v>4579</v>
      </c>
      <c r="P35" s="853" t="s">
        <v>4580</v>
      </c>
      <c r="Q35" s="1975" t="s">
        <v>4581</v>
      </c>
      <c r="R35" s="853" t="s">
        <v>4582</v>
      </c>
      <c r="S35" s="1975" t="s">
        <v>4583</v>
      </c>
      <c r="T35" s="853" t="s">
        <v>4584</v>
      </c>
      <c r="U35" s="1975" t="s">
        <v>4585</v>
      </c>
      <c r="V35" s="853" t="s">
        <v>4586</v>
      </c>
      <c r="W35" s="1975" t="s">
        <v>4587</v>
      </c>
      <c r="X35" s="853" t="s">
        <v>4588</v>
      </c>
      <c r="Y35" s="1975" t="s">
        <v>4589</v>
      </c>
      <c r="Z35" s="853" t="s">
        <v>4590</v>
      </c>
      <c r="AA35" s="1975" t="s">
        <v>4591</v>
      </c>
      <c r="AB35" s="853" t="s">
        <v>4592</v>
      </c>
      <c r="AC35" s="1975" t="s">
        <v>4593</v>
      </c>
      <c r="AD35" s="853" t="s">
        <v>4594</v>
      </c>
      <c r="AE35" s="1975" t="s">
        <v>4595</v>
      </c>
      <c r="AF35" s="853" t="s">
        <v>4596</v>
      </c>
      <c r="AG35" s="1919" t="s">
        <v>4597</v>
      </c>
      <c r="AH35" s="2075" t="s">
        <v>4598</v>
      </c>
      <c r="AI35" s="2076" t="s">
        <v>4599</v>
      </c>
      <c r="AJ35" s="24" t="str">
        <f>$CB35&amp;CC35</f>
        <v xml:space="preserve">* El Número de Pueblos Originarios no puede superar el Total Ambos Sexos. * El Número de Migrantes no puede superar el Total Ambos Sexos. </v>
      </c>
      <c r="CB35" s="1865" t="str">
        <f>IF(AND($C35&lt;&gt;0,AH35=""),"* No olvide ingresar la columna "&amp;AH$19&amp;""&amp;". Digite CERO si no tiene. ",IF(AH35&gt;$C35,"* El Número de Pueblos Originarios no puede superar el Total Ambos Sexos. ",""))</f>
        <v xml:space="preserve">* El Número de Pueblos Originarios no puede superar el Total Ambos Sexos. </v>
      </c>
      <c r="CC35" s="1865" t="str">
        <f>IF(AND($C35&lt;&gt;0,AI35=""),"* No olvide ingresar la columna "&amp;AI$19&amp;""&amp;". Digite CERO si no tiene. ",IF(AI35&gt;$C35,"* El Número de Migrantes no puede superar el Total Ambos Sexos. ",""))</f>
        <v xml:space="preserve">* El Número de Migrantes no puede superar el Total Ambos Sexos. </v>
      </c>
      <c r="CG35" s="1867">
        <f>IF(AND($C35&lt;&gt;0,AH35=""),1,IF(AH35&gt;$C35,1,0))</f>
        <v>1</v>
      </c>
      <c r="CH35" s="1867">
        <f>IF(AND($C35&lt;&gt;0,AI35=""),1,IF(AI35&gt;$C35,1,0))</f>
        <v>1</v>
      </c>
    </row>
    <row r="51" spans="2:3" s="88" customFormat="1" ht="16.5" hidden="1" customHeight="1" x14ac:dyDescent="0.2">
      <c r="B51" s="105">
        <f>SUM(C12:C17,C22:C25,C29:C30,C34:C35)</f>
        <v>0</v>
      </c>
      <c r="C51" s="105">
        <f>SUM(CG12:CI35)</f>
        <v>28</v>
      </c>
    </row>
  </sheetData>
  <mergeCells count="77">
    <mergeCell ref="B6:AE6"/>
    <mergeCell ref="B19:B20"/>
    <mergeCell ref="C19:E19"/>
    <mergeCell ref="F19:G19"/>
    <mergeCell ref="H19:I19"/>
    <mergeCell ref="J19:K19"/>
    <mergeCell ref="Z19:AA19"/>
    <mergeCell ref="AB19:AC19"/>
    <mergeCell ref="AD19:AE19"/>
    <mergeCell ref="B8:AG8"/>
    <mergeCell ref="B18:AG18"/>
    <mergeCell ref="AD9:AE9"/>
    <mergeCell ref="X19:Y19"/>
    <mergeCell ref="P19:Q19"/>
    <mergeCell ref="R19:S19"/>
    <mergeCell ref="AH19:AH20"/>
    <mergeCell ref="L32:M32"/>
    <mergeCell ref="N32:O32"/>
    <mergeCell ref="T27:U27"/>
    <mergeCell ref="V27:W27"/>
    <mergeCell ref="X27:Y27"/>
    <mergeCell ref="L27:M27"/>
    <mergeCell ref="N27:O27"/>
    <mergeCell ref="P27:Q27"/>
    <mergeCell ref="R27:S27"/>
    <mergeCell ref="AB32:AC32"/>
    <mergeCell ref="AD32:AE32"/>
    <mergeCell ref="AF32:AG32"/>
    <mergeCell ref="AH32:AH33"/>
    <mergeCell ref="B26:AG26"/>
    <mergeCell ref="B32:B33"/>
    <mergeCell ref="C32:E32"/>
    <mergeCell ref="F32:G32"/>
    <mergeCell ref="H32:I32"/>
    <mergeCell ref="J32:K32"/>
    <mergeCell ref="AI19:AI20"/>
    <mergeCell ref="P32:Q32"/>
    <mergeCell ref="R32:S32"/>
    <mergeCell ref="T32:U32"/>
    <mergeCell ref="V32:W32"/>
    <mergeCell ref="X32:Y32"/>
    <mergeCell ref="Z32:AA32"/>
    <mergeCell ref="AF27:AG27"/>
    <mergeCell ref="AH27:AH28"/>
    <mergeCell ref="AI27:AI28"/>
    <mergeCell ref="Z27:AA27"/>
    <mergeCell ref="AB27:AC27"/>
    <mergeCell ref="AI32:AI33"/>
    <mergeCell ref="AH9:AH10"/>
    <mergeCell ref="AI9:AI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X9:Y9"/>
    <mergeCell ref="Z9:AA9"/>
    <mergeCell ref="AB9:AC9"/>
    <mergeCell ref="AF9:AG9"/>
    <mergeCell ref="B31:AG31"/>
    <mergeCell ref="B9:B10"/>
    <mergeCell ref="C9:E9"/>
    <mergeCell ref="AD27:AE27"/>
    <mergeCell ref="B27:B28"/>
    <mergeCell ref="C27:E27"/>
    <mergeCell ref="F27:G27"/>
    <mergeCell ref="H27:I27"/>
    <mergeCell ref="J27:K27"/>
    <mergeCell ref="L19:M19"/>
    <mergeCell ref="N19:O19"/>
    <mergeCell ref="T19:U19"/>
    <mergeCell ref="V19:W19"/>
    <mergeCell ref="AF19:AG19"/>
  </mergeCells>
  <dataValidations disablePrompts="1" count="2">
    <dataValidation type="whole" operator="greaterThanOrEqual" allowBlank="1" showInputMessage="1" showErrorMessage="1" sqref="F12:AI17 F29:AI30 F22:AI25 F34:AI35" xr:uid="{00000000-0002-0000-0200-000000000000}">
      <formula1>0</formula1>
    </dataValidation>
    <dataValidation operator="notBetween" allowBlank="1" showInputMessage="1" showErrorMessage="1" error="Valor no Permitido" sqref="B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S321"/>
  <sheetViews>
    <sheetView showGridLines="0" zoomScaleNormal="100" workbookViewId="0"/>
  </sheetViews>
  <sheetFormatPr baseColWidth="10" defaultColWidth="11.42578125" defaultRowHeight="15" x14ac:dyDescent="0.25"/>
  <cols>
    <col min="1" max="1" width="17.5703125" customWidth="1"/>
    <col min="2" max="2" width="31" customWidth="1"/>
    <col min="3" max="3" width="28.7109375" customWidth="1"/>
    <col min="4" max="4" width="16.42578125" customWidth="1"/>
    <col min="5" max="8" width="15.7109375" customWidth="1"/>
    <col min="9" max="9" width="16.5703125" customWidth="1"/>
    <col min="10" max="13" width="15.7109375" customWidth="1"/>
    <col min="24" max="24" width="13.140625" customWidth="1"/>
    <col min="54" max="62" width="11.42578125" customWidth="1"/>
    <col min="73" max="79" width="16" customWidth="1"/>
    <col min="80" max="95" width="11.42578125" style="6" hidden="1" customWidth="1"/>
    <col min="96" max="97" width="11.42578125" hidden="1" customWidth="1"/>
    <col min="98" max="131" width="11.42578125" customWidth="1"/>
  </cols>
  <sheetData>
    <row r="1" spans="1:95" x14ac:dyDescent="0.25">
      <c r="B1" s="50" t="s">
        <v>23</v>
      </c>
    </row>
    <row r="2" spans="1:95" x14ac:dyDescent="0.25">
      <c r="B2" s="50" t="str">
        <f>CONCATENATE("COMUNA: ",NOMBRE!B2, " (",NOMBRE!C2,NOMBRE!D2,NOMBRE!E2,NOMBRE!F2,NOMBRE!G2,")")</f>
        <v>COMUNA:  ()</v>
      </c>
    </row>
    <row r="3" spans="1:95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B4" s="50" t="str">
        <f>CONCATENATE("MES: ",NOMBRE!B6, " (",NOMBRE!C6,NOMBRE!D6,")")</f>
        <v>MES:  ()</v>
      </c>
    </row>
    <row r="5" spans="1:95" x14ac:dyDescent="0.25">
      <c r="B5" s="50" t="str">
        <f>CONCATENATE("AÑO: ",NOMBRE!B7)</f>
        <v>AÑO: 2025</v>
      </c>
    </row>
    <row r="6" spans="1:95" s="2150" customFormat="1" ht="18" customHeight="1" x14ac:dyDescent="0.25">
      <c r="B6" s="6087" t="s">
        <v>208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  <c r="X6" s="6087"/>
      <c r="Y6" s="6087"/>
      <c r="Z6" s="6348"/>
      <c r="AA6" s="2148"/>
      <c r="AB6" s="2148"/>
      <c r="AC6" s="2149"/>
      <c r="AD6" s="2149"/>
      <c r="AE6" s="2149"/>
      <c r="AF6" s="2149"/>
      <c r="AG6" s="2149"/>
      <c r="AH6" s="2149"/>
      <c r="AI6" s="2149"/>
      <c r="AJ6" s="2149"/>
      <c r="AK6" s="2149"/>
      <c r="AL6" s="2149"/>
      <c r="AM6" s="2149"/>
      <c r="AN6" s="2149"/>
      <c r="CB6" s="2151"/>
      <c r="CC6" s="2151"/>
      <c r="CD6" s="2151"/>
      <c r="CE6" s="2151"/>
      <c r="CF6" s="2151"/>
      <c r="CG6" s="2151"/>
      <c r="CH6" s="2151"/>
      <c r="CI6" s="2151"/>
      <c r="CJ6" s="2151"/>
      <c r="CK6" s="2151"/>
      <c r="CL6" s="2151"/>
      <c r="CM6" s="2151"/>
      <c r="CN6" s="2151"/>
      <c r="CO6" s="2151"/>
      <c r="CP6" s="2151"/>
      <c r="CQ6" s="2151"/>
    </row>
    <row r="8" spans="1:95" ht="18" customHeight="1" x14ac:dyDescent="0.25">
      <c r="B8" s="1" t="s">
        <v>209</v>
      </c>
      <c r="C8" s="2152"/>
      <c r="D8" s="2152"/>
      <c r="E8" s="2152"/>
      <c r="F8" s="2152"/>
      <c r="G8" s="2152"/>
      <c r="H8" s="2152"/>
      <c r="I8" s="2152"/>
      <c r="J8" s="2152"/>
      <c r="K8" s="2152"/>
      <c r="L8" s="2152"/>
      <c r="M8" s="2152"/>
      <c r="N8" s="2152"/>
      <c r="O8" s="2152"/>
      <c r="P8" s="2152"/>
      <c r="Q8" s="2153"/>
      <c r="R8" s="2154"/>
      <c r="S8" s="2148"/>
      <c r="T8" s="2148"/>
      <c r="U8" s="2148"/>
      <c r="V8" s="2148"/>
      <c r="W8" s="2148"/>
      <c r="X8" s="2148"/>
      <c r="Y8" s="2148"/>
      <c r="Z8" s="2148"/>
    </row>
    <row r="9" spans="1:95" ht="18" customHeight="1" x14ac:dyDescent="0.25">
      <c r="B9" s="2155" t="s">
        <v>210</v>
      </c>
      <c r="C9" s="2156"/>
      <c r="D9" s="2156"/>
      <c r="E9" s="2156"/>
      <c r="F9" s="2156"/>
      <c r="G9" s="2157"/>
      <c r="H9" s="1936"/>
      <c r="I9" s="2158"/>
      <c r="J9" s="2159"/>
      <c r="K9" s="1936"/>
      <c r="L9" s="2160"/>
      <c r="M9" s="1936"/>
      <c r="N9" s="2158"/>
      <c r="O9" s="2159"/>
      <c r="P9" s="2159"/>
      <c r="Q9" s="2161"/>
      <c r="R9" s="1936"/>
      <c r="S9" s="2158"/>
      <c r="T9" s="2158"/>
      <c r="U9" s="2158"/>
      <c r="V9" s="2158"/>
      <c r="W9" s="2158"/>
      <c r="X9" s="2158"/>
      <c r="Y9" s="2158"/>
      <c r="Z9" s="2159"/>
    </row>
    <row r="10" spans="1:95" ht="15" customHeight="1" x14ac:dyDescent="0.25">
      <c r="B10" s="6151" t="s">
        <v>211</v>
      </c>
      <c r="C10" s="6151"/>
      <c r="D10" s="6147" t="s">
        <v>212</v>
      </c>
      <c r="E10" s="6148"/>
      <c r="F10" s="6149"/>
      <c r="G10" s="6155" t="s">
        <v>101</v>
      </c>
      <c r="H10" s="6260"/>
      <c r="I10" s="6260"/>
      <c r="J10" s="6260"/>
      <c r="K10" s="6260"/>
      <c r="L10" s="6260"/>
      <c r="M10" s="6260"/>
      <c r="N10" s="6260"/>
      <c r="O10" s="6260"/>
      <c r="P10" s="6260"/>
      <c r="Q10" s="6260"/>
      <c r="R10" s="6260"/>
      <c r="S10" s="6260"/>
      <c r="T10" s="6260"/>
      <c r="U10" s="6260"/>
      <c r="V10" s="6260"/>
      <c r="W10" s="6260"/>
      <c r="X10" s="6260"/>
      <c r="Y10" s="6260"/>
      <c r="Z10" s="6156"/>
    </row>
    <row r="11" spans="1:95" ht="15" customHeight="1" x14ac:dyDescent="0.25">
      <c r="B11" s="6151"/>
      <c r="C11" s="6151"/>
      <c r="D11" s="6064"/>
      <c r="E11" s="6150"/>
      <c r="F11" s="6028"/>
      <c r="G11" s="6155" t="s">
        <v>80</v>
      </c>
      <c r="H11" s="6156"/>
      <c r="I11" s="6155" t="s">
        <v>81</v>
      </c>
      <c r="J11" s="6156"/>
      <c r="K11" s="6155" t="s">
        <v>82</v>
      </c>
      <c r="L11" s="6156"/>
      <c r="M11" s="6155" t="s">
        <v>83</v>
      </c>
      <c r="N11" s="6156"/>
      <c r="O11" s="6155" t="s">
        <v>84</v>
      </c>
      <c r="P11" s="6156"/>
      <c r="Q11" s="6155" t="s">
        <v>85</v>
      </c>
      <c r="R11" s="6156"/>
      <c r="S11" s="6155" t="s">
        <v>86</v>
      </c>
      <c r="T11" s="6156"/>
      <c r="U11" s="6155" t="s">
        <v>213</v>
      </c>
      <c r="V11" s="6156"/>
      <c r="W11" s="6155" t="s">
        <v>88</v>
      </c>
      <c r="X11" s="6156"/>
      <c r="Y11" s="6155" t="s">
        <v>214</v>
      </c>
      <c r="Z11" s="6156"/>
    </row>
    <row r="12" spans="1:95" ht="15" customHeight="1" x14ac:dyDescent="0.25">
      <c r="B12" s="6151"/>
      <c r="C12" s="6151"/>
      <c r="D12" s="2163" t="s">
        <v>79</v>
      </c>
      <c r="E12" s="2164" t="s">
        <v>58</v>
      </c>
      <c r="F12" s="2162" t="s">
        <v>59</v>
      </c>
      <c r="G12" s="2165" t="s">
        <v>58</v>
      </c>
      <c r="H12" s="2162" t="s">
        <v>59</v>
      </c>
      <c r="I12" s="2165" t="s">
        <v>58</v>
      </c>
      <c r="J12" s="2162" t="s">
        <v>59</v>
      </c>
      <c r="K12" s="2165" t="s">
        <v>58</v>
      </c>
      <c r="L12" s="2162" t="s">
        <v>59</v>
      </c>
      <c r="M12" s="2165" t="s">
        <v>58</v>
      </c>
      <c r="N12" s="2162" t="s">
        <v>59</v>
      </c>
      <c r="O12" s="2165" t="s">
        <v>58</v>
      </c>
      <c r="P12" s="2162" t="s">
        <v>59</v>
      </c>
      <c r="Q12" s="2165" t="s">
        <v>58</v>
      </c>
      <c r="R12" s="2162" t="s">
        <v>59</v>
      </c>
      <c r="S12" s="2165" t="s">
        <v>58</v>
      </c>
      <c r="T12" s="2162" t="s">
        <v>59</v>
      </c>
      <c r="U12" s="2165" t="s">
        <v>58</v>
      </c>
      <c r="V12" s="2162" t="s">
        <v>59</v>
      </c>
      <c r="W12" s="2165" t="s">
        <v>58</v>
      </c>
      <c r="X12" s="2162" t="s">
        <v>59</v>
      </c>
      <c r="Y12" s="2165" t="s">
        <v>58</v>
      </c>
      <c r="Z12" s="2162" t="s">
        <v>59</v>
      </c>
    </row>
    <row r="13" spans="1:95" ht="15" customHeight="1" x14ac:dyDescent="0.25">
      <c r="A13" s="5609" t="s">
        <v>4621</v>
      </c>
      <c r="B13" s="6347" t="s">
        <v>215</v>
      </c>
      <c r="C13" s="6347"/>
      <c r="D13" s="2166" t="s">
        <v>4567</v>
      </c>
      <c r="E13" s="2167" t="s">
        <v>4568</v>
      </c>
      <c r="F13" s="2168" t="s">
        <v>4569</v>
      </c>
      <c r="G13" s="2169" t="s">
        <v>4570</v>
      </c>
      <c r="H13" s="2170" t="s">
        <v>4571</v>
      </c>
      <c r="I13" s="2169" t="s">
        <v>4572</v>
      </c>
      <c r="J13" s="2170" t="s">
        <v>4573</v>
      </c>
      <c r="K13" s="2169" t="s">
        <v>4574</v>
      </c>
      <c r="L13" s="2170" t="s">
        <v>4575</v>
      </c>
      <c r="M13" s="2169" t="s">
        <v>4576</v>
      </c>
      <c r="N13" s="2170" t="s">
        <v>4577</v>
      </c>
      <c r="O13" s="2169" t="s">
        <v>4578</v>
      </c>
      <c r="P13" s="2170" t="s">
        <v>4579</v>
      </c>
      <c r="Q13" s="2169" t="s">
        <v>4580</v>
      </c>
      <c r="R13" s="2170" t="s">
        <v>4581</v>
      </c>
      <c r="S13" s="2169" t="s">
        <v>4582</v>
      </c>
      <c r="T13" s="2170" t="s">
        <v>4583</v>
      </c>
      <c r="U13" s="2169" t="s">
        <v>4584</v>
      </c>
      <c r="V13" s="2170" t="s">
        <v>4585</v>
      </c>
      <c r="W13" s="2169" t="s">
        <v>4586</v>
      </c>
      <c r="X13" s="2170" t="s">
        <v>4587</v>
      </c>
      <c r="Y13" s="2169" t="s">
        <v>4588</v>
      </c>
      <c r="Z13" s="2170" t="s">
        <v>4589</v>
      </c>
    </row>
    <row r="14" spans="1:95" ht="15" customHeight="1" x14ac:dyDescent="0.25">
      <c r="A14" s="5609" t="s">
        <v>4622</v>
      </c>
      <c r="B14" s="6345" t="s">
        <v>216</v>
      </c>
      <c r="C14" s="2171" t="s">
        <v>197</v>
      </c>
      <c r="D14" s="2172" t="s">
        <v>4567</v>
      </c>
      <c r="E14" s="2173" t="s">
        <v>4568</v>
      </c>
      <c r="F14" s="2174" t="s">
        <v>4569</v>
      </c>
      <c r="G14" s="2175" t="s">
        <v>4570</v>
      </c>
      <c r="H14" s="2176" t="s">
        <v>4571</v>
      </c>
      <c r="I14" s="2175" t="s">
        <v>4572</v>
      </c>
      <c r="J14" s="2176" t="s">
        <v>4573</v>
      </c>
      <c r="K14" s="2175" t="s">
        <v>4574</v>
      </c>
      <c r="L14" s="2176" t="s">
        <v>4575</v>
      </c>
      <c r="M14" s="2175" t="s">
        <v>4576</v>
      </c>
      <c r="N14" s="2176" t="s">
        <v>4577</v>
      </c>
      <c r="O14" s="2175" t="s">
        <v>4578</v>
      </c>
      <c r="P14" s="2176" t="s">
        <v>4579</v>
      </c>
      <c r="Q14" s="2175" t="s">
        <v>4580</v>
      </c>
      <c r="R14" s="2176" t="s">
        <v>4581</v>
      </c>
      <c r="S14" s="2175" t="s">
        <v>4582</v>
      </c>
      <c r="T14" s="2176" t="s">
        <v>4583</v>
      </c>
      <c r="U14" s="2175" t="s">
        <v>4584</v>
      </c>
      <c r="V14" s="2176" t="s">
        <v>4585</v>
      </c>
      <c r="W14" s="2175" t="s">
        <v>4586</v>
      </c>
      <c r="X14" s="2176" t="s">
        <v>4587</v>
      </c>
      <c r="Y14" s="2175" t="s">
        <v>4588</v>
      </c>
      <c r="Z14" s="2176" t="s">
        <v>4589</v>
      </c>
    </row>
    <row r="15" spans="1:95" ht="15" customHeight="1" x14ac:dyDescent="0.25">
      <c r="A15" s="5609" t="s">
        <v>4623</v>
      </c>
      <c r="B15" s="6346"/>
      <c r="C15" s="523" t="s">
        <v>217</v>
      </c>
      <c r="D15" s="703" t="s">
        <v>4567</v>
      </c>
      <c r="E15" s="2177" t="s">
        <v>4568</v>
      </c>
      <c r="F15" s="625" t="s">
        <v>4569</v>
      </c>
      <c r="G15" s="2178" t="s">
        <v>4570</v>
      </c>
      <c r="H15" s="2179" t="s">
        <v>4571</v>
      </c>
      <c r="I15" s="853" t="s">
        <v>4572</v>
      </c>
      <c r="J15" s="854" t="s">
        <v>4573</v>
      </c>
      <c r="K15" s="853" t="s">
        <v>4574</v>
      </c>
      <c r="L15" s="854" t="s">
        <v>4575</v>
      </c>
      <c r="M15" s="2178" t="s">
        <v>4576</v>
      </c>
      <c r="N15" s="2179" t="s">
        <v>4577</v>
      </c>
      <c r="O15" s="2178" t="s">
        <v>4578</v>
      </c>
      <c r="P15" s="2179" t="s">
        <v>4579</v>
      </c>
      <c r="Q15" s="2178" t="s">
        <v>4580</v>
      </c>
      <c r="R15" s="2179" t="s">
        <v>4581</v>
      </c>
      <c r="S15" s="2178" t="s">
        <v>4582</v>
      </c>
      <c r="T15" s="2179" t="s">
        <v>4583</v>
      </c>
      <c r="U15" s="2178" t="s">
        <v>4584</v>
      </c>
      <c r="V15" s="2180" t="s">
        <v>4585</v>
      </c>
      <c r="W15" s="2178" t="s">
        <v>4586</v>
      </c>
      <c r="X15" s="2180" t="s">
        <v>4587</v>
      </c>
      <c r="Y15" s="2178" t="s">
        <v>4588</v>
      </c>
      <c r="Z15" s="2179" t="s">
        <v>4589</v>
      </c>
    </row>
    <row r="16" spans="1:95" ht="18" customHeight="1" x14ac:dyDescent="0.25">
      <c r="A16" s="5610"/>
      <c r="B16" s="2155" t="s">
        <v>218</v>
      </c>
      <c r="C16" s="2156"/>
      <c r="D16" s="2156"/>
      <c r="E16" s="2156"/>
      <c r="F16" s="2156"/>
      <c r="G16" s="2156"/>
      <c r="H16" s="2156"/>
      <c r="I16" s="2156"/>
      <c r="J16" s="2156"/>
      <c r="K16" s="2156"/>
      <c r="L16" s="2156"/>
      <c r="M16" s="2156"/>
      <c r="N16" s="2156"/>
      <c r="O16" s="2156"/>
      <c r="P16" s="2156"/>
      <c r="Q16" s="2157"/>
      <c r="R16" s="2181"/>
      <c r="S16" s="2182"/>
      <c r="T16" s="2182"/>
    </row>
    <row r="17" spans="1:91" ht="15" customHeight="1" x14ac:dyDescent="0.25">
      <c r="A17" s="5610"/>
      <c r="B17" s="6118" t="s">
        <v>219</v>
      </c>
      <c r="C17" s="6118" t="s">
        <v>220</v>
      </c>
      <c r="D17" s="6212" t="s">
        <v>221</v>
      </c>
      <c r="E17" s="6148"/>
      <c r="F17" s="6149"/>
      <c r="G17" s="6281" t="s">
        <v>101</v>
      </c>
      <c r="H17" s="6300"/>
      <c r="I17" s="6300"/>
      <c r="J17" s="6300"/>
      <c r="K17" s="6300"/>
      <c r="L17" s="6300"/>
      <c r="M17" s="6300"/>
      <c r="N17" s="6300"/>
      <c r="O17" s="6300"/>
      <c r="P17" s="6300"/>
      <c r="Q17" s="6300"/>
      <c r="R17" s="6300"/>
      <c r="S17" s="6099" t="s">
        <v>36</v>
      </c>
      <c r="T17" s="6149" t="s">
        <v>37</v>
      </c>
    </row>
    <row r="18" spans="1:91" ht="15" customHeight="1" x14ac:dyDescent="0.25">
      <c r="A18" s="5610"/>
      <c r="B18" s="6119"/>
      <c r="C18" s="6119"/>
      <c r="D18" s="6064"/>
      <c r="E18" s="6150"/>
      <c r="F18" s="6028"/>
      <c r="G18" s="6155" t="s">
        <v>222</v>
      </c>
      <c r="H18" s="6156"/>
      <c r="I18" s="6155" t="s">
        <v>223</v>
      </c>
      <c r="J18" s="6156"/>
      <c r="K18" s="6155" t="s">
        <v>88</v>
      </c>
      <c r="L18" s="6156"/>
      <c r="M18" s="6155" t="s">
        <v>224</v>
      </c>
      <c r="N18" s="6156"/>
      <c r="O18" s="6155" t="s">
        <v>225</v>
      </c>
      <c r="P18" s="6156"/>
      <c r="Q18" s="6155" t="s">
        <v>226</v>
      </c>
      <c r="R18" s="6260"/>
      <c r="S18" s="6034"/>
      <c r="T18" s="6027"/>
    </row>
    <row r="19" spans="1:91" ht="15" customHeight="1" x14ac:dyDescent="0.25">
      <c r="A19" s="5610"/>
      <c r="B19" s="6093"/>
      <c r="C19" s="6093"/>
      <c r="D19" s="2184" t="s">
        <v>79</v>
      </c>
      <c r="E19" s="2185" t="s">
        <v>58</v>
      </c>
      <c r="F19" s="2162" t="s">
        <v>59</v>
      </c>
      <c r="G19" s="2163" t="s">
        <v>58</v>
      </c>
      <c r="H19" s="2162" t="s">
        <v>59</v>
      </c>
      <c r="I19" s="2163" t="s">
        <v>58</v>
      </c>
      <c r="J19" s="2162" t="s">
        <v>59</v>
      </c>
      <c r="K19" s="2163" t="s">
        <v>58</v>
      </c>
      <c r="L19" s="2162" t="s">
        <v>59</v>
      </c>
      <c r="M19" s="2163" t="s">
        <v>58</v>
      </c>
      <c r="N19" s="2162" t="s">
        <v>59</v>
      </c>
      <c r="O19" s="2163" t="s">
        <v>58</v>
      </c>
      <c r="P19" s="2162" t="s">
        <v>59</v>
      </c>
      <c r="Q19" s="2163" t="s">
        <v>58</v>
      </c>
      <c r="R19" s="2186" t="s">
        <v>59</v>
      </c>
      <c r="S19" s="6035"/>
      <c r="T19" s="6028"/>
    </row>
    <row r="20" spans="1:91" ht="15" customHeight="1" x14ac:dyDescent="0.25">
      <c r="A20" s="5601" t="s">
        <v>4624</v>
      </c>
      <c r="B20" s="6357" t="s">
        <v>227</v>
      </c>
      <c r="C20" s="6358"/>
      <c r="D20" s="2187" t="s">
        <v>4567</v>
      </c>
      <c r="E20" s="2188" t="s">
        <v>4568</v>
      </c>
      <c r="F20" s="2189" t="s">
        <v>4569</v>
      </c>
      <c r="G20" s="2169" t="s">
        <v>4570</v>
      </c>
      <c r="H20" s="2190" t="s">
        <v>4571</v>
      </c>
      <c r="I20" s="2169" t="s">
        <v>4572</v>
      </c>
      <c r="J20" s="2190" t="s">
        <v>4573</v>
      </c>
      <c r="K20" s="2169" t="s">
        <v>4574</v>
      </c>
      <c r="L20" s="2190" t="s">
        <v>4575</v>
      </c>
      <c r="M20" s="2169" t="s">
        <v>4576</v>
      </c>
      <c r="N20" s="2190" t="s">
        <v>4577</v>
      </c>
      <c r="O20" s="2169" t="s">
        <v>4578</v>
      </c>
      <c r="P20" s="2190" t="s">
        <v>4579</v>
      </c>
      <c r="Q20" s="2169" t="s">
        <v>4580</v>
      </c>
      <c r="R20" s="2191" t="s">
        <v>4581</v>
      </c>
      <c r="S20" s="2192" t="s">
        <v>4582</v>
      </c>
      <c r="T20" s="2170" t="s">
        <v>4583</v>
      </c>
      <c r="U20" s="2193" t="str">
        <f>$CB20&amp;CC20</f>
        <v xml:space="preserve">* La variable Pueblos Originarios no debe ser mayor al Total Ambos Sexos. * La variable Migrantes no debe ser mayor al Total Ambos Sexos. </v>
      </c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2194"/>
      <c r="BA20" s="2194"/>
      <c r="BB20" s="2194"/>
      <c r="BC20" s="2194"/>
      <c r="BD20" s="2194"/>
      <c r="BE20" s="2194"/>
      <c r="BF20" s="2194"/>
      <c r="BG20" s="2194"/>
      <c r="BH20" s="2194"/>
      <c r="BI20" s="2194"/>
      <c r="BJ20" s="2194"/>
      <c r="BK20" s="2194"/>
      <c r="BL20" s="2194"/>
      <c r="BM20" s="2194"/>
      <c r="BN20" s="2194"/>
      <c r="BO20" s="2194"/>
      <c r="BP20" s="2194"/>
      <c r="BQ20" s="2194"/>
      <c r="BR20" s="2194"/>
      <c r="BS20" s="2194"/>
      <c r="BT20" s="2194"/>
      <c r="BU20" s="2194"/>
      <c r="BV20" s="2194"/>
      <c r="BW20" s="2194"/>
      <c r="BX20" s="2194"/>
      <c r="BY20" s="2194"/>
      <c r="BZ20" s="2194"/>
      <c r="CA20" s="2194"/>
      <c r="CB20" s="2195" t="str">
        <f>IF(AND($D20&lt;&gt;0,S20=""),"* No olvide ingresar la variable "&amp;S$17&amp;""&amp;". Digite CERO si no tiene. ",IF(S20&gt;$D20,"* La variable Pueblos Originarios no debe ser mayor al Total Ambos Sexos. ",""))</f>
        <v xml:space="preserve">* La variable Pueblos Originarios no debe ser mayor al Total Ambos Sexos. </v>
      </c>
      <c r="CC20" s="2195" t="str">
        <f>IF(AND($D20&lt;&gt;0,T20=""),"* No olvide ingresar la variable "&amp;T$17&amp;""&amp;". Digite CERO si no tiene. ",IF(T20&gt;$D20,"* La variable Migrantes no debe ser mayor al Total Ambos Sexos. ",""))</f>
        <v xml:space="preserve">* La variable Migrantes no debe ser mayor al Total Ambos Sexos. </v>
      </c>
      <c r="CD20" s="2194"/>
      <c r="CE20" s="2194"/>
      <c r="CF20" s="99"/>
      <c r="CG20" s="99"/>
      <c r="CH20" s="99"/>
      <c r="CI20" s="99"/>
      <c r="CJ20" s="99"/>
      <c r="CL20" s="55">
        <f>IF(AND($D20&lt;&gt;0,S20=""),1,IF(S20&gt;$D20,1,0))</f>
        <v>1</v>
      </c>
      <c r="CM20" s="55">
        <f>IF(AND($D20&lt;&gt;0,T20=""),1,IF(T20&gt;$D20,1,0))</f>
        <v>1</v>
      </c>
    </row>
    <row r="21" spans="1:91" ht="15" customHeight="1" x14ac:dyDescent="0.25">
      <c r="A21" s="5601" t="s">
        <v>4625</v>
      </c>
      <c r="B21" s="6111" t="s">
        <v>228</v>
      </c>
      <c r="C21" s="2197" t="s">
        <v>197</v>
      </c>
      <c r="D21" s="2172" t="s">
        <v>4567</v>
      </c>
      <c r="E21" s="2198" t="s">
        <v>4568</v>
      </c>
      <c r="F21" s="2174" t="s">
        <v>4569</v>
      </c>
      <c r="G21" s="326" t="s">
        <v>4570</v>
      </c>
      <c r="H21" s="882" t="s">
        <v>4571</v>
      </c>
      <c r="I21" s="326" t="s">
        <v>4572</v>
      </c>
      <c r="J21" s="882" t="s">
        <v>4573</v>
      </c>
      <c r="K21" s="326" t="s">
        <v>4574</v>
      </c>
      <c r="L21" s="882" t="s">
        <v>4575</v>
      </c>
      <c r="M21" s="326" t="s">
        <v>4576</v>
      </c>
      <c r="N21" s="882" t="s">
        <v>4577</v>
      </c>
      <c r="O21" s="252" t="s">
        <v>4578</v>
      </c>
      <c r="P21" s="882" t="s">
        <v>4579</v>
      </c>
      <c r="Q21" s="252" t="s">
        <v>4580</v>
      </c>
      <c r="R21" s="1133" t="s">
        <v>4581</v>
      </c>
      <c r="S21" s="336" t="s">
        <v>4582</v>
      </c>
      <c r="T21" s="142" t="s">
        <v>4583</v>
      </c>
      <c r="U21" s="2193" t="str">
        <f t="shared" ref="U21:U41" si="0">$CB21&amp;CC21</f>
        <v xml:space="preserve">* La variable Pueblos Originarios no debe ser mayor al Total Ambos Sexos. * La variable Migrantes no debe ser mayor al Total Ambos Sexos. </v>
      </c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2194"/>
      <c r="BA21" s="2194"/>
      <c r="BB21" s="2194"/>
      <c r="BC21" s="2194"/>
      <c r="BD21" s="2194"/>
      <c r="BE21" s="2194"/>
      <c r="BF21" s="2194"/>
      <c r="BG21" s="2194"/>
      <c r="BH21" s="2194"/>
      <c r="BI21" s="2194"/>
      <c r="BJ21" s="2194"/>
      <c r="BK21" s="2194"/>
      <c r="BL21" s="2194"/>
      <c r="BM21" s="2194"/>
      <c r="BN21" s="2194"/>
      <c r="BO21" s="2194"/>
      <c r="BP21" s="2194"/>
      <c r="BQ21" s="2194"/>
      <c r="BR21" s="2194"/>
      <c r="BS21" s="2194"/>
      <c r="BT21" s="2194"/>
      <c r="BU21" s="2194"/>
      <c r="BV21" s="2194"/>
      <c r="BW21" s="2194"/>
      <c r="BX21" s="2194"/>
      <c r="BY21" s="2194"/>
      <c r="BZ21" s="2194"/>
      <c r="CA21" s="2194"/>
      <c r="CB21" s="2195" t="str">
        <f t="shared" ref="CB21:CB41" si="1">IF(AND($D21&lt;&gt;0,S21=""),"* No olvide ingresar la variable "&amp;S$17&amp;""&amp;". Digite CERO si no tiene. ",IF(S21&gt;$D21,"* La variable Pueblos Originarios no debe ser mayor al Total Ambos Sexos. ",""))</f>
        <v xml:space="preserve">* La variable Pueblos Originarios no debe ser mayor al Total Ambos Sexos. </v>
      </c>
      <c r="CC21" s="2195" t="str">
        <f t="shared" ref="CC21:CC41" si="2">IF(AND($D21&lt;&gt;0,T21=""),"* No olvide ingresar la variable "&amp;T$17&amp;""&amp;". Digite CERO si no tiene. ",IF(T21&gt;$D21,"* La variable Migrantes no debe ser mayor al Total Ambos Sexos. ",""))</f>
        <v xml:space="preserve">* La variable Migrantes no debe ser mayor al Total Ambos Sexos. </v>
      </c>
      <c r="CD21" s="2194"/>
      <c r="CE21" s="2194"/>
      <c r="CF21" s="99"/>
      <c r="CG21" s="99"/>
      <c r="CH21" s="99"/>
      <c r="CI21" s="99"/>
      <c r="CJ21" s="99"/>
      <c r="CL21" s="55">
        <f t="shared" ref="CL21:CM41" si="3">IF(AND($D21&lt;&gt;0,S21=""),1,IF(S21&gt;$D21,1,0))</f>
        <v>1</v>
      </c>
      <c r="CM21" s="55">
        <f t="shared" si="3"/>
        <v>1</v>
      </c>
    </row>
    <row r="22" spans="1:91" ht="15" customHeight="1" x14ac:dyDescent="0.25">
      <c r="A22" s="5601" t="s">
        <v>4626</v>
      </c>
      <c r="B22" s="6112"/>
      <c r="C22" s="360" t="s">
        <v>229</v>
      </c>
      <c r="D22" s="316" t="s">
        <v>4567</v>
      </c>
      <c r="E22" s="2199" t="s">
        <v>4568</v>
      </c>
      <c r="F22" s="141" t="s">
        <v>4569</v>
      </c>
      <c r="G22" s="328" t="s">
        <v>4570</v>
      </c>
      <c r="H22" s="1969" t="s">
        <v>4571</v>
      </c>
      <c r="I22" s="326" t="s">
        <v>4572</v>
      </c>
      <c r="J22" s="882" t="s">
        <v>4573</v>
      </c>
      <c r="K22" s="328" t="s">
        <v>4574</v>
      </c>
      <c r="L22" s="1969" t="s">
        <v>4575</v>
      </c>
      <c r="M22" s="328" t="s">
        <v>4576</v>
      </c>
      <c r="N22" s="1969" t="s">
        <v>4577</v>
      </c>
      <c r="O22" s="2200" t="s">
        <v>4578</v>
      </c>
      <c r="P22" s="1969" t="s">
        <v>4579</v>
      </c>
      <c r="Q22" s="2200" t="s">
        <v>4580</v>
      </c>
      <c r="R22" s="2201" t="s">
        <v>4581</v>
      </c>
      <c r="S22" s="1970" t="s">
        <v>4582</v>
      </c>
      <c r="T22" s="329" t="s">
        <v>4583</v>
      </c>
      <c r="U22" s="2193" t="str">
        <f t="shared" si="0"/>
        <v xml:space="preserve">* La variable Pueblos Originarios no debe ser mayor al Total Ambos Sexos. * La variable Migrantes no debe ser mayor al Total Ambos Sexos. </v>
      </c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2194"/>
      <c r="BA22" s="2194"/>
      <c r="BB22" s="2194"/>
      <c r="BC22" s="2194"/>
      <c r="BD22" s="2194"/>
      <c r="BE22" s="2194"/>
      <c r="BF22" s="2194"/>
      <c r="BG22" s="2194"/>
      <c r="BH22" s="2194"/>
      <c r="BI22" s="2194"/>
      <c r="BJ22" s="2194"/>
      <c r="BK22" s="2194"/>
      <c r="BL22" s="2194"/>
      <c r="BM22" s="2194"/>
      <c r="BN22" s="2194"/>
      <c r="BO22" s="2194"/>
      <c r="BP22" s="2194"/>
      <c r="BQ22" s="2194"/>
      <c r="BR22" s="2194"/>
      <c r="BS22" s="2194"/>
      <c r="BT22" s="2194"/>
      <c r="BU22" s="2194"/>
      <c r="BV22" s="2194"/>
      <c r="BW22" s="2194"/>
      <c r="BX22" s="2194"/>
      <c r="BY22" s="2194"/>
      <c r="BZ22" s="2194"/>
      <c r="CA22" s="2194"/>
      <c r="CB22" s="2195" t="str">
        <f t="shared" si="1"/>
        <v xml:space="preserve">* La variable Pueblos Originarios no debe ser mayor al Total Ambos Sexos. </v>
      </c>
      <c r="CC22" s="2195" t="str">
        <f t="shared" si="2"/>
        <v xml:space="preserve">* La variable Migrantes no debe ser mayor al Total Ambos Sexos. </v>
      </c>
      <c r="CD22" s="2194"/>
      <c r="CE22" s="2194"/>
      <c r="CF22" s="99"/>
      <c r="CG22" s="99"/>
      <c r="CH22" s="99"/>
      <c r="CI22" s="99"/>
      <c r="CJ22" s="99"/>
      <c r="CL22" s="55">
        <f t="shared" si="3"/>
        <v>1</v>
      </c>
      <c r="CM22" s="55">
        <f t="shared" si="3"/>
        <v>1</v>
      </c>
    </row>
    <row r="23" spans="1:91" ht="15" customHeight="1" x14ac:dyDescent="0.25">
      <c r="A23" s="5601" t="s">
        <v>4627</v>
      </c>
      <c r="B23" s="6112"/>
      <c r="C23" s="318" t="s">
        <v>230</v>
      </c>
      <c r="D23" s="737" t="s">
        <v>4567</v>
      </c>
      <c r="E23" s="751" t="s">
        <v>4568</v>
      </c>
      <c r="F23" s="344" t="s">
        <v>4569</v>
      </c>
      <c r="G23" s="328" t="s">
        <v>4570</v>
      </c>
      <c r="H23" s="1969" t="s">
        <v>4571</v>
      </c>
      <c r="I23" s="326" t="s">
        <v>4572</v>
      </c>
      <c r="J23" s="882" t="s">
        <v>4573</v>
      </c>
      <c r="K23" s="328" t="s">
        <v>4574</v>
      </c>
      <c r="L23" s="1969" t="s">
        <v>4575</v>
      </c>
      <c r="M23" s="328" t="s">
        <v>4576</v>
      </c>
      <c r="N23" s="1969" t="s">
        <v>4577</v>
      </c>
      <c r="O23" s="2200" t="s">
        <v>4578</v>
      </c>
      <c r="P23" s="1969" t="s">
        <v>4579</v>
      </c>
      <c r="Q23" s="2200" t="s">
        <v>4580</v>
      </c>
      <c r="R23" s="2201" t="s">
        <v>4581</v>
      </c>
      <c r="S23" s="1970" t="s">
        <v>4582</v>
      </c>
      <c r="T23" s="329" t="s">
        <v>4583</v>
      </c>
      <c r="U23" s="2193" t="str">
        <f t="shared" si="0"/>
        <v xml:space="preserve">* La variable Pueblos Originarios no debe ser mayor al Total Ambos Sexos. * La variable Migrantes no debe ser mayor al Total Ambos Sexos. </v>
      </c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2194"/>
      <c r="BA23" s="2194"/>
      <c r="BB23" s="2194"/>
      <c r="BC23" s="2194"/>
      <c r="BD23" s="2194"/>
      <c r="BE23" s="2194"/>
      <c r="BF23" s="2194"/>
      <c r="BG23" s="2194"/>
      <c r="BH23" s="2194"/>
      <c r="BI23" s="2194"/>
      <c r="BJ23" s="2194"/>
      <c r="BK23" s="2194"/>
      <c r="BL23" s="2194"/>
      <c r="BM23" s="2194"/>
      <c r="BN23" s="2194"/>
      <c r="BO23" s="2194"/>
      <c r="BP23" s="2194"/>
      <c r="BQ23" s="2194"/>
      <c r="BR23" s="2194"/>
      <c r="BS23" s="2194"/>
      <c r="BT23" s="2194"/>
      <c r="BU23" s="2194"/>
      <c r="BV23" s="2194"/>
      <c r="BW23" s="2194"/>
      <c r="BX23" s="2194"/>
      <c r="BY23" s="2194"/>
      <c r="BZ23" s="2194"/>
      <c r="CA23" s="2194"/>
      <c r="CB23" s="2195" t="str">
        <f t="shared" si="1"/>
        <v xml:space="preserve">* La variable Pueblos Originarios no debe ser mayor al Total Ambos Sexos. </v>
      </c>
      <c r="CC23" s="2195" t="str">
        <f t="shared" si="2"/>
        <v xml:space="preserve">* La variable Migrantes no debe ser mayor al Total Ambos Sexos. </v>
      </c>
      <c r="CD23" s="2194"/>
      <c r="CE23" s="2194"/>
      <c r="CF23" s="99"/>
      <c r="CG23" s="99"/>
      <c r="CH23" s="99"/>
      <c r="CI23" s="99"/>
      <c r="CJ23" s="99"/>
      <c r="CL23" s="55">
        <f t="shared" si="3"/>
        <v>1</v>
      </c>
      <c r="CM23" s="55">
        <f t="shared" si="3"/>
        <v>1</v>
      </c>
    </row>
    <row r="24" spans="1:91" ht="15" customHeight="1" x14ac:dyDescent="0.25">
      <c r="A24" s="5601" t="s">
        <v>4628</v>
      </c>
      <c r="B24" s="6113"/>
      <c r="C24" s="523" t="s">
        <v>231</v>
      </c>
      <c r="D24" s="703" t="s">
        <v>4567</v>
      </c>
      <c r="E24" s="2202" t="s">
        <v>4568</v>
      </c>
      <c r="F24" s="625" t="s">
        <v>4569</v>
      </c>
      <c r="G24" s="853" t="s">
        <v>4570</v>
      </c>
      <c r="H24" s="1975" t="s">
        <v>4571</v>
      </c>
      <c r="I24" s="853" t="s">
        <v>4572</v>
      </c>
      <c r="J24" s="1975" t="s">
        <v>4573</v>
      </c>
      <c r="K24" s="853" t="s">
        <v>4574</v>
      </c>
      <c r="L24" s="1975" t="s">
        <v>4575</v>
      </c>
      <c r="M24" s="853" t="s">
        <v>4576</v>
      </c>
      <c r="N24" s="1975" t="s">
        <v>4577</v>
      </c>
      <c r="O24" s="2015" t="s">
        <v>4578</v>
      </c>
      <c r="P24" s="1975" t="s">
        <v>4579</v>
      </c>
      <c r="Q24" s="2015" t="s">
        <v>4580</v>
      </c>
      <c r="R24" s="2203" t="s">
        <v>4581</v>
      </c>
      <c r="S24" s="1879" t="s">
        <v>4582</v>
      </c>
      <c r="T24" s="854" t="s">
        <v>4583</v>
      </c>
      <c r="U24" s="2193" t="str">
        <f t="shared" si="0"/>
        <v xml:space="preserve">* La variable Pueblos Originarios no debe ser mayor al Total Ambos Sexos. * La variable Migrantes no debe ser mayor al Total Ambos Sexos. </v>
      </c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2194"/>
      <c r="BA24" s="2194"/>
      <c r="BB24" s="2194"/>
      <c r="BC24" s="2194"/>
      <c r="BD24" s="2194"/>
      <c r="BE24" s="2194"/>
      <c r="BF24" s="2194"/>
      <c r="BG24" s="2194"/>
      <c r="BH24" s="2194"/>
      <c r="BI24" s="2194"/>
      <c r="BJ24" s="2194"/>
      <c r="BK24" s="2194"/>
      <c r="BL24" s="2194"/>
      <c r="BM24" s="2194"/>
      <c r="BN24" s="2194"/>
      <c r="BO24" s="2194"/>
      <c r="BP24" s="2194"/>
      <c r="BQ24" s="2194"/>
      <c r="BR24" s="2194"/>
      <c r="BS24" s="2194"/>
      <c r="BT24" s="2194"/>
      <c r="BU24" s="2194"/>
      <c r="BV24" s="2194"/>
      <c r="BW24" s="2194"/>
      <c r="BX24" s="2194"/>
      <c r="BY24" s="2194"/>
      <c r="BZ24" s="2194"/>
      <c r="CA24" s="2194"/>
      <c r="CB24" s="2195" t="str">
        <f t="shared" si="1"/>
        <v xml:space="preserve">* La variable Pueblos Originarios no debe ser mayor al Total Ambos Sexos. </v>
      </c>
      <c r="CC24" s="2195" t="str">
        <f t="shared" si="2"/>
        <v xml:space="preserve">* La variable Migrantes no debe ser mayor al Total Ambos Sexos. </v>
      </c>
      <c r="CD24" s="2194"/>
      <c r="CE24" s="2194"/>
      <c r="CF24" s="99"/>
      <c r="CG24" s="99"/>
      <c r="CH24" s="99"/>
      <c r="CI24" s="99"/>
      <c r="CJ24" s="99"/>
      <c r="CL24" s="55">
        <f t="shared" si="3"/>
        <v>1</v>
      </c>
      <c r="CM24" s="55">
        <f t="shared" si="3"/>
        <v>1</v>
      </c>
    </row>
    <row r="25" spans="1:91" ht="21" x14ac:dyDescent="0.25">
      <c r="A25" s="5601" t="s">
        <v>4629</v>
      </c>
      <c r="B25" s="6111" t="s">
        <v>232</v>
      </c>
      <c r="C25" s="2197" t="s">
        <v>233</v>
      </c>
      <c r="D25" s="2172" t="s">
        <v>4567</v>
      </c>
      <c r="E25" s="2198" t="s">
        <v>4568</v>
      </c>
      <c r="F25" s="2174" t="s">
        <v>4569</v>
      </c>
      <c r="G25" s="2175" t="s">
        <v>4570</v>
      </c>
      <c r="H25" s="1962" t="s">
        <v>4571</v>
      </c>
      <c r="I25" s="2175" t="s">
        <v>4572</v>
      </c>
      <c r="J25" s="1962" t="s">
        <v>4573</v>
      </c>
      <c r="K25" s="2175" t="s">
        <v>4574</v>
      </c>
      <c r="L25" s="1962" t="s">
        <v>4575</v>
      </c>
      <c r="M25" s="2175" t="s">
        <v>4576</v>
      </c>
      <c r="N25" s="1962" t="s">
        <v>4577</v>
      </c>
      <c r="O25" s="2204" t="s">
        <v>4578</v>
      </c>
      <c r="P25" s="1962" t="s">
        <v>4579</v>
      </c>
      <c r="Q25" s="2204" t="s">
        <v>4580</v>
      </c>
      <c r="R25" s="2205" t="s">
        <v>4581</v>
      </c>
      <c r="S25" s="1963" t="s">
        <v>4582</v>
      </c>
      <c r="T25" s="2176" t="s">
        <v>4583</v>
      </c>
      <c r="U25" s="2193" t="str">
        <f t="shared" si="0"/>
        <v xml:space="preserve">* La variable Pueblos Originarios no debe ser mayor al Total Ambos Sexos. * La variable Migrantes no debe ser mayor al Total Ambos Sexos. 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2194"/>
      <c r="BA25" s="2194"/>
      <c r="BB25" s="2194"/>
      <c r="BC25" s="2194"/>
      <c r="BD25" s="2194"/>
      <c r="BE25" s="2194"/>
      <c r="BF25" s="2194"/>
      <c r="BG25" s="2194"/>
      <c r="BH25" s="2194"/>
      <c r="BI25" s="2194"/>
      <c r="BJ25" s="2194"/>
      <c r="BK25" s="2194"/>
      <c r="BL25" s="2194"/>
      <c r="BM25" s="2194"/>
      <c r="BN25" s="2194"/>
      <c r="BO25" s="2194"/>
      <c r="BP25" s="2194"/>
      <c r="BQ25" s="2194"/>
      <c r="BR25" s="2194"/>
      <c r="BS25" s="2194"/>
      <c r="BT25" s="2194"/>
      <c r="BU25" s="2194"/>
      <c r="BV25" s="2194"/>
      <c r="BW25" s="2194"/>
      <c r="BX25" s="2194"/>
      <c r="BY25" s="2194"/>
      <c r="BZ25" s="2194"/>
      <c r="CA25" s="2194"/>
      <c r="CB25" s="2195" t="str">
        <f t="shared" si="1"/>
        <v xml:space="preserve">* La variable Pueblos Originarios no debe ser mayor al Total Ambos Sexos. </v>
      </c>
      <c r="CC25" s="2195" t="str">
        <f t="shared" si="2"/>
        <v xml:space="preserve">* La variable Migrantes no debe ser mayor al Total Ambos Sexos. </v>
      </c>
      <c r="CD25" s="2194"/>
      <c r="CE25" s="2194"/>
      <c r="CF25" s="99"/>
      <c r="CG25" s="99"/>
      <c r="CH25" s="99"/>
      <c r="CI25" s="99"/>
      <c r="CJ25" s="99"/>
      <c r="CL25" s="55">
        <f t="shared" si="3"/>
        <v>1</v>
      </c>
      <c r="CM25" s="55">
        <f t="shared" si="3"/>
        <v>1</v>
      </c>
    </row>
    <row r="26" spans="1:91" ht="15" customHeight="1" x14ac:dyDescent="0.25">
      <c r="A26" s="5601" t="s">
        <v>4630</v>
      </c>
      <c r="B26" s="6112"/>
      <c r="C26" s="2206" t="s">
        <v>234</v>
      </c>
      <c r="D26" s="316" t="s">
        <v>4567</v>
      </c>
      <c r="E26" s="2199" t="s">
        <v>4568</v>
      </c>
      <c r="F26" s="141" t="s">
        <v>4569</v>
      </c>
      <c r="G26" s="326" t="s">
        <v>4570</v>
      </c>
      <c r="H26" s="882" t="s">
        <v>4571</v>
      </c>
      <c r="I26" s="326" t="s">
        <v>4572</v>
      </c>
      <c r="J26" s="882" t="s">
        <v>4573</v>
      </c>
      <c r="K26" s="326" t="s">
        <v>4574</v>
      </c>
      <c r="L26" s="882" t="s">
        <v>4575</v>
      </c>
      <c r="M26" s="326" t="s">
        <v>4576</v>
      </c>
      <c r="N26" s="882" t="s">
        <v>4577</v>
      </c>
      <c r="O26" s="252" t="s">
        <v>4578</v>
      </c>
      <c r="P26" s="882" t="s">
        <v>4579</v>
      </c>
      <c r="Q26" s="252" t="s">
        <v>4580</v>
      </c>
      <c r="R26" s="1133" t="s">
        <v>4581</v>
      </c>
      <c r="S26" s="336" t="s">
        <v>4582</v>
      </c>
      <c r="T26" s="142" t="s">
        <v>4583</v>
      </c>
      <c r="U26" s="2193" t="str">
        <f t="shared" si="0"/>
        <v xml:space="preserve">* La variable Pueblos Originarios no debe ser mayor al Total Ambos Sexos. * La variable Migrantes no debe ser mayor al Total Ambos Sexos. 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2194"/>
      <c r="BA26" s="2194"/>
      <c r="BB26" s="2194"/>
      <c r="BC26" s="2194"/>
      <c r="BD26" s="2194"/>
      <c r="BE26" s="2194"/>
      <c r="BF26" s="2194"/>
      <c r="BG26" s="2194"/>
      <c r="BH26" s="2194"/>
      <c r="BI26" s="2194"/>
      <c r="BJ26" s="2194"/>
      <c r="BK26" s="2194"/>
      <c r="BL26" s="2194"/>
      <c r="BM26" s="2194"/>
      <c r="BN26" s="2194"/>
      <c r="BO26" s="2194"/>
      <c r="BP26" s="2194"/>
      <c r="BQ26" s="2194"/>
      <c r="BR26" s="2194"/>
      <c r="BS26" s="2194"/>
      <c r="BT26" s="2194"/>
      <c r="BU26" s="2194"/>
      <c r="BV26" s="2194"/>
      <c r="BW26" s="2194"/>
      <c r="BX26" s="2194"/>
      <c r="BY26" s="2194"/>
      <c r="BZ26" s="2194"/>
      <c r="CA26" s="2194"/>
      <c r="CB26" s="2195" t="str">
        <f t="shared" si="1"/>
        <v xml:space="preserve">* La variable Pueblos Originarios no debe ser mayor al Total Ambos Sexos. </v>
      </c>
      <c r="CC26" s="2195" t="str">
        <f t="shared" si="2"/>
        <v xml:space="preserve">* La variable Migrantes no debe ser mayor al Total Ambos Sexos. </v>
      </c>
      <c r="CD26" s="2194"/>
      <c r="CE26" s="2194"/>
      <c r="CF26" s="99"/>
      <c r="CG26" s="99"/>
      <c r="CH26" s="99"/>
      <c r="CI26" s="99"/>
      <c r="CJ26" s="99"/>
      <c r="CL26" s="55">
        <f t="shared" si="3"/>
        <v>1</v>
      </c>
      <c r="CM26" s="55">
        <f t="shared" si="3"/>
        <v>1</v>
      </c>
    </row>
    <row r="27" spans="1:91" ht="15" customHeight="1" x14ac:dyDescent="0.25">
      <c r="A27" s="5601" t="s">
        <v>4631</v>
      </c>
      <c r="B27" s="6112"/>
      <c r="C27" s="2206" t="s">
        <v>235</v>
      </c>
      <c r="D27" s="316" t="s">
        <v>4567</v>
      </c>
      <c r="E27" s="2199" t="s">
        <v>4568</v>
      </c>
      <c r="F27" s="141" t="s">
        <v>4569</v>
      </c>
      <c r="G27" s="326" t="s">
        <v>4570</v>
      </c>
      <c r="H27" s="882" t="s">
        <v>4571</v>
      </c>
      <c r="I27" s="326" t="s">
        <v>4572</v>
      </c>
      <c r="J27" s="882" t="s">
        <v>4573</v>
      </c>
      <c r="K27" s="326" t="s">
        <v>4574</v>
      </c>
      <c r="L27" s="882" t="s">
        <v>4575</v>
      </c>
      <c r="M27" s="326" t="s">
        <v>4576</v>
      </c>
      <c r="N27" s="882" t="s">
        <v>4577</v>
      </c>
      <c r="O27" s="252" t="s">
        <v>4578</v>
      </c>
      <c r="P27" s="882" t="s">
        <v>4579</v>
      </c>
      <c r="Q27" s="252" t="s">
        <v>4580</v>
      </c>
      <c r="R27" s="1133" t="s">
        <v>4581</v>
      </c>
      <c r="S27" s="336" t="s">
        <v>4582</v>
      </c>
      <c r="T27" s="142" t="s">
        <v>4583</v>
      </c>
      <c r="U27" s="2193" t="str">
        <f t="shared" si="0"/>
        <v xml:space="preserve">* La variable Pueblos Originarios no debe ser mayor al Total Ambos Sexos. * La variable Migrantes no debe ser mayor al Total Ambos Sexos. 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2194"/>
      <c r="BA27" s="2194"/>
      <c r="BB27" s="2194"/>
      <c r="BC27" s="2194"/>
      <c r="BD27" s="2194"/>
      <c r="BE27" s="2194"/>
      <c r="BF27" s="2194"/>
      <c r="BG27" s="2194"/>
      <c r="BH27" s="2194"/>
      <c r="BI27" s="2194"/>
      <c r="BJ27" s="2194"/>
      <c r="BK27" s="2194"/>
      <c r="BL27" s="2194"/>
      <c r="BM27" s="2194"/>
      <c r="BN27" s="2194"/>
      <c r="BO27" s="2194"/>
      <c r="BP27" s="2194"/>
      <c r="BQ27" s="2194"/>
      <c r="BR27" s="2194"/>
      <c r="BS27" s="2194"/>
      <c r="BT27" s="2194"/>
      <c r="BU27" s="2194"/>
      <c r="BV27" s="2194"/>
      <c r="BW27" s="2194"/>
      <c r="BX27" s="2194"/>
      <c r="BY27" s="2194"/>
      <c r="BZ27" s="2194"/>
      <c r="CA27" s="2194"/>
      <c r="CB27" s="2195" t="str">
        <f t="shared" si="1"/>
        <v xml:space="preserve">* La variable Pueblos Originarios no debe ser mayor al Total Ambos Sexos. </v>
      </c>
      <c r="CC27" s="2195" t="str">
        <f t="shared" si="2"/>
        <v xml:space="preserve">* La variable Migrantes no debe ser mayor al Total Ambos Sexos. </v>
      </c>
      <c r="CD27" s="2194"/>
      <c r="CE27" s="2194"/>
      <c r="CF27" s="99"/>
      <c r="CG27" s="99"/>
      <c r="CH27" s="99"/>
      <c r="CI27" s="99"/>
      <c r="CJ27" s="99"/>
      <c r="CL27" s="55">
        <f t="shared" si="3"/>
        <v>1</v>
      </c>
      <c r="CM27" s="55">
        <f t="shared" si="3"/>
        <v>1</v>
      </c>
    </row>
    <row r="28" spans="1:91" ht="15" customHeight="1" x14ac:dyDescent="0.25">
      <c r="A28" s="5601" t="s">
        <v>4632</v>
      </c>
      <c r="B28" s="6112"/>
      <c r="C28" s="2207" t="s">
        <v>236</v>
      </c>
      <c r="D28" s="2208" t="s">
        <v>4567</v>
      </c>
      <c r="E28" s="2209" t="s">
        <v>4568</v>
      </c>
      <c r="F28" s="213" t="s">
        <v>4569</v>
      </c>
      <c r="G28" s="326" t="s">
        <v>4570</v>
      </c>
      <c r="H28" s="882" t="s">
        <v>4571</v>
      </c>
      <c r="I28" s="326" t="s">
        <v>4572</v>
      </c>
      <c r="J28" s="882" t="s">
        <v>4573</v>
      </c>
      <c r="K28" s="326" t="s">
        <v>4574</v>
      </c>
      <c r="L28" s="882" t="s">
        <v>4575</v>
      </c>
      <c r="M28" s="326" t="s">
        <v>4576</v>
      </c>
      <c r="N28" s="882" t="s">
        <v>4577</v>
      </c>
      <c r="O28" s="252" t="s">
        <v>4578</v>
      </c>
      <c r="P28" s="882" t="s">
        <v>4579</v>
      </c>
      <c r="Q28" s="252" t="s">
        <v>4580</v>
      </c>
      <c r="R28" s="1133" t="s">
        <v>4581</v>
      </c>
      <c r="S28" s="336" t="s">
        <v>4582</v>
      </c>
      <c r="T28" s="142" t="s">
        <v>4583</v>
      </c>
      <c r="U28" s="2193" t="str">
        <f t="shared" si="0"/>
        <v xml:space="preserve">* La variable Pueblos Originarios no debe ser mayor al Total Ambos Sexos. * La variable Migrantes no debe ser mayor al Total Ambos Sexos. 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2194"/>
      <c r="BA28" s="2194"/>
      <c r="BB28" s="2194"/>
      <c r="BC28" s="2194"/>
      <c r="BD28" s="2194"/>
      <c r="BE28" s="2194"/>
      <c r="BF28" s="2194"/>
      <c r="BG28" s="2194"/>
      <c r="BH28" s="2194"/>
      <c r="BI28" s="2194"/>
      <c r="BJ28" s="2194"/>
      <c r="BK28" s="2194"/>
      <c r="BL28" s="2194"/>
      <c r="BM28" s="2194"/>
      <c r="BN28" s="2194"/>
      <c r="BO28" s="2194"/>
      <c r="BP28" s="2194"/>
      <c r="BQ28" s="2194"/>
      <c r="BR28" s="2194"/>
      <c r="BS28" s="2194"/>
      <c r="BT28" s="2194"/>
      <c r="BU28" s="2194"/>
      <c r="BV28" s="2194"/>
      <c r="BW28" s="2194"/>
      <c r="BX28" s="2194"/>
      <c r="BY28" s="2194"/>
      <c r="BZ28" s="2194"/>
      <c r="CA28" s="2194"/>
      <c r="CB28" s="2195" t="str">
        <f t="shared" si="1"/>
        <v xml:space="preserve">* La variable Pueblos Originarios no debe ser mayor al Total Ambos Sexos. </v>
      </c>
      <c r="CC28" s="2195" t="str">
        <f t="shared" si="2"/>
        <v xml:space="preserve">* La variable Migrantes no debe ser mayor al Total Ambos Sexos. </v>
      </c>
      <c r="CD28" s="2194"/>
      <c r="CE28" s="2194"/>
      <c r="CF28" s="99"/>
      <c r="CG28" s="99"/>
      <c r="CH28" s="99"/>
      <c r="CI28" s="99"/>
      <c r="CJ28" s="99"/>
      <c r="CL28" s="55">
        <f t="shared" si="3"/>
        <v>1</v>
      </c>
      <c r="CM28" s="55">
        <f t="shared" si="3"/>
        <v>1</v>
      </c>
    </row>
    <row r="29" spans="1:91" ht="21" x14ac:dyDescent="0.25">
      <c r="A29" s="5601" t="s">
        <v>4633</v>
      </c>
      <c r="B29" s="6112"/>
      <c r="C29" s="2207" t="s">
        <v>237</v>
      </c>
      <c r="D29" s="2208" t="s">
        <v>4567</v>
      </c>
      <c r="E29" s="2209" t="s">
        <v>4568</v>
      </c>
      <c r="F29" s="213" t="s">
        <v>4569</v>
      </c>
      <c r="G29" s="326" t="s">
        <v>4570</v>
      </c>
      <c r="H29" s="882" t="s">
        <v>4571</v>
      </c>
      <c r="I29" s="326" t="s">
        <v>4572</v>
      </c>
      <c r="J29" s="882" t="s">
        <v>4573</v>
      </c>
      <c r="K29" s="326" t="s">
        <v>4574</v>
      </c>
      <c r="L29" s="882" t="s">
        <v>4575</v>
      </c>
      <c r="M29" s="326" t="s">
        <v>4576</v>
      </c>
      <c r="N29" s="882" t="s">
        <v>4577</v>
      </c>
      <c r="O29" s="252" t="s">
        <v>4578</v>
      </c>
      <c r="P29" s="882" t="s">
        <v>4579</v>
      </c>
      <c r="Q29" s="252" t="s">
        <v>4580</v>
      </c>
      <c r="R29" s="1133" t="s">
        <v>4581</v>
      </c>
      <c r="S29" s="336" t="s">
        <v>4582</v>
      </c>
      <c r="T29" s="142" t="s">
        <v>4583</v>
      </c>
      <c r="U29" s="2193" t="str">
        <f t="shared" si="0"/>
        <v xml:space="preserve">* La variable Pueblos Originarios no debe ser mayor al Total Ambos Sexos. * La variable Migrantes no debe ser mayor al Total Ambos Sexos. 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2194"/>
      <c r="BA29" s="2194"/>
      <c r="BB29" s="2194"/>
      <c r="BC29" s="2194"/>
      <c r="BD29" s="2194"/>
      <c r="BE29" s="2194"/>
      <c r="BF29" s="2194"/>
      <c r="BG29" s="2194"/>
      <c r="BH29" s="2194"/>
      <c r="BI29" s="2194"/>
      <c r="BJ29" s="2194"/>
      <c r="BK29" s="2194"/>
      <c r="BL29" s="2194"/>
      <c r="BM29" s="2194"/>
      <c r="BN29" s="2194"/>
      <c r="BO29" s="2194"/>
      <c r="BP29" s="2194"/>
      <c r="BQ29" s="2194"/>
      <c r="BR29" s="2194"/>
      <c r="BS29" s="2194"/>
      <c r="BT29" s="2194"/>
      <c r="BU29" s="2194"/>
      <c r="BV29" s="2194"/>
      <c r="BW29" s="2194"/>
      <c r="BX29" s="2194"/>
      <c r="BY29" s="2194"/>
      <c r="BZ29" s="2194"/>
      <c r="CA29" s="2194"/>
      <c r="CB29" s="2195" t="str">
        <f t="shared" si="1"/>
        <v xml:space="preserve">* La variable Pueblos Originarios no debe ser mayor al Total Ambos Sexos. </v>
      </c>
      <c r="CC29" s="2195" t="str">
        <f t="shared" si="2"/>
        <v xml:space="preserve">* La variable Migrantes no debe ser mayor al Total Ambos Sexos. </v>
      </c>
      <c r="CD29" s="2194"/>
      <c r="CE29" s="2194"/>
      <c r="CF29" s="99"/>
      <c r="CG29" s="99"/>
      <c r="CH29" s="99"/>
      <c r="CI29" s="99"/>
      <c r="CJ29" s="99"/>
      <c r="CL29" s="55">
        <f t="shared" si="3"/>
        <v>1</v>
      </c>
      <c r="CM29" s="55">
        <f t="shared" si="3"/>
        <v>1</v>
      </c>
    </row>
    <row r="30" spans="1:91" ht="15" customHeight="1" x14ac:dyDescent="0.25">
      <c r="A30" s="5601" t="s">
        <v>4634</v>
      </c>
      <c r="B30" s="6112"/>
      <c r="C30" s="2207" t="s">
        <v>238</v>
      </c>
      <c r="D30" s="2208" t="s">
        <v>4567</v>
      </c>
      <c r="E30" s="2209" t="s">
        <v>4568</v>
      </c>
      <c r="F30" s="213" t="s">
        <v>4569</v>
      </c>
      <c r="G30" s="326" t="s">
        <v>4570</v>
      </c>
      <c r="H30" s="882" t="s">
        <v>4571</v>
      </c>
      <c r="I30" s="326" t="s">
        <v>4572</v>
      </c>
      <c r="J30" s="882" t="s">
        <v>4573</v>
      </c>
      <c r="K30" s="326" t="s">
        <v>4574</v>
      </c>
      <c r="L30" s="882" t="s">
        <v>4575</v>
      </c>
      <c r="M30" s="326" t="s">
        <v>4576</v>
      </c>
      <c r="N30" s="882" t="s">
        <v>4577</v>
      </c>
      <c r="O30" s="252" t="s">
        <v>4578</v>
      </c>
      <c r="P30" s="882" t="s">
        <v>4579</v>
      </c>
      <c r="Q30" s="252" t="s">
        <v>4580</v>
      </c>
      <c r="R30" s="1133" t="s">
        <v>4581</v>
      </c>
      <c r="S30" s="336" t="s">
        <v>4582</v>
      </c>
      <c r="T30" s="142" t="s">
        <v>4583</v>
      </c>
      <c r="U30" s="2193" t="str">
        <f t="shared" si="0"/>
        <v xml:space="preserve">* La variable Pueblos Originarios no debe ser mayor al Total Ambos Sexos. * La variable Migrantes no debe ser mayor al Total Ambos Sexos. 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2194"/>
      <c r="BA30" s="2194"/>
      <c r="BB30" s="2194"/>
      <c r="BC30" s="2194"/>
      <c r="BD30" s="2194"/>
      <c r="BE30" s="2194"/>
      <c r="BF30" s="2194"/>
      <c r="BG30" s="2194"/>
      <c r="BH30" s="2194"/>
      <c r="BI30" s="2194"/>
      <c r="BJ30" s="2194"/>
      <c r="BK30" s="2194"/>
      <c r="BL30" s="2194"/>
      <c r="BM30" s="2194"/>
      <c r="BN30" s="2194"/>
      <c r="BO30" s="2194"/>
      <c r="BP30" s="2194"/>
      <c r="BQ30" s="2194"/>
      <c r="BR30" s="2194"/>
      <c r="BS30" s="2194"/>
      <c r="BT30" s="2194"/>
      <c r="BU30" s="2194"/>
      <c r="BV30" s="2194"/>
      <c r="BW30" s="2194"/>
      <c r="BX30" s="2194"/>
      <c r="BY30" s="2194"/>
      <c r="BZ30" s="2194"/>
      <c r="CA30" s="2194"/>
      <c r="CB30" s="2195" t="str">
        <f t="shared" si="1"/>
        <v xml:space="preserve">* La variable Pueblos Originarios no debe ser mayor al Total Ambos Sexos. </v>
      </c>
      <c r="CC30" s="2195" t="str">
        <f t="shared" si="2"/>
        <v xml:space="preserve">* La variable Migrantes no debe ser mayor al Total Ambos Sexos. </v>
      </c>
      <c r="CD30" s="2194"/>
      <c r="CE30" s="2194"/>
      <c r="CF30" s="99"/>
      <c r="CG30" s="99"/>
      <c r="CH30" s="99"/>
      <c r="CI30" s="99"/>
      <c r="CJ30" s="99"/>
      <c r="CL30" s="55">
        <f t="shared" si="3"/>
        <v>1</v>
      </c>
      <c r="CM30" s="55">
        <f t="shared" si="3"/>
        <v>1</v>
      </c>
    </row>
    <row r="31" spans="1:91" ht="24.75" customHeight="1" x14ac:dyDescent="0.25">
      <c r="A31" s="5601" t="s">
        <v>4635</v>
      </c>
      <c r="B31" s="6112"/>
      <c r="C31" s="2207" t="s">
        <v>239</v>
      </c>
      <c r="D31" s="2208" t="s">
        <v>4567</v>
      </c>
      <c r="E31" s="2199" t="s">
        <v>4568</v>
      </c>
      <c r="F31" s="141" t="s">
        <v>4569</v>
      </c>
      <c r="G31" s="326" t="s">
        <v>4570</v>
      </c>
      <c r="H31" s="882" t="s">
        <v>4571</v>
      </c>
      <c r="I31" s="326" t="s">
        <v>4572</v>
      </c>
      <c r="J31" s="882" t="s">
        <v>4573</v>
      </c>
      <c r="K31" s="326" t="s">
        <v>4574</v>
      </c>
      <c r="L31" s="882" t="s">
        <v>4575</v>
      </c>
      <c r="M31" s="326" t="s">
        <v>4576</v>
      </c>
      <c r="N31" s="882" t="s">
        <v>4577</v>
      </c>
      <c r="O31" s="252" t="s">
        <v>4578</v>
      </c>
      <c r="P31" s="882" t="s">
        <v>4579</v>
      </c>
      <c r="Q31" s="252" t="s">
        <v>4580</v>
      </c>
      <c r="R31" s="1133" t="s">
        <v>4581</v>
      </c>
      <c r="S31" s="336" t="s">
        <v>4582</v>
      </c>
      <c r="T31" s="142" t="s">
        <v>4583</v>
      </c>
      <c r="U31" s="2193" t="str">
        <f t="shared" si="0"/>
        <v xml:space="preserve">* La variable Pueblos Originarios no debe ser mayor al Total Ambos Sexos. * La variable Migrantes no debe ser mayor al Total Ambos Sexos. 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2194"/>
      <c r="BA31" s="2194"/>
      <c r="BB31" s="2194"/>
      <c r="BC31" s="2194"/>
      <c r="BD31" s="2194"/>
      <c r="BE31" s="2194"/>
      <c r="BF31" s="2194"/>
      <c r="BG31" s="2194"/>
      <c r="BH31" s="2194"/>
      <c r="BI31" s="2194"/>
      <c r="BJ31" s="2194"/>
      <c r="BK31" s="2194"/>
      <c r="BL31" s="2194"/>
      <c r="BM31" s="2194"/>
      <c r="BN31" s="2194"/>
      <c r="BO31" s="2194"/>
      <c r="BP31" s="2194"/>
      <c r="BQ31" s="2194"/>
      <c r="BR31" s="2194"/>
      <c r="BS31" s="2194"/>
      <c r="BT31" s="2194"/>
      <c r="BU31" s="2194"/>
      <c r="BV31" s="2194"/>
      <c r="BW31" s="2194"/>
      <c r="BX31" s="2194"/>
      <c r="BY31" s="2194"/>
      <c r="BZ31" s="2194"/>
      <c r="CA31" s="2194"/>
      <c r="CB31" s="2195" t="str">
        <f t="shared" si="1"/>
        <v xml:space="preserve">* La variable Pueblos Originarios no debe ser mayor al Total Ambos Sexos. </v>
      </c>
      <c r="CC31" s="2195" t="str">
        <f t="shared" si="2"/>
        <v xml:space="preserve">* La variable Migrantes no debe ser mayor al Total Ambos Sexos. </v>
      </c>
      <c r="CD31" s="2194"/>
      <c r="CE31" s="2194"/>
      <c r="CF31" s="99"/>
      <c r="CG31" s="99"/>
      <c r="CH31" s="99"/>
      <c r="CI31" s="99"/>
      <c r="CJ31" s="99"/>
      <c r="CL31" s="55">
        <f t="shared" si="3"/>
        <v>1</v>
      </c>
      <c r="CM31" s="55">
        <f t="shared" si="3"/>
        <v>1</v>
      </c>
    </row>
    <row r="32" spans="1:91" ht="15" customHeight="1" x14ac:dyDescent="0.25">
      <c r="A32" s="5601" t="s">
        <v>4636</v>
      </c>
      <c r="B32" s="6112"/>
      <c r="C32" s="2207" t="s">
        <v>240</v>
      </c>
      <c r="D32" s="316" t="s">
        <v>4567</v>
      </c>
      <c r="E32" s="2199" t="s">
        <v>4568</v>
      </c>
      <c r="F32" s="141" t="s">
        <v>4569</v>
      </c>
      <c r="G32" s="328" t="s">
        <v>4570</v>
      </c>
      <c r="H32" s="1969" t="s">
        <v>4571</v>
      </c>
      <c r="I32" s="328" t="s">
        <v>4572</v>
      </c>
      <c r="J32" s="1969" t="s">
        <v>4573</v>
      </c>
      <c r="K32" s="328" t="s">
        <v>4574</v>
      </c>
      <c r="L32" s="1969" t="s">
        <v>4575</v>
      </c>
      <c r="M32" s="328" t="s">
        <v>4576</v>
      </c>
      <c r="N32" s="1969" t="s">
        <v>4577</v>
      </c>
      <c r="O32" s="2200" t="s">
        <v>4578</v>
      </c>
      <c r="P32" s="1969" t="s">
        <v>4579</v>
      </c>
      <c r="Q32" s="2200" t="s">
        <v>4580</v>
      </c>
      <c r="R32" s="2201" t="s">
        <v>4581</v>
      </c>
      <c r="S32" s="1970" t="s">
        <v>4582</v>
      </c>
      <c r="T32" s="329" t="s">
        <v>4583</v>
      </c>
      <c r="U32" s="2193" t="str">
        <f t="shared" si="0"/>
        <v xml:space="preserve">* La variable Pueblos Originarios no debe ser mayor al Total Ambos Sexos. * La variable Migrantes no debe ser mayor al Total Ambos Sexos. </v>
      </c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2194"/>
      <c r="BA32" s="2194"/>
      <c r="BB32" s="2194"/>
      <c r="BC32" s="2194"/>
      <c r="BD32" s="2194"/>
      <c r="BE32" s="2194"/>
      <c r="BF32" s="2194"/>
      <c r="BG32" s="2194"/>
      <c r="BH32" s="2194"/>
      <c r="BI32" s="2194"/>
      <c r="BJ32" s="2194"/>
      <c r="BK32" s="2194"/>
      <c r="BL32" s="2194"/>
      <c r="BM32" s="2194"/>
      <c r="BN32" s="2194"/>
      <c r="BO32" s="2194"/>
      <c r="BP32" s="2194"/>
      <c r="BQ32" s="2194"/>
      <c r="BR32" s="2194"/>
      <c r="BS32" s="2194"/>
      <c r="BT32" s="2194"/>
      <c r="BU32" s="2194"/>
      <c r="BV32" s="2194"/>
      <c r="BW32" s="2194"/>
      <c r="BX32" s="2194"/>
      <c r="BY32" s="2194"/>
      <c r="BZ32" s="2194"/>
      <c r="CA32" s="2194"/>
      <c r="CB32" s="2195" t="str">
        <f t="shared" si="1"/>
        <v xml:space="preserve">* La variable Pueblos Originarios no debe ser mayor al Total Ambos Sexos. </v>
      </c>
      <c r="CC32" s="2195" t="str">
        <f t="shared" si="2"/>
        <v xml:space="preserve">* La variable Migrantes no debe ser mayor al Total Ambos Sexos. </v>
      </c>
      <c r="CD32" s="2194"/>
      <c r="CE32" s="2194"/>
      <c r="CF32" s="99"/>
      <c r="CG32" s="99"/>
      <c r="CH32" s="99"/>
      <c r="CI32" s="99"/>
      <c r="CJ32" s="99"/>
      <c r="CL32" s="55">
        <f t="shared" si="3"/>
        <v>1</v>
      </c>
      <c r="CM32" s="55">
        <f t="shared" si="3"/>
        <v>1</v>
      </c>
    </row>
    <row r="33" spans="1:91" ht="15" customHeight="1" x14ac:dyDescent="0.25">
      <c r="A33" s="5601" t="s">
        <v>4637</v>
      </c>
      <c r="B33" s="6112"/>
      <c r="C33" s="19" t="s">
        <v>241</v>
      </c>
      <c r="D33" s="737" t="s">
        <v>4567</v>
      </c>
      <c r="E33" s="751" t="s">
        <v>4568</v>
      </c>
      <c r="F33" s="344" t="s">
        <v>4569</v>
      </c>
      <c r="G33" s="212" t="s">
        <v>4570</v>
      </c>
      <c r="H33" s="1136" t="s">
        <v>4571</v>
      </c>
      <c r="I33" s="212" t="s">
        <v>4572</v>
      </c>
      <c r="J33" s="1136" t="s">
        <v>4573</v>
      </c>
      <c r="K33" s="212" t="s">
        <v>4574</v>
      </c>
      <c r="L33" s="1136" t="s">
        <v>4575</v>
      </c>
      <c r="M33" s="212" t="s">
        <v>4576</v>
      </c>
      <c r="N33" s="1136" t="s">
        <v>4577</v>
      </c>
      <c r="O33" s="2210" t="s">
        <v>4578</v>
      </c>
      <c r="P33" s="1136" t="s">
        <v>4579</v>
      </c>
      <c r="Q33" s="2210" t="s">
        <v>4580</v>
      </c>
      <c r="R33" s="1138" t="s">
        <v>4581</v>
      </c>
      <c r="S33" s="992" t="s">
        <v>4582</v>
      </c>
      <c r="T33" s="34" t="s">
        <v>4583</v>
      </c>
      <c r="U33" s="2193" t="str">
        <f t="shared" si="0"/>
        <v xml:space="preserve">* La variable Pueblos Originarios no debe ser mayor al Total Ambos Sexos. * La variable Migrantes no debe ser mayor al Total Ambos Sexos. </v>
      </c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2194"/>
      <c r="BA33" s="2194"/>
      <c r="BB33" s="2194"/>
      <c r="BC33" s="2194"/>
      <c r="BD33" s="2194"/>
      <c r="BE33" s="2194"/>
      <c r="BF33" s="2194"/>
      <c r="BG33" s="2194"/>
      <c r="BH33" s="2194"/>
      <c r="BI33" s="2194"/>
      <c r="BJ33" s="2194"/>
      <c r="BK33" s="2194"/>
      <c r="BL33" s="2194"/>
      <c r="BM33" s="2194"/>
      <c r="BN33" s="2194"/>
      <c r="BO33" s="2194"/>
      <c r="BP33" s="2194"/>
      <c r="BQ33" s="2194"/>
      <c r="BR33" s="2194"/>
      <c r="BS33" s="2194"/>
      <c r="BT33" s="2194"/>
      <c r="BU33" s="2194"/>
      <c r="BV33" s="2194"/>
      <c r="BW33" s="2194"/>
      <c r="BX33" s="2194"/>
      <c r="BY33" s="2194"/>
      <c r="BZ33" s="2194"/>
      <c r="CA33" s="2194"/>
      <c r="CB33" s="2195" t="str">
        <f t="shared" si="1"/>
        <v xml:space="preserve">* La variable Pueblos Originarios no debe ser mayor al Total Ambos Sexos. </v>
      </c>
      <c r="CC33" s="2195" t="str">
        <f t="shared" si="2"/>
        <v xml:space="preserve">* La variable Migrantes no debe ser mayor al Total Ambos Sexos. </v>
      </c>
      <c r="CD33" s="2194"/>
      <c r="CE33" s="2194"/>
      <c r="CF33" s="99"/>
      <c r="CG33" s="99"/>
      <c r="CH33" s="99"/>
      <c r="CI33" s="99"/>
      <c r="CJ33" s="99"/>
      <c r="CL33" s="55">
        <f t="shared" si="3"/>
        <v>1</v>
      </c>
      <c r="CM33" s="55">
        <f t="shared" si="3"/>
        <v>1</v>
      </c>
    </row>
    <row r="34" spans="1:91" ht="15" customHeight="1" x14ac:dyDescent="0.25">
      <c r="A34" s="5601" t="s">
        <v>4638</v>
      </c>
      <c r="B34" s="6112"/>
      <c r="C34" s="360" t="s">
        <v>242</v>
      </c>
      <c r="D34" s="737" t="s">
        <v>4567</v>
      </c>
      <c r="E34" s="751" t="s">
        <v>4568</v>
      </c>
      <c r="F34" s="344" t="s">
        <v>4569</v>
      </c>
      <c r="G34" s="212" t="s">
        <v>4570</v>
      </c>
      <c r="H34" s="1136" t="s">
        <v>4571</v>
      </c>
      <c r="I34" s="212" t="s">
        <v>4572</v>
      </c>
      <c r="J34" s="1136" t="s">
        <v>4573</v>
      </c>
      <c r="K34" s="212" t="s">
        <v>4574</v>
      </c>
      <c r="L34" s="1136" t="s">
        <v>4575</v>
      </c>
      <c r="M34" s="212" t="s">
        <v>4576</v>
      </c>
      <c r="N34" s="1136" t="s">
        <v>4577</v>
      </c>
      <c r="O34" s="2210" t="s">
        <v>4578</v>
      </c>
      <c r="P34" s="1136" t="s">
        <v>4579</v>
      </c>
      <c r="Q34" s="2210" t="s">
        <v>4580</v>
      </c>
      <c r="R34" s="1138" t="s">
        <v>4581</v>
      </c>
      <c r="S34" s="992" t="s">
        <v>4582</v>
      </c>
      <c r="T34" s="34" t="s">
        <v>4583</v>
      </c>
      <c r="U34" s="2193" t="str">
        <f t="shared" si="0"/>
        <v xml:space="preserve">* La variable Pueblos Originarios no debe ser mayor al Total Ambos Sexos. * La variable Migrantes no debe ser mayor al Total Ambos Sexos. </v>
      </c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2194"/>
      <c r="BA34" s="2194"/>
      <c r="BB34" s="2194"/>
      <c r="BC34" s="2194"/>
      <c r="BD34" s="2194"/>
      <c r="BE34" s="2194"/>
      <c r="BF34" s="2194"/>
      <c r="BG34" s="2194"/>
      <c r="BH34" s="2194"/>
      <c r="BI34" s="2194"/>
      <c r="BJ34" s="2194"/>
      <c r="BK34" s="2194"/>
      <c r="BL34" s="2194"/>
      <c r="BM34" s="2194"/>
      <c r="BN34" s="2194"/>
      <c r="BO34" s="2194"/>
      <c r="BP34" s="2194"/>
      <c r="BQ34" s="2194"/>
      <c r="BR34" s="2194"/>
      <c r="BS34" s="2194"/>
      <c r="BT34" s="2194"/>
      <c r="BU34" s="2194"/>
      <c r="BV34" s="2194"/>
      <c r="BW34" s="2194"/>
      <c r="BX34" s="2194"/>
      <c r="BY34" s="2194"/>
      <c r="BZ34" s="2194"/>
      <c r="CA34" s="2194"/>
      <c r="CB34" s="2195" t="str">
        <f t="shared" si="1"/>
        <v xml:space="preserve">* La variable Pueblos Originarios no debe ser mayor al Total Ambos Sexos. </v>
      </c>
      <c r="CC34" s="2195" t="str">
        <f t="shared" si="2"/>
        <v xml:space="preserve">* La variable Migrantes no debe ser mayor al Total Ambos Sexos. </v>
      </c>
      <c r="CD34" s="2194"/>
      <c r="CE34" s="2194"/>
      <c r="CF34" s="99"/>
      <c r="CG34" s="99"/>
      <c r="CH34" s="99"/>
      <c r="CI34" s="99"/>
      <c r="CJ34" s="99"/>
      <c r="CL34" s="55">
        <f t="shared" si="3"/>
        <v>1</v>
      </c>
      <c r="CM34" s="55">
        <f t="shared" si="3"/>
        <v>1</v>
      </c>
    </row>
    <row r="35" spans="1:91" ht="15" customHeight="1" x14ac:dyDescent="0.25">
      <c r="A35" s="5601" t="s">
        <v>4639</v>
      </c>
      <c r="B35" s="6112"/>
      <c r="C35" s="2211" t="s">
        <v>243</v>
      </c>
      <c r="D35" s="201" t="s">
        <v>4567</v>
      </c>
      <c r="E35" s="248" t="s">
        <v>4568</v>
      </c>
      <c r="F35" s="43" t="s">
        <v>4569</v>
      </c>
      <c r="G35" s="212" t="s">
        <v>4570</v>
      </c>
      <c r="H35" s="1136" t="s">
        <v>4571</v>
      </c>
      <c r="I35" s="212" t="s">
        <v>4572</v>
      </c>
      <c r="J35" s="1136" t="s">
        <v>4573</v>
      </c>
      <c r="K35" s="212" t="s">
        <v>4574</v>
      </c>
      <c r="L35" s="1136" t="s">
        <v>4575</v>
      </c>
      <c r="M35" s="212" t="s">
        <v>4576</v>
      </c>
      <c r="N35" s="1136" t="s">
        <v>4577</v>
      </c>
      <c r="O35" s="2210" t="s">
        <v>4578</v>
      </c>
      <c r="P35" s="1136" t="s">
        <v>4579</v>
      </c>
      <c r="Q35" s="2210" t="s">
        <v>4580</v>
      </c>
      <c r="R35" s="1138" t="s">
        <v>4581</v>
      </c>
      <c r="S35" s="992" t="s">
        <v>4582</v>
      </c>
      <c r="T35" s="34" t="s">
        <v>4583</v>
      </c>
      <c r="U35" s="2193" t="str">
        <f t="shared" si="0"/>
        <v xml:space="preserve">* La variable Pueblos Originarios no debe ser mayor al Total Ambos Sexos. * La variable Migrantes no debe ser mayor al Total Ambos Sexos. </v>
      </c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2194"/>
      <c r="BA35" s="2194"/>
      <c r="BB35" s="2194"/>
      <c r="BC35" s="2194"/>
      <c r="BD35" s="2194"/>
      <c r="BE35" s="2194"/>
      <c r="BF35" s="2194"/>
      <c r="BG35" s="2194"/>
      <c r="BH35" s="2194"/>
      <c r="BI35" s="2194"/>
      <c r="BJ35" s="2194"/>
      <c r="BK35" s="2194"/>
      <c r="BL35" s="2194"/>
      <c r="BM35" s="2194"/>
      <c r="BN35" s="2194"/>
      <c r="BO35" s="2194"/>
      <c r="BP35" s="2194"/>
      <c r="BQ35" s="2194"/>
      <c r="BR35" s="2194"/>
      <c r="BS35" s="2194"/>
      <c r="BT35" s="2194"/>
      <c r="BU35" s="2194"/>
      <c r="BV35" s="2194"/>
      <c r="BW35" s="2194"/>
      <c r="BX35" s="2194"/>
      <c r="BY35" s="2194"/>
      <c r="BZ35" s="2194"/>
      <c r="CA35" s="2194"/>
      <c r="CB35" s="2195" t="str">
        <f t="shared" si="1"/>
        <v xml:space="preserve">* La variable Pueblos Originarios no debe ser mayor al Total Ambos Sexos. </v>
      </c>
      <c r="CC35" s="2195" t="str">
        <f t="shared" si="2"/>
        <v xml:space="preserve">* La variable Migrantes no debe ser mayor al Total Ambos Sexos. </v>
      </c>
      <c r="CD35" s="2194"/>
      <c r="CE35" s="2194"/>
      <c r="CF35" s="99"/>
      <c r="CG35" s="99"/>
      <c r="CH35" s="99"/>
      <c r="CI35" s="99"/>
      <c r="CJ35" s="99"/>
      <c r="CL35" s="55">
        <f t="shared" si="3"/>
        <v>1</v>
      </c>
      <c r="CM35" s="55">
        <f t="shared" si="3"/>
        <v>1</v>
      </c>
    </row>
    <row r="36" spans="1:91" x14ac:dyDescent="0.25">
      <c r="A36" s="5601" t="s">
        <v>4640</v>
      </c>
      <c r="B36" s="6113"/>
      <c r="C36" s="2212" t="s">
        <v>244</v>
      </c>
      <c r="D36" s="703" t="s">
        <v>4567</v>
      </c>
      <c r="E36" s="2202" t="s">
        <v>4568</v>
      </c>
      <c r="F36" s="625" t="s">
        <v>4569</v>
      </c>
      <c r="G36" s="853" t="s">
        <v>4570</v>
      </c>
      <c r="H36" s="1975" t="s">
        <v>4571</v>
      </c>
      <c r="I36" s="853" t="s">
        <v>4572</v>
      </c>
      <c r="J36" s="1975" t="s">
        <v>4573</v>
      </c>
      <c r="K36" s="853" t="s">
        <v>4574</v>
      </c>
      <c r="L36" s="1975" t="s">
        <v>4575</v>
      </c>
      <c r="M36" s="853" t="s">
        <v>4576</v>
      </c>
      <c r="N36" s="1975" t="s">
        <v>4577</v>
      </c>
      <c r="O36" s="2015" t="s">
        <v>4578</v>
      </c>
      <c r="P36" s="1975" t="s">
        <v>4579</v>
      </c>
      <c r="Q36" s="2015" t="s">
        <v>4580</v>
      </c>
      <c r="R36" s="2203" t="s">
        <v>4581</v>
      </c>
      <c r="S36" s="1879" t="s">
        <v>4582</v>
      </c>
      <c r="T36" s="854" t="s">
        <v>4583</v>
      </c>
      <c r="U36" s="2193" t="str">
        <f t="shared" si="0"/>
        <v xml:space="preserve">* La variable Pueblos Originarios no debe ser mayor al Total Ambos Sexos. * La variable Migrantes no debe ser mayor al Total Ambos Sexos. </v>
      </c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2194"/>
      <c r="BA36" s="2194"/>
      <c r="BB36" s="2194"/>
      <c r="BC36" s="2194"/>
      <c r="BD36" s="2194"/>
      <c r="BE36" s="2194"/>
      <c r="BF36" s="2194"/>
      <c r="BG36" s="2194"/>
      <c r="BH36" s="2194"/>
      <c r="BI36" s="2194"/>
      <c r="BJ36" s="2194"/>
      <c r="BK36" s="2194"/>
      <c r="BL36" s="2194"/>
      <c r="BM36" s="2194"/>
      <c r="BN36" s="2194"/>
      <c r="BO36" s="2194"/>
      <c r="BP36" s="2194"/>
      <c r="BQ36" s="2194"/>
      <c r="BR36" s="2194"/>
      <c r="BS36" s="2194"/>
      <c r="BT36" s="2194"/>
      <c r="BU36" s="2194"/>
      <c r="BV36" s="2194"/>
      <c r="BW36" s="2194"/>
      <c r="BX36" s="2194"/>
      <c r="BY36" s="2194"/>
      <c r="BZ36" s="2194"/>
      <c r="CA36" s="2194"/>
      <c r="CB36" s="2195" t="str">
        <f t="shared" si="1"/>
        <v xml:space="preserve">* La variable Pueblos Originarios no debe ser mayor al Total Ambos Sexos. </v>
      </c>
      <c r="CC36" s="2195" t="str">
        <f t="shared" si="2"/>
        <v xml:space="preserve">* La variable Migrantes no debe ser mayor al Total Ambos Sexos. </v>
      </c>
      <c r="CD36" s="2194"/>
      <c r="CE36" s="2194"/>
      <c r="CF36" s="99"/>
      <c r="CG36" s="99"/>
      <c r="CH36" s="99"/>
      <c r="CI36" s="99"/>
      <c r="CJ36" s="99"/>
      <c r="CL36" s="55">
        <f t="shared" si="3"/>
        <v>1</v>
      </c>
      <c r="CM36" s="55">
        <f t="shared" si="3"/>
        <v>1</v>
      </c>
    </row>
    <row r="37" spans="1:91" ht="15" customHeight="1" x14ac:dyDescent="0.25">
      <c r="A37" s="5601" t="s">
        <v>4641</v>
      </c>
      <c r="B37" s="6359" t="s">
        <v>245</v>
      </c>
      <c r="C37" s="318" t="s">
        <v>230</v>
      </c>
      <c r="D37" s="316" t="s">
        <v>4567</v>
      </c>
      <c r="E37" s="2199" t="s">
        <v>4568</v>
      </c>
      <c r="F37" s="141" t="s">
        <v>4569</v>
      </c>
      <c r="G37" s="326" t="s">
        <v>4570</v>
      </c>
      <c r="H37" s="882" t="s">
        <v>4571</v>
      </c>
      <c r="I37" s="326" t="s">
        <v>4572</v>
      </c>
      <c r="J37" s="882" t="s">
        <v>4573</v>
      </c>
      <c r="K37" s="326" t="s">
        <v>4574</v>
      </c>
      <c r="L37" s="882" t="s">
        <v>4575</v>
      </c>
      <c r="M37" s="326" t="s">
        <v>4576</v>
      </c>
      <c r="N37" s="882" t="s">
        <v>4577</v>
      </c>
      <c r="O37" s="326" t="s">
        <v>4578</v>
      </c>
      <c r="P37" s="882" t="s">
        <v>4579</v>
      </c>
      <c r="Q37" s="252" t="s">
        <v>4580</v>
      </c>
      <c r="R37" s="1133" t="s">
        <v>4581</v>
      </c>
      <c r="S37" s="336" t="s">
        <v>4582</v>
      </c>
      <c r="T37" s="142" t="s">
        <v>4583</v>
      </c>
      <c r="U37" s="2193" t="str">
        <f t="shared" si="0"/>
        <v xml:space="preserve">* La variable Pueblos Originarios no debe ser mayor al Total Ambos Sexos. * La variable Migrantes no debe ser mayor al Total Ambos Sexos. </v>
      </c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2194"/>
      <c r="BA37" s="2194"/>
      <c r="BB37" s="2194"/>
      <c r="BC37" s="2194"/>
      <c r="BD37" s="2194"/>
      <c r="BE37" s="2194"/>
      <c r="BF37" s="2194"/>
      <c r="BG37" s="2194"/>
      <c r="BH37" s="2194"/>
      <c r="BI37" s="2194"/>
      <c r="BJ37" s="2194"/>
      <c r="BK37" s="2194"/>
      <c r="BL37" s="2194"/>
      <c r="BM37" s="2194"/>
      <c r="BN37" s="2194"/>
      <c r="BO37" s="2194"/>
      <c r="BP37" s="2194"/>
      <c r="BQ37" s="2194"/>
      <c r="BR37" s="2194"/>
      <c r="BS37" s="2194"/>
      <c r="BT37" s="2194"/>
      <c r="BU37" s="2194"/>
      <c r="BV37" s="2194"/>
      <c r="BW37" s="2194"/>
      <c r="BX37" s="2194"/>
      <c r="BY37" s="2194"/>
      <c r="BZ37" s="2194"/>
      <c r="CA37" s="2194"/>
      <c r="CB37" s="2195" t="str">
        <f t="shared" si="1"/>
        <v xml:space="preserve">* La variable Pueblos Originarios no debe ser mayor al Total Ambos Sexos. </v>
      </c>
      <c r="CC37" s="2195" t="str">
        <f t="shared" si="2"/>
        <v xml:space="preserve">* La variable Migrantes no debe ser mayor al Total Ambos Sexos. </v>
      </c>
      <c r="CD37" s="2194"/>
      <c r="CE37" s="2194"/>
      <c r="CF37" s="99"/>
      <c r="CG37" s="99"/>
      <c r="CH37" s="99"/>
      <c r="CI37" s="99"/>
      <c r="CJ37" s="99"/>
      <c r="CL37" s="55">
        <f t="shared" si="3"/>
        <v>1</v>
      </c>
      <c r="CM37" s="55">
        <f t="shared" si="3"/>
        <v>1</v>
      </c>
    </row>
    <row r="38" spans="1:91" ht="15" customHeight="1" x14ac:dyDescent="0.25">
      <c r="A38" s="5601" t="s">
        <v>4642</v>
      </c>
      <c r="B38" s="6359"/>
      <c r="C38" s="523" t="s">
        <v>231</v>
      </c>
      <c r="D38" s="202" t="s">
        <v>4567</v>
      </c>
      <c r="E38" s="752" t="s">
        <v>4568</v>
      </c>
      <c r="F38" s="10" t="s">
        <v>4569</v>
      </c>
      <c r="G38" s="212" t="s">
        <v>4570</v>
      </c>
      <c r="H38" s="1136" t="s">
        <v>4571</v>
      </c>
      <c r="I38" s="212" t="s">
        <v>4572</v>
      </c>
      <c r="J38" s="1136" t="s">
        <v>4573</v>
      </c>
      <c r="K38" s="212" t="s">
        <v>4574</v>
      </c>
      <c r="L38" s="1136" t="s">
        <v>4575</v>
      </c>
      <c r="M38" s="212" t="s">
        <v>4576</v>
      </c>
      <c r="N38" s="1136" t="s">
        <v>4577</v>
      </c>
      <c r="O38" s="212" t="s">
        <v>4578</v>
      </c>
      <c r="P38" s="1136" t="s">
        <v>4579</v>
      </c>
      <c r="Q38" s="2210" t="s">
        <v>4580</v>
      </c>
      <c r="R38" s="1138" t="s">
        <v>4581</v>
      </c>
      <c r="S38" s="992" t="s">
        <v>4582</v>
      </c>
      <c r="T38" s="34" t="s">
        <v>4583</v>
      </c>
      <c r="U38" s="2193" t="str">
        <f t="shared" si="0"/>
        <v xml:space="preserve">* La variable Pueblos Originarios no debe ser mayor al Total Ambos Sexos. * La variable Migrantes no debe ser mayor al Total Ambos Sexos. </v>
      </c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2194"/>
      <c r="BA38" s="2194"/>
      <c r="BB38" s="2194"/>
      <c r="BC38" s="2194"/>
      <c r="BD38" s="2194"/>
      <c r="BE38" s="2194"/>
      <c r="BF38" s="2194"/>
      <c r="BG38" s="2194"/>
      <c r="BH38" s="2194"/>
      <c r="BI38" s="2194"/>
      <c r="BJ38" s="2194"/>
      <c r="BK38" s="2194"/>
      <c r="BL38" s="2194"/>
      <c r="BM38" s="2194"/>
      <c r="BN38" s="2194"/>
      <c r="BO38" s="2194"/>
      <c r="BP38" s="2194"/>
      <c r="BQ38" s="2194"/>
      <c r="BR38" s="2194"/>
      <c r="BS38" s="2194"/>
      <c r="BT38" s="2194"/>
      <c r="BU38" s="2194"/>
      <c r="BV38" s="2194"/>
      <c r="BW38" s="2194"/>
      <c r="BX38" s="2194"/>
      <c r="BY38" s="2194"/>
      <c r="BZ38" s="2194"/>
      <c r="CA38" s="2194"/>
      <c r="CB38" s="2195" t="str">
        <f t="shared" si="1"/>
        <v xml:space="preserve">* La variable Pueblos Originarios no debe ser mayor al Total Ambos Sexos. </v>
      </c>
      <c r="CC38" s="2195" t="str">
        <f t="shared" si="2"/>
        <v xml:space="preserve">* La variable Migrantes no debe ser mayor al Total Ambos Sexos. </v>
      </c>
      <c r="CD38" s="2194"/>
      <c r="CE38" s="2194"/>
      <c r="CF38" s="99"/>
      <c r="CG38" s="99"/>
      <c r="CH38" s="99"/>
      <c r="CI38" s="99"/>
      <c r="CJ38" s="99"/>
      <c r="CL38" s="55">
        <f t="shared" si="3"/>
        <v>1</v>
      </c>
      <c r="CM38" s="55">
        <f t="shared" si="3"/>
        <v>1</v>
      </c>
    </row>
    <row r="39" spans="1:91" ht="15" customHeight="1" x14ac:dyDescent="0.25">
      <c r="A39" s="5601" t="s">
        <v>4643</v>
      </c>
      <c r="B39" s="6111" t="s">
        <v>246</v>
      </c>
      <c r="C39" s="2196" t="s">
        <v>229</v>
      </c>
      <c r="D39" s="2187" t="s">
        <v>4567</v>
      </c>
      <c r="E39" s="2188" t="s">
        <v>4568</v>
      </c>
      <c r="F39" s="2174" t="s">
        <v>4569</v>
      </c>
      <c r="G39" s="2175" t="s">
        <v>4570</v>
      </c>
      <c r="H39" s="1962" t="s">
        <v>4571</v>
      </c>
      <c r="I39" s="2175" t="s">
        <v>4572</v>
      </c>
      <c r="J39" s="1962" t="s">
        <v>4573</v>
      </c>
      <c r="K39" s="2175" t="s">
        <v>4574</v>
      </c>
      <c r="L39" s="1962" t="s">
        <v>4575</v>
      </c>
      <c r="M39" s="2175" t="s">
        <v>4576</v>
      </c>
      <c r="N39" s="1962" t="s">
        <v>4577</v>
      </c>
      <c r="O39" s="2175" t="s">
        <v>4578</v>
      </c>
      <c r="P39" s="1962" t="s">
        <v>4579</v>
      </c>
      <c r="Q39" s="2204" t="s">
        <v>4580</v>
      </c>
      <c r="R39" s="2205" t="s">
        <v>4581</v>
      </c>
      <c r="S39" s="1963" t="s">
        <v>4582</v>
      </c>
      <c r="T39" s="2176" t="s">
        <v>4583</v>
      </c>
      <c r="U39" s="2193" t="str">
        <f t="shared" si="0"/>
        <v xml:space="preserve">* La variable Pueblos Originarios no debe ser mayor al Total Ambos Sexos. * La variable Migrantes no debe ser mayor al Total Ambos Sexos. </v>
      </c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2194"/>
      <c r="BA39" s="2194"/>
      <c r="BB39" s="2194"/>
      <c r="BC39" s="2194"/>
      <c r="BD39" s="2194"/>
      <c r="BE39" s="2194"/>
      <c r="BF39" s="2194"/>
      <c r="BG39" s="2194"/>
      <c r="BH39" s="2194"/>
      <c r="BI39" s="2194"/>
      <c r="BJ39" s="2194"/>
      <c r="BK39" s="2194"/>
      <c r="BL39" s="2194"/>
      <c r="BM39" s="2194"/>
      <c r="BN39" s="2194"/>
      <c r="BO39" s="2194"/>
      <c r="BP39" s="2194"/>
      <c r="BQ39" s="2194"/>
      <c r="BR39" s="2194"/>
      <c r="BS39" s="2194"/>
      <c r="BT39" s="2194"/>
      <c r="BU39" s="2194"/>
      <c r="BV39" s="2194"/>
      <c r="BW39" s="2194"/>
      <c r="BX39" s="2194"/>
      <c r="BY39" s="2194"/>
      <c r="BZ39" s="2194"/>
      <c r="CA39" s="2194"/>
      <c r="CB39" s="2195" t="str">
        <f t="shared" si="1"/>
        <v xml:space="preserve">* La variable Pueblos Originarios no debe ser mayor al Total Ambos Sexos. </v>
      </c>
      <c r="CC39" s="2195" t="str">
        <f t="shared" si="2"/>
        <v xml:space="preserve">* La variable Migrantes no debe ser mayor al Total Ambos Sexos. </v>
      </c>
      <c r="CD39" s="2194"/>
      <c r="CE39" s="2194"/>
      <c r="CF39" s="99"/>
      <c r="CG39" s="99"/>
      <c r="CH39" s="99"/>
      <c r="CI39" s="99"/>
      <c r="CJ39" s="99"/>
      <c r="CL39" s="55">
        <f t="shared" si="3"/>
        <v>1</v>
      </c>
      <c r="CM39" s="55">
        <f t="shared" si="3"/>
        <v>1</v>
      </c>
    </row>
    <row r="40" spans="1:91" ht="15" customHeight="1" x14ac:dyDescent="0.25">
      <c r="A40" s="5601" t="s">
        <v>4644</v>
      </c>
      <c r="B40" s="6112"/>
      <c r="C40" s="360" t="s">
        <v>230</v>
      </c>
      <c r="D40" s="737" t="s">
        <v>4567</v>
      </c>
      <c r="E40" s="751" t="s">
        <v>4568</v>
      </c>
      <c r="F40" s="344" t="s">
        <v>4569</v>
      </c>
      <c r="G40" s="328" t="s">
        <v>4570</v>
      </c>
      <c r="H40" s="1969" t="s">
        <v>4571</v>
      </c>
      <c r="I40" s="328" t="s">
        <v>4572</v>
      </c>
      <c r="J40" s="1969" t="s">
        <v>4573</v>
      </c>
      <c r="K40" s="328" t="s">
        <v>4574</v>
      </c>
      <c r="L40" s="1969" t="s">
        <v>4575</v>
      </c>
      <c r="M40" s="328" t="s">
        <v>4576</v>
      </c>
      <c r="N40" s="1969" t="s">
        <v>4577</v>
      </c>
      <c r="O40" s="328" t="s">
        <v>4578</v>
      </c>
      <c r="P40" s="1969" t="s">
        <v>4579</v>
      </c>
      <c r="Q40" s="2200" t="s">
        <v>4580</v>
      </c>
      <c r="R40" s="2201" t="s">
        <v>4581</v>
      </c>
      <c r="S40" s="1970" t="s">
        <v>4582</v>
      </c>
      <c r="T40" s="329" t="s">
        <v>4583</v>
      </c>
      <c r="U40" s="2193" t="str">
        <f t="shared" si="0"/>
        <v xml:space="preserve">* La variable Pueblos Originarios no debe ser mayor al Total Ambos Sexos. * La variable Migrantes no debe ser mayor al Total Ambos Sexos. </v>
      </c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2194"/>
      <c r="BA40" s="2194"/>
      <c r="BB40" s="2194"/>
      <c r="BC40" s="2194"/>
      <c r="BD40" s="2194"/>
      <c r="BE40" s="2194"/>
      <c r="BF40" s="2194"/>
      <c r="BG40" s="2194"/>
      <c r="BH40" s="2194"/>
      <c r="BI40" s="2194"/>
      <c r="BJ40" s="2194"/>
      <c r="BK40" s="2194"/>
      <c r="BL40" s="2194"/>
      <c r="BM40" s="2194"/>
      <c r="BN40" s="2194"/>
      <c r="BO40" s="2194"/>
      <c r="BP40" s="2194"/>
      <c r="BQ40" s="2194"/>
      <c r="BR40" s="2194"/>
      <c r="BS40" s="2194"/>
      <c r="BT40" s="2194"/>
      <c r="BU40" s="2194"/>
      <c r="BV40" s="2194"/>
      <c r="BW40" s="2194"/>
      <c r="BX40" s="2194"/>
      <c r="BY40" s="2194"/>
      <c r="BZ40" s="2194"/>
      <c r="CA40" s="2194"/>
      <c r="CB40" s="2195" t="str">
        <f t="shared" si="1"/>
        <v xml:space="preserve">* La variable Pueblos Originarios no debe ser mayor al Total Ambos Sexos. </v>
      </c>
      <c r="CC40" s="2195" t="str">
        <f t="shared" si="2"/>
        <v xml:space="preserve">* La variable Migrantes no debe ser mayor al Total Ambos Sexos. </v>
      </c>
      <c r="CD40" s="2194"/>
      <c r="CE40" s="2194"/>
      <c r="CF40" s="99"/>
      <c r="CG40" s="99"/>
      <c r="CH40" s="99"/>
      <c r="CI40" s="99"/>
      <c r="CJ40" s="99"/>
      <c r="CL40" s="55">
        <f t="shared" si="3"/>
        <v>1</v>
      </c>
      <c r="CM40" s="55">
        <f t="shared" si="3"/>
        <v>1</v>
      </c>
    </row>
    <row r="41" spans="1:91" ht="15" customHeight="1" x14ac:dyDescent="0.25">
      <c r="A41" s="5601" t="s">
        <v>4645</v>
      </c>
      <c r="B41" s="6113"/>
      <c r="C41" s="523" t="s">
        <v>231</v>
      </c>
      <c r="D41" s="703" t="s">
        <v>4567</v>
      </c>
      <c r="E41" s="2202" t="s">
        <v>4568</v>
      </c>
      <c r="F41" s="625" t="s">
        <v>4569</v>
      </c>
      <c r="G41" s="853" t="s">
        <v>4570</v>
      </c>
      <c r="H41" s="1975" t="s">
        <v>4571</v>
      </c>
      <c r="I41" s="853" t="s">
        <v>4572</v>
      </c>
      <c r="J41" s="1975" t="s">
        <v>4573</v>
      </c>
      <c r="K41" s="853" t="s">
        <v>4574</v>
      </c>
      <c r="L41" s="1975" t="s">
        <v>4575</v>
      </c>
      <c r="M41" s="853" t="s">
        <v>4576</v>
      </c>
      <c r="N41" s="1975" t="s">
        <v>4577</v>
      </c>
      <c r="O41" s="853" t="s">
        <v>4578</v>
      </c>
      <c r="P41" s="1975" t="s">
        <v>4579</v>
      </c>
      <c r="Q41" s="2015" t="s">
        <v>4580</v>
      </c>
      <c r="R41" s="2203" t="s">
        <v>4581</v>
      </c>
      <c r="S41" s="1879" t="s">
        <v>4582</v>
      </c>
      <c r="T41" s="854" t="s">
        <v>4583</v>
      </c>
      <c r="U41" s="2193" t="str">
        <f t="shared" si="0"/>
        <v xml:space="preserve">* La variable Pueblos Originarios no debe ser mayor al Total Ambos Sexos. * La variable Migrantes no debe ser mayor al Total Ambos Sexos. </v>
      </c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2194"/>
      <c r="BA41" s="2194"/>
      <c r="BB41" s="2194"/>
      <c r="BC41" s="2194"/>
      <c r="BD41" s="2194"/>
      <c r="BE41" s="2194"/>
      <c r="BF41" s="2194"/>
      <c r="BG41" s="2194"/>
      <c r="BH41" s="2194"/>
      <c r="BI41" s="2194"/>
      <c r="BJ41" s="2194"/>
      <c r="BK41" s="2194"/>
      <c r="BL41" s="2194"/>
      <c r="BM41" s="2194"/>
      <c r="BN41" s="2194"/>
      <c r="BO41" s="2194"/>
      <c r="BP41" s="2194"/>
      <c r="BQ41" s="2194"/>
      <c r="BR41" s="2194"/>
      <c r="BS41" s="2194"/>
      <c r="BT41" s="2194"/>
      <c r="BU41" s="2194"/>
      <c r="BV41" s="2194"/>
      <c r="BW41" s="2194"/>
      <c r="BX41" s="2194"/>
      <c r="BY41" s="2194"/>
      <c r="BZ41" s="2194"/>
      <c r="CA41" s="2194"/>
      <c r="CB41" s="2195" t="str">
        <f t="shared" si="1"/>
        <v xml:space="preserve">* La variable Pueblos Originarios no debe ser mayor al Total Ambos Sexos. </v>
      </c>
      <c r="CC41" s="2195" t="str">
        <f t="shared" si="2"/>
        <v xml:space="preserve">* La variable Migrantes no debe ser mayor al Total Ambos Sexos. </v>
      </c>
      <c r="CD41" s="2194"/>
      <c r="CE41" s="2194"/>
      <c r="CF41" s="99"/>
      <c r="CG41" s="99"/>
      <c r="CH41" s="99"/>
      <c r="CI41" s="99"/>
      <c r="CJ41" s="99"/>
      <c r="CL41" s="55">
        <f t="shared" si="3"/>
        <v>1</v>
      </c>
      <c r="CM41" s="55">
        <f t="shared" si="3"/>
        <v>1</v>
      </c>
    </row>
    <row r="42" spans="1:91" ht="18" customHeight="1" x14ac:dyDescent="0.25">
      <c r="B42" s="2213" t="s">
        <v>247</v>
      </c>
      <c r="C42" s="2214"/>
      <c r="D42" s="2214"/>
      <c r="E42" s="2214"/>
      <c r="F42" s="2214"/>
      <c r="G42" s="2214"/>
      <c r="H42" s="2214"/>
      <c r="I42" s="2214"/>
      <c r="J42" s="2214"/>
      <c r="K42" s="2214"/>
      <c r="L42" s="2214"/>
      <c r="M42" s="2214"/>
      <c r="N42" s="2214"/>
      <c r="O42" s="2214"/>
      <c r="P42" s="2214"/>
      <c r="Q42" s="2214"/>
    </row>
    <row r="43" spans="1:91" ht="15" customHeight="1" x14ac:dyDescent="0.25">
      <c r="B43" s="6118" t="s">
        <v>248</v>
      </c>
      <c r="C43" s="6147" t="s">
        <v>221</v>
      </c>
      <c r="D43" s="6148"/>
      <c r="E43" s="6149"/>
      <c r="F43" s="6281" t="s">
        <v>101</v>
      </c>
      <c r="G43" s="6300"/>
      <c r="H43" s="6300"/>
      <c r="I43" s="6300"/>
      <c r="J43" s="6300"/>
      <c r="K43" s="6300"/>
      <c r="L43" s="6300"/>
      <c r="M43" s="6300"/>
      <c r="N43" s="6300"/>
      <c r="O43" s="6300"/>
      <c r="P43" s="6300"/>
      <c r="Q43" s="6300"/>
      <c r="R43" s="6099" t="s">
        <v>36</v>
      </c>
      <c r="S43" s="6117" t="s">
        <v>37</v>
      </c>
    </row>
    <row r="44" spans="1:91" ht="15" customHeight="1" x14ac:dyDescent="0.25">
      <c r="B44" s="6119"/>
      <c r="C44" s="6064"/>
      <c r="D44" s="6150"/>
      <c r="E44" s="6028"/>
      <c r="F44" s="6155" t="s">
        <v>222</v>
      </c>
      <c r="G44" s="6156"/>
      <c r="H44" s="6155" t="s">
        <v>223</v>
      </c>
      <c r="I44" s="6156"/>
      <c r="J44" s="6155" t="s">
        <v>88</v>
      </c>
      <c r="K44" s="6156"/>
      <c r="L44" s="6155" t="s">
        <v>224</v>
      </c>
      <c r="M44" s="6156"/>
      <c r="N44" s="6155" t="s">
        <v>225</v>
      </c>
      <c r="O44" s="6156"/>
      <c r="P44" s="6155" t="s">
        <v>226</v>
      </c>
      <c r="Q44" s="6260"/>
      <c r="R44" s="6034"/>
      <c r="S44" s="6066"/>
    </row>
    <row r="45" spans="1:91" ht="15" customHeight="1" x14ac:dyDescent="0.25">
      <c r="B45" s="6093"/>
      <c r="C45" s="2215" t="s">
        <v>79</v>
      </c>
      <c r="D45" s="2164" t="s">
        <v>58</v>
      </c>
      <c r="E45" s="1742" t="s">
        <v>59</v>
      </c>
      <c r="F45" s="2163" t="s">
        <v>58</v>
      </c>
      <c r="G45" s="2216" t="s">
        <v>59</v>
      </c>
      <c r="H45" s="2163" t="s">
        <v>58</v>
      </c>
      <c r="I45" s="2216" t="s">
        <v>59</v>
      </c>
      <c r="J45" s="2163" t="s">
        <v>58</v>
      </c>
      <c r="K45" s="2216" t="s">
        <v>59</v>
      </c>
      <c r="L45" s="2163" t="s">
        <v>58</v>
      </c>
      <c r="M45" s="2216" t="s">
        <v>59</v>
      </c>
      <c r="N45" s="2163" t="s">
        <v>58</v>
      </c>
      <c r="O45" s="2216" t="s">
        <v>59</v>
      </c>
      <c r="P45" s="2163" t="s">
        <v>58</v>
      </c>
      <c r="Q45" s="2217" t="s">
        <v>59</v>
      </c>
      <c r="R45" s="6035"/>
      <c r="S45" s="6067"/>
    </row>
    <row r="46" spans="1:91" ht="15" customHeight="1" x14ac:dyDescent="0.25">
      <c r="A46" s="5601" t="s">
        <v>4646</v>
      </c>
      <c r="B46" s="2218" t="s">
        <v>229</v>
      </c>
      <c r="C46" s="2219" t="s">
        <v>4567</v>
      </c>
      <c r="D46" s="2220" t="s">
        <v>4568</v>
      </c>
      <c r="E46" s="2221" t="s">
        <v>4569</v>
      </c>
      <c r="F46" s="2175" t="s">
        <v>4570</v>
      </c>
      <c r="G46" s="2176" t="s">
        <v>4571</v>
      </c>
      <c r="H46" s="2175" t="s">
        <v>4572</v>
      </c>
      <c r="I46" s="2176" t="s">
        <v>4573</v>
      </c>
      <c r="J46" s="2175" t="s">
        <v>4574</v>
      </c>
      <c r="K46" s="1962" t="s">
        <v>4575</v>
      </c>
      <c r="L46" s="2175" t="s">
        <v>4576</v>
      </c>
      <c r="M46" s="1962" t="s">
        <v>4577</v>
      </c>
      <c r="N46" s="2204" t="s">
        <v>4578</v>
      </c>
      <c r="O46" s="1962" t="s">
        <v>4579</v>
      </c>
      <c r="P46" s="2204" t="s">
        <v>4580</v>
      </c>
      <c r="Q46" s="2205" t="s">
        <v>4581</v>
      </c>
      <c r="R46" s="1963" t="s">
        <v>4582</v>
      </c>
      <c r="S46" s="1962" t="s">
        <v>4583</v>
      </c>
      <c r="T46" s="2193" t="str">
        <f>$CB46&amp;CC46</f>
        <v xml:space="preserve">* La variable Pueblos Originarios no debe ser mayor al Total Ambos Sexos. * La variable Migrantes no debe ser mayor al Total Ambos Sexos. 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2194"/>
      <c r="AZ46" s="2194"/>
      <c r="BA46" s="2194"/>
      <c r="BB46" s="2194"/>
      <c r="BC46" s="2194"/>
      <c r="BD46" s="2194"/>
      <c r="BE46" s="2194"/>
      <c r="BF46" s="2194"/>
      <c r="BG46" s="2194"/>
      <c r="BH46" s="2194"/>
      <c r="BI46" s="2194"/>
      <c r="BJ46" s="2194"/>
      <c r="BK46" s="2194"/>
      <c r="BL46" s="2194"/>
      <c r="BM46" s="2194"/>
      <c r="BN46" s="2194"/>
      <c r="BO46" s="2194"/>
      <c r="BP46" s="2194"/>
      <c r="BQ46" s="2194"/>
      <c r="BR46" s="2194"/>
      <c r="BS46" s="2194"/>
      <c r="BT46" s="2194"/>
      <c r="BU46" s="2194"/>
      <c r="BV46" s="2194"/>
      <c r="BW46" s="2194"/>
      <c r="BX46" s="2194"/>
      <c r="BY46" s="2194"/>
      <c r="BZ46" s="2194"/>
      <c r="CA46" s="2194"/>
      <c r="CB46" s="2195" t="str">
        <f>IF(AND($C46&lt;&gt;0,R46=""),"* No olvide ingresar la variable "&amp;R$43&amp;""&amp;". Digite CERO si no tiene. ",IF(R46&gt;$C46,"* La variable Pueblos Originarios no debe ser mayor al Total Ambos Sexos. ",""))</f>
        <v xml:space="preserve">* La variable Pueblos Originarios no debe ser mayor al Total Ambos Sexos. </v>
      </c>
      <c r="CC46" s="2195" t="str">
        <f>IF(AND($C46&lt;&gt;0,S46=""),"* No olvide ingresar la variable "&amp;S$43&amp;""&amp;" (Digite CERO si no tiene). ",IF(S46&gt;$C46,"* La variable Migrantes no debe ser mayor al Total Ambos Sexos. ",""))</f>
        <v xml:space="preserve">* La variable Migrantes no debe ser mayor al Total Ambos Sexos. </v>
      </c>
      <c r="CD46" s="2194"/>
      <c r="CE46" s="2194"/>
      <c r="CF46" s="99"/>
      <c r="CG46" s="99"/>
      <c r="CH46" s="99"/>
      <c r="CI46" s="99"/>
      <c r="CJ46" s="99"/>
      <c r="CL46" s="55">
        <f>IF(AND($C46&lt;&gt;0,R46=""),1,IF(R46&gt;$C46,1,0))</f>
        <v>1</v>
      </c>
      <c r="CM46" s="55">
        <f>IF(AND($C46&lt;&gt;0,S46=""),1,IF(S46&gt;$C46,1,0))</f>
        <v>1</v>
      </c>
    </row>
    <row r="47" spans="1:91" ht="15" customHeight="1" x14ac:dyDescent="0.25">
      <c r="A47" s="5601" t="s">
        <v>4647</v>
      </c>
      <c r="B47" s="332" t="s">
        <v>230</v>
      </c>
      <c r="C47" s="2222" t="s">
        <v>4567</v>
      </c>
      <c r="D47" s="2223" t="s">
        <v>4568</v>
      </c>
      <c r="E47" s="146" t="s">
        <v>4569</v>
      </c>
      <c r="F47" s="328" t="s">
        <v>4570</v>
      </c>
      <c r="G47" s="142" t="s">
        <v>4571</v>
      </c>
      <c r="H47" s="326" t="s">
        <v>4572</v>
      </c>
      <c r="I47" s="142" t="s">
        <v>4573</v>
      </c>
      <c r="J47" s="326" t="s">
        <v>4574</v>
      </c>
      <c r="K47" s="882" t="s">
        <v>4575</v>
      </c>
      <c r="L47" s="326" t="s">
        <v>4576</v>
      </c>
      <c r="M47" s="882" t="s">
        <v>4577</v>
      </c>
      <c r="N47" s="252" t="s">
        <v>4578</v>
      </c>
      <c r="O47" s="882" t="s">
        <v>4579</v>
      </c>
      <c r="P47" s="252" t="s">
        <v>4580</v>
      </c>
      <c r="Q47" s="1133" t="s">
        <v>4581</v>
      </c>
      <c r="R47" s="1970" t="s">
        <v>4582</v>
      </c>
      <c r="S47" s="1969" t="s">
        <v>4583</v>
      </c>
      <c r="T47" s="2193" t="str">
        <f>$CB47&amp;CC47</f>
        <v xml:space="preserve">* La variable Pueblos Originarios no debe ser mayor al Total Ambos Sexos. * La variable Migrantes no debe ser mayor al Total Ambos Sexos. </v>
      </c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2194"/>
      <c r="AZ47" s="2194"/>
      <c r="BA47" s="2194"/>
      <c r="BB47" s="2194"/>
      <c r="BC47" s="2194"/>
      <c r="BD47" s="2194"/>
      <c r="BE47" s="2194"/>
      <c r="BF47" s="2194"/>
      <c r="BG47" s="2194"/>
      <c r="BH47" s="2194"/>
      <c r="BI47" s="2194"/>
      <c r="BJ47" s="2194"/>
      <c r="BK47" s="2194"/>
      <c r="BL47" s="2194"/>
      <c r="BM47" s="2194"/>
      <c r="BN47" s="2194"/>
      <c r="BO47" s="2194"/>
      <c r="BP47" s="2194"/>
      <c r="BQ47" s="2194"/>
      <c r="BR47" s="2194"/>
      <c r="BS47" s="2194"/>
      <c r="BT47" s="2194"/>
      <c r="BU47" s="2194"/>
      <c r="BV47" s="2194"/>
      <c r="BW47" s="2194"/>
      <c r="BX47" s="2194"/>
      <c r="BY47" s="2194"/>
      <c r="BZ47" s="2194"/>
      <c r="CA47" s="2194"/>
      <c r="CB47" s="2195" t="str">
        <f t="shared" ref="CB47:CB49" si="4">IF(AND($C47&lt;&gt;0,R47=""),"* No olvide ingresar la variable "&amp;R$43&amp;""&amp;". Digite CERO si no tiene. ",IF(R47&gt;$C47,"* La variable Pueblos Originarios no debe ser mayor al Total Ambos Sexos. ",""))</f>
        <v xml:space="preserve">* La variable Pueblos Originarios no debe ser mayor al Total Ambos Sexos. </v>
      </c>
      <c r="CC47" s="2195" t="str">
        <f t="shared" ref="CC47:CC49" si="5">IF(AND($C47&lt;&gt;0,S47=""),"* No olvide ingresar la variable "&amp;S$43&amp;""&amp;" (Digite CERO si no tiene). ",IF(S47&gt;$C47,"* La variable Migrantes no debe ser mayor al Total Ambos Sexos. ",""))</f>
        <v xml:space="preserve">* La variable Migrantes no debe ser mayor al Total Ambos Sexos. </v>
      </c>
      <c r="CD47" s="2194"/>
      <c r="CE47" s="2194"/>
      <c r="CF47" s="99"/>
      <c r="CG47" s="99"/>
      <c r="CH47" s="99"/>
      <c r="CI47" s="99"/>
      <c r="CJ47" s="99"/>
      <c r="CL47" s="55">
        <f t="shared" ref="CL47:CL49" si="6">IF(AND($C47&lt;&gt;0,R47=""),1,IF(R47&gt;$C47,1,0))</f>
        <v>1</v>
      </c>
      <c r="CM47" s="55">
        <f t="shared" ref="CM47:CM49" si="7">IF(AND($C47&lt;&gt;0,S47=""),1,IF(S47&gt;$C47,1,0))</f>
        <v>1</v>
      </c>
    </row>
    <row r="48" spans="1:91" ht="15" customHeight="1" x14ac:dyDescent="0.25">
      <c r="A48" s="5601" t="s">
        <v>4648</v>
      </c>
      <c r="B48" s="332" t="s">
        <v>231</v>
      </c>
      <c r="C48" s="2224" t="s">
        <v>4567</v>
      </c>
      <c r="D48" s="2225" t="s">
        <v>4568</v>
      </c>
      <c r="E48" s="479" t="s">
        <v>4569</v>
      </c>
      <c r="F48" s="328" t="s">
        <v>4570</v>
      </c>
      <c r="G48" s="329" t="s">
        <v>4571</v>
      </c>
      <c r="H48" s="328" t="s">
        <v>4572</v>
      </c>
      <c r="I48" s="329" t="s">
        <v>4573</v>
      </c>
      <c r="J48" s="328" t="s">
        <v>4574</v>
      </c>
      <c r="K48" s="1969" t="s">
        <v>4575</v>
      </c>
      <c r="L48" s="328" t="s">
        <v>4576</v>
      </c>
      <c r="M48" s="1969" t="s">
        <v>4577</v>
      </c>
      <c r="N48" s="2200" t="s">
        <v>4578</v>
      </c>
      <c r="O48" s="1969" t="s">
        <v>4579</v>
      </c>
      <c r="P48" s="2200" t="s">
        <v>4580</v>
      </c>
      <c r="Q48" s="2201" t="s">
        <v>4581</v>
      </c>
      <c r="R48" s="1970" t="s">
        <v>4582</v>
      </c>
      <c r="S48" s="1969" t="s">
        <v>4583</v>
      </c>
      <c r="T48" s="2193" t="str">
        <f>$CB48&amp;CC48</f>
        <v xml:space="preserve">* La variable Pueblos Originarios no debe ser mayor al Total Ambos Sexos. * La variable Migrantes no debe ser mayor al Total Ambos Sexos. </v>
      </c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2194"/>
      <c r="AZ48" s="2194"/>
      <c r="BA48" s="2194"/>
      <c r="BB48" s="2194"/>
      <c r="BC48" s="2194"/>
      <c r="BD48" s="2194"/>
      <c r="BE48" s="2194"/>
      <c r="BF48" s="2194"/>
      <c r="BG48" s="2194"/>
      <c r="BH48" s="2194"/>
      <c r="BI48" s="2194"/>
      <c r="BJ48" s="2194"/>
      <c r="BK48" s="2194"/>
      <c r="BL48" s="2194"/>
      <c r="BM48" s="2194"/>
      <c r="BN48" s="2194"/>
      <c r="BO48" s="2194"/>
      <c r="BP48" s="2194"/>
      <c r="BQ48" s="2194"/>
      <c r="BR48" s="2194"/>
      <c r="BS48" s="2194"/>
      <c r="BT48" s="2194"/>
      <c r="BU48" s="2194"/>
      <c r="BV48" s="2194"/>
      <c r="BW48" s="2194"/>
      <c r="BX48" s="2194"/>
      <c r="BY48" s="2194"/>
      <c r="BZ48" s="2194"/>
      <c r="CA48" s="2194"/>
      <c r="CB48" s="2195" t="str">
        <f t="shared" si="4"/>
        <v xml:space="preserve">* La variable Pueblos Originarios no debe ser mayor al Total Ambos Sexos. </v>
      </c>
      <c r="CC48" s="2195" t="str">
        <f t="shared" si="5"/>
        <v xml:space="preserve">* La variable Migrantes no debe ser mayor al Total Ambos Sexos. </v>
      </c>
      <c r="CD48" s="2194"/>
      <c r="CE48" s="2194"/>
      <c r="CF48" s="99"/>
      <c r="CG48" s="99"/>
      <c r="CH48" s="99"/>
      <c r="CI48" s="99"/>
      <c r="CJ48" s="99"/>
      <c r="CL48" s="55">
        <f t="shared" si="6"/>
        <v>1</v>
      </c>
      <c r="CM48" s="55">
        <f t="shared" si="7"/>
        <v>1</v>
      </c>
    </row>
    <row r="49" spans="1:91" ht="15" customHeight="1" x14ac:dyDescent="0.25">
      <c r="A49" s="5601" t="s">
        <v>4649</v>
      </c>
      <c r="B49" s="2226" t="s">
        <v>249</v>
      </c>
      <c r="C49" s="2227" t="s">
        <v>4567</v>
      </c>
      <c r="D49" s="2228" t="s">
        <v>4568</v>
      </c>
      <c r="E49" s="2229" t="s">
        <v>4569</v>
      </c>
      <c r="F49" s="1906" t="s">
        <v>4570</v>
      </c>
      <c r="G49" s="2076" t="s">
        <v>4571</v>
      </c>
      <c r="H49" s="1906" t="s">
        <v>4572</v>
      </c>
      <c r="I49" s="2076" t="s">
        <v>4573</v>
      </c>
      <c r="J49" s="1906" t="s">
        <v>4574</v>
      </c>
      <c r="K49" s="324" t="s">
        <v>4575</v>
      </c>
      <c r="L49" s="1906" t="s">
        <v>4576</v>
      </c>
      <c r="M49" s="324" t="s">
        <v>4577</v>
      </c>
      <c r="N49" s="2230" t="s">
        <v>4578</v>
      </c>
      <c r="O49" s="324" t="s">
        <v>4579</v>
      </c>
      <c r="P49" s="2230" t="s">
        <v>4580</v>
      </c>
      <c r="Q49" s="2231" t="s">
        <v>4581</v>
      </c>
      <c r="R49" s="2075" t="s">
        <v>4582</v>
      </c>
      <c r="S49" s="324" t="s">
        <v>4583</v>
      </c>
      <c r="T49" s="2193" t="str">
        <f t="shared" ref="T49" si="8">$CB49&amp;CC49</f>
        <v xml:space="preserve">* La variable Pueblos Originarios no debe ser mayor al Total Ambos Sexos. * La variable Migrantes no debe ser mayor al Total Ambos Sexos. </v>
      </c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2194"/>
      <c r="AZ49" s="2194"/>
      <c r="BA49" s="2194"/>
      <c r="BB49" s="2194"/>
      <c r="BC49" s="2194"/>
      <c r="BD49" s="2194"/>
      <c r="BE49" s="2194"/>
      <c r="BF49" s="2194"/>
      <c r="BG49" s="2194"/>
      <c r="BH49" s="2194"/>
      <c r="BI49" s="2194"/>
      <c r="BJ49" s="2194"/>
      <c r="BK49" s="2194"/>
      <c r="BL49" s="2194"/>
      <c r="BM49" s="2194"/>
      <c r="BN49" s="2194"/>
      <c r="BO49" s="2194"/>
      <c r="BP49" s="2194"/>
      <c r="BQ49" s="2194"/>
      <c r="BR49" s="2194"/>
      <c r="BS49" s="2194"/>
      <c r="BT49" s="2194"/>
      <c r="BU49" s="2194"/>
      <c r="BV49" s="2194"/>
      <c r="BW49" s="2194"/>
      <c r="BX49" s="2194"/>
      <c r="BY49" s="2194"/>
      <c r="BZ49" s="2194"/>
      <c r="CA49" s="2194"/>
      <c r="CB49" s="2195" t="str">
        <f t="shared" si="4"/>
        <v xml:space="preserve">* La variable Pueblos Originarios no debe ser mayor al Total Ambos Sexos. </v>
      </c>
      <c r="CC49" s="2195" t="str">
        <f t="shared" si="5"/>
        <v xml:space="preserve">* La variable Migrantes no debe ser mayor al Total Ambos Sexos. </v>
      </c>
      <c r="CD49" s="2194"/>
      <c r="CE49" s="2194"/>
      <c r="CF49" s="99"/>
      <c r="CG49" s="99"/>
      <c r="CH49" s="99"/>
      <c r="CI49" s="99"/>
      <c r="CJ49" s="99"/>
      <c r="CL49" s="55">
        <f t="shared" si="6"/>
        <v>1</v>
      </c>
      <c r="CM49" s="55">
        <f t="shared" si="7"/>
        <v>1</v>
      </c>
    </row>
    <row r="50" spans="1:91" ht="18" customHeight="1" x14ac:dyDescent="0.25">
      <c r="A50" s="5548"/>
      <c r="B50" s="2155" t="s">
        <v>250</v>
      </c>
      <c r="C50" s="2156"/>
      <c r="D50" s="2156"/>
      <c r="E50" s="2156"/>
      <c r="F50" s="2156"/>
      <c r="G50" s="2156"/>
      <c r="H50" s="2156"/>
      <c r="I50" s="2156"/>
    </row>
    <row r="51" spans="1:91" ht="15" customHeight="1" x14ac:dyDescent="0.25">
      <c r="A51" s="5548"/>
      <c r="B51" s="6349" t="s">
        <v>251</v>
      </c>
      <c r="C51" s="6147" t="s">
        <v>212</v>
      </c>
      <c r="D51" s="6148"/>
      <c r="E51" s="6149"/>
      <c r="F51" s="6151" t="s">
        <v>101</v>
      </c>
      <c r="G51" s="6151"/>
      <c r="H51" s="6151"/>
      <c r="I51" s="6155"/>
      <c r="J51" s="6099" t="s">
        <v>36</v>
      </c>
      <c r="K51" s="6117" t="s">
        <v>37</v>
      </c>
    </row>
    <row r="52" spans="1:91" ht="15" customHeight="1" x14ac:dyDescent="0.25">
      <c r="A52" s="5548"/>
      <c r="B52" s="6350"/>
      <c r="C52" s="6064"/>
      <c r="D52" s="6150"/>
      <c r="E52" s="6028"/>
      <c r="F52" s="6155" t="s">
        <v>81</v>
      </c>
      <c r="G52" s="6156"/>
      <c r="H52" s="6155" t="s">
        <v>82</v>
      </c>
      <c r="I52" s="6260"/>
      <c r="J52" s="6034"/>
      <c r="K52" s="6066"/>
    </row>
    <row r="53" spans="1:91" ht="15" customHeight="1" x14ac:dyDescent="0.25">
      <c r="A53" s="5548"/>
      <c r="B53" s="6040"/>
      <c r="C53" s="2215" t="s">
        <v>79</v>
      </c>
      <c r="D53" s="2164" t="s">
        <v>58</v>
      </c>
      <c r="E53" s="1742" t="s">
        <v>59</v>
      </c>
      <c r="F53" s="2163" t="s">
        <v>58</v>
      </c>
      <c r="G53" s="2162" t="s">
        <v>59</v>
      </c>
      <c r="H53" s="2163" t="s">
        <v>58</v>
      </c>
      <c r="I53" s="2186" t="s">
        <v>59</v>
      </c>
      <c r="J53" s="6035"/>
      <c r="K53" s="6067"/>
    </row>
    <row r="54" spans="1:91" ht="21" customHeight="1" x14ac:dyDescent="0.25">
      <c r="A54" s="5611"/>
      <c r="B54" s="2232" t="s">
        <v>252</v>
      </c>
      <c r="C54" s="2233">
        <f>SUM(D54+E54)</f>
        <v>0</v>
      </c>
      <c r="D54" s="2234">
        <f t="shared" ref="D54" si="9">SUM(F54+H54)</f>
        <v>0</v>
      </c>
      <c r="E54" s="2189">
        <f>SUM(G54+I54)</f>
        <v>0</v>
      </c>
      <c r="F54" s="2235">
        <f>SUM(F55:F57)</f>
        <v>0</v>
      </c>
      <c r="G54" s="2236">
        <f t="shared" ref="G54:K54" si="10">SUM(G55:G57)</f>
        <v>0</v>
      </c>
      <c r="H54" s="2237">
        <f t="shared" si="10"/>
        <v>0</v>
      </c>
      <c r="I54" s="2238">
        <f t="shared" si="10"/>
        <v>0</v>
      </c>
      <c r="J54" s="2239">
        <f>SUM(J55:J57)</f>
        <v>0</v>
      </c>
      <c r="K54" s="2240">
        <f t="shared" si="10"/>
        <v>0</v>
      </c>
    </row>
    <row r="55" spans="1:91" ht="15" customHeight="1" x14ac:dyDescent="0.25">
      <c r="A55" s="5601" t="s">
        <v>4650</v>
      </c>
      <c r="B55" s="253" t="s">
        <v>197</v>
      </c>
      <c r="C55" s="2241" t="s">
        <v>4567</v>
      </c>
      <c r="D55" s="5623" t="s">
        <v>4568</v>
      </c>
      <c r="E55" s="5624" t="s">
        <v>4569</v>
      </c>
      <c r="F55" s="326" t="s">
        <v>4570</v>
      </c>
      <c r="G55" s="5625" t="s">
        <v>4571</v>
      </c>
      <c r="H55" s="252" t="s">
        <v>4572</v>
      </c>
      <c r="I55" s="1133" t="s">
        <v>4573</v>
      </c>
      <c r="J55" s="3903" t="s">
        <v>4574</v>
      </c>
      <c r="K55" s="3905" t="s">
        <v>4575</v>
      </c>
      <c r="L55" s="2193" t="str">
        <f>$CB55&amp;CC55</f>
        <v xml:space="preserve">* La variable Pueblos Originarios no debe ser mayor al Total Ambos Sexos. * La variable Migrantes no debe ser mayor al Total Ambos Sexos. </v>
      </c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2194"/>
      <c r="AR55" s="2194"/>
      <c r="AS55" s="2194"/>
      <c r="AT55" s="2194"/>
      <c r="AU55" s="2194"/>
      <c r="AV55" s="2194"/>
      <c r="AW55" s="2194"/>
      <c r="AX55" s="2194"/>
      <c r="AY55" s="2194"/>
      <c r="AZ55" s="2194"/>
      <c r="BA55" s="2194"/>
      <c r="BB55" s="2194"/>
      <c r="BC55" s="2194"/>
      <c r="BD55" s="2194"/>
      <c r="BE55" s="2194"/>
      <c r="BF55" s="2194"/>
      <c r="BG55" s="2194"/>
      <c r="BH55" s="2194"/>
      <c r="BI55" s="2194"/>
      <c r="BJ55" s="2194"/>
      <c r="BK55" s="2194"/>
      <c r="BL55" s="2194"/>
      <c r="BM55" s="2194"/>
      <c r="BN55" s="2194"/>
      <c r="BO55" s="2194"/>
      <c r="BP55" s="2194"/>
      <c r="BQ55" s="2194"/>
      <c r="BR55" s="2194"/>
      <c r="BS55" s="2194"/>
      <c r="BT55" s="2194"/>
      <c r="BU55" s="2194"/>
      <c r="BV55" s="2194"/>
      <c r="BW55" s="2194"/>
      <c r="BX55" s="2194"/>
      <c r="BY55" s="2194"/>
      <c r="BZ55" s="2194"/>
      <c r="CA55" s="2194"/>
      <c r="CB55" s="2195" t="str">
        <f>IF(AND($C55&lt;&gt;0,J55=""),"* No olvide ingresar la variable "&amp;J$51&amp;""&amp;". Digite CERO si no tiene. ",IF(J55&gt;$C55,"* La variable Pueblos Originarios no debe ser mayor al Total Ambos Sexos. ",""))</f>
        <v xml:space="preserve">* La variable Pueblos Originarios no debe ser mayor al Total Ambos Sexos. </v>
      </c>
      <c r="CC55" s="2195" t="str">
        <f>IF(AND($C55&lt;&gt;0,K55=""),"* No olvide ingresar la variable "&amp;K$51&amp;""&amp;" (Digite CERO si no tiene). ",IF(K55&gt;$C55,"* La variable Migrantes no debe ser mayor al Total Ambos Sexos. ",""))</f>
        <v xml:space="preserve">* La variable Migrantes no debe ser mayor al Total Ambos Sexos. </v>
      </c>
      <c r="CD55" s="2194"/>
      <c r="CE55" s="2194"/>
      <c r="CF55" s="99"/>
      <c r="CG55" s="99"/>
      <c r="CH55" s="99"/>
      <c r="CI55" s="99"/>
      <c r="CJ55" s="99"/>
      <c r="CL55" s="55">
        <f>IF(AND($C55&lt;&gt;0,J55=""),1,IF(J55&gt;$C55,1,0))</f>
        <v>1</v>
      </c>
      <c r="CM55" s="55">
        <f>IF(AND($C55&lt;&gt;0,K55=""),1,IF(K55&gt;$C55,1,0))</f>
        <v>1</v>
      </c>
    </row>
    <row r="56" spans="1:91" ht="15" customHeight="1" x14ac:dyDescent="0.25">
      <c r="A56" s="5601" t="s">
        <v>4651</v>
      </c>
      <c r="B56" s="332" t="s">
        <v>253</v>
      </c>
      <c r="C56" s="5626" t="s">
        <v>4567</v>
      </c>
      <c r="D56" s="5627" t="s">
        <v>4568</v>
      </c>
      <c r="E56" s="1088" t="s">
        <v>4569</v>
      </c>
      <c r="F56" s="940" t="s">
        <v>4570</v>
      </c>
      <c r="G56" s="941" t="s">
        <v>4571</v>
      </c>
      <c r="H56" s="1017" t="s">
        <v>4572</v>
      </c>
      <c r="I56" s="5628" t="s">
        <v>4573</v>
      </c>
      <c r="J56" s="3903" t="s">
        <v>4574</v>
      </c>
      <c r="K56" s="3905" t="s">
        <v>4575</v>
      </c>
      <c r="L56" s="2193" t="str">
        <f t="shared" ref="L56:L57" si="11">$CB56&amp;CC56</f>
        <v xml:space="preserve">* La variable Pueblos Originarios no debe ser mayor al Total Ambos Sexos. * La variable Migrantes no debe ser mayor al Total Ambos Sexos. </v>
      </c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2194"/>
      <c r="AR56" s="2194"/>
      <c r="AS56" s="2194"/>
      <c r="AT56" s="2194"/>
      <c r="AU56" s="2194"/>
      <c r="AV56" s="2194"/>
      <c r="AW56" s="2194"/>
      <c r="AX56" s="2194"/>
      <c r="AY56" s="2194"/>
      <c r="AZ56" s="2194"/>
      <c r="BA56" s="2194"/>
      <c r="BB56" s="2194"/>
      <c r="BC56" s="2194"/>
      <c r="BD56" s="2194"/>
      <c r="BE56" s="2194"/>
      <c r="BF56" s="2194"/>
      <c r="BG56" s="2194"/>
      <c r="BH56" s="2194"/>
      <c r="BI56" s="2194"/>
      <c r="BJ56" s="2194"/>
      <c r="BK56" s="2194"/>
      <c r="BL56" s="2194"/>
      <c r="BM56" s="2194"/>
      <c r="BN56" s="2194"/>
      <c r="BO56" s="2194"/>
      <c r="BP56" s="2194"/>
      <c r="BQ56" s="2194"/>
      <c r="BR56" s="2194"/>
      <c r="BS56" s="2194"/>
      <c r="BT56" s="2194"/>
      <c r="BU56" s="2194"/>
      <c r="BV56" s="2194"/>
      <c r="BW56" s="2194"/>
      <c r="BX56" s="2194"/>
      <c r="BY56" s="2194"/>
      <c r="BZ56" s="2194"/>
      <c r="CA56" s="2194"/>
      <c r="CB56" s="2195" t="str">
        <f t="shared" ref="CB56:CB57" si="12">IF(AND($C56&lt;&gt;0,J56=""),"* No olvide ingresar la variable "&amp;J$51&amp;""&amp;". Digite CERO si no tiene. ",IF(J56&gt;$C56,"* La variable Pueblos Originarios no debe ser mayor al Total Ambos Sexos. ",""))</f>
        <v xml:space="preserve">* La variable Pueblos Originarios no debe ser mayor al Total Ambos Sexos. </v>
      </c>
      <c r="CC56" s="2195" t="str">
        <f t="shared" ref="CC56:CC57" si="13">IF(AND($C56&lt;&gt;0,K56=""),"* No olvide ingresar la variable "&amp;K$51&amp;""&amp;" (Digite CERO si no tiene). ",IF(K56&gt;$C56,"* La variable Migrantes no debe ser mayor al Total Ambos Sexos. ",""))</f>
        <v xml:space="preserve">* La variable Migrantes no debe ser mayor al Total Ambos Sexos. </v>
      </c>
      <c r="CD56" s="2194"/>
      <c r="CE56" s="2194"/>
      <c r="CF56" s="99"/>
      <c r="CG56" s="99"/>
      <c r="CH56" s="99"/>
      <c r="CI56" s="99"/>
      <c r="CJ56" s="99"/>
      <c r="CL56" s="55">
        <f t="shared" ref="CL56:CM57" si="14">IF(AND($C56&lt;&gt;0,J56=""),1,IF(J56&gt;$C56,1,0))</f>
        <v>1</v>
      </c>
      <c r="CM56" s="55">
        <f t="shared" si="14"/>
        <v>1</v>
      </c>
    </row>
    <row r="57" spans="1:91" ht="15" customHeight="1" x14ac:dyDescent="0.25">
      <c r="A57" s="5601" t="s">
        <v>4652</v>
      </c>
      <c r="B57" s="2243" t="s">
        <v>254</v>
      </c>
      <c r="C57" s="5629" t="s">
        <v>4567</v>
      </c>
      <c r="D57" s="5630" t="s">
        <v>4568</v>
      </c>
      <c r="E57" s="5621" t="s">
        <v>4569</v>
      </c>
      <c r="F57" s="964" t="s">
        <v>4570</v>
      </c>
      <c r="G57" s="5622" t="s">
        <v>4571</v>
      </c>
      <c r="H57" s="5631" t="s">
        <v>4572</v>
      </c>
      <c r="I57" s="967" t="s">
        <v>4573</v>
      </c>
      <c r="J57" s="1005" t="s">
        <v>4574</v>
      </c>
      <c r="K57" s="5632" t="s">
        <v>4575</v>
      </c>
      <c r="L57" s="2193" t="str">
        <f t="shared" si="11"/>
        <v xml:space="preserve">* La variable Pueblos Originarios no debe ser mayor al Total Ambos Sexos. * La variable Migrantes no debe ser mayor al Total Ambos Sexos. </v>
      </c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2194"/>
      <c r="AR57" s="2194"/>
      <c r="AS57" s="2194"/>
      <c r="AT57" s="2194"/>
      <c r="AU57" s="2194"/>
      <c r="AV57" s="2194"/>
      <c r="AW57" s="2194"/>
      <c r="AX57" s="2194"/>
      <c r="AY57" s="2194"/>
      <c r="AZ57" s="2194"/>
      <c r="BA57" s="2194"/>
      <c r="BB57" s="2194"/>
      <c r="BC57" s="2194"/>
      <c r="BD57" s="2194"/>
      <c r="BE57" s="2194"/>
      <c r="BF57" s="2194"/>
      <c r="BG57" s="2194"/>
      <c r="BH57" s="2194"/>
      <c r="BI57" s="2194"/>
      <c r="BJ57" s="2194"/>
      <c r="BK57" s="2194"/>
      <c r="BL57" s="2194"/>
      <c r="BM57" s="2194"/>
      <c r="BN57" s="2194"/>
      <c r="BO57" s="2194"/>
      <c r="BP57" s="2194"/>
      <c r="BQ57" s="2194"/>
      <c r="BR57" s="2194"/>
      <c r="BS57" s="2194"/>
      <c r="BT57" s="2194"/>
      <c r="BU57" s="2194"/>
      <c r="BV57" s="2194"/>
      <c r="BW57" s="2194"/>
      <c r="BX57" s="2194"/>
      <c r="BY57" s="2194"/>
      <c r="BZ57" s="2194"/>
      <c r="CA57" s="2194"/>
      <c r="CB57" s="2195" t="str">
        <f t="shared" si="12"/>
        <v xml:space="preserve">* La variable Pueblos Originarios no debe ser mayor al Total Ambos Sexos. </v>
      </c>
      <c r="CC57" s="2195" t="str">
        <f t="shared" si="13"/>
        <v xml:space="preserve">* La variable Migrantes no debe ser mayor al Total Ambos Sexos. </v>
      </c>
      <c r="CD57" s="2194"/>
      <c r="CE57" s="2194"/>
      <c r="CF57" s="99"/>
      <c r="CG57" s="99"/>
      <c r="CH57" s="99"/>
      <c r="CI57" s="99"/>
      <c r="CJ57" s="99"/>
      <c r="CL57" s="55">
        <f>IF(AND($C57&lt;&gt;0,J57=""),1,IF(J57&gt;$C57,1,0))</f>
        <v>1</v>
      </c>
      <c r="CM57" s="55">
        <f t="shared" si="14"/>
        <v>1</v>
      </c>
    </row>
    <row r="58" spans="1:91" ht="18" customHeight="1" x14ac:dyDescent="0.25">
      <c r="A58" s="5548"/>
      <c r="B58" s="2155" t="s">
        <v>4330</v>
      </c>
      <c r="C58" s="2156"/>
      <c r="D58" s="2156"/>
      <c r="E58" s="2156"/>
      <c r="F58" s="2156"/>
      <c r="G58" s="2156"/>
      <c r="H58" s="2156"/>
      <c r="I58" s="2156"/>
      <c r="J58" s="2156"/>
      <c r="K58" s="2157"/>
      <c r="L58" s="2157"/>
    </row>
    <row r="59" spans="1:91" ht="15" customHeight="1" x14ac:dyDescent="0.25">
      <c r="A59" s="5548"/>
      <c r="B59" s="6147" t="s">
        <v>255</v>
      </c>
      <c r="C59" s="6149"/>
      <c r="D59" s="6118" t="s">
        <v>77</v>
      </c>
      <c r="E59" s="6155" t="s">
        <v>256</v>
      </c>
      <c r="F59" s="6260"/>
      <c r="G59" s="6260"/>
      <c r="H59" s="6260"/>
      <c r="I59" s="6260"/>
      <c r="J59" s="6260"/>
      <c r="K59" s="6116"/>
      <c r="L59" s="6104" t="s">
        <v>36</v>
      </c>
      <c r="M59" s="6149" t="s">
        <v>37</v>
      </c>
    </row>
    <row r="60" spans="1:91" ht="21" x14ac:dyDescent="0.25">
      <c r="A60" s="5548"/>
      <c r="B60" s="6064"/>
      <c r="C60" s="6028"/>
      <c r="D60" s="6093"/>
      <c r="E60" s="2163" t="s">
        <v>257</v>
      </c>
      <c r="F60" s="2185" t="s">
        <v>258</v>
      </c>
      <c r="G60" s="2185" t="s">
        <v>259</v>
      </c>
      <c r="H60" s="2185" t="s">
        <v>260</v>
      </c>
      <c r="I60" s="2185" t="s">
        <v>261</v>
      </c>
      <c r="J60" s="2185" t="s">
        <v>262</v>
      </c>
      <c r="K60" s="2246" t="s">
        <v>263</v>
      </c>
      <c r="L60" s="6105"/>
      <c r="M60" s="6027"/>
    </row>
    <row r="61" spans="1:91" ht="15" customHeight="1" x14ac:dyDescent="0.25">
      <c r="A61" s="5601" t="s">
        <v>4653</v>
      </c>
      <c r="B61" s="6360" t="s">
        <v>264</v>
      </c>
      <c r="C61" s="6361"/>
      <c r="D61" s="2247" t="s">
        <v>4567</v>
      </c>
      <c r="E61" s="2175" t="s">
        <v>4568</v>
      </c>
      <c r="F61" s="1862" t="s">
        <v>4569</v>
      </c>
      <c r="G61" s="1862" t="s">
        <v>4570</v>
      </c>
      <c r="H61" s="1862" t="s">
        <v>4571</v>
      </c>
      <c r="I61" s="1862" t="s">
        <v>4572</v>
      </c>
      <c r="J61" s="1898" t="s">
        <v>4573</v>
      </c>
      <c r="K61" s="2248" t="s">
        <v>4574</v>
      </c>
      <c r="L61" s="2249" t="s">
        <v>4575</v>
      </c>
      <c r="M61" s="1962" t="s">
        <v>4576</v>
      </c>
      <c r="N61" s="2193" t="str">
        <f>$CB61&amp;CC61</f>
        <v xml:space="preserve">* La variable Pueblos Originarios no debe ser mayor al Total. * La variable Migrantes no debe ser mayor al Total. </v>
      </c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2194"/>
      <c r="AT61" s="2194"/>
      <c r="AU61" s="2194"/>
      <c r="AV61" s="2194"/>
      <c r="AW61" s="2194"/>
      <c r="AX61" s="2194"/>
      <c r="AY61" s="2194"/>
      <c r="AZ61" s="2194"/>
      <c r="BA61" s="2194"/>
      <c r="BB61" s="2194"/>
      <c r="BC61" s="2194"/>
      <c r="BD61" s="2194"/>
      <c r="BE61" s="2194"/>
      <c r="BF61" s="2194"/>
      <c r="BG61" s="2194"/>
      <c r="BH61" s="2194"/>
      <c r="BI61" s="2194"/>
      <c r="BJ61" s="2194"/>
      <c r="BK61" s="2194"/>
      <c r="BL61" s="2194"/>
      <c r="BM61" s="2194"/>
      <c r="BN61" s="2194"/>
      <c r="BO61" s="2194"/>
      <c r="BP61" s="2194"/>
      <c r="BQ61" s="2194"/>
      <c r="BR61" s="2194"/>
      <c r="BS61" s="2194"/>
      <c r="BT61" s="2194"/>
      <c r="BU61" s="2194"/>
      <c r="BV61" s="2194"/>
      <c r="BW61" s="2194"/>
      <c r="BX61" s="2194"/>
      <c r="BY61" s="2194"/>
      <c r="BZ61" s="2194"/>
      <c r="CA61" s="2194"/>
      <c r="CB61" s="2195" t="str">
        <f>IF(AND($D61&lt;&gt;0,L61=""),"* No olvide ingresar la variable "&amp;L$59&amp;""&amp;". Digite CERO si no tiene. ",IF(L61&gt;$D61,"* La variable Pueblos Originarios no debe ser mayor al Total. ",""))</f>
        <v xml:space="preserve">* La variable Pueblos Originarios no debe ser mayor al Total. </v>
      </c>
      <c r="CC61" s="2195" t="str">
        <f>IF(AND($D61&lt;&gt;0,M61=""),"* No olvide ingresar la variable "&amp;M$59&amp;""&amp;". Digite CERO si no tiene. ",IF(M61&gt;$D61,"* La variable Migrantes no debe ser mayor al Total. ",""))</f>
        <v xml:space="preserve">* La variable Migrantes no debe ser mayor al Total. </v>
      </c>
      <c r="CD61" s="2194"/>
      <c r="CE61" s="2194"/>
      <c r="CF61" s="99"/>
      <c r="CG61" s="99"/>
      <c r="CH61" s="99"/>
      <c r="CI61" s="99"/>
      <c r="CJ61" s="99"/>
      <c r="CL61" s="55">
        <f>IF(AND($D61&lt;&gt;0,L61=""),1,IF(L61&gt;$D61,1,0))</f>
        <v>1</v>
      </c>
      <c r="CM61" s="55">
        <f>IF(AND($D61&lt;&gt;0,M61=""),1,IF(M61&gt;$D61,1,0))</f>
        <v>1</v>
      </c>
    </row>
    <row r="62" spans="1:91" ht="15" customHeight="1" x14ac:dyDescent="0.25">
      <c r="A62" s="5609" t="s">
        <v>4654</v>
      </c>
      <c r="B62" s="6340" t="s">
        <v>265</v>
      </c>
      <c r="C62" s="6340"/>
      <c r="D62" s="2251" t="s">
        <v>4567</v>
      </c>
      <c r="E62" s="326" t="s">
        <v>4568</v>
      </c>
      <c r="F62" s="1014" t="s">
        <v>4569</v>
      </c>
      <c r="G62" s="1014" t="s">
        <v>4570</v>
      </c>
      <c r="H62" s="1014" t="s">
        <v>4571</v>
      </c>
      <c r="I62" s="1014" t="s">
        <v>4572</v>
      </c>
      <c r="J62" s="1885" t="s">
        <v>4573</v>
      </c>
      <c r="K62" s="991" t="s">
        <v>4574</v>
      </c>
      <c r="L62" s="2034" t="s">
        <v>4575</v>
      </c>
      <c r="M62" s="1969" t="s">
        <v>4576</v>
      </c>
      <c r="N62" s="2193" t="str">
        <f t="shared" ref="N62:N67" si="15">$CB62&amp;CC62</f>
        <v xml:space="preserve">* La variable Pueblos Originarios no debe ser mayor al Total. * La variable Migrantes no debe ser mayor al Total. </v>
      </c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2194"/>
      <c r="AT62" s="2194"/>
      <c r="AU62" s="2194"/>
      <c r="AV62" s="2194"/>
      <c r="AW62" s="2194"/>
      <c r="AX62" s="2194"/>
      <c r="AY62" s="2194"/>
      <c r="AZ62" s="2194"/>
      <c r="BA62" s="2194"/>
      <c r="BB62" s="2194"/>
      <c r="BC62" s="2194"/>
      <c r="BD62" s="2194"/>
      <c r="BE62" s="2194"/>
      <c r="BF62" s="2194"/>
      <c r="BG62" s="2194"/>
      <c r="BH62" s="2194"/>
      <c r="BI62" s="2194"/>
      <c r="BJ62" s="2194"/>
      <c r="BK62" s="2194"/>
      <c r="BL62" s="2194"/>
      <c r="BM62" s="2194"/>
      <c r="BN62" s="2194"/>
      <c r="BO62" s="2194"/>
      <c r="BP62" s="2194"/>
      <c r="BQ62" s="2194"/>
      <c r="BR62" s="2194"/>
      <c r="BS62" s="2194"/>
      <c r="BT62" s="2194"/>
      <c r="BU62" s="2194"/>
      <c r="BV62" s="2194"/>
      <c r="BW62" s="2194"/>
      <c r="BX62" s="2194"/>
      <c r="BY62" s="2194"/>
      <c r="BZ62" s="2194"/>
      <c r="CA62" s="2194"/>
      <c r="CB62" s="2195" t="str">
        <f t="shared" ref="CB62:CB67" si="16">IF(AND($D62&lt;&gt;0,L62=""),"* No olvide ingresar la variable "&amp;L$59&amp;""&amp;". Digite CERO si no tiene. ",IF(L62&gt;$D62,"* La variable Pueblos Originarios no debe ser mayor al Total. ",""))</f>
        <v xml:space="preserve">* La variable Pueblos Originarios no debe ser mayor al Total. </v>
      </c>
      <c r="CC62" s="2195" t="str">
        <f t="shared" ref="CC62:CC66" si="17">IF(AND($D62&lt;&gt;0,M62=""),"* No olvide ingresar la variable "&amp;M$59&amp;""&amp;". Digite CERO si no tiene. ",IF(M62&gt;$D62,"* La variable Migrantes no debe ser mayor al Total. ",""))</f>
        <v xml:space="preserve">* La variable Migrantes no debe ser mayor al Total. </v>
      </c>
      <c r="CD62" s="2194"/>
      <c r="CE62" s="2194"/>
      <c r="CF62" s="99"/>
      <c r="CG62" s="99"/>
      <c r="CH62" s="99"/>
      <c r="CI62" s="99"/>
      <c r="CJ62" s="99"/>
      <c r="CL62" s="55">
        <f t="shared" ref="CL62:CM67" si="18">IF(AND($D62&lt;&gt;0,L62=""),1,IF(L62&gt;$D62,1,0))</f>
        <v>1</v>
      </c>
      <c r="CM62" s="55">
        <f t="shared" si="18"/>
        <v>1</v>
      </c>
    </row>
    <row r="63" spans="1:91" ht="15" customHeight="1" x14ac:dyDescent="0.25">
      <c r="A63" s="5601" t="s">
        <v>4655</v>
      </c>
      <c r="B63" s="6340" t="s">
        <v>266</v>
      </c>
      <c r="C63" s="6340"/>
      <c r="D63" s="2251" t="s">
        <v>4567</v>
      </c>
      <c r="E63" s="328" t="s">
        <v>4568</v>
      </c>
      <c r="F63" s="1939" t="s">
        <v>4569</v>
      </c>
      <c r="G63" s="1939" t="s">
        <v>4570</v>
      </c>
      <c r="H63" s="1939" t="s">
        <v>4571</v>
      </c>
      <c r="I63" s="1939" t="s">
        <v>4572</v>
      </c>
      <c r="J63" s="1943" t="s">
        <v>4573</v>
      </c>
      <c r="K63" s="2021" t="s">
        <v>4574</v>
      </c>
      <c r="L63" s="2034" t="s">
        <v>4575</v>
      </c>
      <c r="M63" s="1969" t="s">
        <v>4576</v>
      </c>
      <c r="N63" s="2193" t="str">
        <f t="shared" si="15"/>
        <v xml:space="preserve">* La variable Pueblos Originarios no debe ser mayor al Total. * La variable Migrantes no debe ser mayor al Total. </v>
      </c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2194"/>
      <c r="AT63" s="2194"/>
      <c r="AU63" s="2194"/>
      <c r="AV63" s="2194"/>
      <c r="AW63" s="2194"/>
      <c r="AX63" s="2194"/>
      <c r="AY63" s="2194"/>
      <c r="AZ63" s="2194"/>
      <c r="BA63" s="2194"/>
      <c r="BB63" s="2194"/>
      <c r="BC63" s="2194"/>
      <c r="BD63" s="2194"/>
      <c r="BE63" s="2194"/>
      <c r="BF63" s="2194"/>
      <c r="BG63" s="2194"/>
      <c r="BH63" s="2194"/>
      <c r="BI63" s="2194"/>
      <c r="BJ63" s="2194"/>
      <c r="BK63" s="2194"/>
      <c r="BL63" s="2194"/>
      <c r="BM63" s="2194"/>
      <c r="BN63" s="2194"/>
      <c r="BO63" s="2194"/>
      <c r="BP63" s="2194"/>
      <c r="BQ63" s="2194"/>
      <c r="BR63" s="2194"/>
      <c r="BS63" s="2194"/>
      <c r="BT63" s="2194"/>
      <c r="BU63" s="2194"/>
      <c r="BV63" s="2194"/>
      <c r="BW63" s="2194"/>
      <c r="BX63" s="2194"/>
      <c r="BY63" s="2194"/>
      <c r="BZ63" s="2194"/>
      <c r="CA63" s="2194"/>
      <c r="CB63" s="2195" t="str">
        <f t="shared" si="16"/>
        <v xml:space="preserve">* La variable Pueblos Originarios no debe ser mayor al Total. </v>
      </c>
      <c r="CC63" s="2195" t="str">
        <f t="shared" si="17"/>
        <v xml:space="preserve">* La variable Migrantes no debe ser mayor al Total. </v>
      </c>
      <c r="CD63" s="2194"/>
      <c r="CE63" s="2194"/>
      <c r="CF63" s="99"/>
      <c r="CG63" s="99"/>
      <c r="CH63" s="99"/>
      <c r="CI63" s="99"/>
      <c r="CJ63" s="99"/>
      <c r="CL63" s="55">
        <f t="shared" si="18"/>
        <v>1</v>
      </c>
      <c r="CM63" s="55">
        <f t="shared" si="18"/>
        <v>1</v>
      </c>
    </row>
    <row r="64" spans="1:91" ht="15" customHeight="1" x14ac:dyDescent="0.25">
      <c r="A64" s="5601" t="s">
        <v>4656</v>
      </c>
      <c r="B64" s="6340" t="s">
        <v>267</v>
      </c>
      <c r="C64" s="6340"/>
      <c r="D64" s="737" t="s">
        <v>4567</v>
      </c>
      <c r="E64" s="2252" t="s">
        <v>4568</v>
      </c>
      <c r="F64" s="2253" t="s">
        <v>4569</v>
      </c>
      <c r="G64" s="2253" t="s">
        <v>4570</v>
      </c>
      <c r="H64" s="2253" t="s">
        <v>4571</v>
      </c>
      <c r="I64" s="2254" t="s">
        <v>4572</v>
      </c>
      <c r="J64" s="1939" t="s">
        <v>4573</v>
      </c>
      <c r="K64" s="331" t="s">
        <v>4574</v>
      </c>
      <c r="L64" s="2034" t="s">
        <v>4575</v>
      </c>
      <c r="M64" s="1969" t="s">
        <v>4576</v>
      </c>
      <c r="N64" s="2193" t="str">
        <f t="shared" si="15"/>
        <v xml:space="preserve">* La variable Pueblos Originarios no debe ser mayor al Total. * La variable Migrantes no debe ser mayor al Total. </v>
      </c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2194"/>
      <c r="AT64" s="2194"/>
      <c r="AU64" s="2194"/>
      <c r="AV64" s="2194"/>
      <c r="AW64" s="2194"/>
      <c r="AX64" s="2194"/>
      <c r="AY64" s="2194"/>
      <c r="AZ64" s="2194"/>
      <c r="BA64" s="2194"/>
      <c r="BB64" s="2194"/>
      <c r="BC64" s="2194"/>
      <c r="BD64" s="2194"/>
      <c r="BE64" s="2194"/>
      <c r="BF64" s="2194"/>
      <c r="BG64" s="2194"/>
      <c r="BH64" s="2194"/>
      <c r="BI64" s="2194"/>
      <c r="BJ64" s="2194"/>
      <c r="BK64" s="2194"/>
      <c r="BL64" s="2194"/>
      <c r="BM64" s="2194"/>
      <c r="BN64" s="2194"/>
      <c r="BO64" s="2194"/>
      <c r="BP64" s="2194"/>
      <c r="BQ64" s="2194"/>
      <c r="BR64" s="2194"/>
      <c r="BS64" s="2194"/>
      <c r="BT64" s="2194"/>
      <c r="BU64" s="2194"/>
      <c r="BV64" s="2194"/>
      <c r="BW64" s="2194"/>
      <c r="BX64" s="2194"/>
      <c r="BY64" s="2194"/>
      <c r="BZ64" s="2194"/>
      <c r="CA64" s="2194"/>
      <c r="CB64" s="2195" t="str">
        <f t="shared" si="16"/>
        <v xml:space="preserve">* La variable Pueblos Originarios no debe ser mayor al Total. </v>
      </c>
      <c r="CC64" s="2195" t="str">
        <f t="shared" si="17"/>
        <v xml:space="preserve">* La variable Migrantes no debe ser mayor al Total. </v>
      </c>
      <c r="CD64" s="2194"/>
      <c r="CE64" s="2194"/>
      <c r="CF64" s="99"/>
      <c r="CG64" s="99"/>
      <c r="CH64" s="99"/>
      <c r="CI64" s="99"/>
      <c r="CJ64" s="99"/>
      <c r="CL64" s="55">
        <f t="shared" si="18"/>
        <v>1</v>
      </c>
      <c r="CM64" s="55">
        <f t="shared" si="18"/>
        <v>1</v>
      </c>
    </row>
    <row r="65" spans="1:91" ht="24" customHeight="1" x14ac:dyDescent="0.25">
      <c r="A65" s="5601" t="s">
        <v>4657</v>
      </c>
      <c r="B65" s="6340" t="s">
        <v>268</v>
      </c>
      <c r="C65" s="6340"/>
      <c r="D65" s="737" t="s">
        <v>4567</v>
      </c>
      <c r="E65" s="2252" t="s">
        <v>4568</v>
      </c>
      <c r="F65" s="2253" t="s">
        <v>4569</v>
      </c>
      <c r="G65" s="2253" t="s">
        <v>4570</v>
      </c>
      <c r="H65" s="2253" t="s">
        <v>4571</v>
      </c>
      <c r="I65" s="2254" t="s">
        <v>4572</v>
      </c>
      <c r="J65" s="1939" t="s">
        <v>4573</v>
      </c>
      <c r="K65" s="331" t="s">
        <v>4574</v>
      </c>
      <c r="L65" s="2034" t="s">
        <v>4575</v>
      </c>
      <c r="M65" s="1969" t="s">
        <v>4576</v>
      </c>
      <c r="N65" s="2193" t="str">
        <f t="shared" si="15"/>
        <v xml:space="preserve">* La variable Pueblos Originarios no debe ser mayor al Total. * La variable Migrantes no debe ser mayor al Total. </v>
      </c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2194"/>
      <c r="AT65" s="2194"/>
      <c r="AU65" s="2194"/>
      <c r="AV65" s="2194"/>
      <c r="AW65" s="2194"/>
      <c r="AX65" s="2194"/>
      <c r="AY65" s="2194"/>
      <c r="AZ65" s="2194"/>
      <c r="BA65" s="2194"/>
      <c r="BB65" s="2194"/>
      <c r="BC65" s="2194"/>
      <c r="BD65" s="2194"/>
      <c r="BE65" s="2194"/>
      <c r="BF65" s="2194"/>
      <c r="BG65" s="2194"/>
      <c r="BH65" s="2194"/>
      <c r="BI65" s="2194"/>
      <c r="BJ65" s="2194"/>
      <c r="BK65" s="2194"/>
      <c r="BL65" s="2194"/>
      <c r="BM65" s="2194"/>
      <c r="BN65" s="2194"/>
      <c r="BO65" s="2194"/>
      <c r="BP65" s="2194"/>
      <c r="BQ65" s="2194"/>
      <c r="BR65" s="2194"/>
      <c r="BS65" s="2194"/>
      <c r="BT65" s="2194"/>
      <c r="BU65" s="2194"/>
      <c r="BV65" s="2194"/>
      <c r="BW65" s="2194"/>
      <c r="BX65" s="2194"/>
      <c r="BY65" s="2194"/>
      <c r="BZ65" s="2194"/>
      <c r="CA65" s="2194"/>
      <c r="CB65" s="2195" t="str">
        <f t="shared" si="16"/>
        <v xml:space="preserve">* La variable Pueblos Originarios no debe ser mayor al Total. </v>
      </c>
      <c r="CC65" s="2195" t="str">
        <f t="shared" si="17"/>
        <v xml:space="preserve">* La variable Migrantes no debe ser mayor al Total. </v>
      </c>
      <c r="CD65" s="2194"/>
      <c r="CE65" s="2194"/>
      <c r="CF65" s="99"/>
      <c r="CG65" s="99"/>
      <c r="CH65" s="99"/>
      <c r="CI65" s="99"/>
      <c r="CJ65" s="99"/>
      <c r="CL65" s="55">
        <f t="shared" si="18"/>
        <v>1</v>
      </c>
      <c r="CM65" s="55">
        <f t="shared" si="18"/>
        <v>1</v>
      </c>
    </row>
    <row r="66" spans="1:91" ht="15" customHeight="1" x14ac:dyDescent="0.25">
      <c r="A66" s="5601" t="s">
        <v>4658</v>
      </c>
      <c r="B66" s="6341" t="s">
        <v>269</v>
      </c>
      <c r="C66" s="6341"/>
      <c r="D66" s="2255" t="s">
        <v>4567</v>
      </c>
      <c r="E66" s="1871" t="s">
        <v>4568</v>
      </c>
      <c r="F66" s="1875" t="s">
        <v>4569</v>
      </c>
      <c r="G66" s="1875" t="s">
        <v>4570</v>
      </c>
      <c r="H66" s="1875" t="s">
        <v>4571</v>
      </c>
      <c r="I66" s="2256" t="s">
        <v>4572</v>
      </c>
      <c r="J66" s="1873" t="s">
        <v>4573</v>
      </c>
      <c r="K66" s="1919" t="s">
        <v>4574</v>
      </c>
      <c r="L66" s="1877" t="s">
        <v>4575</v>
      </c>
      <c r="M66" s="1975" t="s">
        <v>4576</v>
      </c>
      <c r="N66" s="2193" t="str">
        <f>$CB66&amp;CC66</f>
        <v xml:space="preserve">* La variable Pueblos Originarios no debe ser mayor al Total. * La variable Migrantes no debe ser mayor al Total. </v>
      </c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2194"/>
      <c r="AT66" s="2194"/>
      <c r="AU66" s="2194"/>
      <c r="AV66" s="2194"/>
      <c r="AW66" s="2194"/>
      <c r="AX66" s="2194"/>
      <c r="AY66" s="2194"/>
      <c r="AZ66" s="2194"/>
      <c r="BA66" s="2194"/>
      <c r="BB66" s="2194"/>
      <c r="BC66" s="2194"/>
      <c r="BD66" s="2194"/>
      <c r="BE66" s="2194"/>
      <c r="BF66" s="2194"/>
      <c r="BG66" s="2194"/>
      <c r="BH66" s="2194"/>
      <c r="BI66" s="2194"/>
      <c r="BJ66" s="2194"/>
      <c r="BK66" s="2194"/>
      <c r="BL66" s="2194"/>
      <c r="BM66" s="2194"/>
      <c r="BN66" s="2194"/>
      <c r="BO66" s="2194"/>
      <c r="BP66" s="2194"/>
      <c r="BQ66" s="2194"/>
      <c r="BR66" s="2194"/>
      <c r="BS66" s="2194"/>
      <c r="BT66" s="2194"/>
      <c r="BU66" s="2194"/>
      <c r="BV66" s="2194"/>
      <c r="BW66" s="2194"/>
      <c r="BX66" s="2194"/>
      <c r="BY66" s="2194"/>
      <c r="BZ66" s="2194"/>
      <c r="CA66" s="2194"/>
      <c r="CB66" s="2195" t="str">
        <f t="shared" si="16"/>
        <v xml:space="preserve">* La variable Pueblos Originarios no debe ser mayor al Total. </v>
      </c>
      <c r="CC66" s="2195" t="str">
        <f t="shared" si="17"/>
        <v xml:space="preserve">* La variable Migrantes no debe ser mayor al Total. </v>
      </c>
      <c r="CD66" s="2194"/>
      <c r="CE66" s="2194"/>
      <c r="CF66" s="99"/>
      <c r="CG66" s="99"/>
      <c r="CH66" s="99"/>
      <c r="CI66" s="99"/>
      <c r="CJ66" s="99"/>
      <c r="CL66" s="55">
        <f t="shared" si="18"/>
        <v>1</v>
      </c>
      <c r="CM66" s="55">
        <f t="shared" si="18"/>
        <v>1</v>
      </c>
    </row>
    <row r="67" spans="1:91" ht="15" customHeight="1" x14ac:dyDescent="0.25">
      <c r="A67" s="5601" t="s">
        <v>4659</v>
      </c>
      <c r="B67" s="6342" t="s">
        <v>270</v>
      </c>
      <c r="C67" s="6342"/>
      <c r="D67" s="323" t="s">
        <v>4567</v>
      </c>
      <c r="E67" s="2257" t="s">
        <v>4568</v>
      </c>
      <c r="F67" s="2258" t="s">
        <v>4569</v>
      </c>
      <c r="G67" s="2258" t="s">
        <v>4570</v>
      </c>
      <c r="H67" s="2258" t="s">
        <v>4571</v>
      </c>
      <c r="I67" s="2259" t="s">
        <v>4572</v>
      </c>
      <c r="J67" s="1880" t="s">
        <v>4573</v>
      </c>
      <c r="K67" s="325" t="s">
        <v>4574</v>
      </c>
      <c r="L67" s="2053" t="s">
        <v>4575</v>
      </c>
      <c r="M67" s="324" t="s">
        <v>4576</v>
      </c>
      <c r="N67" s="2193" t="str">
        <f t="shared" si="15"/>
        <v xml:space="preserve">* La variable Pueblos Originarios no debe ser mayor al Total. * La variable Migrantes no debe ser mayor al Total. </v>
      </c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2194"/>
      <c r="AT67" s="2194"/>
      <c r="AU67" s="2194"/>
      <c r="AV67" s="2194"/>
      <c r="AW67" s="2194"/>
      <c r="AX67" s="2194"/>
      <c r="AY67" s="2194"/>
      <c r="AZ67" s="2194"/>
      <c r="BA67" s="2194"/>
      <c r="BB67" s="2194"/>
      <c r="BC67" s="2194"/>
      <c r="BD67" s="2194"/>
      <c r="BE67" s="2194"/>
      <c r="BF67" s="2194"/>
      <c r="BG67" s="2194"/>
      <c r="BH67" s="2194"/>
      <c r="BI67" s="2194"/>
      <c r="BJ67" s="2194"/>
      <c r="BK67" s="2194"/>
      <c r="BL67" s="2194"/>
      <c r="BM67" s="2194"/>
      <c r="BN67" s="2194"/>
      <c r="BO67" s="2194"/>
      <c r="BP67" s="2194"/>
      <c r="BQ67" s="2194"/>
      <c r="BR67" s="2194"/>
      <c r="BS67" s="2194"/>
      <c r="BT67" s="2194"/>
      <c r="BU67" s="2194"/>
      <c r="BV67" s="2194"/>
      <c r="BW67" s="2194"/>
      <c r="BX67" s="2194"/>
      <c r="BY67" s="2194"/>
      <c r="BZ67" s="2194"/>
      <c r="CA67" s="2194"/>
      <c r="CB67" s="2195" t="str">
        <f t="shared" si="16"/>
        <v xml:space="preserve">* La variable Pueblos Originarios no debe ser mayor al Total. </v>
      </c>
      <c r="CC67" s="2195" t="str">
        <f>IF(AND($D67&lt;&gt;0,M67=""),"* No olvide ingresar la variable "&amp;M$59&amp;""&amp;". Digite CERO si no tiene. ",IF(M67&gt;$D67,"* La variable Migrantes no debe ser mayor al Total. ",""))</f>
        <v xml:space="preserve">* La variable Migrantes no debe ser mayor al Total. </v>
      </c>
      <c r="CD67" s="2194"/>
      <c r="CE67" s="2194"/>
      <c r="CF67" s="99"/>
      <c r="CG67" s="99"/>
      <c r="CH67" s="99"/>
      <c r="CI67" s="99"/>
      <c r="CJ67" s="99"/>
      <c r="CL67" s="55">
        <f t="shared" si="18"/>
        <v>1</v>
      </c>
      <c r="CM67" s="55">
        <f t="shared" si="18"/>
        <v>1</v>
      </c>
    </row>
    <row r="68" spans="1:91" ht="18" customHeight="1" x14ac:dyDescent="0.25">
      <c r="A68" s="5612"/>
      <c r="B68" s="2155" t="s">
        <v>271</v>
      </c>
      <c r="C68" s="2156"/>
      <c r="D68" s="2156"/>
      <c r="E68" s="2156"/>
      <c r="F68" s="2156"/>
      <c r="G68" s="2156"/>
      <c r="H68" s="2156"/>
      <c r="I68" s="2156"/>
      <c r="J68" s="2156"/>
      <c r="K68" s="2157"/>
      <c r="L68" s="2157"/>
      <c r="M68" s="2260"/>
    </row>
    <row r="69" spans="1:91" ht="15" customHeight="1" x14ac:dyDescent="0.25">
      <c r="A69" s="5613"/>
      <c r="B69" s="6149" t="s">
        <v>220</v>
      </c>
      <c r="C69" s="6147" t="s">
        <v>212</v>
      </c>
      <c r="D69" s="6148"/>
      <c r="E69" s="6149"/>
      <c r="F69" s="6151" t="s">
        <v>101</v>
      </c>
      <c r="G69" s="6151"/>
      <c r="H69" s="6151"/>
      <c r="I69" s="6362"/>
      <c r="J69" s="6099" t="s">
        <v>36</v>
      </c>
      <c r="K69" s="6117" t="s">
        <v>37</v>
      </c>
    </row>
    <row r="70" spans="1:91" ht="15" customHeight="1" x14ac:dyDescent="0.25">
      <c r="A70" s="5613"/>
      <c r="B70" s="6027"/>
      <c r="C70" s="6064"/>
      <c r="D70" s="6150"/>
      <c r="E70" s="6028"/>
      <c r="F70" s="6155" t="s">
        <v>83</v>
      </c>
      <c r="G70" s="6156"/>
      <c r="H70" s="6260" t="s">
        <v>84</v>
      </c>
      <c r="I70" s="6116"/>
      <c r="J70" s="6034"/>
      <c r="K70" s="6066"/>
    </row>
    <row r="71" spans="1:91" ht="15" customHeight="1" x14ac:dyDescent="0.25">
      <c r="A71" s="5613"/>
      <c r="B71" s="6028"/>
      <c r="C71" s="2261" t="s">
        <v>79</v>
      </c>
      <c r="D71" s="2164" t="s">
        <v>58</v>
      </c>
      <c r="E71" s="1742" t="s">
        <v>59</v>
      </c>
      <c r="F71" s="2163" t="s">
        <v>58</v>
      </c>
      <c r="G71" s="2162" t="s">
        <v>59</v>
      </c>
      <c r="H71" s="2163" t="s">
        <v>58</v>
      </c>
      <c r="I71" s="2245" t="s">
        <v>59</v>
      </c>
      <c r="J71" s="6035"/>
      <c r="K71" s="6067"/>
    </row>
    <row r="72" spans="1:91" ht="15" customHeight="1" x14ac:dyDescent="0.25">
      <c r="A72" s="5609" t="s">
        <v>4660</v>
      </c>
      <c r="B72" s="255" t="s">
        <v>197</v>
      </c>
      <c r="C72" s="2262" t="s">
        <v>4567</v>
      </c>
      <c r="D72" s="2263" t="s">
        <v>4568</v>
      </c>
      <c r="E72" s="2264" t="s">
        <v>4569</v>
      </c>
      <c r="F72" s="2175" t="s">
        <v>4570</v>
      </c>
      <c r="G72" s="142" t="s">
        <v>4571</v>
      </c>
      <c r="H72" s="326" t="s">
        <v>4572</v>
      </c>
      <c r="I72" s="1884" t="s">
        <v>4573</v>
      </c>
      <c r="J72" s="44" t="s">
        <v>4574</v>
      </c>
      <c r="K72" s="882" t="s">
        <v>4575</v>
      </c>
      <c r="L72" s="2193" t="str">
        <f>$CB72&amp;CC72</f>
        <v xml:space="preserve">* La variable Pueblos Originarios no debe ser mayor al Total Ambos Sexos. * La variable Migrantes no debe ser mayor al Total Ambos Sexos. 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2194"/>
      <c r="AR72" s="2194"/>
      <c r="AS72" s="2194"/>
      <c r="AT72" s="2194"/>
      <c r="AU72" s="2194"/>
      <c r="AV72" s="2194"/>
      <c r="AW72" s="2194"/>
      <c r="AX72" s="2194"/>
      <c r="AY72" s="2194"/>
      <c r="AZ72" s="2194"/>
      <c r="BA72" s="2194"/>
      <c r="BB72" s="2194"/>
      <c r="BC72" s="2194"/>
      <c r="BD72" s="2194"/>
      <c r="BE72" s="2194"/>
      <c r="BF72" s="2194"/>
      <c r="BG72" s="2194"/>
      <c r="BH72" s="2194"/>
      <c r="BI72" s="2194"/>
      <c r="BJ72" s="2194"/>
      <c r="BK72" s="2194"/>
      <c r="BL72" s="2194"/>
      <c r="BM72" s="2194"/>
      <c r="BN72" s="2194"/>
      <c r="BO72" s="2194"/>
      <c r="BP72" s="2194"/>
      <c r="BQ72" s="2194"/>
      <c r="BR72" s="2194"/>
      <c r="BS72" s="2194"/>
      <c r="BT72" s="2194"/>
      <c r="BU72" s="2194"/>
      <c r="BV72" s="2194"/>
      <c r="BW72" s="2194"/>
      <c r="BX72" s="2194"/>
      <c r="BY72" s="2194"/>
      <c r="BZ72" s="2194"/>
      <c r="CA72" s="2194"/>
      <c r="CB72" s="2195" t="str">
        <f>IF(AND($C72&lt;&gt;0,J72=""),"* No olvide ingresar la variable "&amp;J$51&amp;""&amp;". Digite CERO si no tiene. ",IF(J72&gt;$C72,"* La variable Pueblos Originarios no debe ser mayor al Total Ambos Sexos. ",""))</f>
        <v xml:space="preserve">* La variable Pueblos Originarios no debe ser mayor al Total Ambos Sexos. </v>
      </c>
      <c r="CC72" s="2195" t="str">
        <f>IF(AND($C72&lt;&gt;0,K72=""),"* No olvide ingresar la variable "&amp;K$51&amp;""&amp;" (Digite CERO si no tiene). ",IF(K72&gt;$C72,"* La variable Migrantes no debe ser mayor al Total Ambos Sexos. ",""))</f>
        <v xml:space="preserve">* La variable Migrantes no debe ser mayor al Total Ambos Sexos. </v>
      </c>
      <c r="CD72" s="2194"/>
      <c r="CE72" s="2194"/>
      <c r="CF72" s="99"/>
      <c r="CG72" s="99"/>
      <c r="CH72" s="99"/>
      <c r="CI72" s="99"/>
      <c r="CJ72" s="99"/>
      <c r="CL72" s="55">
        <f>IF(AND($C72&lt;&gt;0,J72=""),1,IF(J72&gt;$C72,1,0))</f>
        <v>1</v>
      </c>
      <c r="CM72" s="55">
        <f>IF(AND($C72&lt;&gt;0,K72=""),1,IF(K72&gt;$C72,1,0))</f>
        <v>1</v>
      </c>
    </row>
    <row r="73" spans="1:91" ht="15" customHeight="1" x14ac:dyDescent="0.25">
      <c r="A73" s="5609" t="s">
        <v>4661</v>
      </c>
      <c r="B73" s="2265" t="s">
        <v>253</v>
      </c>
      <c r="C73" s="2242" t="s">
        <v>4567</v>
      </c>
      <c r="D73" s="2266" t="s">
        <v>4568</v>
      </c>
      <c r="E73" s="2267" t="s">
        <v>4569</v>
      </c>
      <c r="F73" s="328" t="s">
        <v>4570</v>
      </c>
      <c r="G73" s="329" t="s">
        <v>4571</v>
      </c>
      <c r="H73" s="328" t="s">
        <v>4572</v>
      </c>
      <c r="I73" s="2268" t="s">
        <v>4573</v>
      </c>
      <c r="J73" s="2034" t="s">
        <v>4574</v>
      </c>
      <c r="K73" s="1969" t="s">
        <v>4575</v>
      </c>
      <c r="L73" s="2193" t="str">
        <f t="shared" ref="L73:L74" si="19">$CB73&amp;CC73</f>
        <v xml:space="preserve">* La variable Pueblos Originarios no debe ser mayor al Total Ambos Sexos. * La variable Migrantes no debe ser mayor al Total Ambos Sexos. 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2194"/>
      <c r="AR73" s="2194"/>
      <c r="AS73" s="2194"/>
      <c r="AT73" s="2194"/>
      <c r="AU73" s="2194"/>
      <c r="AV73" s="2194"/>
      <c r="AW73" s="2194"/>
      <c r="AX73" s="2194"/>
      <c r="AY73" s="2194"/>
      <c r="AZ73" s="2194"/>
      <c r="BA73" s="2194"/>
      <c r="BB73" s="2194"/>
      <c r="BC73" s="2194"/>
      <c r="BD73" s="2194"/>
      <c r="BE73" s="2194"/>
      <c r="BF73" s="2194"/>
      <c r="BG73" s="2194"/>
      <c r="BH73" s="2194"/>
      <c r="BI73" s="2194"/>
      <c r="BJ73" s="2194"/>
      <c r="BK73" s="2194"/>
      <c r="BL73" s="2194"/>
      <c r="BM73" s="2194"/>
      <c r="BN73" s="2194"/>
      <c r="BO73" s="2194"/>
      <c r="BP73" s="2194"/>
      <c r="BQ73" s="2194"/>
      <c r="BR73" s="2194"/>
      <c r="BS73" s="2194"/>
      <c r="BT73" s="2194"/>
      <c r="BU73" s="2194"/>
      <c r="BV73" s="2194"/>
      <c r="BW73" s="2194"/>
      <c r="BX73" s="2194"/>
      <c r="BY73" s="2194"/>
      <c r="BZ73" s="2194"/>
      <c r="CA73" s="2194"/>
      <c r="CB73" s="2195" t="str">
        <f t="shared" ref="CB73:CB74" si="20">IF(AND($C73&lt;&gt;0,J73=""),"* No olvide ingresar la variable "&amp;J$51&amp;""&amp;". Digite CERO si no tiene. ",IF(J73&gt;$C73,"* La variable Pueblos Originarios no debe ser mayor al Total Ambos Sexos. ",""))</f>
        <v xml:space="preserve">* La variable Pueblos Originarios no debe ser mayor al Total Ambos Sexos. </v>
      </c>
      <c r="CC73" s="2195" t="str">
        <f t="shared" ref="CC73" si="21">IF(AND($C73&lt;&gt;0,K73=""),"* No olvide ingresar la variable "&amp;K$51&amp;""&amp;" (Digite CERO si no tiene). ",IF(K73&gt;$C73,"* La variable Migrantes no debe ser mayor al Total Ambos Sexos. ",""))</f>
        <v xml:space="preserve">* La variable Migrantes no debe ser mayor al Total Ambos Sexos. </v>
      </c>
      <c r="CD73" s="2194"/>
      <c r="CE73" s="2194"/>
      <c r="CF73" s="99"/>
      <c r="CG73" s="99"/>
      <c r="CH73" s="99"/>
      <c r="CI73" s="99"/>
      <c r="CJ73" s="99"/>
      <c r="CL73" s="55">
        <f t="shared" ref="CL73:CM74" si="22">IF(AND($C73&lt;&gt;0,J73=""),1,IF(J73&gt;$C73,1,0))</f>
        <v>1</v>
      </c>
      <c r="CM73" s="55">
        <f t="shared" si="22"/>
        <v>1</v>
      </c>
    </row>
    <row r="74" spans="1:91" ht="15" customHeight="1" x14ac:dyDescent="0.25">
      <c r="A74" s="5609" t="s">
        <v>4662</v>
      </c>
      <c r="B74" s="2243" t="s">
        <v>272</v>
      </c>
      <c r="C74" s="2244" t="s">
        <v>4567</v>
      </c>
      <c r="D74" s="2269" t="s">
        <v>4568</v>
      </c>
      <c r="E74" s="2270" t="s">
        <v>4569</v>
      </c>
      <c r="F74" s="853" t="s">
        <v>4570</v>
      </c>
      <c r="G74" s="854" t="s">
        <v>4571</v>
      </c>
      <c r="H74" s="853" t="s">
        <v>4572</v>
      </c>
      <c r="I74" s="1878" t="s">
        <v>4573</v>
      </c>
      <c r="J74" s="1877" t="s">
        <v>4574</v>
      </c>
      <c r="K74" s="1975" t="s">
        <v>4575</v>
      </c>
      <c r="L74" s="2193" t="str">
        <f t="shared" si="19"/>
        <v xml:space="preserve">* La variable Pueblos Originarios no debe ser mayor al Total Ambos Sexos. * La variable Migrantes no debe ser mayor al Total Ambos Sexos. 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2194"/>
      <c r="AR74" s="2194"/>
      <c r="AS74" s="2194"/>
      <c r="AT74" s="2194"/>
      <c r="AU74" s="2194"/>
      <c r="AV74" s="2194"/>
      <c r="AW74" s="2194"/>
      <c r="AX74" s="2194"/>
      <c r="AY74" s="2194"/>
      <c r="AZ74" s="2194"/>
      <c r="BA74" s="2194"/>
      <c r="BB74" s="2194"/>
      <c r="BC74" s="2194"/>
      <c r="BD74" s="2194"/>
      <c r="BE74" s="2194"/>
      <c r="BF74" s="2194"/>
      <c r="BG74" s="2194"/>
      <c r="BH74" s="2194"/>
      <c r="BI74" s="2194"/>
      <c r="BJ74" s="2194"/>
      <c r="BK74" s="2194"/>
      <c r="BL74" s="2194"/>
      <c r="BM74" s="2194"/>
      <c r="BN74" s="2194"/>
      <c r="BO74" s="2194"/>
      <c r="BP74" s="2194"/>
      <c r="BQ74" s="2194"/>
      <c r="BR74" s="2194"/>
      <c r="BS74" s="2194"/>
      <c r="BT74" s="2194"/>
      <c r="BU74" s="2194"/>
      <c r="BV74" s="2194"/>
      <c r="BW74" s="2194"/>
      <c r="BX74" s="2194"/>
      <c r="BY74" s="2194"/>
      <c r="BZ74" s="2194"/>
      <c r="CA74" s="2194"/>
      <c r="CB74" s="2195" t="str">
        <f t="shared" si="20"/>
        <v xml:space="preserve">* La variable Pueblos Originarios no debe ser mayor al Total Ambos Sexos. </v>
      </c>
      <c r="CC74" s="2195" t="str">
        <f>IF(AND($C74&lt;&gt;0,K74=""),"* No olvide ingresar la variable "&amp;K$51&amp;""&amp;" (Digite CERO si no tiene). ",IF(K74&gt;$C74,"* La variable Migrantes no debe ser mayor al Total Ambos Sexos. ",""))</f>
        <v xml:space="preserve">* La variable Migrantes no debe ser mayor al Total Ambos Sexos. </v>
      </c>
      <c r="CD74" s="2194"/>
      <c r="CE74" s="2194"/>
      <c r="CF74" s="99"/>
      <c r="CG74" s="99"/>
      <c r="CH74" s="99"/>
      <c r="CI74" s="99"/>
      <c r="CJ74" s="99"/>
      <c r="CL74" s="55">
        <f t="shared" si="22"/>
        <v>1</v>
      </c>
      <c r="CM74" s="55">
        <f t="shared" si="22"/>
        <v>1</v>
      </c>
    </row>
    <row r="75" spans="1:91" ht="18" customHeight="1" x14ac:dyDescent="0.25">
      <c r="A75" s="5548"/>
      <c r="B75" s="11" t="s">
        <v>273</v>
      </c>
      <c r="C75" s="2147"/>
      <c r="D75" s="2147"/>
      <c r="E75" s="2147"/>
      <c r="F75" s="2147"/>
      <c r="G75" s="2147"/>
      <c r="H75" s="2147"/>
    </row>
    <row r="76" spans="1:91" ht="18" customHeight="1" x14ac:dyDescent="0.25">
      <c r="A76" s="5548"/>
      <c r="B76" s="11" t="s">
        <v>4331</v>
      </c>
      <c r="C76" s="2271"/>
      <c r="D76" s="2271"/>
      <c r="E76" s="2271"/>
      <c r="F76" s="2271"/>
      <c r="G76" s="2271"/>
      <c r="H76" s="2271"/>
    </row>
    <row r="77" spans="1:91" ht="15" customHeight="1" x14ac:dyDescent="0.25">
      <c r="A77" s="5548"/>
      <c r="B77" s="6118" t="s">
        <v>196</v>
      </c>
      <c r="C77" s="6118" t="s">
        <v>77</v>
      </c>
    </row>
    <row r="78" spans="1:91" ht="15" customHeight="1" x14ac:dyDescent="0.25">
      <c r="A78" s="5548"/>
      <c r="B78" s="6119"/>
      <c r="C78" s="6093"/>
    </row>
    <row r="79" spans="1:91" ht="15" customHeight="1" x14ac:dyDescent="0.25">
      <c r="A79" s="5548"/>
      <c r="B79" s="6093"/>
      <c r="C79" s="2272">
        <f>SUM(C80:C83)</f>
        <v>0</v>
      </c>
    </row>
    <row r="80" spans="1:91" ht="15" customHeight="1" x14ac:dyDescent="0.25">
      <c r="A80" s="5601" t="s">
        <v>4663</v>
      </c>
      <c r="B80" s="295" t="s">
        <v>274</v>
      </c>
      <c r="C80" s="2036" t="s">
        <v>4567</v>
      </c>
    </row>
    <row r="81" spans="1:94" ht="15" customHeight="1" x14ac:dyDescent="0.25">
      <c r="A81" s="5601" t="s">
        <v>4664</v>
      </c>
      <c r="B81" s="357" t="s">
        <v>199</v>
      </c>
      <c r="C81" s="2037" t="s">
        <v>4567</v>
      </c>
    </row>
    <row r="82" spans="1:94" ht="15" customHeight="1" x14ac:dyDescent="0.25">
      <c r="A82" s="5601" t="s">
        <v>4665</v>
      </c>
      <c r="B82" s="357" t="s">
        <v>197</v>
      </c>
      <c r="C82" s="2037" t="s">
        <v>4567</v>
      </c>
    </row>
    <row r="83" spans="1:94" ht="15" customHeight="1" x14ac:dyDescent="0.25">
      <c r="A83" s="5601" t="s">
        <v>4666</v>
      </c>
      <c r="B83" s="517" t="s">
        <v>275</v>
      </c>
      <c r="C83" s="1920" t="s">
        <v>4567</v>
      </c>
    </row>
    <row r="84" spans="1:94" ht="18" customHeight="1" x14ac:dyDescent="0.25">
      <c r="B84" s="1" t="s">
        <v>276</v>
      </c>
    </row>
    <row r="85" spans="1:94" ht="52.5" x14ac:dyDescent="0.25">
      <c r="B85" s="2273" t="s">
        <v>277</v>
      </c>
      <c r="C85" s="2274" t="s">
        <v>278</v>
      </c>
      <c r="D85" s="2163" t="s">
        <v>279</v>
      </c>
      <c r="E85" s="2185" t="s">
        <v>4332</v>
      </c>
      <c r="F85" s="2185" t="s">
        <v>280</v>
      </c>
      <c r="G85" s="2275" t="s">
        <v>281</v>
      </c>
    </row>
    <row r="86" spans="1:94" ht="15" customHeight="1" x14ac:dyDescent="0.25">
      <c r="A86" s="5601" t="s">
        <v>4667</v>
      </c>
      <c r="B86" s="2276" t="s">
        <v>282</v>
      </c>
      <c r="C86" s="2277" t="s">
        <v>4567</v>
      </c>
      <c r="D86" s="2175" t="s">
        <v>4568</v>
      </c>
      <c r="E86" s="1862" t="s">
        <v>4569</v>
      </c>
      <c r="F86" s="1862" t="s">
        <v>4570</v>
      </c>
      <c r="G86" s="1962" t="s">
        <v>4571</v>
      </c>
      <c r="H86" s="2193" t="str">
        <f>$CB86&amp;CC86&amp;CD86&amp;CE86&amp;CF86</f>
        <v xml:space="preserve">* Las Aplicaciones de EPSA con resultado de Riesgo psicosocial NO DEBE ser MAYOR que el Total de las Aplicaciones. * Las Aplicaciones de EPSA con resultado de Riesgo psicosocial NO DEBE ser MENOR que la variable Plan de equipo de cabecera en gestantes con 3 o más riesgos psicosociales. * Las Aplicaciones de EPSA asociadas a Violencia de Género NO DEBEN ser MAYOR al Total de Aplicaciones. * Las Aplicaciones de EPSA asociadas a 3 o más riesgos psicosociales NO DEBEN ser MAYOR al Total de Aplicaciones. * La variable Plan de equipo de cabecera en gestantes con 3 o más riesgos psicosociales NO DEBE ser MAYOR al Total de Aplicaciones. </v>
      </c>
      <c r="CB86" s="2195" t="str">
        <f>IF(CL86=1,"* Las Aplicaciones de EPSA con resultado de Riesgo psicosocial NO DEBE ser MAYOR que el Total de las Aplicaciones. ","")</f>
        <v xml:space="preserve">* Las Aplicaciones de EPSA con resultado de Riesgo psicosocial NO DEBE ser MAYOR que el Total de las Aplicaciones. </v>
      </c>
      <c r="CC86" s="2278" t="str">
        <f>IF(CM86=1,"* Las Aplicaciones de EPSA con resultado de Riesgo psicosocial NO DEBE ser MENOR que la variable Plan de equipo de cabecera en gestantes con 3 o más riesgos psicosociales. ","")</f>
        <v xml:space="preserve">* Las Aplicaciones de EPSA con resultado de Riesgo psicosocial NO DEBE ser MENOR que la variable Plan de equipo de cabecera en gestantes con 3 o más riesgos psicosociales. </v>
      </c>
      <c r="CD86" s="2278" t="str">
        <f>IF(CN86=1,"* Las Aplicaciones de EPSA asociadas a Violencia de Género NO DEBEN ser MAYOR al Total de Aplicaciones. ","")</f>
        <v xml:space="preserve">* Las Aplicaciones de EPSA asociadas a Violencia de Género NO DEBEN ser MAYOR al Total de Aplicaciones. </v>
      </c>
      <c r="CE86" s="2278" t="str">
        <f>IF(CO86=1,"* Las Aplicaciones de EPSA asociadas a 3 o más riesgos psicosociales NO DEBEN ser MAYOR al Total de Aplicaciones. ","")</f>
        <v xml:space="preserve">* Las Aplicaciones de EPSA asociadas a 3 o más riesgos psicosociales NO DEBEN ser MAYOR al Total de Aplicaciones. </v>
      </c>
      <c r="CF86" s="2278" t="str">
        <f>IF(CP86=1,"* La variable Plan de equipo de cabecera en gestantes con 3 o más riesgos psicosociales NO DEBE ser MAYOR al Total de Aplicaciones. ","")</f>
        <v xml:space="preserve">* La variable Plan de equipo de cabecera en gestantes con 3 o más riesgos psicosociales NO DEBE ser MAYOR al Total de Aplicaciones. </v>
      </c>
      <c r="CG86" s="2279"/>
      <c r="CH86" s="2279"/>
      <c r="CI86" s="2279"/>
      <c r="CJ86" s="2279"/>
      <c r="CK86" s="2279"/>
      <c r="CL86" s="2280">
        <f>IF(C86&lt;D86,1,0)</f>
        <v>1</v>
      </c>
      <c r="CM86" s="2280">
        <f>IF(D86&lt;G86,1,0)</f>
        <v>1</v>
      </c>
      <c r="CN86" s="2280">
        <f t="shared" ref="CN86:CP87" si="23">IF(E86&gt;$C86,1,0)</f>
        <v>1</v>
      </c>
      <c r="CO86" s="2280">
        <f t="shared" si="23"/>
        <v>1</v>
      </c>
      <c r="CP86" s="2280">
        <f t="shared" si="23"/>
        <v>1</v>
      </c>
    </row>
    <row r="87" spans="1:94" ht="15" customHeight="1" x14ac:dyDescent="0.25">
      <c r="A87" s="5601" t="s">
        <v>4668</v>
      </c>
      <c r="B87" s="2281" t="s">
        <v>283</v>
      </c>
      <c r="C87" s="2282" t="s">
        <v>4567</v>
      </c>
      <c r="D87" s="1906" t="s">
        <v>4568</v>
      </c>
      <c r="E87" s="1880" t="s">
        <v>4569</v>
      </c>
      <c r="F87" s="1880" t="s">
        <v>4570</v>
      </c>
      <c r="G87" s="324" t="s">
        <v>4571</v>
      </c>
      <c r="H87" s="2193" t="str">
        <f>$CB87&amp;CC87&amp;CD87&amp;CE87&amp;CF87</f>
        <v xml:space="preserve">* Las Aplicaciones de EPSA con resultado de Riesgo psicosocial NO DEBE ser MAYOR que el Total de las Aplicaciones. * Las Aplicaciones de EPSA con resultado de Riesgo psicosocial NO DEBE ser MENOR que la variable Plan de equipo de cabecera en gestantes con 3 o más riesgos psicosociales. * Las Aplicaciones de EPSA asociadas a Violencia de Género NO DEBEN ser MAYOR al Total de Aplicaciones. * Las Aplicaciones de EPSA asociadas a 3 o más riesgos psicosociales NO DEBEN ser MAYOR al Total de Aplicaciones. * La variable Plan de equipo de cabecera en gestantes con 3 o más riesgos psicosociales NO DEBE ser MAYOR al Total de Aplicaciones. </v>
      </c>
      <c r="CB87" s="2195" t="str">
        <f>IF(CL87=1,"* Las Aplicaciones de EPSA con resultado de Riesgo psicosocial NO DEBE ser MAYOR que el Total de las Aplicaciones. ","")</f>
        <v xml:space="preserve">* Las Aplicaciones de EPSA con resultado de Riesgo psicosocial NO DEBE ser MAYOR que el Total de las Aplicaciones. </v>
      </c>
      <c r="CC87" s="2278" t="str">
        <f>IF(CM87=1,"* Las Aplicaciones de EPSA con resultado de Riesgo psicosocial NO DEBE ser MENOR que la variable Plan de equipo de cabecera en gestantes con 3 o más riesgos psicosociales. ","")</f>
        <v xml:space="preserve">* Las Aplicaciones de EPSA con resultado de Riesgo psicosocial NO DEBE ser MENOR que la variable Plan de equipo de cabecera en gestantes con 3 o más riesgos psicosociales. </v>
      </c>
      <c r="CD87" s="2278" t="str">
        <f>IF(CN87=1,"* Las Aplicaciones de EPSA asociadas a Violencia de Género NO DEBEN ser MAYOR al Total de Aplicaciones. ","")</f>
        <v xml:space="preserve">* Las Aplicaciones de EPSA asociadas a Violencia de Género NO DEBEN ser MAYOR al Total de Aplicaciones. </v>
      </c>
      <c r="CE87" s="2278" t="str">
        <f>IF(CO87=1,"* Las Aplicaciones de EPSA asociadas a 3 o más riesgos psicosociales NO DEBEN ser MAYOR al Total de Aplicaciones. ","")</f>
        <v xml:space="preserve">* Las Aplicaciones de EPSA asociadas a 3 o más riesgos psicosociales NO DEBEN ser MAYOR al Total de Aplicaciones. </v>
      </c>
      <c r="CF87" s="2278" t="str">
        <f>IF(CP87=1,"* La variable Plan de equipo de cabecera en gestantes con 3 o más riesgos psicosociales NO DEBE ser MAYOR al Total de Aplicaciones. ","")</f>
        <v xml:space="preserve">* La variable Plan de equipo de cabecera en gestantes con 3 o más riesgos psicosociales NO DEBE ser MAYOR al Total de Aplicaciones. </v>
      </c>
      <c r="CG87" s="2279"/>
      <c r="CH87" s="2279"/>
      <c r="CI87" s="2279"/>
      <c r="CJ87" s="2279"/>
      <c r="CK87" s="2279"/>
      <c r="CL87" s="2280">
        <f>IF(C87&lt;D87,1,0)</f>
        <v>1</v>
      </c>
      <c r="CM87" s="2280">
        <f>IF(D87&lt;G87,1,0)</f>
        <v>1</v>
      </c>
      <c r="CN87" s="2280">
        <f t="shared" si="23"/>
        <v>1</v>
      </c>
      <c r="CO87" s="2280">
        <f t="shared" si="23"/>
        <v>1</v>
      </c>
      <c r="CP87" s="2280">
        <f t="shared" si="23"/>
        <v>1</v>
      </c>
    </row>
    <row r="88" spans="1:94" ht="18" customHeight="1" x14ac:dyDescent="0.25">
      <c r="A88" s="5548"/>
      <c r="B88" s="1" t="s">
        <v>284</v>
      </c>
      <c r="C88" s="2157"/>
      <c r="D88" s="2157"/>
      <c r="E88" s="2157"/>
      <c r="F88" s="2157"/>
      <c r="G88" s="2271"/>
    </row>
    <row r="89" spans="1:94" ht="39" customHeight="1" x14ac:dyDescent="0.25">
      <c r="A89" s="5548"/>
      <c r="B89" s="6147" t="s">
        <v>285</v>
      </c>
      <c r="C89" s="6149"/>
      <c r="D89" s="2163" t="s">
        <v>286</v>
      </c>
      <c r="E89" s="2185" t="s">
        <v>287</v>
      </c>
      <c r="F89" s="2185" t="s">
        <v>288</v>
      </c>
      <c r="G89" s="2185" t="s">
        <v>289</v>
      </c>
      <c r="H89" s="2245" t="s">
        <v>290</v>
      </c>
      <c r="I89" s="2162" t="s">
        <v>291</v>
      </c>
    </row>
    <row r="90" spans="1:94" ht="24" customHeight="1" x14ac:dyDescent="0.25">
      <c r="A90" s="5609" t="s">
        <v>4669</v>
      </c>
      <c r="B90" s="6345" t="s">
        <v>292</v>
      </c>
      <c r="C90" s="2283" t="s">
        <v>293</v>
      </c>
      <c r="D90" s="2249" t="s">
        <v>4567</v>
      </c>
      <c r="E90" s="1898" t="s">
        <v>4568</v>
      </c>
      <c r="F90" s="1898" t="s">
        <v>4569</v>
      </c>
      <c r="G90" s="1862" t="s">
        <v>4570</v>
      </c>
      <c r="H90" s="1910" t="s">
        <v>4571</v>
      </c>
      <c r="I90" s="2176" t="s">
        <v>4572</v>
      </c>
      <c r="J90" s="2193" t="str">
        <f>$CB90</f>
        <v xml:space="preserve">* La variable Casos alterados derivados a Salud Mental no debe ser mayor al Total de Aplicaciones. </v>
      </c>
      <c r="CB90" s="2195" t="str">
        <f>IF(AND($D90&lt;&gt;0,I90=""),"* No olvide ingresar la variable "&amp;I$89&amp;""&amp;". Digite CERO si no tiene. ",IF(I90&gt;$D90,"* La variable Casos alterados derivados a Salud Mental no debe ser mayor al Total de Aplicaciones. ",""))</f>
        <v xml:space="preserve">* La variable Casos alterados derivados a Salud Mental no debe ser mayor al Total de Aplicaciones. </v>
      </c>
      <c r="CC90" s="2194"/>
      <c r="CD90" s="2194"/>
      <c r="CE90" s="2194"/>
      <c r="CF90" s="99"/>
      <c r="CG90" s="99"/>
      <c r="CH90" s="99"/>
      <c r="CI90" s="99"/>
      <c r="CJ90" s="99"/>
      <c r="CL90" s="55">
        <f>IF(AND($D90&lt;&gt;0,I90=""),1,IF(I90&gt;$D90,1,0))</f>
        <v>1</v>
      </c>
    </row>
    <row r="91" spans="1:94" ht="21.6" customHeight="1" x14ac:dyDescent="0.25">
      <c r="A91" s="5609" t="s">
        <v>4670</v>
      </c>
      <c r="B91" s="6346"/>
      <c r="C91" s="2284" t="s">
        <v>294</v>
      </c>
      <c r="D91" s="1877" t="s">
        <v>4567</v>
      </c>
      <c r="E91" s="1895" t="s">
        <v>4568</v>
      </c>
      <c r="F91" s="1895" t="s">
        <v>4569</v>
      </c>
      <c r="G91" s="1873" t="s">
        <v>4570</v>
      </c>
      <c r="H91" s="1919" t="s">
        <v>4571</v>
      </c>
      <c r="I91" s="854" t="s">
        <v>4572</v>
      </c>
      <c r="J91" s="2193" t="str">
        <f t="shared" ref="J91:J92" si="24">$CB91</f>
        <v xml:space="preserve">* La variable Casos alterados derivados a Salud Mental no debe ser mayor al Total de Aplicaciones. </v>
      </c>
      <c r="CB91" s="2195" t="str">
        <f t="shared" ref="CB91:CB93" si="25">IF(AND($D91&lt;&gt;0,I91=""),"* No olvide ingresar la variable "&amp;I$89&amp;""&amp;". Digite CERO si no tiene. ",IF(I91&gt;$D91,"* La variable Casos alterados derivados a Salud Mental no debe ser mayor al Total de Aplicaciones. ",""))</f>
        <v xml:space="preserve">* La variable Casos alterados derivados a Salud Mental no debe ser mayor al Total de Aplicaciones. </v>
      </c>
      <c r="CC91" s="2194"/>
      <c r="CD91" s="2194"/>
      <c r="CE91" s="2194"/>
      <c r="CF91" s="99"/>
      <c r="CG91" s="99"/>
      <c r="CH91" s="99"/>
      <c r="CI91" s="99"/>
      <c r="CJ91" s="99"/>
      <c r="CL91" s="55">
        <f t="shared" ref="CL91:CL92" si="26">IF(AND($D91&lt;&gt;0,I91=""),1,IF(I91&gt;$D91,1,0))</f>
        <v>1</v>
      </c>
    </row>
    <row r="92" spans="1:94" ht="15" customHeight="1" x14ac:dyDescent="0.25">
      <c r="A92" s="5601" t="s">
        <v>4671</v>
      </c>
      <c r="B92" s="6112" t="s">
        <v>4333</v>
      </c>
      <c r="C92" s="399" t="s">
        <v>295</v>
      </c>
      <c r="D92" s="2175" t="s">
        <v>4567</v>
      </c>
      <c r="E92" s="1862" t="s">
        <v>4568</v>
      </c>
      <c r="F92" s="1862" t="s">
        <v>4569</v>
      </c>
      <c r="G92" s="1857" t="s">
        <v>4570</v>
      </c>
      <c r="H92" s="1897" t="s">
        <v>4571</v>
      </c>
      <c r="I92" s="2285" t="s">
        <v>4572</v>
      </c>
      <c r="J92" s="2193" t="str">
        <f t="shared" si="24"/>
        <v xml:space="preserve">* La variable Casos alterados derivados a Salud Mental no debe ser mayor al Total de Aplicaciones. </v>
      </c>
      <c r="CB92" s="2195" t="str">
        <f t="shared" si="25"/>
        <v xml:space="preserve">* La variable Casos alterados derivados a Salud Mental no debe ser mayor al Total de Aplicaciones. </v>
      </c>
      <c r="CC92" s="2194"/>
      <c r="CD92" s="2194"/>
      <c r="CE92" s="2194"/>
      <c r="CF92" s="99"/>
      <c r="CG92" s="99"/>
      <c r="CH92" s="99"/>
      <c r="CI92" s="99"/>
      <c r="CJ92" s="99"/>
      <c r="CL92" s="55">
        <f t="shared" si="26"/>
        <v>1</v>
      </c>
    </row>
    <row r="93" spans="1:94" ht="15" customHeight="1" x14ac:dyDescent="0.25">
      <c r="A93" s="5601" t="s">
        <v>4672</v>
      </c>
      <c r="B93" s="6113"/>
      <c r="C93" s="2284" t="s">
        <v>296</v>
      </c>
      <c r="D93" s="853" t="s">
        <v>4567</v>
      </c>
      <c r="E93" s="1873" t="s">
        <v>4568</v>
      </c>
      <c r="F93" s="1873" t="s">
        <v>4569</v>
      </c>
      <c r="G93" s="1875" t="s">
        <v>4570</v>
      </c>
      <c r="H93" s="1876" t="s">
        <v>4571</v>
      </c>
      <c r="I93" s="2286" t="s">
        <v>4572</v>
      </c>
      <c r="J93" s="2193" t="str">
        <f>$CB93</f>
        <v xml:space="preserve">* La variable Casos alterados derivados a Salud Mental no debe ser mayor al Total de Aplicaciones. </v>
      </c>
      <c r="CB93" s="2195" t="str">
        <f t="shared" si="25"/>
        <v xml:space="preserve">* La variable Casos alterados derivados a Salud Mental no debe ser mayor al Total de Aplicaciones. </v>
      </c>
      <c r="CC93" s="2194"/>
      <c r="CD93" s="2194"/>
      <c r="CE93" s="2194"/>
      <c r="CF93" s="99"/>
      <c r="CG93" s="99"/>
      <c r="CH93" s="99"/>
      <c r="CI93" s="99"/>
      <c r="CJ93" s="99"/>
      <c r="CL93" s="55">
        <f>IF(AND($D93&lt;&gt;0,I93=""),1,IF(I93&gt;$D93,1,0))</f>
        <v>1</v>
      </c>
    </row>
    <row r="94" spans="1:94" ht="18" customHeight="1" x14ac:dyDescent="0.25">
      <c r="B94" s="1" t="s">
        <v>297</v>
      </c>
      <c r="C94" s="2287"/>
      <c r="D94" s="24"/>
      <c r="E94" s="24"/>
      <c r="F94" s="24"/>
      <c r="G94" s="2148"/>
      <c r="H94" s="2147"/>
      <c r="I94" s="2288"/>
      <c r="J94" s="2148"/>
    </row>
    <row r="95" spans="1:94" ht="15" customHeight="1" x14ac:dyDescent="0.25">
      <c r="A95" s="5613"/>
      <c r="B95" s="6148" t="s">
        <v>196</v>
      </c>
      <c r="C95" s="6149"/>
      <c r="D95" s="6155" t="s">
        <v>77</v>
      </c>
      <c r="E95" s="6260"/>
      <c r="F95" s="6156"/>
      <c r="G95" s="6155" t="s">
        <v>94</v>
      </c>
      <c r="H95" s="6156"/>
      <c r="I95" s="6155" t="s">
        <v>44</v>
      </c>
      <c r="J95" s="6156"/>
    </row>
    <row r="96" spans="1:94" ht="15" customHeight="1" x14ac:dyDescent="0.25">
      <c r="A96" s="5613"/>
      <c r="B96" s="6150"/>
      <c r="C96" s="6028"/>
      <c r="D96" s="2163" t="s">
        <v>79</v>
      </c>
      <c r="E96" s="2164" t="s">
        <v>58</v>
      </c>
      <c r="F96" s="2162" t="s">
        <v>59</v>
      </c>
      <c r="G96" s="2163" t="s">
        <v>58</v>
      </c>
      <c r="H96" s="2162" t="s">
        <v>59</v>
      </c>
      <c r="I96" s="2163" t="s">
        <v>58</v>
      </c>
      <c r="J96" s="2162" t="s">
        <v>59</v>
      </c>
    </row>
    <row r="97" spans="1:91" ht="15" customHeight="1" x14ac:dyDescent="0.25">
      <c r="A97" s="5614"/>
      <c r="B97" s="6155" t="s">
        <v>77</v>
      </c>
      <c r="C97" s="6156"/>
      <c r="D97" s="2235">
        <f t="shared" ref="D97:J97" si="27">SUM(D98:D102)</f>
        <v>0</v>
      </c>
      <c r="E97" s="2289">
        <f t="shared" si="27"/>
        <v>0</v>
      </c>
      <c r="F97" s="2236">
        <f t="shared" si="27"/>
        <v>0</v>
      </c>
      <c r="G97" s="2235">
        <f>SUM(G98:G102)</f>
        <v>0</v>
      </c>
      <c r="H97" s="2236">
        <f t="shared" si="27"/>
        <v>0</v>
      </c>
      <c r="I97" s="2235">
        <f t="shared" si="27"/>
        <v>0</v>
      </c>
      <c r="J97" s="2236">
        <f t="shared" si="27"/>
        <v>0</v>
      </c>
    </row>
    <row r="98" spans="1:91" ht="15" customHeight="1" x14ac:dyDescent="0.25">
      <c r="A98" s="5609" t="s">
        <v>4673</v>
      </c>
      <c r="B98" s="6343" t="s">
        <v>197</v>
      </c>
      <c r="C98" s="6344"/>
      <c r="D98" s="2290" t="s">
        <v>4567</v>
      </c>
      <c r="E98" s="2291" t="s">
        <v>4568</v>
      </c>
      <c r="F98" s="2221" t="s">
        <v>4569</v>
      </c>
      <c r="G98" s="2175" t="s">
        <v>4570</v>
      </c>
      <c r="H98" s="2176" t="s">
        <v>4571</v>
      </c>
      <c r="I98" s="2175" t="s">
        <v>4572</v>
      </c>
      <c r="J98" s="1962" t="s">
        <v>4573</v>
      </c>
    </row>
    <row r="99" spans="1:91" ht="15" customHeight="1" x14ac:dyDescent="0.25">
      <c r="A99" s="5609" t="s">
        <v>4674</v>
      </c>
      <c r="B99" s="6321" t="s">
        <v>275</v>
      </c>
      <c r="C99" s="6236"/>
      <c r="D99" s="299" t="s">
        <v>4567</v>
      </c>
      <c r="E99" s="2292" t="s">
        <v>4568</v>
      </c>
      <c r="F99" s="146" t="s">
        <v>4569</v>
      </c>
      <c r="G99" s="326" t="s">
        <v>4570</v>
      </c>
      <c r="H99" s="142" t="s">
        <v>4571</v>
      </c>
      <c r="I99" s="326" t="s">
        <v>4572</v>
      </c>
      <c r="J99" s="882" t="s">
        <v>4573</v>
      </c>
    </row>
    <row r="100" spans="1:91" ht="15" customHeight="1" x14ac:dyDescent="0.25">
      <c r="A100" s="5609" t="s">
        <v>4675</v>
      </c>
      <c r="B100" s="6321" t="s">
        <v>199</v>
      </c>
      <c r="C100" s="6236"/>
      <c r="D100" s="299" t="s">
        <v>4567</v>
      </c>
      <c r="E100" s="2292" t="s">
        <v>4568</v>
      </c>
      <c r="F100" s="146" t="s">
        <v>4569</v>
      </c>
      <c r="G100" s="328" t="s">
        <v>4570</v>
      </c>
      <c r="H100" s="329" t="s">
        <v>4571</v>
      </c>
      <c r="I100" s="328" t="s">
        <v>4572</v>
      </c>
      <c r="J100" s="1969" t="s">
        <v>4573</v>
      </c>
    </row>
    <row r="101" spans="1:91" ht="15" customHeight="1" x14ac:dyDescent="0.25">
      <c r="A101" s="5609" t="s">
        <v>4676</v>
      </c>
      <c r="B101" s="6322" t="s">
        <v>200</v>
      </c>
      <c r="C101" s="6323"/>
      <c r="D101" s="197" t="s">
        <v>4567</v>
      </c>
      <c r="E101" s="485" t="s">
        <v>4568</v>
      </c>
      <c r="F101" s="62" t="s">
        <v>4569</v>
      </c>
      <c r="G101" s="212" t="s">
        <v>4570</v>
      </c>
      <c r="H101" s="34" t="s">
        <v>4571</v>
      </c>
      <c r="I101" s="212" t="s">
        <v>4572</v>
      </c>
      <c r="J101" s="1136" t="s">
        <v>4573</v>
      </c>
    </row>
    <row r="102" spans="1:91" ht="15" customHeight="1" x14ac:dyDescent="0.25">
      <c r="A102" s="5609" t="s">
        <v>4677</v>
      </c>
      <c r="B102" s="6324" t="s">
        <v>298</v>
      </c>
      <c r="C102" s="6325"/>
      <c r="D102" s="482" t="s">
        <v>4567</v>
      </c>
      <c r="E102" s="483" t="s">
        <v>4568</v>
      </c>
      <c r="F102" s="484" t="s">
        <v>4569</v>
      </c>
      <c r="G102" s="853" t="s">
        <v>4570</v>
      </c>
      <c r="H102" s="854" t="s">
        <v>4571</v>
      </c>
      <c r="I102" s="853" t="s">
        <v>4572</v>
      </c>
      <c r="J102" s="1975" t="s">
        <v>4573</v>
      </c>
    </row>
    <row r="103" spans="1:91" ht="18" customHeight="1" x14ac:dyDescent="0.25">
      <c r="A103" s="5548"/>
      <c r="B103" s="6326" t="s">
        <v>299</v>
      </c>
      <c r="C103" s="6326"/>
      <c r="D103" s="6326"/>
      <c r="E103" s="6326"/>
      <c r="F103" s="6326"/>
      <c r="G103" s="6326"/>
      <c r="H103" s="6326"/>
      <c r="I103" s="6326"/>
      <c r="J103" s="6326"/>
      <c r="K103" s="6326"/>
      <c r="L103" s="6326"/>
      <c r="M103" s="6326"/>
      <c r="N103" s="6326"/>
      <c r="O103" s="6326"/>
      <c r="P103" s="6326"/>
      <c r="Q103" s="6326"/>
      <c r="R103" s="2293"/>
      <c r="S103" s="2148"/>
      <c r="T103" s="2148"/>
      <c r="U103" s="2148"/>
      <c r="V103" s="2148"/>
    </row>
    <row r="104" spans="1:91" ht="18" customHeight="1" x14ac:dyDescent="0.25">
      <c r="A104" s="5548"/>
      <c r="B104" s="6327" t="s">
        <v>300</v>
      </c>
      <c r="C104" s="6327"/>
      <c r="D104" s="6327"/>
      <c r="E104" s="6327"/>
      <c r="F104" s="6327"/>
      <c r="G104" s="6327"/>
      <c r="H104" s="6327"/>
      <c r="I104" s="6327"/>
      <c r="J104" s="6327"/>
      <c r="K104" s="6327"/>
      <c r="L104" s="6327"/>
      <c r="M104" s="6327"/>
      <c r="N104" s="6327"/>
      <c r="O104" s="6327"/>
      <c r="P104" s="6327"/>
      <c r="Q104" s="6327"/>
      <c r="R104" s="6327"/>
      <c r="S104" s="2148"/>
      <c r="T104" s="2148"/>
      <c r="U104" s="2148"/>
      <c r="V104" s="2148"/>
    </row>
    <row r="105" spans="1:91" ht="15" customHeight="1" x14ac:dyDescent="0.25">
      <c r="A105" s="5548"/>
      <c r="B105" s="6328" t="s">
        <v>301</v>
      </c>
      <c r="C105" s="6329"/>
      <c r="D105" s="6333" t="s">
        <v>302</v>
      </c>
      <c r="E105" s="6334"/>
      <c r="F105" s="6335"/>
      <c r="G105" s="6336" t="s">
        <v>101</v>
      </c>
      <c r="H105" s="6337"/>
      <c r="I105" s="6337"/>
      <c r="J105" s="6337"/>
      <c r="K105" s="6337"/>
      <c r="L105" s="6337"/>
      <c r="M105" s="6337"/>
      <c r="N105" s="6337"/>
      <c r="O105" s="6337"/>
      <c r="P105" s="6337"/>
      <c r="Q105" s="6337"/>
      <c r="R105" s="6337"/>
      <c r="S105" s="6337"/>
      <c r="T105" s="6337"/>
      <c r="U105" s="6337"/>
      <c r="V105" s="6338"/>
      <c r="W105" s="6205" t="s">
        <v>34</v>
      </c>
      <c r="X105" s="6206" t="s">
        <v>35</v>
      </c>
    </row>
    <row r="106" spans="1:91" ht="15" customHeight="1" x14ac:dyDescent="0.25">
      <c r="A106" s="5548"/>
      <c r="B106" s="6330"/>
      <c r="C106" s="6331"/>
      <c r="D106" s="6064"/>
      <c r="E106" s="6150"/>
      <c r="F106" s="6028"/>
      <c r="G106" s="6339" t="s">
        <v>303</v>
      </c>
      <c r="H106" s="6319"/>
      <c r="I106" s="6319" t="s">
        <v>304</v>
      </c>
      <c r="J106" s="6319"/>
      <c r="K106" s="6319" t="s">
        <v>305</v>
      </c>
      <c r="L106" s="6319"/>
      <c r="M106" s="6319" t="s">
        <v>306</v>
      </c>
      <c r="N106" s="6319"/>
      <c r="O106" s="6319" t="s">
        <v>307</v>
      </c>
      <c r="P106" s="6319"/>
      <c r="Q106" s="6319" t="s">
        <v>308</v>
      </c>
      <c r="R106" s="6319"/>
      <c r="S106" s="6319" t="s">
        <v>309</v>
      </c>
      <c r="T106" s="6319"/>
      <c r="U106" s="6319" t="s">
        <v>57</v>
      </c>
      <c r="V106" s="6320"/>
      <c r="W106" s="6205"/>
      <c r="X106" s="6206"/>
    </row>
    <row r="107" spans="1:91" ht="15" customHeight="1" x14ac:dyDescent="0.25">
      <c r="A107" s="5548"/>
      <c r="B107" s="6332"/>
      <c r="C107" s="6110"/>
      <c r="D107" s="2215" t="s">
        <v>79</v>
      </c>
      <c r="E107" s="2164" t="s">
        <v>58</v>
      </c>
      <c r="F107" s="1742" t="s">
        <v>59</v>
      </c>
      <c r="G107" s="2294" t="s">
        <v>58</v>
      </c>
      <c r="H107" s="2295" t="s">
        <v>59</v>
      </c>
      <c r="I107" s="2296" t="s">
        <v>58</v>
      </c>
      <c r="J107" s="2295" t="s">
        <v>59</v>
      </c>
      <c r="K107" s="2296" t="s">
        <v>58</v>
      </c>
      <c r="L107" s="2295" t="s">
        <v>59</v>
      </c>
      <c r="M107" s="2296" t="s">
        <v>58</v>
      </c>
      <c r="N107" s="2295" t="s">
        <v>59</v>
      </c>
      <c r="O107" s="2296" t="s">
        <v>58</v>
      </c>
      <c r="P107" s="2295" t="s">
        <v>59</v>
      </c>
      <c r="Q107" s="2296" t="s">
        <v>58</v>
      </c>
      <c r="R107" s="2295" t="s">
        <v>59</v>
      </c>
      <c r="S107" s="2296" t="s">
        <v>58</v>
      </c>
      <c r="T107" s="2295" t="s">
        <v>59</v>
      </c>
      <c r="U107" s="2296" t="s">
        <v>58</v>
      </c>
      <c r="V107" s="2297" t="s">
        <v>59</v>
      </c>
      <c r="W107" s="6205"/>
      <c r="X107" s="6206"/>
    </row>
    <row r="108" spans="1:91" ht="15" customHeight="1" x14ac:dyDescent="0.25">
      <c r="A108" s="5601" t="s">
        <v>4678</v>
      </c>
      <c r="B108" s="6315" t="s">
        <v>310</v>
      </c>
      <c r="C108" s="6316"/>
      <c r="D108" s="2298" t="s">
        <v>4567</v>
      </c>
      <c r="E108" s="2299" t="s">
        <v>4568</v>
      </c>
      <c r="F108" s="2174" t="s">
        <v>4569</v>
      </c>
      <c r="G108" s="2300" t="s">
        <v>4570</v>
      </c>
      <c r="H108" s="2301" t="s">
        <v>4571</v>
      </c>
      <c r="I108" s="2300" t="s">
        <v>4572</v>
      </c>
      <c r="J108" s="2301" t="s">
        <v>4573</v>
      </c>
      <c r="K108" s="2175" t="s">
        <v>4574</v>
      </c>
      <c r="L108" s="1962" t="s">
        <v>4575</v>
      </c>
      <c r="M108" s="2175" t="s">
        <v>4576</v>
      </c>
      <c r="N108" s="1962" t="s">
        <v>4577</v>
      </c>
      <c r="O108" s="2175" t="s">
        <v>4578</v>
      </c>
      <c r="P108" s="1962" t="s">
        <v>4579</v>
      </c>
      <c r="Q108" s="2204" t="s">
        <v>4580</v>
      </c>
      <c r="R108" s="1962" t="s">
        <v>4581</v>
      </c>
      <c r="S108" s="2204" t="s">
        <v>4582</v>
      </c>
      <c r="T108" s="1962" t="s">
        <v>4583</v>
      </c>
      <c r="U108" s="2204" t="s">
        <v>4584</v>
      </c>
      <c r="V108" s="2205" t="s">
        <v>4585</v>
      </c>
      <c r="W108" s="2302" t="s">
        <v>4586</v>
      </c>
      <c r="X108" s="2303" t="s">
        <v>4587</v>
      </c>
      <c r="Y108" s="1936"/>
      <c r="CB108" s="2194"/>
      <c r="CC108" s="2194"/>
      <c r="CD108" s="2194"/>
      <c r="CE108" s="2194"/>
      <c r="CF108" s="99"/>
      <c r="CG108" s="99"/>
      <c r="CH108" s="99"/>
      <c r="CI108" s="99"/>
      <c r="CJ108" s="99"/>
    </row>
    <row r="109" spans="1:91" ht="15" customHeight="1" x14ac:dyDescent="0.25">
      <c r="A109" s="5601" t="s">
        <v>4679</v>
      </c>
      <c r="B109" s="6317" t="s">
        <v>311</v>
      </c>
      <c r="C109" s="6318"/>
      <c r="D109" s="2304" t="s">
        <v>4567</v>
      </c>
      <c r="E109" s="2305" t="s">
        <v>4568</v>
      </c>
      <c r="F109" s="344" t="s">
        <v>4569</v>
      </c>
      <c r="G109" s="2306" t="s">
        <v>4570</v>
      </c>
      <c r="H109" s="2307" t="s">
        <v>4571</v>
      </c>
      <c r="I109" s="2306" t="s">
        <v>4572</v>
      </c>
      <c r="J109" s="2308" t="s">
        <v>4573</v>
      </c>
      <c r="K109" s="328" t="s">
        <v>4574</v>
      </c>
      <c r="L109" s="1969" t="s">
        <v>4575</v>
      </c>
      <c r="M109" s="328" t="s">
        <v>4576</v>
      </c>
      <c r="N109" s="1969" t="s">
        <v>4577</v>
      </c>
      <c r="O109" s="328" t="s">
        <v>4578</v>
      </c>
      <c r="P109" s="1969" t="s">
        <v>4579</v>
      </c>
      <c r="Q109" s="2200" t="s">
        <v>4580</v>
      </c>
      <c r="R109" s="1969" t="s">
        <v>4581</v>
      </c>
      <c r="S109" s="2200" t="s">
        <v>4582</v>
      </c>
      <c r="T109" s="1969" t="s">
        <v>4583</v>
      </c>
      <c r="U109" s="2200" t="s">
        <v>4584</v>
      </c>
      <c r="V109" s="2201" t="s">
        <v>4585</v>
      </c>
      <c r="W109" s="2309" t="s">
        <v>4586</v>
      </c>
      <c r="X109" s="2310" t="s">
        <v>4587</v>
      </c>
      <c r="Y109" s="1936"/>
    </row>
    <row r="110" spans="1:91" ht="15" customHeight="1" x14ac:dyDescent="0.25">
      <c r="A110" s="5602" t="s">
        <v>4680</v>
      </c>
      <c r="B110" s="6317" t="s">
        <v>312</v>
      </c>
      <c r="C110" s="6318"/>
      <c r="D110" s="2304" t="s">
        <v>4567</v>
      </c>
      <c r="E110" s="2305" t="s">
        <v>4568</v>
      </c>
      <c r="F110" s="344" t="s">
        <v>4569</v>
      </c>
      <c r="G110" s="2311" t="s">
        <v>4570</v>
      </c>
      <c r="H110" s="2312" t="s">
        <v>4571</v>
      </c>
      <c r="I110" s="2311" t="s">
        <v>4572</v>
      </c>
      <c r="J110" s="2313" t="s">
        <v>4573</v>
      </c>
      <c r="K110" s="212" t="s">
        <v>4574</v>
      </c>
      <c r="L110" s="1136" t="s">
        <v>4575</v>
      </c>
      <c r="M110" s="212" t="s">
        <v>4576</v>
      </c>
      <c r="N110" s="1136" t="s">
        <v>4577</v>
      </c>
      <c r="O110" s="212" t="s">
        <v>4578</v>
      </c>
      <c r="P110" s="1136" t="s">
        <v>4579</v>
      </c>
      <c r="Q110" s="2210" t="s">
        <v>4580</v>
      </c>
      <c r="R110" s="1136" t="s">
        <v>4581</v>
      </c>
      <c r="S110" s="2210" t="s">
        <v>4582</v>
      </c>
      <c r="T110" s="1136" t="s">
        <v>4583</v>
      </c>
      <c r="U110" s="2210" t="s">
        <v>4584</v>
      </c>
      <c r="V110" s="1138" t="s">
        <v>4585</v>
      </c>
      <c r="W110" s="2309" t="s">
        <v>4586</v>
      </c>
      <c r="X110" s="2310" t="s">
        <v>4587</v>
      </c>
      <c r="Y110" s="1936"/>
    </row>
    <row r="111" spans="1:91" ht="15" customHeight="1" x14ac:dyDescent="0.25">
      <c r="A111" s="5601" t="s">
        <v>4681</v>
      </c>
      <c r="B111" s="6207" t="s">
        <v>313</v>
      </c>
      <c r="C111" s="6208"/>
      <c r="D111" s="2304" t="s">
        <v>4567</v>
      </c>
      <c r="E111" s="2305" t="s">
        <v>4568</v>
      </c>
      <c r="F111" s="344" t="s">
        <v>4569</v>
      </c>
      <c r="G111" s="2311" t="s">
        <v>4570</v>
      </c>
      <c r="H111" s="2312" t="s">
        <v>4571</v>
      </c>
      <c r="I111" s="2311" t="s">
        <v>4572</v>
      </c>
      <c r="J111" s="2313" t="s">
        <v>4573</v>
      </c>
      <c r="K111" s="212" t="s">
        <v>4574</v>
      </c>
      <c r="L111" s="1136" t="s">
        <v>4575</v>
      </c>
      <c r="M111" s="212" t="s">
        <v>4576</v>
      </c>
      <c r="N111" s="1136" t="s">
        <v>4577</v>
      </c>
      <c r="O111" s="212" t="s">
        <v>4578</v>
      </c>
      <c r="P111" s="1136" t="s">
        <v>4579</v>
      </c>
      <c r="Q111" s="2210" t="s">
        <v>4580</v>
      </c>
      <c r="R111" s="1136" t="s">
        <v>4581</v>
      </c>
      <c r="S111" s="2210" t="s">
        <v>4582</v>
      </c>
      <c r="T111" s="1136" t="s">
        <v>4583</v>
      </c>
      <c r="U111" s="2210" t="s">
        <v>4584</v>
      </c>
      <c r="V111" s="1138" t="s">
        <v>4585</v>
      </c>
      <c r="W111" s="2309" t="s">
        <v>4586</v>
      </c>
      <c r="X111" s="2310" t="s">
        <v>4587</v>
      </c>
      <c r="Y111" s="1936"/>
    </row>
    <row r="112" spans="1:91" ht="15" customHeight="1" x14ac:dyDescent="0.25">
      <c r="A112" s="5601" t="s">
        <v>4682</v>
      </c>
      <c r="B112" s="6207" t="s">
        <v>314</v>
      </c>
      <c r="C112" s="6208"/>
      <c r="D112" s="2304" t="s">
        <v>4567</v>
      </c>
      <c r="E112" s="2305" t="s">
        <v>4568</v>
      </c>
      <c r="F112" s="344" t="s">
        <v>4569</v>
      </c>
      <c r="G112" s="212" t="s">
        <v>4570</v>
      </c>
      <c r="H112" s="46" t="s">
        <v>4571</v>
      </c>
      <c r="I112" s="212" t="s">
        <v>4572</v>
      </c>
      <c r="J112" s="34" t="s">
        <v>4573</v>
      </c>
      <c r="K112" s="2306" t="s">
        <v>4574</v>
      </c>
      <c r="L112" s="2308" t="s">
        <v>4575</v>
      </c>
      <c r="M112" s="2306" t="s">
        <v>4576</v>
      </c>
      <c r="N112" s="2308" t="s">
        <v>4577</v>
      </c>
      <c r="O112" s="2306" t="s">
        <v>4578</v>
      </c>
      <c r="P112" s="2308" t="s">
        <v>4579</v>
      </c>
      <c r="Q112" s="2314" t="s">
        <v>4580</v>
      </c>
      <c r="R112" s="2308" t="s">
        <v>4581</v>
      </c>
      <c r="S112" s="2314" t="s">
        <v>4582</v>
      </c>
      <c r="T112" s="2308" t="s">
        <v>4583</v>
      </c>
      <c r="U112" s="2314" t="s">
        <v>4584</v>
      </c>
      <c r="V112" s="2315" t="s">
        <v>4585</v>
      </c>
      <c r="W112" s="1970" t="s">
        <v>4586</v>
      </c>
      <c r="X112" s="2316" t="s">
        <v>4587</v>
      </c>
      <c r="Y112" t="str">
        <f>CB112&amp;CC112</f>
        <v xml:space="preserve">* La variable Niños, Niñas, Adolescentes y Jóvenes SENAME no debe ser mayor al Total Ambos Sexos. * La variable Niños, Niñas, Adolescentes y Jóvenes Mejor Niñez no debe ser mayor al Total Ambos Sexos. </v>
      </c>
      <c r="CB112" s="2195" t="str">
        <f>IF(AND($D112&lt;&gt;0,W112=""),"* No olvide ingresar la variable "&amp;W$105&amp;""&amp;". Digite CERO si no tiene. ",IF(W112&gt;$D112,"* La variable Niños, Niñas, Adolescentes y Jóvenes SENAME no debe ser mayor al Total Ambos Sexos. ",""))</f>
        <v xml:space="preserve">* La variable Niños, Niñas, Adolescentes y Jóvenes SENAME no debe ser mayor al Total Ambos Sexos. </v>
      </c>
      <c r="CC112" s="2195" t="str">
        <f>IF(AND($D112&lt;&gt;0,X112=""),"* No olvide ingresar la variable "&amp;X$105&amp;""&amp;". Digite CERO si no tiene. ",IF(X112&gt;$D112,"* La variable Niños, Niñas, Adolescentes y Jóvenes Mejor Niñez no debe ser mayor al Total Ambos Sexos. ",""))</f>
        <v xml:space="preserve">* La variable Niños, Niñas, Adolescentes y Jóvenes Mejor Niñez no debe ser mayor al Total Ambos Sexos. </v>
      </c>
      <c r="CD112" s="2194"/>
      <c r="CE112" s="2194"/>
      <c r="CF112" s="99"/>
      <c r="CG112" s="99"/>
      <c r="CH112" s="99"/>
      <c r="CI112" s="99"/>
      <c r="CJ112" s="99"/>
      <c r="CL112" s="55">
        <f>IF(AND($D112&lt;&gt;0,W112=""),1,IF(W112&gt;$D112,1,0))</f>
        <v>1</v>
      </c>
      <c r="CM112" s="55">
        <f>IF(AND($D112&lt;&gt;0,X112=""),1,IF(X112&gt;$D112,1,0))</f>
        <v>1</v>
      </c>
    </row>
    <row r="113" spans="1:91" ht="15" customHeight="1" x14ac:dyDescent="0.25">
      <c r="A113" s="5605" t="s">
        <v>4683</v>
      </c>
      <c r="B113" s="6207" t="s">
        <v>315</v>
      </c>
      <c r="C113" s="6208"/>
      <c r="D113" s="2317" t="s">
        <v>4567</v>
      </c>
      <c r="E113" s="2305" t="s">
        <v>4568</v>
      </c>
      <c r="F113" s="344" t="s">
        <v>4569</v>
      </c>
      <c r="G113" s="2311" t="s">
        <v>4570</v>
      </c>
      <c r="H113" s="2312" t="s">
        <v>4571</v>
      </c>
      <c r="I113" s="212" t="s">
        <v>4572</v>
      </c>
      <c r="J113" s="34" t="s">
        <v>4573</v>
      </c>
      <c r="K113" s="2306" t="s">
        <v>4574</v>
      </c>
      <c r="L113" s="2318" t="s">
        <v>4575</v>
      </c>
      <c r="M113" s="2306" t="s">
        <v>4576</v>
      </c>
      <c r="N113" s="2318" t="s">
        <v>4577</v>
      </c>
      <c r="O113" s="2306" t="s">
        <v>4578</v>
      </c>
      <c r="P113" s="2318" t="s">
        <v>4579</v>
      </c>
      <c r="Q113" s="2306" t="s">
        <v>4580</v>
      </c>
      <c r="R113" s="2318" t="s">
        <v>4581</v>
      </c>
      <c r="S113" s="2306" t="s">
        <v>4582</v>
      </c>
      <c r="T113" s="2318" t="s">
        <v>4583</v>
      </c>
      <c r="U113" s="2306" t="s">
        <v>4584</v>
      </c>
      <c r="V113" s="2319" t="s">
        <v>4585</v>
      </c>
      <c r="W113" s="1970" t="s">
        <v>4586</v>
      </c>
      <c r="X113" s="2320" t="s">
        <v>4587</v>
      </c>
      <c r="Y113" s="1936" t="str">
        <f t="shared" ref="Y113:Y117" si="28">CB113&amp;CC113</f>
        <v xml:space="preserve">* La variable Niños, Niñas, Adolescentes y Jóvenes SENAME no debe ser mayor al Total Ambos Sexos. * La variable Niños, Niñas, Adolescentes y Jóvenes Mejor Niñez no debe ser mayor al Total Ambos Sexos. </v>
      </c>
      <c r="CB113" s="2195" t="str">
        <f t="shared" ref="CB113:CB116" si="29">IF(AND($D113&lt;&gt;0,W113=""),"* No olvide ingresar la variable "&amp;W$105&amp;""&amp;". Digite CERO si no tiene. ",IF(W113&gt;$D113,"* La variable Niños, Niñas, Adolescentes y Jóvenes SENAME no debe ser mayor al Total Ambos Sexos. ",""))</f>
        <v xml:space="preserve">* La variable Niños, Niñas, Adolescentes y Jóvenes SENAME no debe ser mayor al Total Ambos Sexos. </v>
      </c>
      <c r="CC113" s="2195" t="str">
        <f t="shared" ref="CC113:CC116" si="30">IF(AND($D113&lt;&gt;0,X113=""),"* No olvide ingresar la variable "&amp;X$105&amp;""&amp;". Digite CERO si no tiene. ",IF(X113&gt;$D113,"* La variable Niños, Niñas, Adolescentes y Jóvenes Mejor Niñez no debe ser mayor al Total Ambos Sexos. ",""))</f>
        <v xml:space="preserve">* La variable Niños, Niñas, Adolescentes y Jóvenes Mejor Niñez no debe ser mayor al Total Ambos Sexos. </v>
      </c>
      <c r="CD113" s="2194"/>
      <c r="CE113" s="2194"/>
      <c r="CF113" s="99"/>
      <c r="CG113" s="99"/>
      <c r="CH113" s="99"/>
      <c r="CI113" s="99"/>
      <c r="CJ113" s="99"/>
      <c r="CL113" s="55">
        <f t="shared" ref="CL113:CL116" si="31">IF(AND($D113&lt;&gt;0,W113=""),1,IF(W113&gt;$D113,1,0))</f>
        <v>1</v>
      </c>
      <c r="CM113" s="55">
        <f t="shared" ref="CM113:CM116" si="32">IF(AND($D113&lt;&gt;0,X113=""),1,IF(X113&gt;$D113,1,0))</f>
        <v>1</v>
      </c>
    </row>
    <row r="114" spans="1:91" ht="15" customHeight="1" x14ac:dyDescent="0.25">
      <c r="A114" s="5601" t="s">
        <v>4684</v>
      </c>
      <c r="B114" s="6207" t="s">
        <v>316</v>
      </c>
      <c r="C114" s="6208"/>
      <c r="D114" s="2317" t="s">
        <v>4567</v>
      </c>
      <c r="E114" s="2305" t="s">
        <v>4568</v>
      </c>
      <c r="F114" s="344" t="s">
        <v>4569</v>
      </c>
      <c r="G114" s="212" t="s">
        <v>4570</v>
      </c>
      <c r="H114" s="34" t="s">
        <v>4571</v>
      </c>
      <c r="I114" s="212" t="s">
        <v>4572</v>
      </c>
      <c r="J114" s="34" t="s">
        <v>4573</v>
      </c>
      <c r="K114" s="2321" t="s">
        <v>4574</v>
      </c>
      <c r="L114" s="1905" t="s">
        <v>4575</v>
      </c>
      <c r="M114" s="2321" t="s">
        <v>4576</v>
      </c>
      <c r="N114" s="1905" t="s">
        <v>4577</v>
      </c>
      <c r="O114" s="2321" t="s">
        <v>4578</v>
      </c>
      <c r="P114" s="1905" t="s">
        <v>4579</v>
      </c>
      <c r="Q114" s="2322" t="s">
        <v>4580</v>
      </c>
      <c r="R114" s="1905" t="s">
        <v>4581</v>
      </c>
      <c r="S114" s="2322" t="s">
        <v>4582</v>
      </c>
      <c r="T114" s="1905" t="s">
        <v>4583</v>
      </c>
      <c r="U114" s="2322" t="s">
        <v>4584</v>
      </c>
      <c r="V114" s="2323" t="s">
        <v>4585</v>
      </c>
      <c r="W114" s="1879" t="s">
        <v>4586</v>
      </c>
      <c r="X114" s="2316" t="s">
        <v>4587</v>
      </c>
      <c r="Y114" s="1936" t="str">
        <f t="shared" si="28"/>
        <v xml:space="preserve">* La variable Niños, Niñas, Adolescentes y Jóvenes SENAME no debe ser mayor al Total Ambos Sexos. * La variable Niños, Niñas, Adolescentes y Jóvenes Mejor Niñez no debe ser mayor al Total Ambos Sexos. </v>
      </c>
      <c r="CB114" s="2195" t="str">
        <f t="shared" si="29"/>
        <v xml:space="preserve">* La variable Niños, Niñas, Adolescentes y Jóvenes SENAME no debe ser mayor al Total Ambos Sexos. </v>
      </c>
      <c r="CC114" s="2195" t="str">
        <f t="shared" si="30"/>
        <v xml:space="preserve">* La variable Niños, Niñas, Adolescentes y Jóvenes Mejor Niñez no debe ser mayor al Total Ambos Sexos. </v>
      </c>
      <c r="CD114" s="2194"/>
      <c r="CE114" s="2194"/>
      <c r="CF114" s="99"/>
      <c r="CG114" s="99"/>
      <c r="CH114" s="99"/>
      <c r="CI114" s="99"/>
      <c r="CJ114" s="99"/>
      <c r="CL114" s="55">
        <f t="shared" si="31"/>
        <v>1</v>
      </c>
      <c r="CM114" s="55">
        <f t="shared" si="32"/>
        <v>1</v>
      </c>
    </row>
    <row r="115" spans="1:91" ht="15" customHeight="1" x14ac:dyDescent="0.25">
      <c r="A115" s="5601" t="s">
        <v>4685</v>
      </c>
      <c r="B115" s="6209" t="s">
        <v>317</v>
      </c>
      <c r="C115" s="2324" t="s">
        <v>318</v>
      </c>
      <c r="D115" s="2325" t="s">
        <v>4567</v>
      </c>
      <c r="E115" s="2326" t="s">
        <v>4568</v>
      </c>
      <c r="F115" s="2174" t="s">
        <v>4569</v>
      </c>
      <c r="G115" s="2175" t="s">
        <v>4570</v>
      </c>
      <c r="H115" s="2327" t="s">
        <v>4571</v>
      </c>
      <c r="I115" s="2175" t="s">
        <v>4572</v>
      </c>
      <c r="J115" s="2176" t="s">
        <v>4573</v>
      </c>
      <c r="K115" s="2175" t="s">
        <v>4574</v>
      </c>
      <c r="L115" s="1962" t="s">
        <v>4575</v>
      </c>
      <c r="M115" s="2175" t="s">
        <v>4576</v>
      </c>
      <c r="N115" s="1962" t="s">
        <v>4577</v>
      </c>
      <c r="O115" s="2175" t="s">
        <v>4578</v>
      </c>
      <c r="P115" s="2176" t="s">
        <v>4579</v>
      </c>
      <c r="Q115" s="2175" t="s">
        <v>4580</v>
      </c>
      <c r="R115" s="2176" t="s">
        <v>4581</v>
      </c>
      <c r="S115" s="2175" t="s">
        <v>4582</v>
      </c>
      <c r="T115" s="2176" t="s">
        <v>4583</v>
      </c>
      <c r="U115" s="2175" t="s">
        <v>4584</v>
      </c>
      <c r="V115" s="1910" t="s">
        <v>4585</v>
      </c>
      <c r="W115" s="1963" t="s">
        <v>4586</v>
      </c>
      <c r="X115" s="2328" t="s">
        <v>4587</v>
      </c>
      <c r="Y115" s="1936" t="str">
        <f t="shared" si="28"/>
        <v xml:space="preserve">* La variable Niños, Niñas, Adolescentes y Jóvenes SENAME no debe ser mayor al Total Ambos Sexos. * La variable Niños, Niñas, Adolescentes y Jóvenes Mejor Niñez no debe ser mayor al Total Ambos Sexos. </v>
      </c>
      <c r="CB115" s="2195" t="str">
        <f t="shared" si="29"/>
        <v xml:space="preserve">* La variable Niños, Niñas, Adolescentes y Jóvenes SENAME no debe ser mayor al Total Ambos Sexos. </v>
      </c>
      <c r="CC115" s="2195" t="str">
        <f t="shared" si="30"/>
        <v xml:space="preserve">* La variable Niños, Niñas, Adolescentes y Jóvenes Mejor Niñez no debe ser mayor al Total Ambos Sexos. </v>
      </c>
      <c r="CD115" s="2194"/>
      <c r="CE115" s="2194"/>
      <c r="CF115" s="99"/>
      <c r="CG115" s="99"/>
      <c r="CH115" s="99"/>
      <c r="CI115" s="99"/>
      <c r="CJ115" s="99"/>
      <c r="CL115" s="55">
        <f t="shared" si="31"/>
        <v>1</v>
      </c>
      <c r="CM115" s="55">
        <f t="shared" si="32"/>
        <v>1</v>
      </c>
    </row>
    <row r="116" spans="1:91" ht="19.5" customHeight="1" x14ac:dyDescent="0.25">
      <c r="A116" s="5601" t="s">
        <v>4686</v>
      </c>
      <c r="B116" s="6210"/>
      <c r="C116" s="2329" t="s">
        <v>319</v>
      </c>
      <c r="D116" s="2330" t="s">
        <v>4567</v>
      </c>
      <c r="E116" s="740" t="s">
        <v>4568</v>
      </c>
      <c r="F116" s="223" t="s">
        <v>4569</v>
      </c>
      <c r="G116" s="212" t="s">
        <v>4570</v>
      </c>
      <c r="H116" s="46" t="s">
        <v>4571</v>
      </c>
      <c r="I116" s="212" t="s">
        <v>4572</v>
      </c>
      <c r="J116" s="34" t="s">
        <v>4573</v>
      </c>
      <c r="K116" s="212" t="s">
        <v>4574</v>
      </c>
      <c r="L116" s="1136" t="s">
        <v>4575</v>
      </c>
      <c r="M116" s="212" t="s">
        <v>4576</v>
      </c>
      <c r="N116" s="1136" t="s">
        <v>4577</v>
      </c>
      <c r="O116" s="212" t="s">
        <v>4578</v>
      </c>
      <c r="P116" s="34" t="s">
        <v>4579</v>
      </c>
      <c r="Q116" s="212" t="s">
        <v>4580</v>
      </c>
      <c r="R116" s="34" t="s">
        <v>4581</v>
      </c>
      <c r="S116" s="212" t="s">
        <v>4582</v>
      </c>
      <c r="T116" s="34" t="s">
        <v>4583</v>
      </c>
      <c r="U116" s="212" t="s">
        <v>4584</v>
      </c>
      <c r="V116" s="331" t="s">
        <v>4585</v>
      </c>
      <c r="W116" s="1983" t="s">
        <v>4586</v>
      </c>
      <c r="X116" s="2320" t="s">
        <v>4587</v>
      </c>
      <c r="Y116" s="1936" t="str">
        <f t="shared" si="28"/>
        <v xml:space="preserve">* La variable Niños, Niñas, Adolescentes y Jóvenes SENAME no debe ser mayor al Total Ambos Sexos. * La variable Niños, Niñas, Adolescentes y Jóvenes Mejor Niñez no debe ser mayor al Total Ambos Sexos. </v>
      </c>
      <c r="CB116" s="2195" t="str">
        <f t="shared" si="29"/>
        <v xml:space="preserve">* La variable Niños, Niñas, Adolescentes y Jóvenes SENAME no debe ser mayor al Total Ambos Sexos. </v>
      </c>
      <c r="CC116" s="2195" t="str">
        <f t="shared" si="30"/>
        <v xml:space="preserve">* La variable Niños, Niñas, Adolescentes y Jóvenes Mejor Niñez no debe ser mayor al Total Ambos Sexos. </v>
      </c>
      <c r="CD116" s="2194"/>
      <c r="CE116" s="2194"/>
      <c r="CF116" s="99"/>
      <c r="CG116" s="99"/>
      <c r="CH116" s="99"/>
      <c r="CI116" s="99"/>
      <c r="CJ116" s="99"/>
      <c r="CL116" s="55">
        <f t="shared" si="31"/>
        <v>1</v>
      </c>
      <c r="CM116" s="55">
        <f t="shared" si="32"/>
        <v>1</v>
      </c>
    </row>
    <row r="117" spans="1:91" ht="21" x14ac:dyDescent="0.25">
      <c r="A117" s="5601" t="s">
        <v>4687</v>
      </c>
      <c r="B117" s="6211"/>
      <c r="C117" s="2331" t="s">
        <v>320</v>
      </c>
      <c r="D117" s="2332" t="s">
        <v>4567</v>
      </c>
      <c r="E117" s="2333" t="s">
        <v>4568</v>
      </c>
      <c r="F117" s="2334" t="s">
        <v>4569</v>
      </c>
      <c r="G117" s="2335" t="s">
        <v>4570</v>
      </c>
      <c r="H117" s="2336" t="s">
        <v>4571</v>
      </c>
      <c r="I117" s="2335" t="s">
        <v>4572</v>
      </c>
      <c r="J117" s="2337" t="s">
        <v>4573</v>
      </c>
      <c r="K117" s="2335" t="s">
        <v>4574</v>
      </c>
      <c r="L117" s="2338" t="s">
        <v>4575</v>
      </c>
      <c r="M117" s="2335" t="s">
        <v>4576</v>
      </c>
      <c r="N117" s="2338" t="s">
        <v>4577</v>
      </c>
      <c r="O117" s="2335" t="s">
        <v>4578</v>
      </c>
      <c r="P117" s="2337" t="s">
        <v>4579</v>
      </c>
      <c r="Q117" s="2335" t="s">
        <v>4580</v>
      </c>
      <c r="R117" s="2337" t="s">
        <v>4581</v>
      </c>
      <c r="S117" s="2335" t="s">
        <v>4582</v>
      </c>
      <c r="T117" s="2337" t="s">
        <v>4583</v>
      </c>
      <c r="U117" s="2335" t="s">
        <v>4584</v>
      </c>
      <c r="V117" s="2336" t="s">
        <v>4585</v>
      </c>
      <c r="W117" s="2339" t="s">
        <v>4586</v>
      </c>
      <c r="X117" s="2340" t="s">
        <v>4587</v>
      </c>
      <c r="Y117" s="1936" t="str">
        <f t="shared" si="28"/>
        <v xml:space="preserve">* La variable Niños, Niñas, Adolescentes y Jóvenes SENAME no debe ser mayor al Total Ambos Sexos. * La variable Niños, Niñas, Adolescentes y Jóvenes Mejor Niñez no debe ser mayor al Total Ambos Sexos. </v>
      </c>
      <c r="CB117" s="2195" t="str">
        <f>IF(AND($D117&lt;&gt;0,W117=""),"* No olvide ingresar la variable "&amp;W$105&amp;""&amp;". Digite CERO si no tiene. ",IF(W117&gt;$D117,"* La variable Niños, Niñas, Adolescentes y Jóvenes SENAME no debe ser mayor al Total Ambos Sexos. ",""))</f>
        <v xml:space="preserve">* La variable Niños, Niñas, Adolescentes y Jóvenes SENAME no debe ser mayor al Total Ambos Sexos. </v>
      </c>
      <c r="CC117" s="2195" t="str">
        <f>IF(AND($D117&lt;&gt;0,X117=""),"* No olvide ingresar la variable "&amp;X$105&amp;""&amp;". Digite CERO si no tiene. ",IF(X117&gt;$D117,"* La variable Niños, Niñas, Adolescentes y Jóvenes Mejor Niñez no debe ser mayor al Total Ambos Sexos. ",""))</f>
        <v xml:space="preserve">* La variable Niños, Niñas, Adolescentes y Jóvenes Mejor Niñez no debe ser mayor al Total Ambos Sexos. </v>
      </c>
      <c r="CD117" s="2194"/>
      <c r="CE117" s="2194"/>
      <c r="CF117" s="99"/>
      <c r="CG117" s="99"/>
      <c r="CH117" s="99"/>
      <c r="CI117" s="99"/>
      <c r="CJ117" s="99"/>
      <c r="CL117" s="55">
        <f>IF(AND($D117&lt;&gt;0,W117=""),1,IF(W117&gt;$D117,1,0))</f>
        <v>1</v>
      </c>
      <c r="CM117" s="55">
        <f>IF(AND($D117&lt;&gt;0,X117=""),1,IF(X117&gt;$D117,1,0))</f>
        <v>1</v>
      </c>
    </row>
    <row r="118" spans="1:91" ht="18" customHeight="1" x14ac:dyDescent="0.25">
      <c r="A118" s="5548"/>
      <c r="B118" s="2155" t="s">
        <v>321</v>
      </c>
      <c r="C118" s="2341"/>
      <c r="D118" s="2341"/>
      <c r="E118" s="2341"/>
      <c r="F118" s="2341"/>
      <c r="G118" s="665"/>
      <c r="H118" s="665"/>
      <c r="I118" s="665"/>
      <c r="J118" s="2342"/>
      <c r="K118" s="2343"/>
      <c r="L118" s="2343"/>
      <c r="M118" s="2344"/>
      <c r="N118" s="2345"/>
      <c r="O118" s="2346"/>
      <c r="P118" s="665"/>
      <c r="Q118" s="2346"/>
      <c r="R118" s="2347"/>
      <c r="S118" s="2348"/>
      <c r="T118" s="2348"/>
      <c r="U118" s="2346"/>
      <c r="V118" s="2346"/>
      <c r="W118" s="2346"/>
      <c r="X118" s="665"/>
      <c r="Y118" s="2346"/>
      <c r="Z118" s="665"/>
      <c r="AA118" s="2349"/>
      <c r="AB118" s="2350"/>
    </row>
    <row r="119" spans="1:91" ht="15" customHeight="1" x14ac:dyDescent="0.25">
      <c r="A119" s="5548"/>
      <c r="B119" s="6119" t="s">
        <v>219</v>
      </c>
      <c r="C119" s="6119" t="s">
        <v>220</v>
      </c>
      <c r="D119" s="6213" t="s">
        <v>221</v>
      </c>
      <c r="E119" s="6045"/>
      <c r="F119" s="6027"/>
      <c r="G119" s="6281" t="s">
        <v>101</v>
      </c>
      <c r="H119" s="6300"/>
      <c r="I119" s="6300"/>
      <c r="J119" s="6300"/>
      <c r="K119" s="6300"/>
      <c r="L119" s="6300"/>
      <c r="M119" s="6300"/>
      <c r="N119" s="6300"/>
      <c r="O119" s="6300"/>
      <c r="P119" s="6300"/>
      <c r="Q119" s="6300"/>
      <c r="R119" s="6300"/>
      <c r="S119" s="6300"/>
      <c r="T119" s="6300"/>
      <c r="U119" s="6107"/>
      <c r="V119" s="6107"/>
      <c r="W119" s="6300"/>
      <c r="X119" s="6300"/>
      <c r="Y119" s="6300"/>
      <c r="Z119" s="6300"/>
      <c r="AA119" s="6300"/>
      <c r="AB119" s="6314"/>
      <c r="AC119" s="6351" t="s">
        <v>322</v>
      </c>
      <c r="AD119" s="6354" t="s">
        <v>37</v>
      </c>
    </row>
    <row r="120" spans="1:91" ht="15" customHeight="1" x14ac:dyDescent="0.25">
      <c r="A120" s="5548"/>
      <c r="B120" s="6119"/>
      <c r="C120" s="6119"/>
      <c r="D120" s="6214"/>
      <c r="E120" s="6150"/>
      <c r="F120" s="6028"/>
      <c r="G120" s="6155" t="s">
        <v>323</v>
      </c>
      <c r="H120" s="6156"/>
      <c r="I120" s="6155" t="s">
        <v>324</v>
      </c>
      <c r="J120" s="6156"/>
      <c r="K120" s="6155" t="s">
        <v>325</v>
      </c>
      <c r="L120" s="6156"/>
      <c r="M120" s="6260" t="s">
        <v>326</v>
      </c>
      <c r="N120" s="6156"/>
      <c r="O120" s="6155" t="s">
        <v>94</v>
      </c>
      <c r="P120" s="6156"/>
      <c r="Q120" s="6155" t="s">
        <v>44</v>
      </c>
      <c r="R120" s="6156"/>
      <c r="S120" s="6155" t="s">
        <v>45</v>
      </c>
      <c r="T120" s="6156"/>
      <c r="U120" s="6155" t="s">
        <v>327</v>
      </c>
      <c r="V120" s="6156"/>
      <c r="W120" s="6155" t="s">
        <v>54</v>
      </c>
      <c r="X120" s="6156"/>
      <c r="Y120" s="6155" t="s">
        <v>328</v>
      </c>
      <c r="Z120" s="6156"/>
      <c r="AA120" s="6302" t="s">
        <v>57</v>
      </c>
      <c r="AB120" s="6313"/>
      <c r="AC120" s="6352"/>
      <c r="AD120" s="6355"/>
    </row>
    <row r="121" spans="1:91" ht="15" customHeight="1" x14ac:dyDescent="0.25">
      <c r="A121" s="5548"/>
      <c r="B121" s="6093"/>
      <c r="C121" s="6093"/>
      <c r="D121" s="2274" t="s">
        <v>79</v>
      </c>
      <c r="E121" s="2353" t="s">
        <v>58</v>
      </c>
      <c r="F121" s="2354" t="s">
        <v>59</v>
      </c>
      <c r="G121" s="2163" t="s">
        <v>58</v>
      </c>
      <c r="H121" s="1742" t="s">
        <v>59</v>
      </c>
      <c r="I121" s="2163" t="s">
        <v>58</v>
      </c>
      <c r="J121" s="1742" t="s">
        <v>59</v>
      </c>
      <c r="K121" s="2163" t="s">
        <v>58</v>
      </c>
      <c r="L121" s="1742" t="s">
        <v>59</v>
      </c>
      <c r="M121" s="2164" t="s">
        <v>58</v>
      </c>
      <c r="N121" s="1742" t="s">
        <v>59</v>
      </c>
      <c r="O121" s="2163" t="s">
        <v>58</v>
      </c>
      <c r="P121" s="1742" t="s">
        <v>59</v>
      </c>
      <c r="Q121" s="2163" t="s">
        <v>58</v>
      </c>
      <c r="R121" s="1742" t="s">
        <v>59</v>
      </c>
      <c r="S121" s="2163" t="s">
        <v>58</v>
      </c>
      <c r="T121" s="2274" t="s">
        <v>59</v>
      </c>
      <c r="U121" s="2163" t="s">
        <v>58</v>
      </c>
      <c r="V121" s="1742" t="s">
        <v>59</v>
      </c>
      <c r="W121" s="2163" t="s">
        <v>58</v>
      </c>
      <c r="X121" s="1742" t="s">
        <v>59</v>
      </c>
      <c r="Y121" s="2163" t="s">
        <v>58</v>
      </c>
      <c r="Z121" s="1742" t="s">
        <v>59</v>
      </c>
      <c r="AA121" s="2355" t="s">
        <v>58</v>
      </c>
      <c r="AB121" s="2352" t="s">
        <v>59</v>
      </c>
      <c r="AC121" s="6353"/>
      <c r="AD121" s="6356"/>
    </row>
    <row r="122" spans="1:91" ht="15" customHeight="1" x14ac:dyDescent="0.25">
      <c r="A122" s="5601" t="s">
        <v>4688</v>
      </c>
      <c r="B122" s="6310" t="s">
        <v>329</v>
      </c>
      <c r="C122" s="2197" t="s">
        <v>330</v>
      </c>
      <c r="D122" s="2357" t="s">
        <v>4567</v>
      </c>
      <c r="E122" s="2291" t="s">
        <v>4568</v>
      </c>
      <c r="F122" s="2358" t="s">
        <v>4569</v>
      </c>
      <c r="G122" s="2175" t="s">
        <v>4570</v>
      </c>
      <c r="H122" s="2176" t="s">
        <v>4571</v>
      </c>
      <c r="I122" s="2175" t="s">
        <v>4572</v>
      </c>
      <c r="J122" s="1962" t="s">
        <v>4573</v>
      </c>
      <c r="K122" s="2175" t="s">
        <v>4574</v>
      </c>
      <c r="L122" s="1962" t="s">
        <v>4575</v>
      </c>
      <c r="M122" s="2359" t="s">
        <v>4576</v>
      </c>
      <c r="N122" s="1962" t="s">
        <v>4577</v>
      </c>
      <c r="O122" s="2175" t="s">
        <v>4578</v>
      </c>
      <c r="P122" s="1962" t="s">
        <v>4579</v>
      </c>
      <c r="Q122" s="2175" t="s">
        <v>4580</v>
      </c>
      <c r="R122" s="1962" t="s">
        <v>4581</v>
      </c>
      <c r="S122" s="2175" t="s">
        <v>4582</v>
      </c>
      <c r="T122" s="1962" t="s">
        <v>4583</v>
      </c>
      <c r="U122" s="2175" t="s">
        <v>4584</v>
      </c>
      <c r="V122" s="1962" t="s">
        <v>4585</v>
      </c>
      <c r="W122" s="2204" t="s">
        <v>4586</v>
      </c>
      <c r="X122" s="1962" t="s">
        <v>4587</v>
      </c>
      <c r="Y122" s="2204" t="s">
        <v>4588</v>
      </c>
      <c r="Z122" s="1962" t="s">
        <v>4589</v>
      </c>
      <c r="AA122" s="2327" t="s">
        <v>4590</v>
      </c>
      <c r="AB122" s="2360" t="s">
        <v>4591</v>
      </c>
      <c r="AC122" s="2327" t="s">
        <v>4592</v>
      </c>
      <c r="AD122" s="2361" t="s">
        <v>4593</v>
      </c>
      <c r="AE122" s="1936" t="str">
        <f>CB122&amp;CC122</f>
        <v xml:space="preserve">* La variable Pueblos Originarios no debe ser mayor al Total Ambos Sexos. * La variable Migrantes no debe ser mayor al Total Ambos Sexos. </v>
      </c>
      <c r="CB122" s="2195" t="str">
        <f>IF(AND($D122&lt;&gt;0,AC122=""),"* No olvide ingresar la variable "&amp;AC$119&amp;""&amp;". Digite CERO si no tiene. ",IF(AC122&gt;$D122,"* La variable Pueblos Originarios no debe ser mayor al Total Ambos Sexos. ",""))</f>
        <v xml:space="preserve">* La variable Pueblos Originarios no debe ser mayor al Total Ambos Sexos. </v>
      </c>
      <c r="CC122" s="2195" t="str">
        <f>IF(AND($D122&lt;&gt;0,AD122=""),"* No olvide ingresar la variable "&amp;AD$119&amp;""&amp;". Digite CERO si no tiene. ",IF(AD122&gt;$D122,"* La variable Migrantes no debe ser mayor al Total Ambos Sexos. ",""))</f>
        <v xml:space="preserve">* La variable Migrantes no debe ser mayor al Total Ambos Sexos. </v>
      </c>
      <c r="CL122" s="2362">
        <f>IF(AND($D122&lt;&gt;0,AC122=""),1,IF(AC122&gt;$D122,1,0))</f>
        <v>1</v>
      </c>
      <c r="CM122" s="2362">
        <f>IF(AND($D122&lt;&gt;0,AD122=""),1,IF(AD122&gt;$D122,1,0))</f>
        <v>1</v>
      </c>
    </row>
    <row r="123" spans="1:91" ht="15" customHeight="1" x14ac:dyDescent="0.25">
      <c r="A123" s="5601" t="s">
        <v>4689</v>
      </c>
      <c r="B123" s="6311"/>
      <c r="C123" s="318" t="s">
        <v>331</v>
      </c>
      <c r="D123" s="295" t="s">
        <v>4567</v>
      </c>
      <c r="E123" s="2292" t="s">
        <v>4568</v>
      </c>
      <c r="F123" s="574" t="s">
        <v>4569</v>
      </c>
      <c r="G123" s="328" t="s">
        <v>4570</v>
      </c>
      <c r="H123" s="329" t="s">
        <v>4571</v>
      </c>
      <c r="I123" s="328" t="s">
        <v>4572</v>
      </c>
      <c r="J123" s="1969" t="s">
        <v>4573</v>
      </c>
      <c r="K123" s="328" t="s">
        <v>4574</v>
      </c>
      <c r="L123" s="1969" t="s">
        <v>4575</v>
      </c>
      <c r="M123" s="330" t="s">
        <v>4576</v>
      </c>
      <c r="N123" s="1969" t="s">
        <v>4577</v>
      </c>
      <c r="O123" s="328" t="s">
        <v>4578</v>
      </c>
      <c r="P123" s="1969" t="s">
        <v>4579</v>
      </c>
      <c r="Q123" s="328" t="s">
        <v>4580</v>
      </c>
      <c r="R123" s="1969" t="s">
        <v>4581</v>
      </c>
      <c r="S123" s="328" t="s">
        <v>4582</v>
      </c>
      <c r="T123" s="1969" t="s">
        <v>4583</v>
      </c>
      <c r="U123" s="328" t="s">
        <v>4584</v>
      </c>
      <c r="V123" s="1969" t="s">
        <v>4585</v>
      </c>
      <c r="W123" s="2200" t="s">
        <v>4586</v>
      </c>
      <c r="X123" s="1969" t="s">
        <v>4587</v>
      </c>
      <c r="Y123" s="2200" t="s">
        <v>4588</v>
      </c>
      <c r="Z123" s="1969" t="s">
        <v>4589</v>
      </c>
      <c r="AA123" s="2363" t="s">
        <v>4590</v>
      </c>
      <c r="AB123" s="2063" t="s">
        <v>4591</v>
      </c>
      <c r="AC123" s="2363" t="s">
        <v>4592</v>
      </c>
      <c r="AD123" s="2060" t="s">
        <v>4593</v>
      </c>
      <c r="AE123" s="1936" t="str">
        <f t="shared" ref="AE123:AE157" si="33">CB123&amp;CC123</f>
        <v xml:space="preserve">* La variable Pueblos Originarios no debe ser mayor al Total Ambos Sexos. * La variable Migrantes no debe ser mayor al Total Ambos Sexos. </v>
      </c>
      <c r="CB123" s="2195" t="str">
        <f t="shared" ref="CB123:CB151" si="34">IF(AND($D123&lt;&gt;0,AC123=""),"* No olvide ingresar la variable "&amp;AC$119&amp;""&amp;". Digite CERO si no tiene. ",IF(AC123&gt;$D123,"* La variable Pueblos Originarios no debe ser mayor al Total Ambos Sexos. ",""))</f>
        <v xml:space="preserve">* La variable Pueblos Originarios no debe ser mayor al Total Ambos Sexos. </v>
      </c>
      <c r="CC123" s="2195" t="str">
        <f t="shared" ref="CC123:CC151" si="35">IF(AND($D123&lt;&gt;0,AD123=""),"* No olvide ingresar la variable "&amp;AD$119&amp;""&amp;". Digite CERO si no tiene. ",IF(AD123&gt;$D123,"* La variable Migrantes no debe ser mayor al Total Ambos Sexos. ",""))</f>
        <v xml:space="preserve">* La variable Migrantes no debe ser mayor al Total Ambos Sexos. </v>
      </c>
      <c r="CL123" s="2362">
        <f t="shared" ref="CL123:CL151" si="36">IF(AND($D123&lt;&gt;0,AC123=""),1,IF(AC123&gt;$D123,1,0))</f>
        <v>1</v>
      </c>
      <c r="CM123" s="2362">
        <f t="shared" ref="CM123:CM151" si="37">IF(AND($D123&lt;&gt;0,AD123=""),1,IF(AD123&gt;$D123,1,0))</f>
        <v>1</v>
      </c>
    </row>
    <row r="124" spans="1:91" ht="15" customHeight="1" x14ac:dyDescent="0.25">
      <c r="A124" s="5601" t="s">
        <v>4690</v>
      </c>
      <c r="B124" s="6311"/>
      <c r="C124" s="360" t="s">
        <v>332</v>
      </c>
      <c r="D124" s="295" t="s">
        <v>4567</v>
      </c>
      <c r="E124" s="2292" t="s">
        <v>4568</v>
      </c>
      <c r="F124" s="574" t="s">
        <v>4569</v>
      </c>
      <c r="G124" s="328" t="s">
        <v>4570</v>
      </c>
      <c r="H124" s="329" t="s">
        <v>4571</v>
      </c>
      <c r="I124" s="328" t="s">
        <v>4572</v>
      </c>
      <c r="J124" s="1969" t="s">
        <v>4573</v>
      </c>
      <c r="K124" s="328" t="s">
        <v>4574</v>
      </c>
      <c r="L124" s="1969" t="s">
        <v>4575</v>
      </c>
      <c r="M124" s="330" t="s">
        <v>4576</v>
      </c>
      <c r="N124" s="1969" t="s">
        <v>4577</v>
      </c>
      <c r="O124" s="328" t="s">
        <v>4578</v>
      </c>
      <c r="P124" s="1969" t="s">
        <v>4579</v>
      </c>
      <c r="Q124" s="328" t="s">
        <v>4580</v>
      </c>
      <c r="R124" s="1969" t="s">
        <v>4581</v>
      </c>
      <c r="S124" s="328" t="s">
        <v>4582</v>
      </c>
      <c r="T124" s="1969" t="s">
        <v>4583</v>
      </c>
      <c r="U124" s="328" t="s">
        <v>4584</v>
      </c>
      <c r="V124" s="1969" t="s">
        <v>4585</v>
      </c>
      <c r="W124" s="2200" t="s">
        <v>4586</v>
      </c>
      <c r="X124" s="1969" t="s">
        <v>4587</v>
      </c>
      <c r="Y124" s="2200" t="s">
        <v>4588</v>
      </c>
      <c r="Z124" s="1969" t="s">
        <v>4589</v>
      </c>
      <c r="AA124" s="2363" t="s">
        <v>4590</v>
      </c>
      <c r="AB124" s="2063" t="s">
        <v>4591</v>
      </c>
      <c r="AC124" s="2363" t="s">
        <v>4592</v>
      </c>
      <c r="AD124" s="2060" t="s">
        <v>4593</v>
      </c>
      <c r="AE124" s="1936" t="str">
        <f t="shared" si="33"/>
        <v xml:space="preserve">* La variable Pueblos Originarios no debe ser mayor al Total Ambos Sexos. * La variable Migrantes no debe ser mayor al Total Ambos Sexos. </v>
      </c>
      <c r="CB124" s="2195" t="str">
        <f t="shared" si="34"/>
        <v xml:space="preserve">* La variable Pueblos Originarios no debe ser mayor al Total Ambos Sexos. </v>
      </c>
      <c r="CC124" s="2195" t="str">
        <f t="shared" si="35"/>
        <v xml:space="preserve">* La variable Migrantes no debe ser mayor al Total Ambos Sexos. </v>
      </c>
      <c r="CL124" s="2362">
        <f t="shared" si="36"/>
        <v>1</v>
      </c>
      <c r="CM124" s="2362">
        <f t="shared" si="37"/>
        <v>1</v>
      </c>
    </row>
    <row r="125" spans="1:91" ht="15" customHeight="1" x14ac:dyDescent="0.25">
      <c r="A125" s="5601" t="s">
        <v>4691</v>
      </c>
      <c r="B125" s="6050"/>
      <c r="C125" s="360" t="s">
        <v>333</v>
      </c>
      <c r="D125" s="357" t="s">
        <v>4567</v>
      </c>
      <c r="E125" s="478" t="s">
        <v>4568</v>
      </c>
      <c r="F125" s="553" t="s">
        <v>4569</v>
      </c>
      <c r="G125" s="328" t="s">
        <v>4570</v>
      </c>
      <c r="H125" s="329" t="s">
        <v>4571</v>
      </c>
      <c r="I125" s="328" t="s">
        <v>4572</v>
      </c>
      <c r="J125" s="1969" t="s">
        <v>4573</v>
      </c>
      <c r="K125" s="328" t="s">
        <v>4574</v>
      </c>
      <c r="L125" s="1969" t="s">
        <v>4575</v>
      </c>
      <c r="M125" s="330" t="s">
        <v>4576</v>
      </c>
      <c r="N125" s="1969" t="s">
        <v>4577</v>
      </c>
      <c r="O125" s="328" t="s">
        <v>4578</v>
      </c>
      <c r="P125" s="1969" t="s">
        <v>4579</v>
      </c>
      <c r="Q125" s="328" t="s">
        <v>4580</v>
      </c>
      <c r="R125" s="1969" t="s">
        <v>4581</v>
      </c>
      <c r="S125" s="328" t="s">
        <v>4582</v>
      </c>
      <c r="T125" s="1969" t="s">
        <v>4583</v>
      </c>
      <c r="U125" s="328" t="s">
        <v>4584</v>
      </c>
      <c r="V125" s="1969" t="s">
        <v>4585</v>
      </c>
      <c r="W125" s="2200" t="s">
        <v>4586</v>
      </c>
      <c r="X125" s="1969" t="s">
        <v>4587</v>
      </c>
      <c r="Y125" s="2200" t="s">
        <v>4588</v>
      </c>
      <c r="Z125" s="1969" t="s">
        <v>4589</v>
      </c>
      <c r="AA125" s="2363" t="s">
        <v>4590</v>
      </c>
      <c r="AB125" s="2063" t="s">
        <v>4591</v>
      </c>
      <c r="AC125" s="2363" t="s">
        <v>4592</v>
      </c>
      <c r="AD125" s="2060" t="s">
        <v>4593</v>
      </c>
      <c r="AE125" s="1936" t="str">
        <f t="shared" si="33"/>
        <v xml:space="preserve">* La variable Pueblos Originarios no debe ser mayor al Total Ambos Sexos. * La variable Migrantes no debe ser mayor al Total Ambos Sexos. </v>
      </c>
      <c r="CB125" s="2195" t="str">
        <f t="shared" si="34"/>
        <v xml:space="preserve">* La variable Pueblos Originarios no debe ser mayor al Total Ambos Sexos. </v>
      </c>
      <c r="CC125" s="2195" t="str">
        <f t="shared" si="35"/>
        <v xml:space="preserve">* La variable Migrantes no debe ser mayor al Total Ambos Sexos. </v>
      </c>
      <c r="CL125" s="2362">
        <f t="shared" si="36"/>
        <v>1</v>
      </c>
      <c r="CM125" s="2362">
        <f t="shared" si="37"/>
        <v>1</v>
      </c>
    </row>
    <row r="126" spans="1:91" ht="15" customHeight="1" x14ac:dyDescent="0.25">
      <c r="A126" s="5601" t="s">
        <v>4692</v>
      </c>
      <c r="B126" s="6312"/>
      <c r="C126" s="523" t="s">
        <v>334</v>
      </c>
      <c r="D126" s="517" t="s">
        <v>4567</v>
      </c>
      <c r="E126" s="483" t="s">
        <v>4568</v>
      </c>
      <c r="F126" s="556" t="s">
        <v>4569</v>
      </c>
      <c r="G126" s="853" t="s">
        <v>4570</v>
      </c>
      <c r="H126" s="854" t="s">
        <v>4571</v>
      </c>
      <c r="I126" s="853" t="s">
        <v>4572</v>
      </c>
      <c r="J126" s="1975" t="s">
        <v>4573</v>
      </c>
      <c r="K126" s="853" t="s">
        <v>4574</v>
      </c>
      <c r="L126" s="1975" t="s">
        <v>4575</v>
      </c>
      <c r="M126" s="968" t="s">
        <v>4576</v>
      </c>
      <c r="N126" s="1975" t="s">
        <v>4577</v>
      </c>
      <c r="O126" s="853" t="s">
        <v>4578</v>
      </c>
      <c r="P126" s="1975" t="s">
        <v>4579</v>
      </c>
      <c r="Q126" s="853" t="s">
        <v>4580</v>
      </c>
      <c r="R126" s="1975" t="s">
        <v>4581</v>
      </c>
      <c r="S126" s="853" t="s">
        <v>4582</v>
      </c>
      <c r="T126" s="1975" t="s">
        <v>4583</v>
      </c>
      <c r="U126" s="853" t="s">
        <v>4584</v>
      </c>
      <c r="V126" s="1975" t="s">
        <v>4585</v>
      </c>
      <c r="W126" s="2015" t="s">
        <v>4586</v>
      </c>
      <c r="X126" s="1975" t="s">
        <v>4587</v>
      </c>
      <c r="Y126" s="2015" t="s">
        <v>4588</v>
      </c>
      <c r="Z126" s="1975" t="s">
        <v>4589</v>
      </c>
      <c r="AA126" s="2364" t="s">
        <v>4590</v>
      </c>
      <c r="AB126" s="2365" t="s">
        <v>4591</v>
      </c>
      <c r="AC126" s="2364" t="s">
        <v>4592</v>
      </c>
      <c r="AD126" s="2366" t="s">
        <v>4593</v>
      </c>
      <c r="AE126" s="1936" t="str">
        <f t="shared" si="33"/>
        <v xml:space="preserve">* La variable Pueblos Originarios no debe ser mayor al Total Ambos Sexos. * La variable Migrantes no debe ser mayor al Total Ambos Sexos. </v>
      </c>
      <c r="CB126" s="2195" t="str">
        <f t="shared" si="34"/>
        <v xml:space="preserve">* La variable Pueblos Originarios no debe ser mayor al Total Ambos Sexos. </v>
      </c>
      <c r="CC126" s="2195" t="str">
        <f t="shared" si="35"/>
        <v xml:space="preserve">* La variable Migrantes no debe ser mayor al Total Ambos Sexos. </v>
      </c>
      <c r="CL126" s="2362">
        <f t="shared" si="36"/>
        <v>1</v>
      </c>
      <c r="CM126" s="2362">
        <f t="shared" si="37"/>
        <v>1</v>
      </c>
    </row>
    <row r="127" spans="1:91" ht="15" customHeight="1" x14ac:dyDescent="0.25">
      <c r="A127" s="5601" t="s">
        <v>4693</v>
      </c>
      <c r="B127" s="6310" t="s">
        <v>335</v>
      </c>
      <c r="C127" s="2197" t="s">
        <v>330</v>
      </c>
      <c r="D127" s="2357" t="s">
        <v>4567</v>
      </c>
      <c r="E127" s="2291" t="s">
        <v>4568</v>
      </c>
      <c r="F127" s="2358" t="s">
        <v>4569</v>
      </c>
      <c r="G127" s="2175" t="s">
        <v>4570</v>
      </c>
      <c r="H127" s="2176" t="s">
        <v>4571</v>
      </c>
      <c r="I127" s="2175" t="s">
        <v>4572</v>
      </c>
      <c r="J127" s="1962" t="s">
        <v>4573</v>
      </c>
      <c r="K127" s="2175" t="s">
        <v>4574</v>
      </c>
      <c r="L127" s="1962" t="s">
        <v>4575</v>
      </c>
      <c r="M127" s="2359" t="s">
        <v>4576</v>
      </c>
      <c r="N127" s="1962" t="s">
        <v>4577</v>
      </c>
      <c r="O127" s="2175" t="s">
        <v>4578</v>
      </c>
      <c r="P127" s="1962" t="s">
        <v>4579</v>
      </c>
      <c r="Q127" s="2175" t="s">
        <v>4580</v>
      </c>
      <c r="R127" s="1962" t="s">
        <v>4581</v>
      </c>
      <c r="S127" s="2175" t="s">
        <v>4582</v>
      </c>
      <c r="T127" s="1962" t="s">
        <v>4583</v>
      </c>
      <c r="U127" s="2175" t="s">
        <v>4584</v>
      </c>
      <c r="V127" s="1962" t="s">
        <v>4585</v>
      </c>
      <c r="W127" s="2204" t="s">
        <v>4586</v>
      </c>
      <c r="X127" s="1962" t="s">
        <v>4587</v>
      </c>
      <c r="Y127" s="2204" t="s">
        <v>4588</v>
      </c>
      <c r="Z127" s="1962" t="s">
        <v>4589</v>
      </c>
      <c r="AA127" s="2327" t="s">
        <v>4590</v>
      </c>
      <c r="AB127" s="2360" t="s">
        <v>4591</v>
      </c>
      <c r="AC127" s="2327" t="s">
        <v>4592</v>
      </c>
      <c r="AD127" s="2361" t="s">
        <v>4593</v>
      </c>
      <c r="AE127" s="1936" t="str">
        <f t="shared" si="33"/>
        <v xml:space="preserve">* La variable Pueblos Originarios no debe ser mayor al Total Ambos Sexos. * La variable Migrantes no debe ser mayor al Total Ambos Sexos. </v>
      </c>
      <c r="CB127" s="2195" t="str">
        <f t="shared" si="34"/>
        <v xml:space="preserve">* La variable Pueblos Originarios no debe ser mayor al Total Ambos Sexos. </v>
      </c>
      <c r="CC127" s="2195" t="str">
        <f t="shared" si="35"/>
        <v xml:space="preserve">* La variable Migrantes no debe ser mayor al Total Ambos Sexos. </v>
      </c>
      <c r="CL127" s="2362">
        <f t="shared" si="36"/>
        <v>1</v>
      </c>
      <c r="CM127" s="2362">
        <f t="shared" si="37"/>
        <v>1</v>
      </c>
    </row>
    <row r="128" spans="1:91" ht="15" customHeight="1" x14ac:dyDescent="0.25">
      <c r="A128" s="5601" t="s">
        <v>4694</v>
      </c>
      <c r="B128" s="6311"/>
      <c r="C128" s="318" t="s">
        <v>331</v>
      </c>
      <c r="D128" s="295" t="s">
        <v>4567</v>
      </c>
      <c r="E128" s="2292" t="s">
        <v>4568</v>
      </c>
      <c r="F128" s="574" t="s">
        <v>4569</v>
      </c>
      <c r="G128" s="328" t="s">
        <v>4570</v>
      </c>
      <c r="H128" s="329" t="s">
        <v>4571</v>
      </c>
      <c r="I128" s="328" t="s">
        <v>4572</v>
      </c>
      <c r="J128" s="1969" t="s">
        <v>4573</v>
      </c>
      <c r="K128" s="328" t="s">
        <v>4574</v>
      </c>
      <c r="L128" s="1969" t="s">
        <v>4575</v>
      </c>
      <c r="M128" s="330" t="s">
        <v>4576</v>
      </c>
      <c r="N128" s="1969" t="s">
        <v>4577</v>
      </c>
      <c r="O128" s="328" t="s">
        <v>4578</v>
      </c>
      <c r="P128" s="1969" t="s">
        <v>4579</v>
      </c>
      <c r="Q128" s="328" t="s">
        <v>4580</v>
      </c>
      <c r="R128" s="1969" t="s">
        <v>4581</v>
      </c>
      <c r="S128" s="328" t="s">
        <v>4582</v>
      </c>
      <c r="T128" s="1969" t="s">
        <v>4583</v>
      </c>
      <c r="U128" s="328" t="s">
        <v>4584</v>
      </c>
      <c r="V128" s="1969" t="s">
        <v>4585</v>
      </c>
      <c r="W128" s="2200" t="s">
        <v>4586</v>
      </c>
      <c r="X128" s="1969" t="s">
        <v>4587</v>
      </c>
      <c r="Y128" s="2200" t="s">
        <v>4588</v>
      </c>
      <c r="Z128" s="1969" t="s">
        <v>4589</v>
      </c>
      <c r="AA128" s="2363" t="s">
        <v>4590</v>
      </c>
      <c r="AB128" s="2063" t="s">
        <v>4591</v>
      </c>
      <c r="AC128" s="2363" t="s">
        <v>4592</v>
      </c>
      <c r="AD128" s="2060" t="s">
        <v>4593</v>
      </c>
      <c r="AE128" s="1936" t="str">
        <f t="shared" si="33"/>
        <v xml:space="preserve">* La variable Pueblos Originarios no debe ser mayor al Total Ambos Sexos. * La variable Migrantes no debe ser mayor al Total Ambos Sexos. </v>
      </c>
      <c r="CB128" s="2195" t="str">
        <f t="shared" si="34"/>
        <v xml:space="preserve">* La variable Pueblos Originarios no debe ser mayor al Total Ambos Sexos. </v>
      </c>
      <c r="CC128" s="2195" t="str">
        <f t="shared" si="35"/>
        <v xml:space="preserve">* La variable Migrantes no debe ser mayor al Total Ambos Sexos. </v>
      </c>
      <c r="CL128" s="2362">
        <f t="shared" si="36"/>
        <v>1</v>
      </c>
      <c r="CM128" s="2362">
        <f t="shared" si="37"/>
        <v>1</v>
      </c>
    </row>
    <row r="129" spans="1:91" ht="15" customHeight="1" x14ac:dyDescent="0.25">
      <c r="A129" s="5601" t="s">
        <v>4695</v>
      </c>
      <c r="B129" s="6311"/>
      <c r="C129" s="360" t="s">
        <v>332</v>
      </c>
      <c r="D129" s="295" t="s">
        <v>4567</v>
      </c>
      <c r="E129" s="2292" t="s">
        <v>4568</v>
      </c>
      <c r="F129" s="574" t="s">
        <v>4569</v>
      </c>
      <c r="G129" s="328" t="s">
        <v>4570</v>
      </c>
      <c r="H129" s="329" t="s">
        <v>4571</v>
      </c>
      <c r="I129" s="328" t="s">
        <v>4572</v>
      </c>
      <c r="J129" s="1969" t="s">
        <v>4573</v>
      </c>
      <c r="K129" s="328" t="s">
        <v>4574</v>
      </c>
      <c r="L129" s="1969" t="s">
        <v>4575</v>
      </c>
      <c r="M129" s="330" t="s">
        <v>4576</v>
      </c>
      <c r="N129" s="1969" t="s">
        <v>4577</v>
      </c>
      <c r="O129" s="328" t="s">
        <v>4578</v>
      </c>
      <c r="P129" s="1969" t="s">
        <v>4579</v>
      </c>
      <c r="Q129" s="328" t="s">
        <v>4580</v>
      </c>
      <c r="R129" s="1969" t="s">
        <v>4581</v>
      </c>
      <c r="S129" s="328" t="s">
        <v>4582</v>
      </c>
      <c r="T129" s="1969" t="s">
        <v>4583</v>
      </c>
      <c r="U129" s="328" t="s">
        <v>4584</v>
      </c>
      <c r="V129" s="1969" t="s">
        <v>4585</v>
      </c>
      <c r="W129" s="2200" t="s">
        <v>4586</v>
      </c>
      <c r="X129" s="1969" t="s">
        <v>4587</v>
      </c>
      <c r="Y129" s="2200" t="s">
        <v>4588</v>
      </c>
      <c r="Z129" s="1969" t="s">
        <v>4589</v>
      </c>
      <c r="AA129" s="2363" t="s">
        <v>4590</v>
      </c>
      <c r="AB129" s="2063" t="s">
        <v>4591</v>
      </c>
      <c r="AC129" s="2363" t="s">
        <v>4592</v>
      </c>
      <c r="AD129" s="2060" t="s">
        <v>4593</v>
      </c>
      <c r="AE129" s="1936" t="str">
        <f t="shared" si="33"/>
        <v xml:space="preserve">* La variable Pueblos Originarios no debe ser mayor al Total Ambos Sexos. * La variable Migrantes no debe ser mayor al Total Ambos Sexos. </v>
      </c>
      <c r="CB129" s="2195" t="str">
        <f t="shared" si="34"/>
        <v xml:space="preserve">* La variable Pueblos Originarios no debe ser mayor al Total Ambos Sexos. </v>
      </c>
      <c r="CC129" s="2195" t="str">
        <f t="shared" si="35"/>
        <v xml:space="preserve">* La variable Migrantes no debe ser mayor al Total Ambos Sexos. </v>
      </c>
      <c r="CL129" s="2362">
        <f t="shared" si="36"/>
        <v>1</v>
      </c>
      <c r="CM129" s="2362">
        <f t="shared" si="37"/>
        <v>1</v>
      </c>
    </row>
    <row r="130" spans="1:91" ht="15" customHeight="1" x14ac:dyDescent="0.25">
      <c r="A130" s="5601" t="s">
        <v>4696</v>
      </c>
      <c r="B130" s="6050"/>
      <c r="C130" s="360" t="s">
        <v>333</v>
      </c>
      <c r="D130" s="357" t="s">
        <v>4567</v>
      </c>
      <c r="E130" s="478" t="s">
        <v>4568</v>
      </c>
      <c r="F130" s="553" t="s">
        <v>4569</v>
      </c>
      <c r="G130" s="328" t="s">
        <v>4570</v>
      </c>
      <c r="H130" s="329" t="s">
        <v>4571</v>
      </c>
      <c r="I130" s="328" t="s">
        <v>4572</v>
      </c>
      <c r="J130" s="1969" t="s">
        <v>4573</v>
      </c>
      <c r="K130" s="328" t="s">
        <v>4574</v>
      </c>
      <c r="L130" s="1969" t="s">
        <v>4575</v>
      </c>
      <c r="M130" s="330" t="s">
        <v>4576</v>
      </c>
      <c r="N130" s="1969" t="s">
        <v>4577</v>
      </c>
      <c r="O130" s="328" t="s">
        <v>4578</v>
      </c>
      <c r="P130" s="1969" t="s">
        <v>4579</v>
      </c>
      <c r="Q130" s="328" t="s">
        <v>4580</v>
      </c>
      <c r="R130" s="1969" t="s">
        <v>4581</v>
      </c>
      <c r="S130" s="328" t="s">
        <v>4582</v>
      </c>
      <c r="T130" s="1969" t="s">
        <v>4583</v>
      </c>
      <c r="U130" s="328" t="s">
        <v>4584</v>
      </c>
      <c r="V130" s="1969" t="s">
        <v>4585</v>
      </c>
      <c r="W130" s="2200" t="s">
        <v>4586</v>
      </c>
      <c r="X130" s="1969" t="s">
        <v>4587</v>
      </c>
      <c r="Y130" s="2200" t="s">
        <v>4588</v>
      </c>
      <c r="Z130" s="1969" t="s">
        <v>4589</v>
      </c>
      <c r="AA130" s="2363" t="s">
        <v>4590</v>
      </c>
      <c r="AB130" s="2063" t="s">
        <v>4591</v>
      </c>
      <c r="AC130" s="2363" t="s">
        <v>4592</v>
      </c>
      <c r="AD130" s="2060" t="s">
        <v>4593</v>
      </c>
      <c r="AE130" s="1936" t="str">
        <f t="shared" si="33"/>
        <v xml:space="preserve">* La variable Pueblos Originarios no debe ser mayor al Total Ambos Sexos. * La variable Migrantes no debe ser mayor al Total Ambos Sexos. </v>
      </c>
      <c r="CB130" s="2195" t="str">
        <f t="shared" si="34"/>
        <v xml:space="preserve">* La variable Pueblos Originarios no debe ser mayor al Total Ambos Sexos. </v>
      </c>
      <c r="CC130" s="2195" t="str">
        <f t="shared" si="35"/>
        <v xml:space="preserve">* La variable Migrantes no debe ser mayor al Total Ambos Sexos. </v>
      </c>
      <c r="CL130" s="2362">
        <f t="shared" si="36"/>
        <v>1</v>
      </c>
      <c r="CM130" s="2362">
        <f t="shared" si="37"/>
        <v>1</v>
      </c>
    </row>
    <row r="131" spans="1:91" ht="15" customHeight="1" x14ac:dyDescent="0.25">
      <c r="A131" s="5601" t="s">
        <v>4697</v>
      </c>
      <c r="B131" s="6312"/>
      <c r="C131" s="523" t="s">
        <v>334</v>
      </c>
      <c r="D131" s="517" t="s">
        <v>4567</v>
      </c>
      <c r="E131" s="483" t="s">
        <v>4568</v>
      </c>
      <c r="F131" s="556" t="s">
        <v>4569</v>
      </c>
      <c r="G131" s="853" t="s">
        <v>4570</v>
      </c>
      <c r="H131" s="854" t="s">
        <v>4571</v>
      </c>
      <c r="I131" s="853" t="s">
        <v>4572</v>
      </c>
      <c r="J131" s="1975" t="s">
        <v>4573</v>
      </c>
      <c r="K131" s="853" t="s">
        <v>4574</v>
      </c>
      <c r="L131" s="1975" t="s">
        <v>4575</v>
      </c>
      <c r="M131" s="968" t="s">
        <v>4576</v>
      </c>
      <c r="N131" s="1975" t="s">
        <v>4577</v>
      </c>
      <c r="O131" s="853" t="s">
        <v>4578</v>
      </c>
      <c r="P131" s="1975" t="s">
        <v>4579</v>
      </c>
      <c r="Q131" s="853" t="s">
        <v>4580</v>
      </c>
      <c r="R131" s="1975" t="s">
        <v>4581</v>
      </c>
      <c r="S131" s="853" t="s">
        <v>4582</v>
      </c>
      <c r="T131" s="1975" t="s">
        <v>4583</v>
      </c>
      <c r="U131" s="853" t="s">
        <v>4584</v>
      </c>
      <c r="V131" s="1975" t="s">
        <v>4585</v>
      </c>
      <c r="W131" s="2015" t="s">
        <v>4586</v>
      </c>
      <c r="X131" s="1975" t="s">
        <v>4587</v>
      </c>
      <c r="Y131" s="2015" t="s">
        <v>4588</v>
      </c>
      <c r="Z131" s="1975" t="s">
        <v>4589</v>
      </c>
      <c r="AA131" s="2364" t="s">
        <v>4590</v>
      </c>
      <c r="AB131" s="2365" t="s">
        <v>4591</v>
      </c>
      <c r="AC131" s="2364" t="s">
        <v>4592</v>
      </c>
      <c r="AD131" s="2366" t="s">
        <v>4593</v>
      </c>
      <c r="AE131" s="1936" t="str">
        <f t="shared" si="33"/>
        <v xml:space="preserve">* La variable Pueblos Originarios no debe ser mayor al Total Ambos Sexos. * La variable Migrantes no debe ser mayor al Total Ambos Sexos. </v>
      </c>
      <c r="CB131" s="2195" t="str">
        <f t="shared" si="34"/>
        <v xml:space="preserve">* La variable Pueblos Originarios no debe ser mayor al Total Ambos Sexos. </v>
      </c>
      <c r="CC131" s="2195" t="str">
        <f t="shared" si="35"/>
        <v xml:space="preserve">* La variable Migrantes no debe ser mayor al Total Ambos Sexos. </v>
      </c>
      <c r="CL131" s="2362">
        <f t="shared" si="36"/>
        <v>1</v>
      </c>
      <c r="CM131" s="2362">
        <f t="shared" si="37"/>
        <v>1</v>
      </c>
    </row>
    <row r="132" spans="1:91" ht="15" customHeight="1" x14ac:dyDescent="0.25">
      <c r="A132" s="5601" t="s">
        <v>4698</v>
      </c>
      <c r="B132" s="6111" t="s">
        <v>336</v>
      </c>
      <c r="C132" s="2197" t="s">
        <v>330</v>
      </c>
      <c r="D132" s="2357" t="s">
        <v>4567</v>
      </c>
      <c r="E132" s="2291" t="s">
        <v>4568</v>
      </c>
      <c r="F132" s="2358" t="s">
        <v>4569</v>
      </c>
      <c r="G132" s="2175" t="s">
        <v>4570</v>
      </c>
      <c r="H132" s="2176" t="s">
        <v>4571</v>
      </c>
      <c r="I132" s="2175" t="s">
        <v>4572</v>
      </c>
      <c r="J132" s="1962" t="s">
        <v>4573</v>
      </c>
      <c r="K132" s="2175" t="s">
        <v>4574</v>
      </c>
      <c r="L132" s="1962" t="s">
        <v>4575</v>
      </c>
      <c r="M132" s="2359" t="s">
        <v>4576</v>
      </c>
      <c r="N132" s="1962" t="s">
        <v>4577</v>
      </c>
      <c r="O132" s="2175" t="s">
        <v>4578</v>
      </c>
      <c r="P132" s="1962" t="s">
        <v>4579</v>
      </c>
      <c r="Q132" s="2175" t="s">
        <v>4580</v>
      </c>
      <c r="R132" s="1962" t="s">
        <v>4581</v>
      </c>
      <c r="S132" s="2175" t="s">
        <v>4582</v>
      </c>
      <c r="T132" s="1962" t="s">
        <v>4583</v>
      </c>
      <c r="U132" s="2175" t="s">
        <v>4584</v>
      </c>
      <c r="V132" s="1962" t="s">
        <v>4585</v>
      </c>
      <c r="W132" s="2204" t="s">
        <v>4586</v>
      </c>
      <c r="X132" s="1962" t="s">
        <v>4587</v>
      </c>
      <c r="Y132" s="2204" t="s">
        <v>4588</v>
      </c>
      <c r="Z132" s="1962" t="s">
        <v>4589</v>
      </c>
      <c r="AA132" s="2327" t="s">
        <v>4590</v>
      </c>
      <c r="AB132" s="2360" t="s">
        <v>4591</v>
      </c>
      <c r="AC132" s="2327" t="s">
        <v>4592</v>
      </c>
      <c r="AD132" s="2361" t="s">
        <v>4593</v>
      </c>
      <c r="AE132" s="1936" t="str">
        <f t="shared" si="33"/>
        <v xml:space="preserve">* La variable Pueblos Originarios no debe ser mayor al Total Ambos Sexos. * La variable Migrantes no debe ser mayor al Total Ambos Sexos. </v>
      </c>
      <c r="CB132" s="2195" t="str">
        <f t="shared" si="34"/>
        <v xml:space="preserve">* La variable Pueblos Originarios no debe ser mayor al Total Ambos Sexos. </v>
      </c>
      <c r="CC132" s="2195" t="str">
        <f t="shared" si="35"/>
        <v xml:space="preserve">* La variable Migrantes no debe ser mayor al Total Ambos Sexos. </v>
      </c>
      <c r="CL132" s="2362">
        <f t="shared" si="36"/>
        <v>1</v>
      </c>
      <c r="CM132" s="2362">
        <f t="shared" si="37"/>
        <v>1</v>
      </c>
    </row>
    <row r="133" spans="1:91" ht="15" customHeight="1" x14ac:dyDescent="0.25">
      <c r="A133" s="5601" t="s">
        <v>4699</v>
      </c>
      <c r="B133" s="6112"/>
      <c r="C133" s="318" t="s">
        <v>331</v>
      </c>
      <c r="D133" s="295" t="s">
        <v>4567</v>
      </c>
      <c r="E133" s="2292" t="s">
        <v>4568</v>
      </c>
      <c r="F133" s="574" t="s">
        <v>4569</v>
      </c>
      <c r="G133" s="328" t="s">
        <v>4570</v>
      </c>
      <c r="H133" s="329" t="s">
        <v>4571</v>
      </c>
      <c r="I133" s="328" t="s">
        <v>4572</v>
      </c>
      <c r="J133" s="1969" t="s">
        <v>4573</v>
      </c>
      <c r="K133" s="328" t="s">
        <v>4574</v>
      </c>
      <c r="L133" s="1969" t="s">
        <v>4575</v>
      </c>
      <c r="M133" s="330" t="s">
        <v>4576</v>
      </c>
      <c r="N133" s="1969" t="s">
        <v>4577</v>
      </c>
      <c r="O133" s="328" t="s">
        <v>4578</v>
      </c>
      <c r="P133" s="1969" t="s">
        <v>4579</v>
      </c>
      <c r="Q133" s="328" t="s">
        <v>4580</v>
      </c>
      <c r="R133" s="1969" t="s">
        <v>4581</v>
      </c>
      <c r="S133" s="328" t="s">
        <v>4582</v>
      </c>
      <c r="T133" s="1969" t="s">
        <v>4583</v>
      </c>
      <c r="U133" s="328" t="s">
        <v>4584</v>
      </c>
      <c r="V133" s="1969" t="s">
        <v>4585</v>
      </c>
      <c r="W133" s="2200" t="s">
        <v>4586</v>
      </c>
      <c r="X133" s="1969" t="s">
        <v>4587</v>
      </c>
      <c r="Y133" s="2200" t="s">
        <v>4588</v>
      </c>
      <c r="Z133" s="1969" t="s">
        <v>4589</v>
      </c>
      <c r="AA133" s="2363" t="s">
        <v>4590</v>
      </c>
      <c r="AB133" s="2063" t="s">
        <v>4591</v>
      </c>
      <c r="AC133" s="2363" t="s">
        <v>4592</v>
      </c>
      <c r="AD133" s="2060" t="s">
        <v>4593</v>
      </c>
      <c r="AE133" s="1936" t="str">
        <f t="shared" si="33"/>
        <v xml:space="preserve">* La variable Pueblos Originarios no debe ser mayor al Total Ambos Sexos. * La variable Migrantes no debe ser mayor al Total Ambos Sexos. </v>
      </c>
      <c r="CB133" s="2195" t="str">
        <f t="shared" si="34"/>
        <v xml:space="preserve">* La variable Pueblos Originarios no debe ser mayor al Total Ambos Sexos. </v>
      </c>
      <c r="CC133" s="2195" t="str">
        <f t="shared" si="35"/>
        <v xml:space="preserve">* La variable Migrantes no debe ser mayor al Total Ambos Sexos. </v>
      </c>
      <c r="CL133" s="2362">
        <f t="shared" si="36"/>
        <v>1</v>
      </c>
      <c r="CM133" s="2362">
        <f t="shared" si="37"/>
        <v>1</v>
      </c>
    </row>
    <row r="134" spans="1:91" ht="15" customHeight="1" x14ac:dyDescent="0.25">
      <c r="A134" s="5601" t="s">
        <v>4700</v>
      </c>
      <c r="B134" s="6112"/>
      <c r="C134" s="360" t="s">
        <v>332</v>
      </c>
      <c r="D134" s="295" t="s">
        <v>4567</v>
      </c>
      <c r="E134" s="2292" t="s">
        <v>4568</v>
      </c>
      <c r="F134" s="574" t="s">
        <v>4569</v>
      </c>
      <c r="G134" s="328" t="s">
        <v>4570</v>
      </c>
      <c r="H134" s="329" t="s">
        <v>4571</v>
      </c>
      <c r="I134" s="328" t="s">
        <v>4572</v>
      </c>
      <c r="J134" s="1969" t="s">
        <v>4573</v>
      </c>
      <c r="K134" s="328" t="s">
        <v>4574</v>
      </c>
      <c r="L134" s="1969" t="s">
        <v>4575</v>
      </c>
      <c r="M134" s="330" t="s">
        <v>4576</v>
      </c>
      <c r="N134" s="1969" t="s">
        <v>4577</v>
      </c>
      <c r="O134" s="328" t="s">
        <v>4578</v>
      </c>
      <c r="P134" s="1969" t="s">
        <v>4579</v>
      </c>
      <c r="Q134" s="328" t="s">
        <v>4580</v>
      </c>
      <c r="R134" s="1969" t="s">
        <v>4581</v>
      </c>
      <c r="S134" s="328" t="s">
        <v>4582</v>
      </c>
      <c r="T134" s="1969" t="s">
        <v>4583</v>
      </c>
      <c r="U134" s="328" t="s">
        <v>4584</v>
      </c>
      <c r="V134" s="1969" t="s">
        <v>4585</v>
      </c>
      <c r="W134" s="2200" t="s">
        <v>4586</v>
      </c>
      <c r="X134" s="1969" t="s">
        <v>4587</v>
      </c>
      <c r="Y134" s="2200" t="s">
        <v>4588</v>
      </c>
      <c r="Z134" s="1969" t="s">
        <v>4589</v>
      </c>
      <c r="AA134" s="2363" t="s">
        <v>4590</v>
      </c>
      <c r="AB134" s="2063" t="s">
        <v>4591</v>
      </c>
      <c r="AC134" s="2363" t="s">
        <v>4592</v>
      </c>
      <c r="AD134" s="2060" t="s">
        <v>4593</v>
      </c>
      <c r="AE134" s="1936" t="str">
        <f t="shared" si="33"/>
        <v xml:space="preserve">* La variable Pueblos Originarios no debe ser mayor al Total Ambos Sexos. * La variable Migrantes no debe ser mayor al Total Ambos Sexos. </v>
      </c>
      <c r="CB134" s="2195" t="str">
        <f t="shared" si="34"/>
        <v xml:space="preserve">* La variable Pueblos Originarios no debe ser mayor al Total Ambos Sexos. </v>
      </c>
      <c r="CC134" s="2195" t="str">
        <f t="shared" si="35"/>
        <v xml:space="preserve">* La variable Migrantes no debe ser mayor al Total Ambos Sexos. </v>
      </c>
      <c r="CL134" s="2362">
        <f t="shared" si="36"/>
        <v>1</v>
      </c>
      <c r="CM134" s="2362">
        <f t="shared" si="37"/>
        <v>1</v>
      </c>
    </row>
    <row r="135" spans="1:91" ht="15" customHeight="1" x14ac:dyDescent="0.25">
      <c r="A135" s="5601" t="s">
        <v>4701</v>
      </c>
      <c r="B135" s="6112"/>
      <c r="C135" s="360" t="s">
        <v>333</v>
      </c>
      <c r="D135" s="357" t="s">
        <v>4567</v>
      </c>
      <c r="E135" s="478" t="s">
        <v>4568</v>
      </c>
      <c r="F135" s="553" t="s">
        <v>4569</v>
      </c>
      <c r="G135" s="328" t="s">
        <v>4570</v>
      </c>
      <c r="H135" s="329" t="s">
        <v>4571</v>
      </c>
      <c r="I135" s="328" t="s">
        <v>4572</v>
      </c>
      <c r="J135" s="1969" t="s">
        <v>4573</v>
      </c>
      <c r="K135" s="328" t="s">
        <v>4574</v>
      </c>
      <c r="L135" s="1969" t="s">
        <v>4575</v>
      </c>
      <c r="M135" s="330" t="s">
        <v>4576</v>
      </c>
      <c r="N135" s="1969" t="s">
        <v>4577</v>
      </c>
      <c r="O135" s="328" t="s">
        <v>4578</v>
      </c>
      <c r="P135" s="1969" t="s">
        <v>4579</v>
      </c>
      <c r="Q135" s="328" t="s">
        <v>4580</v>
      </c>
      <c r="R135" s="1969" t="s">
        <v>4581</v>
      </c>
      <c r="S135" s="328" t="s">
        <v>4582</v>
      </c>
      <c r="T135" s="1969" t="s">
        <v>4583</v>
      </c>
      <c r="U135" s="328" t="s">
        <v>4584</v>
      </c>
      <c r="V135" s="1969" t="s">
        <v>4585</v>
      </c>
      <c r="W135" s="2200" t="s">
        <v>4586</v>
      </c>
      <c r="X135" s="1969" t="s">
        <v>4587</v>
      </c>
      <c r="Y135" s="2200" t="s">
        <v>4588</v>
      </c>
      <c r="Z135" s="1969" t="s">
        <v>4589</v>
      </c>
      <c r="AA135" s="2363" t="s">
        <v>4590</v>
      </c>
      <c r="AB135" s="2063" t="s">
        <v>4591</v>
      </c>
      <c r="AC135" s="2363" t="s">
        <v>4592</v>
      </c>
      <c r="AD135" s="2060" t="s">
        <v>4593</v>
      </c>
      <c r="AE135" s="1936" t="str">
        <f t="shared" si="33"/>
        <v xml:space="preserve">* La variable Pueblos Originarios no debe ser mayor al Total Ambos Sexos. * La variable Migrantes no debe ser mayor al Total Ambos Sexos. </v>
      </c>
      <c r="CB135" s="2195" t="str">
        <f t="shared" si="34"/>
        <v xml:space="preserve">* La variable Pueblos Originarios no debe ser mayor al Total Ambos Sexos. </v>
      </c>
      <c r="CC135" s="2195" t="str">
        <f t="shared" si="35"/>
        <v xml:space="preserve">* La variable Migrantes no debe ser mayor al Total Ambos Sexos. </v>
      </c>
      <c r="CL135" s="2362">
        <f t="shared" si="36"/>
        <v>1</v>
      </c>
      <c r="CM135" s="2362">
        <f t="shared" si="37"/>
        <v>1</v>
      </c>
    </row>
    <row r="136" spans="1:91" ht="15" customHeight="1" x14ac:dyDescent="0.25">
      <c r="A136" s="5601" t="s">
        <v>4702</v>
      </c>
      <c r="B136" s="6113"/>
      <c r="C136" s="523" t="s">
        <v>334</v>
      </c>
      <c r="D136" s="517" t="s">
        <v>4567</v>
      </c>
      <c r="E136" s="483" t="s">
        <v>4568</v>
      </c>
      <c r="F136" s="556" t="s">
        <v>4569</v>
      </c>
      <c r="G136" s="853" t="s">
        <v>4570</v>
      </c>
      <c r="H136" s="854" t="s">
        <v>4571</v>
      </c>
      <c r="I136" s="853" t="s">
        <v>4572</v>
      </c>
      <c r="J136" s="1975" t="s">
        <v>4573</v>
      </c>
      <c r="K136" s="853" t="s">
        <v>4574</v>
      </c>
      <c r="L136" s="1975" t="s">
        <v>4575</v>
      </c>
      <c r="M136" s="968" t="s">
        <v>4576</v>
      </c>
      <c r="N136" s="1975" t="s">
        <v>4577</v>
      </c>
      <c r="O136" s="853" t="s">
        <v>4578</v>
      </c>
      <c r="P136" s="1975" t="s">
        <v>4579</v>
      </c>
      <c r="Q136" s="853" t="s">
        <v>4580</v>
      </c>
      <c r="R136" s="1975" t="s">
        <v>4581</v>
      </c>
      <c r="S136" s="853" t="s">
        <v>4582</v>
      </c>
      <c r="T136" s="1975" t="s">
        <v>4583</v>
      </c>
      <c r="U136" s="853" t="s">
        <v>4584</v>
      </c>
      <c r="V136" s="1975" t="s">
        <v>4585</v>
      </c>
      <c r="W136" s="2015" t="s">
        <v>4586</v>
      </c>
      <c r="X136" s="1975" t="s">
        <v>4587</v>
      </c>
      <c r="Y136" s="2015" t="s">
        <v>4588</v>
      </c>
      <c r="Z136" s="1975" t="s">
        <v>4589</v>
      </c>
      <c r="AA136" s="2364" t="s">
        <v>4590</v>
      </c>
      <c r="AB136" s="2365" t="s">
        <v>4591</v>
      </c>
      <c r="AC136" s="2364" t="s">
        <v>4592</v>
      </c>
      <c r="AD136" s="2366" t="s">
        <v>4593</v>
      </c>
      <c r="AE136" s="1936" t="str">
        <f t="shared" si="33"/>
        <v xml:space="preserve">* La variable Pueblos Originarios no debe ser mayor al Total Ambos Sexos. * La variable Migrantes no debe ser mayor al Total Ambos Sexos. </v>
      </c>
      <c r="CB136" s="2195" t="str">
        <f t="shared" si="34"/>
        <v xml:space="preserve">* La variable Pueblos Originarios no debe ser mayor al Total Ambos Sexos. </v>
      </c>
      <c r="CC136" s="2195" t="str">
        <f t="shared" si="35"/>
        <v xml:space="preserve">* La variable Migrantes no debe ser mayor al Total Ambos Sexos. </v>
      </c>
      <c r="CL136" s="2362">
        <f t="shared" si="36"/>
        <v>1</v>
      </c>
      <c r="CM136" s="2362">
        <f t="shared" si="37"/>
        <v>1</v>
      </c>
    </row>
    <row r="137" spans="1:91" ht="15" customHeight="1" x14ac:dyDescent="0.25">
      <c r="A137" s="5601" t="s">
        <v>4703</v>
      </c>
      <c r="B137" s="6310" t="s">
        <v>337</v>
      </c>
      <c r="C137" s="2197" t="s">
        <v>330</v>
      </c>
      <c r="D137" s="2357" t="s">
        <v>4567</v>
      </c>
      <c r="E137" s="2291" t="s">
        <v>4568</v>
      </c>
      <c r="F137" s="2358" t="s">
        <v>4569</v>
      </c>
      <c r="G137" s="2175" t="s">
        <v>4570</v>
      </c>
      <c r="H137" s="2176" t="s">
        <v>4571</v>
      </c>
      <c r="I137" s="2175" t="s">
        <v>4572</v>
      </c>
      <c r="J137" s="1962" t="s">
        <v>4573</v>
      </c>
      <c r="K137" s="2175" t="s">
        <v>4574</v>
      </c>
      <c r="L137" s="1962" t="s">
        <v>4575</v>
      </c>
      <c r="M137" s="2359" t="s">
        <v>4576</v>
      </c>
      <c r="N137" s="1962" t="s">
        <v>4577</v>
      </c>
      <c r="O137" s="2175" t="s">
        <v>4578</v>
      </c>
      <c r="P137" s="1962" t="s">
        <v>4579</v>
      </c>
      <c r="Q137" s="2175" t="s">
        <v>4580</v>
      </c>
      <c r="R137" s="1962" t="s">
        <v>4581</v>
      </c>
      <c r="S137" s="2175" t="s">
        <v>4582</v>
      </c>
      <c r="T137" s="1962" t="s">
        <v>4583</v>
      </c>
      <c r="U137" s="2175" t="s">
        <v>4584</v>
      </c>
      <c r="V137" s="1962" t="s">
        <v>4585</v>
      </c>
      <c r="W137" s="2204" t="s">
        <v>4586</v>
      </c>
      <c r="X137" s="1962" t="s">
        <v>4587</v>
      </c>
      <c r="Y137" s="2204" t="s">
        <v>4588</v>
      </c>
      <c r="Z137" s="1962" t="s">
        <v>4589</v>
      </c>
      <c r="AA137" s="2327" t="s">
        <v>4590</v>
      </c>
      <c r="AB137" s="2360" t="s">
        <v>4591</v>
      </c>
      <c r="AC137" s="2327" t="s">
        <v>4592</v>
      </c>
      <c r="AD137" s="2361" t="s">
        <v>4593</v>
      </c>
      <c r="AE137" s="1936" t="str">
        <f t="shared" si="33"/>
        <v xml:space="preserve">* La variable Pueblos Originarios no debe ser mayor al Total Ambos Sexos. * La variable Migrantes no debe ser mayor al Total Ambos Sexos. </v>
      </c>
      <c r="CB137" s="2195" t="str">
        <f t="shared" si="34"/>
        <v xml:space="preserve">* La variable Pueblos Originarios no debe ser mayor al Total Ambos Sexos. </v>
      </c>
      <c r="CC137" s="2195" t="str">
        <f t="shared" si="35"/>
        <v xml:space="preserve">* La variable Migrantes no debe ser mayor al Total Ambos Sexos. </v>
      </c>
      <c r="CL137" s="2362">
        <f t="shared" si="36"/>
        <v>1</v>
      </c>
      <c r="CM137" s="2362">
        <f t="shared" si="37"/>
        <v>1</v>
      </c>
    </row>
    <row r="138" spans="1:91" ht="15" customHeight="1" x14ac:dyDescent="0.25">
      <c r="A138" s="5601" t="s">
        <v>4704</v>
      </c>
      <c r="B138" s="6311"/>
      <c r="C138" s="318" t="s">
        <v>331</v>
      </c>
      <c r="D138" s="295" t="s">
        <v>4567</v>
      </c>
      <c r="E138" s="2292" t="s">
        <v>4568</v>
      </c>
      <c r="F138" s="574" t="s">
        <v>4569</v>
      </c>
      <c r="G138" s="328" t="s">
        <v>4570</v>
      </c>
      <c r="H138" s="329" t="s">
        <v>4571</v>
      </c>
      <c r="I138" s="328" t="s">
        <v>4572</v>
      </c>
      <c r="J138" s="1969" t="s">
        <v>4573</v>
      </c>
      <c r="K138" s="328" t="s">
        <v>4574</v>
      </c>
      <c r="L138" s="1969" t="s">
        <v>4575</v>
      </c>
      <c r="M138" s="330" t="s">
        <v>4576</v>
      </c>
      <c r="N138" s="1969" t="s">
        <v>4577</v>
      </c>
      <c r="O138" s="328" t="s">
        <v>4578</v>
      </c>
      <c r="P138" s="1969" t="s">
        <v>4579</v>
      </c>
      <c r="Q138" s="328" t="s">
        <v>4580</v>
      </c>
      <c r="R138" s="1969" t="s">
        <v>4581</v>
      </c>
      <c r="S138" s="328" t="s">
        <v>4582</v>
      </c>
      <c r="T138" s="1969" t="s">
        <v>4583</v>
      </c>
      <c r="U138" s="328" t="s">
        <v>4584</v>
      </c>
      <c r="V138" s="1969" t="s">
        <v>4585</v>
      </c>
      <c r="W138" s="2200" t="s">
        <v>4586</v>
      </c>
      <c r="X138" s="1969" t="s">
        <v>4587</v>
      </c>
      <c r="Y138" s="2200" t="s">
        <v>4588</v>
      </c>
      <c r="Z138" s="1969" t="s">
        <v>4589</v>
      </c>
      <c r="AA138" s="2363" t="s">
        <v>4590</v>
      </c>
      <c r="AB138" s="2063" t="s">
        <v>4591</v>
      </c>
      <c r="AC138" s="2363" t="s">
        <v>4592</v>
      </c>
      <c r="AD138" s="2060" t="s">
        <v>4593</v>
      </c>
      <c r="AE138" s="1936" t="str">
        <f t="shared" si="33"/>
        <v xml:space="preserve">* La variable Pueblos Originarios no debe ser mayor al Total Ambos Sexos. * La variable Migrantes no debe ser mayor al Total Ambos Sexos. </v>
      </c>
      <c r="CB138" s="2195" t="str">
        <f t="shared" si="34"/>
        <v xml:space="preserve">* La variable Pueblos Originarios no debe ser mayor al Total Ambos Sexos. </v>
      </c>
      <c r="CC138" s="2195" t="str">
        <f t="shared" si="35"/>
        <v xml:space="preserve">* La variable Migrantes no debe ser mayor al Total Ambos Sexos. </v>
      </c>
      <c r="CL138" s="2362">
        <f t="shared" si="36"/>
        <v>1</v>
      </c>
      <c r="CM138" s="2362">
        <f t="shared" si="37"/>
        <v>1</v>
      </c>
    </row>
    <row r="139" spans="1:91" ht="15" customHeight="1" x14ac:dyDescent="0.25">
      <c r="A139" s="5601" t="s">
        <v>4705</v>
      </c>
      <c r="B139" s="6311"/>
      <c r="C139" s="360" t="s">
        <v>332</v>
      </c>
      <c r="D139" s="295" t="s">
        <v>4567</v>
      </c>
      <c r="E139" s="2292" t="s">
        <v>4568</v>
      </c>
      <c r="F139" s="574" t="s">
        <v>4569</v>
      </c>
      <c r="G139" s="328" t="s">
        <v>4570</v>
      </c>
      <c r="H139" s="329" t="s">
        <v>4571</v>
      </c>
      <c r="I139" s="328" t="s">
        <v>4572</v>
      </c>
      <c r="J139" s="1969" t="s">
        <v>4573</v>
      </c>
      <c r="K139" s="328" t="s">
        <v>4574</v>
      </c>
      <c r="L139" s="1969" t="s">
        <v>4575</v>
      </c>
      <c r="M139" s="330" t="s">
        <v>4576</v>
      </c>
      <c r="N139" s="1969" t="s">
        <v>4577</v>
      </c>
      <c r="O139" s="328" t="s">
        <v>4578</v>
      </c>
      <c r="P139" s="1969" t="s">
        <v>4579</v>
      </c>
      <c r="Q139" s="328" t="s">
        <v>4580</v>
      </c>
      <c r="R139" s="1969" t="s">
        <v>4581</v>
      </c>
      <c r="S139" s="328" t="s">
        <v>4582</v>
      </c>
      <c r="T139" s="1969" t="s">
        <v>4583</v>
      </c>
      <c r="U139" s="328" t="s">
        <v>4584</v>
      </c>
      <c r="V139" s="1969" t="s">
        <v>4585</v>
      </c>
      <c r="W139" s="2200" t="s">
        <v>4586</v>
      </c>
      <c r="X139" s="1969" t="s">
        <v>4587</v>
      </c>
      <c r="Y139" s="2200" t="s">
        <v>4588</v>
      </c>
      <c r="Z139" s="1969" t="s">
        <v>4589</v>
      </c>
      <c r="AA139" s="2363" t="s">
        <v>4590</v>
      </c>
      <c r="AB139" s="2063" t="s">
        <v>4591</v>
      </c>
      <c r="AC139" s="2363" t="s">
        <v>4592</v>
      </c>
      <c r="AD139" s="2060" t="s">
        <v>4593</v>
      </c>
      <c r="AE139" s="1936" t="str">
        <f t="shared" si="33"/>
        <v xml:space="preserve">* La variable Pueblos Originarios no debe ser mayor al Total Ambos Sexos. * La variable Migrantes no debe ser mayor al Total Ambos Sexos. </v>
      </c>
      <c r="CB139" s="2195" t="str">
        <f t="shared" si="34"/>
        <v xml:space="preserve">* La variable Pueblos Originarios no debe ser mayor al Total Ambos Sexos. </v>
      </c>
      <c r="CC139" s="2195" t="str">
        <f t="shared" si="35"/>
        <v xml:space="preserve">* La variable Migrantes no debe ser mayor al Total Ambos Sexos. </v>
      </c>
      <c r="CL139" s="2362">
        <f t="shared" si="36"/>
        <v>1</v>
      </c>
      <c r="CM139" s="2362">
        <f t="shared" si="37"/>
        <v>1</v>
      </c>
    </row>
    <row r="140" spans="1:91" ht="15" customHeight="1" x14ac:dyDescent="0.25">
      <c r="A140" s="5601" t="s">
        <v>4706</v>
      </c>
      <c r="B140" s="6050"/>
      <c r="C140" s="360" t="s">
        <v>333</v>
      </c>
      <c r="D140" s="357" t="s">
        <v>4567</v>
      </c>
      <c r="E140" s="478" t="s">
        <v>4568</v>
      </c>
      <c r="F140" s="553" t="s">
        <v>4569</v>
      </c>
      <c r="G140" s="328" t="s">
        <v>4570</v>
      </c>
      <c r="H140" s="329" t="s">
        <v>4571</v>
      </c>
      <c r="I140" s="328" t="s">
        <v>4572</v>
      </c>
      <c r="J140" s="1969" t="s">
        <v>4573</v>
      </c>
      <c r="K140" s="328" t="s">
        <v>4574</v>
      </c>
      <c r="L140" s="1969" t="s">
        <v>4575</v>
      </c>
      <c r="M140" s="330" t="s">
        <v>4576</v>
      </c>
      <c r="N140" s="1969" t="s">
        <v>4577</v>
      </c>
      <c r="O140" s="328" t="s">
        <v>4578</v>
      </c>
      <c r="P140" s="1969" t="s">
        <v>4579</v>
      </c>
      <c r="Q140" s="328" t="s">
        <v>4580</v>
      </c>
      <c r="R140" s="1969" t="s">
        <v>4581</v>
      </c>
      <c r="S140" s="328" t="s">
        <v>4582</v>
      </c>
      <c r="T140" s="1969" t="s">
        <v>4583</v>
      </c>
      <c r="U140" s="328" t="s">
        <v>4584</v>
      </c>
      <c r="V140" s="1969" t="s">
        <v>4585</v>
      </c>
      <c r="W140" s="2200" t="s">
        <v>4586</v>
      </c>
      <c r="X140" s="1969" t="s">
        <v>4587</v>
      </c>
      <c r="Y140" s="2200" t="s">
        <v>4588</v>
      </c>
      <c r="Z140" s="1969" t="s">
        <v>4589</v>
      </c>
      <c r="AA140" s="2363" t="s">
        <v>4590</v>
      </c>
      <c r="AB140" s="2063" t="s">
        <v>4591</v>
      </c>
      <c r="AC140" s="2363" t="s">
        <v>4592</v>
      </c>
      <c r="AD140" s="2060" t="s">
        <v>4593</v>
      </c>
      <c r="AE140" s="1936" t="str">
        <f t="shared" si="33"/>
        <v xml:space="preserve">* La variable Pueblos Originarios no debe ser mayor al Total Ambos Sexos. * La variable Migrantes no debe ser mayor al Total Ambos Sexos. </v>
      </c>
      <c r="CB140" s="2195" t="str">
        <f t="shared" si="34"/>
        <v xml:space="preserve">* La variable Pueblos Originarios no debe ser mayor al Total Ambos Sexos. </v>
      </c>
      <c r="CC140" s="2195" t="str">
        <f t="shared" si="35"/>
        <v xml:space="preserve">* La variable Migrantes no debe ser mayor al Total Ambos Sexos. </v>
      </c>
      <c r="CL140" s="2362">
        <f t="shared" si="36"/>
        <v>1</v>
      </c>
      <c r="CM140" s="2362">
        <f t="shared" si="37"/>
        <v>1</v>
      </c>
    </row>
    <row r="141" spans="1:91" ht="15" customHeight="1" x14ac:dyDescent="0.25">
      <c r="A141" s="5601" t="s">
        <v>4707</v>
      </c>
      <c r="B141" s="6312"/>
      <c r="C141" s="523" t="s">
        <v>334</v>
      </c>
      <c r="D141" s="517" t="s">
        <v>4567</v>
      </c>
      <c r="E141" s="483" t="s">
        <v>4568</v>
      </c>
      <c r="F141" s="556" t="s">
        <v>4569</v>
      </c>
      <c r="G141" s="853" t="s">
        <v>4570</v>
      </c>
      <c r="H141" s="854" t="s">
        <v>4571</v>
      </c>
      <c r="I141" s="853" t="s">
        <v>4572</v>
      </c>
      <c r="J141" s="1975" t="s">
        <v>4573</v>
      </c>
      <c r="K141" s="853" t="s">
        <v>4574</v>
      </c>
      <c r="L141" s="1975" t="s">
        <v>4575</v>
      </c>
      <c r="M141" s="968" t="s">
        <v>4576</v>
      </c>
      <c r="N141" s="1975" t="s">
        <v>4577</v>
      </c>
      <c r="O141" s="853" t="s">
        <v>4578</v>
      </c>
      <c r="P141" s="1975" t="s">
        <v>4579</v>
      </c>
      <c r="Q141" s="853" t="s">
        <v>4580</v>
      </c>
      <c r="R141" s="1975" t="s">
        <v>4581</v>
      </c>
      <c r="S141" s="853" t="s">
        <v>4582</v>
      </c>
      <c r="T141" s="1975" t="s">
        <v>4583</v>
      </c>
      <c r="U141" s="853" t="s">
        <v>4584</v>
      </c>
      <c r="V141" s="1975" t="s">
        <v>4585</v>
      </c>
      <c r="W141" s="2015" t="s">
        <v>4586</v>
      </c>
      <c r="X141" s="1975" t="s">
        <v>4587</v>
      </c>
      <c r="Y141" s="2015" t="s">
        <v>4588</v>
      </c>
      <c r="Z141" s="1975" t="s">
        <v>4589</v>
      </c>
      <c r="AA141" s="2364" t="s">
        <v>4590</v>
      </c>
      <c r="AB141" s="2365" t="s">
        <v>4591</v>
      </c>
      <c r="AC141" s="2364" t="s">
        <v>4592</v>
      </c>
      <c r="AD141" s="2366" t="s">
        <v>4593</v>
      </c>
      <c r="AE141" s="1936" t="str">
        <f t="shared" si="33"/>
        <v xml:space="preserve">* La variable Pueblos Originarios no debe ser mayor al Total Ambos Sexos. * La variable Migrantes no debe ser mayor al Total Ambos Sexos. </v>
      </c>
      <c r="CB141" s="2195" t="str">
        <f t="shared" si="34"/>
        <v xml:space="preserve">* La variable Pueblos Originarios no debe ser mayor al Total Ambos Sexos. </v>
      </c>
      <c r="CC141" s="2195" t="str">
        <f t="shared" si="35"/>
        <v xml:space="preserve">* La variable Migrantes no debe ser mayor al Total Ambos Sexos. </v>
      </c>
      <c r="CL141" s="2362">
        <f t="shared" si="36"/>
        <v>1</v>
      </c>
      <c r="CM141" s="2362">
        <f t="shared" si="37"/>
        <v>1</v>
      </c>
    </row>
    <row r="142" spans="1:91" ht="15" customHeight="1" x14ac:dyDescent="0.25">
      <c r="A142" s="5601" t="s">
        <v>4708</v>
      </c>
      <c r="B142" s="6310" t="s">
        <v>338</v>
      </c>
      <c r="C142" s="2197" t="s">
        <v>330</v>
      </c>
      <c r="D142" s="2357" t="s">
        <v>4567</v>
      </c>
      <c r="E142" s="2291" t="s">
        <v>4568</v>
      </c>
      <c r="F142" s="2358" t="s">
        <v>4569</v>
      </c>
      <c r="G142" s="2175" t="s">
        <v>4570</v>
      </c>
      <c r="H142" s="2176" t="s">
        <v>4571</v>
      </c>
      <c r="I142" s="2175" t="s">
        <v>4572</v>
      </c>
      <c r="J142" s="1962" t="s">
        <v>4573</v>
      </c>
      <c r="K142" s="2175" t="s">
        <v>4574</v>
      </c>
      <c r="L142" s="1962" t="s">
        <v>4575</v>
      </c>
      <c r="M142" s="2359" t="s">
        <v>4576</v>
      </c>
      <c r="N142" s="1962" t="s">
        <v>4577</v>
      </c>
      <c r="O142" s="2175" t="s">
        <v>4578</v>
      </c>
      <c r="P142" s="1962" t="s">
        <v>4579</v>
      </c>
      <c r="Q142" s="2175" t="s">
        <v>4580</v>
      </c>
      <c r="R142" s="1962" t="s">
        <v>4581</v>
      </c>
      <c r="S142" s="2175" t="s">
        <v>4582</v>
      </c>
      <c r="T142" s="1962" t="s">
        <v>4583</v>
      </c>
      <c r="U142" s="2175" t="s">
        <v>4584</v>
      </c>
      <c r="V142" s="1962" t="s">
        <v>4585</v>
      </c>
      <c r="W142" s="2204" t="s">
        <v>4586</v>
      </c>
      <c r="X142" s="1962" t="s">
        <v>4587</v>
      </c>
      <c r="Y142" s="2204" t="s">
        <v>4588</v>
      </c>
      <c r="Z142" s="1962" t="s">
        <v>4589</v>
      </c>
      <c r="AA142" s="2327" t="s">
        <v>4590</v>
      </c>
      <c r="AB142" s="2360" t="s">
        <v>4591</v>
      </c>
      <c r="AC142" s="2327" t="s">
        <v>4592</v>
      </c>
      <c r="AD142" s="2361" t="s">
        <v>4593</v>
      </c>
      <c r="AE142" s="1936" t="str">
        <f t="shared" si="33"/>
        <v xml:space="preserve">* La variable Pueblos Originarios no debe ser mayor al Total Ambos Sexos. * La variable Migrantes no debe ser mayor al Total Ambos Sexos. </v>
      </c>
      <c r="CB142" s="2195" t="str">
        <f t="shared" si="34"/>
        <v xml:space="preserve">* La variable Pueblos Originarios no debe ser mayor al Total Ambos Sexos. </v>
      </c>
      <c r="CC142" s="2195" t="str">
        <f t="shared" si="35"/>
        <v xml:space="preserve">* La variable Migrantes no debe ser mayor al Total Ambos Sexos. </v>
      </c>
      <c r="CL142" s="2362">
        <f t="shared" si="36"/>
        <v>1</v>
      </c>
      <c r="CM142" s="2362">
        <f t="shared" si="37"/>
        <v>1</v>
      </c>
    </row>
    <row r="143" spans="1:91" ht="15" customHeight="1" x14ac:dyDescent="0.25">
      <c r="A143" s="5601" t="s">
        <v>4709</v>
      </c>
      <c r="B143" s="6311"/>
      <c r="C143" s="318" t="s">
        <v>331</v>
      </c>
      <c r="D143" s="295" t="s">
        <v>4567</v>
      </c>
      <c r="E143" s="2292" t="s">
        <v>4568</v>
      </c>
      <c r="F143" s="574" t="s">
        <v>4569</v>
      </c>
      <c r="G143" s="328" t="s">
        <v>4570</v>
      </c>
      <c r="H143" s="329" t="s">
        <v>4571</v>
      </c>
      <c r="I143" s="328" t="s">
        <v>4572</v>
      </c>
      <c r="J143" s="1969" t="s">
        <v>4573</v>
      </c>
      <c r="K143" s="328" t="s">
        <v>4574</v>
      </c>
      <c r="L143" s="1969" t="s">
        <v>4575</v>
      </c>
      <c r="M143" s="330" t="s">
        <v>4576</v>
      </c>
      <c r="N143" s="1969" t="s">
        <v>4577</v>
      </c>
      <c r="O143" s="328" t="s">
        <v>4578</v>
      </c>
      <c r="P143" s="1969" t="s">
        <v>4579</v>
      </c>
      <c r="Q143" s="328" t="s">
        <v>4580</v>
      </c>
      <c r="R143" s="1969" t="s">
        <v>4581</v>
      </c>
      <c r="S143" s="328" t="s">
        <v>4582</v>
      </c>
      <c r="T143" s="1969" t="s">
        <v>4583</v>
      </c>
      <c r="U143" s="328" t="s">
        <v>4584</v>
      </c>
      <c r="V143" s="1969" t="s">
        <v>4585</v>
      </c>
      <c r="W143" s="2200" t="s">
        <v>4586</v>
      </c>
      <c r="X143" s="1969" t="s">
        <v>4587</v>
      </c>
      <c r="Y143" s="2200" t="s">
        <v>4588</v>
      </c>
      <c r="Z143" s="1969" t="s">
        <v>4589</v>
      </c>
      <c r="AA143" s="2363" t="s">
        <v>4590</v>
      </c>
      <c r="AB143" s="2063" t="s">
        <v>4591</v>
      </c>
      <c r="AC143" s="2363" t="s">
        <v>4592</v>
      </c>
      <c r="AD143" s="2060" t="s">
        <v>4593</v>
      </c>
      <c r="AE143" s="1936" t="str">
        <f t="shared" si="33"/>
        <v xml:space="preserve">* La variable Pueblos Originarios no debe ser mayor al Total Ambos Sexos. * La variable Migrantes no debe ser mayor al Total Ambos Sexos. </v>
      </c>
      <c r="CB143" s="2195" t="str">
        <f t="shared" si="34"/>
        <v xml:space="preserve">* La variable Pueblos Originarios no debe ser mayor al Total Ambos Sexos. </v>
      </c>
      <c r="CC143" s="2195" t="str">
        <f t="shared" si="35"/>
        <v xml:space="preserve">* La variable Migrantes no debe ser mayor al Total Ambos Sexos. </v>
      </c>
      <c r="CL143" s="2362">
        <f t="shared" si="36"/>
        <v>1</v>
      </c>
      <c r="CM143" s="2362">
        <f t="shared" si="37"/>
        <v>1</v>
      </c>
    </row>
    <row r="144" spans="1:91" ht="15" customHeight="1" x14ac:dyDescent="0.25">
      <c r="A144" s="5601" t="s">
        <v>4710</v>
      </c>
      <c r="B144" s="6311"/>
      <c r="C144" s="360" t="s">
        <v>332</v>
      </c>
      <c r="D144" s="295" t="s">
        <v>4567</v>
      </c>
      <c r="E144" s="2292" t="s">
        <v>4568</v>
      </c>
      <c r="F144" s="574" t="s">
        <v>4569</v>
      </c>
      <c r="G144" s="328" t="s">
        <v>4570</v>
      </c>
      <c r="H144" s="329" t="s">
        <v>4571</v>
      </c>
      <c r="I144" s="328" t="s">
        <v>4572</v>
      </c>
      <c r="J144" s="1969" t="s">
        <v>4573</v>
      </c>
      <c r="K144" s="328" t="s">
        <v>4574</v>
      </c>
      <c r="L144" s="1969" t="s">
        <v>4575</v>
      </c>
      <c r="M144" s="330" t="s">
        <v>4576</v>
      </c>
      <c r="N144" s="1969" t="s">
        <v>4577</v>
      </c>
      <c r="O144" s="328" t="s">
        <v>4578</v>
      </c>
      <c r="P144" s="1969" t="s">
        <v>4579</v>
      </c>
      <c r="Q144" s="328" t="s">
        <v>4580</v>
      </c>
      <c r="R144" s="1969" t="s">
        <v>4581</v>
      </c>
      <c r="S144" s="328" t="s">
        <v>4582</v>
      </c>
      <c r="T144" s="1969" t="s">
        <v>4583</v>
      </c>
      <c r="U144" s="328" t="s">
        <v>4584</v>
      </c>
      <c r="V144" s="1969" t="s">
        <v>4585</v>
      </c>
      <c r="W144" s="2200" t="s">
        <v>4586</v>
      </c>
      <c r="X144" s="1969" t="s">
        <v>4587</v>
      </c>
      <c r="Y144" s="2200" t="s">
        <v>4588</v>
      </c>
      <c r="Z144" s="1969" t="s">
        <v>4589</v>
      </c>
      <c r="AA144" s="2363" t="s">
        <v>4590</v>
      </c>
      <c r="AB144" s="2063" t="s">
        <v>4591</v>
      </c>
      <c r="AC144" s="2363" t="s">
        <v>4592</v>
      </c>
      <c r="AD144" s="2060" t="s">
        <v>4593</v>
      </c>
      <c r="AE144" s="1936" t="str">
        <f t="shared" si="33"/>
        <v xml:space="preserve">* La variable Pueblos Originarios no debe ser mayor al Total Ambos Sexos. * La variable Migrantes no debe ser mayor al Total Ambos Sexos. </v>
      </c>
      <c r="CB144" s="2195" t="str">
        <f t="shared" si="34"/>
        <v xml:space="preserve">* La variable Pueblos Originarios no debe ser mayor al Total Ambos Sexos. </v>
      </c>
      <c r="CC144" s="2195" t="str">
        <f t="shared" si="35"/>
        <v xml:space="preserve">* La variable Migrantes no debe ser mayor al Total Ambos Sexos. </v>
      </c>
      <c r="CL144" s="2362">
        <f t="shared" si="36"/>
        <v>1</v>
      </c>
      <c r="CM144" s="2362">
        <f t="shared" si="37"/>
        <v>1</v>
      </c>
    </row>
    <row r="145" spans="1:91" ht="15" customHeight="1" x14ac:dyDescent="0.25">
      <c r="A145" s="5601" t="s">
        <v>4711</v>
      </c>
      <c r="B145" s="6050"/>
      <c r="C145" s="360" t="s">
        <v>333</v>
      </c>
      <c r="D145" s="357" t="s">
        <v>4567</v>
      </c>
      <c r="E145" s="478" t="s">
        <v>4568</v>
      </c>
      <c r="F145" s="553" t="s">
        <v>4569</v>
      </c>
      <c r="G145" s="328" t="s">
        <v>4570</v>
      </c>
      <c r="H145" s="329" t="s">
        <v>4571</v>
      </c>
      <c r="I145" s="328" t="s">
        <v>4572</v>
      </c>
      <c r="J145" s="1969" t="s">
        <v>4573</v>
      </c>
      <c r="K145" s="328" t="s">
        <v>4574</v>
      </c>
      <c r="L145" s="1969" t="s">
        <v>4575</v>
      </c>
      <c r="M145" s="330" t="s">
        <v>4576</v>
      </c>
      <c r="N145" s="1969" t="s">
        <v>4577</v>
      </c>
      <c r="O145" s="328" t="s">
        <v>4578</v>
      </c>
      <c r="P145" s="1969" t="s">
        <v>4579</v>
      </c>
      <c r="Q145" s="328" t="s">
        <v>4580</v>
      </c>
      <c r="R145" s="1969" t="s">
        <v>4581</v>
      </c>
      <c r="S145" s="328" t="s">
        <v>4582</v>
      </c>
      <c r="T145" s="1969" t="s">
        <v>4583</v>
      </c>
      <c r="U145" s="328" t="s">
        <v>4584</v>
      </c>
      <c r="V145" s="1969" t="s">
        <v>4585</v>
      </c>
      <c r="W145" s="2200" t="s">
        <v>4586</v>
      </c>
      <c r="X145" s="1969" t="s">
        <v>4587</v>
      </c>
      <c r="Y145" s="2200" t="s">
        <v>4588</v>
      </c>
      <c r="Z145" s="1969" t="s">
        <v>4589</v>
      </c>
      <c r="AA145" s="2363" t="s">
        <v>4590</v>
      </c>
      <c r="AB145" s="2063" t="s">
        <v>4591</v>
      </c>
      <c r="AC145" s="2363" t="s">
        <v>4592</v>
      </c>
      <c r="AD145" s="2060" t="s">
        <v>4593</v>
      </c>
      <c r="AE145" s="1936" t="str">
        <f t="shared" si="33"/>
        <v xml:space="preserve">* La variable Pueblos Originarios no debe ser mayor al Total Ambos Sexos. * La variable Migrantes no debe ser mayor al Total Ambos Sexos. </v>
      </c>
      <c r="CB145" s="2195" t="str">
        <f t="shared" si="34"/>
        <v xml:space="preserve">* La variable Pueblos Originarios no debe ser mayor al Total Ambos Sexos. </v>
      </c>
      <c r="CC145" s="2195" t="str">
        <f t="shared" si="35"/>
        <v xml:space="preserve">* La variable Migrantes no debe ser mayor al Total Ambos Sexos. </v>
      </c>
      <c r="CL145" s="2362">
        <f t="shared" si="36"/>
        <v>1</v>
      </c>
      <c r="CM145" s="2362">
        <f t="shared" si="37"/>
        <v>1</v>
      </c>
    </row>
    <row r="146" spans="1:91" ht="15" customHeight="1" x14ac:dyDescent="0.25">
      <c r="A146" s="5601" t="s">
        <v>4712</v>
      </c>
      <c r="B146" s="6312"/>
      <c r="C146" s="523" t="s">
        <v>334</v>
      </c>
      <c r="D146" s="517" t="s">
        <v>4567</v>
      </c>
      <c r="E146" s="483" t="s">
        <v>4568</v>
      </c>
      <c r="F146" s="556" t="s">
        <v>4569</v>
      </c>
      <c r="G146" s="853" t="s">
        <v>4570</v>
      </c>
      <c r="H146" s="854" t="s">
        <v>4571</v>
      </c>
      <c r="I146" s="853" t="s">
        <v>4572</v>
      </c>
      <c r="J146" s="1975" t="s">
        <v>4573</v>
      </c>
      <c r="K146" s="853" t="s">
        <v>4574</v>
      </c>
      <c r="L146" s="1975" t="s">
        <v>4575</v>
      </c>
      <c r="M146" s="968" t="s">
        <v>4576</v>
      </c>
      <c r="N146" s="1975" t="s">
        <v>4577</v>
      </c>
      <c r="O146" s="853" t="s">
        <v>4578</v>
      </c>
      <c r="P146" s="1975" t="s">
        <v>4579</v>
      </c>
      <c r="Q146" s="853" t="s">
        <v>4580</v>
      </c>
      <c r="R146" s="1975" t="s">
        <v>4581</v>
      </c>
      <c r="S146" s="853" t="s">
        <v>4582</v>
      </c>
      <c r="T146" s="1975" t="s">
        <v>4583</v>
      </c>
      <c r="U146" s="853" t="s">
        <v>4584</v>
      </c>
      <c r="V146" s="1975" t="s">
        <v>4585</v>
      </c>
      <c r="W146" s="2015" t="s">
        <v>4586</v>
      </c>
      <c r="X146" s="1975" t="s">
        <v>4587</v>
      </c>
      <c r="Y146" s="2015" t="s">
        <v>4588</v>
      </c>
      <c r="Z146" s="1975" t="s">
        <v>4589</v>
      </c>
      <c r="AA146" s="2364" t="s">
        <v>4590</v>
      </c>
      <c r="AB146" s="2365" t="s">
        <v>4591</v>
      </c>
      <c r="AC146" s="2364" t="s">
        <v>4592</v>
      </c>
      <c r="AD146" s="2366" t="s">
        <v>4593</v>
      </c>
      <c r="AE146" s="1936" t="str">
        <f t="shared" si="33"/>
        <v xml:space="preserve">* La variable Pueblos Originarios no debe ser mayor al Total Ambos Sexos. * La variable Migrantes no debe ser mayor al Total Ambos Sexos. </v>
      </c>
      <c r="CB146" s="2195" t="str">
        <f t="shared" si="34"/>
        <v xml:space="preserve">* La variable Pueblos Originarios no debe ser mayor al Total Ambos Sexos. </v>
      </c>
      <c r="CC146" s="2195" t="str">
        <f t="shared" si="35"/>
        <v xml:space="preserve">* La variable Migrantes no debe ser mayor al Total Ambos Sexos. </v>
      </c>
      <c r="CL146" s="2362">
        <f t="shared" si="36"/>
        <v>1</v>
      </c>
      <c r="CM146" s="2362">
        <f t="shared" si="37"/>
        <v>1</v>
      </c>
    </row>
    <row r="147" spans="1:91" ht="15" customHeight="1" x14ac:dyDescent="0.25">
      <c r="A147" s="5601" t="s">
        <v>4713</v>
      </c>
      <c r="B147" s="6111" t="s">
        <v>339</v>
      </c>
      <c r="C147" s="2197" t="s">
        <v>330</v>
      </c>
      <c r="D147" s="2357" t="s">
        <v>4567</v>
      </c>
      <c r="E147" s="2291" t="s">
        <v>4568</v>
      </c>
      <c r="F147" s="2358" t="s">
        <v>4569</v>
      </c>
      <c r="G147" s="2175" t="s">
        <v>4570</v>
      </c>
      <c r="H147" s="2176" t="s">
        <v>4571</v>
      </c>
      <c r="I147" s="2175" t="s">
        <v>4572</v>
      </c>
      <c r="J147" s="1962" t="s">
        <v>4573</v>
      </c>
      <c r="K147" s="2175" t="s">
        <v>4574</v>
      </c>
      <c r="L147" s="1962" t="s">
        <v>4575</v>
      </c>
      <c r="M147" s="2359" t="s">
        <v>4576</v>
      </c>
      <c r="N147" s="1962" t="s">
        <v>4577</v>
      </c>
      <c r="O147" s="2175" t="s">
        <v>4578</v>
      </c>
      <c r="P147" s="1962" t="s">
        <v>4579</v>
      </c>
      <c r="Q147" s="2175" t="s">
        <v>4580</v>
      </c>
      <c r="R147" s="1962" t="s">
        <v>4581</v>
      </c>
      <c r="S147" s="2175" t="s">
        <v>4582</v>
      </c>
      <c r="T147" s="1962" t="s">
        <v>4583</v>
      </c>
      <c r="U147" s="2175" t="s">
        <v>4584</v>
      </c>
      <c r="V147" s="1962" t="s">
        <v>4585</v>
      </c>
      <c r="W147" s="2204" t="s">
        <v>4586</v>
      </c>
      <c r="X147" s="1962" t="s">
        <v>4587</v>
      </c>
      <c r="Y147" s="2204" t="s">
        <v>4588</v>
      </c>
      <c r="Z147" s="1962" t="s">
        <v>4589</v>
      </c>
      <c r="AA147" s="2327" t="s">
        <v>4590</v>
      </c>
      <c r="AB147" s="2360" t="s">
        <v>4591</v>
      </c>
      <c r="AC147" s="2327" t="s">
        <v>4592</v>
      </c>
      <c r="AD147" s="2361" t="s">
        <v>4593</v>
      </c>
      <c r="AE147" s="1936" t="str">
        <f t="shared" si="33"/>
        <v xml:space="preserve">* La variable Pueblos Originarios no debe ser mayor al Total Ambos Sexos. * La variable Migrantes no debe ser mayor al Total Ambos Sexos. </v>
      </c>
      <c r="CB147" s="2195" t="str">
        <f t="shared" si="34"/>
        <v xml:space="preserve">* La variable Pueblos Originarios no debe ser mayor al Total Ambos Sexos. </v>
      </c>
      <c r="CC147" s="2195" t="str">
        <f t="shared" si="35"/>
        <v xml:space="preserve">* La variable Migrantes no debe ser mayor al Total Ambos Sexos. </v>
      </c>
      <c r="CL147" s="2362">
        <f t="shared" si="36"/>
        <v>1</v>
      </c>
      <c r="CM147" s="2362">
        <f t="shared" si="37"/>
        <v>1</v>
      </c>
    </row>
    <row r="148" spans="1:91" ht="15" customHeight="1" x14ac:dyDescent="0.25">
      <c r="A148" s="5601" t="s">
        <v>4714</v>
      </c>
      <c r="B148" s="6112"/>
      <c r="C148" s="318" t="s">
        <v>331</v>
      </c>
      <c r="D148" s="295" t="s">
        <v>4567</v>
      </c>
      <c r="E148" s="2292" t="s">
        <v>4568</v>
      </c>
      <c r="F148" s="574" t="s">
        <v>4569</v>
      </c>
      <c r="G148" s="328" t="s">
        <v>4570</v>
      </c>
      <c r="H148" s="329" t="s">
        <v>4571</v>
      </c>
      <c r="I148" s="328" t="s">
        <v>4572</v>
      </c>
      <c r="J148" s="1969" t="s">
        <v>4573</v>
      </c>
      <c r="K148" s="328" t="s">
        <v>4574</v>
      </c>
      <c r="L148" s="1969" t="s">
        <v>4575</v>
      </c>
      <c r="M148" s="330" t="s">
        <v>4576</v>
      </c>
      <c r="N148" s="1969" t="s">
        <v>4577</v>
      </c>
      <c r="O148" s="328" t="s">
        <v>4578</v>
      </c>
      <c r="P148" s="1969" t="s">
        <v>4579</v>
      </c>
      <c r="Q148" s="328" t="s">
        <v>4580</v>
      </c>
      <c r="R148" s="1969" t="s">
        <v>4581</v>
      </c>
      <c r="S148" s="328" t="s">
        <v>4582</v>
      </c>
      <c r="T148" s="1969" t="s">
        <v>4583</v>
      </c>
      <c r="U148" s="328" t="s">
        <v>4584</v>
      </c>
      <c r="V148" s="1969" t="s">
        <v>4585</v>
      </c>
      <c r="W148" s="2200" t="s">
        <v>4586</v>
      </c>
      <c r="X148" s="1969" t="s">
        <v>4587</v>
      </c>
      <c r="Y148" s="2200" t="s">
        <v>4588</v>
      </c>
      <c r="Z148" s="1969" t="s">
        <v>4589</v>
      </c>
      <c r="AA148" s="2363" t="s">
        <v>4590</v>
      </c>
      <c r="AB148" s="2063" t="s">
        <v>4591</v>
      </c>
      <c r="AC148" s="2363" t="s">
        <v>4592</v>
      </c>
      <c r="AD148" s="2060" t="s">
        <v>4593</v>
      </c>
      <c r="AE148" s="1936" t="str">
        <f t="shared" si="33"/>
        <v xml:space="preserve">* La variable Pueblos Originarios no debe ser mayor al Total Ambos Sexos. * La variable Migrantes no debe ser mayor al Total Ambos Sexos. </v>
      </c>
      <c r="CB148" s="2195" t="str">
        <f t="shared" si="34"/>
        <v xml:space="preserve">* La variable Pueblos Originarios no debe ser mayor al Total Ambos Sexos. </v>
      </c>
      <c r="CC148" s="2195" t="str">
        <f t="shared" si="35"/>
        <v xml:space="preserve">* La variable Migrantes no debe ser mayor al Total Ambos Sexos. </v>
      </c>
      <c r="CL148" s="2362">
        <f t="shared" si="36"/>
        <v>1</v>
      </c>
      <c r="CM148" s="2362">
        <f t="shared" si="37"/>
        <v>1</v>
      </c>
    </row>
    <row r="149" spans="1:91" ht="15" customHeight="1" x14ac:dyDescent="0.25">
      <c r="A149" s="5601" t="s">
        <v>4715</v>
      </c>
      <c r="B149" s="6112"/>
      <c r="C149" s="360" t="s">
        <v>332</v>
      </c>
      <c r="D149" s="295" t="s">
        <v>4567</v>
      </c>
      <c r="E149" s="2292" t="s">
        <v>4568</v>
      </c>
      <c r="F149" s="574" t="s">
        <v>4569</v>
      </c>
      <c r="G149" s="328" t="s">
        <v>4570</v>
      </c>
      <c r="H149" s="329" t="s">
        <v>4571</v>
      </c>
      <c r="I149" s="328" t="s">
        <v>4572</v>
      </c>
      <c r="J149" s="1969" t="s">
        <v>4573</v>
      </c>
      <c r="K149" s="328" t="s">
        <v>4574</v>
      </c>
      <c r="L149" s="1969" t="s">
        <v>4575</v>
      </c>
      <c r="M149" s="330" t="s">
        <v>4576</v>
      </c>
      <c r="N149" s="1969" t="s">
        <v>4577</v>
      </c>
      <c r="O149" s="328" t="s">
        <v>4578</v>
      </c>
      <c r="P149" s="1969" t="s">
        <v>4579</v>
      </c>
      <c r="Q149" s="328" t="s">
        <v>4580</v>
      </c>
      <c r="R149" s="1969" t="s">
        <v>4581</v>
      </c>
      <c r="S149" s="328" t="s">
        <v>4582</v>
      </c>
      <c r="T149" s="1969" t="s">
        <v>4583</v>
      </c>
      <c r="U149" s="328" t="s">
        <v>4584</v>
      </c>
      <c r="V149" s="1969" t="s">
        <v>4585</v>
      </c>
      <c r="W149" s="2200" t="s">
        <v>4586</v>
      </c>
      <c r="X149" s="1969" t="s">
        <v>4587</v>
      </c>
      <c r="Y149" s="2200" t="s">
        <v>4588</v>
      </c>
      <c r="Z149" s="1969" t="s">
        <v>4589</v>
      </c>
      <c r="AA149" s="2363" t="s">
        <v>4590</v>
      </c>
      <c r="AB149" s="2063" t="s">
        <v>4591</v>
      </c>
      <c r="AC149" s="2363" t="s">
        <v>4592</v>
      </c>
      <c r="AD149" s="2060" t="s">
        <v>4593</v>
      </c>
      <c r="AE149" s="1936" t="str">
        <f t="shared" si="33"/>
        <v xml:space="preserve">* La variable Pueblos Originarios no debe ser mayor al Total Ambos Sexos. * La variable Migrantes no debe ser mayor al Total Ambos Sexos. </v>
      </c>
      <c r="CB149" s="2195" t="str">
        <f t="shared" si="34"/>
        <v xml:space="preserve">* La variable Pueblos Originarios no debe ser mayor al Total Ambos Sexos. </v>
      </c>
      <c r="CC149" s="2195" t="str">
        <f t="shared" si="35"/>
        <v xml:space="preserve">* La variable Migrantes no debe ser mayor al Total Ambos Sexos. </v>
      </c>
      <c r="CL149" s="2362">
        <f t="shared" si="36"/>
        <v>1</v>
      </c>
      <c r="CM149" s="2362">
        <f t="shared" si="37"/>
        <v>1</v>
      </c>
    </row>
    <row r="150" spans="1:91" ht="15" customHeight="1" x14ac:dyDescent="0.25">
      <c r="A150" s="5601" t="s">
        <v>4716</v>
      </c>
      <c r="B150" s="6112"/>
      <c r="C150" s="360" t="s">
        <v>333</v>
      </c>
      <c r="D150" s="357" t="s">
        <v>4567</v>
      </c>
      <c r="E150" s="478" t="s">
        <v>4568</v>
      </c>
      <c r="F150" s="553" t="s">
        <v>4569</v>
      </c>
      <c r="G150" s="328" t="s">
        <v>4570</v>
      </c>
      <c r="H150" s="329" t="s">
        <v>4571</v>
      </c>
      <c r="I150" s="328" t="s">
        <v>4572</v>
      </c>
      <c r="J150" s="1969" t="s">
        <v>4573</v>
      </c>
      <c r="K150" s="328" t="s">
        <v>4574</v>
      </c>
      <c r="L150" s="1969" t="s">
        <v>4575</v>
      </c>
      <c r="M150" s="330" t="s">
        <v>4576</v>
      </c>
      <c r="N150" s="1969" t="s">
        <v>4577</v>
      </c>
      <c r="O150" s="328" t="s">
        <v>4578</v>
      </c>
      <c r="P150" s="1969" t="s">
        <v>4579</v>
      </c>
      <c r="Q150" s="328" t="s">
        <v>4580</v>
      </c>
      <c r="R150" s="1969" t="s">
        <v>4581</v>
      </c>
      <c r="S150" s="328" t="s">
        <v>4582</v>
      </c>
      <c r="T150" s="1969" t="s">
        <v>4583</v>
      </c>
      <c r="U150" s="328" t="s">
        <v>4584</v>
      </c>
      <c r="V150" s="1969" t="s">
        <v>4585</v>
      </c>
      <c r="W150" s="2200" t="s">
        <v>4586</v>
      </c>
      <c r="X150" s="1969" t="s">
        <v>4587</v>
      </c>
      <c r="Y150" s="2200" t="s">
        <v>4588</v>
      </c>
      <c r="Z150" s="1969" t="s">
        <v>4589</v>
      </c>
      <c r="AA150" s="2363" t="s">
        <v>4590</v>
      </c>
      <c r="AB150" s="2063" t="s">
        <v>4591</v>
      </c>
      <c r="AC150" s="2363" t="s">
        <v>4592</v>
      </c>
      <c r="AD150" s="2060" t="s">
        <v>4593</v>
      </c>
      <c r="AE150" s="1936" t="str">
        <f t="shared" si="33"/>
        <v xml:space="preserve">* La variable Pueblos Originarios no debe ser mayor al Total Ambos Sexos. * La variable Migrantes no debe ser mayor al Total Ambos Sexos. </v>
      </c>
      <c r="CB150" s="2195" t="str">
        <f t="shared" si="34"/>
        <v xml:space="preserve">* La variable Pueblos Originarios no debe ser mayor al Total Ambos Sexos. </v>
      </c>
      <c r="CC150" s="2195" t="str">
        <f t="shared" si="35"/>
        <v xml:space="preserve">* La variable Migrantes no debe ser mayor al Total Ambos Sexos. </v>
      </c>
      <c r="CL150" s="2362">
        <f t="shared" si="36"/>
        <v>1</v>
      </c>
      <c r="CM150" s="2362">
        <f t="shared" si="37"/>
        <v>1</v>
      </c>
    </row>
    <row r="151" spans="1:91" ht="15" customHeight="1" x14ac:dyDescent="0.25">
      <c r="A151" s="5601" t="s">
        <v>4717</v>
      </c>
      <c r="B151" s="6112"/>
      <c r="C151" s="523" t="s">
        <v>334</v>
      </c>
      <c r="D151" s="193" t="s">
        <v>4567</v>
      </c>
      <c r="E151" s="485" t="s">
        <v>4568</v>
      </c>
      <c r="F151" s="577" t="s">
        <v>4569</v>
      </c>
      <c r="G151" s="212" t="s">
        <v>4570</v>
      </c>
      <c r="H151" s="34" t="s">
        <v>4571</v>
      </c>
      <c r="I151" s="212" t="s">
        <v>4572</v>
      </c>
      <c r="J151" s="1136" t="s">
        <v>4573</v>
      </c>
      <c r="K151" s="212" t="s">
        <v>4574</v>
      </c>
      <c r="L151" s="1136" t="s">
        <v>4575</v>
      </c>
      <c r="M151" s="46" t="s">
        <v>4576</v>
      </c>
      <c r="N151" s="1136" t="s">
        <v>4577</v>
      </c>
      <c r="O151" s="212" t="s">
        <v>4578</v>
      </c>
      <c r="P151" s="1136" t="s">
        <v>4579</v>
      </c>
      <c r="Q151" s="212" t="s">
        <v>4580</v>
      </c>
      <c r="R151" s="1136" t="s">
        <v>4581</v>
      </c>
      <c r="S151" s="212" t="s">
        <v>4582</v>
      </c>
      <c r="T151" s="1136" t="s">
        <v>4583</v>
      </c>
      <c r="U151" s="212" t="s">
        <v>4584</v>
      </c>
      <c r="V151" s="1136" t="s">
        <v>4585</v>
      </c>
      <c r="W151" s="2210" t="s">
        <v>4586</v>
      </c>
      <c r="X151" s="1136" t="s">
        <v>4587</v>
      </c>
      <c r="Y151" s="2210" t="s">
        <v>4588</v>
      </c>
      <c r="Z151" s="1136" t="s">
        <v>4589</v>
      </c>
      <c r="AA151" s="2367" t="s">
        <v>4590</v>
      </c>
      <c r="AB151" s="2368" t="s">
        <v>4591</v>
      </c>
      <c r="AC151" s="2367" t="s">
        <v>4592</v>
      </c>
      <c r="AD151" s="2369" t="s">
        <v>4593</v>
      </c>
      <c r="AE151" s="1936" t="str">
        <f t="shared" si="33"/>
        <v xml:space="preserve">* La variable Pueblos Originarios no debe ser mayor al Total Ambos Sexos. * La variable Migrantes no debe ser mayor al Total Ambos Sexos. </v>
      </c>
      <c r="CB151" s="2195" t="str">
        <f t="shared" si="34"/>
        <v xml:space="preserve">* La variable Pueblos Originarios no debe ser mayor al Total Ambos Sexos. </v>
      </c>
      <c r="CC151" s="2195" t="str">
        <f t="shared" si="35"/>
        <v xml:space="preserve">* La variable Migrantes no debe ser mayor al Total Ambos Sexos. </v>
      </c>
      <c r="CL151" s="2362">
        <f t="shared" si="36"/>
        <v>1</v>
      </c>
      <c r="CM151" s="2362">
        <f t="shared" si="37"/>
        <v>1</v>
      </c>
    </row>
    <row r="152" spans="1:91" ht="15" customHeight="1" x14ac:dyDescent="0.25">
      <c r="A152" s="5615"/>
      <c r="B152" s="6155" t="s">
        <v>340</v>
      </c>
      <c r="C152" s="6156"/>
      <c r="D152" s="2370">
        <f>SUM(D122:D151)</f>
        <v>0</v>
      </c>
      <c r="E152" s="2371">
        <f>SUM(E122:E151)</f>
        <v>0</v>
      </c>
      <c r="F152" s="2372">
        <f t="shared" ref="F152:AB152" si="38">SUM(F122:F151)</f>
        <v>0</v>
      </c>
      <c r="G152" s="2373">
        <f t="shared" si="38"/>
        <v>0</v>
      </c>
      <c r="H152" s="2374">
        <f t="shared" si="38"/>
        <v>0</v>
      </c>
      <c r="I152" s="2373">
        <f t="shared" si="38"/>
        <v>0</v>
      </c>
      <c r="J152" s="2374">
        <f t="shared" si="38"/>
        <v>0</v>
      </c>
      <c r="K152" s="2373">
        <f t="shared" si="38"/>
        <v>0</v>
      </c>
      <c r="L152" s="2374">
        <f t="shared" si="38"/>
        <v>0</v>
      </c>
      <c r="M152" s="2373">
        <f t="shared" si="38"/>
        <v>0</v>
      </c>
      <c r="N152" s="2374">
        <f t="shared" si="38"/>
        <v>0</v>
      </c>
      <c r="O152" s="2373">
        <f t="shared" si="38"/>
        <v>0</v>
      </c>
      <c r="P152" s="2374">
        <f t="shared" si="38"/>
        <v>0</v>
      </c>
      <c r="Q152" s="2373">
        <f t="shared" si="38"/>
        <v>0</v>
      </c>
      <c r="R152" s="2374">
        <f t="shared" si="38"/>
        <v>0</v>
      </c>
      <c r="S152" s="2373">
        <f t="shared" si="38"/>
        <v>0</v>
      </c>
      <c r="T152" s="2374">
        <f t="shared" si="38"/>
        <v>0</v>
      </c>
      <c r="U152" s="2373">
        <f t="shared" si="38"/>
        <v>0</v>
      </c>
      <c r="V152" s="2374">
        <f t="shared" si="38"/>
        <v>0</v>
      </c>
      <c r="W152" s="2373">
        <f t="shared" si="38"/>
        <v>0</v>
      </c>
      <c r="X152" s="2374">
        <f t="shared" si="38"/>
        <v>0</v>
      </c>
      <c r="Y152" s="2373">
        <f t="shared" si="38"/>
        <v>0</v>
      </c>
      <c r="Z152" s="2374">
        <f t="shared" si="38"/>
        <v>0</v>
      </c>
      <c r="AA152" s="2375">
        <f t="shared" si="38"/>
        <v>0</v>
      </c>
      <c r="AB152" s="2376">
        <f t="shared" si="38"/>
        <v>0</v>
      </c>
      <c r="AC152" s="2377">
        <f t="shared" ref="AC152:AD152" si="39">SUM(AC122:AC151)</f>
        <v>0</v>
      </c>
      <c r="AD152" s="2378">
        <f t="shared" si="39"/>
        <v>0</v>
      </c>
      <c r="AE152" s="1936"/>
    </row>
    <row r="153" spans="1:91" ht="15" customHeight="1" x14ac:dyDescent="0.25">
      <c r="B153" s="6307" t="s">
        <v>341</v>
      </c>
      <c r="C153" s="5510" t="s">
        <v>330</v>
      </c>
      <c r="D153" s="353"/>
      <c r="E153" s="63"/>
      <c r="F153" s="5078"/>
      <c r="G153" s="2252"/>
      <c r="H153" s="3942"/>
      <c r="I153" s="2252"/>
      <c r="J153" s="5503"/>
      <c r="K153" s="2252"/>
      <c r="L153" s="5503"/>
      <c r="M153" s="5513"/>
      <c r="N153" s="5503"/>
      <c r="O153" s="2252"/>
      <c r="P153" s="5503"/>
      <c r="Q153" s="2252"/>
      <c r="R153" s="5503"/>
      <c r="S153" s="2252"/>
      <c r="T153" s="5503"/>
      <c r="U153" s="2252"/>
      <c r="V153" s="5503"/>
      <c r="W153" s="5514"/>
      <c r="X153" s="5503"/>
      <c r="Y153" s="5514"/>
      <c r="Z153" s="5503"/>
      <c r="AA153" s="5513"/>
      <c r="AB153" s="5515"/>
      <c r="AC153" s="5513"/>
      <c r="AD153" s="5503"/>
      <c r="AE153" s="1936" t="str">
        <f t="shared" si="33"/>
        <v/>
      </c>
      <c r="CB153" s="2195" t="str">
        <f t="shared" ref="CB153:CB157" si="40">IF(AND($D153&lt;&gt;0,AC153=""),"* No olvide ingresar la variable "&amp;AC$119&amp;""&amp;". Digite CERO si no tiene. ",IF(AC153&gt;$D153,"* La variable Pueblos Originarios no debe ser mayor al Total Ambos Sexos. ",""))</f>
        <v/>
      </c>
      <c r="CC153" s="2195" t="str">
        <f>IF(AND($D153&lt;&gt;0,AD153=""),"* No olvide ingresar la variable "&amp;AD$119&amp;""&amp;". Digite CERO si no tiene. ",IF(AD153&gt;$D153,"* La variable Migrantes no debe ser mayor al Total Ambos Sexos. ",""))</f>
        <v/>
      </c>
      <c r="CL153" s="2362">
        <f>IF(AND($D153&lt;&gt;0,AC153=""),1,IF(AC153&gt;$D153,1,0))</f>
        <v>0</v>
      </c>
      <c r="CM153" s="2362">
        <f>IF(AND($D153&lt;&gt;0,AD153=""),1,IF(AD153&gt;$D153,1,0))</f>
        <v>0</v>
      </c>
    </row>
    <row r="154" spans="1:91" ht="15" customHeight="1" x14ac:dyDescent="0.25">
      <c r="B154" s="6307"/>
      <c r="C154" s="5510" t="s">
        <v>331</v>
      </c>
      <c r="D154" s="353"/>
      <c r="E154" s="63"/>
      <c r="F154" s="5078"/>
      <c r="G154" s="2252"/>
      <c r="H154" s="3942"/>
      <c r="I154" s="2252"/>
      <c r="J154" s="5503"/>
      <c r="K154" s="2252"/>
      <c r="L154" s="5503"/>
      <c r="M154" s="5513"/>
      <c r="N154" s="5503"/>
      <c r="O154" s="2252"/>
      <c r="P154" s="5503"/>
      <c r="Q154" s="2252"/>
      <c r="R154" s="5503"/>
      <c r="S154" s="2252"/>
      <c r="T154" s="5503"/>
      <c r="U154" s="2252"/>
      <c r="V154" s="5503"/>
      <c r="W154" s="5514"/>
      <c r="X154" s="5503"/>
      <c r="Y154" s="5514"/>
      <c r="Z154" s="5503"/>
      <c r="AA154" s="5513"/>
      <c r="AB154" s="5515"/>
      <c r="AC154" s="5513"/>
      <c r="AD154" s="5503"/>
      <c r="AE154" s="1936" t="str">
        <f t="shared" si="33"/>
        <v/>
      </c>
      <c r="CB154" s="2195" t="str">
        <f t="shared" si="40"/>
        <v/>
      </c>
      <c r="CC154" s="2195" t="str">
        <f t="shared" ref="CC154:CC157" si="41">IF(AND($D154&lt;&gt;0,AD154=""),"* No olvide ingresar la variable "&amp;AD$119&amp;""&amp;". Digite CERO si no tiene. ",IF(AD154&gt;$D154,"* La variable Migrantes no debe ser mayor al Total Ambos Sexos. ",""))</f>
        <v/>
      </c>
      <c r="CL154" s="2362">
        <f t="shared" ref="CL154:CL157" si="42">IF(AND($D154&lt;&gt;0,AC154=""),1,IF(AC154&gt;$D154,1,0))</f>
        <v>0</v>
      </c>
      <c r="CM154" s="2362">
        <f t="shared" ref="CM154:CM157" si="43">IF(AND($D154&lt;&gt;0,AD154=""),1,IF(AD154&gt;$D154,1,0))</f>
        <v>0</v>
      </c>
    </row>
    <row r="155" spans="1:91" ht="15" customHeight="1" x14ac:dyDescent="0.25">
      <c r="B155" s="6307"/>
      <c r="C155" s="5511" t="s">
        <v>332</v>
      </c>
      <c r="D155" s="353"/>
      <c r="E155" s="63"/>
      <c r="F155" s="5078"/>
      <c r="G155" s="2252"/>
      <c r="H155" s="3942"/>
      <c r="I155" s="2252"/>
      <c r="J155" s="5503"/>
      <c r="K155" s="2252"/>
      <c r="L155" s="5503"/>
      <c r="M155" s="5513"/>
      <c r="N155" s="5503"/>
      <c r="O155" s="2252"/>
      <c r="P155" s="5503"/>
      <c r="Q155" s="2252"/>
      <c r="R155" s="5503"/>
      <c r="S155" s="2252"/>
      <c r="T155" s="5503"/>
      <c r="U155" s="2252"/>
      <c r="V155" s="5503"/>
      <c r="W155" s="5514"/>
      <c r="X155" s="5503"/>
      <c r="Y155" s="5514"/>
      <c r="Z155" s="5503"/>
      <c r="AA155" s="5513"/>
      <c r="AB155" s="5515"/>
      <c r="AC155" s="5513"/>
      <c r="AD155" s="5503"/>
      <c r="AE155" s="1936" t="str">
        <f t="shared" si="33"/>
        <v/>
      </c>
      <c r="CB155" s="2195" t="str">
        <f t="shared" si="40"/>
        <v/>
      </c>
      <c r="CC155" s="2195" t="str">
        <f t="shared" si="41"/>
        <v/>
      </c>
      <c r="CL155" s="2362">
        <f t="shared" si="42"/>
        <v>0</v>
      </c>
      <c r="CM155" s="2362">
        <f t="shared" si="43"/>
        <v>0</v>
      </c>
    </row>
    <row r="156" spans="1:91" ht="15" customHeight="1" x14ac:dyDescent="0.25">
      <c r="B156" s="6307"/>
      <c r="C156" s="5511" t="s">
        <v>333</v>
      </c>
      <c r="D156" s="353"/>
      <c r="E156" s="63"/>
      <c r="F156" s="5078"/>
      <c r="G156" s="2252"/>
      <c r="H156" s="3942"/>
      <c r="I156" s="2252"/>
      <c r="J156" s="5503"/>
      <c r="K156" s="2252"/>
      <c r="L156" s="5503"/>
      <c r="M156" s="5513"/>
      <c r="N156" s="5503"/>
      <c r="O156" s="2252"/>
      <c r="P156" s="5503"/>
      <c r="Q156" s="2252"/>
      <c r="R156" s="5503"/>
      <c r="S156" s="2252"/>
      <c r="T156" s="5503"/>
      <c r="U156" s="2252"/>
      <c r="V156" s="5503"/>
      <c r="W156" s="5514"/>
      <c r="X156" s="5503"/>
      <c r="Y156" s="5514"/>
      <c r="Z156" s="5503"/>
      <c r="AA156" s="5513"/>
      <c r="AB156" s="5515"/>
      <c r="AC156" s="5513"/>
      <c r="AD156" s="5503"/>
      <c r="AE156" s="1936" t="str">
        <f t="shared" si="33"/>
        <v/>
      </c>
      <c r="CB156" s="2195" t="str">
        <f t="shared" si="40"/>
        <v/>
      </c>
      <c r="CC156" s="2195" t="str">
        <f t="shared" si="41"/>
        <v/>
      </c>
      <c r="CL156" s="2362">
        <f t="shared" si="42"/>
        <v>0</v>
      </c>
      <c r="CM156" s="2362">
        <f t="shared" si="43"/>
        <v>0</v>
      </c>
    </row>
    <row r="157" spans="1:91" ht="15" customHeight="1" x14ac:dyDescent="0.25">
      <c r="B157" s="6307"/>
      <c r="C157" s="5512" t="s">
        <v>334</v>
      </c>
      <c r="D157" s="5516"/>
      <c r="E157" s="538"/>
      <c r="F157" s="5073"/>
      <c r="G157" s="2321"/>
      <c r="H157" s="1905"/>
      <c r="I157" s="2321"/>
      <c r="J157" s="5517"/>
      <c r="K157" s="2321"/>
      <c r="L157" s="5517"/>
      <c r="M157" s="2323"/>
      <c r="N157" s="5517"/>
      <c r="O157" s="2321"/>
      <c r="P157" s="5517"/>
      <c r="Q157" s="2321"/>
      <c r="R157" s="5517"/>
      <c r="S157" s="2321"/>
      <c r="T157" s="5517"/>
      <c r="U157" s="2321"/>
      <c r="V157" s="5517"/>
      <c r="W157" s="5518"/>
      <c r="X157" s="5517"/>
      <c r="Y157" s="5518"/>
      <c r="Z157" s="5517"/>
      <c r="AA157" s="2323"/>
      <c r="AB157" s="5519"/>
      <c r="AC157" s="2323"/>
      <c r="AD157" s="5517"/>
      <c r="AE157" s="1936" t="str">
        <f t="shared" si="33"/>
        <v/>
      </c>
      <c r="CB157" s="2195" t="str">
        <f t="shared" si="40"/>
        <v/>
      </c>
      <c r="CC157" s="2195" t="str">
        <f t="shared" si="41"/>
        <v/>
      </c>
      <c r="CL157" s="2362">
        <f t="shared" si="42"/>
        <v>0</v>
      </c>
      <c r="CM157" s="2362">
        <f t="shared" si="43"/>
        <v>0</v>
      </c>
    </row>
    <row r="158" spans="1:91" x14ac:dyDescent="0.25">
      <c r="A158" s="5616"/>
      <c r="B158" s="6308" t="s">
        <v>340</v>
      </c>
      <c r="C158" s="6309"/>
      <c r="D158" s="5520"/>
      <c r="E158" s="5521"/>
      <c r="F158" s="5522"/>
      <c r="G158" s="5523"/>
      <c r="H158" s="5524"/>
      <c r="I158" s="5523"/>
      <c r="J158" s="5524"/>
      <c r="K158" s="5523"/>
      <c r="L158" s="5524"/>
      <c r="M158" s="5523"/>
      <c r="N158" s="5524"/>
      <c r="O158" s="5523"/>
      <c r="P158" s="5524"/>
      <c r="Q158" s="5523"/>
      <c r="R158" s="5524"/>
      <c r="S158" s="5523"/>
      <c r="T158" s="5524"/>
      <c r="U158" s="5523"/>
      <c r="V158" s="5524"/>
      <c r="W158" s="5523"/>
      <c r="X158" s="5524"/>
      <c r="Y158" s="5523"/>
      <c r="Z158" s="5524"/>
      <c r="AA158" s="5523"/>
      <c r="AB158" s="5525"/>
      <c r="AC158" s="5521"/>
      <c r="AD158" s="5524"/>
    </row>
    <row r="159" spans="1:91" ht="18" customHeight="1" x14ac:dyDescent="0.25">
      <c r="A159" s="5548"/>
      <c r="B159" s="2382" t="s">
        <v>342</v>
      </c>
      <c r="C159" s="2383"/>
      <c r="D159" s="2383"/>
      <c r="E159" s="2383"/>
      <c r="F159" s="24"/>
      <c r="G159" s="2384"/>
      <c r="H159" s="2384"/>
      <c r="I159" s="2384"/>
      <c r="J159" s="2384"/>
      <c r="K159" s="2384"/>
      <c r="L159" s="2384"/>
      <c r="M159" s="2384"/>
      <c r="N159" s="2384"/>
      <c r="O159" s="2384"/>
      <c r="P159" s="2384"/>
      <c r="Q159" s="2384"/>
      <c r="R159" s="2384"/>
      <c r="S159" s="2384"/>
      <c r="T159" s="2384"/>
      <c r="U159" s="2384"/>
      <c r="V159" s="2384"/>
      <c r="W159" s="2384"/>
      <c r="X159" s="2384"/>
      <c r="Y159" s="2384"/>
      <c r="Z159" s="2384"/>
      <c r="AA159" s="2148"/>
      <c r="AB159" s="2148"/>
      <c r="AC159" s="2149"/>
      <c r="AD159" s="2149"/>
      <c r="AE159" s="2149"/>
      <c r="AF159" s="2149"/>
      <c r="AG159" s="2149"/>
      <c r="AH159" s="2149"/>
      <c r="AI159" s="2149"/>
      <c r="AJ159" s="2149"/>
      <c r="AK159" s="2149"/>
      <c r="AL159" s="2149"/>
      <c r="AM159" s="2149"/>
      <c r="AN159" s="2149"/>
    </row>
    <row r="160" spans="1:91" ht="15" customHeight="1" x14ac:dyDescent="0.25">
      <c r="A160" s="5548"/>
      <c r="B160" s="6148" t="s">
        <v>251</v>
      </c>
      <c r="C160" s="6149"/>
      <c r="D160" s="6147" t="s">
        <v>77</v>
      </c>
      <c r="E160" s="6148"/>
      <c r="F160" s="6149"/>
      <c r="G160" s="6155" t="s">
        <v>101</v>
      </c>
      <c r="H160" s="6260"/>
      <c r="I160" s="6260"/>
      <c r="J160" s="6260"/>
      <c r="K160" s="6260"/>
      <c r="L160" s="6260"/>
      <c r="M160" s="6260"/>
      <c r="N160" s="6260"/>
      <c r="O160" s="6260"/>
      <c r="P160" s="6260"/>
      <c r="Q160" s="6260"/>
      <c r="R160" s="6260"/>
      <c r="S160" s="6260"/>
      <c r="T160" s="6260"/>
      <c r="U160" s="6260"/>
      <c r="V160" s="6260"/>
      <c r="W160" s="6260"/>
      <c r="X160" s="6260"/>
      <c r="Y160" s="6260"/>
      <c r="Z160" s="6260"/>
      <c r="AA160" s="6260"/>
      <c r="AB160" s="6260"/>
      <c r="AC160" s="6260"/>
      <c r="AD160" s="6260"/>
      <c r="AE160" s="6260"/>
      <c r="AF160" s="6260"/>
      <c r="AG160" s="6260"/>
      <c r="AH160" s="6260"/>
      <c r="AI160" s="6260"/>
      <c r="AJ160" s="6260"/>
      <c r="AK160" s="6260"/>
      <c r="AL160" s="6260"/>
      <c r="AM160" s="6260"/>
      <c r="AN160" s="6156"/>
    </row>
    <row r="161" spans="1:40" ht="15" customHeight="1" x14ac:dyDescent="0.25">
      <c r="A161" s="5548"/>
      <c r="B161" s="6045"/>
      <c r="C161" s="6027"/>
      <c r="D161" s="6214"/>
      <c r="E161" s="6150"/>
      <c r="F161" s="6028"/>
      <c r="G161" s="6155" t="s">
        <v>343</v>
      </c>
      <c r="H161" s="6156"/>
      <c r="I161" s="6155" t="s">
        <v>326</v>
      </c>
      <c r="J161" s="6156"/>
      <c r="K161" s="6155" t="s">
        <v>94</v>
      </c>
      <c r="L161" s="6156"/>
      <c r="M161" s="6241" t="s">
        <v>44</v>
      </c>
      <c r="N161" s="6226"/>
      <c r="O161" s="6226" t="s">
        <v>45</v>
      </c>
      <c r="P161" s="6242"/>
      <c r="Q161" s="6155" t="s">
        <v>46</v>
      </c>
      <c r="R161" s="6156"/>
      <c r="S161" s="6260" t="s">
        <v>47</v>
      </c>
      <c r="T161" s="6156"/>
      <c r="U161" s="6260" t="s">
        <v>48</v>
      </c>
      <c r="V161" s="6156"/>
      <c r="W161" s="6155" t="s">
        <v>49</v>
      </c>
      <c r="X161" s="6156"/>
      <c r="Y161" s="6260" t="s">
        <v>50</v>
      </c>
      <c r="Z161" s="6156"/>
      <c r="AA161" s="6302" t="s">
        <v>51</v>
      </c>
      <c r="AB161" s="6303"/>
      <c r="AC161" s="6302" t="s">
        <v>52</v>
      </c>
      <c r="AD161" s="6303"/>
      <c r="AE161" s="6302" t="s">
        <v>53</v>
      </c>
      <c r="AF161" s="6303"/>
      <c r="AG161" s="6302" t="s">
        <v>54</v>
      </c>
      <c r="AH161" s="6303"/>
      <c r="AI161" s="6302" t="s">
        <v>55</v>
      </c>
      <c r="AJ161" s="6303"/>
      <c r="AK161" s="6302" t="s">
        <v>56</v>
      </c>
      <c r="AL161" s="6303"/>
      <c r="AM161" s="6304" t="s">
        <v>57</v>
      </c>
      <c r="AN161" s="6303"/>
    </row>
    <row r="162" spans="1:40" ht="15" customHeight="1" x14ac:dyDescent="0.25">
      <c r="A162" s="5548"/>
      <c r="B162" s="6150"/>
      <c r="C162" s="6028"/>
      <c r="D162" s="2183" t="s">
        <v>79</v>
      </c>
      <c r="E162" s="2386" t="s">
        <v>58</v>
      </c>
      <c r="F162" s="23" t="s">
        <v>59</v>
      </c>
      <c r="G162" s="2165" t="s">
        <v>58</v>
      </c>
      <c r="H162" s="23" t="s">
        <v>59</v>
      </c>
      <c r="I162" s="2165" t="s">
        <v>58</v>
      </c>
      <c r="J162" s="23" t="s">
        <v>59</v>
      </c>
      <c r="K162" s="2165" t="s">
        <v>58</v>
      </c>
      <c r="L162" s="23" t="s">
        <v>59</v>
      </c>
      <c r="M162" s="2163" t="s">
        <v>58</v>
      </c>
      <c r="N162" s="1752" t="s">
        <v>59</v>
      </c>
      <c r="O162" s="2185" t="s">
        <v>58</v>
      </c>
      <c r="P162" s="2354" t="s">
        <v>59</v>
      </c>
      <c r="Q162" s="2185" t="s">
        <v>58</v>
      </c>
      <c r="R162" s="2354" t="s">
        <v>59</v>
      </c>
      <c r="S162" s="2164" t="s">
        <v>58</v>
      </c>
      <c r="T162" s="1742" t="s">
        <v>59</v>
      </c>
      <c r="U162" s="2164" t="s">
        <v>58</v>
      </c>
      <c r="V162" s="1742" t="s">
        <v>59</v>
      </c>
      <c r="W162" s="2163" t="s">
        <v>58</v>
      </c>
      <c r="X162" s="1742" t="s">
        <v>59</v>
      </c>
      <c r="Y162" s="2164" t="s">
        <v>58</v>
      </c>
      <c r="Z162" s="1742" t="s">
        <v>59</v>
      </c>
      <c r="AA162" s="2355" t="s">
        <v>58</v>
      </c>
      <c r="AB162" s="2356" t="s">
        <v>59</v>
      </c>
      <c r="AC162" s="2355" t="s">
        <v>58</v>
      </c>
      <c r="AD162" s="2356" t="s">
        <v>59</v>
      </c>
      <c r="AE162" s="2355" t="s">
        <v>58</v>
      </c>
      <c r="AF162" s="2356" t="s">
        <v>59</v>
      </c>
      <c r="AG162" s="2355" t="s">
        <v>58</v>
      </c>
      <c r="AH162" s="2356" t="s">
        <v>59</v>
      </c>
      <c r="AI162" s="2355" t="s">
        <v>58</v>
      </c>
      <c r="AJ162" s="2356" t="s">
        <v>59</v>
      </c>
      <c r="AK162" s="2355" t="s">
        <v>58</v>
      </c>
      <c r="AL162" s="2356" t="s">
        <v>59</v>
      </c>
      <c r="AM162" s="2387" t="s">
        <v>58</v>
      </c>
      <c r="AN162" s="2356" t="s">
        <v>59</v>
      </c>
    </row>
    <row r="163" spans="1:40" ht="15" customHeight="1" x14ac:dyDescent="0.25">
      <c r="A163" s="5609" t="s">
        <v>4718</v>
      </c>
      <c r="B163" s="6305" t="s">
        <v>344</v>
      </c>
      <c r="C163" s="2388" t="s">
        <v>345</v>
      </c>
      <c r="D163" s="2357" t="s">
        <v>4567</v>
      </c>
      <c r="E163" s="2291" t="s">
        <v>4568</v>
      </c>
      <c r="F163" s="2221" t="s">
        <v>4569</v>
      </c>
      <c r="G163" s="2175" t="s">
        <v>4570</v>
      </c>
      <c r="H163" s="1962" t="s">
        <v>4571</v>
      </c>
      <c r="I163" s="2175" t="s">
        <v>4572</v>
      </c>
      <c r="J163" s="1962" t="s">
        <v>4573</v>
      </c>
      <c r="K163" s="2175" t="s">
        <v>4574</v>
      </c>
      <c r="L163" s="1962" t="s">
        <v>4575</v>
      </c>
      <c r="M163" s="2175" t="s">
        <v>4576</v>
      </c>
      <c r="N163" s="1862" t="s">
        <v>4577</v>
      </c>
      <c r="O163" s="1862" t="s">
        <v>4578</v>
      </c>
      <c r="P163" s="1962" t="s">
        <v>4579</v>
      </c>
      <c r="Q163" s="2175" t="s">
        <v>4580</v>
      </c>
      <c r="R163" s="1962" t="s">
        <v>4581</v>
      </c>
      <c r="S163" s="2249" t="s">
        <v>4582</v>
      </c>
      <c r="T163" s="1962" t="s">
        <v>4583</v>
      </c>
      <c r="U163" s="2249" t="s">
        <v>4584</v>
      </c>
      <c r="V163" s="1962" t="s">
        <v>4585</v>
      </c>
      <c r="W163" s="2175" t="s">
        <v>4586</v>
      </c>
      <c r="X163" s="1962" t="s">
        <v>4587</v>
      </c>
      <c r="Y163" s="2249" t="s">
        <v>4588</v>
      </c>
      <c r="Z163" s="1962" t="s">
        <v>4589</v>
      </c>
      <c r="AA163" s="2389" t="s">
        <v>4590</v>
      </c>
      <c r="AB163" s="2361" t="s">
        <v>4591</v>
      </c>
      <c r="AC163" s="2389" t="s">
        <v>4592</v>
      </c>
      <c r="AD163" s="2361" t="s">
        <v>4593</v>
      </c>
      <c r="AE163" s="2389" t="s">
        <v>4594</v>
      </c>
      <c r="AF163" s="2361" t="s">
        <v>4595</v>
      </c>
      <c r="AG163" s="2389" t="s">
        <v>4596</v>
      </c>
      <c r="AH163" s="2361" t="s">
        <v>4597</v>
      </c>
      <c r="AI163" s="2389" t="s">
        <v>4598</v>
      </c>
      <c r="AJ163" s="2361" t="s">
        <v>4599</v>
      </c>
      <c r="AK163" s="2389" t="s">
        <v>4600</v>
      </c>
      <c r="AL163" s="2361" t="s">
        <v>4601</v>
      </c>
      <c r="AM163" s="2390" t="s">
        <v>4602</v>
      </c>
      <c r="AN163" s="2361" t="s">
        <v>4603</v>
      </c>
    </row>
    <row r="164" spans="1:40" ht="15" customHeight="1" x14ac:dyDescent="0.25">
      <c r="A164" s="5609" t="s">
        <v>4719</v>
      </c>
      <c r="B164" s="6230"/>
      <c r="C164" s="343" t="s">
        <v>346</v>
      </c>
      <c r="D164" s="295" t="s">
        <v>4567</v>
      </c>
      <c r="E164" s="2292" t="s">
        <v>4568</v>
      </c>
      <c r="F164" s="146" t="s">
        <v>4569</v>
      </c>
      <c r="G164" s="328" t="s">
        <v>4570</v>
      </c>
      <c r="H164" s="1969" t="s">
        <v>4571</v>
      </c>
      <c r="I164" s="328" t="s">
        <v>4572</v>
      </c>
      <c r="J164" s="1969" t="s">
        <v>4573</v>
      </c>
      <c r="K164" s="328" t="s">
        <v>4574</v>
      </c>
      <c r="L164" s="1969" t="s">
        <v>4575</v>
      </c>
      <c r="M164" s="328" t="s">
        <v>4576</v>
      </c>
      <c r="N164" s="1939" t="s">
        <v>4577</v>
      </c>
      <c r="O164" s="1939" t="s">
        <v>4578</v>
      </c>
      <c r="P164" s="1969" t="s">
        <v>4579</v>
      </c>
      <c r="Q164" s="328" t="s">
        <v>4580</v>
      </c>
      <c r="R164" s="1969" t="s">
        <v>4581</v>
      </c>
      <c r="S164" s="2034" t="s">
        <v>4582</v>
      </c>
      <c r="T164" s="1969" t="s">
        <v>4583</v>
      </c>
      <c r="U164" s="2034" t="s">
        <v>4584</v>
      </c>
      <c r="V164" s="1969" t="s">
        <v>4585</v>
      </c>
      <c r="W164" s="328" t="s">
        <v>4586</v>
      </c>
      <c r="X164" s="1969" t="s">
        <v>4587</v>
      </c>
      <c r="Y164" s="2034" t="s">
        <v>4588</v>
      </c>
      <c r="Z164" s="1969" t="s">
        <v>4589</v>
      </c>
      <c r="AA164" s="2061" t="s">
        <v>4590</v>
      </c>
      <c r="AB164" s="2060" t="s">
        <v>4591</v>
      </c>
      <c r="AC164" s="2061" t="s">
        <v>4592</v>
      </c>
      <c r="AD164" s="2060" t="s">
        <v>4593</v>
      </c>
      <c r="AE164" s="2061" t="s">
        <v>4594</v>
      </c>
      <c r="AF164" s="2060" t="s">
        <v>4595</v>
      </c>
      <c r="AG164" s="2061" t="s">
        <v>4596</v>
      </c>
      <c r="AH164" s="2060" t="s">
        <v>4597</v>
      </c>
      <c r="AI164" s="2061" t="s">
        <v>4598</v>
      </c>
      <c r="AJ164" s="2060" t="s">
        <v>4599</v>
      </c>
      <c r="AK164" s="2061" t="s">
        <v>4600</v>
      </c>
      <c r="AL164" s="2060" t="s">
        <v>4601</v>
      </c>
      <c r="AM164" s="2059" t="s">
        <v>4602</v>
      </c>
      <c r="AN164" s="2060" t="s">
        <v>4603</v>
      </c>
    </row>
    <row r="165" spans="1:40" ht="15" customHeight="1" x14ac:dyDescent="0.25">
      <c r="A165" s="5609" t="s">
        <v>4720</v>
      </c>
      <c r="B165" s="6306"/>
      <c r="C165" s="1749" t="s">
        <v>347</v>
      </c>
      <c r="D165" s="2391" t="s">
        <v>4567</v>
      </c>
      <c r="E165" s="2392" t="s">
        <v>4568</v>
      </c>
      <c r="F165" s="2229" t="s">
        <v>4569</v>
      </c>
      <c r="G165" s="853" t="s">
        <v>4570</v>
      </c>
      <c r="H165" s="1975" t="s">
        <v>4571</v>
      </c>
      <c r="I165" s="853" t="s">
        <v>4572</v>
      </c>
      <c r="J165" s="1975" t="s">
        <v>4573</v>
      </c>
      <c r="K165" s="853" t="s">
        <v>4574</v>
      </c>
      <c r="L165" s="1975" t="s">
        <v>4575</v>
      </c>
      <c r="M165" s="853" t="s">
        <v>4576</v>
      </c>
      <c r="N165" s="1873" t="s">
        <v>4577</v>
      </c>
      <c r="O165" s="1873" t="s">
        <v>4578</v>
      </c>
      <c r="P165" s="1975" t="s">
        <v>4579</v>
      </c>
      <c r="Q165" s="853" t="s">
        <v>4580</v>
      </c>
      <c r="R165" s="1975" t="s">
        <v>4581</v>
      </c>
      <c r="S165" s="1877" t="s">
        <v>4582</v>
      </c>
      <c r="T165" s="1975" t="s">
        <v>4583</v>
      </c>
      <c r="U165" s="1877" t="s">
        <v>4584</v>
      </c>
      <c r="V165" s="1975" t="s">
        <v>4585</v>
      </c>
      <c r="W165" s="853" t="s">
        <v>4586</v>
      </c>
      <c r="X165" s="1975" t="s">
        <v>4587</v>
      </c>
      <c r="Y165" s="1877" t="s">
        <v>4588</v>
      </c>
      <c r="Z165" s="1975" t="s">
        <v>4589</v>
      </c>
      <c r="AA165" s="2393" t="s">
        <v>4590</v>
      </c>
      <c r="AB165" s="2366" t="s">
        <v>4591</v>
      </c>
      <c r="AC165" s="2393" t="s">
        <v>4592</v>
      </c>
      <c r="AD165" s="2366" t="s">
        <v>4593</v>
      </c>
      <c r="AE165" s="2393" t="s">
        <v>4594</v>
      </c>
      <c r="AF165" s="2366" t="s">
        <v>4595</v>
      </c>
      <c r="AG165" s="2393" t="s">
        <v>4596</v>
      </c>
      <c r="AH165" s="2366" t="s">
        <v>4597</v>
      </c>
      <c r="AI165" s="2393" t="s">
        <v>4598</v>
      </c>
      <c r="AJ165" s="2366" t="s">
        <v>4599</v>
      </c>
      <c r="AK165" s="2393" t="s">
        <v>4600</v>
      </c>
      <c r="AL165" s="2366" t="s">
        <v>4601</v>
      </c>
      <c r="AM165" s="2394" t="s">
        <v>4602</v>
      </c>
      <c r="AN165" s="2366" t="s">
        <v>4603</v>
      </c>
    </row>
    <row r="166" spans="1:40" ht="15" customHeight="1" x14ac:dyDescent="0.25">
      <c r="A166" s="5609" t="s">
        <v>4721</v>
      </c>
      <c r="B166" s="6305" t="s">
        <v>348</v>
      </c>
      <c r="C166" s="2388" t="s">
        <v>345</v>
      </c>
      <c r="D166" s="2357" t="s">
        <v>4567</v>
      </c>
      <c r="E166" s="2291" t="s">
        <v>4568</v>
      </c>
      <c r="F166" s="2221" t="s">
        <v>4569</v>
      </c>
      <c r="G166" s="2175" t="s">
        <v>4570</v>
      </c>
      <c r="H166" s="1962" t="s">
        <v>4571</v>
      </c>
      <c r="I166" s="2175" t="s">
        <v>4572</v>
      </c>
      <c r="J166" s="1962" t="s">
        <v>4573</v>
      </c>
      <c r="K166" s="2175" t="s">
        <v>4574</v>
      </c>
      <c r="L166" s="1962" t="s">
        <v>4575</v>
      </c>
      <c r="M166" s="2175" t="s">
        <v>4576</v>
      </c>
      <c r="N166" s="1862" t="s">
        <v>4577</v>
      </c>
      <c r="O166" s="1862" t="s">
        <v>4578</v>
      </c>
      <c r="P166" s="1962" t="s">
        <v>4579</v>
      </c>
      <c r="Q166" s="2175" t="s">
        <v>4580</v>
      </c>
      <c r="R166" s="1962" t="s">
        <v>4581</v>
      </c>
      <c r="S166" s="2249" t="s">
        <v>4582</v>
      </c>
      <c r="T166" s="1962" t="s">
        <v>4583</v>
      </c>
      <c r="U166" s="2249" t="s">
        <v>4584</v>
      </c>
      <c r="V166" s="1962" t="s">
        <v>4585</v>
      </c>
      <c r="W166" s="2175" t="s">
        <v>4586</v>
      </c>
      <c r="X166" s="1962" t="s">
        <v>4587</v>
      </c>
      <c r="Y166" s="2249" t="s">
        <v>4588</v>
      </c>
      <c r="Z166" s="1962" t="s">
        <v>4589</v>
      </c>
      <c r="AA166" s="2389" t="s">
        <v>4590</v>
      </c>
      <c r="AB166" s="2361" t="s">
        <v>4591</v>
      </c>
      <c r="AC166" s="2389" t="s">
        <v>4592</v>
      </c>
      <c r="AD166" s="2361" t="s">
        <v>4593</v>
      </c>
      <c r="AE166" s="2389" t="s">
        <v>4594</v>
      </c>
      <c r="AF166" s="2361" t="s">
        <v>4595</v>
      </c>
      <c r="AG166" s="2389" t="s">
        <v>4596</v>
      </c>
      <c r="AH166" s="2361" t="s">
        <v>4597</v>
      </c>
      <c r="AI166" s="2389" t="s">
        <v>4598</v>
      </c>
      <c r="AJ166" s="2361" t="s">
        <v>4599</v>
      </c>
      <c r="AK166" s="2389" t="s">
        <v>4600</v>
      </c>
      <c r="AL166" s="2361" t="s">
        <v>4601</v>
      </c>
      <c r="AM166" s="2390" t="s">
        <v>4602</v>
      </c>
      <c r="AN166" s="2361" t="s">
        <v>4603</v>
      </c>
    </row>
    <row r="167" spans="1:40" ht="15" customHeight="1" x14ac:dyDescent="0.25">
      <c r="A167" s="5609" t="s">
        <v>4722</v>
      </c>
      <c r="B167" s="6230"/>
      <c r="C167" s="343" t="s">
        <v>346</v>
      </c>
      <c r="D167" s="295" t="s">
        <v>4567</v>
      </c>
      <c r="E167" s="2292" t="s">
        <v>4568</v>
      </c>
      <c r="F167" s="146" t="s">
        <v>4569</v>
      </c>
      <c r="G167" s="328" t="s">
        <v>4570</v>
      </c>
      <c r="H167" s="1969" t="s">
        <v>4571</v>
      </c>
      <c r="I167" s="328" t="s">
        <v>4572</v>
      </c>
      <c r="J167" s="1969" t="s">
        <v>4573</v>
      </c>
      <c r="K167" s="328" t="s">
        <v>4574</v>
      </c>
      <c r="L167" s="1969" t="s">
        <v>4575</v>
      </c>
      <c r="M167" s="328" t="s">
        <v>4576</v>
      </c>
      <c r="N167" s="1939" t="s">
        <v>4577</v>
      </c>
      <c r="O167" s="1939" t="s">
        <v>4578</v>
      </c>
      <c r="P167" s="1969" t="s">
        <v>4579</v>
      </c>
      <c r="Q167" s="328" t="s">
        <v>4580</v>
      </c>
      <c r="R167" s="1969" t="s">
        <v>4581</v>
      </c>
      <c r="S167" s="2034" t="s">
        <v>4582</v>
      </c>
      <c r="T167" s="1969" t="s">
        <v>4583</v>
      </c>
      <c r="U167" s="2034" t="s">
        <v>4584</v>
      </c>
      <c r="V167" s="1969" t="s">
        <v>4585</v>
      </c>
      <c r="W167" s="328" t="s">
        <v>4586</v>
      </c>
      <c r="X167" s="1969" t="s">
        <v>4587</v>
      </c>
      <c r="Y167" s="2034" t="s">
        <v>4588</v>
      </c>
      <c r="Z167" s="1969" t="s">
        <v>4589</v>
      </c>
      <c r="AA167" s="2061" t="s">
        <v>4590</v>
      </c>
      <c r="AB167" s="2060" t="s">
        <v>4591</v>
      </c>
      <c r="AC167" s="2061" t="s">
        <v>4592</v>
      </c>
      <c r="AD167" s="2060" t="s">
        <v>4593</v>
      </c>
      <c r="AE167" s="2061" t="s">
        <v>4594</v>
      </c>
      <c r="AF167" s="2060" t="s">
        <v>4595</v>
      </c>
      <c r="AG167" s="2061" t="s">
        <v>4596</v>
      </c>
      <c r="AH167" s="2060" t="s">
        <v>4597</v>
      </c>
      <c r="AI167" s="2061" t="s">
        <v>4598</v>
      </c>
      <c r="AJ167" s="2060" t="s">
        <v>4599</v>
      </c>
      <c r="AK167" s="2061" t="s">
        <v>4600</v>
      </c>
      <c r="AL167" s="2060" t="s">
        <v>4601</v>
      </c>
      <c r="AM167" s="2059" t="s">
        <v>4602</v>
      </c>
      <c r="AN167" s="2060" t="s">
        <v>4603</v>
      </c>
    </row>
    <row r="168" spans="1:40" ht="15" customHeight="1" x14ac:dyDescent="0.25">
      <c r="A168" s="5609" t="s">
        <v>4723</v>
      </c>
      <c r="B168" s="6306"/>
      <c r="C168" s="1749" t="s">
        <v>347</v>
      </c>
      <c r="D168" s="2391" t="s">
        <v>4567</v>
      </c>
      <c r="E168" s="2392" t="s">
        <v>4568</v>
      </c>
      <c r="F168" s="2229" t="s">
        <v>4569</v>
      </c>
      <c r="G168" s="853" t="s">
        <v>4570</v>
      </c>
      <c r="H168" s="1975" t="s">
        <v>4571</v>
      </c>
      <c r="I168" s="853" t="s">
        <v>4572</v>
      </c>
      <c r="J168" s="1975" t="s">
        <v>4573</v>
      </c>
      <c r="K168" s="853" t="s">
        <v>4574</v>
      </c>
      <c r="L168" s="1975" t="s">
        <v>4575</v>
      </c>
      <c r="M168" s="853" t="s">
        <v>4576</v>
      </c>
      <c r="N168" s="1873" t="s">
        <v>4577</v>
      </c>
      <c r="O168" s="1873" t="s">
        <v>4578</v>
      </c>
      <c r="P168" s="1975" t="s">
        <v>4579</v>
      </c>
      <c r="Q168" s="853" t="s">
        <v>4580</v>
      </c>
      <c r="R168" s="1975" t="s">
        <v>4581</v>
      </c>
      <c r="S168" s="1877" t="s">
        <v>4582</v>
      </c>
      <c r="T168" s="1975" t="s">
        <v>4583</v>
      </c>
      <c r="U168" s="1877" t="s">
        <v>4584</v>
      </c>
      <c r="V168" s="1975" t="s">
        <v>4585</v>
      </c>
      <c r="W168" s="853" t="s">
        <v>4586</v>
      </c>
      <c r="X168" s="1975" t="s">
        <v>4587</v>
      </c>
      <c r="Y168" s="1877" t="s">
        <v>4588</v>
      </c>
      <c r="Z168" s="1975" t="s">
        <v>4589</v>
      </c>
      <c r="AA168" s="2393" t="s">
        <v>4590</v>
      </c>
      <c r="AB168" s="2366" t="s">
        <v>4591</v>
      </c>
      <c r="AC168" s="2393" t="s">
        <v>4592</v>
      </c>
      <c r="AD168" s="2366" t="s">
        <v>4593</v>
      </c>
      <c r="AE168" s="2393" t="s">
        <v>4594</v>
      </c>
      <c r="AF168" s="2366" t="s">
        <v>4595</v>
      </c>
      <c r="AG168" s="2393" t="s">
        <v>4596</v>
      </c>
      <c r="AH168" s="2366" t="s">
        <v>4597</v>
      </c>
      <c r="AI168" s="2393" t="s">
        <v>4598</v>
      </c>
      <c r="AJ168" s="2366" t="s">
        <v>4599</v>
      </c>
      <c r="AK168" s="2393" t="s">
        <v>4600</v>
      </c>
      <c r="AL168" s="2366" t="s">
        <v>4601</v>
      </c>
      <c r="AM168" s="2394" t="s">
        <v>4602</v>
      </c>
      <c r="AN168" s="2366" t="s">
        <v>4603</v>
      </c>
    </row>
    <row r="169" spans="1:40" ht="18" customHeight="1" x14ac:dyDescent="0.25">
      <c r="B169" s="2382" t="s">
        <v>349</v>
      </c>
      <c r="C169" s="2156"/>
      <c r="D169" s="2156"/>
      <c r="E169" s="2156"/>
      <c r="F169" s="2157"/>
      <c r="G169" s="2157"/>
      <c r="H169" s="2157"/>
      <c r="I169" s="2157"/>
      <c r="J169" s="2157"/>
      <c r="K169" s="2157"/>
      <c r="L169" s="2157"/>
      <c r="M169" s="2157"/>
      <c r="N169" s="2395"/>
      <c r="O169" s="2148"/>
      <c r="P169" s="2148"/>
    </row>
    <row r="170" spans="1:40" ht="15" customHeight="1" x14ac:dyDescent="0.25">
      <c r="B170" s="6118" t="s">
        <v>219</v>
      </c>
      <c r="C170" s="6118" t="s">
        <v>220</v>
      </c>
      <c r="D170" s="6147" t="s">
        <v>77</v>
      </c>
      <c r="E170" s="6148"/>
      <c r="F170" s="6149"/>
      <c r="G170" s="6155" t="s">
        <v>101</v>
      </c>
      <c r="H170" s="6260"/>
      <c r="I170" s="6260"/>
      <c r="J170" s="6260"/>
      <c r="K170" s="6260"/>
      <c r="L170" s="6260"/>
      <c r="M170" s="6260"/>
      <c r="N170" s="6260"/>
      <c r="O170" s="6260"/>
      <c r="P170" s="6156"/>
    </row>
    <row r="171" spans="1:40" ht="15" customHeight="1" x14ac:dyDescent="0.25">
      <c r="B171" s="6119"/>
      <c r="C171" s="6119"/>
      <c r="D171" s="6214"/>
      <c r="E171" s="6150"/>
      <c r="F171" s="6028"/>
      <c r="G171" s="6155" t="s">
        <v>53</v>
      </c>
      <c r="H171" s="6156"/>
      <c r="I171" s="6155" t="s">
        <v>54</v>
      </c>
      <c r="J171" s="6156"/>
      <c r="K171" s="6155" t="s">
        <v>55</v>
      </c>
      <c r="L171" s="6156"/>
      <c r="M171" s="6155" t="s">
        <v>56</v>
      </c>
      <c r="N171" s="6156"/>
      <c r="O171" s="6155" t="s">
        <v>57</v>
      </c>
      <c r="P171" s="6156"/>
    </row>
    <row r="172" spans="1:40" ht="15" customHeight="1" x14ac:dyDescent="0.25">
      <c r="B172" s="6093"/>
      <c r="C172" s="6093"/>
      <c r="D172" s="2183" t="s">
        <v>79</v>
      </c>
      <c r="E172" s="2386" t="s">
        <v>58</v>
      </c>
      <c r="F172" s="23" t="s">
        <v>59</v>
      </c>
      <c r="G172" s="2165" t="s">
        <v>58</v>
      </c>
      <c r="H172" s="23" t="s">
        <v>59</v>
      </c>
      <c r="I172" s="2165" t="s">
        <v>58</v>
      </c>
      <c r="J172" s="23" t="s">
        <v>59</v>
      </c>
      <c r="K172" s="2165" t="s">
        <v>58</v>
      </c>
      <c r="L172" s="23" t="s">
        <v>59</v>
      </c>
      <c r="M172" s="2165" t="s">
        <v>58</v>
      </c>
      <c r="N172" s="23" t="s">
        <v>59</v>
      </c>
      <c r="O172" s="2165" t="s">
        <v>58</v>
      </c>
      <c r="P172" s="23" t="s">
        <v>59</v>
      </c>
    </row>
    <row r="173" spans="1:40" ht="15" customHeight="1" x14ac:dyDescent="0.25">
      <c r="A173" s="5601" t="s">
        <v>4724</v>
      </c>
      <c r="B173" s="6111" t="s">
        <v>350</v>
      </c>
      <c r="C173" s="2388" t="s">
        <v>351</v>
      </c>
      <c r="D173" s="2357" t="s">
        <v>4567</v>
      </c>
      <c r="E173" s="2291" t="s">
        <v>4568</v>
      </c>
      <c r="F173" s="2221" t="s">
        <v>4569</v>
      </c>
      <c r="G173" s="2175" t="s">
        <v>4570</v>
      </c>
      <c r="H173" s="2205" t="s">
        <v>4571</v>
      </c>
      <c r="I173" s="2175" t="s">
        <v>4572</v>
      </c>
      <c r="J173" s="1962" t="s">
        <v>4573</v>
      </c>
      <c r="K173" s="2249" t="s">
        <v>4574</v>
      </c>
      <c r="L173" s="2205" t="s">
        <v>4575</v>
      </c>
      <c r="M173" s="2175" t="s">
        <v>4576</v>
      </c>
      <c r="N173" s="1962" t="s">
        <v>4577</v>
      </c>
      <c r="O173" s="2175" t="s">
        <v>4578</v>
      </c>
      <c r="P173" s="1962" t="s">
        <v>4579</v>
      </c>
    </row>
    <row r="174" spans="1:40" ht="15" customHeight="1" x14ac:dyDescent="0.25">
      <c r="A174" s="5601" t="s">
        <v>4725</v>
      </c>
      <c r="B174" s="6112"/>
      <c r="C174" s="357" t="s">
        <v>352</v>
      </c>
      <c r="D174" s="195" t="s">
        <v>4567</v>
      </c>
      <c r="E174" s="2379" t="s">
        <v>4568</v>
      </c>
      <c r="F174" s="2396" t="s">
        <v>4569</v>
      </c>
      <c r="G174" s="20" t="s">
        <v>4570</v>
      </c>
      <c r="H174" s="2397" t="s">
        <v>4571</v>
      </c>
      <c r="I174" s="20" t="s">
        <v>4572</v>
      </c>
      <c r="J174" s="30" t="s">
        <v>4573</v>
      </c>
      <c r="K174" s="2398" t="s">
        <v>4574</v>
      </c>
      <c r="L174" s="2397" t="s">
        <v>4575</v>
      </c>
      <c r="M174" s="20" t="s">
        <v>4576</v>
      </c>
      <c r="N174" s="30" t="s">
        <v>4577</v>
      </c>
      <c r="O174" s="20" t="s">
        <v>4578</v>
      </c>
      <c r="P174" s="30" t="s">
        <v>4579</v>
      </c>
    </row>
    <row r="175" spans="1:40" ht="15" customHeight="1" x14ac:dyDescent="0.25">
      <c r="A175" s="5601" t="s">
        <v>4726</v>
      </c>
      <c r="B175" s="6113"/>
      <c r="C175" s="674" t="s">
        <v>353</v>
      </c>
      <c r="D175" s="196" t="s">
        <v>4567</v>
      </c>
      <c r="E175" s="485" t="s">
        <v>4568</v>
      </c>
      <c r="F175" s="62" t="s">
        <v>4569</v>
      </c>
      <c r="G175" s="212" t="s">
        <v>4570</v>
      </c>
      <c r="H175" s="1138" t="s">
        <v>4571</v>
      </c>
      <c r="I175" s="212" t="s">
        <v>4572</v>
      </c>
      <c r="J175" s="1136" t="s">
        <v>4573</v>
      </c>
      <c r="K175" s="1137" t="s">
        <v>4574</v>
      </c>
      <c r="L175" s="1138" t="s">
        <v>4575</v>
      </c>
      <c r="M175" s="212" t="s">
        <v>4576</v>
      </c>
      <c r="N175" s="1136" t="s">
        <v>4577</v>
      </c>
      <c r="O175" s="212" t="s">
        <v>4578</v>
      </c>
      <c r="P175" s="1136" t="s">
        <v>4579</v>
      </c>
    </row>
    <row r="176" spans="1:40" ht="15" customHeight="1" x14ac:dyDescent="0.25">
      <c r="A176" s="5601" t="s">
        <v>4727</v>
      </c>
      <c r="B176" s="6111" t="s">
        <v>354</v>
      </c>
      <c r="C176" s="2388" t="s">
        <v>351</v>
      </c>
      <c r="D176" s="2357" t="s">
        <v>4567</v>
      </c>
      <c r="E176" s="2291" t="s">
        <v>4568</v>
      </c>
      <c r="F176" s="2221" t="s">
        <v>4569</v>
      </c>
      <c r="G176" s="2175" t="s">
        <v>4570</v>
      </c>
      <c r="H176" s="1962" t="s">
        <v>4571</v>
      </c>
      <c r="I176" s="2175" t="s">
        <v>4572</v>
      </c>
      <c r="J176" s="2205" t="s">
        <v>4573</v>
      </c>
      <c r="K176" s="2175" t="s">
        <v>4574</v>
      </c>
      <c r="L176" s="1962" t="s">
        <v>4575</v>
      </c>
      <c r="M176" s="2249" t="s">
        <v>4576</v>
      </c>
      <c r="N176" s="2205" t="s">
        <v>4577</v>
      </c>
      <c r="O176" s="2175" t="s">
        <v>4578</v>
      </c>
      <c r="P176" s="1962" t="s">
        <v>4579</v>
      </c>
    </row>
    <row r="177" spans="1:22" ht="15" customHeight="1" x14ac:dyDescent="0.25">
      <c r="A177" s="5601" t="s">
        <v>4728</v>
      </c>
      <c r="B177" s="6112"/>
      <c r="C177" s="357" t="s">
        <v>352</v>
      </c>
      <c r="D177" s="357" t="s">
        <v>4567</v>
      </c>
      <c r="E177" s="478" t="s">
        <v>4568</v>
      </c>
      <c r="F177" s="479" t="s">
        <v>4569</v>
      </c>
      <c r="G177" s="20" t="s">
        <v>4570</v>
      </c>
      <c r="H177" s="30" t="s">
        <v>4571</v>
      </c>
      <c r="I177" s="328" t="s">
        <v>4572</v>
      </c>
      <c r="J177" s="2201" t="s">
        <v>4573</v>
      </c>
      <c r="K177" s="328" t="s">
        <v>4574</v>
      </c>
      <c r="L177" s="1969" t="s">
        <v>4575</v>
      </c>
      <c r="M177" s="2034" t="s">
        <v>4576</v>
      </c>
      <c r="N177" s="2201" t="s">
        <v>4577</v>
      </c>
      <c r="O177" s="328" t="s">
        <v>4578</v>
      </c>
      <c r="P177" s="1969" t="s">
        <v>4579</v>
      </c>
    </row>
    <row r="178" spans="1:22" ht="15" customHeight="1" x14ac:dyDescent="0.25">
      <c r="A178" s="5601" t="s">
        <v>4729</v>
      </c>
      <c r="B178" s="6113"/>
      <c r="C178" s="674" t="s">
        <v>353</v>
      </c>
      <c r="D178" s="517" t="s">
        <v>4567</v>
      </c>
      <c r="E178" s="483" t="s">
        <v>4568</v>
      </c>
      <c r="F178" s="484" t="s">
        <v>4569</v>
      </c>
      <c r="G178" s="853" t="s">
        <v>4570</v>
      </c>
      <c r="H178" s="1975" t="s">
        <v>4571</v>
      </c>
      <c r="I178" s="853" t="s">
        <v>4572</v>
      </c>
      <c r="J178" s="2203" t="s">
        <v>4573</v>
      </c>
      <c r="K178" s="853" t="s">
        <v>4574</v>
      </c>
      <c r="L178" s="1975" t="s">
        <v>4575</v>
      </c>
      <c r="M178" s="1877" t="s">
        <v>4576</v>
      </c>
      <c r="N178" s="2203" t="s">
        <v>4577</v>
      </c>
      <c r="O178" s="853" t="s">
        <v>4578</v>
      </c>
      <c r="P178" s="1975" t="s">
        <v>4579</v>
      </c>
    </row>
    <row r="179" spans="1:22" ht="18" customHeight="1" x14ac:dyDescent="0.25">
      <c r="B179" s="6301" t="s">
        <v>355</v>
      </c>
      <c r="C179" s="6301"/>
      <c r="D179" s="6301"/>
      <c r="E179" s="6301"/>
      <c r="F179" s="6301"/>
      <c r="G179" s="6301"/>
      <c r="H179" s="6301"/>
      <c r="I179" s="6301"/>
      <c r="J179" s="6301"/>
      <c r="K179" s="6301"/>
      <c r="L179" s="6301"/>
      <c r="M179" s="6301"/>
      <c r="N179" s="6301"/>
      <c r="O179" s="6301"/>
      <c r="P179" s="6301"/>
      <c r="Q179" s="2148"/>
      <c r="R179" s="2148"/>
    </row>
    <row r="180" spans="1:22" ht="15" customHeight="1" x14ac:dyDescent="0.25">
      <c r="B180" s="6147" t="s">
        <v>356</v>
      </c>
      <c r="C180" s="6149"/>
      <c r="D180" s="6147" t="s">
        <v>77</v>
      </c>
      <c r="E180" s="6148"/>
      <c r="F180" s="6149"/>
      <c r="G180" s="6155" t="s">
        <v>101</v>
      </c>
      <c r="H180" s="6260"/>
      <c r="I180" s="6260"/>
      <c r="J180" s="6260"/>
      <c r="K180" s="6260"/>
      <c r="L180" s="6260"/>
      <c r="M180" s="6260"/>
      <c r="N180" s="6260"/>
      <c r="O180" s="6260"/>
      <c r="P180" s="6260"/>
      <c r="Q180" s="6260"/>
      <c r="R180" s="6156"/>
    </row>
    <row r="181" spans="1:22" ht="15" customHeight="1" x14ac:dyDescent="0.25">
      <c r="B181" s="6213"/>
      <c r="C181" s="6027"/>
      <c r="D181" s="6214"/>
      <c r="E181" s="6150"/>
      <c r="F181" s="6028"/>
      <c r="G181" s="6155" t="s">
        <v>54</v>
      </c>
      <c r="H181" s="6156"/>
      <c r="I181" s="6155" t="s">
        <v>55</v>
      </c>
      <c r="J181" s="6156"/>
      <c r="K181" s="6155" t="s">
        <v>56</v>
      </c>
      <c r="L181" s="6156"/>
      <c r="M181" s="6155" t="s">
        <v>357</v>
      </c>
      <c r="N181" s="6156"/>
      <c r="O181" s="6155" t="s">
        <v>358</v>
      </c>
      <c r="P181" s="6156"/>
      <c r="Q181" s="6155" t="s">
        <v>359</v>
      </c>
      <c r="R181" s="6156"/>
    </row>
    <row r="182" spans="1:22" ht="15" customHeight="1" x14ac:dyDescent="0.25">
      <c r="B182" s="6214"/>
      <c r="C182" s="6028"/>
      <c r="D182" s="2183" t="s">
        <v>79</v>
      </c>
      <c r="E182" s="2386" t="s">
        <v>58</v>
      </c>
      <c r="F182" s="23" t="s">
        <v>59</v>
      </c>
      <c r="G182" s="2165" t="s">
        <v>58</v>
      </c>
      <c r="H182" s="23" t="s">
        <v>59</v>
      </c>
      <c r="I182" s="2165" t="s">
        <v>58</v>
      </c>
      <c r="J182" s="23" t="s">
        <v>59</v>
      </c>
      <c r="K182" s="2165" t="s">
        <v>58</v>
      </c>
      <c r="L182" s="1744" t="s">
        <v>59</v>
      </c>
      <c r="M182" s="2165" t="s">
        <v>58</v>
      </c>
      <c r="N182" s="23" t="s">
        <v>59</v>
      </c>
      <c r="O182" s="2165" t="s">
        <v>58</v>
      </c>
      <c r="P182" s="23" t="s">
        <v>59</v>
      </c>
      <c r="Q182" s="2165" t="s">
        <v>58</v>
      </c>
      <c r="R182" s="1744" t="s">
        <v>59</v>
      </c>
    </row>
    <row r="183" spans="1:22" ht="15" customHeight="1" x14ac:dyDescent="0.25">
      <c r="A183" s="5601" t="s">
        <v>4730</v>
      </c>
      <c r="B183" s="6233" t="s">
        <v>360</v>
      </c>
      <c r="C183" s="6234"/>
      <c r="D183" s="2357" t="s">
        <v>4567</v>
      </c>
      <c r="E183" s="2291" t="s">
        <v>4568</v>
      </c>
      <c r="F183" s="2221" t="s">
        <v>4569</v>
      </c>
      <c r="G183" s="2175" t="s">
        <v>4570</v>
      </c>
      <c r="H183" s="2205" t="s">
        <v>4571</v>
      </c>
      <c r="I183" s="2175" t="s">
        <v>4572</v>
      </c>
      <c r="J183" s="1962" t="s">
        <v>4573</v>
      </c>
      <c r="K183" s="2249" t="s">
        <v>4574</v>
      </c>
      <c r="L183" s="1962" t="s">
        <v>4575</v>
      </c>
      <c r="M183" s="2249" t="s">
        <v>4576</v>
      </c>
      <c r="N183" s="2205" t="s">
        <v>4577</v>
      </c>
      <c r="O183" s="2175" t="s">
        <v>4578</v>
      </c>
      <c r="P183" s="1962" t="s">
        <v>4579</v>
      </c>
      <c r="Q183" s="2249" t="s">
        <v>4580</v>
      </c>
      <c r="R183" s="1962" t="s">
        <v>4581</v>
      </c>
    </row>
    <row r="184" spans="1:22" ht="15" customHeight="1" x14ac:dyDescent="0.25">
      <c r="A184" s="5601" t="s">
        <v>4731</v>
      </c>
      <c r="B184" s="6235" t="s">
        <v>361</v>
      </c>
      <c r="C184" s="6236"/>
      <c r="D184" s="357" t="s">
        <v>4567</v>
      </c>
      <c r="E184" s="478" t="s">
        <v>4568</v>
      </c>
      <c r="F184" s="2396" t="s">
        <v>4569</v>
      </c>
      <c r="G184" s="20" t="s">
        <v>4570</v>
      </c>
      <c r="H184" s="2397" t="s">
        <v>4571</v>
      </c>
      <c r="I184" s="20" t="s">
        <v>4572</v>
      </c>
      <c r="J184" s="30" t="s">
        <v>4573</v>
      </c>
      <c r="K184" s="2398" t="s">
        <v>4574</v>
      </c>
      <c r="L184" s="30" t="s">
        <v>4575</v>
      </c>
      <c r="M184" s="2398" t="s">
        <v>4576</v>
      </c>
      <c r="N184" s="2397" t="s">
        <v>4577</v>
      </c>
      <c r="O184" s="20" t="s">
        <v>4578</v>
      </c>
      <c r="P184" s="30" t="s">
        <v>4579</v>
      </c>
      <c r="Q184" s="2398" t="s">
        <v>4580</v>
      </c>
      <c r="R184" s="30" t="s">
        <v>4581</v>
      </c>
    </row>
    <row r="185" spans="1:22" ht="15" customHeight="1" x14ac:dyDescent="0.25">
      <c r="A185" s="5601" t="s">
        <v>4732</v>
      </c>
      <c r="B185" s="6237" t="s">
        <v>362</v>
      </c>
      <c r="C185" s="6238"/>
      <c r="D185" s="356" t="s">
        <v>4567</v>
      </c>
      <c r="E185" s="478" t="s">
        <v>4568</v>
      </c>
      <c r="F185" s="479" t="s">
        <v>4569</v>
      </c>
      <c r="G185" s="328" t="s">
        <v>4570</v>
      </c>
      <c r="H185" s="2201" t="s">
        <v>4571</v>
      </c>
      <c r="I185" s="328" t="s">
        <v>4572</v>
      </c>
      <c r="J185" s="1969" t="s">
        <v>4573</v>
      </c>
      <c r="K185" s="2034" t="s">
        <v>4574</v>
      </c>
      <c r="L185" s="1969" t="s">
        <v>4575</v>
      </c>
      <c r="M185" s="2034" t="s">
        <v>4576</v>
      </c>
      <c r="N185" s="2201" t="s">
        <v>4577</v>
      </c>
      <c r="O185" s="328" t="s">
        <v>4578</v>
      </c>
      <c r="P185" s="1969" t="s">
        <v>4579</v>
      </c>
      <c r="Q185" s="2034" t="s">
        <v>4580</v>
      </c>
      <c r="R185" s="1969" t="s">
        <v>4581</v>
      </c>
    </row>
    <row r="186" spans="1:22" ht="15" customHeight="1" x14ac:dyDescent="0.25">
      <c r="A186" s="5615"/>
      <c r="B186" s="6155" t="s">
        <v>77</v>
      </c>
      <c r="C186" s="6156"/>
      <c r="D186" s="2272">
        <f t="shared" ref="D186:R186" si="44">SUM(D183:D185)</f>
        <v>0</v>
      </c>
      <c r="E186" s="2289">
        <f t="shared" si="44"/>
        <v>0</v>
      </c>
      <c r="F186" s="2289">
        <f t="shared" si="44"/>
        <v>0</v>
      </c>
      <c r="G186" s="2235">
        <f t="shared" si="44"/>
        <v>0</v>
      </c>
      <c r="H186" s="2289">
        <f t="shared" si="44"/>
        <v>0</v>
      </c>
      <c r="I186" s="2235">
        <f t="shared" si="44"/>
        <v>0</v>
      </c>
      <c r="J186" s="2289">
        <f t="shared" si="44"/>
        <v>0</v>
      </c>
      <c r="K186" s="2235">
        <f t="shared" si="44"/>
        <v>0</v>
      </c>
      <c r="L186" s="2289">
        <f t="shared" si="44"/>
        <v>0</v>
      </c>
      <c r="M186" s="2235">
        <f t="shared" si="44"/>
        <v>0</v>
      </c>
      <c r="N186" s="2289">
        <f t="shared" si="44"/>
        <v>0</v>
      </c>
      <c r="O186" s="2235">
        <f t="shared" si="44"/>
        <v>0</v>
      </c>
      <c r="P186" s="2289">
        <f t="shared" si="44"/>
        <v>0</v>
      </c>
      <c r="Q186" s="2235">
        <f t="shared" si="44"/>
        <v>0</v>
      </c>
      <c r="R186" s="2240">
        <f t="shared" si="44"/>
        <v>0</v>
      </c>
    </row>
    <row r="187" spans="1:22" ht="15" customHeight="1" x14ac:dyDescent="0.25">
      <c r="A187" s="5548"/>
      <c r="B187" s="2150" t="s">
        <v>363</v>
      </c>
    </row>
    <row r="188" spans="1:22" ht="18" customHeight="1" x14ac:dyDescent="0.25">
      <c r="A188" s="5548"/>
      <c r="B188" s="3" t="s">
        <v>364</v>
      </c>
      <c r="C188" s="2400"/>
      <c r="D188" s="2400"/>
      <c r="E188" s="2400"/>
      <c r="F188" s="2400"/>
      <c r="G188" s="2148"/>
      <c r="H188" s="2148"/>
      <c r="I188" s="2148"/>
      <c r="J188" s="2148"/>
      <c r="K188" s="2148"/>
      <c r="L188" s="2148"/>
      <c r="M188" s="2148"/>
      <c r="N188" s="2148"/>
      <c r="O188" s="2148"/>
      <c r="P188" s="2148"/>
      <c r="Q188" s="2148"/>
      <c r="R188" s="2148"/>
    </row>
    <row r="189" spans="1:22" ht="15" customHeight="1" x14ac:dyDescent="0.25">
      <c r="A189" s="5548"/>
      <c r="B189" s="6147" t="s">
        <v>365</v>
      </c>
      <c r="C189" s="6149"/>
      <c r="D189" s="6215" t="s">
        <v>302</v>
      </c>
      <c r="E189" s="6216"/>
      <c r="F189" s="6299"/>
      <c r="G189" s="6281" t="s">
        <v>101</v>
      </c>
      <c r="H189" s="6300"/>
      <c r="I189" s="6300"/>
      <c r="J189" s="6300"/>
      <c r="K189" s="6300"/>
      <c r="L189" s="6300"/>
      <c r="M189" s="6300"/>
      <c r="N189" s="6300"/>
      <c r="O189" s="6300"/>
      <c r="P189" s="6300"/>
      <c r="Q189" s="6300"/>
      <c r="R189" s="6300"/>
      <c r="S189" s="6300"/>
      <c r="T189" s="6300"/>
      <c r="U189" s="6300"/>
      <c r="V189" s="6282"/>
    </row>
    <row r="190" spans="1:22" ht="15" customHeight="1" x14ac:dyDescent="0.25">
      <c r="A190" s="5548"/>
      <c r="B190" s="6213"/>
      <c r="C190" s="6027"/>
      <c r="D190" s="6218"/>
      <c r="E190" s="6219"/>
      <c r="F190" s="6220"/>
      <c r="G190" s="6241" t="s">
        <v>343</v>
      </c>
      <c r="H190" s="6242"/>
      <c r="I190" s="6243" t="s">
        <v>326</v>
      </c>
      <c r="J190" s="6242"/>
      <c r="K190" s="6241" t="s">
        <v>94</v>
      </c>
      <c r="L190" s="6242"/>
      <c r="M190" s="6243" t="s">
        <v>44</v>
      </c>
      <c r="N190" s="6242"/>
      <c r="O190" s="6243" t="s">
        <v>45</v>
      </c>
      <c r="P190" s="6242"/>
      <c r="Q190" s="6243" t="s">
        <v>366</v>
      </c>
      <c r="R190" s="6242"/>
      <c r="S190" s="6243" t="s">
        <v>367</v>
      </c>
      <c r="T190" s="6242"/>
      <c r="U190" s="6105" t="s">
        <v>368</v>
      </c>
      <c r="V190" s="6066"/>
    </row>
    <row r="191" spans="1:22" ht="15" customHeight="1" x14ac:dyDescent="0.25">
      <c r="A191" s="5548"/>
      <c r="B191" s="6214"/>
      <c r="C191" s="6028"/>
      <c r="D191" s="2274" t="s">
        <v>79</v>
      </c>
      <c r="E191" s="2164" t="s">
        <v>58</v>
      </c>
      <c r="F191" s="2162" t="s">
        <v>59</v>
      </c>
      <c r="G191" s="2163" t="s">
        <v>58</v>
      </c>
      <c r="H191" s="2354" t="s">
        <v>59</v>
      </c>
      <c r="I191" s="2164" t="s">
        <v>58</v>
      </c>
      <c r="J191" s="2354" t="s">
        <v>59</v>
      </c>
      <c r="K191" s="2163" t="s">
        <v>58</v>
      </c>
      <c r="L191" s="2354" t="s">
        <v>59</v>
      </c>
      <c r="M191" s="2164" t="s">
        <v>58</v>
      </c>
      <c r="N191" s="2354" t="s">
        <v>59</v>
      </c>
      <c r="O191" s="2164" t="s">
        <v>58</v>
      </c>
      <c r="P191" s="2354" t="s">
        <v>59</v>
      </c>
      <c r="Q191" s="2164" t="s">
        <v>58</v>
      </c>
      <c r="R191" s="2354" t="s">
        <v>59</v>
      </c>
      <c r="S191" s="2164" t="s">
        <v>58</v>
      </c>
      <c r="T191" s="2354" t="s">
        <v>59</v>
      </c>
      <c r="U191" s="2164" t="s">
        <v>58</v>
      </c>
      <c r="V191" s="2354" t="s">
        <v>59</v>
      </c>
    </row>
    <row r="192" spans="1:22" ht="15" customHeight="1" x14ac:dyDescent="0.25">
      <c r="A192" s="5601" t="s">
        <v>4733</v>
      </c>
      <c r="B192" s="6227" t="s">
        <v>369</v>
      </c>
      <c r="C192" s="6228"/>
      <c r="D192" s="2402" t="s">
        <v>4567</v>
      </c>
      <c r="E192" s="140" t="s">
        <v>4568</v>
      </c>
      <c r="F192" s="224" t="s">
        <v>4569</v>
      </c>
      <c r="G192" s="2252" t="s">
        <v>4570</v>
      </c>
      <c r="H192" s="5503" t="s">
        <v>4571</v>
      </c>
      <c r="I192" s="3941" t="s">
        <v>4572</v>
      </c>
      <c r="J192" s="5503" t="s">
        <v>4573</v>
      </c>
      <c r="K192" s="2252" t="s">
        <v>4574</v>
      </c>
      <c r="L192" s="5503" t="s">
        <v>4575</v>
      </c>
      <c r="M192" s="44" t="s">
        <v>4576</v>
      </c>
      <c r="N192" s="882" t="s">
        <v>4577</v>
      </c>
      <c r="O192" s="44" t="s">
        <v>4578</v>
      </c>
      <c r="P192" s="882" t="s">
        <v>4579</v>
      </c>
      <c r="Q192" s="44" t="s">
        <v>4580</v>
      </c>
      <c r="R192" s="882" t="s">
        <v>4581</v>
      </c>
      <c r="S192" s="44" t="s">
        <v>4582</v>
      </c>
      <c r="T192" s="882" t="s">
        <v>4583</v>
      </c>
      <c r="U192" s="44" t="s">
        <v>4584</v>
      </c>
      <c r="V192" s="882" t="s">
        <v>4585</v>
      </c>
    </row>
    <row r="193" spans="1:95" ht="15" customHeight="1" x14ac:dyDescent="0.25">
      <c r="A193" s="5601" t="s">
        <v>4734</v>
      </c>
      <c r="B193" s="6229" t="s">
        <v>370</v>
      </c>
      <c r="C193" s="6230"/>
      <c r="D193" s="2403" t="s">
        <v>4567</v>
      </c>
      <c r="E193" s="2404" t="s">
        <v>4568</v>
      </c>
      <c r="F193" s="2405" t="s">
        <v>4569</v>
      </c>
      <c r="G193" s="2311" t="s">
        <v>4570</v>
      </c>
      <c r="H193" s="2313" t="s">
        <v>4571</v>
      </c>
      <c r="I193" s="3731" t="s">
        <v>4572</v>
      </c>
      <c r="J193" s="2313" t="s">
        <v>4573</v>
      </c>
      <c r="K193" s="2311" t="s">
        <v>4574</v>
      </c>
      <c r="L193" s="2313" t="s">
        <v>4575</v>
      </c>
      <c r="M193" s="1137" t="s">
        <v>4576</v>
      </c>
      <c r="N193" s="1136" t="s">
        <v>4577</v>
      </c>
      <c r="O193" s="1137" t="s">
        <v>4578</v>
      </c>
      <c r="P193" s="1136" t="s">
        <v>4579</v>
      </c>
      <c r="Q193" s="1137" t="s">
        <v>4580</v>
      </c>
      <c r="R193" s="1136" t="s">
        <v>4581</v>
      </c>
      <c r="S193" s="1137" t="s">
        <v>4582</v>
      </c>
      <c r="T193" s="1136" t="s">
        <v>4583</v>
      </c>
      <c r="U193" s="1137" t="s">
        <v>4584</v>
      </c>
      <c r="V193" s="1136" t="s">
        <v>4585</v>
      </c>
    </row>
    <row r="194" spans="1:95" ht="15" customHeight="1" x14ac:dyDescent="0.25">
      <c r="A194" s="5616"/>
      <c r="B194" s="6231" t="s">
        <v>371</v>
      </c>
      <c r="C194" s="6232"/>
      <c r="D194" s="2406">
        <f>SUM(E194+F194)</f>
        <v>0</v>
      </c>
      <c r="E194" s="2234">
        <f t="shared" ref="E194:F194" si="45">SUM(G194+I194+K194+M194+O194+Q194+S194+U194)</f>
        <v>0</v>
      </c>
      <c r="F194" s="2189">
        <f t="shared" si="45"/>
        <v>0</v>
      </c>
      <c r="G194" s="2235">
        <f t="shared" ref="G194:V194" si="46">SUM(G192:G193)</f>
        <v>0</v>
      </c>
      <c r="H194" s="2240">
        <f t="shared" si="46"/>
        <v>0</v>
      </c>
      <c r="I194" s="2289">
        <f t="shared" si="46"/>
        <v>0</v>
      </c>
      <c r="J194" s="2240">
        <f t="shared" si="46"/>
        <v>0</v>
      </c>
      <c r="K194" s="2235">
        <f t="shared" si="46"/>
        <v>0</v>
      </c>
      <c r="L194" s="2240">
        <f t="shared" si="46"/>
        <v>0</v>
      </c>
      <c r="M194" s="2289">
        <f t="shared" si="46"/>
        <v>0</v>
      </c>
      <c r="N194" s="2240">
        <f t="shared" si="46"/>
        <v>0</v>
      </c>
      <c r="O194" s="2289">
        <f t="shared" si="46"/>
        <v>0</v>
      </c>
      <c r="P194" s="2240">
        <f t="shared" si="46"/>
        <v>0</v>
      </c>
      <c r="Q194" s="2289">
        <f t="shared" si="46"/>
        <v>0</v>
      </c>
      <c r="R194" s="2240">
        <f t="shared" si="46"/>
        <v>0</v>
      </c>
      <c r="S194" s="2289">
        <f t="shared" si="46"/>
        <v>0</v>
      </c>
      <c r="T194" s="2240">
        <f t="shared" si="46"/>
        <v>0</v>
      </c>
      <c r="U194" s="2289">
        <f t="shared" si="46"/>
        <v>0</v>
      </c>
      <c r="V194" s="2240">
        <f t="shared" si="46"/>
        <v>0</v>
      </c>
    </row>
    <row r="195" spans="1:95" ht="18" customHeight="1" x14ac:dyDescent="0.25">
      <c r="B195" s="3" t="s">
        <v>372</v>
      </c>
      <c r="C195" s="2400"/>
      <c r="D195" s="2400"/>
      <c r="E195" s="2400"/>
      <c r="F195" s="2400"/>
      <c r="G195" s="2148"/>
      <c r="H195" s="2148"/>
      <c r="I195" s="2148"/>
      <c r="J195" s="2148"/>
      <c r="K195" s="2148"/>
      <c r="L195" s="2148"/>
      <c r="M195" s="2148"/>
      <c r="N195" s="2148"/>
      <c r="O195" s="2148"/>
      <c r="P195" s="2148"/>
      <c r="Q195" s="2148"/>
      <c r="R195" s="2148"/>
      <c r="U195" s="24"/>
      <c r="V195" s="24"/>
    </row>
    <row r="196" spans="1:95" ht="15" customHeight="1" x14ac:dyDescent="0.25">
      <c r="B196" s="6212" t="s">
        <v>365</v>
      </c>
      <c r="C196" s="6100"/>
      <c r="D196" s="6215" t="s">
        <v>302</v>
      </c>
      <c r="E196" s="6216"/>
      <c r="F196" s="6217"/>
      <c r="G196" s="6221" t="s">
        <v>101</v>
      </c>
      <c r="H196" s="6222"/>
      <c r="I196" s="6222"/>
      <c r="J196" s="6222"/>
      <c r="K196" s="6222"/>
      <c r="L196" s="6222"/>
      <c r="M196" s="6222"/>
      <c r="N196" s="6222"/>
      <c r="O196" s="6222"/>
      <c r="P196" s="6223"/>
      <c r="Q196" s="6121" t="s">
        <v>373</v>
      </c>
      <c r="R196" s="6120"/>
      <c r="S196" s="6120"/>
      <c r="T196" s="6120"/>
      <c r="U196" s="24"/>
      <c r="V196" s="24"/>
    </row>
    <row r="197" spans="1:95" ht="15" customHeight="1" x14ac:dyDescent="0.25">
      <c r="B197" s="6213"/>
      <c r="C197" s="6027"/>
      <c r="D197" s="6218"/>
      <c r="E197" s="6219"/>
      <c r="F197" s="6220"/>
      <c r="G197" s="6106" t="s">
        <v>44</v>
      </c>
      <c r="H197" s="6067"/>
      <c r="I197" s="6106" t="s">
        <v>45</v>
      </c>
      <c r="J197" s="6067"/>
      <c r="K197" s="6106" t="s">
        <v>366</v>
      </c>
      <c r="L197" s="6067"/>
      <c r="M197" s="6106" t="s">
        <v>367</v>
      </c>
      <c r="N197" s="6067"/>
      <c r="O197" s="6106" t="s">
        <v>368</v>
      </c>
      <c r="P197" s="6224"/>
      <c r="Q197" s="6225" t="s">
        <v>343</v>
      </c>
      <c r="R197" s="6226" t="s">
        <v>326</v>
      </c>
      <c r="S197" s="6226" t="s">
        <v>94</v>
      </c>
      <c r="T197" s="6121" t="s">
        <v>44</v>
      </c>
      <c r="U197" s="24"/>
      <c r="V197" s="24"/>
    </row>
    <row r="198" spans="1:95" ht="15" customHeight="1" x14ac:dyDescent="0.25">
      <c r="B198" s="6214"/>
      <c r="C198" s="6028"/>
      <c r="D198" s="2274" t="s">
        <v>79</v>
      </c>
      <c r="E198" s="2353" t="s">
        <v>58</v>
      </c>
      <c r="F198" s="2275" t="s">
        <v>59</v>
      </c>
      <c r="G198" s="2353" t="s">
        <v>58</v>
      </c>
      <c r="H198" s="2354" t="s">
        <v>59</v>
      </c>
      <c r="I198" s="2353" t="s">
        <v>58</v>
      </c>
      <c r="J198" s="2354" t="s">
        <v>59</v>
      </c>
      <c r="K198" s="2353" t="s">
        <v>58</v>
      </c>
      <c r="L198" s="2354" t="s">
        <v>59</v>
      </c>
      <c r="M198" s="2353" t="s">
        <v>58</v>
      </c>
      <c r="N198" s="2354" t="s">
        <v>59</v>
      </c>
      <c r="O198" s="2353" t="s">
        <v>58</v>
      </c>
      <c r="P198" s="2246" t="s">
        <v>59</v>
      </c>
      <c r="Q198" s="6225"/>
      <c r="R198" s="6226"/>
      <c r="S198" s="6226"/>
      <c r="T198" s="6121"/>
      <c r="U198" s="24"/>
      <c r="V198" s="24"/>
    </row>
    <row r="199" spans="1:95" ht="15" customHeight="1" x14ac:dyDescent="0.25">
      <c r="A199" s="5605" t="s">
        <v>4735</v>
      </c>
      <c r="B199" s="6227" t="s">
        <v>374</v>
      </c>
      <c r="C199" s="6228"/>
      <c r="D199" s="2402" t="s">
        <v>4567</v>
      </c>
      <c r="E199" s="140" t="s">
        <v>4568</v>
      </c>
      <c r="F199" s="224" t="s">
        <v>4569</v>
      </c>
      <c r="G199" s="44" t="s">
        <v>4570</v>
      </c>
      <c r="H199" s="882" t="s">
        <v>4571</v>
      </c>
      <c r="I199" s="44" t="s">
        <v>4572</v>
      </c>
      <c r="J199" s="882" t="s">
        <v>4573</v>
      </c>
      <c r="K199" s="44" t="s">
        <v>4574</v>
      </c>
      <c r="L199" s="882" t="s">
        <v>4575</v>
      </c>
      <c r="M199" s="44" t="s">
        <v>4576</v>
      </c>
      <c r="N199" s="882" t="s">
        <v>4577</v>
      </c>
      <c r="O199" s="44" t="s">
        <v>4578</v>
      </c>
      <c r="P199" s="1001" t="s">
        <v>4579</v>
      </c>
      <c r="Q199" s="2408" t="s">
        <v>4580</v>
      </c>
      <c r="R199" s="1862" t="s">
        <v>4581</v>
      </c>
      <c r="S199" s="1862" t="s">
        <v>4582</v>
      </c>
      <c r="T199" s="2409" t="s">
        <v>4583</v>
      </c>
      <c r="U199" s="24" t="e">
        <f>CB199&amp;CC199&amp;CD199&amp;CE199&amp;CF199&amp;CG199</f>
        <v>#VALUE!</v>
      </c>
      <c r="V199" s="24"/>
      <c r="CB199" s="2195" t="str">
        <f>IF(AND($D199&lt;&gt;0,Q199=""),"* No olvide ingresar la variable Rango Etario NANEAS "&amp;Q$197&amp;""&amp;". Digite CERO si no tiene. ",IF(Q199&gt;$D199,"* La variable NANEAS de 0 - 4 años no debe ser mayor al Total Ambos Sexos. ",""))</f>
        <v xml:space="preserve">* La variable NANEAS de 0 - 4 años no debe ser mayor al Total Ambos Sexos. </v>
      </c>
      <c r="CC199" s="2195" t="str">
        <f>IF(AND($D199&lt;&gt;0,R199=""),"* No olvide ingresar la variable Rango Etario NANEAS "&amp;R$197&amp;""&amp;". Digite CERO si no tiene. ",IF(R199&gt;$D199,"* La variable NANEAS de 5 - 9 años no debe ser mayor al Total Ambos Sexos. ",""))</f>
        <v xml:space="preserve">* La variable NANEAS de 5 - 9 años no debe ser mayor al Total Ambos Sexos. </v>
      </c>
      <c r="CD199" s="2195" t="str">
        <f>IF(AND($D199&lt;&gt;0,S199=""),"* No olvide ingresar la variable Rango Etario NANEAS "&amp;S$197&amp;""&amp;". Digite CERO si no tiene. ",IF(S199&gt;$D199,"* La variable NANEAS de 10 - 14 años no debe ser mayor al Total Ambos Sexos. ",""))</f>
        <v xml:space="preserve">* La variable NANEAS de 10 - 14 años no debe ser mayor al Total Ambos Sexos. </v>
      </c>
      <c r="CE199" s="2195" t="str">
        <f>IF(AND($D199&lt;&gt;0,T199=""),"* No olvide ingresar la variable Rango Etario NANEAS "&amp;T$197&amp;""&amp;". Digite CERO si no tiene. ",IF(T199&gt;$D199,"* La variable NANEAS de 15 - 19 años no debe ser mayor al Total Ambos Sexos. ",""))</f>
        <v xml:space="preserve">* La variable NANEAS de 15 - 19 años no debe ser mayor al Total Ambos Sexos. </v>
      </c>
      <c r="CF199" s="2195" t="e">
        <f>IF(AND($D199&lt;&gt;0,Q199+R199+S199+T199=0),"* La suma de variable "&amp;Q$196&amp;""&amp;" no puede ser 0. ","")</f>
        <v>#VALUE!</v>
      </c>
      <c r="CG199" s="2195" t="e">
        <f>IF(AND(R199+S199+T199+Q199&gt;$D199),"* La suma de la variable "&amp;Q$196&amp;""&amp;" no puede superar el Total Ambos Sexos. ","")</f>
        <v>#VALUE!</v>
      </c>
      <c r="CH199" s="99"/>
      <c r="CI199" s="99"/>
      <c r="CJ199" s="99"/>
      <c r="CL199" s="55">
        <f t="shared" ref="CL199:CO200" si="47">IF(AND($D199&lt;&gt;0,Q199=""),1,IF(Q199&gt;$D199,1,0))</f>
        <v>1</v>
      </c>
      <c r="CM199" s="55">
        <f t="shared" si="47"/>
        <v>1</v>
      </c>
      <c r="CN199" s="55">
        <f t="shared" si="47"/>
        <v>1</v>
      </c>
      <c r="CO199" s="55">
        <f t="shared" si="47"/>
        <v>1</v>
      </c>
      <c r="CP199" s="2362" t="e">
        <f>IF(AND($D199&lt;&gt;0,Q199+R199+S199+T199=0),1,0)</f>
        <v>#VALUE!</v>
      </c>
      <c r="CQ199" s="2362" t="e">
        <f>IF(AND(R199+S199+T199+Q199&gt;$D199),1,0)</f>
        <v>#VALUE!</v>
      </c>
    </row>
    <row r="200" spans="1:95" ht="15" customHeight="1" x14ac:dyDescent="0.25">
      <c r="A200" s="5605" t="s">
        <v>4736</v>
      </c>
      <c r="B200" s="6229" t="s">
        <v>375</v>
      </c>
      <c r="C200" s="6230"/>
      <c r="D200" s="2403" t="s">
        <v>4567</v>
      </c>
      <c r="E200" s="2404" t="s">
        <v>4568</v>
      </c>
      <c r="F200" s="2405" t="s">
        <v>4569</v>
      </c>
      <c r="G200" s="1137" t="s">
        <v>4570</v>
      </c>
      <c r="H200" s="1136" t="s">
        <v>4571</v>
      </c>
      <c r="I200" s="1137" t="s">
        <v>4572</v>
      </c>
      <c r="J200" s="1136" t="s">
        <v>4573</v>
      </c>
      <c r="K200" s="1137" t="s">
        <v>4574</v>
      </c>
      <c r="L200" s="1136" t="s">
        <v>4575</v>
      </c>
      <c r="M200" s="1137" t="s">
        <v>4576</v>
      </c>
      <c r="N200" s="1136" t="s">
        <v>4577</v>
      </c>
      <c r="O200" s="1137" t="s">
        <v>4578</v>
      </c>
      <c r="P200" s="2410" t="s">
        <v>4579</v>
      </c>
      <c r="Q200" s="1879" t="s">
        <v>4580</v>
      </c>
      <c r="R200" s="1880" t="s">
        <v>4581</v>
      </c>
      <c r="S200" s="1880" t="s">
        <v>4582</v>
      </c>
      <c r="T200" s="854" t="s">
        <v>4583</v>
      </c>
      <c r="U200" s="24" t="e">
        <f>CB200&amp;CC200&amp;CD200&amp;CE200&amp;CF200&amp;CG200</f>
        <v>#VALUE!</v>
      </c>
      <c r="V200" s="24"/>
      <c r="CB200" s="2195" t="str">
        <f>IF(AND($D200&lt;&gt;0,Q200=""),"* No olvide ingresar la variable Rango Etario NANEAS "&amp;Q$197&amp;""&amp;". Digite CERO si no tiene. ",IF(Q200&gt;$D200,"* La variable NANEAS de 0 - 4 años no debe ser mayor al Total Ambos Sexos. ",""))</f>
        <v xml:space="preserve">* La variable NANEAS de 0 - 4 años no debe ser mayor al Total Ambos Sexos. </v>
      </c>
      <c r="CC200" s="2195" t="str">
        <f>IF(AND($D200&lt;&gt;0,R200=""),"* No olvide ingresar la variable Rango Etario NANEAS "&amp;R$197&amp;""&amp;". Digite CERO si no tiene. ",IF(R200&gt;$D200,"* La variable NANEAS de 5 - 9 años no debe ser mayor al Total Ambos Sexos. ",""))</f>
        <v xml:space="preserve">* La variable NANEAS de 5 - 9 años no debe ser mayor al Total Ambos Sexos. </v>
      </c>
      <c r="CD200" s="2195" t="str">
        <f>IF(AND($D200&lt;&gt;0,S200=""),"* No olvide ingresar la variable Rango Etario NANEAS "&amp;S$197&amp;""&amp;". Digite CERO si no tiene. ",IF(S200&gt;$D200,"* La variable NANEAS de 10 - 14 años no debe ser mayor al Total Ambos Sexos. ",""))</f>
        <v xml:space="preserve">* La variable NANEAS de 10 - 14 años no debe ser mayor al Total Ambos Sexos. </v>
      </c>
      <c r="CE200" s="2195" t="str">
        <f>IF(AND($D200&lt;&gt;0,T200=""),"* No olvide ingresar la variable Rango Etario NANEAS "&amp;T$197&amp;""&amp;". Digite CERO si no tiene. ",IF(T200&gt;$D200,"* La variable NANEAS de 15 - 19 años no debe ser mayor al Total Ambos Sexos. ",""))</f>
        <v xml:space="preserve">* La variable NANEAS de 15 - 19 años no debe ser mayor al Total Ambos Sexos. </v>
      </c>
      <c r="CF200" s="2195" t="e">
        <f>IF(AND($D200&lt;&gt;0,Q200+R200+S200+T200=0),"* La suma de variable "&amp;Q$196&amp;""&amp;" no puede ser 0. ","")</f>
        <v>#VALUE!</v>
      </c>
      <c r="CG200" s="2195" t="e">
        <f>IF(AND(R200+S200+T200+Q200&gt;$D200),"* La suma de la variable "&amp;Q$196&amp;""&amp;" no puede superar el Total Ambos Sexos. ","")</f>
        <v>#VALUE!</v>
      </c>
      <c r="CH200" s="99"/>
      <c r="CI200" s="99"/>
      <c r="CJ200" s="99"/>
      <c r="CL200" s="55">
        <f t="shared" si="47"/>
        <v>1</v>
      </c>
      <c r="CM200" s="55">
        <f t="shared" si="47"/>
        <v>1</v>
      </c>
      <c r="CN200" s="55">
        <f t="shared" si="47"/>
        <v>1</v>
      </c>
      <c r="CO200" s="55">
        <f t="shared" si="47"/>
        <v>1</v>
      </c>
      <c r="CP200" s="2362" t="e">
        <f>IF(AND($D200&lt;&gt;0,Q200+R200+S200+T200=0),1,0)</f>
        <v>#VALUE!</v>
      </c>
      <c r="CQ200" s="2362" t="e">
        <f>IF(AND(R200+S200+T200+Q200&gt;$D200),1,0)</f>
        <v>#VALUE!</v>
      </c>
    </row>
    <row r="201" spans="1:95" ht="15" customHeight="1" x14ac:dyDescent="0.25">
      <c r="A201" s="5616"/>
      <c r="B201" s="6297" t="s">
        <v>376</v>
      </c>
      <c r="C201" s="6298"/>
      <c r="D201" s="2406">
        <f>SUM(E201+F201)</f>
        <v>0</v>
      </c>
      <c r="E201" s="2234">
        <f>SUM(G201+I201+K201+M201+O201)</f>
        <v>0</v>
      </c>
      <c r="F201" s="2189">
        <f>SUM(H201+J201+L201+N201+P201)</f>
        <v>0</v>
      </c>
      <c r="G201" s="2289">
        <f>SUM(G199:G200)</f>
        <v>0</v>
      </c>
      <c r="H201" s="2240">
        <f t="shared" ref="H201:P201" si="48">SUM(H199:H200)</f>
        <v>0</v>
      </c>
      <c r="I201" s="2289">
        <f t="shared" si="48"/>
        <v>0</v>
      </c>
      <c r="J201" s="2240">
        <f t="shared" si="48"/>
        <v>0</v>
      </c>
      <c r="K201" s="2289">
        <f t="shared" si="48"/>
        <v>0</v>
      </c>
      <c r="L201" s="2240">
        <f t="shared" si="48"/>
        <v>0</v>
      </c>
      <c r="M201" s="2289">
        <f t="shared" si="48"/>
        <v>0</v>
      </c>
      <c r="N201" s="2240">
        <f t="shared" si="48"/>
        <v>0</v>
      </c>
      <c r="O201" s="2289">
        <f t="shared" si="48"/>
        <v>0</v>
      </c>
      <c r="P201" s="2411">
        <f t="shared" si="48"/>
        <v>0</v>
      </c>
      <c r="Q201" s="2412">
        <f t="shared" ref="Q201:T201" si="49">SUM(Q199:Q200)</f>
        <v>0</v>
      </c>
      <c r="R201" s="2413">
        <f t="shared" si="49"/>
        <v>0</v>
      </c>
      <c r="S201" s="2413">
        <f t="shared" si="49"/>
        <v>0</v>
      </c>
      <c r="T201" s="2236">
        <f t="shared" si="49"/>
        <v>0</v>
      </c>
      <c r="U201" s="24"/>
      <c r="V201" s="24"/>
    </row>
    <row r="202" spans="1:95" ht="18" customHeight="1" x14ac:dyDescent="0.25">
      <c r="A202" s="5548"/>
      <c r="B202" s="3" t="s">
        <v>377</v>
      </c>
      <c r="C202" s="91"/>
      <c r="D202" s="91"/>
      <c r="E202" s="91"/>
      <c r="F202" s="91"/>
      <c r="G202" s="91"/>
      <c r="H202" s="91"/>
      <c r="I202" s="91"/>
      <c r="J202" s="2148"/>
      <c r="K202" s="2148"/>
      <c r="L202" s="2148"/>
      <c r="M202" s="2148"/>
      <c r="N202" s="2148"/>
      <c r="O202" s="2148"/>
      <c r="P202" s="2148"/>
      <c r="Q202" s="2148"/>
      <c r="R202" s="2148"/>
      <c r="S202" s="2150"/>
      <c r="T202" s="2150"/>
      <c r="U202" s="2150"/>
      <c r="V202" s="2150"/>
      <c r="W202" s="2150"/>
      <c r="X202" s="2150"/>
      <c r="Y202" s="2150"/>
      <c r="Z202" s="2150"/>
      <c r="AA202" s="2149"/>
      <c r="AB202" s="2149"/>
      <c r="AC202" s="2149"/>
      <c r="AD202" s="2149"/>
      <c r="AE202" s="2149"/>
      <c r="AF202" s="2149"/>
      <c r="AG202" s="2149"/>
      <c r="AH202" s="2149"/>
      <c r="AI202" s="2149"/>
      <c r="AJ202" s="2149"/>
    </row>
    <row r="203" spans="1:95" ht="15" customHeight="1" x14ac:dyDescent="0.25">
      <c r="B203" s="6254" t="s">
        <v>378</v>
      </c>
      <c r="C203" s="6255"/>
      <c r="D203" s="6284" t="s">
        <v>77</v>
      </c>
      <c r="E203" s="6285"/>
      <c r="F203" s="6286"/>
      <c r="G203" s="6290" t="s">
        <v>101</v>
      </c>
      <c r="H203" s="6290"/>
      <c r="I203" s="6290"/>
      <c r="J203" s="6290"/>
      <c r="K203" s="6290"/>
      <c r="L203" s="6290"/>
      <c r="M203" s="6290"/>
      <c r="N203" s="6290"/>
      <c r="O203" s="6290"/>
      <c r="P203" s="6290"/>
      <c r="Q203" s="6290"/>
      <c r="R203" s="6290"/>
      <c r="S203" s="6290"/>
      <c r="T203" s="6290"/>
      <c r="U203" s="6290"/>
      <c r="V203" s="6290"/>
      <c r="W203" s="6290"/>
      <c r="X203" s="6290"/>
      <c r="Y203" s="6290"/>
      <c r="Z203" s="6290"/>
      <c r="AA203" s="6290"/>
      <c r="AB203" s="6290"/>
      <c r="AC203" s="6290"/>
      <c r="AD203" s="6291"/>
      <c r="AE203" s="6275" t="s">
        <v>34</v>
      </c>
      <c r="AF203" s="6158"/>
      <c r="AG203" s="6157" t="s">
        <v>35</v>
      </c>
      <c r="AH203" s="6158"/>
      <c r="AI203" s="6277" t="s">
        <v>36</v>
      </c>
      <c r="AJ203" s="6158" t="s">
        <v>37</v>
      </c>
    </row>
    <row r="204" spans="1:95" ht="15" customHeight="1" x14ac:dyDescent="0.25">
      <c r="B204" s="6256"/>
      <c r="C204" s="6257"/>
      <c r="D204" s="6287"/>
      <c r="E204" s="6288"/>
      <c r="F204" s="6289"/>
      <c r="G204" s="6281" t="s">
        <v>379</v>
      </c>
      <c r="H204" s="6282"/>
      <c r="I204" s="6258" t="s">
        <v>380</v>
      </c>
      <c r="J204" s="6259"/>
      <c r="K204" s="6258" t="s">
        <v>381</v>
      </c>
      <c r="L204" s="6259"/>
      <c r="M204" s="6258" t="s">
        <v>382</v>
      </c>
      <c r="N204" s="6259"/>
      <c r="O204" s="6258" t="s">
        <v>383</v>
      </c>
      <c r="P204" s="6259"/>
      <c r="Q204" s="6258" t="s">
        <v>384</v>
      </c>
      <c r="R204" s="6259"/>
      <c r="S204" s="6258" t="s">
        <v>385</v>
      </c>
      <c r="T204" s="6259"/>
      <c r="U204" s="6292" t="s">
        <v>386</v>
      </c>
      <c r="V204" s="6292"/>
      <c r="W204" s="6292" t="s">
        <v>387</v>
      </c>
      <c r="X204" s="6292"/>
      <c r="Y204" s="6292" t="s">
        <v>388</v>
      </c>
      <c r="Z204" s="6292"/>
      <c r="AA204" s="6243" t="s">
        <v>303</v>
      </c>
      <c r="AB204" s="6242"/>
      <c r="AC204" s="6243" t="s">
        <v>304</v>
      </c>
      <c r="AD204" s="6283"/>
      <c r="AE204" s="6276"/>
      <c r="AF204" s="6160"/>
      <c r="AG204" s="6159"/>
      <c r="AH204" s="6160"/>
      <c r="AI204" s="6278"/>
      <c r="AJ204" s="6280"/>
    </row>
    <row r="205" spans="1:95" ht="15" customHeight="1" x14ac:dyDescent="0.25">
      <c r="B205" s="6258"/>
      <c r="C205" s="6259"/>
      <c r="D205" s="2415" t="s">
        <v>389</v>
      </c>
      <c r="E205" s="2416" t="s">
        <v>58</v>
      </c>
      <c r="F205" s="2414" t="s">
        <v>59</v>
      </c>
      <c r="G205" s="2417" t="s">
        <v>58</v>
      </c>
      <c r="H205" s="2418" t="s">
        <v>59</v>
      </c>
      <c r="I205" s="2417" t="s">
        <v>58</v>
      </c>
      <c r="J205" s="2418" t="s">
        <v>59</v>
      </c>
      <c r="K205" s="2417" t="s">
        <v>58</v>
      </c>
      <c r="L205" s="2418" t="s">
        <v>59</v>
      </c>
      <c r="M205" s="2417" t="s">
        <v>58</v>
      </c>
      <c r="N205" s="2418" t="s">
        <v>59</v>
      </c>
      <c r="O205" s="2417" t="s">
        <v>58</v>
      </c>
      <c r="P205" s="2418" t="s">
        <v>59</v>
      </c>
      <c r="Q205" s="2417" t="s">
        <v>58</v>
      </c>
      <c r="R205" s="2418" t="s">
        <v>59</v>
      </c>
      <c r="S205" s="2417" t="s">
        <v>58</v>
      </c>
      <c r="T205" s="2418" t="s">
        <v>59</v>
      </c>
      <c r="U205" s="2417" t="s">
        <v>58</v>
      </c>
      <c r="V205" s="2418" t="s">
        <v>59</v>
      </c>
      <c r="W205" s="2417" t="s">
        <v>58</v>
      </c>
      <c r="X205" s="2418" t="s">
        <v>59</v>
      </c>
      <c r="Y205" s="2417" t="s">
        <v>58</v>
      </c>
      <c r="Z205" s="2418" t="s">
        <v>59</v>
      </c>
      <c r="AA205" s="2417" t="s">
        <v>58</v>
      </c>
      <c r="AB205" s="2418" t="s">
        <v>59</v>
      </c>
      <c r="AC205" s="2417" t="s">
        <v>58</v>
      </c>
      <c r="AD205" s="2419" t="s">
        <v>59</v>
      </c>
      <c r="AE205" s="2420" t="s">
        <v>58</v>
      </c>
      <c r="AF205" s="2418" t="s">
        <v>59</v>
      </c>
      <c r="AG205" s="2420" t="s">
        <v>58</v>
      </c>
      <c r="AH205" s="2418" t="s">
        <v>59</v>
      </c>
      <c r="AI205" s="6279"/>
      <c r="AJ205" s="6160" t="s">
        <v>59</v>
      </c>
    </row>
    <row r="206" spans="1:95" ht="15" customHeight="1" x14ac:dyDescent="0.25">
      <c r="A206" s="5601" t="s">
        <v>4737</v>
      </c>
      <c r="B206" s="6293" t="s">
        <v>390</v>
      </c>
      <c r="C206" s="2421" t="s">
        <v>318</v>
      </c>
      <c r="D206" s="2421" t="s">
        <v>4567</v>
      </c>
      <c r="E206" s="2422" t="s">
        <v>4568</v>
      </c>
      <c r="F206" s="2423" t="s">
        <v>4569</v>
      </c>
      <c r="G206" s="2424" t="s">
        <v>4570</v>
      </c>
      <c r="H206" s="2425" t="s">
        <v>4571</v>
      </c>
      <c r="I206" s="2424" t="s">
        <v>4572</v>
      </c>
      <c r="J206" s="2425" t="s">
        <v>4573</v>
      </c>
      <c r="K206" s="2424" t="s">
        <v>4574</v>
      </c>
      <c r="L206" s="2425" t="s">
        <v>4575</v>
      </c>
      <c r="M206" s="2424" t="s">
        <v>4576</v>
      </c>
      <c r="N206" s="2425" t="s">
        <v>4577</v>
      </c>
      <c r="O206" s="2424" t="s">
        <v>4578</v>
      </c>
      <c r="P206" s="2425" t="s">
        <v>4579</v>
      </c>
      <c r="Q206" s="2424" t="s">
        <v>4580</v>
      </c>
      <c r="R206" s="2426" t="s">
        <v>4581</v>
      </c>
      <c r="S206" s="2424" t="s">
        <v>4582</v>
      </c>
      <c r="T206" s="2426" t="s">
        <v>4583</v>
      </c>
      <c r="U206" s="2424" t="s">
        <v>4584</v>
      </c>
      <c r="V206" s="2425" t="s">
        <v>4585</v>
      </c>
      <c r="W206" s="2424" t="s">
        <v>4586</v>
      </c>
      <c r="X206" s="2425" t="s">
        <v>4587</v>
      </c>
      <c r="Y206" s="2424" t="s">
        <v>4588</v>
      </c>
      <c r="Z206" s="2426" t="s">
        <v>4589</v>
      </c>
      <c r="AA206" s="2424" t="s">
        <v>4590</v>
      </c>
      <c r="AB206" s="2426" t="s">
        <v>4591</v>
      </c>
      <c r="AC206" s="2424" t="s">
        <v>4592</v>
      </c>
      <c r="AD206" s="2427" t="s">
        <v>4593</v>
      </c>
      <c r="AE206" s="2425" t="s">
        <v>4594</v>
      </c>
      <c r="AF206" s="2426" t="s">
        <v>4595</v>
      </c>
      <c r="AG206" s="2425" t="s">
        <v>4596</v>
      </c>
      <c r="AH206" s="2426" t="s">
        <v>4597</v>
      </c>
      <c r="AI206" s="2424" t="s">
        <v>4598</v>
      </c>
      <c r="AJ206" s="2426" t="s">
        <v>4599</v>
      </c>
      <c r="AK206" s="1864" t="str">
        <f>$CB206&amp;CC206&amp;CD206&amp;CE206&amp;CF206&amp;CG206</f>
        <v xml:space="preserve">* La variable Niños, Niñas, Adolescentes y Jóvenes SENAME Hombres no puede superar el Total Hombres. * La variable Niños, Niñas, Adolescentes y Jóvenes SENAME Mujeres no puede superar el Total Mujeres * La variable Niños, Niñas, Adolescentes y Jóvenes Mejor Niñez Hombres no puede superar el Total Hombres. * La variable de Niños, Niñas, Adolescentes y Jóvenes Mejor Niñez Mujeres no puede superar el Total Mujeres. * La variable Pueblos Originarios no puede superar el Total Ambos Sexos. * La variable Migrantes no puede superar el Total Ambos Sexos. </v>
      </c>
      <c r="CB206" s="2195" t="str">
        <f>IF(AND($E206&lt;&gt;0,AE206=""),"* No olvide ingresar la variable "&amp;AE$203&amp;""&amp;"  Hombres (Digite CERO si no tiene).  ",IF(AE206&gt;$E206,"* La variable Niños, Niñas, Adolescentes y Jóvenes SENAME Hombres no puede superar el Total Hombres. ",""))</f>
        <v xml:space="preserve">* La variable Niños, Niñas, Adolescentes y Jóvenes SENAME Hombres no puede superar el Total Hombres. </v>
      </c>
      <c r="CC206" s="2195" t="str">
        <f>IF(AND($F206&lt;&gt;0,AF206=""),"* No olvide ingresar la variable Niños, Niñas, Adolescentes y Jóvenes SENAME  Mujeres (Digite CERO si no tiene).  ",IF(AF206&gt;$F206,"* La variable Niños, Niñas, Adolescentes y Jóvenes SENAME Mujeres no puede superar el Total Mujeres ",""))</f>
        <v xml:space="preserve">* La variable Niños, Niñas, Adolescentes y Jóvenes SENAME Mujeres no puede superar el Total Mujeres </v>
      </c>
      <c r="CD206" s="2195" t="str">
        <f>IF(AND($E206&lt;&gt;0,AG206=""),"* No olvide ingresar la variable "&amp;AG$203&amp;""&amp;" Hombres (Digite CERO si no tiene).  ",IF(AG206&gt;$E206,"* La variable Niños, Niñas, Adolescentes y Jóvenes Mejor Niñez Hombres no puede superar el Total Hombres. ",""))</f>
        <v xml:space="preserve">* La variable Niños, Niñas, Adolescentes y Jóvenes Mejor Niñez Hombres no puede superar el Total Hombres. </v>
      </c>
      <c r="CE206" s="2195" t="str">
        <f>IF(AND($F206&lt;&gt;0,AH206=""),"* No olvide ingresar la variable Niños, Niñas, Adolescentes y Jóvenes Mejor niñez Mujeres (Digite CERO si no tiene).  ",IF(AH206&gt;$F206,"* La variable de Niños, Niñas, Adolescentes y Jóvenes Mejor Niñez Mujeres no puede superar el Total Mujeres. ",""))</f>
        <v xml:space="preserve">* La variable de Niños, Niñas, Adolescentes y Jóvenes Mejor Niñez Mujeres no puede superar el Total Mujeres. </v>
      </c>
      <c r="CF206" s="2195" t="str">
        <f>IF(AND($D206&lt;&gt;0,AI206=""),"* No olvide ingresar la variable "&amp;AI$203&amp;""&amp;" (Digite CERO si no tiene).  ",IF(AI206&gt;$D206,"* La variable Pueblos Originarios no puede superar el Total Ambos Sexos. ",""))</f>
        <v xml:space="preserve">* La variable Pueblos Originarios no puede superar el Total Ambos Sexos. </v>
      </c>
      <c r="CG206" s="2195" t="str">
        <f>IF(AND($D206&lt;&gt;0,AJ206=""),"* No olvide ingresar la variable "&amp;AJ$203&amp;""&amp;" (Digite CERO si no tiene).  ",IF(AJ206&gt;$D206,"* La variable Migrantes no puede superar el Total Ambos Sexos. ",""))</f>
        <v xml:space="preserve">* La variable Migrantes no puede superar el Total Ambos Sexos. </v>
      </c>
      <c r="CL206" s="55">
        <f>IF(AND($E206&lt;&gt;0,AE206=""),1,IF(AE206&gt;$E206,1,0))</f>
        <v>1</v>
      </c>
      <c r="CM206" s="55">
        <f>IF(AND($F206&lt;&gt;0,AF206=""),1,IF(AF206&gt;$F206,1,0))</f>
        <v>1</v>
      </c>
      <c r="CN206" s="55">
        <f>IF(AND($E206&lt;&gt;0,AG206=""),1,IF(AG206&gt;$E206,1,0))</f>
        <v>1</v>
      </c>
      <c r="CO206" s="55">
        <f>IF(AND($F206&lt;&gt;0,AH206=""),1,IF(AH206&gt;$F206,1,0))</f>
        <v>1</v>
      </c>
      <c r="CP206" s="55">
        <f>IF(AND($D206&lt;&gt;0,AI206=""),1,IF(AI206&gt;$D206,1,0))</f>
        <v>1</v>
      </c>
      <c r="CQ206" s="55">
        <f>IF(AND($D206&lt;&gt;0,AJ206=""),1,IF(AJ206&gt;$D206,1,0))</f>
        <v>1</v>
      </c>
    </row>
    <row r="207" spans="1:95" ht="15" customHeight="1" x14ac:dyDescent="0.25">
      <c r="A207" s="5601" t="s">
        <v>4738</v>
      </c>
      <c r="B207" s="6294"/>
      <c r="C207" s="2428" t="s">
        <v>391</v>
      </c>
      <c r="D207" s="2429" t="s">
        <v>4567</v>
      </c>
      <c r="E207" s="2430" t="s">
        <v>4568</v>
      </c>
      <c r="F207" s="2431" t="s">
        <v>4569</v>
      </c>
      <c r="G207" s="2432" t="s">
        <v>4570</v>
      </c>
      <c r="H207" s="2433" t="s">
        <v>4571</v>
      </c>
      <c r="I207" s="2432" t="s">
        <v>4572</v>
      </c>
      <c r="J207" s="2433" t="s">
        <v>4573</v>
      </c>
      <c r="K207" s="2432" t="s">
        <v>4574</v>
      </c>
      <c r="L207" s="2433" t="s">
        <v>4575</v>
      </c>
      <c r="M207" s="2432" t="s">
        <v>4576</v>
      </c>
      <c r="N207" s="2433" t="s">
        <v>4577</v>
      </c>
      <c r="O207" s="2432" t="s">
        <v>4578</v>
      </c>
      <c r="P207" s="2433" t="s">
        <v>4579</v>
      </c>
      <c r="Q207" s="2432" t="s">
        <v>4580</v>
      </c>
      <c r="R207" s="2434" t="s">
        <v>4581</v>
      </c>
      <c r="S207" s="2432" t="s">
        <v>4582</v>
      </c>
      <c r="T207" s="2434" t="s">
        <v>4583</v>
      </c>
      <c r="U207" s="2432" t="s">
        <v>4584</v>
      </c>
      <c r="V207" s="2433" t="s">
        <v>4585</v>
      </c>
      <c r="W207" s="2432" t="s">
        <v>4586</v>
      </c>
      <c r="X207" s="2433" t="s">
        <v>4587</v>
      </c>
      <c r="Y207" s="2432" t="s">
        <v>4588</v>
      </c>
      <c r="Z207" s="2434" t="s">
        <v>4589</v>
      </c>
      <c r="AA207" s="2432" t="s">
        <v>4590</v>
      </c>
      <c r="AB207" s="2434" t="s">
        <v>4591</v>
      </c>
      <c r="AC207" s="2432" t="s">
        <v>4592</v>
      </c>
      <c r="AD207" s="2435" t="s">
        <v>4593</v>
      </c>
      <c r="AE207" s="2436" t="s">
        <v>4594</v>
      </c>
      <c r="AF207" s="2434" t="s">
        <v>4595</v>
      </c>
      <c r="AG207" s="2436" t="s">
        <v>4596</v>
      </c>
      <c r="AH207" s="2434" t="s">
        <v>4597</v>
      </c>
      <c r="AI207" s="2432" t="s">
        <v>4598</v>
      </c>
      <c r="AJ207" s="2434" t="s">
        <v>4599</v>
      </c>
      <c r="AK207" s="1864" t="str">
        <f>$CB207&amp;CC207&amp;CD207&amp;CF207&amp;CG207&amp;CE207</f>
        <v xml:space="preserve">* La variable Niños, Niñas, Adolescentes y Jóvenes SENAME Hombres no puede superar el Total Hombres. * La variable Niños, Niñas, Adolescentes y Jóvenes SENAME Mujeres no puede superar el Total Mujeres * La variable Niños, Niñas, Adolescentes y Jóvenes Mejor Niñez Hombres no puede superar el Total Hombres. * La variable Pueblos Originarios no puede superar el Total Ambos Sexos. * La variable Migrantes no puede superar el Total Ambos Sexos. * La variable de Niños, Niñas, Adolescentes y Jóvenes Mejor Niñez Mujeres no puede superar el Total Mujeres. </v>
      </c>
      <c r="CB207" s="2195" t="str">
        <f>IF(AND($E207&lt;&gt;0,AE207=""),"* No olvide ingresar la variable "&amp;AE$203&amp;""&amp;" Hombres (Digite CERO si no tiene).  ",IF(AE207&gt;$E207,"* La variable Niños, Niñas, Adolescentes y Jóvenes SENAME Hombres no puede superar el Total Hombres. ",""))</f>
        <v xml:space="preserve">* La variable Niños, Niñas, Adolescentes y Jóvenes SENAME Hombres no puede superar el Total Hombres. </v>
      </c>
      <c r="CC207" s="2195" t="str">
        <f>IF(AND($F207&lt;&gt;0,AF207=""),"* No olvide ingresar la variable Niños, Niñas, Adolescentes y Jóvenes SENAME  Mujeres (Digite CERO si no tiene).  ",IF(AF207&gt;$F207,"* La variable Niños, Niñas, Adolescentes y Jóvenes SENAME Mujeres no puede superar el Total Mujeres ",""))</f>
        <v xml:space="preserve">* La variable Niños, Niñas, Adolescentes y Jóvenes SENAME Mujeres no puede superar el Total Mujeres </v>
      </c>
      <c r="CD207" s="2195" t="str">
        <f>IF(AND($E207&lt;&gt;0,AG207=""),"* No olvide ingresar la variable "&amp;AG$203&amp;""&amp;" Hombres (Digite CERO si no tiene).  ",IF(AG207&gt;$E207,"* La variable Niños, Niñas, Adolescentes y Jóvenes Mejor Niñez Hombres no puede superar el Total Hombres. ",""))</f>
        <v xml:space="preserve">* La variable Niños, Niñas, Adolescentes y Jóvenes Mejor Niñez Hombres no puede superar el Total Hombres. </v>
      </c>
      <c r="CE207" s="2195" t="str">
        <f>IF(AND($F207&lt;&gt;0,AH207=""),"* No olvide ingresar la variable Niños, Niñas, Adolescentes y Jóvenes Mejor niñez Mujeres (Digite CERO si no tiene).  ",IF(AH207&gt;$F207,"* La variable de Niños, Niñas, Adolescentes y Jóvenes Mejor Niñez Mujeres no puede superar el Total Mujeres. ",""))</f>
        <v xml:space="preserve">* La variable de Niños, Niñas, Adolescentes y Jóvenes Mejor Niñez Mujeres no puede superar el Total Mujeres. </v>
      </c>
      <c r="CF207" s="2195" t="str">
        <f>IF(AND($D207&lt;&gt;0,AI207=""),"* No olvide ingresar la variable "&amp;AI$203&amp;""&amp;" (Digite CERO si no tiene).  ",IF(AI207&gt;$D207,"* La variable Pueblos Originarios no puede superar el Total Ambos Sexos. ",""))</f>
        <v xml:space="preserve">* La variable Pueblos Originarios no puede superar el Total Ambos Sexos. </v>
      </c>
      <c r="CG207" s="2195" t="str">
        <f>IF(AND($D207&lt;&gt;0,AJ207=""),"* No olvide ingresar la variable "&amp;AJ$203&amp;""&amp;" (Digite CERO si no tiene).  ",IF(AJ207&gt;$D207,"* La variable Migrantes no puede superar el Total Ambos Sexos. ",""))</f>
        <v xml:space="preserve">* La variable Migrantes no puede superar el Total Ambos Sexos. </v>
      </c>
      <c r="CL207" s="55">
        <f>IF(AND($E207&lt;&gt;0,AE207=""),1,IF(AE207&gt;$E207,1,0))</f>
        <v>1</v>
      </c>
      <c r="CM207" s="55">
        <f>IF(AND($F207&lt;&gt;0,AF207=""),1,IF(AF207&gt;$F207,1,0))</f>
        <v>1</v>
      </c>
      <c r="CN207" s="55">
        <f>IF(AND($E207&lt;&gt;0,AG207=""),1,IF(AG207&gt;$E207,1,0))</f>
        <v>1</v>
      </c>
      <c r="CO207" s="55">
        <f>IF(AND($F207&lt;&gt;0,AH207=""),1,IF(AH207&gt;$F207,1,0))</f>
        <v>1</v>
      </c>
      <c r="CP207" s="55">
        <f>IF(AND($D207&lt;&gt;0,AI207=""),1,IF(AI207&gt;$D207,1,0))</f>
        <v>1</v>
      </c>
      <c r="CQ207" s="55">
        <f>IF(AND($D207&lt;&gt;0,AJ207=""),1,IF(AJ207&gt;$D207,1,0))</f>
        <v>1</v>
      </c>
    </row>
    <row r="208" spans="1:95" ht="15" customHeight="1" x14ac:dyDescent="0.25">
      <c r="A208" s="5615"/>
      <c r="B208" s="6295" t="s">
        <v>77</v>
      </c>
      <c r="C208" s="6296"/>
      <c r="D208" s="2437" t="e">
        <f>SUM(E208+F208)</f>
        <v>#VALUE!</v>
      </c>
      <c r="E208" s="2438" t="e">
        <f t="shared" ref="E208:AJ208" si="50">SUM(E206+E207)</f>
        <v>#VALUE!</v>
      </c>
      <c r="F208" s="2439" t="e">
        <f t="shared" si="50"/>
        <v>#VALUE!</v>
      </c>
      <c r="G208" s="2440" t="e">
        <f t="shared" si="50"/>
        <v>#VALUE!</v>
      </c>
      <c r="H208" s="2441" t="e">
        <f t="shared" si="50"/>
        <v>#VALUE!</v>
      </c>
      <c r="I208" s="2440" t="e">
        <f t="shared" si="50"/>
        <v>#VALUE!</v>
      </c>
      <c r="J208" s="2441" t="e">
        <f t="shared" si="50"/>
        <v>#VALUE!</v>
      </c>
      <c r="K208" s="2440" t="e">
        <f t="shared" si="50"/>
        <v>#VALUE!</v>
      </c>
      <c r="L208" s="2441" t="e">
        <f t="shared" si="50"/>
        <v>#VALUE!</v>
      </c>
      <c r="M208" s="2440" t="e">
        <f t="shared" si="50"/>
        <v>#VALUE!</v>
      </c>
      <c r="N208" s="2441" t="e">
        <f t="shared" si="50"/>
        <v>#VALUE!</v>
      </c>
      <c r="O208" s="2440" t="e">
        <f t="shared" si="50"/>
        <v>#VALUE!</v>
      </c>
      <c r="P208" s="2441" t="e">
        <f t="shared" si="50"/>
        <v>#VALUE!</v>
      </c>
      <c r="Q208" s="2440" t="e">
        <f t="shared" si="50"/>
        <v>#VALUE!</v>
      </c>
      <c r="R208" s="2441" t="e">
        <f t="shared" si="50"/>
        <v>#VALUE!</v>
      </c>
      <c r="S208" s="2440" t="e">
        <f t="shared" si="50"/>
        <v>#VALUE!</v>
      </c>
      <c r="T208" s="2441" t="e">
        <f t="shared" si="50"/>
        <v>#VALUE!</v>
      </c>
      <c r="U208" s="2440" t="e">
        <f t="shared" si="50"/>
        <v>#VALUE!</v>
      </c>
      <c r="V208" s="2441" t="e">
        <f t="shared" si="50"/>
        <v>#VALUE!</v>
      </c>
      <c r="W208" s="2440" t="e">
        <f t="shared" si="50"/>
        <v>#VALUE!</v>
      </c>
      <c r="X208" s="2441" t="e">
        <f t="shared" si="50"/>
        <v>#VALUE!</v>
      </c>
      <c r="Y208" s="2440" t="e">
        <f t="shared" si="50"/>
        <v>#VALUE!</v>
      </c>
      <c r="Z208" s="2441" t="e">
        <f t="shared" si="50"/>
        <v>#VALUE!</v>
      </c>
      <c r="AA208" s="2440" t="e">
        <f t="shared" si="50"/>
        <v>#VALUE!</v>
      </c>
      <c r="AB208" s="2441" t="e">
        <f t="shared" si="50"/>
        <v>#VALUE!</v>
      </c>
      <c r="AC208" s="2440" t="e">
        <f t="shared" si="50"/>
        <v>#VALUE!</v>
      </c>
      <c r="AD208" s="2442" t="e">
        <f t="shared" si="50"/>
        <v>#VALUE!</v>
      </c>
      <c r="AE208" s="2438" t="e">
        <f t="shared" si="50"/>
        <v>#VALUE!</v>
      </c>
      <c r="AF208" s="2441" t="e">
        <f t="shared" si="50"/>
        <v>#VALUE!</v>
      </c>
      <c r="AG208" s="2438" t="e">
        <f t="shared" si="50"/>
        <v>#VALUE!</v>
      </c>
      <c r="AH208" s="2441" t="e">
        <f t="shared" si="50"/>
        <v>#VALUE!</v>
      </c>
      <c r="AI208" s="2440" t="e">
        <f t="shared" si="50"/>
        <v>#VALUE!</v>
      </c>
      <c r="AJ208" s="2439" t="e">
        <f t="shared" si="50"/>
        <v>#VALUE!</v>
      </c>
    </row>
    <row r="209" spans="1:91" ht="18" customHeight="1" x14ac:dyDescent="0.25">
      <c r="B209" s="3" t="s">
        <v>392</v>
      </c>
      <c r="C209" s="91"/>
      <c r="D209" s="91"/>
      <c r="E209" s="91"/>
      <c r="F209" s="91"/>
      <c r="G209" s="91"/>
      <c r="H209" s="2150"/>
      <c r="I209" s="2150"/>
      <c r="J209" s="2384"/>
      <c r="K209" s="2384"/>
      <c r="L209" s="2384"/>
      <c r="M209" s="2384"/>
      <c r="N209" s="2384"/>
      <c r="O209" s="2384"/>
      <c r="P209" s="2384"/>
      <c r="Q209" s="2384"/>
      <c r="R209" s="2384"/>
      <c r="S209" s="2150"/>
      <c r="T209" s="2150"/>
      <c r="U209" s="2150"/>
      <c r="V209" s="2150"/>
      <c r="W209" s="2150"/>
      <c r="X209" s="2150"/>
    </row>
    <row r="210" spans="1:91" ht="15" customHeight="1" x14ac:dyDescent="0.25">
      <c r="B210" s="6254" t="s">
        <v>393</v>
      </c>
      <c r="C210" s="6255"/>
      <c r="D210" s="6285" t="s">
        <v>77</v>
      </c>
      <c r="E210" s="6285"/>
      <c r="F210" s="6286"/>
      <c r="G210" s="6182" t="s">
        <v>101</v>
      </c>
      <c r="H210" s="6183"/>
      <c r="I210" s="6183"/>
      <c r="J210" s="6183"/>
      <c r="K210" s="6183"/>
      <c r="L210" s="6183"/>
      <c r="M210" s="6183"/>
      <c r="N210" s="6183"/>
      <c r="O210" s="6183"/>
      <c r="P210" s="6183"/>
      <c r="Q210" s="6182" t="s">
        <v>394</v>
      </c>
      <c r="R210" s="6183"/>
      <c r="S210" s="6184"/>
      <c r="T210" s="6185" t="s">
        <v>36</v>
      </c>
      <c r="U210" s="6188" t="s">
        <v>37</v>
      </c>
      <c r="V210" s="6157" t="s">
        <v>395</v>
      </c>
      <c r="W210" s="6157"/>
      <c r="X210" s="6157"/>
      <c r="Y210" s="6157"/>
      <c r="Z210" s="6157"/>
      <c r="AA210" s="6158"/>
      <c r="AB210" s="6161" t="s">
        <v>396</v>
      </c>
      <c r="AC210" s="6157"/>
      <c r="AD210" s="6157"/>
      <c r="AE210" s="6157"/>
      <c r="AF210" s="6157"/>
      <c r="AG210" s="6158"/>
    </row>
    <row r="211" spans="1:91" ht="15" customHeight="1" x14ac:dyDescent="0.25">
      <c r="B211" s="6256"/>
      <c r="C211" s="6257"/>
      <c r="D211" s="6288"/>
      <c r="E211" s="6288"/>
      <c r="F211" s="6289"/>
      <c r="G211" s="6151" t="s">
        <v>397</v>
      </c>
      <c r="H211" s="6151"/>
      <c r="I211" s="6151" t="s">
        <v>223</v>
      </c>
      <c r="J211" s="6151"/>
      <c r="K211" s="6151" t="s">
        <v>324</v>
      </c>
      <c r="L211" s="6151"/>
      <c r="M211" s="6151" t="s">
        <v>398</v>
      </c>
      <c r="N211" s="6151"/>
      <c r="O211" s="6151" t="s">
        <v>399</v>
      </c>
      <c r="P211" s="6155"/>
      <c r="Q211" s="6195" t="s">
        <v>400</v>
      </c>
      <c r="R211" s="6191" t="s">
        <v>401</v>
      </c>
      <c r="S211" s="6193" t="s">
        <v>402</v>
      </c>
      <c r="T211" s="6186"/>
      <c r="U211" s="6189"/>
      <c r="V211" s="6159"/>
      <c r="W211" s="6159"/>
      <c r="X211" s="6159"/>
      <c r="Y211" s="6159"/>
      <c r="Z211" s="6159"/>
      <c r="AA211" s="6160"/>
      <c r="AB211" s="6162"/>
      <c r="AC211" s="6159"/>
      <c r="AD211" s="6159"/>
      <c r="AE211" s="6159"/>
      <c r="AF211" s="6159"/>
      <c r="AG211" s="6160"/>
    </row>
    <row r="212" spans="1:91" ht="18.75" customHeight="1" x14ac:dyDescent="0.25">
      <c r="B212" s="6258"/>
      <c r="C212" s="6259"/>
      <c r="D212" s="2415" t="s">
        <v>389</v>
      </c>
      <c r="E212" s="2420" t="s">
        <v>58</v>
      </c>
      <c r="F212" s="2414" t="s">
        <v>59</v>
      </c>
      <c r="G212" s="2417" t="s">
        <v>58</v>
      </c>
      <c r="H212" s="2418" t="s">
        <v>59</v>
      </c>
      <c r="I212" s="2417" t="s">
        <v>58</v>
      </c>
      <c r="J212" s="2418" t="s">
        <v>59</v>
      </c>
      <c r="K212" s="2417" t="s">
        <v>58</v>
      </c>
      <c r="L212" s="2418" t="s">
        <v>59</v>
      </c>
      <c r="M212" s="2417" t="s">
        <v>58</v>
      </c>
      <c r="N212" s="2418" t="s">
        <v>59</v>
      </c>
      <c r="O212" s="2417" t="s">
        <v>58</v>
      </c>
      <c r="P212" s="2443" t="s">
        <v>59</v>
      </c>
      <c r="Q212" s="6196"/>
      <c r="R212" s="6192"/>
      <c r="S212" s="6194"/>
      <c r="T212" s="6187"/>
      <c r="U212" s="6190" t="s">
        <v>59</v>
      </c>
      <c r="V212" s="2444" t="s">
        <v>403</v>
      </c>
      <c r="W212" s="2445" t="s">
        <v>84</v>
      </c>
      <c r="X212" s="2446" t="s">
        <v>404</v>
      </c>
      <c r="Y212" s="2446" t="s">
        <v>405</v>
      </c>
      <c r="Z212" s="2446" t="s">
        <v>406</v>
      </c>
      <c r="AA212" s="2447" t="s">
        <v>407</v>
      </c>
      <c r="AB212" s="2448" t="s">
        <v>403</v>
      </c>
      <c r="AC212" s="2445" t="s">
        <v>84</v>
      </c>
      <c r="AD212" s="2446" t="s">
        <v>404</v>
      </c>
      <c r="AE212" s="2446" t="s">
        <v>405</v>
      </c>
      <c r="AF212" s="2446" t="s">
        <v>406</v>
      </c>
      <c r="AG212" s="2449" t="s">
        <v>407</v>
      </c>
    </row>
    <row r="213" spans="1:91" ht="21.75" customHeight="1" x14ac:dyDescent="0.25">
      <c r="A213" s="5601" t="s">
        <v>4739</v>
      </c>
      <c r="B213" s="6197" t="s">
        <v>4334</v>
      </c>
      <c r="C213" s="6198"/>
      <c r="D213" s="2421" t="s">
        <v>4567</v>
      </c>
      <c r="E213" s="2422" t="s">
        <v>4568</v>
      </c>
      <c r="F213" s="2450" t="s">
        <v>4569</v>
      </c>
      <c r="G213" s="2424" t="s">
        <v>4570</v>
      </c>
      <c r="H213" s="2426" t="s">
        <v>4571</v>
      </c>
      <c r="I213" s="2424" t="s">
        <v>4572</v>
      </c>
      <c r="J213" s="2426" t="s">
        <v>4573</v>
      </c>
      <c r="K213" s="2424" t="s">
        <v>4574</v>
      </c>
      <c r="L213" s="2426" t="s">
        <v>4575</v>
      </c>
      <c r="M213" s="2424" t="s">
        <v>4576</v>
      </c>
      <c r="N213" s="2426" t="s">
        <v>4577</v>
      </c>
      <c r="O213" s="2424" t="s">
        <v>4578</v>
      </c>
      <c r="P213" s="2451" t="s">
        <v>4579</v>
      </c>
      <c r="Q213" s="2424" t="s">
        <v>4580</v>
      </c>
      <c r="R213" s="2452" t="s">
        <v>4581</v>
      </c>
      <c r="S213" s="2427" t="s">
        <v>4582</v>
      </c>
      <c r="T213" s="2453" t="s">
        <v>4583</v>
      </c>
      <c r="U213" s="2427" t="s">
        <v>4584</v>
      </c>
      <c r="V213" s="2454" t="s">
        <v>4585</v>
      </c>
      <c r="W213" s="2455" t="s">
        <v>4586</v>
      </c>
      <c r="X213" s="2455" t="s">
        <v>4587</v>
      </c>
      <c r="Y213" s="2455" t="s">
        <v>4588</v>
      </c>
      <c r="Z213" s="2455" t="s">
        <v>4589</v>
      </c>
      <c r="AA213" s="2456" t="s">
        <v>4590</v>
      </c>
      <c r="AB213" s="2424" t="s">
        <v>4591</v>
      </c>
      <c r="AC213" s="2452" t="s">
        <v>4592</v>
      </c>
      <c r="AD213" s="2452" t="s">
        <v>4593</v>
      </c>
      <c r="AE213" s="2452" t="s">
        <v>4594</v>
      </c>
      <c r="AF213" s="2452" t="s">
        <v>4595</v>
      </c>
      <c r="AG213" s="2426" t="s">
        <v>4596</v>
      </c>
      <c r="AH213" s="24" t="str">
        <f>CB213&amp;CC213</f>
        <v xml:space="preserve">* La variable Pueblos Originarios no puede superar el Total Ambos Sexos. * La variable Migrantes no puede superar el Total Ambos Sexos. </v>
      </c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2194"/>
      <c r="BB213" s="2194"/>
      <c r="BC213" s="2194"/>
      <c r="BD213" s="2194"/>
      <c r="BE213" s="2194"/>
      <c r="BF213" s="2194"/>
      <c r="BG213" s="2194"/>
      <c r="BH213" s="2194"/>
      <c r="BI213" s="2194"/>
      <c r="BJ213" s="2194"/>
      <c r="BK213" s="2194"/>
      <c r="BL213" s="2194"/>
      <c r="BM213" s="2194"/>
      <c r="BN213" s="2194"/>
      <c r="BO213" s="2194"/>
      <c r="BP213" s="2194"/>
      <c r="BQ213" s="2194"/>
      <c r="BR213" s="2194"/>
      <c r="BS213" s="2194"/>
      <c r="BT213" s="2194"/>
      <c r="BU213" s="2194"/>
      <c r="BV213" s="2194"/>
      <c r="BW213" s="2194"/>
      <c r="BX213" s="2194"/>
      <c r="BY213" s="2194"/>
      <c r="BZ213" s="2194"/>
      <c r="CA213" s="2194"/>
      <c r="CB213" s="2195" t="str">
        <f>IF(AND($D213&lt;&gt;0,T213=""),"* No olvide ingresar la variable "&amp;T$210&amp;""&amp;" (Digite CERO si no tiene). ",IF(T213&gt;$D213,"* La variable Pueblos Originarios no puede superar el Total Ambos Sexos. ",""))</f>
        <v xml:space="preserve">* La variable Pueblos Originarios no puede superar el Total Ambos Sexos. </v>
      </c>
      <c r="CC213" s="2195" t="str">
        <f>IF(AND($D213&lt;&gt;0,U213=""),"* No olvide ingresar la variable "&amp;U$210&amp;""&amp;" (Digite CERO si no tiene). ",IF(U213&gt;$D213,"* La variable Migrantes no puede superar el Total Ambos Sexos. ",""))</f>
        <v xml:space="preserve">* La variable Migrantes no puede superar el Total Ambos Sexos. </v>
      </c>
      <c r="CE213" s="2194"/>
      <c r="CF213" s="2194"/>
      <c r="CG213" s="99"/>
      <c r="CH213" s="99"/>
      <c r="CI213" s="99"/>
      <c r="CJ213" s="99"/>
      <c r="CK213" s="99"/>
      <c r="CL213" s="55">
        <f>IF(AND($D213&lt;&gt;0,T213=""),1,IF(T213&gt;$D213,1,0))</f>
        <v>1</v>
      </c>
      <c r="CM213" s="55">
        <f>IF(AND($D213&lt;&gt;0,U213=""),1,IF(U213&gt;$D213,1,0))</f>
        <v>1</v>
      </c>
    </row>
    <row r="214" spans="1:91" ht="15" customHeight="1" x14ac:dyDescent="0.25">
      <c r="A214" s="5601" t="s">
        <v>4740</v>
      </c>
      <c r="B214" s="6199" t="s">
        <v>408</v>
      </c>
      <c r="C214" s="6200"/>
      <c r="D214" s="2457" t="s">
        <v>4567</v>
      </c>
      <c r="E214" s="2458" t="s">
        <v>4568</v>
      </c>
      <c r="F214" s="2459" t="s">
        <v>4569</v>
      </c>
      <c r="G214" s="2460" t="s">
        <v>4570</v>
      </c>
      <c r="H214" s="2461" t="s">
        <v>4571</v>
      </c>
      <c r="I214" s="2460" t="s">
        <v>4572</v>
      </c>
      <c r="J214" s="2461" t="s">
        <v>4573</v>
      </c>
      <c r="K214" s="2460" t="s">
        <v>4574</v>
      </c>
      <c r="L214" s="2461" t="s">
        <v>4575</v>
      </c>
      <c r="M214" s="2460" t="s">
        <v>4576</v>
      </c>
      <c r="N214" s="2461" t="s">
        <v>4577</v>
      </c>
      <c r="O214" s="2460" t="s">
        <v>4578</v>
      </c>
      <c r="P214" s="2462" t="s">
        <v>4579</v>
      </c>
      <c r="Q214" s="2460" t="s">
        <v>4580</v>
      </c>
      <c r="R214" s="2463" t="s">
        <v>4581</v>
      </c>
      <c r="S214" s="2464" t="s">
        <v>4582</v>
      </c>
      <c r="T214" s="2465" t="s">
        <v>4583</v>
      </c>
      <c r="U214" s="2466" t="s">
        <v>4584</v>
      </c>
      <c r="V214" s="2465" t="s">
        <v>4585</v>
      </c>
      <c r="W214" s="2463" t="s">
        <v>4586</v>
      </c>
      <c r="X214" s="2463" t="s">
        <v>4587</v>
      </c>
      <c r="Y214" s="2463" t="s">
        <v>4588</v>
      </c>
      <c r="Z214" s="2463" t="s">
        <v>4589</v>
      </c>
      <c r="AA214" s="2467" t="s">
        <v>4590</v>
      </c>
      <c r="AB214" s="2460" t="s">
        <v>4591</v>
      </c>
      <c r="AC214" s="2463" t="s">
        <v>4592</v>
      </c>
      <c r="AD214" s="2463" t="s">
        <v>4593</v>
      </c>
      <c r="AE214" s="2463" t="s">
        <v>4594</v>
      </c>
      <c r="AF214" s="2463" t="s">
        <v>4595</v>
      </c>
      <c r="AG214" s="2461" t="s">
        <v>4596</v>
      </c>
      <c r="AH214" s="24" t="str">
        <f t="shared" ref="AH214:AH215" si="51">CB214&amp;CC214</f>
        <v xml:space="preserve">* La variable Pueblos Originarios no puede superar el Total Ambos Sexos. * La variable Migrantes no puede superar el Total Ambos Sexos. </v>
      </c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2194"/>
      <c r="BB214" s="2194"/>
      <c r="BC214" s="2194"/>
      <c r="BD214" s="2194"/>
      <c r="BE214" s="2194"/>
      <c r="BF214" s="2194"/>
      <c r="BG214" s="2194"/>
      <c r="BH214" s="2194"/>
      <c r="BI214" s="2194"/>
      <c r="BJ214" s="2194"/>
      <c r="BK214" s="2194"/>
      <c r="BL214" s="2194"/>
      <c r="BM214" s="2194"/>
      <c r="BN214" s="2194"/>
      <c r="BO214" s="2194"/>
      <c r="BP214" s="2194"/>
      <c r="BQ214" s="2194"/>
      <c r="BR214" s="2194"/>
      <c r="BS214" s="2194"/>
      <c r="BT214" s="2194"/>
      <c r="BU214" s="2194"/>
      <c r="BV214" s="2194"/>
      <c r="BW214" s="2194"/>
      <c r="BX214" s="2194"/>
      <c r="BY214" s="2194"/>
      <c r="BZ214" s="2194"/>
      <c r="CA214" s="2194"/>
      <c r="CB214" s="2195" t="str">
        <f t="shared" ref="CB214:CB215" si="52">IF(AND($D214&lt;&gt;0,T214=""),"* No olvide ingresar la variable "&amp;T$210&amp;""&amp;" (Digite CERO si no tiene). ",IF(T214&gt;$D214,"* La variable Pueblos Originarios no puede superar el Total Ambos Sexos. ",""))</f>
        <v xml:space="preserve">* La variable Pueblos Originarios no puede superar el Total Ambos Sexos. </v>
      </c>
      <c r="CC214" s="2195" t="str">
        <f t="shared" ref="CC214:CC215" si="53">IF(AND($D214&lt;&gt;0,U214=""),"* No olvide ingresar la variable "&amp;U$210&amp;""&amp;" (Digite CERO si no tiene). ",IF(U214&gt;$D214,"* La variable Migrantes no puede superar el Total Ambos Sexos. ",""))</f>
        <v xml:space="preserve">* La variable Migrantes no puede superar el Total Ambos Sexos. </v>
      </c>
      <c r="CE214" s="2194"/>
      <c r="CF214" s="2194"/>
      <c r="CG214" s="99"/>
      <c r="CH214" s="99"/>
      <c r="CI214" s="99"/>
      <c r="CJ214" s="99"/>
      <c r="CK214" s="99"/>
      <c r="CL214" s="55">
        <f t="shared" ref="CL214:CM215" si="54">IF(AND($D214&lt;&gt;0,T214=""),1,IF(T214&gt;$D214,1,0))</f>
        <v>1</v>
      </c>
      <c r="CM214" s="55">
        <f t="shared" si="54"/>
        <v>1</v>
      </c>
    </row>
    <row r="215" spans="1:91" ht="15" customHeight="1" x14ac:dyDescent="0.25">
      <c r="A215" s="5601" t="s">
        <v>4741</v>
      </c>
      <c r="B215" s="6201" t="s">
        <v>409</v>
      </c>
      <c r="C215" s="6202"/>
      <c r="D215" s="2428" t="s">
        <v>4567</v>
      </c>
      <c r="E215" s="2468" t="s">
        <v>4568</v>
      </c>
      <c r="F215" s="2469" t="s">
        <v>4569</v>
      </c>
      <c r="G215" s="2432" t="s">
        <v>4570</v>
      </c>
      <c r="H215" s="2434" t="s">
        <v>4571</v>
      </c>
      <c r="I215" s="2432" t="s">
        <v>4572</v>
      </c>
      <c r="J215" s="2434" t="s">
        <v>4573</v>
      </c>
      <c r="K215" s="2432" t="s">
        <v>4574</v>
      </c>
      <c r="L215" s="2434" t="s">
        <v>4575</v>
      </c>
      <c r="M215" s="2432" t="s">
        <v>4576</v>
      </c>
      <c r="N215" s="2434" t="s">
        <v>4577</v>
      </c>
      <c r="O215" s="2432" t="s">
        <v>4578</v>
      </c>
      <c r="P215" s="2470" t="s">
        <v>4579</v>
      </c>
      <c r="Q215" s="2432" t="s">
        <v>4580</v>
      </c>
      <c r="R215" s="2471" t="s">
        <v>4581</v>
      </c>
      <c r="S215" s="2435" t="s">
        <v>4582</v>
      </c>
      <c r="T215" s="2472" t="s">
        <v>4583</v>
      </c>
      <c r="U215" s="2435" t="s">
        <v>4584</v>
      </c>
      <c r="V215" s="2472" t="s">
        <v>4585</v>
      </c>
      <c r="W215" s="2471" t="s">
        <v>4586</v>
      </c>
      <c r="X215" s="2471" t="s">
        <v>4587</v>
      </c>
      <c r="Y215" s="2471" t="s">
        <v>4588</v>
      </c>
      <c r="Z215" s="2471" t="s">
        <v>4589</v>
      </c>
      <c r="AA215" s="2473" t="s">
        <v>4590</v>
      </c>
      <c r="AB215" s="2432" t="s">
        <v>4591</v>
      </c>
      <c r="AC215" s="2471" t="s">
        <v>4592</v>
      </c>
      <c r="AD215" s="2471" t="s">
        <v>4593</v>
      </c>
      <c r="AE215" s="2471" t="s">
        <v>4594</v>
      </c>
      <c r="AF215" s="2471" t="s">
        <v>4595</v>
      </c>
      <c r="AG215" s="2434" t="s">
        <v>4596</v>
      </c>
      <c r="AH215" s="24" t="str">
        <f t="shared" si="51"/>
        <v xml:space="preserve">* La variable Pueblos Originarios no puede superar el Total Ambos Sexos. * La variable Migrantes no puede superar el Total Ambos Sexos. </v>
      </c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2194"/>
      <c r="BB215" s="2194"/>
      <c r="BC215" s="2194"/>
      <c r="BD215" s="2194"/>
      <c r="BE215" s="2194"/>
      <c r="BF215" s="2194"/>
      <c r="BG215" s="2194"/>
      <c r="BH215" s="2194"/>
      <c r="BI215" s="2194"/>
      <c r="BJ215" s="2194"/>
      <c r="BK215" s="2194"/>
      <c r="BL215" s="2194"/>
      <c r="BM215" s="2194"/>
      <c r="BN215" s="2194"/>
      <c r="BO215" s="2194"/>
      <c r="BP215" s="2194"/>
      <c r="BQ215" s="2194"/>
      <c r="BR215" s="2194"/>
      <c r="BS215" s="2194"/>
      <c r="BT215" s="2194"/>
      <c r="BU215" s="2194"/>
      <c r="BV215" s="2194"/>
      <c r="BW215" s="2194"/>
      <c r="BX215" s="2194"/>
      <c r="BY215" s="2194"/>
      <c r="BZ215" s="2194"/>
      <c r="CA215" s="2194"/>
      <c r="CB215" s="2195" t="str">
        <f t="shared" si="52"/>
        <v xml:space="preserve">* La variable Pueblos Originarios no puede superar el Total Ambos Sexos. </v>
      </c>
      <c r="CC215" s="2195" t="str">
        <f t="shared" si="53"/>
        <v xml:space="preserve">* La variable Migrantes no puede superar el Total Ambos Sexos. </v>
      </c>
      <c r="CE215" s="2194"/>
      <c r="CF215" s="2194"/>
      <c r="CG215" s="99"/>
      <c r="CH215" s="99"/>
      <c r="CI215" s="99"/>
      <c r="CJ215" s="99"/>
      <c r="CK215" s="99"/>
      <c r="CL215" s="55">
        <f t="shared" si="54"/>
        <v>1</v>
      </c>
      <c r="CM215" s="55">
        <f>IF(AND($D215&lt;&gt;0,U215=""),1,IF(U215&gt;$D215,1,0))</f>
        <v>1</v>
      </c>
    </row>
    <row r="216" spans="1:91" ht="18" customHeight="1" x14ac:dyDescent="0.25">
      <c r="A216" s="5548"/>
      <c r="B216" s="2474" t="s">
        <v>410</v>
      </c>
      <c r="C216" s="2474"/>
      <c r="D216" s="2474"/>
      <c r="E216" s="2475"/>
      <c r="F216" s="2475"/>
      <c r="G216" s="2475"/>
      <c r="H216" s="2475"/>
      <c r="I216" s="247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</row>
    <row r="217" spans="1:91" ht="30" customHeight="1" x14ac:dyDescent="0.25">
      <c r="A217" s="5548"/>
      <c r="B217" s="6163" t="s">
        <v>411</v>
      </c>
      <c r="C217" s="6164"/>
      <c r="D217" s="6164"/>
      <c r="E217" s="6165"/>
      <c r="F217" s="6163" t="s">
        <v>58</v>
      </c>
      <c r="G217" s="6203" t="s">
        <v>59</v>
      </c>
      <c r="H217" s="6169" t="s">
        <v>412</v>
      </c>
      <c r="I217" s="6170"/>
      <c r="J217" s="6171" t="s">
        <v>36</v>
      </c>
      <c r="K217" s="6165" t="s">
        <v>37</v>
      </c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</row>
    <row r="218" spans="1:91" ht="29.25" customHeight="1" x14ac:dyDescent="0.25">
      <c r="A218" s="5548"/>
      <c r="B218" s="6166"/>
      <c r="C218" s="6167"/>
      <c r="D218" s="6167"/>
      <c r="E218" s="6168"/>
      <c r="F218" s="6166"/>
      <c r="G218" s="6204"/>
      <c r="H218" s="2478" t="s">
        <v>413</v>
      </c>
      <c r="I218" s="2477" t="s">
        <v>414</v>
      </c>
      <c r="J218" s="6172"/>
      <c r="K218" s="6168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</row>
    <row r="219" spans="1:91" ht="15" customHeight="1" x14ac:dyDescent="0.25">
      <c r="A219" s="5605" t="s">
        <v>4742</v>
      </c>
      <c r="B219" s="6173" t="s">
        <v>415</v>
      </c>
      <c r="C219" s="6174"/>
      <c r="D219" s="6174"/>
      <c r="E219" s="6175"/>
      <c r="F219" s="2479" t="s">
        <v>4567</v>
      </c>
      <c r="G219" s="2480" t="s">
        <v>4568</v>
      </c>
      <c r="H219" s="2389" t="s">
        <v>4569</v>
      </c>
      <c r="I219" s="2481" t="s">
        <v>4570</v>
      </c>
      <c r="J219" s="2482" t="s">
        <v>4571</v>
      </c>
      <c r="K219" s="2480" t="s">
        <v>4572</v>
      </c>
      <c r="L219" s="1864" t="e">
        <f>$CB219&amp;CC219</f>
        <v>#VALUE!</v>
      </c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CB219" s="2195" t="e">
        <f>IF(AND($F219+G219&lt;&gt;0,J219=""),"* No olvide ingresar la variable "&amp;J$217&amp;""&amp;" (Digite CERO si no tiene). ",IF(J219&gt;$F219+$G219,"* La variable Pueblos Originarios la suma de Hombres + Mujeres.",""))</f>
        <v>#VALUE!</v>
      </c>
      <c r="CC219" s="2195" t="e">
        <f>IF(AND($F219+G219&lt;&gt;0,K219=""),"* No olvide ingresar la variable "&amp;K$217&amp;""&amp;" (Digite CERO si no tiene). ",IF(K219&gt;$F219+$G219,"* La variable Migrantes no puede superar la suma de Hombres + Mujeres. ",""))</f>
        <v>#VALUE!</v>
      </c>
      <c r="CE219" s="2194"/>
      <c r="CF219" s="2194"/>
      <c r="CG219" s="99"/>
      <c r="CH219" s="99"/>
      <c r="CI219" s="99"/>
      <c r="CJ219" s="99"/>
      <c r="CK219" s="99"/>
      <c r="CL219" s="55" t="e">
        <f>IF(AND($F219+$G219&lt;&gt;0,J219=""),1,IF(J219&gt;$F219+$G219,1,0))</f>
        <v>#VALUE!</v>
      </c>
      <c r="CM219" s="55" t="e">
        <f>IF(AND($F219+$G219&lt;&gt;0,K219=""),1,IF(K219&gt;$F219+$G219,1,0))</f>
        <v>#VALUE!</v>
      </c>
    </row>
    <row r="220" spans="1:91" ht="15" customHeight="1" x14ac:dyDescent="0.25">
      <c r="A220" s="5605" t="s">
        <v>4743</v>
      </c>
      <c r="B220" s="6176" t="s">
        <v>416</v>
      </c>
      <c r="C220" s="6177"/>
      <c r="D220" s="6177"/>
      <c r="E220" s="6178"/>
      <c r="F220" s="2061" t="s">
        <v>4567</v>
      </c>
      <c r="G220" s="2483" t="s">
        <v>4568</v>
      </c>
      <c r="H220" s="2061" t="s">
        <v>4569</v>
      </c>
      <c r="I220" s="2363" t="s">
        <v>4570</v>
      </c>
      <c r="J220" s="2484" t="s">
        <v>4571</v>
      </c>
      <c r="K220" s="2485" t="s">
        <v>4572</v>
      </c>
      <c r="L220" s="1864" t="e">
        <f t="shared" ref="L220:L226" si="55">$CB220&amp;CC220</f>
        <v>#VALUE!</v>
      </c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2194"/>
      <c r="AN220" s="2194"/>
      <c r="AO220" s="2194"/>
      <c r="AP220" s="2194"/>
      <c r="AQ220" s="2194"/>
      <c r="AR220" s="2194"/>
      <c r="AS220" s="2194"/>
      <c r="AT220" s="2194"/>
      <c r="AU220" s="2194"/>
      <c r="AV220" s="2194"/>
      <c r="AW220" s="2194"/>
      <c r="AX220" s="2194"/>
      <c r="AY220" s="2194"/>
      <c r="AZ220" s="2194"/>
      <c r="BA220" s="2194"/>
      <c r="BB220" s="2194"/>
      <c r="BC220" s="2194"/>
      <c r="BD220" s="2194"/>
      <c r="BE220" s="2194"/>
      <c r="BF220" s="2194"/>
      <c r="BG220" s="2194"/>
      <c r="BH220" s="2194"/>
      <c r="BI220" s="2194"/>
      <c r="BJ220" s="2194"/>
      <c r="BK220" s="2194"/>
      <c r="BL220" s="2194"/>
      <c r="BM220" s="2194"/>
      <c r="BN220" s="2194"/>
      <c r="BO220" s="2194"/>
      <c r="BP220" s="2194"/>
      <c r="BQ220" s="2194"/>
      <c r="BR220" s="2194"/>
      <c r="BS220" s="2194"/>
      <c r="BT220" s="2194"/>
      <c r="BU220" s="2194"/>
      <c r="BV220" s="2194"/>
      <c r="BW220" s="2194"/>
      <c r="BX220" s="2194"/>
      <c r="BY220" s="2194"/>
      <c r="BZ220" s="2194"/>
      <c r="CA220" s="2194"/>
      <c r="CB220" s="2195" t="e">
        <f>IF(AND($F220+G220&lt;&gt;0,J220=""),"* No olvide ingresar la variable "&amp;J$217&amp;""&amp;" (Digite CERO si no tiene). ",IF(J220&gt;$F220+$G220,"* La variable Pueblos Originarios la suma de Hombres + Mujeres.",""))</f>
        <v>#VALUE!</v>
      </c>
      <c r="CC220" s="2195" t="e">
        <f>IF(AND($F220+G220&lt;&gt;0,K220=""),"* No olvide ingresar la variable "&amp;K$217&amp;""&amp;" (Digite CERO si no tiene). ",IF(K220&gt;$F220+$G220,"* La variable Migrantes no puede superar la suma de Hombres + Mujeres. ",""))</f>
        <v>#VALUE!</v>
      </c>
      <c r="CE220" s="2194"/>
      <c r="CF220" s="2194"/>
      <c r="CG220" s="99"/>
      <c r="CH220" s="99"/>
      <c r="CI220" s="99"/>
      <c r="CJ220" s="99"/>
      <c r="CK220" s="99"/>
      <c r="CL220" s="55" t="e">
        <f>IF(AND($F220+$G220&lt;&gt;0,J220=""),1,IF(J220&gt;$F220+$G220,1,0))</f>
        <v>#VALUE!</v>
      </c>
      <c r="CM220" s="55" t="e">
        <f>IF(AND($F220+$G220&lt;&gt;0,K220=""),1,IF(K220&gt;$F220+$G220,1,0))</f>
        <v>#VALUE!</v>
      </c>
    </row>
    <row r="221" spans="1:91" ht="23.25" customHeight="1" x14ac:dyDescent="0.25">
      <c r="A221" s="5605" t="s">
        <v>4744</v>
      </c>
      <c r="B221" s="6179" t="s">
        <v>417</v>
      </c>
      <c r="C221" s="6180"/>
      <c r="D221" s="6180"/>
      <c r="E221" s="6181"/>
      <c r="F221" s="2393" t="s">
        <v>4567</v>
      </c>
      <c r="G221" s="2486" t="s">
        <v>4568</v>
      </c>
      <c r="H221" s="2487" t="s">
        <v>4569</v>
      </c>
      <c r="I221" s="2381" t="s">
        <v>4570</v>
      </c>
      <c r="J221" s="2488" t="s">
        <v>4571</v>
      </c>
      <c r="K221" s="2489" t="s">
        <v>4572</v>
      </c>
      <c r="L221" s="1864" t="e">
        <f t="shared" si="55"/>
        <v>#VALUE!</v>
      </c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2194"/>
      <c r="AN221" s="2194"/>
      <c r="AO221" s="2194"/>
      <c r="AP221" s="2194"/>
      <c r="AQ221" s="2194"/>
      <c r="AR221" s="2194"/>
      <c r="AS221" s="2194"/>
      <c r="AT221" s="2194"/>
      <c r="AU221" s="2194"/>
      <c r="AV221" s="2194"/>
      <c r="AW221" s="2194"/>
      <c r="AX221" s="2194"/>
      <c r="AY221" s="2194"/>
      <c r="AZ221" s="2194"/>
      <c r="BA221" s="2194"/>
      <c r="BB221" s="2194"/>
      <c r="BC221" s="2194"/>
      <c r="BD221" s="2194"/>
      <c r="BE221" s="2194"/>
      <c r="BF221" s="2194"/>
      <c r="BG221" s="2194"/>
      <c r="BH221" s="2194"/>
      <c r="BI221" s="2194"/>
      <c r="BJ221" s="2194"/>
      <c r="BK221" s="2194"/>
      <c r="BL221" s="2194"/>
      <c r="BM221" s="2194"/>
      <c r="BN221" s="2194"/>
      <c r="BO221" s="2194"/>
      <c r="BP221" s="2194"/>
      <c r="BQ221" s="2194"/>
      <c r="BR221" s="2194"/>
      <c r="BS221" s="2194"/>
      <c r="BT221" s="2194"/>
      <c r="BU221" s="2194"/>
      <c r="BV221" s="2194"/>
      <c r="BW221" s="2194"/>
      <c r="BX221" s="2194"/>
      <c r="BY221" s="2194"/>
      <c r="BZ221" s="2194"/>
      <c r="CA221" s="2194"/>
      <c r="CB221" s="2195" t="e">
        <f t="shared" ref="CB221" si="56">IF(AND($F221+G221&lt;&gt;0,J221=""),"* No olvide ingresar la variable "&amp;J$217&amp;""&amp;" (Digite CERO si no tiene). ",IF(J221&gt;$F221+$G221,"* La variable Pueblos Originarios la suma de Hombres + Mujeres.",""))</f>
        <v>#VALUE!</v>
      </c>
      <c r="CC221" s="2195" t="e">
        <f t="shared" ref="CC221" si="57">IF(AND($F221+G221&lt;&gt;0,K221=""),"* No olvide ingresar la variable "&amp;K$217&amp;""&amp;" (Digite CERO si no tiene). ",IF(K221&gt;$F221+$G221,"* La variable Migrantes no puede superar la suma de Hombres + Mujeres. ",""))</f>
        <v>#VALUE!</v>
      </c>
      <c r="CE221" s="2194"/>
      <c r="CF221" s="2194"/>
      <c r="CG221" s="99"/>
      <c r="CH221" s="99"/>
      <c r="CI221" s="99"/>
      <c r="CJ221" s="99"/>
      <c r="CK221" s="99"/>
      <c r="CL221" s="55" t="e">
        <f t="shared" ref="CL221:CL226" si="58">IF(AND($F221+$G221&lt;&gt;0,J221=""),1,IF(J221&gt;$F221+$G221,1,0))</f>
        <v>#VALUE!</v>
      </c>
      <c r="CM221" s="55" t="e">
        <f t="shared" ref="CM221:CM226" si="59">IF(AND($F221+$G221&lt;&gt;0,K221=""),1,IF(K221&gt;$F221+$G221,1,0))</f>
        <v>#VALUE!</v>
      </c>
    </row>
    <row r="222" spans="1:91" ht="18.75" customHeight="1" x14ac:dyDescent="0.25">
      <c r="A222" s="5616"/>
      <c r="B222" s="6239" t="s">
        <v>77</v>
      </c>
      <c r="C222" s="6270"/>
      <c r="D222" s="6270"/>
      <c r="E222" s="6240"/>
      <c r="F222" s="2491">
        <f>SUM(F219:F221)</f>
        <v>0</v>
      </c>
      <c r="G222" s="2492">
        <f>SUM(G219:G221)</f>
        <v>0</v>
      </c>
      <c r="H222" s="2493">
        <f t="shared" ref="H222:K222" si="60">SUM(H219:H221)</f>
        <v>0</v>
      </c>
      <c r="I222" s="2494">
        <f t="shared" si="60"/>
        <v>0</v>
      </c>
      <c r="J222" s="2495">
        <f t="shared" si="60"/>
        <v>0</v>
      </c>
      <c r="K222" s="2496">
        <f t="shared" si="60"/>
        <v>0</v>
      </c>
      <c r="L222" s="1864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2194"/>
      <c r="AN222" s="2194"/>
      <c r="AO222" s="2194"/>
      <c r="AP222" s="2194"/>
      <c r="AQ222" s="2194"/>
      <c r="AR222" s="2194"/>
      <c r="AS222" s="2194"/>
      <c r="AT222" s="2194"/>
      <c r="AU222" s="2194"/>
      <c r="AV222" s="2194"/>
      <c r="AW222" s="2194"/>
      <c r="AX222" s="2194"/>
      <c r="AY222" s="2194"/>
      <c r="AZ222" s="2194"/>
      <c r="BA222" s="2194"/>
      <c r="BB222" s="2194"/>
      <c r="BC222" s="2194"/>
      <c r="BD222" s="2194"/>
      <c r="BE222" s="2194"/>
      <c r="BF222" s="2194"/>
      <c r="BG222" s="2194"/>
      <c r="BH222" s="2194"/>
      <c r="BI222" s="2194"/>
      <c r="BJ222" s="2194"/>
      <c r="BK222" s="2194"/>
      <c r="BL222" s="2194"/>
      <c r="BM222" s="2194"/>
      <c r="BN222" s="2194"/>
      <c r="BO222" s="2194"/>
      <c r="BP222" s="2194"/>
      <c r="BQ222" s="2194"/>
      <c r="BR222" s="2194"/>
      <c r="BS222" s="2194"/>
      <c r="BT222" s="2194"/>
      <c r="BU222" s="2194"/>
      <c r="BV222" s="2194"/>
      <c r="BW222" s="2194"/>
      <c r="BX222" s="2194"/>
      <c r="BY222" s="2194"/>
      <c r="BZ222" s="2194"/>
      <c r="CA222" s="2194"/>
      <c r="CB222" s="2194"/>
      <c r="CC222" s="2194"/>
      <c r="CE222" s="2194"/>
      <c r="CF222" s="2194"/>
      <c r="CG222" s="99"/>
      <c r="CH222" s="99"/>
      <c r="CI222" s="99"/>
      <c r="CJ222" s="99"/>
      <c r="CK222" s="99"/>
    </row>
    <row r="223" spans="1:91" ht="15" customHeight="1" x14ac:dyDescent="0.25">
      <c r="A223" s="5605" t="s">
        <v>4745</v>
      </c>
      <c r="B223" s="6269" t="s">
        <v>418</v>
      </c>
      <c r="C223" s="6173" t="s">
        <v>419</v>
      </c>
      <c r="D223" s="6174"/>
      <c r="E223" s="6175"/>
      <c r="F223" s="2497" t="s">
        <v>4567</v>
      </c>
      <c r="G223" s="2498" t="s">
        <v>4568</v>
      </c>
      <c r="H223" s="2306" t="s">
        <v>4569</v>
      </c>
      <c r="I223" s="2499" t="s">
        <v>4570</v>
      </c>
      <c r="J223" s="2500" t="s">
        <v>4571</v>
      </c>
      <c r="K223" s="2498" t="s">
        <v>4572</v>
      </c>
      <c r="L223" s="1864" t="e">
        <f>$CB223&amp;CC223</f>
        <v>#VALUE!</v>
      </c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2194"/>
      <c r="AN223" s="2194"/>
      <c r="AO223" s="2194"/>
      <c r="AP223" s="2194"/>
      <c r="AQ223" s="2194"/>
      <c r="AR223" s="2194"/>
      <c r="AS223" s="2194"/>
      <c r="AT223" s="2194"/>
      <c r="AU223" s="2194"/>
      <c r="AV223" s="2194"/>
      <c r="AW223" s="2194"/>
      <c r="AX223" s="2194"/>
      <c r="AY223" s="2194"/>
      <c r="AZ223" s="2194"/>
      <c r="BA223" s="2194"/>
      <c r="BB223" s="2194"/>
      <c r="BC223" s="2194"/>
      <c r="BD223" s="2194"/>
      <c r="BE223" s="2194"/>
      <c r="BF223" s="2194"/>
      <c r="BG223" s="2194"/>
      <c r="BH223" s="2194"/>
      <c r="BI223" s="2194"/>
      <c r="BJ223" s="2194"/>
      <c r="BK223" s="2194"/>
      <c r="BL223" s="2194"/>
      <c r="BM223" s="2194"/>
      <c r="BN223" s="2194"/>
      <c r="BO223" s="2194"/>
      <c r="BP223" s="2194"/>
      <c r="BQ223" s="2194"/>
      <c r="BR223" s="2194"/>
      <c r="BS223" s="2194"/>
      <c r="BT223" s="2194"/>
      <c r="BU223" s="2194"/>
      <c r="BV223" s="2194"/>
      <c r="BW223" s="2194"/>
      <c r="BX223" s="2194"/>
      <c r="BY223" s="2194"/>
      <c r="BZ223" s="2194"/>
      <c r="CA223" s="2194"/>
      <c r="CB223" s="2195" t="e">
        <f>IF(AND($F223+G223&lt;&gt;0,J223=""),"* No olvide ingresar la variable "&amp;J$217&amp;""&amp;" (Digite CERO si no tiene). ",IF(J223&gt;$F223+$G223,"* La variable Pueblos Originarios no debe ser mayor a la suma de Hombres + Mujeres.",""))</f>
        <v>#VALUE!</v>
      </c>
      <c r="CC223" s="2195" t="e">
        <f>IF(AND($F223+G223&lt;&gt;0,K223=""),"* No olvide ingresar la variable "&amp;K$217&amp;""&amp;" (Digite CERO si no tiene). ",IF(K223&gt;$F223+$G223,"* La variable Migrantes no debe ser mayor a la suma de Hombres + Mujeres. ",""))</f>
        <v>#VALUE!</v>
      </c>
      <c r="CE223" s="2194"/>
      <c r="CF223" s="2194"/>
      <c r="CG223" s="99"/>
      <c r="CH223" s="99"/>
      <c r="CI223" s="99"/>
      <c r="CJ223" s="99"/>
      <c r="CK223" s="99"/>
      <c r="CL223" s="55" t="e">
        <f t="shared" si="58"/>
        <v>#VALUE!</v>
      </c>
      <c r="CM223" s="55" t="e">
        <f t="shared" si="59"/>
        <v>#VALUE!</v>
      </c>
    </row>
    <row r="224" spans="1:91" ht="21" customHeight="1" x14ac:dyDescent="0.25">
      <c r="A224" s="5605" t="s">
        <v>4746</v>
      </c>
      <c r="B224" s="6269"/>
      <c r="C224" s="6123" t="s">
        <v>420</v>
      </c>
      <c r="D224" s="6176" t="s">
        <v>421</v>
      </c>
      <c r="E224" s="6178"/>
      <c r="F224" s="2501" t="s">
        <v>4567</v>
      </c>
      <c r="G224" s="2502" t="s">
        <v>4568</v>
      </c>
      <c r="H224" s="2306" t="s">
        <v>4569</v>
      </c>
      <c r="I224" s="2499" t="s">
        <v>4570</v>
      </c>
      <c r="J224" s="2503" t="s">
        <v>4571</v>
      </c>
      <c r="K224" s="2504" t="s">
        <v>4572</v>
      </c>
      <c r="L224" s="1864" t="e">
        <f t="shared" si="55"/>
        <v>#VALUE!</v>
      </c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2194"/>
      <c r="AN224" s="2194"/>
      <c r="AO224" s="2194"/>
      <c r="AP224" s="2194"/>
      <c r="AQ224" s="2194"/>
      <c r="AR224" s="2194"/>
      <c r="AS224" s="2194"/>
      <c r="AT224" s="2194"/>
      <c r="AU224" s="2194"/>
      <c r="AV224" s="2194"/>
      <c r="AW224" s="2194"/>
      <c r="AX224" s="2194"/>
      <c r="AY224" s="2194"/>
      <c r="AZ224" s="2194"/>
      <c r="BA224" s="2194"/>
      <c r="BB224" s="2194"/>
      <c r="BC224" s="2194"/>
      <c r="BD224" s="2194"/>
      <c r="BE224" s="2194"/>
      <c r="BF224" s="2194"/>
      <c r="BG224" s="2194"/>
      <c r="BH224" s="2194"/>
      <c r="BI224" s="2194"/>
      <c r="BJ224" s="2194"/>
      <c r="BK224" s="2194"/>
      <c r="BL224" s="2194"/>
      <c r="BM224" s="2194"/>
      <c r="BN224" s="2194"/>
      <c r="BO224" s="2194"/>
      <c r="BP224" s="2194"/>
      <c r="BQ224" s="2194"/>
      <c r="BR224" s="2194"/>
      <c r="BS224" s="2194"/>
      <c r="BT224" s="2194"/>
      <c r="BU224" s="2194"/>
      <c r="BV224" s="2194"/>
      <c r="BW224" s="2194"/>
      <c r="BX224" s="2194"/>
      <c r="BY224" s="2194"/>
      <c r="BZ224" s="2194"/>
      <c r="CA224" s="2194"/>
      <c r="CB224" s="2195" t="e">
        <f t="shared" ref="CB224:CB226" si="61">IF(AND($F224+G224&lt;&gt;0,J224=""),"* No olvide ingresar la variable "&amp;J$217&amp;""&amp;" (Digite CERO si no tiene). ",IF(J224&gt;$F224+$G224,"* La variable Pueblos Originarios no debe ser mayor a la suma de Hombres + Mujeres.",""))</f>
        <v>#VALUE!</v>
      </c>
      <c r="CC224" s="2195" t="e">
        <f t="shared" ref="CC224:CC226" si="62">IF(AND($F224+G224&lt;&gt;0,K224=""),"* No olvide ingresar la variable "&amp;K$217&amp;""&amp;" (Digite CERO si no tiene). ",IF(K224&gt;$F224+$G224,"* La variable Migrantes no debe ser mayor a la suma de Hombres + Mujeres. ",""))</f>
        <v>#VALUE!</v>
      </c>
      <c r="CE224" s="2194"/>
      <c r="CF224" s="2194"/>
      <c r="CG224" s="99"/>
      <c r="CH224" s="99"/>
      <c r="CI224" s="99"/>
      <c r="CJ224" s="99"/>
      <c r="CK224" s="99"/>
      <c r="CL224" s="55" t="e">
        <f t="shared" si="58"/>
        <v>#VALUE!</v>
      </c>
      <c r="CM224" s="55" t="e">
        <f t="shared" si="59"/>
        <v>#VALUE!</v>
      </c>
    </row>
    <row r="225" spans="1:91" ht="22.5" customHeight="1" x14ac:dyDescent="0.25">
      <c r="A225" s="5605" t="s">
        <v>4747</v>
      </c>
      <c r="B225" s="6269"/>
      <c r="C225" s="6123"/>
      <c r="D225" s="6271" t="s">
        <v>422</v>
      </c>
      <c r="E225" s="6272"/>
      <c r="F225" s="2505" t="s">
        <v>4567</v>
      </c>
      <c r="G225" s="2502" t="s">
        <v>4568</v>
      </c>
      <c r="H225" s="2306" t="s">
        <v>4569</v>
      </c>
      <c r="I225" s="2499" t="s">
        <v>4570</v>
      </c>
      <c r="J225" s="2506" t="s">
        <v>4571</v>
      </c>
      <c r="K225" s="2507" t="s">
        <v>4572</v>
      </c>
      <c r="L225" s="1864" t="e">
        <f t="shared" si="55"/>
        <v>#VALUE!</v>
      </c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2194"/>
      <c r="AN225" s="2194"/>
      <c r="AO225" s="2194"/>
      <c r="AP225" s="2194"/>
      <c r="AQ225" s="2194"/>
      <c r="AR225" s="2194"/>
      <c r="AS225" s="2194"/>
      <c r="AT225" s="2194"/>
      <c r="AU225" s="2194"/>
      <c r="AV225" s="2194"/>
      <c r="AW225" s="2194"/>
      <c r="AX225" s="2194"/>
      <c r="AY225" s="2194"/>
      <c r="AZ225" s="2194"/>
      <c r="BA225" s="2194"/>
      <c r="BB225" s="2194"/>
      <c r="BC225" s="2194"/>
      <c r="BD225" s="2194"/>
      <c r="BE225" s="2194"/>
      <c r="BF225" s="2194"/>
      <c r="BG225" s="2194"/>
      <c r="BH225" s="2194"/>
      <c r="BI225" s="2194"/>
      <c r="BJ225" s="2194"/>
      <c r="BK225" s="2194"/>
      <c r="BL225" s="2194"/>
      <c r="BM225" s="2194"/>
      <c r="BN225" s="2194"/>
      <c r="BO225" s="2194"/>
      <c r="BP225" s="2194"/>
      <c r="BQ225" s="2194"/>
      <c r="BR225" s="2194"/>
      <c r="BS225" s="2194"/>
      <c r="BT225" s="2194"/>
      <c r="BU225" s="2194"/>
      <c r="BV225" s="2194"/>
      <c r="BW225" s="2194"/>
      <c r="BX225" s="2194"/>
      <c r="BY225" s="2194"/>
      <c r="BZ225" s="2194"/>
      <c r="CA225" s="2194"/>
      <c r="CB225" s="2195" t="e">
        <f t="shared" si="61"/>
        <v>#VALUE!</v>
      </c>
      <c r="CC225" s="2195" t="e">
        <f t="shared" si="62"/>
        <v>#VALUE!</v>
      </c>
      <c r="CE225" s="2194"/>
      <c r="CF225" s="2194"/>
      <c r="CG225" s="99"/>
      <c r="CH225" s="99"/>
      <c r="CI225" s="99"/>
      <c r="CJ225" s="99"/>
      <c r="CK225" s="99"/>
      <c r="CL225" s="55" t="e">
        <f t="shared" si="58"/>
        <v>#VALUE!</v>
      </c>
      <c r="CM225" s="55" t="e">
        <f t="shared" si="59"/>
        <v>#VALUE!</v>
      </c>
    </row>
    <row r="226" spans="1:91" ht="23.25" customHeight="1" x14ac:dyDescent="0.25">
      <c r="A226" s="5605" t="s">
        <v>4748</v>
      </c>
      <c r="B226" s="6269"/>
      <c r="C226" s="2508" t="s">
        <v>423</v>
      </c>
      <c r="D226" s="6273" t="s">
        <v>422</v>
      </c>
      <c r="E226" s="6274"/>
      <c r="F226" s="2509" t="s">
        <v>4567</v>
      </c>
      <c r="G226" s="2510" t="s">
        <v>4568</v>
      </c>
      <c r="H226" s="1908" t="s">
        <v>4569</v>
      </c>
      <c r="I226" s="2511" t="s">
        <v>4570</v>
      </c>
      <c r="J226" s="2512" t="s">
        <v>4571</v>
      </c>
      <c r="K226" s="2510" t="s">
        <v>4572</v>
      </c>
      <c r="L226" s="1864" t="e">
        <f t="shared" si="55"/>
        <v>#VALUE!</v>
      </c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2194"/>
      <c r="AN226" s="2194"/>
      <c r="AO226" s="2194"/>
      <c r="AP226" s="2194"/>
      <c r="AQ226" s="2194"/>
      <c r="AR226" s="2194"/>
      <c r="AS226" s="2194"/>
      <c r="AT226" s="2194"/>
      <c r="AU226" s="2194"/>
      <c r="AV226" s="2194"/>
      <c r="AW226" s="2194"/>
      <c r="AX226" s="2194"/>
      <c r="AY226" s="2194"/>
      <c r="AZ226" s="2194"/>
      <c r="BA226" s="2194"/>
      <c r="BB226" s="2194"/>
      <c r="BC226" s="2194"/>
      <c r="BD226" s="2194"/>
      <c r="BE226" s="2194"/>
      <c r="BF226" s="2194"/>
      <c r="BG226" s="2194"/>
      <c r="BH226" s="2194"/>
      <c r="BI226" s="2194"/>
      <c r="BJ226" s="2194"/>
      <c r="BK226" s="2194"/>
      <c r="BL226" s="2194"/>
      <c r="BM226" s="2194"/>
      <c r="BN226" s="2194"/>
      <c r="BO226" s="2194"/>
      <c r="BP226" s="2194"/>
      <c r="BQ226" s="2194"/>
      <c r="BR226" s="2194"/>
      <c r="BS226" s="2194"/>
      <c r="BT226" s="2194"/>
      <c r="BU226" s="2194"/>
      <c r="BV226" s="2194"/>
      <c r="BW226" s="2194"/>
      <c r="BX226" s="2194"/>
      <c r="BY226" s="2194"/>
      <c r="BZ226" s="2194"/>
      <c r="CA226" s="2194"/>
      <c r="CB226" s="2195" t="e">
        <f t="shared" si="61"/>
        <v>#VALUE!</v>
      </c>
      <c r="CC226" s="2195" t="e">
        <f t="shared" si="62"/>
        <v>#VALUE!</v>
      </c>
      <c r="CE226" s="2194"/>
      <c r="CF226" s="2194"/>
      <c r="CG226" s="99"/>
      <c r="CH226" s="99"/>
      <c r="CI226" s="99"/>
      <c r="CJ226" s="99"/>
      <c r="CK226" s="99"/>
      <c r="CL226" s="55" t="e">
        <f t="shared" si="58"/>
        <v>#VALUE!</v>
      </c>
      <c r="CM226" s="55" t="e">
        <f t="shared" si="59"/>
        <v>#VALUE!</v>
      </c>
    </row>
    <row r="227" spans="1:91" ht="15" customHeight="1" x14ac:dyDescent="0.25">
      <c r="A227" s="5616"/>
      <c r="B227" s="6239" t="s">
        <v>77</v>
      </c>
      <c r="C227" s="6270"/>
      <c r="D227" s="6270"/>
      <c r="E227" s="6240"/>
      <c r="F227" s="2491">
        <f>SUM(F223:F226)</f>
        <v>0</v>
      </c>
      <c r="G227" s="2492">
        <f>SUM(G223:G226)</f>
        <v>0</v>
      </c>
      <c r="H227" s="688"/>
      <c r="I227" s="294"/>
      <c r="J227" s="2495">
        <f t="shared" ref="J227:K227" si="63">SUM(J223:J226)</f>
        <v>0</v>
      </c>
      <c r="K227" s="2496">
        <f t="shared" si="63"/>
        <v>0</v>
      </c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2194"/>
      <c r="AN227" s="2194"/>
      <c r="AO227" s="2194"/>
      <c r="AP227" s="2194"/>
      <c r="AQ227" s="2194"/>
      <c r="AR227" s="2194"/>
      <c r="AS227" s="2194"/>
      <c r="AT227" s="2194"/>
      <c r="AU227" s="2194"/>
      <c r="AV227" s="2194"/>
      <c r="AW227" s="2194"/>
      <c r="AX227" s="2194"/>
      <c r="AY227" s="2194"/>
      <c r="AZ227" s="2194"/>
      <c r="BA227" s="2194"/>
      <c r="BB227" s="2194"/>
      <c r="BC227" s="2194"/>
      <c r="BD227" s="2194"/>
      <c r="BE227" s="2194"/>
      <c r="BF227" s="2194"/>
      <c r="BG227" s="2194"/>
      <c r="BH227" s="2194"/>
      <c r="BI227" s="2194"/>
      <c r="BJ227" s="2194"/>
      <c r="BK227" s="2194"/>
      <c r="BL227" s="2194"/>
      <c r="BM227" s="2194"/>
      <c r="BN227" s="2194"/>
      <c r="BO227" s="2194"/>
      <c r="BP227" s="2194"/>
      <c r="BQ227" s="2194"/>
      <c r="BR227" s="2194"/>
      <c r="BS227" s="2194"/>
      <c r="BT227" s="2194"/>
      <c r="BU227" s="2194"/>
      <c r="BV227" s="2194"/>
      <c r="BW227" s="2194"/>
      <c r="BX227" s="2194"/>
      <c r="BY227" s="2194"/>
      <c r="BZ227" s="2194"/>
      <c r="CA227" s="2194"/>
      <c r="CB227" s="2194"/>
      <c r="CC227" s="2194"/>
      <c r="CD227" s="2194"/>
      <c r="CE227" s="2194"/>
    </row>
    <row r="228" spans="1:91" ht="18" customHeight="1" x14ac:dyDescent="0.25">
      <c r="B228" s="144" t="s">
        <v>4413</v>
      </c>
      <c r="C228" s="144"/>
      <c r="D228" s="144"/>
      <c r="E228" s="2513"/>
      <c r="F228" s="2513"/>
      <c r="G228" s="2513"/>
      <c r="H228" s="2514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2194"/>
      <c r="AN228" s="2194"/>
      <c r="AO228" s="2194"/>
      <c r="AP228" s="2194"/>
      <c r="AQ228" s="2194"/>
      <c r="AR228" s="2194"/>
      <c r="AS228" s="2194"/>
      <c r="AT228" s="2194"/>
      <c r="AU228" s="2194"/>
      <c r="AV228" s="2194"/>
      <c r="AW228" s="2194"/>
      <c r="AX228" s="2194"/>
      <c r="AY228" s="2194"/>
      <c r="AZ228" s="2194"/>
      <c r="BA228" s="2194"/>
      <c r="BB228" s="2194"/>
      <c r="BC228" s="2194"/>
      <c r="BD228" s="2194"/>
      <c r="BE228" s="2194"/>
      <c r="BF228" s="2194"/>
      <c r="BG228" s="2194"/>
      <c r="BH228" s="2194"/>
      <c r="BI228" s="2194"/>
      <c r="BJ228" s="2194"/>
      <c r="BK228" s="2194"/>
      <c r="BL228" s="2194"/>
      <c r="BM228" s="2194"/>
      <c r="BN228" s="2194"/>
      <c r="BO228" s="2194"/>
      <c r="BP228" s="2194"/>
      <c r="BQ228" s="2194"/>
      <c r="BR228" s="2194"/>
      <c r="BS228" s="2194"/>
      <c r="BT228" s="2194"/>
      <c r="BU228" s="2194"/>
      <c r="BV228" s="2194"/>
      <c r="BW228" s="2194"/>
      <c r="BX228" s="2194"/>
      <c r="BY228" s="2194"/>
      <c r="BZ228" s="2194"/>
      <c r="CA228" s="2194"/>
      <c r="CB228" s="2194"/>
      <c r="CC228" s="2194"/>
      <c r="CD228" s="2194"/>
      <c r="CE228" s="2194"/>
    </row>
    <row r="229" spans="1:91" ht="24.75" customHeight="1" x14ac:dyDescent="0.25">
      <c r="B229" s="6239" t="s">
        <v>393</v>
      </c>
      <c r="C229" s="6240"/>
      <c r="D229" s="2490" t="s">
        <v>58</v>
      </c>
      <c r="E229" s="2515" t="s">
        <v>59</v>
      </c>
      <c r="F229" s="2516" t="s">
        <v>36</v>
      </c>
      <c r="G229" s="2517" t="s">
        <v>37</v>
      </c>
      <c r="H229" s="2514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2194"/>
      <c r="AN229" s="2194"/>
      <c r="AO229" s="2194"/>
      <c r="AP229" s="2194"/>
      <c r="AQ229" s="2194"/>
      <c r="AR229" s="2194"/>
      <c r="AS229" s="2194"/>
      <c r="AT229" s="2194"/>
      <c r="AU229" s="2194"/>
      <c r="AV229" s="2194"/>
      <c r="AW229" s="2194"/>
      <c r="AX229" s="2194"/>
      <c r="AY229" s="2194"/>
      <c r="AZ229" s="2194"/>
      <c r="BA229" s="2194"/>
      <c r="BB229" s="2194"/>
      <c r="BC229" s="2194"/>
      <c r="BD229" s="2194"/>
      <c r="BE229" s="2194"/>
      <c r="BF229" s="2194"/>
      <c r="BG229" s="2194"/>
      <c r="BH229" s="2194"/>
      <c r="BI229" s="2194"/>
      <c r="BJ229" s="2194"/>
      <c r="BK229" s="2194"/>
      <c r="BL229" s="2194"/>
      <c r="BM229" s="2194"/>
      <c r="BN229" s="2194"/>
      <c r="BO229" s="2194"/>
      <c r="BP229" s="2194"/>
      <c r="BQ229" s="2194"/>
      <c r="BR229" s="2194"/>
      <c r="BS229" s="2194"/>
      <c r="BT229" s="2194"/>
      <c r="BU229" s="2194"/>
      <c r="BV229" s="2194"/>
      <c r="BW229" s="2194"/>
      <c r="BX229" s="2194"/>
      <c r="BY229" s="2194"/>
      <c r="BZ229" s="2194"/>
      <c r="CA229" s="2194"/>
      <c r="CB229" s="2194"/>
      <c r="CC229" s="2194"/>
      <c r="CD229" s="2194"/>
      <c r="CE229" s="2194"/>
    </row>
    <row r="230" spans="1:91" ht="21" x14ac:dyDescent="0.25">
      <c r="A230" s="5605" t="s">
        <v>4749</v>
      </c>
      <c r="B230" s="6122" t="s">
        <v>424</v>
      </c>
      <c r="C230" s="2518" t="s">
        <v>421</v>
      </c>
      <c r="D230" s="2519" t="s">
        <v>4567</v>
      </c>
      <c r="E230" s="2520" t="s">
        <v>4568</v>
      </c>
      <c r="F230" s="2521" t="s">
        <v>4569</v>
      </c>
      <c r="G230" s="2522" t="s">
        <v>4570</v>
      </c>
      <c r="H230" s="1864" t="e">
        <f>$CC230&amp;CB230</f>
        <v>#VALUE!</v>
      </c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2194"/>
      <c r="AN230" s="2194"/>
      <c r="AO230" s="2194"/>
      <c r="AP230" s="2194"/>
      <c r="AQ230" s="2194"/>
      <c r="AR230" s="2194"/>
      <c r="AS230" s="2194"/>
      <c r="AT230" s="2194"/>
      <c r="AU230" s="2194"/>
      <c r="AV230" s="2194"/>
      <c r="AW230" s="2194"/>
      <c r="AX230" s="2194"/>
      <c r="AY230" s="2194"/>
      <c r="AZ230" s="2194"/>
      <c r="BA230" s="2194"/>
      <c r="BB230" s="2194"/>
      <c r="BC230" s="2194"/>
      <c r="BD230" s="2194"/>
      <c r="BE230" s="2194"/>
      <c r="BF230" s="2194"/>
      <c r="BG230" s="2194"/>
      <c r="BH230" s="2194"/>
      <c r="BI230" s="2194"/>
      <c r="BJ230" s="2194"/>
      <c r="BK230" s="2194"/>
      <c r="BL230" s="2194"/>
      <c r="BM230" s="2194"/>
      <c r="BN230" s="2194"/>
      <c r="BO230" s="2194"/>
      <c r="BP230" s="2194"/>
      <c r="BQ230" s="2194"/>
      <c r="BR230" s="2194"/>
      <c r="BS230" s="2194"/>
      <c r="BT230" s="2194"/>
      <c r="BU230" s="2194"/>
      <c r="BV230" s="2194"/>
      <c r="BW230" s="2194"/>
      <c r="BX230" s="2194"/>
      <c r="BY230" s="2194"/>
      <c r="BZ230" s="2194"/>
      <c r="CA230" s="2194"/>
      <c r="CB230" s="2195" t="e">
        <f>IF(AND($D230+E230&lt;&gt;0,F230=""),"* No olvide ingresar la variable "&amp;F$229&amp;""&amp;" (Digite CERO si no tiene). ",IF(F230&gt;$D230+$E230,"* La variable Pueblos Originarios no debe ser mayor a la suma de Hombres + Mujeres.",""))</f>
        <v>#VALUE!</v>
      </c>
      <c r="CC230" s="2195" t="e">
        <f>IF(AND($D230+E230&lt;&gt;0,G230=""),"* No olvide ingresar la variable "&amp;G$229&amp;""&amp;" (Digite CERO si no tiene). ",IF(G230&gt;$D230+$E230,"* La variable Migrantes no debe ser mayor a la suma de Hombres + Mujeres.",""))</f>
        <v>#VALUE!</v>
      </c>
      <c r="CE230" s="2194"/>
      <c r="CF230" s="2194"/>
      <c r="CG230" s="99"/>
      <c r="CH230" s="99"/>
      <c r="CI230" s="99"/>
      <c r="CJ230" s="99"/>
      <c r="CK230" s="99"/>
      <c r="CL230" s="55" t="e">
        <f>IF(AND($D230+$E230&lt;&gt;0,F230=""),1,IF(F230&gt;$D230+$E230,1,0))</f>
        <v>#VALUE!</v>
      </c>
      <c r="CM230" s="55" t="e">
        <f>IF(AND($D230+$E230&lt;&gt;0,G230=""),1,IF(G230&gt;$D230+$E230,1,0))</f>
        <v>#VALUE!</v>
      </c>
    </row>
    <row r="231" spans="1:91" ht="21" x14ac:dyDescent="0.25">
      <c r="A231" s="5605" t="s">
        <v>4750</v>
      </c>
      <c r="B231" s="6124"/>
      <c r="C231" s="2523" t="s">
        <v>422</v>
      </c>
      <c r="D231" s="2524" t="s">
        <v>4567</v>
      </c>
      <c r="E231" s="2525" t="s">
        <v>4568</v>
      </c>
      <c r="F231" s="2526" t="s">
        <v>4569</v>
      </c>
      <c r="G231" s="2527" t="s">
        <v>4570</v>
      </c>
      <c r="H231" s="1864" t="e">
        <f>$CC231&amp;CB231</f>
        <v>#VALUE!</v>
      </c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2194"/>
      <c r="AN231" s="2194"/>
      <c r="AO231" s="2194"/>
      <c r="AP231" s="2194"/>
      <c r="AQ231" s="2194"/>
      <c r="AR231" s="2194"/>
      <c r="AS231" s="2194"/>
      <c r="AT231" s="2194"/>
      <c r="AU231" s="2194"/>
      <c r="AV231" s="2194"/>
      <c r="AW231" s="2194"/>
      <c r="AX231" s="2194"/>
      <c r="AY231" s="2194"/>
      <c r="AZ231" s="2194"/>
      <c r="BA231" s="2194"/>
      <c r="BB231" s="2194"/>
      <c r="BC231" s="2194"/>
      <c r="BD231" s="2194"/>
      <c r="BE231" s="2194"/>
      <c r="BF231" s="2194"/>
      <c r="BG231" s="2194"/>
      <c r="BH231" s="2194"/>
      <c r="BI231" s="2194"/>
      <c r="BJ231" s="2194"/>
      <c r="BK231" s="2194"/>
      <c r="BL231" s="2194"/>
      <c r="BM231" s="2194"/>
      <c r="BN231" s="2194"/>
      <c r="BO231" s="2194"/>
      <c r="BP231" s="2194"/>
      <c r="BQ231" s="2194"/>
      <c r="BR231" s="2194"/>
      <c r="BS231" s="2194"/>
      <c r="BT231" s="2194"/>
      <c r="BU231" s="2194"/>
      <c r="BV231" s="2194"/>
      <c r="BW231" s="2194"/>
      <c r="BX231" s="2194"/>
      <c r="BY231" s="2194"/>
      <c r="BZ231" s="2194"/>
      <c r="CA231" s="2194"/>
      <c r="CB231" s="2195" t="e">
        <f>IF(AND($D231+E231&lt;&gt;0,F231=""),"* No olvide ingresar la variable "&amp;F$229&amp;""&amp;" (Digite CERO si no tiene). ",IF(F231&gt;$D231+$E231,"* La variable Pueblos Originarios no debe ser mayor a la suma de Hombres + Mujeres.",""))</f>
        <v>#VALUE!</v>
      </c>
      <c r="CC231" s="2195" t="e">
        <f>IF(AND($D231+E231&lt;&gt;0,G231=""),"* No olvide ingresar la variable "&amp;G$229&amp;""&amp;" (Digite CERO si no tiene). ",IF(G231&gt;$D231+$E231,"* La variable Migrantes no debe ser mayor a la suma de Hombres + Mujeres.",""))</f>
        <v>#VALUE!</v>
      </c>
      <c r="CE231" s="2194"/>
      <c r="CF231" s="2194"/>
      <c r="CG231" s="99"/>
      <c r="CH231" s="99"/>
      <c r="CI231" s="99"/>
      <c r="CJ231" s="99"/>
      <c r="CK231" s="99"/>
      <c r="CL231" s="55" t="e">
        <f>IF(AND($D231+$E231&lt;&gt;0,F231=""),1,IF(F231&gt;$D231+$E231,1,0))</f>
        <v>#VALUE!</v>
      </c>
      <c r="CM231" s="55" t="e">
        <f>IF(AND($D231+$E231&lt;&gt;0,G231=""),1,IF(G231&gt;$D231+$E231,1,0))</f>
        <v>#VALUE!</v>
      </c>
    </row>
    <row r="232" spans="1:91" ht="15" customHeight="1" x14ac:dyDescent="0.25">
      <c r="A232" s="5616"/>
      <c r="B232" s="6239" t="s">
        <v>77</v>
      </c>
      <c r="C232" s="6240"/>
      <c r="D232" s="2528">
        <f>SUM(D230:D231)</f>
        <v>0</v>
      </c>
      <c r="E232" s="2529">
        <f t="shared" ref="E232:G232" si="64">SUM(E230:E231)</f>
        <v>0</v>
      </c>
      <c r="F232" s="2530">
        <f t="shared" si="64"/>
        <v>0</v>
      </c>
      <c r="G232" s="2531">
        <f t="shared" si="64"/>
        <v>0</v>
      </c>
      <c r="H232" s="2514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2194"/>
      <c r="AN232" s="2194"/>
      <c r="AO232" s="2194"/>
      <c r="AP232" s="2194"/>
      <c r="AQ232" s="2194"/>
      <c r="AR232" s="2194"/>
      <c r="AS232" s="2194"/>
      <c r="AT232" s="2194"/>
      <c r="AU232" s="2194"/>
      <c r="AV232" s="2194"/>
      <c r="AW232" s="2194"/>
      <c r="AX232" s="2194"/>
      <c r="AY232" s="2194"/>
      <c r="AZ232" s="2194"/>
      <c r="BA232" s="2194"/>
      <c r="BB232" s="2194"/>
      <c r="BC232" s="2194"/>
      <c r="BD232" s="2194"/>
      <c r="BE232" s="2194"/>
      <c r="BF232" s="2194"/>
      <c r="BG232" s="2194"/>
      <c r="BH232" s="2194"/>
      <c r="BI232" s="2194"/>
      <c r="BJ232" s="2194"/>
      <c r="BK232" s="2194"/>
      <c r="BL232" s="2194"/>
      <c r="BM232" s="2194"/>
      <c r="BN232" s="2194"/>
      <c r="BO232" s="2194"/>
      <c r="BP232" s="2194"/>
      <c r="BQ232" s="2194"/>
      <c r="BR232" s="2194"/>
      <c r="BS232" s="2194"/>
      <c r="BT232" s="2194"/>
      <c r="BU232" s="2194"/>
      <c r="BV232" s="2194"/>
      <c r="BW232" s="2194"/>
      <c r="BX232" s="2194"/>
      <c r="BY232" s="2194"/>
      <c r="BZ232" s="2194"/>
      <c r="CA232" s="2194"/>
      <c r="CB232" s="2194"/>
      <c r="CC232" s="2194"/>
      <c r="CD232" s="2194"/>
      <c r="CE232" s="2194"/>
    </row>
    <row r="233" spans="1:91" ht="18" customHeight="1" x14ac:dyDescent="0.25">
      <c r="A233" s="5548"/>
      <c r="B233" s="3" t="s">
        <v>425</v>
      </c>
      <c r="C233" s="91"/>
      <c r="D233" s="91"/>
      <c r="E233" s="2150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2194"/>
      <c r="AN233" s="2194"/>
      <c r="AO233" s="2194"/>
      <c r="AP233" s="2194"/>
      <c r="AQ233" s="2194"/>
      <c r="AR233" s="2194"/>
      <c r="AS233" s="2194"/>
      <c r="AT233" s="2194"/>
      <c r="AU233" s="2194"/>
      <c r="AV233" s="2194"/>
      <c r="AW233" s="2194"/>
      <c r="AX233" s="2194"/>
      <c r="AY233" s="2194"/>
      <c r="AZ233" s="2194"/>
      <c r="BA233" s="2194"/>
      <c r="BB233" s="2194"/>
      <c r="BC233" s="2194"/>
      <c r="BD233" s="2194"/>
      <c r="BE233" s="2194"/>
      <c r="BF233" s="2194"/>
      <c r="BG233" s="2194"/>
      <c r="BH233" s="2194"/>
      <c r="BI233" s="2194"/>
      <c r="BJ233" s="2194"/>
      <c r="BK233" s="2194"/>
      <c r="BL233" s="2194"/>
      <c r="BM233" s="2194"/>
      <c r="BN233" s="2194"/>
      <c r="BO233" s="2194"/>
      <c r="BP233" s="2194"/>
      <c r="BQ233" s="2194"/>
      <c r="BR233" s="2194"/>
      <c r="BS233" s="2194"/>
      <c r="BT233" s="2194"/>
      <c r="BU233" s="2194"/>
      <c r="BV233" s="2194"/>
      <c r="BW233" s="2194"/>
      <c r="BX233" s="2194"/>
      <c r="BY233" s="2194"/>
      <c r="BZ233" s="2194"/>
      <c r="CA233" s="2194"/>
      <c r="CB233" s="2194"/>
      <c r="CC233" s="2194"/>
      <c r="CD233" s="2194"/>
      <c r="CE233" s="2194"/>
    </row>
    <row r="234" spans="1:91" ht="21.75" customHeight="1" x14ac:dyDescent="0.25">
      <c r="A234" s="5548"/>
      <c r="B234" s="6254" t="s">
        <v>426</v>
      </c>
      <c r="C234" s="6255"/>
      <c r="D234" s="6155" t="s">
        <v>427</v>
      </c>
      <c r="E234" s="6260"/>
      <c r="F234" s="615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2194"/>
      <c r="AN234" s="2194"/>
      <c r="AO234" s="2194"/>
      <c r="AP234" s="2194"/>
      <c r="AQ234" s="2194"/>
      <c r="AR234" s="2194"/>
      <c r="AS234" s="2194"/>
      <c r="AT234" s="2194"/>
      <c r="AU234" s="2194"/>
      <c r="AV234" s="2194"/>
      <c r="AW234" s="2194"/>
      <c r="AX234" s="2194"/>
      <c r="AY234" s="2194"/>
      <c r="AZ234" s="2194"/>
      <c r="BA234" s="2194"/>
      <c r="BB234" s="2194"/>
      <c r="BC234" s="2194"/>
      <c r="BD234" s="2194"/>
      <c r="BE234" s="2194"/>
      <c r="BF234" s="2194"/>
      <c r="BG234" s="2194"/>
      <c r="BH234" s="2194"/>
      <c r="BI234" s="2194"/>
      <c r="BJ234" s="2194"/>
      <c r="BK234" s="2194"/>
      <c r="BL234" s="2194"/>
      <c r="BM234" s="2194"/>
      <c r="BN234" s="2194"/>
      <c r="BO234" s="2194"/>
      <c r="BP234" s="2194"/>
      <c r="BQ234" s="2194"/>
      <c r="BR234" s="2194"/>
      <c r="BS234" s="2194"/>
      <c r="BT234" s="2194"/>
      <c r="BU234" s="2194"/>
      <c r="BV234" s="2194"/>
      <c r="BW234" s="2194"/>
      <c r="BX234" s="2194"/>
      <c r="BY234" s="2194"/>
      <c r="BZ234" s="2194"/>
      <c r="CA234" s="2194"/>
      <c r="CB234" s="2194"/>
      <c r="CC234" s="2194"/>
      <c r="CD234" s="2194"/>
      <c r="CE234" s="2194"/>
    </row>
    <row r="235" spans="1:91" ht="15" customHeight="1" x14ac:dyDescent="0.25">
      <c r="A235" s="5548"/>
      <c r="B235" s="6256"/>
      <c r="C235" s="6257"/>
      <c r="D235" s="6261" t="s">
        <v>428</v>
      </c>
      <c r="E235" s="6155" t="s">
        <v>429</v>
      </c>
      <c r="F235" s="615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2194"/>
      <c r="AN235" s="2194"/>
      <c r="AO235" s="2194"/>
      <c r="AP235" s="2194"/>
      <c r="AQ235" s="2194"/>
      <c r="AR235" s="2194"/>
      <c r="AS235" s="2194"/>
      <c r="AT235" s="2194"/>
      <c r="AU235" s="2194"/>
      <c r="AV235" s="2194"/>
      <c r="AW235" s="2194"/>
      <c r="AX235" s="2194"/>
      <c r="AY235" s="2194"/>
      <c r="AZ235" s="2194"/>
      <c r="BA235" s="2194"/>
      <c r="BB235" s="2194"/>
      <c r="BC235" s="2194"/>
      <c r="BD235" s="2194"/>
      <c r="BE235" s="2194"/>
      <c r="BF235" s="2194"/>
      <c r="BG235" s="2194"/>
      <c r="BH235" s="2194"/>
      <c r="BI235" s="2194"/>
      <c r="BJ235" s="2194"/>
      <c r="BK235" s="2194"/>
      <c r="BL235" s="2194"/>
      <c r="BM235" s="2194"/>
      <c r="BN235" s="2194"/>
      <c r="BO235" s="2194"/>
      <c r="BP235" s="2194"/>
      <c r="BQ235" s="2194"/>
      <c r="BR235" s="2194"/>
      <c r="BS235" s="2194"/>
      <c r="BT235" s="2194"/>
      <c r="BU235" s="2194"/>
      <c r="BV235" s="2194"/>
      <c r="BW235" s="2194"/>
      <c r="BX235" s="2194"/>
      <c r="BY235" s="2194"/>
      <c r="BZ235" s="2194"/>
      <c r="CA235" s="2194"/>
      <c r="CB235" s="2194"/>
      <c r="CC235" s="2194"/>
      <c r="CD235" s="2194"/>
      <c r="CE235" s="2194"/>
    </row>
    <row r="236" spans="1:91" ht="15" customHeight="1" x14ac:dyDescent="0.25">
      <c r="A236" s="5548"/>
      <c r="B236" s="6258"/>
      <c r="C236" s="6259"/>
      <c r="D236" s="6262"/>
      <c r="E236" s="2532" t="s">
        <v>430</v>
      </c>
      <c r="F236" s="2418" t="s">
        <v>431</v>
      </c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2194"/>
      <c r="AN236" s="2194"/>
    </row>
    <row r="237" spans="1:91" ht="15" customHeight="1" x14ac:dyDescent="0.25">
      <c r="A237" s="5601" t="s">
        <v>4751</v>
      </c>
      <c r="B237" s="6263" t="s">
        <v>432</v>
      </c>
      <c r="C237" s="6264"/>
      <c r="D237" s="2533" t="s">
        <v>4567</v>
      </c>
      <c r="E237" s="2424" t="s">
        <v>4568</v>
      </c>
      <c r="F237" s="2426" t="s">
        <v>4569</v>
      </c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2194"/>
      <c r="AN237" s="2194"/>
    </row>
    <row r="238" spans="1:91" ht="15" customHeight="1" x14ac:dyDescent="0.25">
      <c r="A238" s="5601" t="s">
        <v>4752</v>
      </c>
      <c r="B238" s="6265" t="s">
        <v>433</v>
      </c>
      <c r="C238" s="6266"/>
      <c r="D238" s="2534" t="s">
        <v>4567</v>
      </c>
      <c r="E238" s="2535" t="s">
        <v>4568</v>
      </c>
      <c r="F238" s="2467" t="s">
        <v>4569</v>
      </c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2194"/>
      <c r="AN238" s="2194"/>
    </row>
    <row r="239" spans="1:91" ht="18" customHeight="1" x14ac:dyDescent="0.25">
      <c r="A239" s="5601" t="s">
        <v>4753</v>
      </c>
      <c r="B239" s="6265" t="s">
        <v>434</v>
      </c>
      <c r="C239" s="6266"/>
      <c r="D239" s="2535" t="s">
        <v>4567</v>
      </c>
      <c r="E239" s="2535" t="s">
        <v>4568</v>
      </c>
      <c r="F239" s="2467" t="s">
        <v>4569</v>
      </c>
    </row>
    <row r="240" spans="1:91" ht="15" customHeight="1" x14ac:dyDescent="0.25">
      <c r="A240" s="5601" t="s">
        <v>4754</v>
      </c>
      <c r="B240" s="6265" t="s">
        <v>435</v>
      </c>
      <c r="C240" s="6266"/>
      <c r="D240" s="2535" t="s">
        <v>4567</v>
      </c>
      <c r="E240" s="2535" t="s">
        <v>4568</v>
      </c>
      <c r="F240" s="2467" t="s">
        <v>4569</v>
      </c>
    </row>
    <row r="241" spans="1:28" ht="15" customHeight="1" x14ac:dyDescent="0.25">
      <c r="A241" s="5601" t="s">
        <v>4755</v>
      </c>
      <c r="B241" s="6267" t="s">
        <v>436</v>
      </c>
      <c r="C241" s="6268"/>
      <c r="D241" s="2536" t="s">
        <v>4567</v>
      </c>
      <c r="E241" s="2537" t="s">
        <v>4568</v>
      </c>
      <c r="F241" s="2473" t="s">
        <v>4569</v>
      </c>
    </row>
    <row r="242" spans="1:28" ht="18" customHeight="1" x14ac:dyDescent="0.25">
      <c r="B242" s="6125" t="s">
        <v>437</v>
      </c>
      <c r="C242" s="6125"/>
      <c r="D242" s="6125"/>
      <c r="E242" s="6125"/>
      <c r="F242" s="6125"/>
      <c r="G242" s="6125"/>
      <c r="H242" s="6125"/>
      <c r="I242" s="6125"/>
      <c r="J242" s="6125"/>
      <c r="K242" s="6125"/>
      <c r="L242" s="6125"/>
      <c r="M242" s="6125"/>
      <c r="N242" s="6125"/>
      <c r="O242" s="2538"/>
      <c r="P242" s="2538"/>
      <c r="Q242" s="2538"/>
      <c r="R242" s="2538"/>
      <c r="S242" s="2538"/>
      <c r="T242" s="2538"/>
      <c r="U242" s="2538"/>
      <c r="V242" s="2538"/>
      <c r="W242" s="2538"/>
      <c r="X242" s="2538"/>
      <c r="Y242" s="2538"/>
      <c r="Z242" s="2538"/>
    </row>
    <row r="243" spans="1:28" ht="15" customHeight="1" x14ac:dyDescent="0.25">
      <c r="B243" s="6126" t="s">
        <v>301</v>
      </c>
      <c r="C243" s="6127"/>
      <c r="D243" s="6132" t="s">
        <v>302</v>
      </c>
      <c r="E243" s="6133"/>
      <c r="F243" s="6133"/>
      <c r="G243" s="6137" t="s">
        <v>101</v>
      </c>
      <c r="H243" s="6138"/>
      <c r="I243" s="6138"/>
      <c r="J243" s="6138"/>
      <c r="K243" s="6138"/>
      <c r="L243" s="6138"/>
      <c r="M243" s="6138"/>
      <c r="N243" s="6138"/>
      <c r="O243" s="6138"/>
      <c r="P243" s="6138"/>
      <c r="Q243" s="6138"/>
      <c r="R243" s="6138"/>
      <c r="S243" s="6138"/>
      <c r="T243" s="6138"/>
      <c r="U243" s="6138"/>
      <c r="V243" s="6138"/>
      <c r="W243" s="6138"/>
      <c r="X243" s="6138"/>
      <c r="Y243" s="6138"/>
      <c r="Z243" s="6138"/>
      <c r="AA243" s="6138"/>
      <c r="AB243" s="6139"/>
    </row>
    <row r="244" spans="1:28" ht="15" customHeight="1" x14ac:dyDescent="0.25">
      <c r="B244" s="6128"/>
      <c r="C244" s="6129"/>
      <c r="D244" s="6134"/>
      <c r="E244" s="6135"/>
      <c r="F244" s="6136"/>
      <c r="G244" s="6140" t="s">
        <v>326</v>
      </c>
      <c r="H244" s="6136"/>
      <c r="I244" s="6140" t="s">
        <v>94</v>
      </c>
      <c r="J244" s="6136"/>
      <c r="K244" s="6140" t="s">
        <v>44</v>
      </c>
      <c r="L244" s="6136"/>
      <c r="M244" s="6140" t="s">
        <v>45</v>
      </c>
      <c r="N244" s="6136"/>
      <c r="O244" s="6140" t="s">
        <v>46</v>
      </c>
      <c r="P244" s="6136"/>
      <c r="Q244" s="6140" t="s">
        <v>438</v>
      </c>
      <c r="R244" s="6136"/>
      <c r="S244" s="6140" t="s">
        <v>439</v>
      </c>
      <c r="T244" s="6136"/>
      <c r="U244" s="6140" t="s">
        <v>53</v>
      </c>
      <c r="V244" s="6136"/>
      <c r="W244" s="6140" t="s">
        <v>54</v>
      </c>
      <c r="X244" s="6136"/>
      <c r="Y244" s="6140" t="s">
        <v>328</v>
      </c>
      <c r="Z244" s="6136"/>
      <c r="AA244" s="6140" t="s">
        <v>57</v>
      </c>
      <c r="AB244" s="6136"/>
    </row>
    <row r="245" spans="1:28" ht="15" customHeight="1" x14ac:dyDescent="0.25">
      <c r="B245" s="6130"/>
      <c r="C245" s="6131"/>
      <c r="D245" s="2539" t="s">
        <v>79</v>
      </c>
      <c r="E245" s="2540" t="s">
        <v>58</v>
      </c>
      <c r="F245" s="2541" t="s">
        <v>59</v>
      </c>
      <c r="G245" s="2542" t="s">
        <v>58</v>
      </c>
      <c r="H245" s="2543" t="s">
        <v>59</v>
      </c>
      <c r="I245" s="2542" t="s">
        <v>58</v>
      </c>
      <c r="J245" s="2544" t="s">
        <v>59</v>
      </c>
      <c r="K245" s="2542" t="s">
        <v>58</v>
      </c>
      <c r="L245" s="2544" t="s">
        <v>59</v>
      </c>
      <c r="M245" s="2542" t="s">
        <v>58</v>
      </c>
      <c r="N245" s="2544" t="s">
        <v>59</v>
      </c>
      <c r="O245" s="2542" t="s">
        <v>58</v>
      </c>
      <c r="P245" s="2544" t="s">
        <v>59</v>
      </c>
      <c r="Q245" s="2542" t="s">
        <v>58</v>
      </c>
      <c r="R245" s="2544" t="s">
        <v>59</v>
      </c>
      <c r="S245" s="2542" t="s">
        <v>58</v>
      </c>
      <c r="T245" s="2544" t="s">
        <v>59</v>
      </c>
      <c r="U245" s="2542" t="s">
        <v>58</v>
      </c>
      <c r="V245" s="2544" t="s">
        <v>59</v>
      </c>
      <c r="W245" s="2542" t="s">
        <v>58</v>
      </c>
      <c r="X245" s="2544" t="s">
        <v>59</v>
      </c>
      <c r="Y245" s="2542" t="s">
        <v>58</v>
      </c>
      <c r="Z245" s="2544" t="s">
        <v>59</v>
      </c>
      <c r="AA245" s="2542" t="s">
        <v>58</v>
      </c>
      <c r="AB245" s="2544" t="s">
        <v>59</v>
      </c>
    </row>
    <row r="246" spans="1:28" ht="15" customHeight="1" x14ac:dyDescent="0.25">
      <c r="A246" s="5601" t="s">
        <v>4756</v>
      </c>
      <c r="B246" s="6252" t="s">
        <v>440</v>
      </c>
      <c r="C246" s="6253"/>
      <c r="D246" s="2545" t="s">
        <v>4567</v>
      </c>
      <c r="E246" s="2546" t="s">
        <v>4568</v>
      </c>
      <c r="F246" s="2547" t="s">
        <v>4569</v>
      </c>
      <c r="G246" s="2548" t="s">
        <v>4570</v>
      </c>
      <c r="H246" s="2549" t="s">
        <v>4571</v>
      </c>
      <c r="I246" s="2550" t="s">
        <v>4572</v>
      </c>
      <c r="J246" s="2551" t="s">
        <v>4573</v>
      </c>
      <c r="K246" s="2550" t="s">
        <v>4574</v>
      </c>
      <c r="L246" s="2551" t="s">
        <v>4575</v>
      </c>
      <c r="M246" s="2550" t="s">
        <v>4576</v>
      </c>
      <c r="N246" s="2551" t="s">
        <v>4577</v>
      </c>
      <c r="O246" s="2550" t="s">
        <v>4578</v>
      </c>
      <c r="P246" s="2551" t="s">
        <v>4579</v>
      </c>
      <c r="Q246" s="2550" t="s">
        <v>4580</v>
      </c>
      <c r="R246" s="2551" t="s">
        <v>4581</v>
      </c>
      <c r="S246" s="2550" t="s">
        <v>4582</v>
      </c>
      <c r="T246" s="2551" t="s">
        <v>4583</v>
      </c>
      <c r="U246" s="2550" t="s">
        <v>4584</v>
      </c>
      <c r="V246" s="2551" t="s">
        <v>4585</v>
      </c>
      <c r="W246" s="2550" t="s">
        <v>4586</v>
      </c>
      <c r="X246" s="2551" t="s">
        <v>4587</v>
      </c>
      <c r="Y246" s="2550" t="s">
        <v>4588</v>
      </c>
      <c r="Z246" s="2551" t="s">
        <v>4589</v>
      </c>
      <c r="AA246" s="2550" t="s">
        <v>4590</v>
      </c>
      <c r="AB246" s="2551" t="s">
        <v>4591</v>
      </c>
    </row>
    <row r="247" spans="1:28" ht="15" customHeight="1" x14ac:dyDescent="0.25">
      <c r="A247" s="5601" t="s">
        <v>4757</v>
      </c>
      <c r="B247" s="6247" t="s">
        <v>441</v>
      </c>
      <c r="C247" s="6248"/>
      <c r="D247" s="2552" t="s">
        <v>4567</v>
      </c>
      <c r="E247" s="2553" t="s">
        <v>4568</v>
      </c>
      <c r="F247" s="2554" t="s">
        <v>4569</v>
      </c>
      <c r="G247" s="2555" t="s">
        <v>4570</v>
      </c>
      <c r="H247" s="2556" t="s">
        <v>4571</v>
      </c>
      <c r="I247" s="2557" t="s">
        <v>4572</v>
      </c>
      <c r="J247" s="2558" t="s">
        <v>4573</v>
      </c>
      <c r="K247" s="2559" t="s">
        <v>4574</v>
      </c>
      <c r="L247" s="2556" t="s">
        <v>4575</v>
      </c>
      <c r="M247" s="2559" t="s">
        <v>4576</v>
      </c>
      <c r="N247" s="2556" t="s">
        <v>4577</v>
      </c>
      <c r="O247" s="2559" t="s">
        <v>4578</v>
      </c>
      <c r="P247" s="2556" t="s">
        <v>4579</v>
      </c>
      <c r="Q247" s="2559" t="s">
        <v>4580</v>
      </c>
      <c r="R247" s="2556" t="s">
        <v>4581</v>
      </c>
      <c r="S247" s="2559" t="s">
        <v>4582</v>
      </c>
      <c r="T247" s="2556" t="s">
        <v>4583</v>
      </c>
      <c r="U247" s="2559" t="s">
        <v>4584</v>
      </c>
      <c r="V247" s="2556" t="s">
        <v>4585</v>
      </c>
      <c r="W247" s="2559" t="s">
        <v>4586</v>
      </c>
      <c r="X247" s="2556" t="s">
        <v>4587</v>
      </c>
      <c r="Y247" s="2559" t="s">
        <v>4588</v>
      </c>
      <c r="Z247" s="2556" t="s">
        <v>4589</v>
      </c>
      <c r="AA247" s="2559" t="s">
        <v>4590</v>
      </c>
      <c r="AB247" s="2556" t="s">
        <v>4591</v>
      </c>
    </row>
    <row r="248" spans="1:28" ht="18" customHeight="1" x14ac:dyDescent="0.25">
      <c r="A248" s="5601" t="s">
        <v>4758</v>
      </c>
      <c r="B248" s="6247" t="s">
        <v>442</v>
      </c>
      <c r="C248" s="6248"/>
      <c r="D248" s="2552" t="s">
        <v>4567</v>
      </c>
      <c r="E248" s="2553" t="s">
        <v>4568</v>
      </c>
      <c r="F248" s="2554" t="s">
        <v>4569</v>
      </c>
      <c r="G248" s="2555" t="s">
        <v>4570</v>
      </c>
      <c r="H248" s="2556" t="s">
        <v>4571</v>
      </c>
      <c r="I248" s="2559" t="s">
        <v>4572</v>
      </c>
      <c r="J248" s="2556" t="s">
        <v>4573</v>
      </c>
      <c r="K248" s="2557" t="s">
        <v>4574</v>
      </c>
      <c r="L248" s="2558" t="s">
        <v>4575</v>
      </c>
      <c r="M248" s="2559" t="s">
        <v>4576</v>
      </c>
      <c r="N248" s="2556" t="s">
        <v>4577</v>
      </c>
      <c r="O248" s="2559" t="s">
        <v>4578</v>
      </c>
      <c r="P248" s="2556" t="s">
        <v>4579</v>
      </c>
      <c r="Q248" s="2559" t="s">
        <v>4580</v>
      </c>
      <c r="R248" s="2556" t="s">
        <v>4581</v>
      </c>
      <c r="S248" s="2559" t="s">
        <v>4582</v>
      </c>
      <c r="T248" s="2556" t="s">
        <v>4583</v>
      </c>
      <c r="U248" s="2559" t="s">
        <v>4584</v>
      </c>
      <c r="V248" s="2556" t="s">
        <v>4585</v>
      </c>
      <c r="W248" s="2559" t="s">
        <v>4586</v>
      </c>
      <c r="X248" s="2556" t="s">
        <v>4587</v>
      </c>
      <c r="Y248" s="2559" t="s">
        <v>4588</v>
      </c>
      <c r="Z248" s="2556" t="s">
        <v>4589</v>
      </c>
      <c r="AA248" s="2559" t="s">
        <v>4590</v>
      </c>
      <c r="AB248" s="2556" t="s">
        <v>4591</v>
      </c>
    </row>
    <row r="249" spans="1:28" ht="15" customHeight="1" x14ac:dyDescent="0.25">
      <c r="A249" s="5601" t="s">
        <v>4759</v>
      </c>
      <c r="B249" s="6247" t="s">
        <v>443</v>
      </c>
      <c r="C249" s="6248"/>
      <c r="D249" s="2552" t="s">
        <v>4567</v>
      </c>
      <c r="E249" s="2553" t="s">
        <v>4568</v>
      </c>
      <c r="F249" s="2554" t="s">
        <v>4569</v>
      </c>
      <c r="G249" s="2555" t="s">
        <v>4570</v>
      </c>
      <c r="H249" s="2556" t="s">
        <v>4571</v>
      </c>
      <c r="I249" s="2559" t="s">
        <v>4572</v>
      </c>
      <c r="J249" s="2556" t="s">
        <v>4573</v>
      </c>
      <c r="K249" s="2559" t="s">
        <v>4574</v>
      </c>
      <c r="L249" s="2556" t="s">
        <v>4575</v>
      </c>
      <c r="M249" s="2557" t="s">
        <v>4576</v>
      </c>
      <c r="N249" s="2558" t="s">
        <v>4577</v>
      </c>
      <c r="O249" s="2557" t="s">
        <v>4578</v>
      </c>
      <c r="P249" s="2558" t="s">
        <v>4579</v>
      </c>
      <c r="Q249" s="2557" t="s">
        <v>4580</v>
      </c>
      <c r="R249" s="2558" t="s">
        <v>4581</v>
      </c>
      <c r="S249" s="2557" t="s">
        <v>4582</v>
      </c>
      <c r="T249" s="2558" t="s">
        <v>4583</v>
      </c>
      <c r="U249" s="2557" t="s">
        <v>4584</v>
      </c>
      <c r="V249" s="2558" t="s">
        <v>4585</v>
      </c>
      <c r="W249" s="2559" t="s">
        <v>4586</v>
      </c>
      <c r="X249" s="2556" t="s">
        <v>4587</v>
      </c>
      <c r="Y249" s="2559" t="s">
        <v>4588</v>
      </c>
      <c r="Z249" s="2556" t="s">
        <v>4589</v>
      </c>
      <c r="AA249" s="2559" t="s">
        <v>4590</v>
      </c>
      <c r="AB249" s="2556" t="s">
        <v>4591</v>
      </c>
    </row>
    <row r="250" spans="1:28" ht="15" customHeight="1" x14ac:dyDescent="0.25">
      <c r="A250" s="5601" t="s">
        <v>4760</v>
      </c>
      <c r="B250" s="6247" t="s">
        <v>444</v>
      </c>
      <c r="C250" s="6248"/>
      <c r="D250" s="2552" t="s">
        <v>4567</v>
      </c>
      <c r="E250" s="2553" t="s">
        <v>4568</v>
      </c>
      <c r="F250" s="2554" t="s">
        <v>4569</v>
      </c>
      <c r="G250" s="2555" t="s">
        <v>4570</v>
      </c>
      <c r="H250" s="2556" t="s">
        <v>4571</v>
      </c>
      <c r="I250" s="2557" t="s">
        <v>4572</v>
      </c>
      <c r="J250" s="2558" t="s">
        <v>4573</v>
      </c>
      <c r="K250" s="2557" t="s">
        <v>4574</v>
      </c>
      <c r="L250" s="2558" t="s">
        <v>4575</v>
      </c>
      <c r="M250" s="2557" t="s">
        <v>4576</v>
      </c>
      <c r="N250" s="2558" t="s">
        <v>4577</v>
      </c>
      <c r="O250" s="2557" t="s">
        <v>4578</v>
      </c>
      <c r="P250" s="2558" t="s">
        <v>4579</v>
      </c>
      <c r="Q250" s="2559" t="s">
        <v>4580</v>
      </c>
      <c r="R250" s="2556" t="s">
        <v>4581</v>
      </c>
      <c r="S250" s="2559" t="s">
        <v>4582</v>
      </c>
      <c r="T250" s="2556" t="s">
        <v>4583</v>
      </c>
      <c r="U250" s="2559" t="s">
        <v>4584</v>
      </c>
      <c r="V250" s="2556" t="s">
        <v>4585</v>
      </c>
      <c r="W250" s="2559" t="s">
        <v>4586</v>
      </c>
      <c r="X250" s="2556" t="s">
        <v>4587</v>
      </c>
      <c r="Y250" s="2559" t="s">
        <v>4588</v>
      </c>
      <c r="Z250" s="2556" t="s">
        <v>4589</v>
      </c>
      <c r="AA250" s="2559" t="s">
        <v>4590</v>
      </c>
      <c r="AB250" s="2556" t="s">
        <v>4591</v>
      </c>
    </row>
    <row r="251" spans="1:28" ht="15" customHeight="1" x14ac:dyDescent="0.25">
      <c r="A251" s="5601" t="s">
        <v>4761</v>
      </c>
      <c r="B251" s="6247" t="s">
        <v>445</v>
      </c>
      <c r="C251" s="6248"/>
      <c r="D251" s="2552" t="s">
        <v>4567</v>
      </c>
      <c r="E251" s="2553" t="s">
        <v>4568</v>
      </c>
      <c r="F251" s="2554" t="s">
        <v>4569</v>
      </c>
      <c r="G251" s="2555" t="s">
        <v>4570</v>
      </c>
      <c r="H251" s="2556" t="s">
        <v>4571</v>
      </c>
      <c r="I251" s="2557" t="s">
        <v>4572</v>
      </c>
      <c r="J251" s="2548" t="s">
        <v>4573</v>
      </c>
      <c r="K251" s="2557" t="s">
        <v>4574</v>
      </c>
      <c r="L251" s="2558" t="s">
        <v>4575</v>
      </c>
      <c r="M251" s="2557" t="s">
        <v>4576</v>
      </c>
      <c r="N251" s="2558" t="s">
        <v>4577</v>
      </c>
      <c r="O251" s="2557" t="s">
        <v>4578</v>
      </c>
      <c r="P251" s="2558" t="s">
        <v>4579</v>
      </c>
      <c r="Q251" s="2557" t="s">
        <v>4580</v>
      </c>
      <c r="R251" s="2558" t="s">
        <v>4581</v>
      </c>
      <c r="S251" s="2557" t="s">
        <v>4582</v>
      </c>
      <c r="T251" s="2558" t="s">
        <v>4583</v>
      </c>
      <c r="U251" s="2557" t="s">
        <v>4584</v>
      </c>
      <c r="V251" s="2558" t="s">
        <v>4585</v>
      </c>
      <c r="W251" s="2557" t="s">
        <v>4586</v>
      </c>
      <c r="X251" s="2558" t="s">
        <v>4587</v>
      </c>
      <c r="Y251" s="2557" t="s">
        <v>4588</v>
      </c>
      <c r="Z251" s="2558" t="s">
        <v>4589</v>
      </c>
      <c r="AA251" s="2557" t="s">
        <v>4590</v>
      </c>
      <c r="AB251" s="2558" t="s">
        <v>4591</v>
      </c>
    </row>
    <row r="252" spans="1:28" ht="15" customHeight="1" x14ac:dyDescent="0.25">
      <c r="A252" s="5601" t="s">
        <v>4762</v>
      </c>
      <c r="B252" s="6245" t="s">
        <v>446</v>
      </c>
      <c r="C252" s="6246"/>
      <c r="D252" s="2560" t="s">
        <v>4567</v>
      </c>
      <c r="E252" s="2561" t="s">
        <v>4568</v>
      </c>
      <c r="F252" s="2562" t="s">
        <v>4569</v>
      </c>
      <c r="G252" s="2563" t="s">
        <v>4570</v>
      </c>
      <c r="H252" s="2564" t="s">
        <v>4571</v>
      </c>
      <c r="I252" s="2565" t="s">
        <v>4572</v>
      </c>
      <c r="J252" s="2563" t="s">
        <v>4573</v>
      </c>
      <c r="K252" s="2565" t="s">
        <v>4574</v>
      </c>
      <c r="L252" s="2564" t="s">
        <v>4575</v>
      </c>
      <c r="M252" s="2565" t="s">
        <v>4576</v>
      </c>
      <c r="N252" s="2564" t="s">
        <v>4577</v>
      </c>
      <c r="O252" s="2565" t="s">
        <v>4578</v>
      </c>
      <c r="P252" s="2564" t="s">
        <v>4579</v>
      </c>
      <c r="Q252" s="2565" t="s">
        <v>4580</v>
      </c>
      <c r="R252" s="2564" t="s">
        <v>4581</v>
      </c>
      <c r="S252" s="2565" t="s">
        <v>4582</v>
      </c>
      <c r="T252" s="2564" t="s">
        <v>4583</v>
      </c>
      <c r="U252" s="2566" t="s">
        <v>4584</v>
      </c>
      <c r="V252" s="2567" t="s">
        <v>4585</v>
      </c>
      <c r="W252" s="2568" t="s">
        <v>4586</v>
      </c>
      <c r="X252" s="2569" t="s">
        <v>4587</v>
      </c>
      <c r="Y252" s="2568" t="s">
        <v>4588</v>
      </c>
      <c r="Z252" s="2569" t="s">
        <v>4589</v>
      </c>
      <c r="AA252" s="2568" t="s">
        <v>4590</v>
      </c>
      <c r="AB252" s="2569" t="s">
        <v>4591</v>
      </c>
    </row>
    <row r="253" spans="1:28" ht="15" customHeight="1" x14ac:dyDescent="0.25">
      <c r="A253" s="5601" t="s">
        <v>4763</v>
      </c>
      <c r="B253" s="6249" t="s">
        <v>317</v>
      </c>
      <c r="C253" s="2570" t="s">
        <v>318</v>
      </c>
      <c r="D253" s="2571" t="s">
        <v>4567</v>
      </c>
      <c r="E253" s="2572" t="s">
        <v>4568</v>
      </c>
      <c r="F253" s="2573" t="s">
        <v>4569</v>
      </c>
      <c r="G253" s="2574" t="s">
        <v>4570</v>
      </c>
      <c r="H253" s="2549" t="s">
        <v>4571</v>
      </c>
      <c r="I253" s="2575" t="s">
        <v>4572</v>
      </c>
      <c r="J253" s="2549" t="s">
        <v>4573</v>
      </c>
      <c r="K253" s="2575" t="s">
        <v>4574</v>
      </c>
      <c r="L253" s="2549" t="s">
        <v>4575</v>
      </c>
      <c r="M253" s="2575" t="s">
        <v>4576</v>
      </c>
      <c r="N253" s="2549" t="s">
        <v>4577</v>
      </c>
      <c r="O253" s="2575" t="s">
        <v>4578</v>
      </c>
      <c r="P253" s="2576" t="s">
        <v>4579</v>
      </c>
      <c r="Q253" s="2575" t="s">
        <v>4580</v>
      </c>
      <c r="R253" s="2576" t="s">
        <v>4581</v>
      </c>
      <c r="S253" s="2577" t="s">
        <v>4582</v>
      </c>
      <c r="T253" s="2578" t="s">
        <v>4583</v>
      </c>
      <c r="U253" s="2577" t="s">
        <v>4584</v>
      </c>
      <c r="V253" s="2578" t="s">
        <v>4585</v>
      </c>
      <c r="W253" s="2574" t="s">
        <v>4586</v>
      </c>
      <c r="X253" s="2549" t="s">
        <v>4587</v>
      </c>
      <c r="Y253" s="2575" t="s">
        <v>4588</v>
      </c>
      <c r="Z253" s="2549" t="s">
        <v>4589</v>
      </c>
      <c r="AA253" s="2575" t="s">
        <v>4590</v>
      </c>
      <c r="AB253" s="2549" t="s">
        <v>4591</v>
      </c>
    </row>
    <row r="254" spans="1:28" ht="15" customHeight="1" x14ac:dyDescent="0.25">
      <c r="A254" s="5601" t="s">
        <v>4764</v>
      </c>
      <c r="B254" s="6250"/>
      <c r="C254" s="2579" t="s">
        <v>420</v>
      </c>
      <c r="D254" s="2580" t="s">
        <v>4567</v>
      </c>
      <c r="E254" s="2572" t="s">
        <v>4568</v>
      </c>
      <c r="F254" s="2573" t="s">
        <v>4569</v>
      </c>
      <c r="G254" s="2548" t="s">
        <v>4570</v>
      </c>
      <c r="H254" s="2558" t="s">
        <v>4571</v>
      </c>
      <c r="I254" s="2557" t="s">
        <v>4572</v>
      </c>
      <c r="J254" s="2558" t="s">
        <v>4573</v>
      </c>
      <c r="K254" s="2557" t="s">
        <v>4574</v>
      </c>
      <c r="L254" s="2558" t="s">
        <v>4575</v>
      </c>
      <c r="M254" s="2557" t="s">
        <v>4576</v>
      </c>
      <c r="N254" s="2558" t="s">
        <v>4577</v>
      </c>
      <c r="O254" s="2557" t="s">
        <v>4578</v>
      </c>
      <c r="P254" s="2581" t="s">
        <v>4579</v>
      </c>
      <c r="Q254" s="2557" t="s">
        <v>4580</v>
      </c>
      <c r="R254" s="2581" t="s">
        <v>4581</v>
      </c>
      <c r="S254" s="2582" t="s">
        <v>4582</v>
      </c>
      <c r="T254" s="2583" t="s">
        <v>4583</v>
      </c>
      <c r="U254" s="2582" t="s">
        <v>4584</v>
      </c>
      <c r="V254" s="2583" t="s">
        <v>4585</v>
      </c>
      <c r="W254" s="2548" t="s">
        <v>4586</v>
      </c>
      <c r="X254" s="2558" t="s">
        <v>4587</v>
      </c>
      <c r="Y254" s="2557" t="s">
        <v>4588</v>
      </c>
      <c r="Z254" s="2558" t="s">
        <v>4589</v>
      </c>
      <c r="AA254" s="2557" t="s">
        <v>4590</v>
      </c>
      <c r="AB254" s="2558" t="s">
        <v>4591</v>
      </c>
    </row>
    <row r="255" spans="1:28" ht="15" customHeight="1" x14ac:dyDescent="0.25">
      <c r="A255" s="5601" t="s">
        <v>4765</v>
      </c>
      <c r="B255" s="6251"/>
      <c r="C255" s="2584" t="s">
        <v>391</v>
      </c>
      <c r="D255" s="2585" t="s">
        <v>4567</v>
      </c>
      <c r="E255" s="2586" t="s">
        <v>4568</v>
      </c>
      <c r="F255" s="2587" t="s">
        <v>4569</v>
      </c>
      <c r="G255" s="2588" t="s">
        <v>4570</v>
      </c>
      <c r="H255" s="2569" t="s">
        <v>4571</v>
      </c>
      <c r="I255" s="2568" t="s">
        <v>4572</v>
      </c>
      <c r="J255" s="2569" t="s">
        <v>4573</v>
      </c>
      <c r="K255" s="2568" t="s">
        <v>4574</v>
      </c>
      <c r="L255" s="2569" t="s">
        <v>4575</v>
      </c>
      <c r="M255" s="2568" t="s">
        <v>4576</v>
      </c>
      <c r="N255" s="2569" t="s">
        <v>4577</v>
      </c>
      <c r="O255" s="2568" t="s">
        <v>4578</v>
      </c>
      <c r="P255" s="2589" t="s">
        <v>4579</v>
      </c>
      <c r="Q255" s="2568" t="s">
        <v>4580</v>
      </c>
      <c r="R255" s="2589" t="s">
        <v>4581</v>
      </c>
      <c r="S255" s="2590" t="s">
        <v>4582</v>
      </c>
      <c r="T255" s="2591" t="s">
        <v>4583</v>
      </c>
      <c r="U255" s="2590" t="s">
        <v>4584</v>
      </c>
      <c r="V255" s="2591" t="s">
        <v>4585</v>
      </c>
      <c r="W255" s="2588" t="s">
        <v>4586</v>
      </c>
      <c r="X255" s="2569" t="s">
        <v>4587</v>
      </c>
      <c r="Y255" s="2568" t="s">
        <v>4588</v>
      </c>
      <c r="Z255" s="2569" t="s">
        <v>4589</v>
      </c>
      <c r="AA255" s="2568" t="s">
        <v>4590</v>
      </c>
      <c r="AB255" s="2569" t="s">
        <v>4591</v>
      </c>
    </row>
    <row r="256" spans="1:28" ht="18" customHeight="1" x14ac:dyDescent="0.25">
      <c r="A256" s="5548"/>
      <c r="B256" s="2474" t="s">
        <v>447</v>
      </c>
      <c r="L256" s="2592"/>
      <c r="M256" s="2592"/>
      <c r="N256" s="2592"/>
      <c r="O256" s="2592"/>
      <c r="P256" s="2592"/>
    </row>
    <row r="257" spans="1:97" ht="15" customHeight="1" x14ac:dyDescent="0.25">
      <c r="A257" s="5548"/>
      <c r="B257" s="6141" t="s">
        <v>251</v>
      </c>
      <c r="C257" s="6142"/>
      <c r="D257" s="6147" t="s">
        <v>77</v>
      </c>
      <c r="E257" s="6148"/>
      <c r="F257" s="6149"/>
      <c r="G257" s="6151" t="s">
        <v>101</v>
      </c>
      <c r="H257" s="6151"/>
      <c r="I257" s="6151"/>
      <c r="J257" s="6151"/>
      <c r="K257" s="6151"/>
      <c r="L257" s="6151"/>
      <c r="M257" s="6151"/>
      <c r="N257" s="6151"/>
      <c r="O257" s="6151"/>
      <c r="P257" s="6151"/>
      <c r="Q257" s="6152" t="s">
        <v>448</v>
      </c>
      <c r="R257" s="2593"/>
      <c r="S257" s="2593"/>
    </row>
    <row r="258" spans="1:97" ht="15" customHeight="1" x14ac:dyDescent="0.25">
      <c r="A258" s="5548"/>
      <c r="B258" s="6143"/>
      <c r="C258" s="6144"/>
      <c r="D258" s="6064"/>
      <c r="E258" s="6150"/>
      <c r="F258" s="6028"/>
      <c r="G258" s="6155" t="s">
        <v>343</v>
      </c>
      <c r="H258" s="6156"/>
      <c r="I258" s="6155" t="s">
        <v>326</v>
      </c>
      <c r="J258" s="6156"/>
      <c r="K258" s="6155" t="s">
        <v>94</v>
      </c>
      <c r="L258" s="6156"/>
      <c r="M258" s="6241" t="s">
        <v>44</v>
      </c>
      <c r="N258" s="6242"/>
      <c r="O258" s="6243" t="s">
        <v>45</v>
      </c>
      <c r="P258" s="6242"/>
      <c r="Q258" s="6153"/>
      <c r="R258" s="2594"/>
      <c r="S258" s="6244"/>
    </row>
    <row r="259" spans="1:97" ht="15" customHeight="1" x14ac:dyDescent="0.25">
      <c r="A259" s="5548"/>
      <c r="B259" s="6145"/>
      <c r="C259" s="6146"/>
      <c r="D259" s="2183" t="s">
        <v>79</v>
      </c>
      <c r="E259" s="2386" t="s">
        <v>58</v>
      </c>
      <c r="F259" s="23" t="s">
        <v>59</v>
      </c>
      <c r="G259" s="2165" t="s">
        <v>58</v>
      </c>
      <c r="H259" s="23" t="s">
        <v>59</v>
      </c>
      <c r="I259" s="2165" t="s">
        <v>58</v>
      </c>
      <c r="J259" s="23" t="s">
        <v>59</v>
      </c>
      <c r="K259" s="2165" t="s">
        <v>58</v>
      </c>
      <c r="L259" s="23" t="s">
        <v>59</v>
      </c>
      <c r="M259" s="2163" t="s">
        <v>58</v>
      </c>
      <c r="N259" s="1751" t="s">
        <v>59</v>
      </c>
      <c r="O259" s="2164" t="s">
        <v>58</v>
      </c>
      <c r="P259" s="2354" t="s">
        <v>59</v>
      </c>
      <c r="Q259" s="6154"/>
      <c r="R259" s="2594"/>
      <c r="S259" s="6244"/>
    </row>
    <row r="260" spans="1:97" ht="15" customHeight="1" x14ac:dyDescent="0.25">
      <c r="A260" s="5601" t="s">
        <v>4766</v>
      </c>
      <c r="B260" s="6122" t="s">
        <v>344</v>
      </c>
      <c r="C260" s="2518" t="s">
        <v>449</v>
      </c>
      <c r="D260" s="2357" t="s">
        <v>4567</v>
      </c>
      <c r="E260" s="2291" t="s">
        <v>4568</v>
      </c>
      <c r="F260" s="2221" t="s">
        <v>4569</v>
      </c>
      <c r="G260" s="2249" t="s">
        <v>4570</v>
      </c>
      <c r="H260" s="1962" t="s">
        <v>4571</v>
      </c>
      <c r="I260" s="2175" t="s">
        <v>4572</v>
      </c>
      <c r="J260" s="1962" t="s">
        <v>4573</v>
      </c>
      <c r="K260" s="2175" t="s">
        <v>4574</v>
      </c>
      <c r="L260" s="1962" t="s">
        <v>4575</v>
      </c>
      <c r="M260" s="2175" t="s">
        <v>4576</v>
      </c>
      <c r="N260" s="1962" t="s">
        <v>4577</v>
      </c>
      <c r="O260" s="2249" t="s">
        <v>4578</v>
      </c>
      <c r="P260" s="1962" t="s">
        <v>4579</v>
      </c>
      <c r="Q260" s="2595" t="s">
        <v>4580</v>
      </c>
      <c r="R260" s="1864" t="str">
        <f>$CB260</f>
        <v>* La variable Derivación efectiva no debe ser mayor al Total Ambos Sexos.</v>
      </c>
      <c r="S260" s="2596"/>
      <c r="CB260" s="2195" t="str">
        <f>IF(AND($D260&lt;&gt;0,Q260=""),"* No olvide ingresar la variable "&amp;Q$257&amp;""&amp;" (Digite CERO si no tiene). ",IF(Q260&gt;$D260,"* La variable Derivación efectiva no debe ser mayor al Total Ambos Sexos.",""))</f>
        <v>* La variable Derivación efectiva no debe ser mayor al Total Ambos Sexos.</v>
      </c>
      <c r="CC260" s="2194"/>
      <c r="CE260" s="2194"/>
      <c r="CF260" s="2194"/>
      <c r="CG260" s="99"/>
      <c r="CH260" s="99"/>
      <c r="CI260" s="99"/>
      <c r="CJ260" s="99"/>
      <c r="CK260" s="99"/>
      <c r="CL260" s="2362">
        <f>IF(AND($D260&lt;&gt;0,Q260=""),0,IF(Q260&gt;$D260,1,0))</f>
        <v>1</v>
      </c>
    </row>
    <row r="261" spans="1:97" ht="15" customHeight="1" x14ac:dyDescent="0.25">
      <c r="A261" s="5601" t="s">
        <v>4767</v>
      </c>
      <c r="B261" s="6123"/>
      <c r="C261" s="2597" t="s">
        <v>346</v>
      </c>
      <c r="D261" s="295" t="s">
        <v>4567</v>
      </c>
      <c r="E261" s="2292" t="s">
        <v>4568</v>
      </c>
      <c r="F261" s="146" t="s">
        <v>4569</v>
      </c>
      <c r="G261" s="2034" t="s">
        <v>4570</v>
      </c>
      <c r="H261" s="1969" t="s">
        <v>4571</v>
      </c>
      <c r="I261" s="328" t="s">
        <v>4572</v>
      </c>
      <c r="J261" s="1969" t="s">
        <v>4573</v>
      </c>
      <c r="K261" s="328" t="s">
        <v>4574</v>
      </c>
      <c r="L261" s="1969" t="s">
        <v>4575</v>
      </c>
      <c r="M261" s="328" t="s">
        <v>4576</v>
      </c>
      <c r="N261" s="1969" t="s">
        <v>4577</v>
      </c>
      <c r="O261" s="2034" t="s">
        <v>4578</v>
      </c>
      <c r="P261" s="1969" t="s">
        <v>4579</v>
      </c>
      <c r="Q261" s="2598" t="s">
        <v>4580</v>
      </c>
      <c r="R261" s="1864" t="str">
        <f t="shared" ref="R261:R262" si="65">$CB261</f>
        <v>* La variable Derivación efectiva no debe ser mayor al Total Ambos Sexos.</v>
      </c>
      <c r="S261" s="2596"/>
      <c r="CB261" s="2195" t="str">
        <f>IF(AND($D261&lt;&gt;0,Q261=""),"* No olvide ingresar la variable "&amp;Q$257&amp;""&amp;" (Digite CERO si no tiene). ",IF(Q261&gt;$D261,"* La variable Derivación efectiva no debe ser mayor al Total Ambos Sexos.",""))</f>
        <v>* La variable Derivación efectiva no debe ser mayor al Total Ambos Sexos.</v>
      </c>
      <c r="CC261" s="2194"/>
      <c r="CE261" s="2194"/>
      <c r="CF261" s="2194"/>
      <c r="CG261" s="99"/>
      <c r="CH261" s="99"/>
      <c r="CI261" s="99"/>
      <c r="CJ261" s="99"/>
      <c r="CK261" s="99"/>
      <c r="CL261" s="2362">
        <f t="shared" ref="CL261:CL262" si="66">IF(AND($D261&lt;&gt;0,Q261=""),0,IF(Q261&gt;$D261,1,0))</f>
        <v>1</v>
      </c>
    </row>
    <row r="262" spans="1:97" ht="18" customHeight="1" x14ac:dyDescent="0.25">
      <c r="A262" s="5601" t="s">
        <v>4768</v>
      </c>
      <c r="B262" s="6124"/>
      <c r="C262" s="2523" t="s">
        <v>347</v>
      </c>
      <c r="D262" s="2391" t="s">
        <v>4567</v>
      </c>
      <c r="E262" s="2392" t="s">
        <v>4568</v>
      </c>
      <c r="F262" s="2229" t="s">
        <v>4569</v>
      </c>
      <c r="G262" s="1877" t="s">
        <v>4570</v>
      </c>
      <c r="H262" s="1975" t="s">
        <v>4571</v>
      </c>
      <c r="I262" s="853" t="s">
        <v>4572</v>
      </c>
      <c r="J262" s="1975" t="s">
        <v>4573</v>
      </c>
      <c r="K262" s="853" t="s">
        <v>4574</v>
      </c>
      <c r="L262" s="1975" t="s">
        <v>4575</v>
      </c>
      <c r="M262" s="853" t="s">
        <v>4576</v>
      </c>
      <c r="N262" s="1975" t="s">
        <v>4577</v>
      </c>
      <c r="O262" s="1877" t="s">
        <v>4578</v>
      </c>
      <c r="P262" s="1975" t="s">
        <v>4579</v>
      </c>
      <c r="Q262" s="2599" t="s">
        <v>4580</v>
      </c>
      <c r="R262" s="1864" t="str">
        <f t="shared" si="65"/>
        <v>* La variable Derivación efectiva no debe ser mayor al Total Ambos Sexos.</v>
      </c>
      <c r="S262" s="2596"/>
      <c r="CB262" s="2195" t="str">
        <f>IF(AND($D262&lt;&gt;0,Q262=""),"* No olvide ingresar la variable "&amp;Q$257&amp;""&amp;" (Digite CERO si no tiene). ",IF(Q262&gt;$D262,"* La variable Derivación efectiva no debe ser mayor al Total Ambos Sexos.",""))</f>
        <v>* La variable Derivación efectiva no debe ser mayor al Total Ambos Sexos.</v>
      </c>
      <c r="CC262" s="2194"/>
      <c r="CE262" s="2194"/>
      <c r="CF262" s="2194"/>
      <c r="CG262" s="99"/>
      <c r="CH262" s="99"/>
      <c r="CI262" s="99"/>
      <c r="CJ262" s="99"/>
      <c r="CK262" s="99"/>
      <c r="CL262" s="2362">
        <f t="shared" si="66"/>
        <v>1</v>
      </c>
    </row>
    <row r="263" spans="1:97" ht="15" customHeight="1" x14ac:dyDescent="0.25">
      <c r="A263" s="5601" t="s">
        <v>4769</v>
      </c>
      <c r="B263" s="6122" t="s">
        <v>348</v>
      </c>
      <c r="C263" s="2518" t="s">
        <v>449</v>
      </c>
      <c r="D263" s="2357" t="s">
        <v>4567</v>
      </c>
      <c r="E263" s="2291" t="s">
        <v>4568</v>
      </c>
      <c r="F263" s="2221" t="s">
        <v>4569</v>
      </c>
      <c r="G263" s="2249" t="s">
        <v>4570</v>
      </c>
      <c r="H263" s="1962" t="s">
        <v>4571</v>
      </c>
      <c r="I263" s="2175" t="s">
        <v>4572</v>
      </c>
      <c r="J263" s="1962" t="s">
        <v>4573</v>
      </c>
      <c r="K263" s="2175" t="s">
        <v>4574</v>
      </c>
      <c r="L263" s="1962" t="s">
        <v>4575</v>
      </c>
      <c r="M263" s="2175" t="s">
        <v>4576</v>
      </c>
      <c r="N263" s="1962" t="s">
        <v>4577</v>
      </c>
      <c r="O263" s="2249" t="s">
        <v>4578</v>
      </c>
      <c r="P263" s="1910" t="s">
        <v>4579</v>
      </c>
      <c r="Q263" s="2600" t="s">
        <v>4580</v>
      </c>
    </row>
    <row r="264" spans="1:97" ht="15" customHeight="1" x14ac:dyDescent="0.25">
      <c r="A264" s="5601" t="s">
        <v>4770</v>
      </c>
      <c r="B264" s="6123"/>
      <c r="C264" s="2597" t="s">
        <v>346</v>
      </c>
      <c r="D264" s="295" t="s">
        <v>4567</v>
      </c>
      <c r="E264" s="2292" t="s">
        <v>4568</v>
      </c>
      <c r="F264" s="146" t="s">
        <v>4569</v>
      </c>
      <c r="G264" s="2034" t="s">
        <v>4570</v>
      </c>
      <c r="H264" s="1969" t="s">
        <v>4571</v>
      </c>
      <c r="I264" s="328" t="s">
        <v>4572</v>
      </c>
      <c r="J264" s="1969" t="s">
        <v>4573</v>
      </c>
      <c r="K264" s="328" t="s">
        <v>4574</v>
      </c>
      <c r="L264" s="1969" t="s">
        <v>4575</v>
      </c>
      <c r="M264" s="328" t="s">
        <v>4576</v>
      </c>
      <c r="N264" s="1969" t="s">
        <v>4577</v>
      </c>
      <c r="O264" s="2034" t="s">
        <v>4578</v>
      </c>
      <c r="P264" s="331" t="s">
        <v>4579</v>
      </c>
      <c r="Q264" s="2318" t="s">
        <v>4580</v>
      </c>
    </row>
    <row r="265" spans="1:97" ht="15" customHeight="1" x14ac:dyDescent="0.25">
      <c r="A265" s="5601" t="s">
        <v>4771</v>
      </c>
      <c r="B265" s="6124"/>
      <c r="C265" s="2523" t="s">
        <v>347</v>
      </c>
      <c r="D265" s="2391" t="s">
        <v>4567</v>
      </c>
      <c r="E265" s="2392" t="s">
        <v>4568</v>
      </c>
      <c r="F265" s="2229" t="s">
        <v>4569</v>
      </c>
      <c r="G265" s="1877" t="s">
        <v>4570</v>
      </c>
      <c r="H265" s="1975" t="s">
        <v>4571</v>
      </c>
      <c r="I265" s="853" t="s">
        <v>4572</v>
      </c>
      <c r="J265" s="1975" t="s">
        <v>4573</v>
      </c>
      <c r="K265" s="853" t="s">
        <v>4574</v>
      </c>
      <c r="L265" s="1975" t="s">
        <v>4575</v>
      </c>
      <c r="M265" s="853" t="s">
        <v>4576</v>
      </c>
      <c r="N265" s="1975" t="s">
        <v>4577</v>
      </c>
      <c r="O265" s="1877" t="s">
        <v>4578</v>
      </c>
      <c r="P265" s="1919" t="s">
        <v>4579</v>
      </c>
      <c r="Q265" s="1909" t="s">
        <v>4580</v>
      </c>
    </row>
    <row r="266" spans="1:97" ht="18" customHeight="1" x14ac:dyDescent="0.25">
      <c r="B266" s="3" t="s">
        <v>450</v>
      </c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</row>
    <row r="267" spans="1:97" x14ac:dyDescent="0.25">
      <c r="B267" s="6118" t="s">
        <v>219</v>
      </c>
      <c r="C267" s="6118" t="s">
        <v>451</v>
      </c>
      <c r="D267" s="6120" t="s">
        <v>452</v>
      </c>
      <c r="E267" s="6120"/>
      <c r="F267" s="6120"/>
      <c r="G267" s="6114" t="s">
        <v>101</v>
      </c>
      <c r="H267" s="6115"/>
      <c r="I267" s="6115"/>
      <c r="J267" s="6115"/>
      <c r="K267" s="6115"/>
      <c r="L267" s="6115"/>
      <c r="M267" s="6115"/>
      <c r="N267" s="6115"/>
      <c r="O267" s="6115"/>
      <c r="P267" s="6115"/>
      <c r="Q267" s="6115"/>
      <c r="R267" s="6115"/>
      <c r="S267" s="6115"/>
      <c r="T267" s="6115"/>
      <c r="U267" s="6115"/>
      <c r="V267" s="6116"/>
      <c r="W267" s="6099" t="s">
        <v>453</v>
      </c>
      <c r="X267" s="6100" t="s">
        <v>454</v>
      </c>
      <c r="Y267" s="6104" t="s">
        <v>455</v>
      </c>
      <c r="Z267" s="6100" t="s">
        <v>456</v>
      </c>
      <c r="AA267" s="6107" t="s">
        <v>457</v>
      </c>
      <c r="AB267" s="6108"/>
      <c r="AC267" s="6101" t="s">
        <v>36</v>
      </c>
      <c r="AD267" s="6117" t="s">
        <v>37</v>
      </c>
    </row>
    <row r="268" spans="1:97" x14ac:dyDescent="0.25">
      <c r="B268" s="6119"/>
      <c r="C268" s="6119"/>
      <c r="D268" s="6120"/>
      <c r="E268" s="6120"/>
      <c r="F268" s="6120"/>
      <c r="G268" s="6114" t="s">
        <v>458</v>
      </c>
      <c r="H268" s="6121"/>
      <c r="I268" s="6114" t="s">
        <v>459</v>
      </c>
      <c r="J268" s="6121"/>
      <c r="K268" s="6114" t="s">
        <v>45</v>
      </c>
      <c r="L268" s="6121"/>
      <c r="M268" s="6114" t="s">
        <v>366</v>
      </c>
      <c r="N268" s="6121"/>
      <c r="O268" s="6114" t="s">
        <v>439</v>
      </c>
      <c r="P268" s="6121"/>
      <c r="Q268" s="6114" t="s">
        <v>53</v>
      </c>
      <c r="R268" s="6121"/>
      <c r="S268" s="6114" t="s">
        <v>460</v>
      </c>
      <c r="T268" s="6121"/>
      <c r="U268" s="6114" t="s">
        <v>57</v>
      </c>
      <c r="V268" s="6116"/>
      <c r="W268" s="6034"/>
      <c r="X268" s="6027"/>
      <c r="Y268" s="6105"/>
      <c r="Z268" s="6027"/>
      <c r="AA268" s="6109"/>
      <c r="AB268" s="6110"/>
      <c r="AC268" s="6102"/>
      <c r="AD268" s="6066"/>
    </row>
    <row r="269" spans="1:97" x14ac:dyDescent="0.25">
      <c r="B269" s="6093"/>
      <c r="C269" s="6093"/>
      <c r="D269" s="2601" t="s">
        <v>79</v>
      </c>
      <c r="E269" s="2602" t="s">
        <v>58</v>
      </c>
      <c r="F269" s="2275" t="s">
        <v>59</v>
      </c>
      <c r="G269" s="2385" t="s">
        <v>58</v>
      </c>
      <c r="H269" s="2275" t="s">
        <v>59</v>
      </c>
      <c r="I269" s="2385" t="s">
        <v>58</v>
      </c>
      <c r="J269" s="2275" t="s">
        <v>59</v>
      </c>
      <c r="K269" s="2385" t="s">
        <v>58</v>
      </c>
      <c r="L269" s="2275" t="s">
        <v>59</v>
      </c>
      <c r="M269" s="2385" t="s">
        <v>461</v>
      </c>
      <c r="N269" s="2275" t="s">
        <v>59</v>
      </c>
      <c r="O269" s="2385" t="s">
        <v>461</v>
      </c>
      <c r="P269" s="2275" t="s">
        <v>59</v>
      </c>
      <c r="Q269" s="2385" t="s">
        <v>461</v>
      </c>
      <c r="R269" s="2275" t="s">
        <v>59</v>
      </c>
      <c r="S269" s="2385" t="s">
        <v>461</v>
      </c>
      <c r="T269" s="2275" t="s">
        <v>59</v>
      </c>
      <c r="U269" s="2385" t="s">
        <v>461</v>
      </c>
      <c r="V269" s="2245" t="s">
        <v>59</v>
      </c>
      <c r="W269" s="6035"/>
      <c r="X269" s="6028"/>
      <c r="Y269" s="6106"/>
      <c r="Z269" s="6028"/>
      <c r="AA269" s="2385" t="s">
        <v>462</v>
      </c>
      <c r="AB269" s="1742" t="s">
        <v>463</v>
      </c>
      <c r="AC269" s="6103"/>
      <c r="AD269" s="6067"/>
    </row>
    <row r="270" spans="1:97" ht="21" x14ac:dyDescent="0.25">
      <c r="A270" s="5605" t="s">
        <v>4772</v>
      </c>
      <c r="B270" s="6111" t="s">
        <v>464</v>
      </c>
      <c r="C270" s="2603" t="s">
        <v>465</v>
      </c>
      <c r="D270" s="2247" t="s">
        <v>4567</v>
      </c>
      <c r="E270" s="2604" t="s">
        <v>4568</v>
      </c>
      <c r="F270" s="2605" t="s">
        <v>4569</v>
      </c>
      <c r="G270" s="2175" t="s">
        <v>4570</v>
      </c>
      <c r="H270" s="2176" t="s">
        <v>4571</v>
      </c>
      <c r="I270" s="2175" t="s">
        <v>4572</v>
      </c>
      <c r="J270" s="2176" t="s">
        <v>4573</v>
      </c>
      <c r="K270" s="2175" t="s">
        <v>4574</v>
      </c>
      <c r="L270" s="2176" t="s">
        <v>4575</v>
      </c>
      <c r="M270" s="2175" t="s">
        <v>4576</v>
      </c>
      <c r="N270" s="2176" t="s">
        <v>4577</v>
      </c>
      <c r="O270" s="2175" t="s">
        <v>4578</v>
      </c>
      <c r="P270" s="2176" t="s">
        <v>4579</v>
      </c>
      <c r="Q270" s="2175" t="s">
        <v>4580</v>
      </c>
      <c r="R270" s="2176" t="s">
        <v>4581</v>
      </c>
      <c r="S270" s="2175" t="s">
        <v>4582</v>
      </c>
      <c r="T270" s="2176" t="s">
        <v>4583</v>
      </c>
      <c r="U270" s="2175" t="s">
        <v>4584</v>
      </c>
      <c r="V270" s="2606" t="s">
        <v>4585</v>
      </c>
      <c r="W270" s="2607" t="s">
        <v>4586</v>
      </c>
      <c r="X270" s="2608" t="s">
        <v>4587</v>
      </c>
      <c r="Y270" s="2609" t="s">
        <v>4588</v>
      </c>
      <c r="Z270" s="2608" t="s">
        <v>4589</v>
      </c>
      <c r="AA270" s="2610" t="s">
        <v>4590</v>
      </c>
      <c r="AB270" s="2608" t="s">
        <v>4591</v>
      </c>
      <c r="AC270" s="2610" t="s">
        <v>4592</v>
      </c>
      <c r="AD270" s="2611" t="s">
        <v>4593</v>
      </c>
    </row>
    <row r="271" spans="1:97" x14ac:dyDescent="0.25">
      <c r="A271" s="5605" t="s">
        <v>4773</v>
      </c>
      <c r="B271" s="6112"/>
      <c r="C271" s="295" t="s">
        <v>466</v>
      </c>
      <c r="D271" s="2402" t="s">
        <v>4567</v>
      </c>
      <c r="E271" s="140" t="s">
        <v>4568</v>
      </c>
      <c r="F271" s="224" t="s">
        <v>4569</v>
      </c>
      <c r="G271" s="326" t="s">
        <v>4570</v>
      </c>
      <c r="H271" s="142" t="s">
        <v>4571</v>
      </c>
      <c r="I271" s="326" t="s">
        <v>4572</v>
      </c>
      <c r="J271" s="142" t="s">
        <v>4573</v>
      </c>
      <c r="K271" s="326" t="s">
        <v>4574</v>
      </c>
      <c r="L271" s="142" t="s">
        <v>4575</v>
      </c>
      <c r="M271" s="326" t="s">
        <v>4576</v>
      </c>
      <c r="N271" s="142" t="s">
        <v>4577</v>
      </c>
      <c r="O271" s="326" t="s">
        <v>4578</v>
      </c>
      <c r="P271" s="142" t="s">
        <v>4579</v>
      </c>
      <c r="Q271" s="326" t="s">
        <v>4580</v>
      </c>
      <c r="R271" s="142" t="s">
        <v>4581</v>
      </c>
      <c r="S271" s="326" t="s">
        <v>4582</v>
      </c>
      <c r="T271" s="142" t="s">
        <v>4583</v>
      </c>
      <c r="U271" s="326" t="s">
        <v>4584</v>
      </c>
      <c r="V271" s="1884" t="s">
        <v>4585</v>
      </c>
      <c r="W271" s="336" t="s">
        <v>4586</v>
      </c>
      <c r="X271" s="142" t="s">
        <v>4587</v>
      </c>
      <c r="Y271" s="44" t="s">
        <v>4588</v>
      </c>
      <c r="Z271" s="142" t="s">
        <v>4589</v>
      </c>
      <c r="AA271" s="326" t="s">
        <v>4590</v>
      </c>
      <c r="AB271" s="142" t="s">
        <v>4591</v>
      </c>
      <c r="AC271" s="326" t="s">
        <v>4592</v>
      </c>
      <c r="AD271" s="882" t="s">
        <v>4593</v>
      </c>
      <c r="AE271" s="24" t="str">
        <f>CB271&amp;CC271&amp;CD271&amp;CE271&amp;CF271&amp;CG271&amp;CH271&amp;CI271</f>
        <v xml:space="preserve">* La variable Gestantes no debe ser mayor al Total Ambos Sexos. * La variable Madre de hijo menor de 5 años no debe ser mayor al Total Ambos Sexos. * La variable Niños, Niñas, Adolescentes y Jóvenes  SENAME no debe ser mayor al Total Ambos Sexos. * La variable Niños, Niñas, Adolescentes y Jóvenes  Mejor Niñez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CB271" s="2195" t="str">
        <f>IF(AND($D271&lt;&gt;0,W271=""),"* No olvide ingresar la variable "&amp;W$267&amp;""&amp;". Digite CERO si no tiene. ",IF(W271&gt;$D271,"* La variable Gestantes no debe ser mayor al Total Ambos Sexos. ",""))</f>
        <v xml:space="preserve">* La variable Gestantes no debe ser mayor al Total Ambos Sexos. </v>
      </c>
      <c r="CC271" s="2195" t="str">
        <f>IF(AND($D271&lt;&gt;0,X271=""),"* No olvide ingresar la variable "&amp;X$267&amp;""&amp;". Digite CERO si no tiene. ",IF(X271&gt;$D271,"* La variable Madre de hijo menor de 5 años no debe ser mayor al Total Ambos Sexos. ",""))</f>
        <v xml:space="preserve">* La variable Madre de hijo menor de 5 años no debe ser mayor al Total Ambos Sexos. </v>
      </c>
      <c r="CD271" s="2195" t="str">
        <f>IF(AND($D271&lt;&gt;0,Y271=""),"* No olvide ingresar la variable "&amp;Y$267&amp;""&amp;". Digite CERO si no tiene. ",IF(Y271&gt;$D271,"* La variable Niños, Niñas, Adolescentes y Jóvenes  SENAME no debe ser mayor al Total Ambos Sexos. ",""))</f>
        <v xml:space="preserve">* La variable Niños, Niñas, Adolescentes y Jóvenes  SENAME no debe ser mayor al Total Ambos Sexos. </v>
      </c>
      <c r="CE271" s="2195" t="str">
        <f>IF(AND($D271&lt;&gt;0,Z271=""),"* No olvide ingresar la variable "&amp;Z$267&amp;""&amp;". Digite CERO si no tiene. ",IF(Z271&gt;$D271,"* La variable Niños, Niñas, Adolescentes y Jóvenes  Mejor Niñez no debe ser mayor al Total Ambos Sexos. ",""))</f>
        <v xml:space="preserve">* La variable Niños, Niñas, Adolescentes y Jóvenes  Mejor Niñez no debe ser mayor al Total Ambos Sexos. </v>
      </c>
      <c r="CF271" s="2195" t="str">
        <f>IF(AND($F271&lt;&gt;0,AA271=""),"* No olvide ingresar la variable "&amp;AA$267&amp;""&amp;" Masculino. Digite CERO si no tiene. ",IF(AA271&gt;$F271,"* La variable TRANS Masculino no debe ser mayor al Total Mujeres. ",""))</f>
        <v xml:space="preserve">* La variable TRANS Masculino no debe ser mayor al Total Mujeres. </v>
      </c>
      <c r="CG271" s="2195" t="str">
        <f>IF(AND($E271&lt;&gt;0,AB271=""),"* No olvide ingresar la variable "&amp;AA$267&amp;""&amp;" Femenino. Digite CERO si no tiene. ",IF(AB271&gt;$E271,"* La variable TRANS Femenino no debe ser mayor al Total Hombres. ",""))</f>
        <v xml:space="preserve">* La variable TRANS Femenino no debe ser mayor al Total Hombres. </v>
      </c>
      <c r="CH271" s="2195" t="str">
        <f>IF(AND($D271&lt;&gt;0,AC271=""),"* No olvide ingresar la variable "&amp;AC$267&amp;""&amp;". Digite CERO si no tiene. ",IF(AC271&gt;$D271,"* La variable Pueblos Originarios no debe ser mayor al Total Ambos Sexos. ",""))</f>
        <v xml:space="preserve">* La variable Pueblos Originarios no debe ser mayor al Total Ambos Sexos. </v>
      </c>
      <c r="CI271" s="2195" t="str">
        <f>IF(AND($D271&lt;&gt;0,AD271=""),"* No olvide ingresar la variable "&amp;AD$267&amp;""&amp;". Digite CERO si no tiene. ",IF(AD271&gt;$D271,"* La variable Migrantes no debe ser mayor al Total Ambos Sexos. ",""))</f>
        <v xml:space="preserve">* La variable Migrantes no debe ser mayor al Total Ambos Sexos. </v>
      </c>
      <c r="CJ271" s="99"/>
      <c r="CL271" s="55">
        <f>IF(AND($D271&lt;&gt;0,W271=""),1,IF(W271&gt;$D271,1,0))</f>
        <v>1</v>
      </c>
      <c r="CM271" s="55">
        <f>IF(AND($D271&lt;&gt;0,X271=""),1,IF(X271&gt;$D271,1,0))</f>
        <v>1</v>
      </c>
      <c r="CN271" s="55">
        <f>IF(AND($D271&lt;&gt;0,Y271=""),1,IF(Y271&gt;$D271,1,0))</f>
        <v>1</v>
      </c>
      <c r="CO271" s="55">
        <f>IF(AND($D271&lt;&gt;0,Z271=""),1,IF(Z271&gt;$D271,1,0))</f>
        <v>1</v>
      </c>
      <c r="CP271" s="55">
        <f>IF(AND($F271&lt;&gt;0,AA271=""),1,IF(AA271&gt;$F271,1,0))</f>
        <v>1</v>
      </c>
      <c r="CQ271" s="55">
        <f>IF(AND($E271&lt;&gt;0,AB271=""),1,IF(AB271&gt;$E271,1,0))</f>
        <v>1</v>
      </c>
      <c r="CR271" s="55">
        <f>IF(AND($D271&lt;&gt;0,AC271=""),1,IF(AC271&gt;$D271,1,0))</f>
        <v>1</v>
      </c>
      <c r="CS271" s="55">
        <f>IF(AND($D271&lt;&gt;0,AD271=""),1,IF(AD271&gt;$D271,1,0))</f>
        <v>1</v>
      </c>
    </row>
    <row r="272" spans="1:97" x14ac:dyDescent="0.25">
      <c r="A272" s="5605" t="s">
        <v>4774</v>
      </c>
      <c r="B272" s="6112"/>
      <c r="C272" s="357" t="s">
        <v>467</v>
      </c>
      <c r="D272" s="2251" t="s">
        <v>4567</v>
      </c>
      <c r="E272" s="738" t="s">
        <v>4568</v>
      </c>
      <c r="F272" s="739" t="s">
        <v>4569</v>
      </c>
      <c r="G272" s="326" t="s">
        <v>4570</v>
      </c>
      <c r="H272" s="142" t="s">
        <v>4571</v>
      </c>
      <c r="I272" s="326" t="s">
        <v>4572</v>
      </c>
      <c r="J272" s="142" t="s">
        <v>4573</v>
      </c>
      <c r="K272" s="326" t="s">
        <v>4574</v>
      </c>
      <c r="L272" s="142" t="s">
        <v>4575</v>
      </c>
      <c r="M272" s="326" t="s">
        <v>4576</v>
      </c>
      <c r="N272" s="142" t="s">
        <v>4577</v>
      </c>
      <c r="O272" s="326" t="s">
        <v>4578</v>
      </c>
      <c r="P272" s="142" t="s">
        <v>4579</v>
      </c>
      <c r="Q272" s="326" t="s">
        <v>4580</v>
      </c>
      <c r="R272" s="142" t="s">
        <v>4581</v>
      </c>
      <c r="S272" s="326" t="s">
        <v>4582</v>
      </c>
      <c r="T272" s="142" t="s">
        <v>4583</v>
      </c>
      <c r="U272" s="326" t="s">
        <v>4584</v>
      </c>
      <c r="V272" s="1884" t="s">
        <v>4585</v>
      </c>
      <c r="W272" s="336" t="s">
        <v>4586</v>
      </c>
      <c r="X272" s="142" t="s">
        <v>4587</v>
      </c>
      <c r="Y272" s="44" t="s">
        <v>4588</v>
      </c>
      <c r="Z272" s="142" t="s">
        <v>4589</v>
      </c>
      <c r="AA272" s="326" t="s">
        <v>4590</v>
      </c>
      <c r="AB272" s="142" t="s">
        <v>4591</v>
      </c>
      <c r="AC272" s="326" t="s">
        <v>4592</v>
      </c>
      <c r="AD272" s="882" t="s">
        <v>4593</v>
      </c>
      <c r="AE272" s="24" t="str">
        <f t="shared" ref="AE272:AE274" si="67">CB272&amp;CC272&amp;CD272&amp;CE272&amp;CF272&amp;CG272&amp;CH272&amp;CI272</f>
        <v xml:space="preserve">* La variable Gestantes no debe ser mayor al Total Ambos Sexos. * La variable Madre de hijo menor de 5 años no debe ser mayor al Total Ambos Sexos. * La variable Niños, Niñas, Adolescentes y Jóvenes  SENAME no debe ser mayor al Total Ambos Sexos. * La variable Niños, Niñas, Adolescentes y Jóvenes  Mejor Niñez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CB272" s="2195" t="str">
        <f t="shared" ref="CB272:CB274" si="68">IF(AND($D272&lt;&gt;0,W272=""),"* No olvide ingresar la variable "&amp;W$267&amp;""&amp;". Digite CERO si no tiene. ",IF(W272&gt;$D272,"* La variable Gestantes no debe ser mayor al Total Ambos Sexos. ",""))</f>
        <v xml:space="preserve">* La variable Gestantes no debe ser mayor al Total Ambos Sexos. </v>
      </c>
      <c r="CC272" s="2195" t="str">
        <f t="shared" ref="CC272:CC274" si="69">IF(AND($D272&lt;&gt;0,X272=""),"* No olvide ingresar la variable "&amp;X$267&amp;""&amp;". Digite CERO si no tiene. ",IF(X272&gt;$D272,"* La variable Madre de hijo menor de 5 años no debe ser mayor al Total Ambos Sexos. ",""))</f>
        <v xml:space="preserve">* La variable Madre de hijo menor de 5 años no debe ser mayor al Total Ambos Sexos. </v>
      </c>
      <c r="CD272" s="2195" t="str">
        <f t="shared" ref="CD272:CD274" si="70">IF(AND($D272&lt;&gt;0,Y272=""),"* No olvide ingresar la variable "&amp;Y$267&amp;""&amp;". Digite CERO si no tiene. ",IF(Y272&gt;$D272,"* La variable Niños, Niñas, Adolescentes y Jóvenes  SENAME no debe ser mayor al Total Ambos Sexos. ",""))</f>
        <v xml:space="preserve">* La variable Niños, Niñas, Adolescentes y Jóvenes  SENAME no debe ser mayor al Total Ambos Sexos. </v>
      </c>
      <c r="CE272" s="2195" t="str">
        <f t="shared" ref="CE272:CE274" si="71">IF(AND($D272&lt;&gt;0,Z272=""),"* No olvide ingresar la variable "&amp;Z$267&amp;""&amp;". Digite CERO si no tiene. ",IF(Z272&gt;$D272,"* La variable Niños, Niñas, Adolescentes y Jóvenes  Mejor Niñez no debe ser mayor al Total Ambos Sexos. ",""))</f>
        <v xml:space="preserve">* La variable Niños, Niñas, Adolescentes y Jóvenes  Mejor Niñez no debe ser mayor al Total Ambos Sexos. </v>
      </c>
      <c r="CF272" s="2195" t="str">
        <f t="shared" ref="CF272:CF274" si="72">IF(AND($F272&lt;&gt;0,AA272=""),"* No olvide ingresar la variable "&amp;AA$267&amp;""&amp;" Masculino. Digite CERO si no tiene. ",IF(AA272&gt;$F272,"* La variable TRANS Masculino no debe ser mayor al Total Mujeres. ",""))</f>
        <v xml:space="preserve">* La variable TRANS Masculino no debe ser mayor al Total Mujeres. </v>
      </c>
      <c r="CG272" s="2195" t="str">
        <f t="shared" ref="CG272:CG274" si="73">IF(AND($E272&lt;&gt;0,AB272=""),"* No olvide ingresar la variable "&amp;AA$267&amp;""&amp;" Femenino. Digite CERO si no tiene. ",IF(AB272&gt;$E272,"* La variable TRANS Femenino no debe ser mayor al Total Hombres. ",""))</f>
        <v xml:space="preserve">* La variable TRANS Femenino no debe ser mayor al Total Hombres. </v>
      </c>
      <c r="CH272" s="2195" t="str">
        <f t="shared" ref="CH272:CH274" si="74">IF(AND($D272&lt;&gt;0,AC272=""),"* No olvide ingresar la variable "&amp;AC$267&amp;""&amp;". Digite CERO si no tiene. ",IF(AC272&gt;$D272,"* La variable Pueblos Originarios no debe ser mayor al Total Ambos Sexos. ",""))</f>
        <v xml:space="preserve">* La variable Pueblos Originarios no debe ser mayor al Total Ambos Sexos. </v>
      </c>
      <c r="CI272" s="2195" t="str">
        <f t="shared" ref="CI272:CI274" si="75">IF(AND($D272&lt;&gt;0,AD272=""),"* No olvide ingresar la variable "&amp;AD$267&amp;""&amp;". Digite CERO si no tiene. ",IF(AD272&gt;$D272,"* La variable Migrantes no debe ser mayor al Total Ambos Sexos. ",""))</f>
        <v xml:space="preserve">* La variable Migrantes no debe ser mayor al Total Ambos Sexos. </v>
      </c>
      <c r="CJ272" s="99"/>
      <c r="CL272" s="55">
        <f t="shared" ref="CL272:CL274" si="76">IF(AND($D272&lt;&gt;0,W272=""),1,IF(W272&gt;$D272,1,0))</f>
        <v>1</v>
      </c>
      <c r="CM272" s="55">
        <f t="shared" ref="CM272:CM274" si="77">IF(AND($D272&lt;&gt;0,X272=""),1,IF(X272&gt;$D272,1,0))</f>
        <v>1</v>
      </c>
      <c r="CN272" s="55">
        <f t="shared" ref="CN272:CN274" si="78">IF(AND($D272&lt;&gt;0,Y272=""),1,IF(Y272&gt;$D272,1,0))</f>
        <v>1</v>
      </c>
      <c r="CO272" s="55">
        <f t="shared" ref="CO272:CO274" si="79">IF(AND($D272&lt;&gt;0,Z272=""),1,IF(Z272&gt;$D272,1,0))</f>
        <v>1</v>
      </c>
      <c r="CP272" s="55">
        <f t="shared" ref="CP272:CP274" si="80">IF(AND($F272&lt;&gt;0,AA272=""),1,IF(AA272&gt;$F272,1,0))</f>
        <v>1</v>
      </c>
      <c r="CQ272" s="55">
        <f t="shared" ref="CQ272:CQ274" si="81">IF(AND($E272&lt;&gt;0,AB272=""),1,IF(AB272&gt;$E272,1,0))</f>
        <v>1</v>
      </c>
      <c r="CR272" s="55">
        <f t="shared" ref="CR272:CR274" si="82">IF(AND($D272&lt;&gt;0,AC272=""),1,IF(AC272&gt;$D272,1,0))</f>
        <v>1</v>
      </c>
      <c r="CS272" s="55">
        <f t="shared" ref="CS272:CS273" si="83">IF(AND($D272&lt;&gt;0,AD272=""),1,IF(AD272&gt;$D272,1,0))</f>
        <v>1</v>
      </c>
    </row>
    <row r="273" spans="1:97" x14ac:dyDescent="0.25">
      <c r="A273" s="5605" t="s">
        <v>4775</v>
      </c>
      <c r="B273" s="6112"/>
      <c r="C273" s="356" t="s">
        <v>468</v>
      </c>
      <c r="D273" s="2251" t="s">
        <v>4567</v>
      </c>
      <c r="E273" s="738" t="s">
        <v>4568</v>
      </c>
      <c r="F273" s="739" t="s">
        <v>4569</v>
      </c>
      <c r="G273" s="328" t="s">
        <v>4570</v>
      </c>
      <c r="H273" s="329" t="s">
        <v>4571</v>
      </c>
      <c r="I273" s="328" t="s">
        <v>4572</v>
      </c>
      <c r="J273" s="329" t="s">
        <v>4573</v>
      </c>
      <c r="K273" s="328" t="s">
        <v>4574</v>
      </c>
      <c r="L273" s="329" t="s">
        <v>4575</v>
      </c>
      <c r="M273" s="328" t="s">
        <v>4576</v>
      </c>
      <c r="N273" s="329" t="s">
        <v>4577</v>
      </c>
      <c r="O273" s="328" t="s">
        <v>4578</v>
      </c>
      <c r="P273" s="329" t="s">
        <v>4579</v>
      </c>
      <c r="Q273" s="328" t="s">
        <v>4580</v>
      </c>
      <c r="R273" s="329" t="s">
        <v>4581</v>
      </c>
      <c r="S273" s="328" t="s">
        <v>4582</v>
      </c>
      <c r="T273" s="329" t="s">
        <v>4583</v>
      </c>
      <c r="U273" s="328" t="s">
        <v>4584</v>
      </c>
      <c r="V273" s="2268" t="s">
        <v>4585</v>
      </c>
      <c r="W273" s="1970" t="s">
        <v>4586</v>
      </c>
      <c r="X273" s="329" t="s">
        <v>4587</v>
      </c>
      <c r="Y273" s="2034" t="s">
        <v>4588</v>
      </c>
      <c r="Z273" s="329" t="s">
        <v>4589</v>
      </c>
      <c r="AA273" s="328" t="s">
        <v>4590</v>
      </c>
      <c r="AB273" s="329" t="s">
        <v>4591</v>
      </c>
      <c r="AC273" s="328" t="s">
        <v>4592</v>
      </c>
      <c r="AD273" s="1969" t="s">
        <v>4593</v>
      </c>
      <c r="AE273" s="24" t="str">
        <f t="shared" si="67"/>
        <v xml:space="preserve">* La variable Gestantes no debe ser mayor al Total Ambos Sexos. * La variable Madre de hijo menor de 5 años no debe ser mayor al Total Ambos Sexos. * La variable Niños, Niñas, Adolescentes y Jóvenes  SENAME no debe ser mayor al Total Ambos Sexos. * La variable Niños, Niñas, Adolescentes y Jóvenes  Mejor Niñez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CB273" s="2195" t="str">
        <f t="shared" si="68"/>
        <v xml:space="preserve">* La variable Gestantes no debe ser mayor al Total Ambos Sexos. </v>
      </c>
      <c r="CC273" s="2195" t="str">
        <f t="shared" si="69"/>
        <v xml:space="preserve">* La variable Madre de hijo menor de 5 años no debe ser mayor al Total Ambos Sexos. </v>
      </c>
      <c r="CD273" s="2195" t="str">
        <f t="shared" si="70"/>
        <v xml:space="preserve">* La variable Niños, Niñas, Adolescentes y Jóvenes  SENAME no debe ser mayor al Total Ambos Sexos. </v>
      </c>
      <c r="CE273" s="2195" t="str">
        <f t="shared" si="71"/>
        <v xml:space="preserve">* La variable Niños, Niñas, Adolescentes y Jóvenes  Mejor Niñez no debe ser mayor al Total Ambos Sexos. </v>
      </c>
      <c r="CF273" s="2195" t="str">
        <f t="shared" si="72"/>
        <v xml:space="preserve">* La variable TRANS Masculino no debe ser mayor al Total Mujeres. </v>
      </c>
      <c r="CG273" s="2195" t="str">
        <f t="shared" si="73"/>
        <v xml:space="preserve">* La variable TRANS Femenino no debe ser mayor al Total Hombres. </v>
      </c>
      <c r="CH273" s="2195" t="str">
        <f t="shared" si="74"/>
        <v xml:space="preserve">* La variable Pueblos Originarios no debe ser mayor al Total Ambos Sexos. </v>
      </c>
      <c r="CI273" s="2195" t="str">
        <f t="shared" si="75"/>
        <v xml:space="preserve">* La variable Migrantes no debe ser mayor al Total Ambos Sexos. </v>
      </c>
      <c r="CJ273" s="99"/>
      <c r="CL273" s="55">
        <f t="shared" si="76"/>
        <v>1</v>
      </c>
      <c r="CM273" s="55">
        <f t="shared" si="77"/>
        <v>1</v>
      </c>
      <c r="CN273" s="55">
        <f t="shared" si="78"/>
        <v>1</v>
      </c>
      <c r="CO273" s="55">
        <f t="shared" si="79"/>
        <v>1</v>
      </c>
      <c r="CP273" s="55">
        <f t="shared" si="80"/>
        <v>1</v>
      </c>
      <c r="CQ273" s="55">
        <f t="shared" si="81"/>
        <v>1</v>
      </c>
      <c r="CR273" s="55">
        <f t="shared" si="82"/>
        <v>1</v>
      </c>
      <c r="CS273" s="55">
        <f t="shared" si="83"/>
        <v>1</v>
      </c>
    </row>
    <row r="274" spans="1:97" x14ac:dyDescent="0.25">
      <c r="A274" s="5605" t="s">
        <v>4776</v>
      </c>
      <c r="B274" s="6113"/>
      <c r="C274" s="517" t="s">
        <v>469</v>
      </c>
      <c r="D274" s="2255" t="s">
        <v>4567</v>
      </c>
      <c r="E274" s="741" t="s">
        <v>4568</v>
      </c>
      <c r="F274" s="742" t="s">
        <v>4569</v>
      </c>
      <c r="G274" s="1906" t="s">
        <v>4570</v>
      </c>
      <c r="H274" s="2076" t="s">
        <v>4571</v>
      </c>
      <c r="I274" s="1906" t="s">
        <v>4572</v>
      </c>
      <c r="J274" s="2076" t="s">
        <v>4573</v>
      </c>
      <c r="K274" s="1906" t="s">
        <v>4574</v>
      </c>
      <c r="L274" s="2076" t="s">
        <v>4575</v>
      </c>
      <c r="M274" s="1906" t="s">
        <v>4576</v>
      </c>
      <c r="N274" s="2076" t="s">
        <v>4577</v>
      </c>
      <c r="O274" s="1906" t="s">
        <v>4578</v>
      </c>
      <c r="P274" s="2076" t="s">
        <v>4579</v>
      </c>
      <c r="Q274" s="1906" t="s">
        <v>4580</v>
      </c>
      <c r="R274" s="2076" t="s">
        <v>4581</v>
      </c>
      <c r="S274" s="1906" t="s">
        <v>4582</v>
      </c>
      <c r="T274" s="2076" t="s">
        <v>4583</v>
      </c>
      <c r="U274" s="1906" t="s">
        <v>4584</v>
      </c>
      <c r="V274" s="2612" t="s">
        <v>4585</v>
      </c>
      <c r="W274" s="2075" t="s">
        <v>4586</v>
      </c>
      <c r="X274" s="2076" t="s">
        <v>4587</v>
      </c>
      <c r="Y274" s="2053" t="s">
        <v>4588</v>
      </c>
      <c r="Z274" s="2076" t="s">
        <v>4589</v>
      </c>
      <c r="AA274" s="1906" t="s">
        <v>4590</v>
      </c>
      <c r="AB274" s="2076" t="s">
        <v>4591</v>
      </c>
      <c r="AC274" s="1906" t="s">
        <v>4592</v>
      </c>
      <c r="AD274" s="324" t="s">
        <v>4593</v>
      </c>
      <c r="AE274" s="24" t="str">
        <f t="shared" si="67"/>
        <v xml:space="preserve">* La variable Gestantes no debe ser mayor al Total Ambos Sexos. * La variable Madre de hijo menor de 5 años no debe ser mayor al Total Ambos Sexos. * La variable Niños, Niñas, Adolescentes y Jóvenes  SENAME no debe ser mayor al Total Ambos Sexos. * La variable Niños, Niñas, Adolescentes y Jóvenes  Mejor Niñez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CB274" s="2195" t="str">
        <f t="shared" si="68"/>
        <v xml:space="preserve">* La variable Gestantes no debe ser mayor al Total Ambos Sexos. </v>
      </c>
      <c r="CC274" s="2195" t="str">
        <f t="shared" si="69"/>
        <v xml:space="preserve">* La variable Madre de hijo menor de 5 años no debe ser mayor al Total Ambos Sexos. </v>
      </c>
      <c r="CD274" s="2195" t="str">
        <f t="shared" si="70"/>
        <v xml:space="preserve">* La variable Niños, Niñas, Adolescentes y Jóvenes  SENAME no debe ser mayor al Total Ambos Sexos. </v>
      </c>
      <c r="CE274" s="2195" t="str">
        <f t="shared" si="71"/>
        <v xml:space="preserve">* La variable Niños, Niñas, Adolescentes y Jóvenes  Mejor Niñez no debe ser mayor al Total Ambos Sexos. </v>
      </c>
      <c r="CF274" s="2195" t="str">
        <f t="shared" si="72"/>
        <v xml:space="preserve">* La variable TRANS Masculino no debe ser mayor al Total Mujeres. </v>
      </c>
      <c r="CG274" s="2195" t="str">
        <f t="shared" si="73"/>
        <v xml:space="preserve">* La variable TRANS Femenino no debe ser mayor al Total Hombres. </v>
      </c>
      <c r="CH274" s="2195" t="str">
        <f t="shared" si="74"/>
        <v xml:space="preserve">* La variable Pueblos Originarios no debe ser mayor al Total Ambos Sexos. </v>
      </c>
      <c r="CI274" s="2195" t="str">
        <f t="shared" si="75"/>
        <v xml:space="preserve">* La variable Migrantes no debe ser mayor al Total Ambos Sexos. </v>
      </c>
      <c r="CJ274" s="99"/>
      <c r="CL274" s="55">
        <f t="shared" si="76"/>
        <v>1</v>
      </c>
      <c r="CM274" s="55">
        <f t="shared" si="77"/>
        <v>1</v>
      </c>
      <c r="CN274" s="55">
        <f t="shared" si="78"/>
        <v>1</v>
      </c>
      <c r="CO274" s="55">
        <f t="shared" si="79"/>
        <v>1</v>
      </c>
      <c r="CP274" s="55">
        <f t="shared" si="80"/>
        <v>1</v>
      </c>
      <c r="CQ274" s="55">
        <f t="shared" si="81"/>
        <v>1</v>
      </c>
      <c r="CR274" s="55">
        <f t="shared" si="82"/>
        <v>1</v>
      </c>
      <c r="CS274" s="55">
        <f>IF(AND($D274&lt;&gt;0,AD274=""),1,IF(AD274&gt;$D274,1,0))</f>
        <v>1</v>
      </c>
    </row>
    <row r="275" spans="1:97" x14ac:dyDescent="0.25">
      <c r="A275" s="5548"/>
    </row>
    <row r="276" spans="1:97" x14ac:dyDescent="0.25">
      <c r="A276" s="5548"/>
    </row>
    <row r="277" spans="1:97" ht="12" customHeight="1" x14ac:dyDescent="0.25">
      <c r="A277" t="s">
        <v>4777</v>
      </c>
    </row>
    <row r="278" spans="1:97" ht="18" hidden="1" customHeight="1" x14ac:dyDescent="0.25">
      <c r="A278" s="5601" t="s">
        <v>4778</v>
      </c>
      <c r="B278" s="2613" t="e">
        <f>SUM(D13:D15,D20:D41,C46:C49,C54:C57,D61:D67,C72:C74,C80:C83,C86:G87,D90:H93,D97:D102,D108:D117,D122:D158,D163:D168,D173:D178,D183:D186,D192:D194,D199:D201,D206:D208,D213:D215,F219:I221,F223:G226,D230:E231,D237:F241,D246:D255,D260:D265,D270:D274)</f>
        <v>#VALUE!</v>
      </c>
      <c r="C278" s="2613" t="e">
        <f>SUM(CL20:CS274)</f>
        <v>#VALUE!</v>
      </c>
    </row>
    <row r="279" spans="1:97" x14ac:dyDescent="0.25">
      <c r="A279" s="5601" t="s">
        <v>4779</v>
      </c>
    </row>
    <row r="280" spans="1:97" x14ac:dyDescent="0.25">
      <c r="A280" s="5601" t="s">
        <v>4780</v>
      </c>
    </row>
    <row r="281" spans="1:97" x14ac:dyDescent="0.25">
      <c r="A281" s="5601" t="s">
        <v>4781</v>
      </c>
    </row>
    <row r="282" spans="1:97" x14ac:dyDescent="0.25">
      <c r="A282" s="5601" t="s">
        <v>4782</v>
      </c>
    </row>
    <row r="283" spans="1:97" x14ac:dyDescent="0.25">
      <c r="A283" s="5601" t="s">
        <v>4783</v>
      </c>
    </row>
    <row r="284" spans="1:97" x14ac:dyDescent="0.25">
      <c r="A284" s="5601" t="s">
        <v>4784</v>
      </c>
    </row>
    <row r="285" spans="1:97" x14ac:dyDescent="0.25">
      <c r="A285" s="5601" t="s">
        <v>4785</v>
      </c>
    </row>
    <row r="286" spans="1:97" x14ac:dyDescent="0.25">
      <c r="A286" s="5601" t="s">
        <v>4786</v>
      </c>
    </row>
    <row r="287" spans="1:97" x14ac:dyDescent="0.25">
      <c r="A287" s="5601" t="s">
        <v>4787</v>
      </c>
    </row>
    <row r="288" spans="1:97" x14ac:dyDescent="0.25">
      <c r="A288" s="5609" t="s">
        <v>4788</v>
      </c>
    </row>
    <row r="289" spans="1:1" x14ac:dyDescent="0.25">
      <c r="A289" s="5609" t="s">
        <v>4789</v>
      </c>
    </row>
    <row r="290" spans="1:1" x14ac:dyDescent="0.25">
      <c r="A290" s="5609" t="s">
        <v>4790</v>
      </c>
    </row>
    <row r="291" spans="1:1" x14ac:dyDescent="0.25">
      <c r="A291" s="5609" t="s">
        <v>4791</v>
      </c>
    </row>
    <row r="292" spans="1:1" x14ac:dyDescent="0.25">
      <c r="A292" s="5609" t="s">
        <v>4792</v>
      </c>
    </row>
    <row r="293" spans="1:1" x14ac:dyDescent="0.25">
      <c r="A293" s="5609" t="s">
        <v>4793</v>
      </c>
    </row>
    <row r="294" spans="1:1" x14ac:dyDescent="0.25">
      <c r="A294" s="5609" t="s">
        <v>4794</v>
      </c>
    </row>
    <row r="295" spans="1:1" x14ac:dyDescent="0.25">
      <c r="A295" s="5609" t="s">
        <v>4795</v>
      </c>
    </row>
    <row r="296" spans="1:1" x14ac:dyDescent="0.25">
      <c r="A296" s="5609" t="s">
        <v>4796</v>
      </c>
    </row>
    <row r="297" spans="1:1" x14ac:dyDescent="0.25">
      <c r="A297" s="5617" t="s">
        <v>4797</v>
      </c>
    </row>
    <row r="298" spans="1:1" x14ac:dyDescent="0.25">
      <c r="A298" s="5617" t="s">
        <v>4798</v>
      </c>
    </row>
    <row r="299" spans="1:1" x14ac:dyDescent="0.25">
      <c r="A299" s="5617" t="s">
        <v>4799</v>
      </c>
    </row>
    <row r="300" spans="1:1" x14ac:dyDescent="0.25">
      <c r="A300" s="5617" t="s">
        <v>4800</v>
      </c>
    </row>
    <row r="301" spans="1:1" x14ac:dyDescent="0.25">
      <c r="A301" s="5617" t="s">
        <v>4801</v>
      </c>
    </row>
    <row r="302" spans="1:1" x14ac:dyDescent="0.25">
      <c r="A302" s="5617" t="s">
        <v>4802</v>
      </c>
    </row>
    <row r="304" spans="1:1" x14ac:dyDescent="0.25">
      <c r="A304" s="5618" t="s">
        <v>4566</v>
      </c>
    </row>
    <row r="305" spans="1:1" x14ac:dyDescent="0.25">
      <c r="A305" s="5605" t="s">
        <v>4683</v>
      </c>
    </row>
    <row r="306" spans="1:1" x14ac:dyDescent="0.25">
      <c r="A306" s="5605" t="s">
        <v>4735</v>
      </c>
    </row>
    <row r="307" spans="1:1" x14ac:dyDescent="0.25">
      <c r="A307" s="5605" t="s">
        <v>4736</v>
      </c>
    </row>
    <row r="308" spans="1:1" x14ac:dyDescent="0.25">
      <c r="A308" s="5605" t="s">
        <v>4742</v>
      </c>
    </row>
    <row r="309" spans="1:1" x14ac:dyDescent="0.25">
      <c r="A309" s="5605" t="s">
        <v>4743</v>
      </c>
    </row>
    <row r="310" spans="1:1" x14ac:dyDescent="0.25">
      <c r="A310" s="5605" t="s">
        <v>4744</v>
      </c>
    </row>
    <row r="311" spans="1:1" x14ac:dyDescent="0.25">
      <c r="A311" s="5605" t="s">
        <v>4745</v>
      </c>
    </row>
    <row r="312" spans="1:1" x14ac:dyDescent="0.25">
      <c r="A312" s="5605" t="s">
        <v>4746</v>
      </c>
    </row>
    <row r="313" spans="1:1" x14ac:dyDescent="0.25">
      <c r="A313" s="5605" t="s">
        <v>4747</v>
      </c>
    </row>
    <row r="314" spans="1:1" x14ac:dyDescent="0.25">
      <c r="A314" s="5605" t="s">
        <v>4748</v>
      </c>
    </row>
    <row r="315" spans="1:1" x14ac:dyDescent="0.25">
      <c r="A315" s="5605" t="s">
        <v>4749</v>
      </c>
    </row>
    <row r="316" spans="1:1" x14ac:dyDescent="0.25">
      <c r="A316" s="5605" t="s">
        <v>4750</v>
      </c>
    </row>
    <row r="317" spans="1:1" x14ac:dyDescent="0.25">
      <c r="A317" s="5605" t="s">
        <v>4772</v>
      </c>
    </row>
    <row r="318" spans="1:1" x14ac:dyDescent="0.25">
      <c r="A318" s="5605" t="s">
        <v>4773</v>
      </c>
    </row>
    <row r="319" spans="1:1" x14ac:dyDescent="0.25">
      <c r="A319" s="5605" t="s">
        <v>4774</v>
      </c>
    </row>
    <row r="320" spans="1:1" x14ac:dyDescent="0.25">
      <c r="A320" s="5605" t="s">
        <v>4775</v>
      </c>
    </row>
    <row r="321" spans="1:1" x14ac:dyDescent="0.25">
      <c r="A321" s="5605" t="s">
        <v>4776</v>
      </c>
    </row>
  </sheetData>
  <mergeCells count="335">
    <mergeCell ref="AC119:AC121"/>
    <mergeCell ref="AD119:AD121"/>
    <mergeCell ref="R43:R45"/>
    <mergeCell ref="S43:S45"/>
    <mergeCell ref="B20:C20"/>
    <mergeCell ref="B21:B24"/>
    <mergeCell ref="B25:B36"/>
    <mergeCell ref="B37:B38"/>
    <mergeCell ref="B59:C60"/>
    <mergeCell ref="B61:C61"/>
    <mergeCell ref="F44:G44"/>
    <mergeCell ref="H44:I44"/>
    <mergeCell ref="J44:K44"/>
    <mergeCell ref="L44:M44"/>
    <mergeCell ref="B69:B71"/>
    <mergeCell ref="C69:E70"/>
    <mergeCell ref="F69:I69"/>
    <mergeCell ref="J69:J71"/>
    <mergeCell ref="K69:K71"/>
    <mergeCell ref="F70:G70"/>
    <mergeCell ref="H70:I70"/>
    <mergeCell ref="B62:C62"/>
    <mergeCell ref="B63:C63"/>
    <mergeCell ref="B64:C64"/>
    <mergeCell ref="C17:C19"/>
    <mergeCell ref="D17:F18"/>
    <mergeCell ref="G17:R17"/>
    <mergeCell ref="B39:B41"/>
    <mergeCell ref="S17:S19"/>
    <mergeCell ref="D59:D60"/>
    <mergeCell ref="E59:K59"/>
    <mergeCell ref="L59:L60"/>
    <mergeCell ref="M59:M60"/>
    <mergeCell ref="N44:O44"/>
    <mergeCell ref="P44:Q44"/>
    <mergeCell ref="B51:B53"/>
    <mergeCell ref="C51:E52"/>
    <mergeCell ref="F51:I51"/>
    <mergeCell ref="J51:J53"/>
    <mergeCell ref="K51:K53"/>
    <mergeCell ref="F52:G52"/>
    <mergeCell ref="H52:I52"/>
    <mergeCell ref="B43:B45"/>
    <mergeCell ref="C43:E44"/>
    <mergeCell ref="F43:Q43"/>
    <mergeCell ref="T17:T19"/>
    <mergeCell ref="G18:H18"/>
    <mergeCell ref="I18:J18"/>
    <mergeCell ref="K18:L18"/>
    <mergeCell ref="M18:N18"/>
    <mergeCell ref="Y11:Z11"/>
    <mergeCell ref="B13:C13"/>
    <mergeCell ref="B14:B15"/>
    <mergeCell ref="B6:Z6"/>
    <mergeCell ref="B10:C12"/>
    <mergeCell ref="D10:F11"/>
    <mergeCell ref="G10:Z10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O18:P18"/>
    <mergeCell ref="Q18:R18"/>
    <mergeCell ref="B17:B19"/>
    <mergeCell ref="B65:C65"/>
    <mergeCell ref="B66:C66"/>
    <mergeCell ref="B67:C67"/>
    <mergeCell ref="D95:F95"/>
    <mergeCell ref="G95:H95"/>
    <mergeCell ref="I95:J95"/>
    <mergeCell ref="B97:C97"/>
    <mergeCell ref="B98:C98"/>
    <mergeCell ref="B99:C99"/>
    <mergeCell ref="B77:B79"/>
    <mergeCell ref="C77:C78"/>
    <mergeCell ref="B89:C89"/>
    <mergeCell ref="B90:B91"/>
    <mergeCell ref="B92:B93"/>
    <mergeCell ref="B95:C96"/>
    <mergeCell ref="Q106:R106"/>
    <mergeCell ref="S106:T106"/>
    <mergeCell ref="U106:V106"/>
    <mergeCell ref="B100:C100"/>
    <mergeCell ref="B101:C101"/>
    <mergeCell ref="B102:C102"/>
    <mergeCell ref="B103:Q103"/>
    <mergeCell ref="B104:R104"/>
    <mergeCell ref="B105:C107"/>
    <mergeCell ref="D105:F106"/>
    <mergeCell ref="G105:V105"/>
    <mergeCell ref="G106:H106"/>
    <mergeCell ref="I106:J106"/>
    <mergeCell ref="B108:C108"/>
    <mergeCell ref="B109:C109"/>
    <mergeCell ref="B110:C110"/>
    <mergeCell ref="B111:C111"/>
    <mergeCell ref="B112:C112"/>
    <mergeCell ref="B113:C113"/>
    <mergeCell ref="K106:L106"/>
    <mergeCell ref="M106:N106"/>
    <mergeCell ref="O106:P106"/>
    <mergeCell ref="Q120:R120"/>
    <mergeCell ref="S120:T120"/>
    <mergeCell ref="U120:V120"/>
    <mergeCell ref="W120:X120"/>
    <mergeCell ref="Y120:Z120"/>
    <mergeCell ref="AA120:AB120"/>
    <mergeCell ref="B119:B121"/>
    <mergeCell ref="C119:C121"/>
    <mergeCell ref="D119:F120"/>
    <mergeCell ref="G119:AB119"/>
    <mergeCell ref="G120:H120"/>
    <mergeCell ref="I120:J120"/>
    <mergeCell ref="K120:L120"/>
    <mergeCell ref="M120:N120"/>
    <mergeCell ref="O120:P120"/>
    <mergeCell ref="B152:C152"/>
    <mergeCell ref="B153:B157"/>
    <mergeCell ref="B158:C158"/>
    <mergeCell ref="B160:C162"/>
    <mergeCell ref="D160:F161"/>
    <mergeCell ref="B122:B126"/>
    <mergeCell ref="B127:B131"/>
    <mergeCell ref="B132:B136"/>
    <mergeCell ref="B137:B141"/>
    <mergeCell ref="B142:B146"/>
    <mergeCell ref="B147:B151"/>
    <mergeCell ref="G160:AN160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K171:L171"/>
    <mergeCell ref="M171:N171"/>
    <mergeCell ref="O171:P171"/>
    <mergeCell ref="B173:B175"/>
    <mergeCell ref="B176:B178"/>
    <mergeCell ref="B179:P179"/>
    <mergeCell ref="AK161:AL161"/>
    <mergeCell ref="AM161:AN161"/>
    <mergeCell ref="B163:B165"/>
    <mergeCell ref="B166:B168"/>
    <mergeCell ref="B170:B172"/>
    <mergeCell ref="C170:C172"/>
    <mergeCell ref="D170:F171"/>
    <mergeCell ref="G170:P170"/>
    <mergeCell ref="G171:H171"/>
    <mergeCell ref="I171:J171"/>
    <mergeCell ref="Y161:Z161"/>
    <mergeCell ref="AA161:AB161"/>
    <mergeCell ref="AC161:AD161"/>
    <mergeCell ref="AE161:AF161"/>
    <mergeCell ref="AG161:AH161"/>
    <mergeCell ref="AI161:AJ161"/>
    <mergeCell ref="B199:C199"/>
    <mergeCell ref="B200:C200"/>
    <mergeCell ref="B201:C201"/>
    <mergeCell ref="B189:C191"/>
    <mergeCell ref="D189:F190"/>
    <mergeCell ref="B180:C182"/>
    <mergeCell ref="D180:F181"/>
    <mergeCell ref="G180:R180"/>
    <mergeCell ref="G181:H181"/>
    <mergeCell ref="I181:J181"/>
    <mergeCell ref="K181:L181"/>
    <mergeCell ref="M181:N181"/>
    <mergeCell ref="O181:P181"/>
    <mergeCell ref="Q181:R181"/>
    <mergeCell ref="G189:V189"/>
    <mergeCell ref="G190:H190"/>
    <mergeCell ref="I190:J190"/>
    <mergeCell ref="K190:L190"/>
    <mergeCell ref="M190:N190"/>
    <mergeCell ref="O190:P190"/>
    <mergeCell ref="Q190:R190"/>
    <mergeCell ref="S190:T190"/>
    <mergeCell ref="U190:V190"/>
    <mergeCell ref="B227:E227"/>
    <mergeCell ref="AE203:AF204"/>
    <mergeCell ref="AG203:AH204"/>
    <mergeCell ref="AI203:AI205"/>
    <mergeCell ref="AJ203:AJ205"/>
    <mergeCell ref="G204:H204"/>
    <mergeCell ref="I204:J204"/>
    <mergeCell ref="K204:L204"/>
    <mergeCell ref="M204:N204"/>
    <mergeCell ref="O204:P204"/>
    <mergeCell ref="Q204:R204"/>
    <mergeCell ref="AA204:AB204"/>
    <mergeCell ref="AC204:AD204"/>
    <mergeCell ref="B203:C205"/>
    <mergeCell ref="D203:F204"/>
    <mergeCell ref="G203:AD203"/>
    <mergeCell ref="S204:T204"/>
    <mergeCell ref="U204:V204"/>
    <mergeCell ref="W204:X204"/>
    <mergeCell ref="Y204:Z204"/>
    <mergeCell ref="B206:B207"/>
    <mergeCell ref="B208:C208"/>
    <mergeCell ref="B210:C212"/>
    <mergeCell ref="D210:F211"/>
    <mergeCell ref="M211:N211"/>
    <mergeCell ref="O211:P211"/>
    <mergeCell ref="B223:B226"/>
    <mergeCell ref="B222:E222"/>
    <mergeCell ref="C223:E223"/>
    <mergeCell ref="C224:C225"/>
    <mergeCell ref="D224:E224"/>
    <mergeCell ref="D225:E225"/>
    <mergeCell ref="D226:E226"/>
    <mergeCell ref="B229:C229"/>
    <mergeCell ref="M258:N258"/>
    <mergeCell ref="O258:P258"/>
    <mergeCell ref="S258:S259"/>
    <mergeCell ref="B252:C252"/>
    <mergeCell ref="B250:C250"/>
    <mergeCell ref="B251:C251"/>
    <mergeCell ref="B253:B255"/>
    <mergeCell ref="B246:C246"/>
    <mergeCell ref="B247:C247"/>
    <mergeCell ref="B248:C248"/>
    <mergeCell ref="B249:C249"/>
    <mergeCell ref="B234:C236"/>
    <mergeCell ref="D234:F234"/>
    <mergeCell ref="D235:D236"/>
    <mergeCell ref="E235:F235"/>
    <mergeCell ref="B237:C237"/>
    <mergeCell ref="B238:C238"/>
    <mergeCell ref="B239:C239"/>
    <mergeCell ref="B240:C240"/>
    <mergeCell ref="B241:C241"/>
    <mergeCell ref="B230:B231"/>
    <mergeCell ref="B232:C232"/>
    <mergeCell ref="W105:W107"/>
    <mergeCell ref="X105:X107"/>
    <mergeCell ref="B114:C114"/>
    <mergeCell ref="B115:B117"/>
    <mergeCell ref="B196:C198"/>
    <mergeCell ref="D196:F197"/>
    <mergeCell ref="G196:P196"/>
    <mergeCell ref="Q196:T196"/>
    <mergeCell ref="G197:H197"/>
    <mergeCell ref="I197:J197"/>
    <mergeCell ref="K197:L197"/>
    <mergeCell ref="M197:N197"/>
    <mergeCell ref="O197:P197"/>
    <mergeCell ref="Q197:Q198"/>
    <mergeCell ref="R197:R198"/>
    <mergeCell ref="S197:S198"/>
    <mergeCell ref="T197:T198"/>
    <mergeCell ref="B192:C192"/>
    <mergeCell ref="B193:C193"/>
    <mergeCell ref="B194:C194"/>
    <mergeCell ref="B183:C183"/>
    <mergeCell ref="B184:C184"/>
    <mergeCell ref="B185:C185"/>
    <mergeCell ref="B186:C186"/>
    <mergeCell ref="V210:AA211"/>
    <mergeCell ref="AB210:AG211"/>
    <mergeCell ref="B217:E218"/>
    <mergeCell ref="H217:I217"/>
    <mergeCell ref="J217:J218"/>
    <mergeCell ref="K217:K218"/>
    <mergeCell ref="B219:E219"/>
    <mergeCell ref="B220:E220"/>
    <mergeCell ref="B221:E221"/>
    <mergeCell ref="Q210:S210"/>
    <mergeCell ref="T210:T212"/>
    <mergeCell ref="U210:U212"/>
    <mergeCell ref="R211:R212"/>
    <mergeCell ref="S211:S212"/>
    <mergeCell ref="Q211:Q212"/>
    <mergeCell ref="B213:C213"/>
    <mergeCell ref="B214:C214"/>
    <mergeCell ref="B215:C215"/>
    <mergeCell ref="F217:F218"/>
    <mergeCell ref="G217:G218"/>
    <mergeCell ref="G211:H211"/>
    <mergeCell ref="I211:J211"/>
    <mergeCell ref="G210:P210"/>
    <mergeCell ref="K211:L211"/>
    <mergeCell ref="B260:B262"/>
    <mergeCell ref="B263:B265"/>
    <mergeCell ref="B242:N242"/>
    <mergeCell ref="B243:C245"/>
    <mergeCell ref="D243:F244"/>
    <mergeCell ref="G243:AB243"/>
    <mergeCell ref="G244:H244"/>
    <mergeCell ref="I244:J244"/>
    <mergeCell ref="K244:L244"/>
    <mergeCell ref="M244:N244"/>
    <mergeCell ref="O244:P244"/>
    <mergeCell ref="Q244:R244"/>
    <mergeCell ref="S244:T244"/>
    <mergeCell ref="U244:V244"/>
    <mergeCell ref="W244:X244"/>
    <mergeCell ref="Y244:Z244"/>
    <mergeCell ref="AA244:AB244"/>
    <mergeCell ref="B257:C259"/>
    <mergeCell ref="D257:F258"/>
    <mergeCell ref="G257:P257"/>
    <mergeCell ref="Q257:Q259"/>
    <mergeCell ref="G258:H258"/>
    <mergeCell ref="I258:J258"/>
    <mergeCell ref="K258:L258"/>
    <mergeCell ref="W267:W269"/>
    <mergeCell ref="X267:X269"/>
    <mergeCell ref="Z267:Z269"/>
    <mergeCell ref="AC267:AC269"/>
    <mergeCell ref="Y267:Y269"/>
    <mergeCell ref="AA267:AB268"/>
    <mergeCell ref="B270:B274"/>
    <mergeCell ref="G267:V267"/>
    <mergeCell ref="AD267:AD269"/>
    <mergeCell ref="B267:B269"/>
    <mergeCell ref="C267:C269"/>
    <mergeCell ref="D267:F268"/>
    <mergeCell ref="G268:H268"/>
    <mergeCell ref="I268:J268"/>
    <mergeCell ref="K268:L268"/>
    <mergeCell ref="M268:N268"/>
    <mergeCell ref="O268:P268"/>
    <mergeCell ref="Q268:R268"/>
    <mergeCell ref="S268:T268"/>
    <mergeCell ref="U268:V268"/>
  </mergeCells>
  <dataValidations count="9">
    <dataValidation type="whole" operator="greaterThanOrEqual" allowBlank="1" showInputMessage="1" showErrorMessage="1" errorTitle="Error" error="Favor ingresar Números." sqref="G192:V193 D216:G216 G213:AG215 G206:AJ207 F46:S49 F227:G227 J227:K227 G183:R185 S260:S262 C86:G87 F217:G217 D237:F241 F72:K74 G98:J102 C80:C83 G122:AD151 G153:AD157 G163:AN168 G199:T200 D228:G232 G173:P178 G20:T41 G13:Z15 F55:K57" xr:uid="{00000000-0002-0000-0300-000006000000}">
      <formula1>0</formula1>
    </dataValidation>
    <dataValidation type="whole" allowBlank="1" showInputMessage="1" showErrorMessage="1" sqref="G204:AD205 AE205:AH205 AJ205 G208:AJ208 D203:F208 U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D72:E74 D256:F265 G152:AD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H218:I218 D224:D226" xr:uid="{560F2F57-4F94-4D43-B2C8-BCC0A40330E7}"/>
    <dataValidation type="whole" allowBlank="1" showInputMessage="1" showErrorMessage="1" sqref="E61:M67 G246:AB255" xr:uid="{0588CE41-A24A-4492-86E0-4C831DC4D417}">
      <formula1>0</formula1>
      <formula2>9.99999999999999E+31</formula2>
    </dataValidation>
    <dataValidation type="whole" allowBlank="1" showInputMessage="1" showErrorMessage="1" sqref="D90:I93 G260:Q265" xr:uid="{A94A532E-39DF-4935-A194-CA72BA0105EA}">
      <formula1>0</formula1>
      <formula2>9.99999999999999E+32</formula2>
    </dataValidation>
    <dataValidation type="whole" allowBlank="1" showInputMessage="1" showErrorMessage="1" sqref="G108:X117" xr:uid="{A6E386FD-DD6C-4D4F-B438-294D01D16634}">
      <formula1>0</formula1>
      <formula2>9.99999999999999E+30</formula2>
    </dataValidation>
    <dataValidation type="whole" allowBlank="1" showInputMessage="1" showErrorMessage="1" sqref="F219:K226 H227:I227" xr:uid="{E49A747E-1624-4263-8078-3A917120145D}">
      <formula1>0</formula1>
      <formula2>9.99999999999999E+39</formula2>
    </dataValidation>
    <dataValidation type="whole" allowBlank="1" showInputMessage="1" showErrorMessage="1" sqref="G270:AD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C86:CF87 CL86:CP87" unlockedFormula="1"/>
    <ignoredError sqref="CM206:CM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CA268"/>
  <sheetViews>
    <sheetView showGridLines="0" tabSelected="1" topLeftCell="A172" zoomScaleNormal="100" workbookViewId="0">
      <selection activeCell="B183" sqref="B183"/>
    </sheetView>
  </sheetViews>
  <sheetFormatPr baseColWidth="10" defaultColWidth="11.42578125" defaultRowHeight="15" x14ac:dyDescent="0.25"/>
  <cols>
    <col min="1" max="1" width="21.140625" customWidth="1"/>
    <col min="2" max="2" width="42.7109375" customWidth="1"/>
    <col min="3" max="3" width="33.5703125" customWidth="1"/>
    <col min="4" max="6" width="14.28515625" customWidth="1"/>
    <col min="7" max="7" width="15.28515625" customWidth="1"/>
    <col min="8" max="8" width="15.140625" customWidth="1"/>
    <col min="9" max="9" width="13.42578125" customWidth="1"/>
    <col min="10" max="10" width="13.28515625" customWidth="1"/>
    <col min="11" max="11" width="12.42578125" customWidth="1"/>
    <col min="12" max="12" width="13.28515625" customWidth="1"/>
    <col min="14" max="14" width="11.85546875" customWidth="1"/>
    <col min="15" max="15" width="13.85546875" customWidth="1"/>
    <col min="16" max="16" width="13.42578125" customWidth="1"/>
    <col min="19" max="19" width="12.5703125" customWidth="1"/>
    <col min="20" max="20" width="13.5703125" customWidth="1"/>
    <col min="42" max="42" width="11.28515625" customWidth="1"/>
    <col min="43" max="43" width="12" customWidth="1"/>
    <col min="67" max="79" width="11.42578125" hidden="1" customWidth="1"/>
    <col min="98" max="98" width="11.28515625" customWidth="1"/>
    <col min="99" max="99" width="11.85546875" customWidth="1"/>
    <col min="100" max="100" width="10.85546875" customWidth="1"/>
    <col min="101" max="152" width="11.42578125" customWidth="1"/>
  </cols>
  <sheetData>
    <row r="1" spans="1:78" x14ac:dyDescent="0.25">
      <c r="B1" s="50" t="s">
        <v>23</v>
      </c>
    </row>
    <row r="2" spans="1:78" x14ac:dyDescent="0.25">
      <c r="B2" s="50" t="str">
        <f>CONCATENATE("COMUNA: ",NOMBRE!B2, " (",NOMBRE!C2,NOMBRE!D2,NOMBRE!E2,NOMBRE!F2,NOMBRE!G2,")")</f>
        <v>COMUNA:  ()</v>
      </c>
    </row>
    <row r="3" spans="1:78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78" x14ac:dyDescent="0.25">
      <c r="B4" s="50" t="str">
        <f>CONCATENATE("MES: ",NOMBRE!B6, " (",NOMBRE!C6,NOMBRE!D6,")")</f>
        <v>MES:  ()</v>
      </c>
    </row>
    <row r="5" spans="1:78" x14ac:dyDescent="0.25">
      <c r="B5" s="50" t="str">
        <f>CONCATENATE("AÑO: ",NOMBRE!B7)</f>
        <v>AÑO: 2025</v>
      </c>
    </row>
    <row r="6" spans="1:78" s="88" customFormat="1" ht="18" customHeight="1" x14ac:dyDescent="0.2">
      <c r="B6" s="6383" t="s">
        <v>470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  <c r="R6" s="6383"/>
      <c r="S6" s="6383"/>
      <c r="T6" s="6383"/>
      <c r="U6" s="6383"/>
      <c r="V6" s="6383"/>
      <c r="W6" s="6383"/>
      <c r="X6" s="6383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</row>
    <row r="8" spans="1:78" ht="18" customHeight="1" x14ac:dyDescent="0.25">
      <c r="B8" s="3" t="s">
        <v>471</v>
      </c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2"/>
      <c r="AA8" s="92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88"/>
    </row>
    <row r="9" spans="1:78" x14ac:dyDescent="0.25">
      <c r="B9" s="6349" t="s">
        <v>472</v>
      </c>
      <c r="C9" s="6212" t="s">
        <v>28</v>
      </c>
      <c r="D9" s="6148"/>
      <c r="E9" s="6100"/>
      <c r="F9" s="6281" t="s">
        <v>101</v>
      </c>
      <c r="G9" s="6300"/>
      <c r="H9" s="6300"/>
      <c r="I9" s="6300"/>
      <c r="J9" s="6300"/>
      <c r="K9" s="6300"/>
      <c r="L9" s="6300"/>
      <c r="M9" s="6300"/>
      <c r="N9" s="6300"/>
      <c r="O9" s="6300"/>
      <c r="P9" s="6300"/>
      <c r="Q9" s="6300"/>
      <c r="R9" s="6300"/>
      <c r="S9" s="6300"/>
      <c r="T9" s="6300"/>
      <c r="U9" s="6300"/>
      <c r="V9" s="6300"/>
      <c r="W9" s="6300"/>
      <c r="X9" s="6300"/>
      <c r="Y9" s="6300"/>
      <c r="Z9" s="6300"/>
      <c r="AA9" s="6300"/>
      <c r="AB9" s="6300"/>
      <c r="AC9" s="6300"/>
      <c r="AD9" s="6300"/>
      <c r="AE9" s="6300"/>
      <c r="AF9" s="6300"/>
      <c r="AG9" s="6300"/>
      <c r="AH9" s="6300"/>
      <c r="AI9" s="6300"/>
      <c r="AJ9" s="6300"/>
      <c r="AK9" s="6300"/>
      <c r="AL9" s="6300"/>
      <c r="AM9" s="6300"/>
      <c r="AN9" s="6300"/>
      <c r="AO9" s="6314"/>
      <c r="AP9" s="6099" t="s">
        <v>36</v>
      </c>
      <c r="AQ9" s="6385" t="s">
        <v>37</v>
      </c>
      <c r="AR9" s="6385" t="s">
        <v>34</v>
      </c>
      <c r="AS9" s="6385" t="s">
        <v>35</v>
      </c>
      <c r="AT9" s="6100" t="s">
        <v>473</v>
      </c>
    </row>
    <row r="10" spans="1:78" ht="24" customHeight="1" x14ac:dyDescent="0.25">
      <c r="B10" s="6350"/>
      <c r="C10" s="6214"/>
      <c r="D10" s="6150"/>
      <c r="E10" s="6028"/>
      <c r="F10" s="6114" t="s">
        <v>474</v>
      </c>
      <c r="G10" s="6282"/>
      <c r="H10" s="6114" t="s">
        <v>475</v>
      </c>
      <c r="I10" s="6121"/>
      <c r="J10" s="6114" t="s">
        <v>326</v>
      </c>
      <c r="K10" s="6121"/>
      <c r="L10" s="6114" t="s">
        <v>94</v>
      </c>
      <c r="M10" s="6121"/>
      <c r="N10" s="6114" t="s">
        <v>44</v>
      </c>
      <c r="O10" s="6121"/>
      <c r="P10" s="6114" t="s">
        <v>45</v>
      </c>
      <c r="Q10" s="6121"/>
      <c r="R10" s="6114" t="s">
        <v>46</v>
      </c>
      <c r="S10" s="6121"/>
      <c r="T10" s="6114" t="s">
        <v>47</v>
      </c>
      <c r="U10" s="6121"/>
      <c r="V10" s="6114" t="s">
        <v>48</v>
      </c>
      <c r="W10" s="6121"/>
      <c r="X10" s="6114" t="s">
        <v>49</v>
      </c>
      <c r="Y10" s="6121"/>
      <c r="Z10" s="6114" t="s">
        <v>50</v>
      </c>
      <c r="AA10" s="6121"/>
      <c r="AB10" s="6114" t="s">
        <v>51</v>
      </c>
      <c r="AC10" s="6121"/>
      <c r="AD10" s="6114" t="s">
        <v>52</v>
      </c>
      <c r="AE10" s="6121"/>
      <c r="AF10" s="6114" t="s">
        <v>53</v>
      </c>
      <c r="AG10" s="6121"/>
      <c r="AH10" s="6114" t="s">
        <v>54</v>
      </c>
      <c r="AI10" s="6121"/>
      <c r="AJ10" s="6114" t="s">
        <v>55</v>
      </c>
      <c r="AK10" s="6121"/>
      <c r="AL10" s="6114" t="s">
        <v>56</v>
      </c>
      <c r="AM10" s="6121"/>
      <c r="AN10" s="6281" t="s">
        <v>476</v>
      </c>
      <c r="AO10" s="6314"/>
      <c r="AP10" s="6034"/>
      <c r="AQ10" s="6386"/>
      <c r="AR10" s="6386"/>
      <c r="AS10" s="6386"/>
      <c r="AT10" s="6027"/>
    </row>
    <row r="11" spans="1:78" x14ac:dyDescent="0.25">
      <c r="B11" s="6384"/>
      <c r="C11" s="2385" t="s">
        <v>79</v>
      </c>
      <c r="D11" s="2353" t="s">
        <v>58</v>
      </c>
      <c r="E11" s="2275" t="s">
        <v>59</v>
      </c>
      <c r="F11" s="2407" t="s">
        <v>58</v>
      </c>
      <c r="G11" s="2401" t="s">
        <v>59</v>
      </c>
      <c r="H11" s="2407" t="s">
        <v>58</v>
      </c>
      <c r="I11" s="2401" t="s">
        <v>59</v>
      </c>
      <c r="J11" s="2407" t="s">
        <v>58</v>
      </c>
      <c r="K11" s="2401" t="s">
        <v>59</v>
      </c>
      <c r="L11" s="2407" t="s">
        <v>58</v>
      </c>
      <c r="M11" s="2401" t="s">
        <v>59</v>
      </c>
      <c r="N11" s="2407" t="s">
        <v>58</v>
      </c>
      <c r="O11" s="2401" t="s">
        <v>59</v>
      </c>
      <c r="P11" s="2407" t="s">
        <v>58</v>
      </c>
      <c r="Q11" s="2401" t="s">
        <v>59</v>
      </c>
      <c r="R11" s="2407" t="s">
        <v>58</v>
      </c>
      <c r="S11" s="2401" t="s">
        <v>59</v>
      </c>
      <c r="T11" s="2407" t="s">
        <v>58</v>
      </c>
      <c r="U11" s="2401" t="s">
        <v>59</v>
      </c>
      <c r="V11" s="2407" t="s">
        <v>58</v>
      </c>
      <c r="W11" s="2401" t="s">
        <v>59</v>
      </c>
      <c r="X11" s="2407" t="s">
        <v>58</v>
      </c>
      <c r="Y11" s="2401" t="s">
        <v>59</v>
      </c>
      <c r="Z11" s="2407" t="s">
        <v>58</v>
      </c>
      <c r="AA11" s="2401" t="s">
        <v>59</v>
      </c>
      <c r="AB11" s="2407" t="s">
        <v>58</v>
      </c>
      <c r="AC11" s="2401" t="s">
        <v>59</v>
      </c>
      <c r="AD11" s="2407" t="s">
        <v>58</v>
      </c>
      <c r="AE11" s="2401" t="s">
        <v>59</v>
      </c>
      <c r="AF11" s="2407" t="s">
        <v>58</v>
      </c>
      <c r="AG11" s="2401" t="s">
        <v>59</v>
      </c>
      <c r="AH11" s="2407" t="s">
        <v>58</v>
      </c>
      <c r="AI11" s="2401" t="s">
        <v>59</v>
      </c>
      <c r="AJ11" s="2407" t="s">
        <v>58</v>
      </c>
      <c r="AK11" s="2401" t="s">
        <v>59</v>
      </c>
      <c r="AL11" s="2407" t="s">
        <v>58</v>
      </c>
      <c r="AM11" s="2401" t="s">
        <v>59</v>
      </c>
      <c r="AN11" s="2407" t="s">
        <v>58</v>
      </c>
      <c r="AO11" s="2351" t="s">
        <v>59</v>
      </c>
      <c r="AP11" s="6035"/>
      <c r="AQ11" s="6086"/>
      <c r="AR11" s="6086"/>
      <c r="AS11" s="6086"/>
      <c r="AT11" s="6028"/>
    </row>
    <row r="12" spans="1:78" x14ac:dyDescent="0.25">
      <c r="A12" s="5606"/>
      <c r="B12" s="2601" t="s">
        <v>77</v>
      </c>
      <c r="C12" s="2614">
        <f>SUM(C13:C26)</f>
        <v>0</v>
      </c>
      <c r="D12" s="2615">
        <f>SUM(D13:D26)</f>
        <v>0</v>
      </c>
      <c r="E12" s="2405">
        <f>SUM(E13:E26)</f>
        <v>0</v>
      </c>
      <c r="F12" s="2616">
        <f>SUM(F13:F26)</f>
        <v>0</v>
      </c>
      <c r="G12" s="171">
        <f t="shared" ref="G12:AO12" si="0">SUM(G13:G26)</f>
        <v>0</v>
      </c>
      <c r="H12" s="335">
        <f>SUM(H13:H26)</f>
        <v>0</v>
      </c>
      <c r="I12" s="171">
        <f t="shared" si="0"/>
        <v>0</v>
      </c>
      <c r="J12" s="2616">
        <f t="shared" si="0"/>
        <v>0</v>
      </c>
      <c r="K12" s="171">
        <f t="shared" si="0"/>
        <v>0</v>
      </c>
      <c r="L12" s="2616">
        <f t="shared" si="0"/>
        <v>0</v>
      </c>
      <c r="M12" s="171">
        <f t="shared" si="0"/>
        <v>0</v>
      </c>
      <c r="N12" s="2616">
        <f t="shared" si="0"/>
        <v>0</v>
      </c>
      <c r="O12" s="171">
        <f t="shared" si="0"/>
        <v>0</v>
      </c>
      <c r="P12" s="2616">
        <f t="shared" si="0"/>
        <v>0</v>
      </c>
      <c r="Q12" s="171">
        <f t="shared" si="0"/>
        <v>0</v>
      </c>
      <c r="R12" s="2616">
        <f t="shared" si="0"/>
        <v>0</v>
      </c>
      <c r="S12" s="171">
        <f t="shared" si="0"/>
        <v>0</v>
      </c>
      <c r="T12" s="2616">
        <f t="shared" si="0"/>
        <v>0</v>
      </c>
      <c r="U12" s="171">
        <f t="shared" si="0"/>
        <v>0</v>
      </c>
      <c r="V12" s="2616">
        <f>SUM(V13:V26)</f>
        <v>0</v>
      </c>
      <c r="W12" s="171">
        <f>SUM(W13:W26)</f>
        <v>0</v>
      </c>
      <c r="X12" s="2616">
        <f t="shared" si="0"/>
        <v>0</v>
      </c>
      <c r="Y12" s="171">
        <f t="shared" si="0"/>
        <v>0</v>
      </c>
      <c r="Z12" s="2616">
        <f t="shared" si="0"/>
        <v>0</v>
      </c>
      <c r="AA12" s="171">
        <f t="shared" si="0"/>
        <v>0</v>
      </c>
      <c r="AB12" s="2616">
        <f t="shared" si="0"/>
        <v>0</v>
      </c>
      <c r="AC12" s="171">
        <f t="shared" si="0"/>
        <v>0</v>
      </c>
      <c r="AD12" s="2616">
        <f t="shared" si="0"/>
        <v>0</v>
      </c>
      <c r="AE12" s="171">
        <f t="shared" si="0"/>
        <v>0</v>
      </c>
      <c r="AF12" s="2616">
        <f t="shared" si="0"/>
        <v>0</v>
      </c>
      <c r="AG12" s="171">
        <f t="shared" si="0"/>
        <v>0</v>
      </c>
      <c r="AH12" s="2616">
        <f t="shared" si="0"/>
        <v>0</v>
      </c>
      <c r="AI12" s="171">
        <f t="shared" si="0"/>
        <v>0</v>
      </c>
      <c r="AJ12" s="2616">
        <f t="shared" si="0"/>
        <v>0</v>
      </c>
      <c r="AK12" s="171">
        <f t="shared" si="0"/>
        <v>0</v>
      </c>
      <c r="AL12" s="2616">
        <f t="shared" si="0"/>
        <v>0</v>
      </c>
      <c r="AM12" s="171">
        <f t="shared" si="0"/>
        <v>0</v>
      </c>
      <c r="AN12" s="2616">
        <f t="shared" si="0"/>
        <v>0</v>
      </c>
      <c r="AO12" s="2617">
        <f t="shared" si="0"/>
        <v>0</v>
      </c>
      <c r="AP12" s="2618">
        <f>SUM(AP13:AP26)</f>
        <v>0</v>
      </c>
      <c r="AQ12" s="2619">
        <f>SUM(AQ13:AQ26)</f>
        <v>0</v>
      </c>
      <c r="AR12" s="2619">
        <f>SUM(AR13:AR26)</f>
        <v>0</v>
      </c>
      <c r="AS12" s="2619">
        <f>SUM(AS13:AS26)</f>
        <v>0</v>
      </c>
      <c r="AT12" s="2620">
        <f>SUM(AT13:AT26)</f>
        <v>0</v>
      </c>
    </row>
    <row r="13" spans="1:78" ht="15" customHeight="1" x14ac:dyDescent="0.25">
      <c r="A13" s="5633" t="s">
        <v>4803</v>
      </c>
      <c r="B13" s="250" t="s">
        <v>477</v>
      </c>
      <c r="C13" s="302" t="s">
        <v>4567</v>
      </c>
      <c r="D13" s="2299" t="s">
        <v>4568</v>
      </c>
      <c r="E13" s="2621" t="s">
        <v>4569</v>
      </c>
      <c r="F13" s="2622" t="s">
        <v>4570</v>
      </c>
      <c r="G13" s="2623" t="s">
        <v>4571</v>
      </c>
      <c r="H13" s="2622" t="s">
        <v>4572</v>
      </c>
      <c r="I13" s="2623" t="s">
        <v>4573</v>
      </c>
      <c r="J13" s="2622" t="s">
        <v>4574</v>
      </c>
      <c r="K13" s="2624" t="s">
        <v>4575</v>
      </c>
      <c r="L13" s="2622" t="s">
        <v>4576</v>
      </c>
      <c r="M13" s="2623" t="s">
        <v>4577</v>
      </c>
      <c r="N13" s="2622" t="s">
        <v>4578</v>
      </c>
      <c r="O13" s="2623" t="s">
        <v>4579</v>
      </c>
      <c r="P13" s="2622" t="s">
        <v>4580</v>
      </c>
      <c r="Q13" s="2623" t="s">
        <v>4581</v>
      </c>
      <c r="R13" s="2622" t="s">
        <v>4582</v>
      </c>
      <c r="S13" s="2623" t="s">
        <v>4583</v>
      </c>
      <c r="T13" s="2622" t="s">
        <v>4584</v>
      </c>
      <c r="U13" s="2623" t="s">
        <v>4585</v>
      </c>
      <c r="V13" s="2622" t="s">
        <v>4586</v>
      </c>
      <c r="W13" s="2623" t="s">
        <v>4587</v>
      </c>
      <c r="X13" s="2622" t="s">
        <v>4588</v>
      </c>
      <c r="Y13" s="2623" t="s">
        <v>4589</v>
      </c>
      <c r="Z13" s="2622" t="s">
        <v>4590</v>
      </c>
      <c r="AA13" s="2623" t="s">
        <v>4591</v>
      </c>
      <c r="AB13" s="2622" t="s">
        <v>4592</v>
      </c>
      <c r="AC13" s="2623" t="s">
        <v>4593</v>
      </c>
      <c r="AD13" s="2622" t="s">
        <v>4594</v>
      </c>
      <c r="AE13" s="2623" t="s">
        <v>4595</v>
      </c>
      <c r="AF13" s="2622" t="s">
        <v>4596</v>
      </c>
      <c r="AG13" s="2623" t="s">
        <v>4597</v>
      </c>
      <c r="AH13" s="2622" t="s">
        <v>4598</v>
      </c>
      <c r="AI13" s="2623" t="s">
        <v>4599</v>
      </c>
      <c r="AJ13" s="2622" t="s">
        <v>4600</v>
      </c>
      <c r="AK13" s="2623" t="s">
        <v>4601</v>
      </c>
      <c r="AL13" s="2622" t="s">
        <v>4602</v>
      </c>
      <c r="AM13" s="2623" t="s">
        <v>4603</v>
      </c>
      <c r="AN13" s="2622" t="s">
        <v>4604</v>
      </c>
      <c r="AO13" s="2623" t="s">
        <v>4605</v>
      </c>
      <c r="AP13" s="2625" t="s">
        <v>4606</v>
      </c>
      <c r="AQ13" s="2626" t="s">
        <v>4934</v>
      </c>
      <c r="AR13" s="2626" t="s">
        <v>4935</v>
      </c>
      <c r="AS13" s="2626" t="s">
        <v>4936</v>
      </c>
      <c r="AT13" s="2627" t="s">
        <v>4937</v>
      </c>
      <c r="AU13" t="str">
        <f>BP13&amp;BQ13&amp;BR13&amp;BS13&amp;BT13</f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3" s="83" t="str">
        <f>IF(AND(C13&gt;0,AP13="")," * No olvide digitar la variable Pueblos originarios. Digite Cero si no tiene.",IF(AP13&gt;C13," *  La variable Pueblos originarios No puede ser mayor al Total.",""))</f>
        <v xml:space="preserve"> *  La variable Pueblos originarios No puede ser mayor al Total.</v>
      </c>
      <c r="BQ13" s="83" t="str">
        <f>IF(AND(C13&gt;0,AQ13="")," * No olvide digitar la variable Migrantes. Digite Cero si no tiene.",IF(AQ13&gt;C13," *  La variable Migrantes No puede ser mayor al Total.",""))</f>
        <v xml:space="preserve"> *  La variable Migrantes No puede ser mayor al Total.</v>
      </c>
      <c r="BR13" s="83" t="str">
        <f>IF(AND(C13&gt;0,AR13="")," * No olvide digitar la variable Niños, niñas, adolescentes y jóvenes SENAME. Digite Cero si no tiene.",IF(AR13&gt;C13," *  La variable Niños, niñas, adolescentes y jóvenes SENAME No puede ser mayor al Total.",""))</f>
        <v xml:space="preserve"> *  La variable Niños, niñas, adolescentes y jóvenes SENAME No puede ser mayor al Total.</v>
      </c>
      <c r="BS13" s="83" t="str">
        <f>IF(AND(C13&gt;0,AS13="")," * No olvide digitar la variable Niños, niñas, adolescentes y jóvenes Mejor niñez. Digite Cero si no tiene.",IF(AS13&gt;C13," *  La variable Niños, niñas, adolescentes y jóvenes Mejor Niñez No puede ser mayor al Total.",""))</f>
        <v xml:space="preserve"> *  La variable Niños, niñas, adolescentes y jóvenes Mejor Niñez No puede ser mayor al Total.</v>
      </c>
      <c r="BT13" s="83" t="str">
        <f>IF(AND(C13&gt;0,AT13="")," * No olvide digitar la variable Por campaña de invierno. Digite Cero si no tiene.",IF(AT13&gt;C13," *  La variable Por campaña de invierno No puede ser mayor al Total.",""))</f>
        <v xml:space="preserve"> *  La variable Por campaña de invierno No puede ser mayor al Total.</v>
      </c>
      <c r="BV13" s="2628">
        <f>IF(AND(C13&gt;0,AP13=""),1,IF(AP13&gt;C13,1,0))</f>
        <v>1</v>
      </c>
      <c r="BW13" s="2628">
        <f>IF(AND(C13&gt;0,AQ13=""),1,IF(AQ13&gt;C13,1,0))</f>
        <v>1</v>
      </c>
      <c r="BX13" s="2628">
        <f>IF(AND(C13&gt;0,AR13=""),1,IF(AR13&gt;C13,1,0))</f>
        <v>1</v>
      </c>
      <c r="BY13" s="2628">
        <f>IF(AND(C13&gt;0,AS13=""),1,IF(AS13&gt;C13,1,0))</f>
        <v>1</v>
      </c>
      <c r="BZ13" s="2628">
        <f>IF(AND(C13&gt;0,AT13=""),1,IF(AT13&gt;C13,1,0))</f>
        <v>1</v>
      </c>
    </row>
    <row r="14" spans="1:78" ht="15" customHeight="1" x14ac:dyDescent="0.25">
      <c r="A14" s="5633" t="s">
        <v>4804</v>
      </c>
      <c r="B14" s="343" t="s">
        <v>478</v>
      </c>
      <c r="C14" s="341" t="s">
        <v>4567</v>
      </c>
      <c r="D14" s="2305" t="s">
        <v>4568</v>
      </c>
      <c r="E14" s="2629" t="s">
        <v>4569</v>
      </c>
      <c r="F14" s="345" t="s">
        <v>4570</v>
      </c>
      <c r="G14" s="346" t="s">
        <v>4571</v>
      </c>
      <c r="H14" s="345" t="s">
        <v>4572</v>
      </c>
      <c r="I14" s="346" t="s">
        <v>4573</v>
      </c>
      <c r="J14" s="345" t="s">
        <v>4574</v>
      </c>
      <c r="K14" s="349" t="s">
        <v>4575</v>
      </c>
      <c r="L14" s="619" t="s">
        <v>4576</v>
      </c>
      <c r="M14" s="824" t="s">
        <v>4577</v>
      </c>
      <c r="N14" s="619" t="s">
        <v>4578</v>
      </c>
      <c r="O14" s="824" t="s">
        <v>4579</v>
      </c>
      <c r="P14" s="619" t="s">
        <v>4580</v>
      </c>
      <c r="Q14" s="824" t="s">
        <v>4581</v>
      </c>
      <c r="R14" s="619" t="s">
        <v>4582</v>
      </c>
      <c r="S14" s="824" t="s">
        <v>4583</v>
      </c>
      <c r="T14" s="619" t="s">
        <v>4584</v>
      </c>
      <c r="U14" s="824" t="s">
        <v>4585</v>
      </c>
      <c r="V14" s="619" t="s">
        <v>4586</v>
      </c>
      <c r="W14" s="824" t="s">
        <v>4587</v>
      </c>
      <c r="X14" s="619" t="s">
        <v>4588</v>
      </c>
      <c r="Y14" s="824" t="s">
        <v>4589</v>
      </c>
      <c r="Z14" s="619" t="s">
        <v>4590</v>
      </c>
      <c r="AA14" s="824" t="s">
        <v>4591</v>
      </c>
      <c r="AB14" s="619" t="s">
        <v>4592</v>
      </c>
      <c r="AC14" s="824" t="s">
        <v>4593</v>
      </c>
      <c r="AD14" s="619" t="s">
        <v>4594</v>
      </c>
      <c r="AE14" s="824" t="s">
        <v>4595</v>
      </c>
      <c r="AF14" s="619" t="s">
        <v>4596</v>
      </c>
      <c r="AG14" s="824" t="s">
        <v>4597</v>
      </c>
      <c r="AH14" s="619" t="s">
        <v>4598</v>
      </c>
      <c r="AI14" s="824" t="s">
        <v>4599</v>
      </c>
      <c r="AJ14" s="619" t="s">
        <v>4600</v>
      </c>
      <c r="AK14" s="824" t="s">
        <v>4601</v>
      </c>
      <c r="AL14" s="619" t="s">
        <v>4602</v>
      </c>
      <c r="AM14" s="824" t="s">
        <v>4603</v>
      </c>
      <c r="AN14" s="619" t="s">
        <v>4604</v>
      </c>
      <c r="AO14" s="825" t="s">
        <v>4605</v>
      </c>
      <c r="AP14" s="811" t="s">
        <v>4606</v>
      </c>
      <c r="AQ14" s="2630" t="s">
        <v>4934</v>
      </c>
      <c r="AR14" s="2630" t="s">
        <v>4935</v>
      </c>
      <c r="AS14" s="2630" t="s">
        <v>4936</v>
      </c>
      <c r="AT14" s="812" t="s">
        <v>4937</v>
      </c>
      <c r="AU14" t="str">
        <f t="shared" ref="AU14:AU26" si="1">BP14&amp;BQ14&amp;BR14&amp;BS14&amp;BT14</f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4" s="83" t="str">
        <f t="shared" ref="BP14:BP26" si="2">IF(AND(C14&gt;0,AP14="")," * No olvide digitar la variable Pueblos originarios. Digite Cero si no tiene.",IF(AP14&gt;C14," *  La variable Pueblos originarios No puede ser mayor al Total.",""))</f>
        <v xml:space="preserve"> *  La variable Pueblos originarios No puede ser mayor al Total.</v>
      </c>
      <c r="BQ14" s="83" t="str">
        <f t="shared" ref="BQ14:BQ26" si="3">IF(AND(C14&gt;0,AQ14="")," * No olvide digitar la variable Migrantes. Digite Cero si no tiene.",IF(AQ14&gt;C14," *  La variable Migrantes No puede ser mayor al Total.",""))</f>
        <v xml:space="preserve"> *  La variable Migrantes No puede ser mayor al Total.</v>
      </c>
      <c r="BR14" s="83" t="str">
        <f t="shared" ref="BR14:BR26" si="4">IF(AND(C14&gt;0,AR14="")," * No olvide digitar la variable Niños, niñas, adolescentes y jóvenes SENAME. Digite Cero si no tiene.",IF(AR14&gt;C14," *  La variable Niños, niñas, adolescentes y jóvenes SENAME No puede ser mayor al Total.",""))</f>
        <v xml:space="preserve"> *  La variable Niños, niñas, adolescentes y jóvenes SENAME No puede ser mayor al Total.</v>
      </c>
      <c r="BS14" s="83" t="str">
        <f t="shared" ref="BS14:BS26" si="5">IF(AND(C14&gt;0,AS14="")," * No olvide digitar la variable Niños, niñas, adolescentes y jóvenes Mejor niñez. Digite Cero si no tiene.",IF(AS14&gt;C14," *  La variable Niños, niñas, adolescentes y jóvenes Mejor Niñez No puede ser mayor al Total.",""))</f>
        <v xml:space="preserve"> *  La variable Niños, niñas, adolescentes y jóvenes Mejor Niñez No puede ser mayor al Total.</v>
      </c>
      <c r="BT14" s="83" t="str">
        <f t="shared" ref="BT14:BT26" si="6">IF(AND(C14&gt;0,AT14="")," * No olvide digitar la variable Por campaña de invierno. Digite Cero si no tiene.",IF(AT14&gt;C14," *  La variable Por campaña de invierno No puede ser mayor al Total.",""))</f>
        <v xml:space="preserve"> *  La variable Por campaña de invierno No puede ser mayor al Total.</v>
      </c>
      <c r="BV14" s="2628">
        <f t="shared" ref="BV14:BV25" si="7">IF(AND(C14&gt;0,AP14=""),1,IF(AP14&gt;C14,1,0))</f>
        <v>1</v>
      </c>
      <c r="BW14" s="2628">
        <f t="shared" ref="BW14:BW26" si="8">IF(AND(C14&gt;0,AQ14=""),1,IF(AQ14&gt;C14,1,0))</f>
        <v>1</v>
      </c>
      <c r="BX14" s="2628">
        <f t="shared" ref="BX14:BX26" si="9">IF(AND(C14&gt;0,AR14=""),1,IF(AR14&gt;C14,1,0))</f>
        <v>1</v>
      </c>
      <c r="BY14" s="2628">
        <f t="shared" ref="BY14:BY26" si="10">IF(AND(C14&gt;0,AS14=""),1,IF(AS14&gt;C14,1,0))</f>
        <v>1</v>
      </c>
      <c r="BZ14" s="2628">
        <f t="shared" ref="BZ14:BZ26" si="11">IF(AND(C14&gt;0,AT14=""),1,IF(AT14&gt;C14,1,0))</f>
        <v>1</v>
      </c>
    </row>
    <row r="15" spans="1:78" ht="15" customHeight="1" x14ac:dyDescent="0.25">
      <c r="A15" s="5633" t="s">
        <v>4805</v>
      </c>
      <c r="B15" s="2631" t="s">
        <v>479</v>
      </c>
      <c r="C15" s="341" t="s">
        <v>4567</v>
      </c>
      <c r="D15" s="2305" t="s">
        <v>4568</v>
      </c>
      <c r="E15" s="2629" t="s">
        <v>4569</v>
      </c>
      <c r="F15" s="345" t="s">
        <v>4570</v>
      </c>
      <c r="G15" s="346" t="s">
        <v>4571</v>
      </c>
      <c r="H15" s="345" t="s">
        <v>4572</v>
      </c>
      <c r="I15" s="346" t="s">
        <v>4573</v>
      </c>
      <c r="J15" s="345" t="s">
        <v>4574</v>
      </c>
      <c r="K15" s="349" t="s">
        <v>4575</v>
      </c>
      <c r="L15" s="345" t="s">
        <v>4576</v>
      </c>
      <c r="M15" s="349" t="s">
        <v>4577</v>
      </c>
      <c r="N15" s="345" t="s">
        <v>4578</v>
      </c>
      <c r="O15" s="349" t="s">
        <v>4579</v>
      </c>
      <c r="P15" s="345" t="s">
        <v>4580</v>
      </c>
      <c r="Q15" s="349" t="s">
        <v>4581</v>
      </c>
      <c r="R15" s="345" t="s">
        <v>4582</v>
      </c>
      <c r="S15" s="349" t="s">
        <v>4583</v>
      </c>
      <c r="T15" s="345" t="s">
        <v>4584</v>
      </c>
      <c r="U15" s="349" t="s">
        <v>4585</v>
      </c>
      <c r="V15" s="345" t="s">
        <v>4586</v>
      </c>
      <c r="W15" s="349" t="s">
        <v>4587</v>
      </c>
      <c r="X15" s="345" t="s">
        <v>4588</v>
      </c>
      <c r="Y15" s="349" t="s">
        <v>4589</v>
      </c>
      <c r="Z15" s="345" t="s">
        <v>4590</v>
      </c>
      <c r="AA15" s="349" t="s">
        <v>4591</v>
      </c>
      <c r="AB15" s="345" t="s">
        <v>4592</v>
      </c>
      <c r="AC15" s="349" t="s">
        <v>4593</v>
      </c>
      <c r="AD15" s="345" t="s">
        <v>4594</v>
      </c>
      <c r="AE15" s="349" t="s">
        <v>4595</v>
      </c>
      <c r="AF15" s="345" t="s">
        <v>4596</v>
      </c>
      <c r="AG15" s="349" t="s">
        <v>4597</v>
      </c>
      <c r="AH15" s="345" t="s">
        <v>4598</v>
      </c>
      <c r="AI15" s="349" t="s">
        <v>4599</v>
      </c>
      <c r="AJ15" s="345" t="s">
        <v>4600</v>
      </c>
      <c r="AK15" s="349" t="s">
        <v>4601</v>
      </c>
      <c r="AL15" s="345" t="s">
        <v>4602</v>
      </c>
      <c r="AM15" s="349" t="s">
        <v>4603</v>
      </c>
      <c r="AN15" s="350" t="s">
        <v>4604</v>
      </c>
      <c r="AO15" s="351" t="s">
        <v>4605</v>
      </c>
      <c r="AP15" s="811" t="s">
        <v>4606</v>
      </c>
      <c r="AQ15" s="2630" t="s">
        <v>4934</v>
      </c>
      <c r="AR15" s="2630" t="s">
        <v>4935</v>
      </c>
      <c r="AS15" s="2630" t="s">
        <v>4936</v>
      </c>
      <c r="AT15" s="812" t="s">
        <v>4937</v>
      </c>
      <c r="AU15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5" s="83" t="str">
        <f t="shared" si="2"/>
        <v xml:space="preserve"> *  La variable Pueblos originarios No puede ser mayor al Total.</v>
      </c>
      <c r="BQ15" s="83" t="str">
        <f t="shared" si="3"/>
        <v xml:space="preserve"> *  La variable Migrantes No puede ser mayor al Total.</v>
      </c>
      <c r="BR15" s="83" t="str">
        <f t="shared" si="4"/>
        <v xml:space="preserve"> *  La variable Niños, niñas, adolescentes y jóvenes SENAME No puede ser mayor al Total.</v>
      </c>
      <c r="BS15" s="83" t="str">
        <f t="shared" si="5"/>
        <v xml:space="preserve"> *  La variable Niños, niñas, adolescentes y jóvenes Mejor Niñez No puede ser mayor al Total.</v>
      </c>
      <c r="BT15" s="83" t="str">
        <f t="shared" si="6"/>
        <v xml:space="preserve"> *  La variable Por campaña de invierno No puede ser mayor al Total.</v>
      </c>
      <c r="BV15" s="2628">
        <f t="shared" si="7"/>
        <v>1</v>
      </c>
      <c r="BW15" s="2628">
        <f t="shared" si="8"/>
        <v>1</v>
      </c>
      <c r="BX15" s="2628">
        <f t="shared" si="9"/>
        <v>1</v>
      </c>
      <c r="BY15" s="2628">
        <f t="shared" si="10"/>
        <v>1</v>
      </c>
      <c r="BZ15" s="2628">
        <f t="shared" si="11"/>
        <v>1</v>
      </c>
    </row>
    <row r="16" spans="1:78" ht="15" customHeight="1" x14ac:dyDescent="0.25">
      <c r="A16" s="5633" t="s">
        <v>4806</v>
      </c>
      <c r="B16" s="399" t="s">
        <v>480</v>
      </c>
      <c r="C16" s="316" t="s">
        <v>4567</v>
      </c>
      <c r="D16" s="140" t="s">
        <v>4568</v>
      </c>
      <c r="E16" s="2632" t="s">
        <v>4569</v>
      </c>
      <c r="F16" s="619" t="s">
        <v>4570</v>
      </c>
      <c r="G16" s="824" t="s">
        <v>4571</v>
      </c>
      <c r="H16" s="2633" t="s">
        <v>4572</v>
      </c>
      <c r="I16" s="2634" t="s">
        <v>4573</v>
      </c>
      <c r="J16" s="345" t="s">
        <v>4574</v>
      </c>
      <c r="K16" s="349" t="s">
        <v>4575</v>
      </c>
      <c r="L16" s="345" t="s">
        <v>4576</v>
      </c>
      <c r="M16" s="349" t="s">
        <v>4577</v>
      </c>
      <c r="N16" s="345" t="s">
        <v>4578</v>
      </c>
      <c r="O16" s="349" t="s">
        <v>4579</v>
      </c>
      <c r="P16" s="345" t="s">
        <v>4580</v>
      </c>
      <c r="Q16" s="349" t="s">
        <v>4581</v>
      </c>
      <c r="R16" s="345" t="s">
        <v>4582</v>
      </c>
      <c r="S16" s="349" t="s">
        <v>4583</v>
      </c>
      <c r="T16" s="345" t="s">
        <v>4584</v>
      </c>
      <c r="U16" s="349" t="s">
        <v>4585</v>
      </c>
      <c r="V16" s="345" t="s">
        <v>4586</v>
      </c>
      <c r="W16" s="349" t="s">
        <v>4587</v>
      </c>
      <c r="X16" s="345" t="s">
        <v>4588</v>
      </c>
      <c r="Y16" s="349" t="s">
        <v>4589</v>
      </c>
      <c r="Z16" s="345" t="s">
        <v>4590</v>
      </c>
      <c r="AA16" s="349" t="s">
        <v>4591</v>
      </c>
      <c r="AB16" s="345" t="s">
        <v>4592</v>
      </c>
      <c r="AC16" s="349" t="s">
        <v>4593</v>
      </c>
      <c r="AD16" s="345" t="s">
        <v>4594</v>
      </c>
      <c r="AE16" s="349" t="s">
        <v>4595</v>
      </c>
      <c r="AF16" s="345" t="s">
        <v>4596</v>
      </c>
      <c r="AG16" s="349" t="s">
        <v>4597</v>
      </c>
      <c r="AH16" s="345" t="s">
        <v>4598</v>
      </c>
      <c r="AI16" s="349" t="s">
        <v>4599</v>
      </c>
      <c r="AJ16" s="345" t="s">
        <v>4600</v>
      </c>
      <c r="AK16" s="349" t="s">
        <v>4601</v>
      </c>
      <c r="AL16" s="345" t="s">
        <v>4602</v>
      </c>
      <c r="AM16" s="349" t="s">
        <v>4603</v>
      </c>
      <c r="AN16" s="350" t="s">
        <v>4604</v>
      </c>
      <c r="AO16" s="351" t="s">
        <v>4605</v>
      </c>
      <c r="AP16" s="811" t="s">
        <v>4606</v>
      </c>
      <c r="AQ16" s="2630" t="s">
        <v>4934</v>
      </c>
      <c r="AR16" s="2630" t="s">
        <v>4935</v>
      </c>
      <c r="AS16" s="2630" t="s">
        <v>4936</v>
      </c>
      <c r="AT16" s="812" t="s">
        <v>4937</v>
      </c>
      <c r="AU16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6" s="83" t="str">
        <f t="shared" si="2"/>
        <v xml:space="preserve"> *  La variable Pueblos originarios No puede ser mayor al Total.</v>
      </c>
      <c r="BQ16" s="83" t="str">
        <f t="shared" si="3"/>
        <v xml:space="preserve"> *  La variable Migrantes No puede ser mayor al Total.</v>
      </c>
      <c r="BR16" s="83" t="str">
        <f>IF(AND(C16&gt;0,AR16="")," * No olvide digitar la variable Niños, niñas, adolescentes y jóvenes SENAME. Digite Cero si no tiene.",IF(AR16&gt;C16," *  La variable Niños, niñas, adolescentes y jóvenes SENAME No puede ser mayor al Total.",""))</f>
        <v xml:space="preserve"> *  La variable Niños, niñas, adolescentes y jóvenes SENAME No puede ser mayor al Total.</v>
      </c>
      <c r="BS16" s="83" t="str">
        <f t="shared" si="5"/>
        <v xml:space="preserve"> *  La variable Niños, niñas, adolescentes y jóvenes Mejor Niñez No puede ser mayor al Total.</v>
      </c>
      <c r="BT16" s="83" t="str">
        <f t="shared" si="6"/>
        <v xml:space="preserve"> *  La variable Por campaña de invierno No puede ser mayor al Total.</v>
      </c>
      <c r="BV16" s="2628">
        <f t="shared" si="7"/>
        <v>1</v>
      </c>
      <c r="BW16" s="2628">
        <f t="shared" si="8"/>
        <v>1</v>
      </c>
      <c r="BX16" s="2628">
        <f t="shared" si="9"/>
        <v>1</v>
      </c>
      <c r="BY16" s="2628">
        <f t="shared" si="10"/>
        <v>1</v>
      </c>
      <c r="BZ16" s="2628">
        <f t="shared" si="11"/>
        <v>1</v>
      </c>
    </row>
    <row r="17" spans="1:78" ht="15" customHeight="1" x14ac:dyDescent="0.25">
      <c r="A17" s="5633" t="s">
        <v>4807</v>
      </c>
      <c r="B17" s="2635" t="s">
        <v>481</v>
      </c>
      <c r="C17" s="341" t="s">
        <v>4567</v>
      </c>
      <c r="D17" s="2305" t="s">
        <v>4568</v>
      </c>
      <c r="E17" s="2629" t="s">
        <v>4569</v>
      </c>
      <c r="F17" s="619" t="s">
        <v>4570</v>
      </c>
      <c r="G17" s="367" t="s">
        <v>4571</v>
      </c>
      <c r="H17" s="619" t="s">
        <v>4572</v>
      </c>
      <c r="I17" s="367" t="s">
        <v>4573</v>
      </c>
      <c r="J17" s="619" t="s">
        <v>4574</v>
      </c>
      <c r="K17" s="824" t="s">
        <v>4575</v>
      </c>
      <c r="L17" s="619" t="s">
        <v>4576</v>
      </c>
      <c r="M17" s="824" t="s">
        <v>4577</v>
      </c>
      <c r="N17" s="619" t="s">
        <v>4578</v>
      </c>
      <c r="O17" s="824" t="s">
        <v>4579</v>
      </c>
      <c r="P17" s="619" t="s">
        <v>4580</v>
      </c>
      <c r="Q17" s="824" t="s">
        <v>4581</v>
      </c>
      <c r="R17" s="619" t="s">
        <v>4582</v>
      </c>
      <c r="S17" s="824" t="s">
        <v>4583</v>
      </c>
      <c r="T17" s="619" t="s">
        <v>4584</v>
      </c>
      <c r="U17" s="824" t="s">
        <v>4585</v>
      </c>
      <c r="V17" s="345" t="s">
        <v>4586</v>
      </c>
      <c r="W17" s="349" t="s">
        <v>4587</v>
      </c>
      <c r="X17" s="345" t="s">
        <v>4588</v>
      </c>
      <c r="Y17" s="349" t="s">
        <v>4589</v>
      </c>
      <c r="Z17" s="345" t="s">
        <v>4590</v>
      </c>
      <c r="AA17" s="349" t="s">
        <v>4591</v>
      </c>
      <c r="AB17" s="345" t="s">
        <v>4592</v>
      </c>
      <c r="AC17" s="349" t="s">
        <v>4593</v>
      </c>
      <c r="AD17" s="345" t="s">
        <v>4594</v>
      </c>
      <c r="AE17" s="349" t="s">
        <v>4595</v>
      </c>
      <c r="AF17" s="345" t="s">
        <v>4596</v>
      </c>
      <c r="AG17" s="349" t="s">
        <v>4597</v>
      </c>
      <c r="AH17" s="345" t="s">
        <v>4598</v>
      </c>
      <c r="AI17" s="349" t="s">
        <v>4599</v>
      </c>
      <c r="AJ17" s="345" t="s">
        <v>4600</v>
      </c>
      <c r="AK17" s="349" t="s">
        <v>4601</v>
      </c>
      <c r="AL17" s="345" t="s">
        <v>4602</v>
      </c>
      <c r="AM17" s="349" t="s">
        <v>4603</v>
      </c>
      <c r="AN17" s="350" t="s">
        <v>4604</v>
      </c>
      <c r="AO17" s="351" t="s">
        <v>4605</v>
      </c>
      <c r="AP17" s="811" t="s">
        <v>4606</v>
      </c>
      <c r="AQ17" s="2630" t="s">
        <v>4934</v>
      </c>
      <c r="AR17" s="2630" t="s">
        <v>4935</v>
      </c>
      <c r="AS17" s="2630" t="s">
        <v>4936</v>
      </c>
      <c r="AT17" s="812" t="s">
        <v>4937</v>
      </c>
      <c r="AU17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7" s="83" t="str">
        <f t="shared" si="2"/>
        <v xml:space="preserve"> *  La variable Pueblos originarios No puede ser mayor al Total.</v>
      </c>
      <c r="BQ17" s="83" t="str">
        <f t="shared" si="3"/>
        <v xml:space="preserve"> *  La variable Migrantes No puede ser mayor al Total.</v>
      </c>
      <c r="BR17" s="83" t="str">
        <f t="shared" ref="BR17:BR21" si="12">IF(AND(C17&gt;0,AR17="")," * No olvide digitar la variable Niños, niñas, adolescentes y jóvenes SENAME. Digite Cero si no tiene.",IF(AR17&gt;C17," *  La variable Niños, niñas, adolescentes y jóvenes SENAME No puede ser mayor al Total.",""))</f>
        <v xml:space="preserve"> *  La variable Niños, niñas, adolescentes y jóvenes SENAME No puede ser mayor al Total.</v>
      </c>
      <c r="BS17" s="83" t="str">
        <f t="shared" si="5"/>
        <v xml:space="preserve"> *  La variable Niños, niñas, adolescentes y jóvenes Mejor Niñez No puede ser mayor al Total.</v>
      </c>
      <c r="BT17" s="83" t="str">
        <f t="shared" si="6"/>
        <v xml:space="preserve"> *  La variable Por campaña de invierno No puede ser mayor al Total.</v>
      </c>
      <c r="BV17" s="2628">
        <f t="shared" si="7"/>
        <v>1</v>
      </c>
      <c r="BW17" s="2628">
        <f t="shared" si="8"/>
        <v>1</v>
      </c>
      <c r="BX17" s="2628">
        <f t="shared" ref="BX17:BX21" si="13">IF(AND(C17&gt;0,AR17=""),1,IF(AR17&gt;C17,1,0))</f>
        <v>1</v>
      </c>
      <c r="BY17" s="2628">
        <f t="shared" ref="BY17:BY21" si="14">IF(AND(C17&gt;0,AS17=""),1,IF(AS17&gt;C17,1,0))</f>
        <v>1</v>
      </c>
      <c r="BZ17" s="2628">
        <f t="shared" si="11"/>
        <v>1</v>
      </c>
    </row>
    <row r="18" spans="1:78" ht="15" customHeight="1" x14ac:dyDescent="0.25">
      <c r="A18" s="5633" t="s">
        <v>4808</v>
      </c>
      <c r="B18" s="2399" t="s">
        <v>482</v>
      </c>
      <c r="C18" s="341" t="s">
        <v>4567</v>
      </c>
      <c r="D18" s="2305" t="s">
        <v>4568</v>
      </c>
      <c r="E18" s="2629" t="s">
        <v>4569</v>
      </c>
      <c r="F18" s="345" t="s">
        <v>4570</v>
      </c>
      <c r="G18" s="346" t="s">
        <v>4571</v>
      </c>
      <c r="H18" s="345" t="s">
        <v>4572</v>
      </c>
      <c r="I18" s="346" t="s">
        <v>4573</v>
      </c>
      <c r="J18" s="345" t="s">
        <v>4574</v>
      </c>
      <c r="K18" s="349" t="s">
        <v>4575</v>
      </c>
      <c r="L18" s="290" t="s">
        <v>4576</v>
      </c>
      <c r="M18" s="349" t="s">
        <v>4577</v>
      </c>
      <c r="N18" s="345" t="s">
        <v>4578</v>
      </c>
      <c r="O18" s="349" t="s">
        <v>4579</v>
      </c>
      <c r="P18" s="345" t="s">
        <v>4580</v>
      </c>
      <c r="Q18" s="349" t="s">
        <v>4581</v>
      </c>
      <c r="R18" s="345" t="s">
        <v>4582</v>
      </c>
      <c r="S18" s="349" t="s">
        <v>4583</v>
      </c>
      <c r="T18" s="345" t="s">
        <v>4584</v>
      </c>
      <c r="U18" s="349" t="s">
        <v>4585</v>
      </c>
      <c r="V18" s="345" t="s">
        <v>4586</v>
      </c>
      <c r="W18" s="349" t="s">
        <v>4587</v>
      </c>
      <c r="X18" s="345" t="s">
        <v>4588</v>
      </c>
      <c r="Y18" s="349" t="s">
        <v>4589</v>
      </c>
      <c r="Z18" s="345" t="s">
        <v>4590</v>
      </c>
      <c r="AA18" s="349" t="s">
        <v>4591</v>
      </c>
      <c r="AB18" s="345" t="s">
        <v>4592</v>
      </c>
      <c r="AC18" s="349" t="s">
        <v>4593</v>
      </c>
      <c r="AD18" s="345" t="s">
        <v>4594</v>
      </c>
      <c r="AE18" s="349" t="s">
        <v>4595</v>
      </c>
      <c r="AF18" s="345" t="s">
        <v>4596</v>
      </c>
      <c r="AG18" s="349" t="s">
        <v>4597</v>
      </c>
      <c r="AH18" s="345" t="s">
        <v>4598</v>
      </c>
      <c r="AI18" s="349" t="s">
        <v>4599</v>
      </c>
      <c r="AJ18" s="345" t="s">
        <v>4600</v>
      </c>
      <c r="AK18" s="349" t="s">
        <v>4601</v>
      </c>
      <c r="AL18" s="345" t="s">
        <v>4602</v>
      </c>
      <c r="AM18" s="349" t="s">
        <v>4603</v>
      </c>
      <c r="AN18" s="350" t="s">
        <v>4604</v>
      </c>
      <c r="AO18" s="351" t="s">
        <v>4605</v>
      </c>
      <c r="AP18" s="811" t="s">
        <v>4606</v>
      </c>
      <c r="AQ18" s="2630" t="s">
        <v>4934</v>
      </c>
      <c r="AR18" s="2630" t="s">
        <v>4935</v>
      </c>
      <c r="AS18" s="2630" t="s">
        <v>4936</v>
      </c>
      <c r="AT18" s="812" t="s">
        <v>4937</v>
      </c>
      <c r="AU18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8" s="83" t="str">
        <f t="shared" si="2"/>
        <v xml:space="preserve"> *  La variable Pueblos originarios No puede ser mayor al Total.</v>
      </c>
      <c r="BQ18" s="83" t="str">
        <f t="shared" si="3"/>
        <v xml:space="preserve"> *  La variable Migrantes No puede ser mayor al Total.</v>
      </c>
      <c r="BR18" s="83" t="str">
        <f t="shared" si="12"/>
        <v xml:space="preserve"> *  La variable Niños, niñas, adolescentes y jóvenes SENAME No puede ser mayor al Total.</v>
      </c>
      <c r="BS18" s="83" t="str">
        <f t="shared" si="5"/>
        <v xml:space="preserve"> *  La variable Niños, niñas, adolescentes y jóvenes Mejor Niñez No puede ser mayor al Total.</v>
      </c>
      <c r="BT18" s="83" t="str">
        <f t="shared" si="6"/>
        <v xml:space="preserve"> *  La variable Por campaña de invierno No puede ser mayor al Total.</v>
      </c>
      <c r="BV18" s="2628">
        <f t="shared" si="7"/>
        <v>1</v>
      </c>
      <c r="BW18" s="2628">
        <f t="shared" si="8"/>
        <v>1</v>
      </c>
      <c r="BX18" s="2628">
        <f t="shared" si="13"/>
        <v>1</v>
      </c>
      <c r="BY18" s="2628">
        <f t="shared" si="14"/>
        <v>1</v>
      </c>
      <c r="BZ18" s="2628">
        <f t="shared" si="11"/>
        <v>1</v>
      </c>
    </row>
    <row r="19" spans="1:78" ht="15" customHeight="1" x14ac:dyDescent="0.25">
      <c r="A19" s="5633" t="s">
        <v>4809</v>
      </c>
      <c r="B19" s="2636" t="s">
        <v>483</v>
      </c>
      <c r="C19" s="341" t="s">
        <v>4567</v>
      </c>
      <c r="D19" s="1891" t="s">
        <v>4568</v>
      </c>
      <c r="E19" s="2637" t="s">
        <v>4569</v>
      </c>
      <c r="F19" s="2633" t="s">
        <v>4570</v>
      </c>
      <c r="G19" s="2634" t="s">
        <v>4571</v>
      </c>
      <c r="H19" s="2633" t="s">
        <v>4572</v>
      </c>
      <c r="I19" s="2634" t="s">
        <v>4573</v>
      </c>
      <c r="J19" s="2633" t="s">
        <v>4574</v>
      </c>
      <c r="K19" s="2638" t="s">
        <v>4575</v>
      </c>
      <c r="L19" s="619" t="s">
        <v>4576</v>
      </c>
      <c r="M19" s="382" t="s">
        <v>4577</v>
      </c>
      <c r="N19" s="2639" t="s">
        <v>4578</v>
      </c>
      <c r="O19" s="382" t="s">
        <v>4579</v>
      </c>
      <c r="P19" s="2639" t="s">
        <v>4580</v>
      </c>
      <c r="Q19" s="382" t="s">
        <v>4581</v>
      </c>
      <c r="R19" s="2639" t="s">
        <v>4582</v>
      </c>
      <c r="S19" s="382" t="s">
        <v>4583</v>
      </c>
      <c r="T19" s="2639" t="s">
        <v>4584</v>
      </c>
      <c r="U19" s="382" t="s">
        <v>4585</v>
      </c>
      <c r="V19" s="2639" t="s">
        <v>4586</v>
      </c>
      <c r="W19" s="382" t="s">
        <v>4587</v>
      </c>
      <c r="X19" s="2639" t="s">
        <v>4588</v>
      </c>
      <c r="Y19" s="382" t="s">
        <v>4589</v>
      </c>
      <c r="Z19" s="2639" t="s">
        <v>4590</v>
      </c>
      <c r="AA19" s="382" t="s">
        <v>4591</v>
      </c>
      <c r="AB19" s="2639" t="s">
        <v>4592</v>
      </c>
      <c r="AC19" s="382" t="s">
        <v>4593</v>
      </c>
      <c r="AD19" s="2639" t="s">
        <v>4594</v>
      </c>
      <c r="AE19" s="382" t="s">
        <v>4595</v>
      </c>
      <c r="AF19" s="2639" t="s">
        <v>4596</v>
      </c>
      <c r="AG19" s="382" t="s">
        <v>4597</v>
      </c>
      <c r="AH19" s="2633" t="s">
        <v>4598</v>
      </c>
      <c r="AI19" s="2638" t="s">
        <v>4599</v>
      </c>
      <c r="AJ19" s="2633" t="s">
        <v>4600</v>
      </c>
      <c r="AK19" s="2638" t="s">
        <v>4601</v>
      </c>
      <c r="AL19" s="2633" t="s">
        <v>4602</v>
      </c>
      <c r="AM19" s="2638" t="s">
        <v>4603</v>
      </c>
      <c r="AN19" s="2640" t="s">
        <v>4604</v>
      </c>
      <c r="AO19" s="825" t="s">
        <v>4605</v>
      </c>
      <c r="AP19" s="2641" t="s">
        <v>4606</v>
      </c>
      <c r="AQ19" s="2642" t="s">
        <v>4934</v>
      </c>
      <c r="AR19" s="2642" t="s">
        <v>4935</v>
      </c>
      <c r="AS19" s="2642" t="s">
        <v>4936</v>
      </c>
      <c r="AT19" s="5528" t="s">
        <v>4937</v>
      </c>
      <c r="AU19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19" s="83" t="str">
        <f t="shared" si="2"/>
        <v xml:space="preserve"> *  La variable Pueblos originarios No puede ser mayor al Total.</v>
      </c>
      <c r="BQ19" s="83" t="str">
        <f t="shared" si="3"/>
        <v xml:space="preserve"> *  La variable Migrantes No puede ser mayor al Total.</v>
      </c>
      <c r="BR19" s="83" t="str">
        <f t="shared" si="12"/>
        <v xml:space="preserve"> *  La variable Niños, niñas, adolescentes y jóvenes SENAME No puede ser mayor al Total.</v>
      </c>
      <c r="BS19" s="83" t="str">
        <f t="shared" si="5"/>
        <v xml:space="preserve"> *  La variable Niños, niñas, adolescentes y jóvenes Mejor Niñez No puede ser mayor al Total.</v>
      </c>
      <c r="BT19" s="83"/>
      <c r="BV19" s="2628">
        <f t="shared" si="7"/>
        <v>1</v>
      </c>
      <c r="BW19" s="2628">
        <f t="shared" si="8"/>
        <v>1</v>
      </c>
      <c r="BX19" s="2628">
        <f t="shared" si="13"/>
        <v>1</v>
      </c>
      <c r="BY19" s="2628">
        <f t="shared" si="14"/>
        <v>1</v>
      </c>
      <c r="BZ19" s="2628"/>
    </row>
    <row r="20" spans="1:78" ht="15" customHeight="1" x14ac:dyDescent="0.25">
      <c r="A20" s="5633" t="s">
        <v>4810</v>
      </c>
      <c r="B20" s="2636" t="s">
        <v>484</v>
      </c>
      <c r="C20" s="341" t="s">
        <v>4567</v>
      </c>
      <c r="D20" s="1891" t="s">
        <v>4568</v>
      </c>
      <c r="E20" s="2629" t="s">
        <v>4569</v>
      </c>
      <c r="F20" s="2633" t="s">
        <v>4570</v>
      </c>
      <c r="G20" s="346" t="s">
        <v>4571</v>
      </c>
      <c r="H20" s="2633" t="s">
        <v>4572</v>
      </c>
      <c r="I20" s="346" t="s">
        <v>4573</v>
      </c>
      <c r="J20" s="2633" t="s">
        <v>4574</v>
      </c>
      <c r="K20" s="382" t="s">
        <v>4575</v>
      </c>
      <c r="L20" s="2633" t="s">
        <v>4576</v>
      </c>
      <c r="M20" s="382" t="s">
        <v>4577</v>
      </c>
      <c r="N20" s="2639" t="s">
        <v>4578</v>
      </c>
      <c r="O20" s="382" t="s">
        <v>4579</v>
      </c>
      <c r="P20" s="2639" t="s">
        <v>4580</v>
      </c>
      <c r="Q20" s="382" t="s">
        <v>4581</v>
      </c>
      <c r="R20" s="2639" t="s">
        <v>4582</v>
      </c>
      <c r="S20" s="382" t="s">
        <v>4583</v>
      </c>
      <c r="T20" s="2639" t="s">
        <v>4584</v>
      </c>
      <c r="U20" s="382" t="s">
        <v>4585</v>
      </c>
      <c r="V20" s="2639" t="s">
        <v>4586</v>
      </c>
      <c r="W20" s="382" t="s">
        <v>4587</v>
      </c>
      <c r="X20" s="2639" t="s">
        <v>4588</v>
      </c>
      <c r="Y20" s="382" t="s">
        <v>4589</v>
      </c>
      <c r="Z20" s="2639" t="s">
        <v>4590</v>
      </c>
      <c r="AA20" s="382" t="s">
        <v>4591</v>
      </c>
      <c r="AB20" s="2639" t="s">
        <v>4592</v>
      </c>
      <c r="AC20" s="382" t="s">
        <v>4593</v>
      </c>
      <c r="AD20" s="2639" t="s">
        <v>4594</v>
      </c>
      <c r="AE20" s="382" t="s">
        <v>4595</v>
      </c>
      <c r="AF20" s="2639" t="s">
        <v>4596</v>
      </c>
      <c r="AG20" s="382" t="s">
        <v>4597</v>
      </c>
      <c r="AH20" s="2639" t="s">
        <v>4598</v>
      </c>
      <c r="AI20" s="382" t="s">
        <v>4599</v>
      </c>
      <c r="AJ20" s="2639" t="s">
        <v>4600</v>
      </c>
      <c r="AK20" s="382" t="s">
        <v>4601</v>
      </c>
      <c r="AL20" s="2639" t="s">
        <v>4602</v>
      </c>
      <c r="AM20" s="382" t="s">
        <v>4603</v>
      </c>
      <c r="AN20" s="2639" t="s">
        <v>4604</v>
      </c>
      <c r="AO20" s="383" t="s">
        <v>4605</v>
      </c>
      <c r="AP20" s="2641" t="s">
        <v>4606</v>
      </c>
      <c r="AQ20" s="2642" t="s">
        <v>4934</v>
      </c>
      <c r="AR20" s="2642" t="s">
        <v>4935</v>
      </c>
      <c r="AS20" s="2642" t="s">
        <v>4936</v>
      </c>
      <c r="AT20" s="5528" t="s">
        <v>4937</v>
      </c>
      <c r="AU20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0" s="83" t="str">
        <f t="shared" si="2"/>
        <v xml:space="preserve"> *  La variable Pueblos originarios No puede ser mayor al Total.</v>
      </c>
      <c r="BQ20" s="83" t="str">
        <f t="shared" si="3"/>
        <v xml:space="preserve"> *  La variable Migrantes No puede ser mayor al Total.</v>
      </c>
      <c r="BR20" s="83" t="str">
        <f t="shared" si="12"/>
        <v xml:space="preserve"> *  La variable Niños, niñas, adolescentes y jóvenes SENAME No puede ser mayor al Total.</v>
      </c>
      <c r="BS20" s="83" t="str">
        <f t="shared" si="5"/>
        <v xml:space="preserve"> *  La variable Niños, niñas, adolescentes y jóvenes Mejor Niñez No puede ser mayor al Total.</v>
      </c>
      <c r="BT20" s="83"/>
      <c r="BV20" s="2628">
        <f t="shared" si="7"/>
        <v>1</v>
      </c>
      <c r="BW20" s="2628">
        <f t="shared" si="8"/>
        <v>1</v>
      </c>
      <c r="BX20" s="2628">
        <f t="shared" si="13"/>
        <v>1</v>
      </c>
      <c r="BY20" s="2628">
        <f t="shared" si="14"/>
        <v>1</v>
      </c>
      <c r="BZ20" s="2628"/>
    </row>
    <row r="21" spans="1:78" ht="15" customHeight="1" x14ac:dyDescent="0.25">
      <c r="A21" s="5633" t="s">
        <v>4811</v>
      </c>
      <c r="B21" s="2636" t="s">
        <v>485</v>
      </c>
      <c r="C21" s="199" t="s">
        <v>4567</v>
      </c>
      <c r="D21" s="1126" t="s">
        <v>4568</v>
      </c>
      <c r="E21" s="2629" t="s">
        <v>4569</v>
      </c>
      <c r="F21" s="2633" t="s">
        <v>4570</v>
      </c>
      <c r="G21" s="2634" t="s">
        <v>4571</v>
      </c>
      <c r="H21" s="2633" t="s">
        <v>4572</v>
      </c>
      <c r="I21" s="2634" t="s">
        <v>4573</v>
      </c>
      <c r="J21" s="2633" t="s">
        <v>4574</v>
      </c>
      <c r="K21" s="2638" t="s">
        <v>4575</v>
      </c>
      <c r="L21" s="619" t="s">
        <v>4576</v>
      </c>
      <c r="M21" s="2638" t="s">
        <v>4577</v>
      </c>
      <c r="N21" s="2633" t="s">
        <v>4578</v>
      </c>
      <c r="O21" s="2638" t="s">
        <v>4579</v>
      </c>
      <c r="P21" s="192" t="s">
        <v>4580</v>
      </c>
      <c r="Q21" s="382" t="s">
        <v>4581</v>
      </c>
      <c r="R21" s="192" t="s">
        <v>4582</v>
      </c>
      <c r="S21" s="382" t="s">
        <v>4583</v>
      </c>
      <c r="T21" s="192" t="s">
        <v>4584</v>
      </c>
      <c r="U21" s="382" t="s">
        <v>4585</v>
      </c>
      <c r="V21" s="192" t="s">
        <v>4586</v>
      </c>
      <c r="W21" s="382" t="s">
        <v>4587</v>
      </c>
      <c r="X21" s="192" t="s">
        <v>4588</v>
      </c>
      <c r="Y21" s="382" t="s">
        <v>4589</v>
      </c>
      <c r="Z21" s="192" t="s">
        <v>4590</v>
      </c>
      <c r="AA21" s="382" t="s">
        <v>4591</v>
      </c>
      <c r="AB21" s="192" t="s">
        <v>4592</v>
      </c>
      <c r="AC21" s="382" t="s">
        <v>4593</v>
      </c>
      <c r="AD21" s="2633" t="s">
        <v>4594</v>
      </c>
      <c r="AE21" s="2638" t="s">
        <v>4595</v>
      </c>
      <c r="AF21" s="2633" t="s">
        <v>4596</v>
      </c>
      <c r="AG21" s="2638" t="s">
        <v>4597</v>
      </c>
      <c r="AH21" s="2639" t="s">
        <v>4598</v>
      </c>
      <c r="AI21" s="2638" t="s">
        <v>4599</v>
      </c>
      <c r="AJ21" s="2633" t="s">
        <v>4600</v>
      </c>
      <c r="AK21" s="2638" t="s">
        <v>4601</v>
      </c>
      <c r="AL21" s="2633" t="s">
        <v>4602</v>
      </c>
      <c r="AM21" s="2638" t="s">
        <v>4603</v>
      </c>
      <c r="AN21" s="2640" t="s">
        <v>4604</v>
      </c>
      <c r="AO21" s="825" t="s">
        <v>4605</v>
      </c>
      <c r="AP21" s="2641" t="s">
        <v>4606</v>
      </c>
      <c r="AQ21" s="2642" t="s">
        <v>4934</v>
      </c>
      <c r="AR21" s="2642" t="s">
        <v>4935</v>
      </c>
      <c r="AS21" s="2642" t="s">
        <v>4936</v>
      </c>
      <c r="AT21" s="5528" t="s">
        <v>4937</v>
      </c>
      <c r="AU21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1" s="83" t="str">
        <f t="shared" si="2"/>
        <v xml:space="preserve"> *  La variable Pueblos originarios No puede ser mayor al Total.</v>
      </c>
      <c r="BQ21" s="83" t="str">
        <f t="shared" si="3"/>
        <v xml:space="preserve"> *  La variable Migrantes No puede ser mayor al Total.</v>
      </c>
      <c r="BR21" s="83" t="str">
        <f t="shared" si="12"/>
        <v xml:space="preserve"> *  La variable Niños, niñas, adolescentes y jóvenes SENAME No puede ser mayor al Total.</v>
      </c>
      <c r="BS21" s="83" t="str">
        <f t="shared" si="5"/>
        <v xml:space="preserve"> *  La variable Niños, niñas, adolescentes y jóvenes Mejor Niñez No puede ser mayor al Total.</v>
      </c>
      <c r="BT21" s="83"/>
      <c r="BV21" s="2628">
        <f t="shared" si="7"/>
        <v>1</v>
      </c>
      <c r="BW21" s="2628">
        <f t="shared" si="8"/>
        <v>1</v>
      </c>
      <c r="BX21" s="2628">
        <f t="shared" si="13"/>
        <v>1</v>
      </c>
      <c r="BY21" s="2628">
        <f t="shared" si="14"/>
        <v>1</v>
      </c>
      <c r="BZ21" s="2628"/>
    </row>
    <row r="22" spans="1:78" ht="15" customHeight="1" x14ac:dyDescent="0.25">
      <c r="A22" s="5633" t="s">
        <v>4812</v>
      </c>
      <c r="B22" s="2636" t="s">
        <v>486</v>
      </c>
      <c r="C22" s="199" t="s">
        <v>4567</v>
      </c>
      <c r="D22" s="1126" t="s">
        <v>4568</v>
      </c>
      <c r="E22" s="2637" t="s">
        <v>4569</v>
      </c>
      <c r="F22" s="192" t="s">
        <v>4570</v>
      </c>
      <c r="G22" s="2" t="s">
        <v>4571</v>
      </c>
      <c r="H22" s="192" t="s">
        <v>4572</v>
      </c>
      <c r="I22" s="2" t="s">
        <v>4573</v>
      </c>
      <c r="J22" s="192" t="s">
        <v>4574</v>
      </c>
      <c r="K22" s="382" t="s">
        <v>4575</v>
      </c>
      <c r="L22" s="290" t="s">
        <v>4576</v>
      </c>
      <c r="M22" s="382" t="s">
        <v>4577</v>
      </c>
      <c r="N22" s="192" t="s">
        <v>4578</v>
      </c>
      <c r="O22" s="382" t="s">
        <v>4579</v>
      </c>
      <c r="P22" s="192" t="s">
        <v>4580</v>
      </c>
      <c r="Q22" s="382" t="s">
        <v>4581</v>
      </c>
      <c r="R22" s="192" t="s">
        <v>4582</v>
      </c>
      <c r="S22" s="382" t="s">
        <v>4583</v>
      </c>
      <c r="T22" s="192" t="s">
        <v>4584</v>
      </c>
      <c r="U22" s="382" t="s">
        <v>4585</v>
      </c>
      <c r="V22" s="192" t="s">
        <v>4586</v>
      </c>
      <c r="W22" s="382" t="s">
        <v>4587</v>
      </c>
      <c r="X22" s="192" t="s">
        <v>4588</v>
      </c>
      <c r="Y22" s="382" t="s">
        <v>4589</v>
      </c>
      <c r="Z22" s="192" t="s">
        <v>4590</v>
      </c>
      <c r="AA22" s="382" t="s">
        <v>4591</v>
      </c>
      <c r="AB22" s="192" t="s">
        <v>4592</v>
      </c>
      <c r="AC22" s="382" t="s">
        <v>4593</v>
      </c>
      <c r="AD22" s="192" t="s">
        <v>4594</v>
      </c>
      <c r="AE22" s="382" t="s">
        <v>4595</v>
      </c>
      <c r="AF22" s="192" t="s">
        <v>4596</v>
      </c>
      <c r="AG22" s="382" t="s">
        <v>4597</v>
      </c>
      <c r="AH22" s="192" t="s">
        <v>4598</v>
      </c>
      <c r="AI22" s="382" t="s">
        <v>4599</v>
      </c>
      <c r="AJ22" s="192" t="s">
        <v>4600</v>
      </c>
      <c r="AK22" s="382" t="s">
        <v>4601</v>
      </c>
      <c r="AL22" s="192" t="s">
        <v>4602</v>
      </c>
      <c r="AM22" s="382" t="s">
        <v>4603</v>
      </c>
      <c r="AN22" s="753" t="s">
        <v>4604</v>
      </c>
      <c r="AO22" s="383" t="s">
        <v>4605</v>
      </c>
      <c r="AP22" s="2641" t="s">
        <v>4606</v>
      </c>
      <c r="AQ22" s="2642" t="s">
        <v>4934</v>
      </c>
      <c r="AR22" s="2642" t="s">
        <v>4935</v>
      </c>
      <c r="AS22" s="2642" t="s">
        <v>4936</v>
      </c>
      <c r="AT22" s="5528" t="s">
        <v>4937</v>
      </c>
      <c r="AU22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2" s="83" t="str">
        <f t="shared" si="2"/>
        <v xml:space="preserve"> *  La variable Pueblos originarios No puede ser mayor al Total.</v>
      </c>
      <c r="BQ22" s="83" t="str">
        <f t="shared" si="3"/>
        <v xml:space="preserve"> *  La variable Migrantes No puede ser mayor al Total.</v>
      </c>
      <c r="BR22" s="83" t="str">
        <f t="shared" si="4"/>
        <v xml:space="preserve"> *  La variable Niños, niñas, adolescentes y jóvenes SENAME No puede ser mayor al Total.</v>
      </c>
      <c r="BS22" s="83" t="str">
        <f t="shared" si="5"/>
        <v xml:space="preserve"> *  La variable Niños, niñas, adolescentes y jóvenes Mejor Niñez No puede ser mayor al Total.</v>
      </c>
      <c r="BT22" s="83"/>
      <c r="BV22" s="2628">
        <f t="shared" si="7"/>
        <v>1</v>
      </c>
      <c r="BW22" s="2628">
        <f t="shared" si="8"/>
        <v>1</v>
      </c>
      <c r="BX22" s="2628">
        <f t="shared" si="9"/>
        <v>1</v>
      </c>
      <c r="BY22" s="2628">
        <f t="shared" si="10"/>
        <v>1</v>
      </c>
      <c r="BZ22" s="2628"/>
    </row>
    <row r="23" spans="1:78" ht="15" customHeight="1" x14ac:dyDescent="0.25">
      <c r="A23" s="5633" t="s">
        <v>4813</v>
      </c>
      <c r="B23" s="2635" t="s">
        <v>487</v>
      </c>
      <c r="C23" s="199" t="s">
        <v>4567</v>
      </c>
      <c r="D23" s="1126" t="s">
        <v>4568</v>
      </c>
      <c r="E23" s="2637" t="s">
        <v>4569</v>
      </c>
      <c r="F23" s="192" t="s">
        <v>4570</v>
      </c>
      <c r="G23" s="2" t="s">
        <v>4571</v>
      </c>
      <c r="H23" s="192" t="s">
        <v>4572</v>
      </c>
      <c r="I23" s="2" t="s">
        <v>4573</v>
      </c>
      <c r="J23" s="192" t="s">
        <v>4574</v>
      </c>
      <c r="K23" s="382" t="s">
        <v>4575</v>
      </c>
      <c r="L23" s="290" t="s">
        <v>4576</v>
      </c>
      <c r="M23" s="382" t="s">
        <v>4577</v>
      </c>
      <c r="N23" s="192" t="s">
        <v>4578</v>
      </c>
      <c r="O23" s="382" t="s">
        <v>4579</v>
      </c>
      <c r="P23" s="192" t="s">
        <v>4580</v>
      </c>
      <c r="Q23" s="382" t="s">
        <v>4581</v>
      </c>
      <c r="R23" s="192" t="s">
        <v>4582</v>
      </c>
      <c r="S23" s="382" t="s">
        <v>4583</v>
      </c>
      <c r="T23" s="192" t="s">
        <v>4584</v>
      </c>
      <c r="U23" s="382" t="s">
        <v>4585</v>
      </c>
      <c r="V23" s="192" t="s">
        <v>4586</v>
      </c>
      <c r="W23" s="382" t="s">
        <v>4587</v>
      </c>
      <c r="X23" s="192" t="s">
        <v>4588</v>
      </c>
      <c r="Y23" s="382" t="s">
        <v>4589</v>
      </c>
      <c r="Z23" s="192" t="s">
        <v>4590</v>
      </c>
      <c r="AA23" s="382" t="s">
        <v>4591</v>
      </c>
      <c r="AB23" s="192" t="s">
        <v>4592</v>
      </c>
      <c r="AC23" s="382" t="s">
        <v>4593</v>
      </c>
      <c r="AD23" s="192" t="s">
        <v>4594</v>
      </c>
      <c r="AE23" s="382" t="s">
        <v>4595</v>
      </c>
      <c r="AF23" s="192" t="s">
        <v>4596</v>
      </c>
      <c r="AG23" s="382" t="s">
        <v>4597</v>
      </c>
      <c r="AH23" s="192" t="s">
        <v>4598</v>
      </c>
      <c r="AI23" s="382" t="s">
        <v>4599</v>
      </c>
      <c r="AJ23" s="192" t="s">
        <v>4600</v>
      </c>
      <c r="AK23" s="382" t="s">
        <v>4601</v>
      </c>
      <c r="AL23" s="192" t="s">
        <v>4602</v>
      </c>
      <c r="AM23" s="382" t="s">
        <v>4603</v>
      </c>
      <c r="AN23" s="753" t="s">
        <v>4604</v>
      </c>
      <c r="AO23" s="383" t="s">
        <v>4605</v>
      </c>
      <c r="AP23" s="2641" t="s">
        <v>4606</v>
      </c>
      <c r="AQ23" s="2642" t="s">
        <v>4934</v>
      </c>
      <c r="AR23" s="2642" t="s">
        <v>4935</v>
      </c>
      <c r="AS23" s="2642" t="s">
        <v>4936</v>
      </c>
      <c r="AT23" s="5528" t="s">
        <v>4937</v>
      </c>
      <c r="AU23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3" s="83" t="str">
        <f t="shared" si="2"/>
        <v xml:space="preserve"> *  La variable Pueblos originarios No puede ser mayor al Total.</v>
      </c>
      <c r="BQ23" s="83" t="str">
        <f t="shared" si="3"/>
        <v xml:space="preserve"> *  La variable Migrantes No puede ser mayor al Total.</v>
      </c>
      <c r="BR23" s="83" t="str">
        <f t="shared" si="4"/>
        <v xml:space="preserve"> *  La variable Niños, niñas, adolescentes y jóvenes SENAME No puede ser mayor al Total.</v>
      </c>
      <c r="BS23" s="83" t="str">
        <f t="shared" si="5"/>
        <v xml:space="preserve"> *  La variable Niños, niñas, adolescentes y jóvenes Mejor Niñez No puede ser mayor al Total.</v>
      </c>
      <c r="BT23" s="83"/>
      <c r="BV23" s="2628">
        <f t="shared" si="7"/>
        <v>1</v>
      </c>
      <c r="BW23" s="2628">
        <f t="shared" si="8"/>
        <v>1</v>
      </c>
      <c r="BX23" s="2628">
        <f t="shared" si="9"/>
        <v>1</v>
      </c>
      <c r="BY23" s="2628">
        <f t="shared" si="10"/>
        <v>1</v>
      </c>
      <c r="BZ23" s="2628"/>
    </row>
    <row r="24" spans="1:78" ht="15" customHeight="1" x14ac:dyDescent="0.25">
      <c r="A24" s="5633" t="s">
        <v>4814</v>
      </c>
      <c r="B24" s="2635" t="s">
        <v>488</v>
      </c>
      <c r="C24" s="341" t="s">
        <v>4567</v>
      </c>
      <c r="D24" s="2305" t="s">
        <v>4568</v>
      </c>
      <c r="E24" s="2629" t="s">
        <v>4569</v>
      </c>
      <c r="F24" s="619" t="s">
        <v>4570</v>
      </c>
      <c r="G24" s="824" t="s">
        <v>4571</v>
      </c>
      <c r="H24" s="192" t="s">
        <v>4572</v>
      </c>
      <c r="I24" s="2" t="s">
        <v>4573</v>
      </c>
      <c r="J24" s="192" t="s">
        <v>4574</v>
      </c>
      <c r="K24" s="382" t="s">
        <v>4575</v>
      </c>
      <c r="L24" s="290" t="s">
        <v>4576</v>
      </c>
      <c r="M24" s="382" t="s">
        <v>4577</v>
      </c>
      <c r="N24" s="192" t="s">
        <v>4578</v>
      </c>
      <c r="O24" s="382" t="s">
        <v>4579</v>
      </c>
      <c r="P24" s="192" t="s">
        <v>4580</v>
      </c>
      <c r="Q24" s="382" t="s">
        <v>4581</v>
      </c>
      <c r="R24" s="192" t="s">
        <v>4582</v>
      </c>
      <c r="S24" s="382" t="s">
        <v>4583</v>
      </c>
      <c r="T24" s="192" t="s">
        <v>4584</v>
      </c>
      <c r="U24" s="382" t="s">
        <v>4585</v>
      </c>
      <c r="V24" s="192" t="s">
        <v>4586</v>
      </c>
      <c r="W24" s="382" t="s">
        <v>4587</v>
      </c>
      <c r="X24" s="192" t="s">
        <v>4588</v>
      </c>
      <c r="Y24" s="382" t="s">
        <v>4589</v>
      </c>
      <c r="Z24" s="192" t="s">
        <v>4590</v>
      </c>
      <c r="AA24" s="382" t="s">
        <v>4591</v>
      </c>
      <c r="AB24" s="192" t="s">
        <v>4592</v>
      </c>
      <c r="AC24" s="382" t="s">
        <v>4593</v>
      </c>
      <c r="AD24" s="192" t="s">
        <v>4594</v>
      </c>
      <c r="AE24" s="382" t="s">
        <v>4595</v>
      </c>
      <c r="AF24" s="192" t="s">
        <v>4596</v>
      </c>
      <c r="AG24" s="382" t="s">
        <v>4597</v>
      </c>
      <c r="AH24" s="192" t="s">
        <v>4598</v>
      </c>
      <c r="AI24" s="382" t="s">
        <v>4599</v>
      </c>
      <c r="AJ24" s="192" t="s">
        <v>4600</v>
      </c>
      <c r="AK24" s="382" t="s">
        <v>4601</v>
      </c>
      <c r="AL24" s="192" t="s">
        <v>4602</v>
      </c>
      <c r="AM24" s="382" t="s">
        <v>4603</v>
      </c>
      <c r="AN24" s="753" t="s">
        <v>4604</v>
      </c>
      <c r="AO24" s="383" t="s">
        <v>4605</v>
      </c>
      <c r="AP24" s="2641" t="s">
        <v>4606</v>
      </c>
      <c r="AQ24" s="2642" t="s">
        <v>4934</v>
      </c>
      <c r="AR24" s="2642" t="s">
        <v>4935</v>
      </c>
      <c r="AS24" s="2642" t="s">
        <v>4936</v>
      </c>
      <c r="AT24" s="5528" t="s">
        <v>4937</v>
      </c>
      <c r="AU24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4" s="83" t="str">
        <f t="shared" si="2"/>
        <v xml:space="preserve"> *  La variable Pueblos originarios No puede ser mayor al Total.</v>
      </c>
      <c r="BQ24" s="83" t="str">
        <f t="shared" si="3"/>
        <v xml:space="preserve"> *  La variable Migrantes No puede ser mayor al Total.</v>
      </c>
      <c r="BR24" s="83" t="str">
        <f t="shared" si="4"/>
        <v xml:space="preserve"> *  La variable Niños, niñas, adolescentes y jóvenes SENAME No puede ser mayor al Total.</v>
      </c>
      <c r="BS24" s="83" t="str">
        <f t="shared" si="5"/>
        <v xml:space="preserve"> *  La variable Niños, niñas, adolescentes y jóvenes Mejor Niñez No puede ser mayor al Total.</v>
      </c>
      <c r="BT24" s="83"/>
      <c r="BV24" s="2628">
        <f t="shared" si="7"/>
        <v>1</v>
      </c>
      <c r="BW24" s="2628">
        <f t="shared" si="8"/>
        <v>1</v>
      </c>
      <c r="BX24" s="2628">
        <f t="shared" si="9"/>
        <v>1</v>
      </c>
      <c r="BY24" s="2628">
        <f t="shared" si="10"/>
        <v>1</v>
      </c>
      <c r="BZ24" s="2628"/>
    </row>
    <row r="25" spans="1:78" ht="15" customHeight="1" x14ac:dyDescent="0.25">
      <c r="A25" s="5633" t="s">
        <v>4815</v>
      </c>
      <c r="B25" s="2635" t="s">
        <v>489</v>
      </c>
      <c r="C25" s="341" t="s">
        <v>4567</v>
      </c>
      <c r="D25" s="2305" t="s">
        <v>4568</v>
      </c>
      <c r="E25" s="2629" t="s">
        <v>4569</v>
      </c>
      <c r="F25" s="2644" t="s">
        <v>4570</v>
      </c>
      <c r="G25" s="2638" t="s">
        <v>4571</v>
      </c>
      <c r="H25" s="2633" t="s">
        <v>4572</v>
      </c>
      <c r="I25" s="2634" t="s">
        <v>4573</v>
      </c>
      <c r="J25" s="2633" t="s">
        <v>4574</v>
      </c>
      <c r="K25" s="2634" t="s">
        <v>4575</v>
      </c>
      <c r="L25" s="2633" t="s">
        <v>4576</v>
      </c>
      <c r="M25" s="2634" t="s">
        <v>4577</v>
      </c>
      <c r="N25" s="192" t="s">
        <v>4578</v>
      </c>
      <c r="O25" s="382" t="s">
        <v>4579</v>
      </c>
      <c r="P25" s="192" t="s">
        <v>4580</v>
      </c>
      <c r="Q25" s="382" t="s">
        <v>4581</v>
      </c>
      <c r="R25" s="192" t="s">
        <v>4582</v>
      </c>
      <c r="S25" s="382" t="s">
        <v>4583</v>
      </c>
      <c r="T25" s="192" t="s">
        <v>4584</v>
      </c>
      <c r="U25" s="382" t="s">
        <v>4585</v>
      </c>
      <c r="V25" s="192" t="s">
        <v>4586</v>
      </c>
      <c r="W25" s="382" t="s">
        <v>4587</v>
      </c>
      <c r="X25" s="192" t="s">
        <v>4588</v>
      </c>
      <c r="Y25" s="382" t="s">
        <v>4589</v>
      </c>
      <c r="Z25" s="192" t="s">
        <v>4590</v>
      </c>
      <c r="AA25" s="382" t="s">
        <v>4591</v>
      </c>
      <c r="AB25" s="192" t="s">
        <v>4592</v>
      </c>
      <c r="AC25" s="382" t="s">
        <v>4593</v>
      </c>
      <c r="AD25" s="192" t="s">
        <v>4594</v>
      </c>
      <c r="AE25" s="382" t="s">
        <v>4595</v>
      </c>
      <c r="AF25" s="192" t="s">
        <v>4596</v>
      </c>
      <c r="AG25" s="382" t="s">
        <v>4597</v>
      </c>
      <c r="AH25" s="192" t="s">
        <v>4598</v>
      </c>
      <c r="AI25" s="382" t="s">
        <v>4599</v>
      </c>
      <c r="AJ25" s="192" t="s">
        <v>4600</v>
      </c>
      <c r="AK25" s="382" t="s">
        <v>4601</v>
      </c>
      <c r="AL25" s="192" t="s">
        <v>4602</v>
      </c>
      <c r="AM25" s="382" t="s">
        <v>4603</v>
      </c>
      <c r="AN25" s="753" t="s">
        <v>4604</v>
      </c>
      <c r="AO25" s="383" t="s">
        <v>4605</v>
      </c>
      <c r="AP25" s="2641" t="s">
        <v>4606</v>
      </c>
      <c r="AQ25" s="2642" t="s">
        <v>4934</v>
      </c>
      <c r="AR25" s="2642" t="s">
        <v>4935</v>
      </c>
      <c r="AS25" s="2642" t="s">
        <v>4936</v>
      </c>
      <c r="AT25" s="5528" t="s">
        <v>4937</v>
      </c>
      <c r="AU25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5" s="83" t="str">
        <f t="shared" si="2"/>
        <v xml:space="preserve"> *  La variable Pueblos originarios No puede ser mayor al Total.</v>
      </c>
      <c r="BQ25" s="83" t="str">
        <f t="shared" si="3"/>
        <v xml:space="preserve"> *  La variable Migrantes No puede ser mayor al Total.</v>
      </c>
      <c r="BR25" s="83" t="str">
        <f t="shared" si="4"/>
        <v xml:space="preserve"> *  La variable Niños, niñas, adolescentes y jóvenes SENAME No puede ser mayor al Total.</v>
      </c>
      <c r="BS25" s="83" t="str">
        <f t="shared" si="5"/>
        <v xml:space="preserve"> *  La variable Niños, niñas, adolescentes y jóvenes Mejor Niñez No puede ser mayor al Total.</v>
      </c>
      <c r="BT25" s="83"/>
      <c r="BV25" s="2628">
        <f t="shared" si="7"/>
        <v>1</v>
      </c>
      <c r="BW25" s="2628">
        <f t="shared" si="8"/>
        <v>1</v>
      </c>
      <c r="BX25" s="2628">
        <f t="shared" si="9"/>
        <v>1</v>
      </c>
      <c r="BY25" s="2628">
        <f t="shared" si="10"/>
        <v>1</v>
      </c>
      <c r="BZ25" s="2628"/>
    </row>
    <row r="26" spans="1:78" ht="15" customHeight="1" x14ac:dyDescent="0.25">
      <c r="A26" s="5633" t="s">
        <v>4816</v>
      </c>
      <c r="B26" s="2284" t="s">
        <v>490</v>
      </c>
      <c r="C26" s="323" t="s">
        <v>4567</v>
      </c>
      <c r="D26" s="732" t="s">
        <v>4568</v>
      </c>
      <c r="E26" s="2645" t="s">
        <v>4569</v>
      </c>
      <c r="F26" s="2646" t="s">
        <v>4570</v>
      </c>
      <c r="G26" s="388" t="s">
        <v>4571</v>
      </c>
      <c r="H26" s="379" t="s">
        <v>4572</v>
      </c>
      <c r="I26" s="387" t="s">
        <v>4573</v>
      </c>
      <c r="J26" s="379" t="s">
        <v>4574</v>
      </c>
      <c r="K26" s="388" t="s">
        <v>4575</v>
      </c>
      <c r="L26" s="372" t="s">
        <v>4576</v>
      </c>
      <c r="M26" s="388" t="s">
        <v>4577</v>
      </c>
      <c r="N26" s="379" t="s">
        <v>4578</v>
      </c>
      <c r="O26" s="388" t="s">
        <v>4579</v>
      </c>
      <c r="P26" s="379" t="s">
        <v>4580</v>
      </c>
      <c r="Q26" s="388" t="s">
        <v>4581</v>
      </c>
      <c r="R26" s="379" t="s">
        <v>4582</v>
      </c>
      <c r="S26" s="388" t="s">
        <v>4583</v>
      </c>
      <c r="T26" s="379" t="s">
        <v>4584</v>
      </c>
      <c r="U26" s="388" t="s">
        <v>4585</v>
      </c>
      <c r="V26" s="379" t="s">
        <v>4586</v>
      </c>
      <c r="W26" s="388" t="s">
        <v>4587</v>
      </c>
      <c r="X26" s="379" t="s">
        <v>4588</v>
      </c>
      <c r="Y26" s="388" t="s">
        <v>4589</v>
      </c>
      <c r="Z26" s="379" t="s">
        <v>4590</v>
      </c>
      <c r="AA26" s="388" t="s">
        <v>4591</v>
      </c>
      <c r="AB26" s="379" t="s">
        <v>4592</v>
      </c>
      <c r="AC26" s="388" t="s">
        <v>4593</v>
      </c>
      <c r="AD26" s="379" t="s">
        <v>4594</v>
      </c>
      <c r="AE26" s="388" t="s">
        <v>4595</v>
      </c>
      <c r="AF26" s="379" t="s">
        <v>4596</v>
      </c>
      <c r="AG26" s="388" t="s">
        <v>4597</v>
      </c>
      <c r="AH26" s="379" t="s">
        <v>4598</v>
      </c>
      <c r="AI26" s="388" t="s">
        <v>4599</v>
      </c>
      <c r="AJ26" s="379" t="s">
        <v>4600</v>
      </c>
      <c r="AK26" s="388" t="s">
        <v>4601</v>
      </c>
      <c r="AL26" s="379" t="s">
        <v>4602</v>
      </c>
      <c r="AM26" s="388" t="s">
        <v>4603</v>
      </c>
      <c r="AN26" s="666" t="s">
        <v>4604</v>
      </c>
      <c r="AO26" s="389" t="s">
        <v>4605</v>
      </c>
      <c r="AP26" s="814" t="s">
        <v>4606</v>
      </c>
      <c r="AQ26" s="2647" t="s">
        <v>4934</v>
      </c>
      <c r="AR26" s="2647" t="s">
        <v>4935</v>
      </c>
      <c r="AS26" s="2647" t="s">
        <v>4936</v>
      </c>
      <c r="AT26" s="815" t="s">
        <v>4937</v>
      </c>
      <c r="AU26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6" s="83" t="str">
        <f t="shared" si="2"/>
        <v xml:space="preserve"> *  La variable Pueblos originarios No puede ser mayor al Total.</v>
      </c>
      <c r="BQ26" s="83" t="str">
        <f t="shared" si="3"/>
        <v xml:space="preserve"> *  La variable Migrantes No puede ser mayor al Total.</v>
      </c>
      <c r="BR26" s="83" t="str">
        <f t="shared" si="4"/>
        <v xml:space="preserve"> *  La variable Niños, niñas, adolescentes y jóvenes SENAME No puede ser mayor al Total.</v>
      </c>
      <c r="BS26" s="83" t="str">
        <f t="shared" si="5"/>
        <v xml:space="preserve"> *  La variable Niños, niñas, adolescentes y jóvenes Mejor Niñez No puede ser mayor al Total.</v>
      </c>
      <c r="BT26" s="83" t="str">
        <f t="shared" si="6"/>
        <v xml:space="preserve"> *  La variable Por campaña de invierno No puede ser mayor al Total.</v>
      </c>
      <c r="BV26" s="2628">
        <f>IF(AND(C26&gt;0,AP26=""),1,IF(AP26&gt;C26,1,0))</f>
        <v>1</v>
      </c>
      <c r="BW26" s="2628">
        <f t="shared" si="8"/>
        <v>1</v>
      </c>
      <c r="BX26" s="2628">
        <f t="shared" si="9"/>
        <v>1</v>
      </c>
      <c r="BY26" s="2628">
        <f t="shared" si="10"/>
        <v>1</v>
      </c>
      <c r="BZ26" s="2628">
        <f t="shared" si="11"/>
        <v>1</v>
      </c>
    </row>
    <row r="27" spans="1:78" ht="18" customHeight="1" x14ac:dyDescent="0.25">
      <c r="B27" s="3" t="s">
        <v>491</v>
      </c>
      <c r="C27" s="91"/>
      <c r="D27" s="91"/>
      <c r="E27" s="91"/>
      <c r="F27" s="91"/>
      <c r="G27" s="2214"/>
      <c r="H27" s="2214" t="s">
        <v>10</v>
      </c>
      <c r="I27" s="2648"/>
      <c r="J27" s="2648"/>
      <c r="K27" s="2214"/>
      <c r="L27" s="2214"/>
      <c r="M27" s="2214"/>
      <c r="N27" s="2214"/>
      <c r="O27" s="2214"/>
      <c r="P27" s="2214"/>
      <c r="Q27" s="2214"/>
      <c r="R27" s="2214"/>
      <c r="S27" s="2214"/>
      <c r="T27" s="2214"/>
      <c r="U27" s="2214"/>
      <c r="V27" s="2214"/>
      <c r="W27" s="2214"/>
      <c r="X27" s="2214"/>
      <c r="Y27" s="2214"/>
      <c r="Z27" s="2649"/>
      <c r="AA27" s="2649"/>
      <c r="AB27" s="2649"/>
      <c r="AC27" s="2649"/>
      <c r="AD27" s="2649"/>
      <c r="AE27" s="2649"/>
      <c r="AF27" s="2649"/>
      <c r="AG27" s="2649"/>
      <c r="AH27" s="2649"/>
      <c r="AI27" s="2649"/>
      <c r="AJ27" s="2649"/>
      <c r="AK27" s="2649"/>
      <c r="AL27" s="2649"/>
      <c r="AM27" s="2649"/>
      <c r="AN27" s="2649"/>
      <c r="AO27" s="2649"/>
      <c r="AP27" s="2649"/>
      <c r="AQ27" s="2650"/>
      <c r="AR27" s="2650"/>
      <c r="AS27" s="24"/>
      <c r="AT27" s="88"/>
    </row>
    <row r="28" spans="1:78" ht="18.75" customHeight="1" x14ac:dyDescent="0.25">
      <c r="B28" s="6349" t="s">
        <v>27</v>
      </c>
      <c r="C28" s="6212" t="s">
        <v>28</v>
      </c>
      <c r="D28" s="6148"/>
      <c r="E28" s="6100"/>
      <c r="F28" s="6281" t="s">
        <v>101</v>
      </c>
      <c r="G28" s="6300"/>
      <c r="H28" s="6300"/>
      <c r="I28" s="6300"/>
      <c r="J28" s="6300"/>
      <c r="K28" s="6300"/>
      <c r="L28" s="6300"/>
      <c r="M28" s="6300"/>
      <c r="N28" s="6300"/>
      <c r="O28" s="6300"/>
      <c r="P28" s="6300"/>
      <c r="Q28" s="6300"/>
      <c r="R28" s="6300"/>
      <c r="S28" s="6300"/>
      <c r="T28" s="6300"/>
      <c r="U28" s="6300"/>
      <c r="V28" s="6300"/>
      <c r="W28" s="6300"/>
      <c r="X28" s="6300"/>
      <c r="Y28" s="6300"/>
      <c r="Z28" s="6300"/>
      <c r="AA28" s="6300"/>
      <c r="AB28" s="6300"/>
      <c r="AC28" s="6300"/>
      <c r="AD28" s="6300"/>
      <c r="AE28" s="6300"/>
      <c r="AF28" s="6300"/>
      <c r="AG28" s="6300"/>
      <c r="AH28" s="6300"/>
      <c r="AI28" s="6300"/>
      <c r="AJ28" s="6300"/>
      <c r="AK28" s="6300"/>
      <c r="AL28" s="6300"/>
      <c r="AM28" s="6300"/>
      <c r="AN28" s="6300"/>
      <c r="AO28" s="6314"/>
      <c r="AP28" s="6099" t="s">
        <v>36</v>
      </c>
      <c r="AQ28" s="6385" t="s">
        <v>37</v>
      </c>
      <c r="AR28" s="6385" t="s">
        <v>492</v>
      </c>
      <c r="AS28" s="6385" t="s">
        <v>34</v>
      </c>
      <c r="AT28" s="6100" t="s">
        <v>35</v>
      </c>
    </row>
    <row r="29" spans="1:78" ht="15.75" customHeight="1" x14ac:dyDescent="0.25">
      <c r="B29" s="6350"/>
      <c r="C29" s="6214"/>
      <c r="D29" s="6150"/>
      <c r="E29" s="6028"/>
      <c r="F29" s="6114" t="s">
        <v>474</v>
      </c>
      <c r="G29" s="6282"/>
      <c r="H29" s="6114" t="s">
        <v>475</v>
      </c>
      <c r="I29" s="6121"/>
      <c r="J29" s="6114" t="s">
        <v>326</v>
      </c>
      <c r="K29" s="6121"/>
      <c r="L29" s="6114" t="s">
        <v>94</v>
      </c>
      <c r="M29" s="6121"/>
      <c r="N29" s="6114" t="s">
        <v>44</v>
      </c>
      <c r="O29" s="6121"/>
      <c r="P29" s="6114" t="s">
        <v>45</v>
      </c>
      <c r="Q29" s="6121"/>
      <c r="R29" s="6114" t="s">
        <v>46</v>
      </c>
      <c r="S29" s="6121"/>
      <c r="T29" s="6114" t="s">
        <v>47</v>
      </c>
      <c r="U29" s="6121"/>
      <c r="V29" s="6114" t="s">
        <v>48</v>
      </c>
      <c r="W29" s="6121"/>
      <c r="X29" s="6114" t="s">
        <v>49</v>
      </c>
      <c r="Y29" s="6121"/>
      <c r="Z29" s="6114" t="s">
        <v>50</v>
      </c>
      <c r="AA29" s="6121"/>
      <c r="AB29" s="6114" t="s">
        <v>51</v>
      </c>
      <c r="AC29" s="6121"/>
      <c r="AD29" s="6114" t="s">
        <v>52</v>
      </c>
      <c r="AE29" s="6121"/>
      <c r="AF29" s="6114" t="s">
        <v>53</v>
      </c>
      <c r="AG29" s="6121"/>
      <c r="AH29" s="6114" t="s">
        <v>54</v>
      </c>
      <c r="AI29" s="6121"/>
      <c r="AJ29" s="6114" t="s">
        <v>55</v>
      </c>
      <c r="AK29" s="6121"/>
      <c r="AL29" s="6114" t="s">
        <v>56</v>
      </c>
      <c r="AM29" s="6121"/>
      <c r="AN29" s="6281" t="s">
        <v>476</v>
      </c>
      <c r="AO29" s="6314"/>
      <c r="AP29" s="6034"/>
      <c r="AQ29" s="6386"/>
      <c r="AR29" s="6386"/>
      <c r="AS29" s="6386"/>
      <c r="AT29" s="6027"/>
    </row>
    <row r="30" spans="1:78" ht="16.5" customHeight="1" x14ac:dyDescent="0.25">
      <c r="B30" s="6384"/>
      <c r="C30" s="2385" t="s">
        <v>79</v>
      </c>
      <c r="D30" s="2353" t="s">
        <v>58</v>
      </c>
      <c r="E30" s="1742" t="s">
        <v>59</v>
      </c>
      <c r="F30" s="2385" t="s">
        <v>58</v>
      </c>
      <c r="G30" s="2216" t="s">
        <v>59</v>
      </c>
      <c r="H30" s="2385" t="s">
        <v>58</v>
      </c>
      <c r="I30" s="2216" t="s">
        <v>59</v>
      </c>
      <c r="J30" s="2385" t="s">
        <v>58</v>
      </c>
      <c r="K30" s="2216" t="s">
        <v>59</v>
      </c>
      <c r="L30" s="2385" t="s">
        <v>58</v>
      </c>
      <c r="M30" s="2216" t="s">
        <v>59</v>
      </c>
      <c r="N30" s="2385" t="s">
        <v>58</v>
      </c>
      <c r="O30" s="2216" t="s">
        <v>59</v>
      </c>
      <c r="P30" s="2385" t="s">
        <v>58</v>
      </c>
      <c r="Q30" s="2216" t="s">
        <v>59</v>
      </c>
      <c r="R30" s="2385" t="s">
        <v>58</v>
      </c>
      <c r="S30" s="2216" t="s">
        <v>59</v>
      </c>
      <c r="T30" s="2385" t="s">
        <v>58</v>
      </c>
      <c r="U30" s="2216" t="s">
        <v>59</v>
      </c>
      <c r="V30" s="2385" t="s">
        <v>58</v>
      </c>
      <c r="W30" s="2216" t="s">
        <v>59</v>
      </c>
      <c r="X30" s="2385" t="s">
        <v>58</v>
      </c>
      <c r="Y30" s="2216" t="s">
        <v>59</v>
      </c>
      <c r="Z30" s="2385" t="s">
        <v>58</v>
      </c>
      <c r="AA30" s="2216" t="s">
        <v>59</v>
      </c>
      <c r="AB30" s="2385" t="s">
        <v>58</v>
      </c>
      <c r="AC30" s="2216" t="s">
        <v>59</v>
      </c>
      <c r="AD30" s="2385" t="s">
        <v>58</v>
      </c>
      <c r="AE30" s="2216" t="s">
        <v>59</v>
      </c>
      <c r="AF30" s="2385" t="s">
        <v>58</v>
      </c>
      <c r="AG30" s="2216" t="s">
        <v>59</v>
      </c>
      <c r="AH30" s="2385" t="s">
        <v>58</v>
      </c>
      <c r="AI30" s="2216" t="s">
        <v>59</v>
      </c>
      <c r="AJ30" s="2385" t="s">
        <v>58</v>
      </c>
      <c r="AK30" s="2216" t="s">
        <v>59</v>
      </c>
      <c r="AL30" s="2353" t="s">
        <v>58</v>
      </c>
      <c r="AM30" s="2216" t="s">
        <v>59</v>
      </c>
      <c r="AN30" s="2385" t="s">
        <v>58</v>
      </c>
      <c r="AO30" s="2651" t="s">
        <v>59</v>
      </c>
      <c r="AP30" s="6035"/>
      <c r="AQ30" s="6086"/>
      <c r="AR30" s="6086"/>
      <c r="AS30" s="6086"/>
      <c r="AT30" s="6028"/>
    </row>
    <row r="31" spans="1:78" ht="15" customHeight="1" x14ac:dyDescent="0.25">
      <c r="A31" s="5633" t="s">
        <v>4817</v>
      </c>
      <c r="B31" s="2357" t="s">
        <v>98</v>
      </c>
      <c r="C31" s="2652" t="s">
        <v>4567</v>
      </c>
      <c r="D31" s="2299" t="s">
        <v>4568</v>
      </c>
      <c r="E31" s="2621" t="s">
        <v>4569</v>
      </c>
      <c r="F31" s="2622" t="s">
        <v>4570</v>
      </c>
      <c r="G31" s="2623" t="s">
        <v>4571</v>
      </c>
      <c r="H31" s="2622" t="s">
        <v>4572</v>
      </c>
      <c r="I31" s="2624" t="s">
        <v>4573</v>
      </c>
      <c r="J31" s="2622" t="s">
        <v>4574</v>
      </c>
      <c r="K31" s="2624" t="s">
        <v>4575</v>
      </c>
      <c r="L31" s="2622" t="s">
        <v>4576</v>
      </c>
      <c r="M31" s="2624" t="s">
        <v>4577</v>
      </c>
      <c r="N31" s="2622" t="s">
        <v>4578</v>
      </c>
      <c r="O31" s="2624" t="s">
        <v>4579</v>
      </c>
      <c r="P31" s="2622" t="s">
        <v>4580</v>
      </c>
      <c r="Q31" s="2624" t="s">
        <v>4581</v>
      </c>
      <c r="R31" s="2653" t="s">
        <v>4582</v>
      </c>
      <c r="S31" s="2624" t="s">
        <v>4583</v>
      </c>
      <c r="T31" s="2622" t="s">
        <v>4584</v>
      </c>
      <c r="U31" s="2624" t="s">
        <v>4585</v>
      </c>
      <c r="V31" s="2622" t="s">
        <v>4586</v>
      </c>
      <c r="W31" s="2624" t="s">
        <v>4587</v>
      </c>
      <c r="X31" s="2622" t="s">
        <v>4588</v>
      </c>
      <c r="Y31" s="2624" t="s">
        <v>4589</v>
      </c>
      <c r="Z31" s="2622" t="s">
        <v>4590</v>
      </c>
      <c r="AA31" s="2624" t="s">
        <v>4591</v>
      </c>
      <c r="AB31" s="2622" t="s">
        <v>4592</v>
      </c>
      <c r="AC31" s="2624" t="s">
        <v>4593</v>
      </c>
      <c r="AD31" s="2653" t="s">
        <v>4594</v>
      </c>
      <c r="AE31" s="2624" t="s">
        <v>4595</v>
      </c>
      <c r="AF31" s="2622" t="s">
        <v>4596</v>
      </c>
      <c r="AG31" s="2624" t="s">
        <v>4597</v>
      </c>
      <c r="AH31" s="2653" t="s">
        <v>4598</v>
      </c>
      <c r="AI31" s="2624" t="s">
        <v>4599</v>
      </c>
      <c r="AJ31" s="2622" t="s">
        <v>4600</v>
      </c>
      <c r="AK31" s="2624" t="s">
        <v>4601</v>
      </c>
      <c r="AL31" s="2653" t="s">
        <v>4602</v>
      </c>
      <c r="AM31" s="2624" t="s">
        <v>4603</v>
      </c>
      <c r="AN31" s="2654" t="s">
        <v>4604</v>
      </c>
      <c r="AO31" s="495" t="s">
        <v>4605</v>
      </c>
      <c r="AP31" s="2625" t="s">
        <v>4606</v>
      </c>
      <c r="AQ31" s="2626" t="s">
        <v>4934</v>
      </c>
      <c r="AR31" s="2626" t="s">
        <v>4935</v>
      </c>
      <c r="AS31" s="2626" t="s">
        <v>4936</v>
      </c>
      <c r="AT31" s="2627" t="s">
        <v>4937</v>
      </c>
      <c r="AU31" t="str">
        <f>BP31&amp;BQ31&amp;BR31&amp;BS31&amp;BT31</f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1" s="83" t="str">
        <f>IF(AND(C31&gt;0,AP31="")," * No olvide digitar la variable Pueblos originarios. Digite Cero si no tiene.",IF(AP31&gt;C31," * La variable Pueblos originarios No puede ser mayor al Total.",""))</f>
        <v xml:space="preserve"> * La variable Pueblos originarios No puede ser mayor al Total.</v>
      </c>
      <c r="BQ31" s="83" t="str">
        <f>IF(AND(C31&gt;0,AQ31="")," * No olvide digitar la variable Migrantes. Digite Cero si no tiene.",IF(AQ31&gt;C31," * La variable Migrantes No puede ser mayor al Total.",""))</f>
        <v xml:space="preserve"> * La variable Migrantes No puede ser mayor al Total.</v>
      </c>
      <c r="BR31" s="83" t="str">
        <f>IF(AND(C31&gt;0,AR31="")," * No olvide digitar la variable Espacios Amigables. Digite Cero si no tiene.",IF(AR31&gt;C31," * La variable Espacios Amigables No puede ser mayor al Total.",""))</f>
        <v xml:space="preserve"> * La variable Espacios Amigables No puede ser mayor al Total.</v>
      </c>
      <c r="BS31" s="83" t="str">
        <f>IF(AND(C31&gt;0,AS31="")," * No olvide digitar la variable Niños, Niñas, Adolescentes y Jóvenes SENAME. Digite Cero si no tiene.",IF(AS31&gt;C31," * La variable Niños, Niñas, Adolescentes y Jóvenes SENAME No puede ser mayor al Total.",""))</f>
        <v xml:space="preserve"> * La variable Niños, Niñas, Adolescentes y Jóvenes SENAME No puede ser mayor al Total.</v>
      </c>
      <c r="BT31" s="83" t="str">
        <f>IF(AND(C31&gt;0,AT31="")," * No olvide digitar la variable Niños, Niñas, Adolescentes y Jóvenes Mejor Niñez. Digite Cero si no tiene.",IF(AT31&gt;C31," * La variable Niños, Niñas, Adolescentes y Jóvenes Mejor Niñez No puede ser mayor al Total.",""))</f>
        <v xml:space="preserve"> * La variable Niños, Niñas, Adolescentes y Jóvenes Mejor Niñez No puede ser mayor al Total.</v>
      </c>
      <c r="BV31" s="2628">
        <f>IF(AND(C31&gt;0,AP31=""),1,IF(AP31&gt;C31,1,0))</f>
        <v>1</v>
      </c>
      <c r="BW31" s="2628">
        <f>IF(AND(C31&gt;0,AQ31=""),1,IF(AQ31&gt;C31,1,0))</f>
        <v>1</v>
      </c>
      <c r="BX31" s="2628">
        <f>IF(AND(C31&gt;0,AR31=""),1,IF(AR31&gt;C31,1,0))</f>
        <v>1</v>
      </c>
      <c r="BY31" s="2628">
        <f>IF(AND(C31&gt;0,AS31=""),1,IF(AS31&gt;C31,1,0))</f>
        <v>1</v>
      </c>
      <c r="BZ31" s="2628">
        <f>IF(AND(C31&gt;0,AT31=""),1,IF(AT31&gt;C31,1,0))</f>
        <v>1</v>
      </c>
    </row>
    <row r="32" spans="1:78" ht="15" customHeight="1" x14ac:dyDescent="0.25">
      <c r="A32" s="5633" t="s">
        <v>4818</v>
      </c>
      <c r="B32" s="357" t="s">
        <v>493</v>
      </c>
      <c r="C32" s="341" t="s">
        <v>4567</v>
      </c>
      <c r="D32" s="2499" t="s">
        <v>4568</v>
      </c>
      <c r="E32" s="2629" t="s">
        <v>4569</v>
      </c>
      <c r="F32" s="670" t="s">
        <v>4570</v>
      </c>
      <c r="G32" s="346" t="s">
        <v>4571</v>
      </c>
      <c r="H32" s="670" t="s">
        <v>4572</v>
      </c>
      <c r="I32" s="349" t="s">
        <v>4573</v>
      </c>
      <c r="J32" s="670" t="s">
        <v>4574</v>
      </c>
      <c r="K32" s="349" t="s">
        <v>4575</v>
      </c>
      <c r="L32" s="670" t="s">
        <v>4576</v>
      </c>
      <c r="M32" s="349" t="s">
        <v>4577</v>
      </c>
      <c r="N32" s="670" t="s">
        <v>4578</v>
      </c>
      <c r="O32" s="349" t="s">
        <v>4579</v>
      </c>
      <c r="P32" s="670" t="s">
        <v>4580</v>
      </c>
      <c r="Q32" s="349" t="s">
        <v>4581</v>
      </c>
      <c r="R32" s="537" t="s">
        <v>4582</v>
      </c>
      <c r="S32" s="349" t="s">
        <v>4583</v>
      </c>
      <c r="T32" s="670" t="s">
        <v>4584</v>
      </c>
      <c r="U32" s="349" t="s">
        <v>4585</v>
      </c>
      <c r="V32" s="670" t="s">
        <v>4586</v>
      </c>
      <c r="W32" s="349" t="s">
        <v>4587</v>
      </c>
      <c r="X32" s="670" t="s">
        <v>4588</v>
      </c>
      <c r="Y32" s="349" t="s">
        <v>4589</v>
      </c>
      <c r="Z32" s="670" t="s">
        <v>4590</v>
      </c>
      <c r="AA32" s="349" t="s">
        <v>4591</v>
      </c>
      <c r="AB32" s="670" t="s">
        <v>4592</v>
      </c>
      <c r="AC32" s="349" t="s">
        <v>4593</v>
      </c>
      <c r="AD32" s="537" t="s">
        <v>4594</v>
      </c>
      <c r="AE32" s="349" t="s">
        <v>4595</v>
      </c>
      <c r="AF32" s="670" t="s">
        <v>4596</v>
      </c>
      <c r="AG32" s="349" t="s">
        <v>4597</v>
      </c>
      <c r="AH32" s="537" t="s">
        <v>4598</v>
      </c>
      <c r="AI32" s="349" t="s">
        <v>4599</v>
      </c>
      <c r="AJ32" s="670" t="s">
        <v>4600</v>
      </c>
      <c r="AK32" s="349" t="s">
        <v>4601</v>
      </c>
      <c r="AL32" s="537" t="s">
        <v>4602</v>
      </c>
      <c r="AM32" s="349" t="s">
        <v>4603</v>
      </c>
      <c r="AN32" s="3729" t="s">
        <v>4604</v>
      </c>
      <c r="AO32" s="351" t="s">
        <v>4605</v>
      </c>
      <c r="AP32" s="2655" t="s">
        <v>4606</v>
      </c>
      <c r="AQ32" s="2656" t="s">
        <v>4934</v>
      </c>
      <c r="AR32" s="2656" t="s">
        <v>4935</v>
      </c>
      <c r="AS32" s="2656" t="s">
        <v>4936</v>
      </c>
      <c r="AT32" s="2657" t="s">
        <v>4937</v>
      </c>
      <c r="AU32" t="str">
        <f t="shared" ref="AU32:AU47" si="15">BP32&amp;BQ32&amp;BR32&amp;BS32&amp;BT32</f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2" s="83" t="str">
        <f t="shared" ref="BP32:BP47" si="16">IF(AND(C32&gt;0,AP32="")," * No olvide digitar la variable Pueblos originarios. Digite Cero si no tiene.",IF(AP32&gt;C32," * La variable Pueblos originarios No puede ser mayor al Total.",""))</f>
        <v xml:space="preserve"> * La variable Pueblos originarios No puede ser mayor al Total.</v>
      </c>
      <c r="BQ32" s="83" t="str">
        <f t="shared" ref="BQ32:BQ47" si="17">IF(AND(C32&gt;0,AQ32="")," * No olvide digitar la variable Migrantes. Digite Cero si no tiene.",IF(AQ32&gt;C32," * La variable Migrantes No puede ser mayor al Total.",""))</f>
        <v xml:space="preserve"> * La variable Migrantes No puede ser mayor al Total.</v>
      </c>
      <c r="BR32" s="83" t="str">
        <f t="shared" ref="BR32:BR47" si="18">IF(AND(C32&gt;0,AR32="")," * No olvide digitar la variable Espacios Amigables. Digite Cero si no tiene.",IF(AR32&gt;C32," * La variable Espacios Amigables No puede ser mayor al Total.",""))</f>
        <v xml:space="preserve"> * La variable Espacios Amigables No puede ser mayor al Total.</v>
      </c>
      <c r="BS32" s="83" t="str">
        <f t="shared" ref="BS32:BS47" si="19">IF(AND(C32&gt;0,AS32="")," * No olvide digitar la variable Niños, Niñas, Adolescentes y Jóvenes SENAME. Digite Cero si no tiene.",IF(AS32&gt;C32," * La variable Niños, Niñas, Adolescentes y Jóvenes SENAME No puede ser mayor al Total.",""))</f>
        <v xml:space="preserve"> * La variable Niños, Niñas, Adolescentes y Jóvenes SENAME No puede ser mayor al Total.</v>
      </c>
      <c r="BT32" s="83" t="str">
        <f t="shared" ref="BT32:BT47" si="20">IF(AND(C32&gt;0,AT32="")," * No olvide digitar la variable Niños, Niñas, Adolescentes y Jóvenes Mejor Niñez. Digite Cero si no tiene.",IF(AT32&gt;C32," * La variable Niños, Niñas, Adolescentes y Jóvenes Mejor Niñez No puede ser mayor al Total.",""))</f>
        <v xml:space="preserve"> * La variable Niños, Niñas, Adolescentes y Jóvenes Mejor Niñez No puede ser mayor al Total.</v>
      </c>
      <c r="BV32" s="2628">
        <f t="shared" ref="BV32:BV47" si="21">IF(AND(C32&gt;0,AP32=""),1,IF(AP32&gt;C32,1,0))</f>
        <v>1</v>
      </c>
      <c r="BW32" s="2628">
        <f t="shared" ref="BW32:BW47" si="22">IF(AND(C32&gt;0,AQ32=""),1,IF(AQ32&gt;C32,1,0))</f>
        <v>1</v>
      </c>
      <c r="BX32" s="2628">
        <f t="shared" ref="BX32:BX47" si="23">IF(AND(C32&gt;0,AR32=""),1,IF(AR32&gt;C32,1,0))</f>
        <v>1</v>
      </c>
      <c r="BY32" s="2628">
        <f t="shared" ref="BY32:BY47" si="24">IF(AND(C32&gt;0,AS32=""),1,IF(AS32&gt;C32,1,0))</f>
        <v>1</v>
      </c>
      <c r="BZ32" s="2628">
        <f t="shared" ref="BZ32:BZ47" si="25">IF(AND(C32&gt;0,AT32=""),1,IF(AT32&gt;C32,1,0))</f>
        <v>1</v>
      </c>
    </row>
    <row r="33" spans="1:78" ht="15" customHeight="1" x14ac:dyDescent="0.25">
      <c r="A33" s="5634" t="s">
        <v>4819</v>
      </c>
      <c r="B33" s="295" t="s">
        <v>494</v>
      </c>
      <c r="C33" s="341" t="s">
        <v>4567</v>
      </c>
      <c r="D33" s="2499" t="s">
        <v>4568</v>
      </c>
      <c r="E33" s="2637" t="s">
        <v>4569</v>
      </c>
      <c r="F33" s="670" t="s">
        <v>4570</v>
      </c>
      <c r="G33" s="346" t="s">
        <v>4571</v>
      </c>
      <c r="H33" s="670" t="s">
        <v>4572</v>
      </c>
      <c r="I33" s="349" t="s">
        <v>4573</v>
      </c>
      <c r="J33" s="670" t="s">
        <v>4574</v>
      </c>
      <c r="K33" s="349" t="s">
        <v>4575</v>
      </c>
      <c r="L33" s="670" t="s">
        <v>4576</v>
      </c>
      <c r="M33" s="349" t="s">
        <v>4577</v>
      </c>
      <c r="N33" s="670" t="s">
        <v>4578</v>
      </c>
      <c r="O33" s="349" t="s">
        <v>4579</v>
      </c>
      <c r="P33" s="670" t="s">
        <v>4580</v>
      </c>
      <c r="Q33" s="349" t="s">
        <v>4581</v>
      </c>
      <c r="R33" s="537" t="s">
        <v>4582</v>
      </c>
      <c r="S33" s="349" t="s">
        <v>4583</v>
      </c>
      <c r="T33" s="670" t="s">
        <v>4584</v>
      </c>
      <c r="U33" s="349" t="s">
        <v>4585</v>
      </c>
      <c r="V33" s="670" t="s">
        <v>4586</v>
      </c>
      <c r="W33" s="349" t="s">
        <v>4587</v>
      </c>
      <c r="X33" s="670" t="s">
        <v>4588</v>
      </c>
      <c r="Y33" s="349" t="s">
        <v>4589</v>
      </c>
      <c r="Z33" s="670" t="s">
        <v>4590</v>
      </c>
      <c r="AA33" s="349" t="s">
        <v>4591</v>
      </c>
      <c r="AB33" s="670" t="s">
        <v>4592</v>
      </c>
      <c r="AC33" s="349" t="s">
        <v>4593</v>
      </c>
      <c r="AD33" s="537" t="s">
        <v>4594</v>
      </c>
      <c r="AE33" s="349" t="s">
        <v>4595</v>
      </c>
      <c r="AF33" s="670" t="s">
        <v>4596</v>
      </c>
      <c r="AG33" s="349" t="s">
        <v>4597</v>
      </c>
      <c r="AH33" s="537" t="s">
        <v>4598</v>
      </c>
      <c r="AI33" s="349" t="s">
        <v>4599</v>
      </c>
      <c r="AJ33" s="670" t="s">
        <v>4600</v>
      </c>
      <c r="AK33" s="349" t="s">
        <v>4601</v>
      </c>
      <c r="AL33" s="537" t="s">
        <v>4602</v>
      </c>
      <c r="AM33" s="349" t="s">
        <v>4603</v>
      </c>
      <c r="AN33" s="3729" t="s">
        <v>4604</v>
      </c>
      <c r="AO33" s="351" t="s">
        <v>4605</v>
      </c>
      <c r="AP33" s="2655" t="s">
        <v>4606</v>
      </c>
      <c r="AQ33" s="2656" t="s">
        <v>4934</v>
      </c>
      <c r="AR33" s="2656" t="s">
        <v>4935</v>
      </c>
      <c r="AS33" s="2656" t="s">
        <v>4936</v>
      </c>
      <c r="AT33" s="2657" t="s">
        <v>4937</v>
      </c>
      <c r="AU33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3" s="83" t="str">
        <f>IF(AND(C33&gt;0,AP33="")," * No olvide digitar la variable Pueblos originarios. Digite Cero si no tiene.",IF(AP33&gt;C33," * La variable Pueblos originarios No puede ser mayor al Total.",""))</f>
        <v xml:space="preserve"> * La variable Pueblos originarios No puede ser mayor al Total.</v>
      </c>
      <c r="BQ33" s="83" t="str">
        <f t="shared" ref="BQ33" si="26">IF(AND(C33&gt;0,AQ33="")," * No olvide digitar la variable Migrantes. Digite Cero si no tiene.",IF(AQ33&gt;C33," * La variable Migrantes No puede ser mayor al Total.",""))</f>
        <v xml:space="preserve"> * La variable Migrantes No puede ser mayor al Total.</v>
      </c>
      <c r="BR33" s="83" t="str">
        <f t="shared" ref="BR33" si="27">IF(AND(C33&gt;0,AR33="")," * No olvide digitar la variable Espacios Amigables. Digite Cero si no tiene.",IF(AR33&gt;C33," * La variable Espacios Amigables No puede ser mayor al Total.",""))</f>
        <v xml:space="preserve"> * La variable Espacios Amigables No puede ser mayor al Total.</v>
      </c>
      <c r="BS33" s="83" t="str">
        <f t="shared" ref="BS33" si="28">IF(AND(C33&gt;0,AS33="")," * No olvide digitar la variable Niños, Niñas, Adolescentes y Jóvenes SENAME. Digite Cero si no tiene.",IF(AS33&gt;C33," * La variable Niños, Niñas, Adolescentes y Jóvenes SENAME No puede ser mayor al Total.",""))</f>
        <v xml:space="preserve"> * La variable Niños, Niñas, Adolescentes y Jóvenes SENAME No puede ser mayor al Total.</v>
      </c>
      <c r="BT33" s="83" t="str">
        <f t="shared" ref="BT33" si="29">IF(AND(C33&gt;0,AT33="")," * No olvide digitar la variable Niños, Niñas, Adolescentes y Jóvenes Mejor Niñez. Digite Cero si no tiene.",IF(AT33&gt;C33," * La variable Niños, Niñas, Adolescentes y Jóvenes Mejor Niñez No puede ser mayor al Total.",""))</f>
        <v xml:space="preserve"> * La variable Niños, Niñas, Adolescentes y Jóvenes Mejor Niñez No puede ser mayor al Total.</v>
      </c>
      <c r="BV33" s="2628">
        <f t="shared" ref="BV33" si="30">IF(AND(C33&gt;0,AP33=""),1,IF(AP33&gt;C33,1,0))</f>
        <v>1</v>
      </c>
      <c r="BW33" s="2628">
        <f t="shared" ref="BW33" si="31">IF(AND(C33&gt;0,AQ33=""),1,IF(AQ33&gt;C33,1,0))</f>
        <v>1</v>
      </c>
      <c r="BX33" s="2628">
        <f t="shared" ref="BX33" si="32">IF(AND(C33&gt;0,AR33=""),1,IF(AR33&gt;C33,1,0))</f>
        <v>1</v>
      </c>
      <c r="BY33" s="2628">
        <f t="shared" ref="BY33" si="33">IF(AND(C33&gt;0,AS33=""),1,IF(AS33&gt;C33,1,0))</f>
        <v>1</v>
      </c>
      <c r="BZ33" s="2628">
        <f t="shared" ref="BZ33" si="34">IF(AND(C33&gt;0,AT33=""),1,IF(AT33&gt;C33,1,0))</f>
        <v>1</v>
      </c>
    </row>
    <row r="34" spans="1:78" ht="15" customHeight="1" x14ac:dyDescent="0.25">
      <c r="A34" s="5633" t="s">
        <v>4820</v>
      </c>
      <c r="B34" s="295" t="s">
        <v>495</v>
      </c>
      <c r="C34" s="341" t="s">
        <v>4567</v>
      </c>
      <c r="D34" s="2305" t="s">
        <v>4568</v>
      </c>
      <c r="E34" s="2637" t="s">
        <v>4569</v>
      </c>
      <c r="F34" s="345" t="s">
        <v>4570</v>
      </c>
      <c r="G34" s="346" t="s">
        <v>4571</v>
      </c>
      <c r="H34" s="345" t="s">
        <v>4572</v>
      </c>
      <c r="I34" s="349" t="s">
        <v>4573</v>
      </c>
      <c r="J34" s="345" t="s">
        <v>4574</v>
      </c>
      <c r="K34" s="349" t="s">
        <v>4575</v>
      </c>
      <c r="L34" s="345" t="s">
        <v>4576</v>
      </c>
      <c r="M34" s="349" t="s">
        <v>4577</v>
      </c>
      <c r="N34" s="345" t="s">
        <v>4578</v>
      </c>
      <c r="O34" s="349" t="s">
        <v>4579</v>
      </c>
      <c r="P34" s="345" t="s">
        <v>4580</v>
      </c>
      <c r="Q34" s="349" t="s">
        <v>4581</v>
      </c>
      <c r="R34" s="347" t="s">
        <v>4582</v>
      </c>
      <c r="S34" s="349" t="s">
        <v>4583</v>
      </c>
      <c r="T34" s="345" t="s">
        <v>4584</v>
      </c>
      <c r="U34" s="349" t="s">
        <v>4585</v>
      </c>
      <c r="V34" s="345" t="s">
        <v>4586</v>
      </c>
      <c r="W34" s="349" t="s">
        <v>4587</v>
      </c>
      <c r="X34" s="345" t="s">
        <v>4588</v>
      </c>
      <c r="Y34" s="349" t="s">
        <v>4589</v>
      </c>
      <c r="Z34" s="345" t="s">
        <v>4590</v>
      </c>
      <c r="AA34" s="349" t="s">
        <v>4591</v>
      </c>
      <c r="AB34" s="345" t="s">
        <v>4592</v>
      </c>
      <c r="AC34" s="349" t="s">
        <v>4593</v>
      </c>
      <c r="AD34" s="347" t="s">
        <v>4594</v>
      </c>
      <c r="AE34" s="349" t="s">
        <v>4595</v>
      </c>
      <c r="AF34" s="345" t="s">
        <v>4596</v>
      </c>
      <c r="AG34" s="349" t="s">
        <v>4597</v>
      </c>
      <c r="AH34" s="347" t="s">
        <v>4598</v>
      </c>
      <c r="AI34" s="349" t="s">
        <v>4599</v>
      </c>
      <c r="AJ34" s="345" t="s">
        <v>4600</v>
      </c>
      <c r="AK34" s="349" t="s">
        <v>4601</v>
      </c>
      <c r="AL34" s="347" t="s">
        <v>4602</v>
      </c>
      <c r="AM34" s="349" t="s">
        <v>4603</v>
      </c>
      <c r="AN34" s="554" t="s">
        <v>4604</v>
      </c>
      <c r="AO34" s="351" t="s">
        <v>4605</v>
      </c>
      <c r="AP34" s="811" t="s">
        <v>4606</v>
      </c>
      <c r="AQ34" s="2630" t="s">
        <v>4934</v>
      </c>
      <c r="AR34" s="2630" t="s">
        <v>4935</v>
      </c>
      <c r="AS34" s="2630" t="s">
        <v>4936</v>
      </c>
      <c r="AT34" s="812" t="s">
        <v>4937</v>
      </c>
      <c r="AU34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4" s="83" t="str">
        <f t="shared" si="16"/>
        <v xml:space="preserve"> * La variable Pueblos originarios No puede ser mayor al Total.</v>
      </c>
      <c r="BQ34" s="83" t="str">
        <f t="shared" si="17"/>
        <v xml:space="preserve"> * La variable Migrantes No puede ser mayor al Total.</v>
      </c>
      <c r="BR34" s="83" t="str">
        <f t="shared" si="18"/>
        <v xml:space="preserve"> * La variable Espacios Amigables No puede ser mayor al Total.</v>
      </c>
      <c r="BS34" s="83" t="str">
        <f t="shared" si="19"/>
        <v xml:space="preserve"> * La variable Niños, Niñas, Adolescentes y Jóvenes SENAME No puede ser mayor al Total.</v>
      </c>
      <c r="BT34" s="83" t="str">
        <f t="shared" si="20"/>
        <v xml:space="preserve"> * La variable Niños, Niñas, Adolescentes y Jóvenes Mejor Niñez No puede ser mayor al Total.</v>
      </c>
      <c r="BV34" s="2628">
        <f t="shared" si="21"/>
        <v>1</v>
      </c>
      <c r="BW34" s="2628">
        <f t="shared" si="22"/>
        <v>1</v>
      </c>
      <c r="BX34" s="2628">
        <f t="shared" si="23"/>
        <v>1</v>
      </c>
      <c r="BY34" s="2628">
        <f t="shared" si="24"/>
        <v>1</v>
      </c>
      <c r="BZ34" s="2628">
        <f t="shared" si="25"/>
        <v>1</v>
      </c>
    </row>
    <row r="35" spans="1:78" ht="15" customHeight="1" x14ac:dyDescent="0.25">
      <c r="A35" s="5633" t="s">
        <v>4821</v>
      </c>
      <c r="B35" s="295" t="s">
        <v>496</v>
      </c>
      <c r="C35" s="341" t="s">
        <v>4567</v>
      </c>
      <c r="D35" s="2305" t="s">
        <v>4568</v>
      </c>
      <c r="E35" s="2637" t="s">
        <v>4569</v>
      </c>
      <c r="F35" s="2633" t="s">
        <v>4570</v>
      </c>
      <c r="G35" s="2634" t="s">
        <v>4571</v>
      </c>
      <c r="H35" s="2633" t="s">
        <v>4572</v>
      </c>
      <c r="I35" s="2638" t="s">
        <v>4573</v>
      </c>
      <c r="J35" s="2633" t="s">
        <v>4574</v>
      </c>
      <c r="K35" s="2638" t="s">
        <v>4575</v>
      </c>
      <c r="L35" s="2633" t="s">
        <v>4576</v>
      </c>
      <c r="M35" s="2638" t="s">
        <v>4577</v>
      </c>
      <c r="N35" s="2633" t="s">
        <v>4578</v>
      </c>
      <c r="O35" s="2638" t="s">
        <v>4579</v>
      </c>
      <c r="P35" s="345" t="s">
        <v>4580</v>
      </c>
      <c r="Q35" s="349" t="s">
        <v>4581</v>
      </c>
      <c r="R35" s="347" t="s">
        <v>4582</v>
      </c>
      <c r="S35" s="349" t="s">
        <v>4583</v>
      </c>
      <c r="T35" s="345" t="s">
        <v>4584</v>
      </c>
      <c r="U35" s="349" t="s">
        <v>4585</v>
      </c>
      <c r="V35" s="345" t="s">
        <v>4586</v>
      </c>
      <c r="W35" s="349" t="s">
        <v>4587</v>
      </c>
      <c r="X35" s="345" t="s">
        <v>4588</v>
      </c>
      <c r="Y35" s="349" t="s">
        <v>4589</v>
      </c>
      <c r="Z35" s="345" t="s">
        <v>4590</v>
      </c>
      <c r="AA35" s="349" t="s">
        <v>4591</v>
      </c>
      <c r="AB35" s="345" t="s">
        <v>4592</v>
      </c>
      <c r="AC35" s="382" t="s">
        <v>4593</v>
      </c>
      <c r="AD35" s="2658" t="s">
        <v>4594</v>
      </c>
      <c r="AE35" s="2638" t="s">
        <v>4595</v>
      </c>
      <c r="AF35" s="2633" t="s">
        <v>4596</v>
      </c>
      <c r="AG35" s="2638" t="s">
        <v>4597</v>
      </c>
      <c r="AH35" s="2658" t="s">
        <v>4598</v>
      </c>
      <c r="AI35" s="2638" t="s">
        <v>4599</v>
      </c>
      <c r="AJ35" s="2633" t="s">
        <v>4600</v>
      </c>
      <c r="AK35" s="2638" t="s">
        <v>4601</v>
      </c>
      <c r="AL35" s="2658" t="s">
        <v>4602</v>
      </c>
      <c r="AM35" s="2638" t="s">
        <v>4603</v>
      </c>
      <c r="AN35" s="284" t="s">
        <v>4604</v>
      </c>
      <c r="AO35" s="825" t="s">
        <v>4605</v>
      </c>
      <c r="AP35" s="811" t="s">
        <v>4606</v>
      </c>
      <c r="AQ35" s="2630" t="s">
        <v>4934</v>
      </c>
      <c r="AR35" s="2630" t="s">
        <v>4935</v>
      </c>
      <c r="AS35" s="2630" t="s">
        <v>4936</v>
      </c>
      <c r="AT35" s="812" t="s">
        <v>4937</v>
      </c>
      <c r="AU35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5" s="83" t="str">
        <f t="shared" si="16"/>
        <v xml:space="preserve"> * La variable Pueblos originarios No puede ser mayor al Total.</v>
      </c>
      <c r="BQ35" s="83" t="str">
        <f t="shared" si="17"/>
        <v xml:space="preserve"> * La variable Migrantes No puede ser mayor al Total.</v>
      </c>
      <c r="BR35" s="83" t="str">
        <f t="shared" ref="BR35" si="35">IF(AND(C35&gt;0,AR35="")," * No olvide digitar la variable Espacios Amigables. Digite Cero si no tiene.",IF(AR35&gt;C35," * La variable Espacios Amigables No puede ser mayor al Total.",""))</f>
        <v xml:space="preserve"> * La variable Espacios Amigables No puede ser mayor al Total.</v>
      </c>
      <c r="BS35" s="83" t="str">
        <f t="shared" ref="BS35" si="36">IF(AND(C35&gt;0,AS35="")," * No olvide digitar la variable Niños, Niñas, Adolescentes y Jóvenes SENAME. Digite Cero si no tiene.",IF(AS35&gt;C35," * La variable Niños, Niñas, Adolescentes y Jóvenes SENAME No puede ser mayor al Total.",""))</f>
        <v xml:space="preserve"> * La variable Niños, Niñas, Adolescentes y Jóvenes SENAME No puede ser mayor al Total.</v>
      </c>
      <c r="BT35" s="83" t="str">
        <f t="shared" ref="BT35" si="37">IF(AND(C35&gt;0,AT35="")," * No olvide digitar la variable Niños, Niñas, Adolescentes y Jóvenes Mejor Niñez. Digite Cero si no tiene.",IF(AT35&gt;C35," * La variable Niños, Niñas, Adolescentes y Jóvenes Mejor Niñez No puede ser mayor al Total.",""))</f>
        <v xml:space="preserve"> * La variable Niños, Niñas, Adolescentes y Jóvenes Mejor Niñez No puede ser mayor al Total.</v>
      </c>
      <c r="BV35" s="2628">
        <f t="shared" si="21"/>
        <v>1</v>
      </c>
      <c r="BW35" s="2628">
        <f t="shared" si="22"/>
        <v>1</v>
      </c>
      <c r="BX35" s="2628">
        <f t="shared" ref="BX35" si="38">IF(AND(C35&gt;0,AR35=""),1,IF(AR35&gt;C35,1,0))</f>
        <v>1</v>
      </c>
      <c r="BY35" s="2628">
        <f t="shared" ref="BY35" si="39">IF(AND(C35&gt;0,AS35=""),1,IF(AS35&gt;C35,1,0))</f>
        <v>1</v>
      </c>
      <c r="BZ35" s="2628">
        <f t="shared" ref="BZ35" si="40">IF(AND(C35&gt;0,AT35=""),1,IF(AT35&gt;C35,1,0))</f>
        <v>1</v>
      </c>
    </row>
    <row r="36" spans="1:78" ht="15" customHeight="1" x14ac:dyDescent="0.25">
      <c r="A36" s="5633" t="s">
        <v>4822</v>
      </c>
      <c r="B36" s="295" t="s">
        <v>497</v>
      </c>
      <c r="C36" s="341" t="s">
        <v>4567</v>
      </c>
      <c r="D36" s="2305" t="s">
        <v>4568</v>
      </c>
      <c r="E36" s="2637" t="s">
        <v>4569</v>
      </c>
      <c r="F36" s="345" t="s">
        <v>4570</v>
      </c>
      <c r="G36" s="346" t="s">
        <v>4571</v>
      </c>
      <c r="H36" s="345" t="s">
        <v>4572</v>
      </c>
      <c r="I36" s="349" t="s">
        <v>4573</v>
      </c>
      <c r="J36" s="345" t="s">
        <v>4574</v>
      </c>
      <c r="K36" s="349" t="s">
        <v>4575</v>
      </c>
      <c r="L36" s="345" t="s">
        <v>4576</v>
      </c>
      <c r="M36" s="349" t="s">
        <v>4577</v>
      </c>
      <c r="N36" s="345" t="s">
        <v>4578</v>
      </c>
      <c r="O36" s="349" t="s">
        <v>4579</v>
      </c>
      <c r="P36" s="345" t="s">
        <v>4580</v>
      </c>
      <c r="Q36" s="349" t="s">
        <v>4581</v>
      </c>
      <c r="R36" s="347" t="s">
        <v>4582</v>
      </c>
      <c r="S36" s="349" t="s">
        <v>4583</v>
      </c>
      <c r="T36" s="345" t="s">
        <v>4584</v>
      </c>
      <c r="U36" s="349" t="s">
        <v>4585</v>
      </c>
      <c r="V36" s="345" t="s">
        <v>4586</v>
      </c>
      <c r="W36" s="349" t="s">
        <v>4587</v>
      </c>
      <c r="X36" s="345" t="s">
        <v>4588</v>
      </c>
      <c r="Y36" s="349" t="s">
        <v>4589</v>
      </c>
      <c r="Z36" s="345" t="s">
        <v>4590</v>
      </c>
      <c r="AA36" s="349" t="s">
        <v>4591</v>
      </c>
      <c r="AB36" s="345" t="s">
        <v>4592</v>
      </c>
      <c r="AC36" s="349" t="s">
        <v>4593</v>
      </c>
      <c r="AD36" s="347" t="s">
        <v>4594</v>
      </c>
      <c r="AE36" s="349" t="s">
        <v>4595</v>
      </c>
      <c r="AF36" s="345" t="s">
        <v>4596</v>
      </c>
      <c r="AG36" s="349" t="s">
        <v>4597</v>
      </c>
      <c r="AH36" s="347" t="s">
        <v>4598</v>
      </c>
      <c r="AI36" s="349" t="s">
        <v>4599</v>
      </c>
      <c r="AJ36" s="345" t="s">
        <v>4600</v>
      </c>
      <c r="AK36" s="349" t="s">
        <v>4601</v>
      </c>
      <c r="AL36" s="347" t="s">
        <v>4602</v>
      </c>
      <c r="AM36" s="349" t="s">
        <v>4603</v>
      </c>
      <c r="AN36" s="554" t="s">
        <v>4604</v>
      </c>
      <c r="AO36" s="351" t="s">
        <v>4605</v>
      </c>
      <c r="AP36" s="2655" t="s">
        <v>4606</v>
      </c>
      <c r="AQ36" s="2656" t="s">
        <v>4934</v>
      </c>
      <c r="AR36" s="2656" t="s">
        <v>4935</v>
      </c>
      <c r="AS36" s="2656" t="s">
        <v>4936</v>
      </c>
      <c r="AT36" s="2657" t="s">
        <v>4937</v>
      </c>
      <c r="AU36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6" s="83" t="str">
        <f t="shared" si="16"/>
        <v xml:space="preserve"> * La variable Pueblos originarios No puede ser mayor al Total.</v>
      </c>
      <c r="BQ36" s="83" t="str">
        <f t="shared" si="17"/>
        <v xml:space="preserve"> * La variable Migrantes No puede ser mayor al Total.</v>
      </c>
      <c r="BR36" s="83" t="str">
        <f t="shared" si="18"/>
        <v xml:space="preserve"> * La variable Espacios Amigables No puede ser mayor al Total.</v>
      </c>
      <c r="BS36" s="83" t="str">
        <f t="shared" si="19"/>
        <v xml:space="preserve"> * La variable Niños, Niñas, Adolescentes y Jóvenes SENAME No puede ser mayor al Total.</v>
      </c>
      <c r="BT36" s="83" t="str">
        <f t="shared" si="20"/>
        <v xml:space="preserve"> * La variable Niños, Niñas, Adolescentes y Jóvenes Mejor Niñez No puede ser mayor al Total.</v>
      </c>
      <c r="BV36" s="2628">
        <f t="shared" si="21"/>
        <v>1</v>
      </c>
      <c r="BW36" s="2628">
        <f t="shared" si="22"/>
        <v>1</v>
      </c>
      <c r="BX36" s="2628">
        <f t="shared" si="23"/>
        <v>1</v>
      </c>
      <c r="BY36" s="2628">
        <f t="shared" si="24"/>
        <v>1</v>
      </c>
      <c r="BZ36" s="2628">
        <f t="shared" si="25"/>
        <v>1</v>
      </c>
    </row>
    <row r="37" spans="1:78" ht="15" customHeight="1" x14ac:dyDescent="0.25">
      <c r="A37" s="5633" t="s">
        <v>4823</v>
      </c>
      <c r="B37" s="295" t="s">
        <v>498</v>
      </c>
      <c r="C37" s="341" t="s">
        <v>4567</v>
      </c>
      <c r="D37" s="2305" t="s">
        <v>4568</v>
      </c>
      <c r="E37" s="2637" t="s">
        <v>4569</v>
      </c>
      <c r="F37" s="670" t="s">
        <v>4570</v>
      </c>
      <c r="G37" s="671" t="s">
        <v>4571</v>
      </c>
      <c r="H37" s="670" t="s">
        <v>4572</v>
      </c>
      <c r="I37" s="2659" t="s">
        <v>4573</v>
      </c>
      <c r="J37" s="670" t="s">
        <v>4574</v>
      </c>
      <c r="K37" s="2659" t="s">
        <v>4575</v>
      </c>
      <c r="L37" s="345" t="s">
        <v>4576</v>
      </c>
      <c r="M37" s="349" t="s">
        <v>4577</v>
      </c>
      <c r="N37" s="345" t="s">
        <v>4578</v>
      </c>
      <c r="O37" s="349" t="s">
        <v>4579</v>
      </c>
      <c r="P37" s="345" t="s">
        <v>4580</v>
      </c>
      <c r="Q37" s="349" t="s">
        <v>4581</v>
      </c>
      <c r="R37" s="347" t="s">
        <v>4582</v>
      </c>
      <c r="S37" s="349" t="s">
        <v>4583</v>
      </c>
      <c r="T37" s="345" t="s">
        <v>4584</v>
      </c>
      <c r="U37" s="349" t="s">
        <v>4585</v>
      </c>
      <c r="V37" s="345" t="s">
        <v>4586</v>
      </c>
      <c r="W37" s="349" t="s">
        <v>4587</v>
      </c>
      <c r="X37" s="345" t="s">
        <v>4588</v>
      </c>
      <c r="Y37" s="349" t="s">
        <v>4589</v>
      </c>
      <c r="Z37" s="345" t="s">
        <v>4590</v>
      </c>
      <c r="AA37" s="349" t="s">
        <v>4591</v>
      </c>
      <c r="AB37" s="345" t="s">
        <v>4592</v>
      </c>
      <c r="AC37" s="349" t="s">
        <v>4593</v>
      </c>
      <c r="AD37" s="347" t="s">
        <v>4594</v>
      </c>
      <c r="AE37" s="349" t="s">
        <v>4595</v>
      </c>
      <c r="AF37" s="345" t="s">
        <v>4596</v>
      </c>
      <c r="AG37" s="349" t="s">
        <v>4597</v>
      </c>
      <c r="AH37" s="347" t="s">
        <v>4598</v>
      </c>
      <c r="AI37" s="349" t="s">
        <v>4599</v>
      </c>
      <c r="AJ37" s="345" t="s">
        <v>4600</v>
      </c>
      <c r="AK37" s="349" t="s">
        <v>4601</v>
      </c>
      <c r="AL37" s="347" t="s">
        <v>4602</v>
      </c>
      <c r="AM37" s="349" t="s">
        <v>4603</v>
      </c>
      <c r="AN37" s="554" t="s">
        <v>4604</v>
      </c>
      <c r="AO37" s="351" t="s">
        <v>4605</v>
      </c>
      <c r="AP37" s="2655" t="s">
        <v>4606</v>
      </c>
      <c r="AQ37" s="2656" t="s">
        <v>4934</v>
      </c>
      <c r="AR37" s="2656" t="s">
        <v>4935</v>
      </c>
      <c r="AS37" s="2656" t="s">
        <v>4936</v>
      </c>
      <c r="AT37" s="2657" t="s">
        <v>4937</v>
      </c>
      <c r="AU37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7" s="83" t="str">
        <f t="shared" si="16"/>
        <v xml:space="preserve"> * La variable Pueblos originarios No puede ser mayor al Total.</v>
      </c>
      <c r="BQ37" s="83" t="str">
        <f t="shared" si="17"/>
        <v xml:space="preserve"> * La variable Migrantes No puede ser mayor al Total.</v>
      </c>
      <c r="BR37" s="83" t="str">
        <f t="shared" si="18"/>
        <v xml:space="preserve"> * La variable Espacios Amigables No puede ser mayor al Total.</v>
      </c>
      <c r="BS37" s="83" t="str">
        <f t="shared" si="19"/>
        <v xml:space="preserve"> * La variable Niños, Niñas, Adolescentes y Jóvenes SENAME No puede ser mayor al Total.</v>
      </c>
      <c r="BT37" s="83" t="str">
        <f t="shared" si="20"/>
        <v xml:space="preserve"> * La variable Niños, Niñas, Adolescentes y Jóvenes Mejor Niñez No puede ser mayor al Total.</v>
      </c>
      <c r="BV37" s="2628">
        <f t="shared" si="21"/>
        <v>1</v>
      </c>
      <c r="BW37" s="2628">
        <f t="shared" si="22"/>
        <v>1</v>
      </c>
      <c r="BX37" s="2628">
        <f t="shared" si="23"/>
        <v>1</v>
      </c>
      <c r="BY37" s="2628">
        <f t="shared" si="24"/>
        <v>1</v>
      </c>
      <c r="BZ37" s="2628">
        <f t="shared" si="25"/>
        <v>1</v>
      </c>
    </row>
    <row r="38" spans="1:78" ht="15" customHeight="1" x14ac:dyDescent="0.25">
      <c r="A38" s="5633" t="s">
        <v>4824</v>
      </c>
      <c r="B38" s="295" t="s">
        <v>499</v>
      </c>
      <c r="C38" s="231" t="s">
        <v>4567</v>
      </c>
      <c r="D38" s="2499" t="s">
        <v>4568</v>
      </c>
      <c r="E38" s="2637" t="s">
        <v>4569</v>
      </c>
      <c r="F38" s="670" t="s">
        <v>4570</v>
      </c>
      <c r="G38" s="671" t="s">
        <v>4571</v>
      </c>
      <c r="H38" s="670" t="s">
        <v>4572</v>
      </c>
      <c r="I38" s="2659" t="s">
        <v>4573</v>
      </c>
      <c r="J38" s="670" t="s">
        <v>4574</v>
      </c>
      <c r="K38" s="2659" t="s">
        <v>4575</v>
      </c>
      <c r="L38" s="670" t="s">
        <v>4576</v>
      </c>
      <c r="M38" s="349" t="s">
        <v>4577</v>
      </c>
      <c r="N38" s="670" t="s">
        <v>4578</v>
      </c>
      <c r="O38" s="349" t="s">
        <v>4579</v>
      </c>
      <c r="P38" s="670" t="s">
        <v>4580</v>
      </c>
      <c r="Q38" s="349" t="s">
        <v>4581</v>
      </c>
      <c r="R38" s="537" t="s">
        <v>4582</v>
      </c>
      <c r="S38" s="349" t="s">
        <v>4583</v>
      </c>
      <c r="T38" s="670" t="s">
        <v>4584</v>
      </c>
      <c r="U38" s="349" t="s">
        <v>4585</v>
      </c>
      <c r="V38" s="670" t="s">
        <v>4586</v>
      </c>
      <c r="W38" s="349" t="s">
        <v>4587</v>
      </c>
      <c r="X38" s="670" t="s">
        <v>4588</v>
      </c>
      <c r="Y38" s="349" t="s">
        <v>4589</v>
      </c>
      <c r="Z38" s="670" t="s">
        <v>4590</v>
      </c>
      <c r="AA38" s="349" t="s">
        <v>4591</v>
      </c>
      <c r="AB38" s="670" t="s">
        <v>4592</v>
      </c>
      <c r="AC38" s="349" t="s">
        <v>4593</v>
      </c>
      <c r="AD38" s="537" t="s">
        <v>4594</v>
      </c>
      <c r="AE38" s="349" t="s">
        <v>4595</v>
      </c>
      <c r="AF38" s="670" t="s">
        <v>4596</v>
      </c>
      <c r="AG38" s="349" t="s">
        <v>4597</v>
      </c>
      <c r="AH38" s="537" t="s">
        <v>4598</v>
      </c>
      <c r="AI38" s="349" t="s">
        <v>4599</v>
      </c>
      <c r="AJ38" s="670" t="s">
        <v>4600</v>
      </c>
      <c r="AK38" s="349" t="s">
        <v>4601</v>
      </c>
      <c r="AL38" s="537" t="s">
        <v>4602</v>
      </c>
      <c r="AM38" s="349" t="s">
        <v>4603</v>
      </c>
      <c r="AN38" s="3729" t="s">
        <v>4604</v>
      </c>
      <c r="AO38" s="351" t="s">
        <v>4605</v>
      </c>
      <c r="AP38" s="2655" t="s">
        <v>4606</v>
      </c>
      <c r="AQ38" s="2656" t="s">
        <v>4934</v>
      </c>
      <c r="AR38" s="2656" t="s">
        <v>4935</v>
      </c>
      <c r="AS38" s="2656" t="s">
        <v>4936</v>
      </c>
      <c r="AT38" s="2657" t="s">
        <v>4937</v>
      </c>
      <c r="AU38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8" s="83" t="str">
        <f t="shared" si="16"/>
        <v xml:space="preserve"> * La variable Pueblos originarios No puede ser mayor al Total.</v>
      </c>
      <c r="BQ38" s="83" t="str">
        <f t="shared" si="17"/>
        <v xml:space="preserve"> * La variable Migrantes No puede ser mayor al Total.</v>
      </c>
      <c r="BR38" s="83" t="str">
        <f t="shared" si="18"/>
        <v xml:space="preserve"> * La variable Espacios Amigables No puede ser mayor al Total.</v>
      </c>
      <c r="BS38" s="83" t="str">
        <f t="shared" si="19"/>
        <v xml:space="preserve"> * La variable Niños, Niñas, Adolescentes y Jóvenes SENAME No puede ser mayor al Total.</v>
      </c>
      <c r="BT38" s="83" t="str">
        <f t="shared" si="20"/>
        <v xml:space="preserve"> * La variable Niños, Niñas, Adolescentes y Jóvenes Mejor Niñez No puede ser mayor al Total.</v>
      </c>
      <c r="BV38" s="2628">
        <f t="shared" si="21"/>
        <v>1</v>
      </c>
      <c r="BW38" s="2628">
        <f t="shared" si="22"/>
        <v>1</v>
      </c>
      <c r="BX38" s="2628">
        <f t="shared" si="23"/>
        <v>1</v>
      </c>
      <c r="BY38" s="2628">
        <f t="shared" si="24"/>
        <v>1</v>
      </c>
      <c r="BZ38" s="2628">
        <f t="shared" si="25"/>
        <v>1</v>
      </c>
    </row>
    <row r="39" spans="1:78" ht="15" customHeight="1" x14ac:dyDescent="0.25">
      <c r="A39" s="5633" t="s">
        <v>4825</v>
      </c>
      <c r="B39" s="2635" t="s">
        <v>500</v>
      </c>
      <c r="C39" s="341" t="s">
        <v>4567</v>
      </c>
      <c r="D39" s="2305" t="s">
        <v>4568</v>
      </c>
      <c r="E39" s="2629" t="s">
        <v>4569</v>
      </c>
      <c r="F39" s="345" t="s">
        <v>4570</v>
      </c>
      <c r="G39" s="346" t="s">
        <v>4571</v>
      </c>
      <c r="H39" s="345" t="s">
        <v>4572</v>
      </c>
      <c r="I39" s="349" t="s">
        <v>4573</v>
      </c>
      <c r="J39" s="345" t="s">
        <v>4574</v>
      </c>
      <c r="K39" s="349" t="s">
        <v>4575</v>
      </c>
      <c r="L39" s="345" t="s">
        <v>4576</v>
      </c>
      <c r="M39" s="349" t="s">
        <v>4577</v>
      </c>
      <c r="N39" s="345" t="s">
        <v>4578</v>
      </c>
      <c r="O39" s="349" t="s">
        <v>4579</v>
      </c>
      <c r="P39" s="345" t="s">
        <v>4580</v>
      </c>
      <c r="Q39" s="349" t="s">
        <v>4581</v>
      </c>
      <c r="R39" s="347" t="s">
        <v>4582</v>
      </c>
      <c r="S39" s="349" t="s">
        <v>4583</v>
      </c>
      <c r="T39" s="345" t="s">
        <v>4584</v>
      </c>
      <c r="U39" s="349" t="s">
        <v>4585</v>
      </c>
      <c r="V39" s="345" t="s">
        <v>4586</v>
      </c>
      <c r="W39" s="349" t="s">
        <v>4587</v>
      </c>
      <c r="X39" s="345" t="s">
        <v>4588</v>
      </c>
      <c r="Y39" s="349" t="s">
        <v>4589</v>
      </c>
      <c r="Z39" s="345" t="s">
        <v>4590</v>
      </c>
      <c r="AA39" s="349" t="s">
        <v>4591</v>
      </c>
      <c r="AB39" s="345" t="s">
        <v>4592</v>
      </c>
      <c r="AC39" s="349" t="s">
        <v>4593</v>
      </c>
      <c r="AD39" s="347" t="s">
        <v>4594</v>
      </c>
      <c r="AE39" s="349" t="s">
        <v>4595</v>
      </c>
      <c r="AF39" s="345" t="s">
        <v>4596</v>
      </c>
      <c r="AG39" s="349" t="s">
        <v>4597</v>
      </c>
      <c r="AH39" s="347" t="s">
        <v>4598</v>
      </c>
      <c r="AI39" s="349" t="s">
        <v>4599</v>
      </c>
      <c r="AJ39" s="345" t="s">
        <v>4600</v>
      </c>
      <c r="AK39" s="349" t="s">
        <v>4601</v>
      </c>
      <c r="AL39" s="347" t="s">
        <v>4602</v>
      </c>
      <c r="AM39" s="349" t="s">
        <v>4603</v>
      </c>
      <c r="AN39" s="554" t="s">
        <v>4604</v>
      </c>
      <c r="AO39" s="351" t="s">
        <v>4605</v>
      </c>
      <c r="AP39" s="811" t="s">
        <v>4606</v>
      </c>
      <c r="AQ39" s="2630" t="s">
        <v>4934</v>
      </c>
      <c r="AR39" s="2630" t="s">
        <v>4935</v>
      </c>
      <c r="AS39" s="2630" t="s">
        <v>4936</v>
      </c>
      <c r="AT39" s="812" t="s">
        <v>4937</v>
      </c>
      <c r="AU39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9" s="83" t="str">
        <f t="shared" si="16"/>
        <v xml:space="preserve"> * La variable Pueblos originarios No puede ser mayor al Total.</v>
      </c>
      <c r="BQ39" s="83" t="str">
        <f t="shared" si="17"/>
        <v xml:space="preserve"> * La variable Migrantes No puede ser mayor al Total.</v>
      </c>
      <c r="BR39" s="83" t="str">
        <f t="shared" si="18"/>
        <v xml:space="preserve"> * La variable Espacios Amigables No puede ser mayor al Total.</v>
      </c>
      <c r="BS39" s="83" t="str">
        <f t="shared" si="19"/>
        <v xml:space="preserve"> * La variable Niños, Niñas, Adolescentes y Jóvenes SENAME No puede ser mayor al Total.</v>
      </c>
      <c r="BT39" s="83" t="str">
        <f t="shared" si="20"/>
        <v xml:space="preserve"> * La variable Niños, Niñas, Adolescentes y Jóvenes Mejor Niñez No puede ser mayor al Total.</v>
      </c>
      <c r="BV39" s="2628">
        <f t="shared" si="21"/>
        <v>1</v>
      </c>
      <c r="BW39" s="2628">
        <f t="shared" si="22"/>
        <v>1</v>
      </c>
      <c r="BX39" s="2628">
        <f t="shared" si="23"/>
        <v>1</v>
      </c>
      <c r="BY39" s="2628">
        <f t="shared" si="24"/>
        <v>1</v>
      </c>
      <c r="BZ39" s="2628">
        <f t="shared" si="25"/>
        <v>1</v>
      </c>
    </row>
    <row r="40" spans="1:78" ht="15" customHeight="1" x14ac:dyDescent="0.25">
      <c r="A40" s="5633" t="s">
        <v>4826</v>
      </c>
      <c r="B40" s="2635" t="s">
        <v>501</v>
      </c>
      <c r="C40" s="341" t="s">
        <v>4567</v>
      </c>
      <c r="D40" s="2305" t="s">
        <v>4568</v>
      </c>
      <c r="E40" s="2629" t="s">
        <v>4569</v>
      </c>
      <c r="F40" s="345" t="s">
        <v>4570</v>
      </c>
      <c r="G40" s="346" t="s">
        <v>4571</v>
      </c>
      <c r="H40" s="345" t="s">
        <v>4572</v>
      </c>
      <c r="I40" s="349" t="s">
        <v>4573</v>
      </c>
      <c r="J40" s="345" t="s">
        <v>4574</v>
      </c>
      <c r="K40" s="349" t="s">
        <v>4575</v>
      </c>
      <c r="L40" s="345" t="s">
        <v>4576</v>
      </c>
      <c r="M40" s="349" t="s">
        <v>4577</v>
      </c>
      <c r="N40" s="345" t="s">
        <v>4578</v>
      </c>
      <c r="O40" s="349" t="s">
        <v>4579</v>
      </c>
      <c r="P40" s="345" t="s">
        <v>4580</v>
      </c>
      <c r="Q40" s="349" t="s">
        <v>4581</v>
      </c>
      <c r="R40" s="347" t="s">
        <v>4582</v>
      </c>
      <c r="S40" s="349" t="s">
        <v>4583</v>
      </c>
      <c r="T40" s="345" t="s">
        <v>4584</v>
      </c>
      <c r="U40" s="349" t="s">
        <v>4585</v>
      </c>
      <c r="V40" s="345" t="s">
        <v>4586</v>
      </c>
      <c r="W40" s="349" t="s">
        <v>4587</v>
      </c>
      <c r="X40" s="345" t="s">
        <v>4588</v>
      </c>
      <c r="Y40" s="349" t="s">
        <v>4589</v>
      </c>
      <c r="Z40" s="345" t="s">
        <v>4590</v>
      </c>
      <c r="AA40" s="349" t="s">
        <v>4591</v>
      </c>
      <c r="AB40" s="345" t="s">
        <v>4592</v>
      </c>
      <c r="AC40" s="349" t="s">
        <v>4593</v>
      </c>
      <c r="AD40" s="347" t="s">
        <v>4594</v>
      </c>
      <c r="AE40" s="349" t="s">
        <v>4595</v>
      </c>
      <c r="AF40" s="345" t="s">
        <v>4596</v>
      </c>
      <c r="AG40" s="349" t="s">
        <v>4597</v>
      </c>
      <c r="AH40" s="347" t="s">
        <v>4598</v>
      </c>
      <c r="AI40" s="349" t="s">
        <v>4599</v>
      </c>
      <c r="AJ40" s="345" t="s">
        <v>4600</v>
      </c>
      <c r="AK40" s="349" t="s">
        <v>4601</v>
      </c>
      <c r="AL40" s="347" t="s">
        <v>4602</v>
      </c>
      <c r="AM40" s="349" t="s">
        <v>4603</v>
      </c>
      <c r="AN40" s="554" t="s">
        <v>4604</v>
      </c>
      <c r="AO40" s="351" t="s">
        <v>4605</v>
      </c>
      <c r="AP40" s="811" t="s">
        <v>4606</v>
      </c>
      <c r="AQ40" s="2630" t="s">
        <v>4934</v>
      </c>
      <c r="AR40" s="2630" t="s">
        <v>4935</v>
      </c>
      <c r="AS40" s="2630" t="s">
        <v>4936</v>
      </c>
      <c r="AT40" s="812" t="s">
        <v>4937</v>
      </c>
      <c r="AU40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0" s="83" t="str">
        <f t="shared" si="16"/>
        <v xml:space="preserve"> * La variable Pueblos originarios No puede ser mayor al Total.</v>
      </c>
      <c r="BQ40" s="83" t="str">
        <f t="shared" si="17"/>
        <v xml:space="preserve"> * La variable Migrantes No puede ser mayor al Total.</v>
      </c>
      <c r="BR40" s="83" t="str">
        <f t="shared" si="18"/>
        <v xml:space="preserve"> * La variable Espacios Amigables No puede ser mayor al Total.</v>
      </c>
      <c r="BS40" s="83" t="str">
        <f t="shared" si="19"/>
        <v xml:space="preserve"> * La variable Niños, Niñas, Adolescentes y Jóvenes SENAME No puede ser mayor al Total.</v>
      </c>
      <c r="BT40" s="83" t="str">
        <f t="shared" si="20"/>
        <v xml:space="preserve"> * La variable Niños, Niñas, Adolescentes y Jóvenes Mejor Niñez No puede ser mayor al Total.</v>
      </c>
      <c r="BV40" s="2628">
        <f t="shared" si="21"/>
        <v>1</v>
      </c>
      <c r="BW40" s="2628">
        <f t="shared" si="22"/>
        <v>1</v>
      </c>
      <c r="BX40" s="2628">
        <f t="shared" si="23"/>
        <v>1</v>
      </c>
      <c r="BY40" s="2628">
        <f t="shared" si="24"/>
        <v>1</v>
      </c>
      <c r="BZ40" s="2628">
        <f t="shared" si="25"/>
        <v>1</v>
      </c>
    </row>
    <row r="41" spans="1:78" ht="15" customHeight="1" x14ac:dyDescent="0.25">
      <c r="A41" s="5633" t="s">
        <v>4827</v>
      </c>
      <c r="B41" s="2635" t="s">
        <v>502</v>
      </c>
      <c r="C41" s="341" t="s">
        <v>4567</v>
      </c>
      <c r="D41" s="2305" t="s">
        <v>4568</v>
      </c>
      <c r="E41" s="2629" t="s">
        <v>4569</v>
      </c>
      <c r="F41" s="345" t="s">
        <v>4570</v>
      </c>
      <c r="G41" s="346" t="s">
        <v>4571</v>
      </c>
      <c r="H41" s="345" t="s">
        <v>4572</v>
      </c>
      <c r="I41" s="349" t="s">
        <v>4573</v>
      </c>
      <c r="J41" s="345" t="s">
        <v>4574</v>
      </c>
      <c r="K41" s="349" t="s">
        <v>4575</v>
      </c>
      <c r="L41" s="345" t="s">
        <v>4576</v>
      </c>
      <c r="M41" s="349" t="s">
        <v>4577</v>
      </c>
      <c r="N41" s="345" t="s">
        <v>4578</v>
      </c>
      <c r="O41" s="349" t="s">
        <v>4579</v>
      </c>
      <c r="P41" s="345" t="s">
        <v>4580</v>
      </c>
      <c r="Q41" s="349" t="s">
        <v>4581</v>
      </c>
      <c r="R41" s="347" t="s">
        <v>4582</v>
      </c>
      <c r="S41" s="349" t="s">
        <v>4583</v>
      </c>
      <c r="T41" s="345" t="s">
        <v>4584</v>
      </c>
      <c r="U41" s="349" t="s">
        <v>4585</v>
      </c>
      <c r="V41" s="345" t="s">
        <v>4586</v>
      </c>
      <c r="W41" s="349" t="s">
        <v>4587</v>
      </c>
      <c r="X41" s="345" t="s">
        <v>4588</v>
      </c>
      <c r="Y41" s="349" t="s">
        <v>4589</v>
      </c>
      <c r="Z41" s="345" t="s">
        <v>4590</v>
      </c>
      <c r="AA41" s="349" t="s">
        <v>4591</v>
      </c>
      <c r="AB41" s="345" t="s">
        <v>4592</v>
      </c>
      <c r="AC41" s="349" t="s">
        <v>4593</v>
      </c>
      <c r="AD41" s="347" t="s">
        <v>4594</v>
      </c>
      <c r="AE41" s="349" t="s">
        <v>4595</v>
      </c>
      <c r="AF41" s="345" t="s">
        <v>4596</v>
      </c>
      <c r="AG41" s="349" t="s">
        <v>4597</v>
      </c>
      <c r="AH41" s="347" t="s">
        <v>4598</v>
      </c>
      <c r="AI41" s="349" t="s">
        <v>4599</v>
      </c>
      <c r="AJ41" s="345" t="s">
        <v>4600</v>
      </c>
      <c r="AK41" s="349" t="s">
        <v>4601</v>
      </c>
      <c r="AL41" s="347" t="s">
        <v>4602</v>
      </c>
      <c r="AM41" s="349" t="s">
        <v>4603</v>
      </c>
      <c r="AN41" s="554" t="s">
        <v>4604</v>
      </c>
      <c r="AO41" s="351" t="s">
        <v>4605</v>
      </c>
      <c r="AP41" s="811" t="s">
        <v>4606</v>
      </c>
      <c r="AQ41" s="2630" t="s">
        <v>4934</v>
      </c>
      <c r="AR41" s="2630" t="s">
        <v>4935</v>
      </c>
      <c r="AS41" s="2630" t="s">
        <v>4936</v>
      </c>
      <c r="AT41" s="812" t="s">
        <v>4937</v>
      </c>
      <c r="AU41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1" s="83" t="str">
        <f t="shared" si="16"/>
        <v xml:space="preserve"> * La variable Pueblos originarios No puede ser mayor al Total.</v>
      </c>
      <c r="BQ41" s="83" t="str">
        <f t="shared" si="17"/>
        <v xml:space="preserve"> * La variable Migrantes No puede ser mayor al Total.</v>
      </c>
      <c r="BR41" s="83" t="str">
        <f t="shared" si="18"/>
        <v xml:space="preserve"> * La variable Espacios Amigables No puede ser mayor al Total.</v>
      </c>
      <c r="BS41" s="83" t="str">
        <f t="shared" si="19"/>
        <v xml:space="preserve"> * La variable Niños, Niñas, Adolescentes y Jóvenes SENAME No puede ser mayor al Total.</v>
      </c>
      <c r="BT41" s="83" t="str">
        <f t="shared" si="20"/>
        <v xml:space="preserve"> * La variable Niños, Niñas, Adolescentes y Jóvenes Mejor Niñez No puede ser mayor al Total.</v>
      </c>
      <c r="BV41" s="2628">
        <f t="shared" si="21"/>
        <v>1</v>
      </c>
      <c r="BW41" s="2628">
        <f t="shared" si="22"/>
        <v>1</v>
      </c>
      <c r="BX41" s="2628">
        <f t="shared" si="23"/>
        <v>1</v>
      </c>
      <c r="BY41" s="2628">
        <f t="shared" si="24"/>
        <v>1</v>
      </c>
      <c r="BZ41" s="2628">
        <f t="shared" si="25"/>
        <v>1</v>
      </c>
    </row>
    <row r="42" spans="1:78" ht="15" customHeight="1" x14ac:dyDescent="0.25">
      <c r="A42" s="5633" t="s">
        <v>4828</v>
      </c>
      <c r="B42" s="2635" t="s">
        <v>503</v>
      </c>
      <c r="C42" s="341" t="s">
        <v>4567</v>
      </c>
      <c r="D42" s="2305" t="s">
        <v>4568</v>
      </c>
      <c r="E42" s="2629" t="s">
        <v>4569</v>
      </c>
      <c r="F42" s="345" t="s">
        <v>4570</v>
      </c>
      <c r="G42" s="346" t="s">
        <v>4571</v>
      </c>
      <c r="H42" s="345" t="s">
        <v>4572</v>
      </c>
      <c r="I42" s="349" t="s">
        <v>4573</v>
      </c>
      <c r="J42" s="345" t="s">
        <v>4574</v>
      </c>
      <c r="K42" s="349" t="s">
        <v>4575</v>
      </c>
      <c r="L42" s="345" t="s">
        <v>4576</v>
      </c>
      <c r="M42" s="349" t="s">
        <v>4577</v>
      </c>
      <c r="N42" s="345" t="s">
        <v>4578</v>
      </c>
      <c r="O42" s="349" t="s">
        <v>4579</v>
      </c>
      <c r="P42" s="345" t="s">
        <v>4580</v>
      </c>
      <c r="Q42" s="349" t="s">
        <v>4581</v>
      </c>
      <c r="R42" s="347" t="s">
        <v>4582</v>
      </c>
      <c r="S42" s="349" t="s">
        <v>4583</v>
      </c>
      <c r="T42" s="345" t="s">
        <v>4584</v>
      </c>
      <c r="U42" s="349" t="s">
        <v>4585</v>
      </c>
      <c r="V42" s="345" t="s">
        <v>4586</v>
      </c>
      <c r="W42" s="349" t="s">
        <v>4587</v>
      </c>
      <c r="X42" s="345" t="s">
        <v>4588</v>
      </c>
      <c r="Y42" s="349" t="s">
        <v>4589</v>
      </c>
      <c r="Z42" s="345" t="s">
        <v>4590</v>
      </c>
      <c r="AA42" s="349" t="s">
        <v>4591</v>
      </c>
      <c r="AB42" s="345" t="s">
        <v>4592</v>
      </c>
      <c r="AC42" s="349" t="s">
        <v>4593</v>
      </c>
      <c r="AD42" s="347" t="s">
        <v>4594</v>
      </c>
      <c r="AE42" s="349" t="s">
        <v>4595</v>
      </c>
      <c r="AF42" s="345" t="s">
        <v>4596</v>
      </c>
      <c r="AG42" s="349" t="s">
        <v>4597</v>
      </c>
      <c r="AH42" s="347" t="s">
        <v>4598</v>
      </c>
      <c r="AI42" s="349" t="s">
        <v>4599</v>
      </c>
      <c r="AJ42" s="345" t="s">
        <v>4600</v>
      </c>
      <c r="AK42" s="349" t="s">
        <v>4601</v>
      </c>
      <c r="AL42" s="347" t="s">
        <v>4602</v>
      </c>
      <c r="AM42" s="349" t="s">
        <v>4603</v>
      </c>
      <c r="AN42" s="554" t="s">
        <v>4604</v>
      </c>
      <c r="AO42" s="351" t="s">
        <v>4605</v>
      </c>
      <c r="AP42" s="811" t="s">
        <v>4606</v>
      </c>
      <c r="AQ42" s="2630" t="s">
        <v>4934</v>
      </c>
      <c r="AR42" s="2630" t="s">
        <v>4935</v>
      </c>
      <c r="AS42" s="2630" t="s">
        <v>4936</v>
      </c>
      <c r="AT42" s="812" t="s">
        <v>4937</v>
      </c>
      <c r="AU42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2" s="83" t="str">
        <f t="shared" si="16"/>
        <v xml:space="preserve"> * La variable Pueblos originarios No puede ser mayor al Total.</v>
      </c>
      <c r="BQ42" s="83" t="str">
        <f t="shared" si="17"/>
        <v xml:space="preserve"> * La variable Migrantes No puede ser mayor al Total.</v>
      </c>
      <c r="BR42" s="83" t="str">
        <f t="shared" si="18"/>
        <v xml:space="preserve"> * La variable Espacios Amigables No puede ser mayor al Total.</v>
      </c>
      <c r="BS42" s="83" t="str">
        <f t="shared" si="19"/>
        <v xml:space="preserve"> * La variable Niños, Niñas, Adolescentes y Jóvenes SENAME No puede ser mayor al Total.</v>
      </c>
      <c r="BT42" s="83" t="str">
        <f t="shared" si="20"/>
        <v xml:space="preserve"> * La variable Niños, Niñas, Adolescentes y Jóvenes Mejor Niñez No puede ser mayor al Total.</v>
      </c>
      <c r="BV42" s="2628">
        <f t="shared" si="21"/>
        <v>1</v>
      </c>
      <c r="BW42" s="2628">
        <f t="shared" si="22"/>
        <v>1</v>
      </c>
      <c r="BX42" s="2628">
        <f t="shared" si="23"/>
        <v>1</v>
      </c>
      <c r="BY42" s="2628">
        <f t="shared" si="24"/>
        <v>1</v>
      </c>
      <c r="BZ42" s="2628">
        <f t="shared" si="25"/>
        <v>1</v>
      </c>
    </row>
    <row r="43" spans="1:78" ht="15" customHeight="1" x14ac:dyDescent="0.25">
      <c r="A43" s="5633" t="s">
        <v>4829</v>
      </c>
      <c r="B43" s="2635" t="s">
        <v>504</v>
      </c>
      <c r="C43" s="341" t="s">
        <v>4567</v>
      </c>
      <c r="D43" s="2305" t="s">
        <v>4568</v>
      </c>
      <c r="E43" s="2629" t="s">
        <v>4569</v>
      </c>
      <c r="F43" s="345" t="s">
        <v>4570</v>
      </c>
      <c r="G43" s="346" t="s">
        <v>4571</v>
      </c>
      <c r="H43" s="345" t="s">
        <v>4572</v>
      </c>
      <c r="I43" s="349" t="s">
        <v>4573</v>
      </c>
      <c r="J43" s="345" t="s">
        <v>4574</v>
      </c>
      <c r="K43" s="349" t="s">
        <v>4575</v>
      </c>
      <c r="L43" s="345" t="s">
        <v>4576</v>
      </c>
      <c r="M43" s="349" t="s">
        <v>4577</v>
      </c>
      <c r="N43" s="345" t="s">
        <v>4578</v>
      </c>
      <c r="O43" s="349" t="s">
        <v>4579</v>
      </c>
      <c r="P43" s="345" t="s">
        <v>4580</v>
      </c>
      <c r="Q43" s="349" t="s">
        <v>4581</v>
      </c>
      <c r="R43" s="347" t="s">
        <v>4582</v>
      </c>
      <c r="S43" s="349" t="s">
        <v>4583</v>
      </c>
      <c r="T43" s="345" t="s">
        <v>4584</v>
      </c>
      <c r="U43" s="349" t="s">
        <v>4585</v>
      </c>
      <c r="V43" s="345" t="s">
        <v>4586</v>
      </c>
      <c r="W43" s="349" t="s">
        <v>4587</v>
      </c>
      <c r="X43" s="345" t="s">
        <v>4588</v>
      </c>
      <c r="Y43" s="349" t="s">
        <v>4589</v>
      </c>
      <c r="Z43" s="345" t="s">
        <v>4590</v>
      </c>
      <c r="AA43" s="349" t="s">
        <v>4591</v>
      </c>
      <c r="AB43" s="345" t="s">
        <v>4592</v>
      </c>
      <c r="AC43" s="349" t="s">
        <v>4593</v>
      </c>
      <c r="AD43" s="347" t="s">
        <v>4594</v>
      </c>
      <c r="AE43" s="349" t="s">
        <v>4595</v>
      </c>
      <c r="AF43" s="345" t="s">
        <v>4596</v>
      </c>
      <c r="AG43" s="349" t="s">
        <v>4597</v>
      </c>
      <c r="AH43" s="347" t="s">
        <v>4598</v>
      </c>
      <c r="AI43" s="349" t="s">
        <v>4599</v>
      </c>
      <c r="AJ43" s="345" t="s">
        <v>4600</v>
      </c>
      <c r="AK43" s="349" t="s">
        <v>4601</v>
      </c>
      <c r="AL43" s="347" t="s">
        <v>4602</v>
      </c>
      <c r="AM43" s="349" t="s">
        <v>4603</v>
      </c>
      <c r="AN43" s="554" t="s">
        <v>4604</v>
      </c>
      <c r="AO43" s="351" t="s">
        <v>4605</v>
      </c>
      <c r="AP43" s="2641" t="s">
        <v>4606</v>
      </c>
      <c r="AQ43" s="2642" t="s">
        <v>4934</v>
      </c>
      <c r="AR43" s="2642" t="s">
        <v>4935</v>
      </c>
      <c r="AS43" s="2642" t="s">
        <v>4936</v>
      </c>
      <c r="AT43" s="2643" t="s">
        <v>4937</v>
      </c>
      <c r="AU43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3" s="83" t="str">
        <f t="shared" si="16"/>
        <v xml:space="preserve"> * La variable Pueblos originarios No puede ser mayor al Total.</v>
      </c>
      <c r="BQ43" s="83" t="str">
        <f t="shared" si="17"/>
        <v xml:space="preserve"> * La variable Migrantes No puede ser mayor al Total.</v>
      </c>
      <c r="BR43" s="83" t="str">
        <f t="shared" si="18"/>
        <v xml:space="preserve"> * La variable Espacios Amigables No puede ser mayor al Total.</v>
      </c>
      <c r="BS43" s="83" t="str">
        <f t="shared" si="19"/>
        <v xml:space="preserve"> * La variable Niños, Niñas, Adolescentes y Jóvenes SENAME No puede ser mayor al Total.</v>
      </c>
      <c r="BT43" s="83" t="str">
        <f t="shared" si="20"/>
        <v xml:space="preserve"> * La variable Niños, Niñas, Adolescentes y Jóvenes Mejor Niñez No puede ser mayor al Total.</v>
      </c>
      <c r="BV43" s="2628">
        <f t="shared" si="21"/>
        <v>1</v>
      </c>
      <c r="BW43" s="2628">
        <f t="shared" si="22"/>
        <v>1</v>
      </c>
      <c r="BX43" s="2628">
        <f t="shared" si="23"/>
        <v>1</v>
      </c>
      <c r="BY43" s="2628">
        <f t="shared" si="24"/>
        <v>1</v>
      </c>
      <c r="BZ43" s="2628">
        <f t="shared" si="25"/>
        <v>1</v>
      </c>
    </row>
    <row r="44" spans="1:78" ht="15" customHeight="1" x14ac:dyDescent="0.25">
      <c r="A44" s="5633" t="s">
        <v>4830</v>
      </c>
      <c r="B44" s="2635" t="s">
        <v>505</v>
      </c>
      <c r="C44" s="341" t="s">
        <v>4567</v>
      </c>
      <c r="D44" s="2305" t="s">
        <v>4568</v>
      </c>
      <c r="E44" s="2629" t="s">
        <v>4569</v>
      </c>
      <c r="F44" s="345" t="s">
        <v>4570</v>
      </c>
      <c r="G44" s="346" t="s">
        <v>4571</v>
      </c>
      <c r="H44" s="345" t="s">
        <v>4572</v>
      </c>
      <c r="I44" s="349" t="s">
        <v>4573</v>
      </c>
      <c r="J44" s="345" t="s">
        <v>4574</v>
      </c>
      <c r="K44" s="349" t="s">
        <v>4575</v>
      </c>
      <c r="L44" s="345" t="s">
        <v>4576</v>
      </c>
      <c r="M44" s="349" t="s">
        <v>4577</v>
      </c>
      <c r="N44" s="345" t="s">
        <v>4578</v>
      </c>
      <c r="O44" s="349" t="s">
        <v>4579</v>
      </c>
      <c r="P44" s="345" t="s">
        <v>4580</v>
      </c>
      <c r="Q44" s="349" t="s">
        <v>4581</v>
      </c>
      <c r="R44" s="347" t="s">
        <v>4582</v>
      </c>
      <c r="S44" s="349" t="s">
        <v>4583</v>
      </c>
      <c r="T44" s="345" t="s">
        <v>4584</v>
      </c>
      <c r="U44" s="349" t="s">
        <v>4585</v>
      </c>
      <c r="V44" s="345" t="s">
        <v>4586</v>
      </c>
      <c r="W44" s="349" t="s">
        <v>4587</v>
      </c>
      <c r="X44" s="345" t="s">
        <v>4588</v>
      </c>
      <c r="Y44" s="349" t="s">
        <v>4589</v>
      </c>
      <c r="Z44" s="345" t="s">
        <v>4590</v>
      </c>
      <c r="AA44" s="349" t="s">
        <v>4591</v>
      </c>
      <c r="AB44" s="345" t="s">
        <v>4592</v>
      </c>
      <c r="AC44" s="349" t="s">
        <v>4593</v>
      </c>
      <c r="AD44" s="347" t="s">
        <v>4594</v>
      </c>
      <c r="AE44" s="349" t="s">
        <v>4595</v>
      </c>
      <c r="AF44" s="345" t="s">
        <v>4596</v>
      </c>
      <c r="AG44" s="349" t="s">
        <v>4597</v>
      </c>
      <c r="AH44" s="347" t="s">
        <v>4598</v>
      </c>
      <c r="AI44" s="349" t="s">
        <v>4599</v>
      </c>
      <c r="AJ44" s="345" t="s">
        <v>4600</v>
      </c>
      <c r="AK44" s="349" t="s">
        <v>4601</v>
      </c>
      <c r="AL44" s="347" t="s">
        <v>4602</v>
      </c>
      <c r="AM44" s="349" t="s">
        <v>4603</v>
      </c>
      <c r="AN44" s="554" t="s">
        <v>4604</v>
      </c>
      <c r="AO44" s="351" t="s">
        <v>4605</v>
      </c>
      <c r="AP44" s="2641" t="s">
        <v>4606</v>
      </c>
      <c r="AQ44" s="2642" t="s">
        <v>4934</v>
      </c>
      <c r="AR44" s="2642" t="s">
        <v>4935</v>
      </c>
      <c r="AS44" s="2642" t="s">
        <v>4936</v>
      </c>
      <c r="AT44" s="2643" t="s">
        <v>4937</v>
      </c>
      <c r="AU44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4" s="83" t="str">
        <f t="shared" si="16"/>
        <v xml:space="preserve"> * La variable Pueblos originarios No puede ser mayor al Total.</v>
      </c>
      <c r="BQ44" s="83" t="str">
        <f t="shared" si="17"/>
        <v xml:space="preserve"> * La variable Migrantes No puede ser mayor al Total.</v>
      </c>
      <c r="BR44" s="83" t="str">
        <f t="shared" si="18"/>
        <v xml:space="preserve"> * La variable Espacios Amigables No puede ser mayor al Total.</v>
      </c>
      <c r="BS44" s="83" t="str">
        <f t="shared" si="19"/>
        <v xml:space="preserve"> * La variable Niños, Niñas, Adolescentes y Jóvenes SENAME No puede ser mayor al Total.</v>
      </c>
      <c r="BT44" s="83" t="str">
        <f t="shared" si="20"/>
        <v xml:space="preserve"> * La variable Niños, Niñas, Adolescentes y Jóvenes Mejor Niñez No puede ser mayor al Total.</v>
      </c>
      <c r="BV44" s="2628">
        <f t="shared" si="21"/>
        <v>1</v>
      </c>
      <c r="BW44" s="2628">
        <f t="shared" si="22"/>
        <v>1</v>
      </c>
      <c r="BX44" s="2628">
        <f t="shared" si="23"/>
        <v>1</v>
      </c>
      <c r="BY44" s="2628">
        <f t="shared" si="24"/>
        <v>1</v>
      </c>
      <c r="BZ44" s="2628">
        <f t="shared" si="25"/>
        <v>1</v>
      </c>
    </row>
    <row r="45" spans="1:78" ht="15" customHeight="1" x14ac:dyDescent="0.25">
      <c r="A45" s="5633" t="s">
        <v>4831</v>
      </c>
      <c r="B45" s="2635" t="s">
        <v>506</v>
      </c>
      <c r="C45" s="341" t="s">
        <v>4567</v>
      </c>
      <c r="D45" s="2305" t="s">
        <v>4568</v>
      </c>
      <c r="E45" s="2629" t="s">
        <v>4569</v>
      </c>
      <c r="F45" s="345" t="s">
        <v>4570</v>
      </c>
      <c r="G45" s="346" t="s">
        <v>4571</v>
      </c>
      <c r="H45" s="345" t="s">
        <v>4572</v>
      </c>
      <c r="I45" s="349" t="s">
        <v>4573</v>
      </c>
      <c r="J45" s="345" t="s">
        <v>4574</v>
      </c>
      <c r="K45" s="349" t="s">
        <v>4575</v>
      </c>
      <c r="L45" s="345" t="s">
        <v>4576</v>
      </c>
      <c r="M45" s="349" t="s">
        <v>4577</v>
      </c>
      <c r="N45" s="345" t="s">
        <v>4578</v>
      </c>
      <c r="O45" s="349" t="s">
        <v>4579</v>
      </c>
      <c r="P45" s="345" t="s">
        <v>4580</v>
      </c>
      <c r="Q45" s="349" t="s">
        <v>4581</v>
      </c>
      <c r="R45" s="347" t="s">
        <v>4582</v>
      </c>
      <c r="S45" s="349" t="s">
        <v>4583</v>
      </c>
      <c r="T45" s="345" t="s">
        <v>4584</v>
      </c>
      <c r="U45" s="349" t="s">
        <v>4585</v>
      </c>
      <c r="V45" s="345" t="s">
        <v>4586</v>
      </c>
      <c r="W45" s="349" t="s">
        <v>4587</v>
      </c>
      <c r="X45" s="345" t="s">
        <v>4588</v>
      </c>
      <c r="Y45" s="349" t="s">
        <v>4589</v>
      </c>
      <c r="Z45" s="345" t="s">
        <v>4590</v>
      </c>
      <c r="AA45" s="349" t="s">
        <v>4591</v>
      </c>
      <c r="AB45" s="345" t="s">
        <v>4592</v>
      </c>
      <c r="AC45" s="349" t="s">
        <v>4593</v>
      </c>
      <c r="AD45" s="347" t="s">
        <v>4594</v>
      </c>
      <c r="AE45" s="349" t="s">
        <v>4595</v>
      </c>
      <c r="AF45" s="345" t="s">
        <v>4596</v>
      </c>
      <c r="AG45" s="349" t="s">
        <v>4597</v>
      </c>
      <c r="AH45" s="347" t="s">
        <v>4598</v>
      </c>
      <c r="AI45" s="349" t="s">
        <v>4599</v>
      </c>
      <c r="AJ45" s="345" t="s">
        <v>4600</v>
      </c>
      <c r="AK45" s="349" t="s">
        <v>4601</v>
      </c>
      <c r="AL45" s="347" t="s">
        <v>4602</v>
      </c>
      <c r="AM45" s="349" t="s">
        <v>4603</v>
      </c>
      <c r="AN45" s="554" t="s">
        <v>4604</v>
      </c>
      <c r="AO45" s="351" t="s">
        <v>4605</v>
      </c>
      <c r="AP45" s="2641" t="s">
        <v>4606</v>
      </c>
      <c r="AQ45" s="2642" t="s">
        <v>4934</v>
      </c>
      <c r="AR45" s="2642" t="s">
        <v>4935</v>
      </c>
      <c r="AS45" s="2642" t="s">
        <v>4936</v>
      </c>
      <c r="AT45" s="2643" t="s">
        <v>4937</v>
      </c>
      <c r="AU45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5" s="83" t="str">
        <f t="shared" si="16"/>
        <v xml:space="preserve"> * La variable Pueblos originarios No puede ser mayor al Total.</v>
      </c>
      <c r="BQ45" s="83" t="str">
        <f t="shared" si="17"/>
        <v xml:space="preserve"> * La variable Migrantes No puede ser mayor al Total.</v>
      </c>
      <c r="BR45" s="83" t="str">
        <f t="shared" si="18"/>
        <v xml:space="preserve"> * La variable Espacios Amigables No puede ser mayor al Total.</v>
      </c>
      <c r="BS45" s="83" t="str">
        <f t="shared" si="19"/>
        <v xml:space="preserve"> * La variable Niños, Niñas, Adolescentes y Jóvenes SENAME No puede ser mayor al Total.</v>
      </c>
      <c r="BT45" s="83" t="str">
        <f t="shared" si="20"/>
        <v xml:space="preserve"> * La variable Niños, Niñas, Adolescentes y Jóvenes Mejor Niñez No puede ser mayor al Total.</v>
      </c>
      <c r="BV45" s="2628">
        <f t="shared" si="21"/>
        <v>1</v>
      </c>
      <c r="BW45" s="2628">
        <f t="shared" si="22"/>
        <v>1</v>
      </c>
      <c r="BX45" s="2628">
        <f t="shared" si="23"/>
        <v>1</v>
      </c>
      <c r="BY45" s="2628">
        <f t="shared" si="24"/>
        <v>1</v>
      </c>
      <c r="BZ45" s="2628">
        <f t="shared" si="25"/>
        <v>1</v>
      </c>
    </row>
    <row r="46" spans="1:78" ht="15" customHeight="1" x14ac:dyDescent="0.25">
      <c r="A46" s="5633" t="s">
        <v>4832</v>
      </c>
      <c r="B46" s="2636" t="s">
        <v>507</v>
      </c>
      <c r="C46" s="341" t="s">
        <v>4567</v>
      </c>
      <c r="D46" s="2305" t="s">
        <v>4568</v>
      </c>
      <c r="E46" s="2629" t="s">
        <v>4569</v>
      </c>
      <c r="F46" s="192" t="s">
        <v>4570</v>
      </c>
      <c r="G46" s="2" t="s">
        <v>4571</v>
      </c>
      <c r="H46" s="192" t="s">
        <v>4572</v>
      </c>
      <c r="I46" s="382" t="s">
        <v>4573</v>
      </c>
      <c r="J46" s="192" t="s">
        <v>4574</v>
      </c>
      <c r="K46" s="382" t="s">
        <v>4575</v>
      </c>
      <c r="L46" s="192" t="s">
        <v>4576</v>
      </c>
      <c r="M46" s="382" t="s">
        <v>4577</v>
      </c>
      <c r="N46" s="192" t="s">
        <v>4578</v>
      </c>
      <c r="O46" s="382" t="s">
        <v>4579</v>
      </c>
      <c r="P46" s="192" t="s">
        <v>4580</v>
      </c>
      <c r="Q46" s="382" t="s">
        <v>4581</v>
      </c>
      <c r="R46" s="481" t="s">
        <v>4582</v>
      </c>
      <c r="S46" s="382" t="s">
        <v>4583</v>
      </c>
      <c r="T46" s="192" t="s">
        <v>4584</v>
      </c>
      <c r="U46" s="382" t="s">
        <v>4585</v>
      </c>
      <c r="V46" s="192" t="s">
        <v>4586</v>
      </c>
      <c r="W46" s="382" t="s">
        <v>4587</v>
      </c>
      <c r="X46" s="192" t="s">
        <v>4588</v>
      </c>
      <c r="Y46" s="382" t="s">
        <v>4589</v>
      </c>
      <c r="Z46" s="192" t="s">
        <v>4590</v>
      </c>
      <c r="AA46" s="382" t="s">
        <v>4591</v>
      </c>
      <c r="AB46" s="192" t="s">
        <v>4592</v>
      </c>
      <c r="AC46" s="382" t="s">
        <v>4593</v>
      </c>
      <c r="AD46" s="481" t="s">
        <v>4594</v>
      </c>
      <c r="AE46" s="382" t="s">
        <v>4595</v>
      </c>
      <c r="AF46" s="345" t="s">
        <v>4596</v>
      </c>
      <c r="AG46" s="349" t="s">
        <v>4597</v>
      </c>
      <c r="AH46" s="347" t="s">
        <v>4598</v>
      </c>
      <c r="AI46" s="349" t="s">
        <v>4599</v>
      </c>
      <c r="AJ46" s="345" t="s">
        <v>4600</v>
      </c>
      <c r="AK46" s="349" t="s">
        <v>4601</v>
      </c>
      <c r="AL46" s="347" t="s">
        <v>4602</v>
      </c>
      <c r="AM46" s="349" t="s">
        <v>4603</v>
      </c>
      <c r="AN46" s="347" t="s">
        <v>4604</v>
      </c>
      <c r="AO46" s="383" t="s">
        <v>4605</v>
      </c>
      <c r="AP46" s="2641" t="s">
        <v>4606</v>
      </c>
      <c r="AQ46" s="2642" t="s">
        <v>4934</v>
      </c>
      <c r="AR46" s="2642" t="s">
        <v>4935</v>
      </c>
      <c r="AS46" s="2642" t="s">
        <v>4936</v>
      </c>
      <c r="AT46" s="2643" t="s">
        <v>4937</v>
      </c>
      <c r="AU46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6" s="83" t="str">
        <f t="shared" si="16"/>
        <v xml:space="preserve"> * La variable Pueblos originarios No puede ser mayor al Total.</v>
      </c>
      <c r="BQ46" s="83" t="str">
        <f t="shared" si="17"/>
        <v xml:space="preserve"> * La variable Migrantes No puede ser mayor al Total.</v>
      </c>
      <c r="BR46" s="83" t="str">
        <f t="shared" si="18"/>
        <v xml:space="preserve"> * La variable Espacios Amigables No puede ser mayor al Total.</v>
      </c>
      <c r="BS46" s="83" t="str">
        <f t="shared" si="19"/>
        <v xml:space="preserve"> * La variable Niños, Niñas, Adolescentes y Jóvenes SENAME No puede ser mayor al Total.</v>
      </c>
      <c r="BT46" s="83" t="str">
        <f t="shared" si="20"/>
        <v xml:space="preserve"> * La variable Niños, Niñas, Adolescentes y Jóvenes Mejor Niñez No puede ser mayor al Total.</v>
      </c>
      <c r="BV46" s="2628">
        <f t="shared" si="21"/>
        <v>1</v>
      </c>
      <c r="BW46" s="2628">
        <f t="shared" si="22"/>
        <v>1</v>
      </c>
      <c r="BX46" s="2628">
        <f t="shared" si="23"/>
        <v>1</v>
      </c>
      <c r="BY46" s="2628">
        <f t="shared" si="24"/>
        <v>1</v>
      </c>
      <c r="BZ46" s="2628">
        <f t="shared" si="25"/>
        <v>1</v>
      </c>
    </row>
    <row r="47" spans="1:78" ht="15" customHeight="1" x14ac:dyDescent="0.25">
      <c r="A47" s="5633" t="s">
        <v>4833</v>
      </c>
      <c r="B47" s="2635" t="s">
        <v>508</v>
      </c>
      <c r="C47" s="341" t="s">
        <v>4567</v>
      </c>
      <c r="D47" s="2305" t="s">
        <v>4568</v>
      </c>
      <c r="E47" s="2629" t="s">
        <v>4569</v>
      </c>
      <c r="F47" s="345" t="s">
        <v>4570</v>
      </c>
      <c r="G47" s="346" t="s">
        <v>4571</v>
      </c>
      <c r="H47" s="345" t="s">
        <v>4572</v>
      </c>
      <c r="I47" s="349" t="s">
        <v>4573</v>
      </c>
      <c r="J47" s="345" t="s">
        <v>4574</v>
      </c>
      <c r="K47" s="349" t="s">
        <v>4575</v>
      </c>
      <c r="L47" s="670" t="s">
        <v>4576</v>
      </c>
      <c r="M47" s="2659" t="s">
        <v>4577</v>
      </c>
      <c r="N47" s="670" t="s">
        <v>4578</v>
      </c>
      <c r="O47" s="2659" t="s">
        <v>4579</v>
      </c>
      <c r="P47" s="670" t="s">
        <v>4580</v>
      </c>
      <c r="Q47" s="2659" t="s">
        <v>4581</v>
      </c>
      <c r="R47" s="670" t="s">
        <v>4582</v>
      </c>
      <c r="S47" s="671" t="s">
        <v>4583</v>
      </c>
      <c r="T47" s="670" t="s">
        <v>4584</v>
      </c>
      <c r="U47" s="671" t="s">
        <v>4585</v>
      </c>
      <c r="V47" s="670" t="s">
        <v>4586</v>
      </c>
      <c r="W47" s="671" t="s">
        <v>4587</v>
      </c>
      <c r="X47" s="670" t="s">
        <v>4588</v>
      </c>
      <c r="Y47" s="671" t="s">
        <v>4589</v>
      </c>
      <c r="Z47" s="670" t="s">
        <v>4590</v>
      </c>
      <c r="AA47" s="671" t="s">
        <v>4591</v>
      </c>
      <c r="AB47" s="670" t="s">
        <v>4592</v>
      </c>
      <c r="AC47" s="671" t="s">
        <v>4593</v>
      </c>
      <c r="AD47" s="670" t="s">
        <v>4594</v>
      </c>
      <c r="AE47" s="671" t="s">
        <v>4595</v>
      </c>
      <c r="AF47" s="313" t="s">
        <v>4596</v>
      </c>
      <c r="AG47" s="130" t="s">
        <v>4597</v>
      </c>
      <c r="AH47" s="313" t="s">
        <v>4598</v>
      </c>
      <c r="AI47" s="130" t="s">
        <v>4599</v>
      </c>
      <c r="AJ47" s="313" t="s">
        <v>4600</v>
      </c>
      <c r="AK47" s="130" t="s">
        <v>4601</v>
      </c>
      <c r="AL47" s="313" t="s">
        <v>4602</v>
      </c>
      <c r="AM47" s="130" t="s">
        <v>4603</v>
      </c>
      <c r="AN47" s="313" t="s">
        <v>4604</v>
      </c>
      <c r="AO47" s="3002" t="s">
        <v>4605</v>
      </c>
      <c r="AP47" s="811" t="s">
        <v>4606</v>
      </c>
      <c r="AQ47" s="2630" t="s">
        <v>4934</v>
      </c>
      <c r="AR47" s="2630" t="s">
        <v>4935</v>
      </c>
      <c r="AS47" s="2630" t="s">
        <v>4936</v>
      </c>
      <c r="AT47" s="812" t="s">
        <v>4937</v>
      </c>
      <c r="AU47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7" s="83" t="str">
        <f t="shared" si="16"/>
        <v xml:space="preserve"> * La variable Pueblos originarios No puede ser mayor al Total.</v>
      </c>
      <c r="BQ47" s="83" t="str">
        <f t="shared" si="17"/>
        <v xml:space="preserve"> * La variable Migrantes No puede ser mayor al Total.</v>
      </c>
      <c r="BR47" s="83" t="str">
        <f t="shared" si="18"/>
        <v xml:space="preserve"> * La variable Espacios Amigables No puede ser mayor al Total.</v>
      </c>
      <c r="BS47" s="83" t="str">
        <f t="shared" si="19"/>
        <v xml:space="preserve"> * La variable Niños, Niñas, Adolescentes y Jóvenes SENAME No puede ser mayor al Total.</v>
      </c>
      <c r="BT47" s="83" t="str">
        <f t="shared" si="20"/>
        <v xml:space="preserve"> * La variable Niños, Niñas, Adolescentes y Jóvenes Mejor Niñez No puede ser mayor al Total.</v>
      </c>
      <c r="BV47" s="2628">
        <f t="shared" si="21"/>
        <v>1</v>
      </c>
      <c r="BW47" s="2628">
        <f t="shared" si="22"/>
        <v>1</v>
      </c>
      <c r="BX47" s="2628">
        <f t="shared" si="23"/>
        <v>1</v>
      </c>
      <c r="BY47" s="2628">
        <f t="shared" si="24"/>
        <v>1</v>
      </c>
      <c r="BZ47" s="2628">
        <f t="shared" si="25"/>
        <v>1</v>
      </c>
    </row>
    <row r="48" spans="1:78" ht="15" customHeight="1" x14ac:dyDescent="0.25">
      <c r="A48" s="5635" t="s">
        <v>4834</v>
      </c>
      <c r="B48" s="1760" t="s">
        <v>509</v>
      </c>
      <c r="C48" s="342" t="s">
        <v>4567</v>
      </c>
      <c r="D48" s="2177" t="s">
        <v>4568</v>
      </c>
      <c r="E48" s="2645" t="s">
        <v>4569</v>
      </c>
      <c r="F48" s="372" t="s">
        <v>4570</v>
      </c>
      <c r="G48" s="527" t="s">
        <v>4571</v>
      </c>
      <c r="H48" s="372" t="s">
        <v>4572</v>
      </c>
      <c r="I48" s="527" t="s">
        <v>4573</v>
      </c>
      <c r="J48" s="372" t="s">
        <v>4574</v>
      </c>
      <c r="K48" s="527" t="s">
        <v>4575</v>
      </c>
      <c r="L48" s="372" t="s">
        <v>4576</v>
      </c>
      <c r="M48" s="527" t="s">
        <v>4577</v>
      </c>
      <c r="N48" s="372" t="s">
        <v>4578</v>
      </c>
      <c r="O48" s="527" t="s">
        <v>4579</v>
      </c>
      <c r="P48" s="372" t="s">
        <v>4580</v>
      </c>
      <c r="Q48" s="527" t="s">
        <v>4581</v>
      </c>
      <c r="R48" s="372" t="s">
        <v>4582</v>
      </c>
      <c r="S48" s="527" t="s">
        <v>4583</v>
      </c>
      <c r="T48" s="372" t="s">
        <v>4584</v>
      </c>
      <c r="U48" s="527" t="s">
        <v>4585</v>
      </c>
      <c r="V48" s="372" t="s">
        <v>4586</v>
      </c>
      <c r="W48" s="527" t="s">
        <v>4587</v>
      </c>
      <c r="X48" s="372" t="s">
        <v>4588</v>
      </c>
      <c r="Y48" s="527" t="s">
        <v>4589</v>
      </c>
      <c r="Z48" s="372" t="s">
        <v>4590</v>
      </c>
      <c r="AA48" s="527" t="s">
        <v>4591</v>
      </c>
      <c r="AB48" s="372" t="s">
        <v>4592</v>
      </c>
      <c r="AC48" s="527" t="s">
        <v>4593</v>
      </c>
      <c r="AD48" s="372" t="s">
        <v>4594</v>
      </c>
      <c r="AE48" s="527" t="s">
        <v>4595</v>
      </c>
      <c r="AF48" s="372" t="s">
        <v>4596</v>
      </c>
      <c r="AG48" s="527" t="s">
        <v>4597</v>
      </c>
      <c r="AH48" s="372" t="s">
        <v>4598</v>
      </c>
      <c r="AI48" s="527" t="s">
        <v>4599</v>
      </c>
      <c r="AJ48" s="372" t="s">
        <v>4600</v>
      </c>
      <c r="AK48" s="527" t="s">
        <v>4601</v>
      </c>
      <c r="AL48" s="372" t="s">
        <v>4602</v>
      </c>
      <c r="AM48" s="527" t="s">
        <v>4603</v>
      </c>
      <c r="AN48" s="372" t="s">
        <v>4604</v>
      </c>
      <c r="AO48" s="2660" t="s">
        <v>4605</v>
      </c>
      <c r="AP48" s="319" t="s">
        <v>4606</v>
      </c>
      <c r="AQ48" s="320" t="s">
        <v>4934</v>
      </c>
      <c r="AR48" s="320" t="s">
        <v>4935</v>
      </c>
      <c r="AS48" s="320" t="s">
        <v>4936</v>
      </c>
      <c r="AT48" s="2661" t="s">
        <v>4937</v>
      </c>
      <c r="AU48" t="str">
        <f>BP48&amp;BQ48&amp;BR48&amp;BS48&amp;BT48</f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8" s="83" t="str">
        <f t="shared" ref="BP48" si="41">IF(AND(C48&gt;0,AP48="")," * No olvide digitar la variable Pueblos originarios. Digite Cero si no tiene.",IF(AP48&gt;C48," * La variable Pueblos originarios No puede ser mayor al Total.",""))</f>
        <v xml:space="preserve"> * La variable Pueblos originarios No puede ser mayor al Total.</v>
      </c>
      <c r="BQ48" s="83" t="str">
        <f>IF(AND(C48&gt;0,AQ48="")," * No olvide digitar la variable Migrantes. Digite Cero si no tiene.",IF(AQ48&gt;C48," * La variable Migrantes No puede ser mayor al Total.",""))</f>
        <v xml:space="preserve"> * La variable Migrantes No puede ser mayor al Total.</v>
      </c>
      <c r="BR48" s="83" t="str">
        <f t="shared" ref="BR48" si="42">IF(AND(C48&gt;0,AR48="")," * No olvide digitar la variable Espacios Amigables. Digite Cero si no tiene.",IF(AR48&gt;C48," * La variable Espacios Amigables No puede ser mayor al Total.",""))</f>
        <v xml:space="preserve"> * La variable Espacios Amigables No puede ser mayor al Total.</v>
      </c>
      <c r="BS48" s="83" t="str">
        <f t="shared" ref="BS48" si="43">IF(AND(C48&gt;0,AS48="")," * No olvide digitar la variable Niños, Niñas, Adolescentes y Jóvenes SENAME. Digite Cero si no tiene.",IF(AS48&gt;C48," * La variable Niños, Niñas, Adolescentes y Jóvenes SENAME No puede ser mayor al Total.",""))</f>
        <v xml:space="preserve"> * La variable Niños, Niñas, Adolescentes y Jóvenes SENAME No puede ser mayor al Total.</v>
      </c>
      <c r="BT48" s="83" t="str">
        <f t="shared" ref="BT48" si="44">IF(AND(C48&gt;0,AT48="")," * No olvide digitar la variable Niños, Niñas, Adolescentes y Jóvenes Mejor Niñez. Digite Cero si no tiene.",IF(AT48&gt;C48," * La variable Niños, Niñas, Adolescentes y Jóvenes Mejor Niñez No puede ser mayor al Total.",""))</f>
        <v xml:space="preserve"> * La variable Niños, Niñas, Adolescentes y Jóvenes Mejor Niñez No puede ser mayor al Total.</v>
      </c>
      <c r="BV48" s="2628">
        <f>IF(AND(C48&gt;0,AP48=""),1,IF(AP48&gt;C48,1,0))</f>
        <v>1</v>
      </c>
      <c r="BW48" s="2628">
        <f t="shared" ref="BW48" si="45">IF(AND(C48&gt;0,AQ48=""),1,IF(AQ48&gt;C48,1,0))</f>
        <v>1</v>
      </c>
      <c r="BX48" s="2628">
        <f t="shared" ref="BX48" si="46">IF(AND(C48&gt;0,AR48=""),1,IF(AR48&gt;C48,1,0))</f>
        <v>1</v>
      </c>
      <c r="BY48" s="2628">
        <f t="shared" ref="BY48" si="47">IF(AND(C48&gt;0,AS48=""),1,IF(AS48&gt;C48,1,0))</f>
        <v>1</v>
      </c>
      <c r="BZ48" s="2628">
        <f t="shared" ref="BZ48" si="48">IF(AND(C48&gt;0,AT48=""),1,IF(AT48&gt;C48,1,0))</f>
        <v>1</v>
      </c>
    </row>
    <row r="49" spans="1:76" ht="18" customHeight="1" x14ac:dyDescent="0.25">
      <c r="A49" s="5548"/>
      <c r="B49" s="3" t="s">
        <v>510</v>
      </c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</row>
    <row r="50" spans="1:76" ht="18" customHeight="1" x14ac:dyDescent="0.25">
      <c r="A50" s="5548"/>
      <c r="B50" s="6163" t="s">
        <v>27</v>
      </c>
      <c r="C50" s="6394" t="s">
        <v>389</v>
      </c>
      <c r="D50" s="6387" t="s">
        <v>461</v>
      </c>
      <c r="E50" s="6165" t="s">
        <v>59</v>
      </c>
      <c r="F50" s="6466" t="s">
        <v>511</v>
      </c>
      <c r="G50" s="6467"/>
      <c r="H50" s="6467"/>
      <c r="I50" s="6467"/>
      <c r="J50" s="6467"/>
      <c r="K50" s="6467"/>
      <c r="L50" s="6467"/>
      <c r="M50" s="6468"/>
      <c r="N50" s="6164" t="s">
        <v>389</v>
      </c>
      <c r="O50" s="6394" t="s">
        <v>461</v>
      </c>
      <c r="P50" s="6165" t="s">
        <v>59</v>
      </c>
      <c r="Q50" s="6169" t="s">
        <v>512</v>
      </c>
      <c r="R50" s="6470"/>
      <c r="S50" s="6470"/>
      <c r="T50" s="6470"/>
      <c r="U50" s="6470"/>
      <c r="V50" s="6470"/>
      <c r="W50" s="6470"/>
      <c r="X50" s="6170"/>
      <c r="Y50" s="6392" t="s">
        <v>513</v>
      </c>
      <c r="Z50" s="6393"/>
      <c r="AA50" s="6394" t="s">
        <v>38</v>
      </c>
      <c r="AB50" s="6165" t="s">
        <v>33</v>
      </c>
      <c r="AC50" s="6387" t="s">
        <v>36</v>
      </c>
      <c r="AD50" s="6203" t="s">
        <v>37</v>
      </c>
    </row>
    <row r="51" spans="1:76" ht="14.45" customHeight="1" x14ac:dyDescent="0.25">
      <c r="A51" s="5548"/>
      <c r="B51" s="6465"/>
      <c r="C51" s="6395"/>
      <c r="D51" s="6388"/>
      <c r="E51" s="6391"/>
      <c r="F51" s="6471" t="s">
        <v>94</v>
      </c>
      <c r="G51" s="6472"/>
      <c r="H51" s="6471" t="s">
        <v>44</v>
      </c>
      <c r="I51" s="6472"/>
      <c r="J51" s="6466" t="s">
        <v>45</v>
      </c>
      <c r="K51" s="6468"/>
      <c r="L51" s="6466" t="s">
        <v>514</v>
      </c>
      <c r="M51" s="6468"/>
      <c r="N51" s="6469"/>
      <c r="O51" s="6395"/>
      <c r="P51" s="6391"/>
      <c r="Q51" s="6392" t="s">
        <v>94</v>
      </c>
      <c r="R51" s="6393"/>
      <c r="S51" s="6392" t="s">
        <v>44</v>
      </c>
      <c r="T51" s="6393"/>
      <c r="U51" s="6169" t="s">
        <v>45</v>
      </c>
      <c r="V51" s="6473"/>
      <c r="W51" s="6169" t="s">
        <v>514</v>
      </c>
      <c r="X51" s="6170"/>
      <c r="Y51" s="6394" t="s">
        <v>60</v>
      </c>
      <c r="Z51" s="6203" t="s">
        <v>62</v>
      </c>
      <c r="AA51" s="6395"/>
      <c r="AB51" s="6391"/>
      <c r="AC51" s="6388"/>
      <c r="AD51" s="6390"/>
    </row>
    <row r="52" spans="1:76" ht="21.6" customHeight="1" x14ac:dyDescent="0.25">
      <c r="A52" s="5548"/>
      <c r="B52" s="6166"/>
      <c r="C52" s="6396"/>
      <c r="D52" s="6389"/>
      <c r="E52" s="6168"/>
      <c r="F52" s="2478" t="s">
        <v>58</v>
      </c>
      <c r="G52" s="2662" t="s">
        <v>59</v>
      </c>
      <c r="H52" s="2478" t="s">
        <v>58</v>
      </c>
      <c r="I52" s="2662" t="s">
        <v>59</v>
      </c>
      <c r="J52" s="2478" t="s">
        <v>58</v>
      </c>
      <c r="K52" s="2662" t="s">
        <v>59</v>
      </c>
      <c r="L52" s="2478" t="s">
        <v>58</v>
      </c>
      <c r="M52" s="5551" t="s">
        <v>59</v>
      </c>
      <c r="N52" s="6167"/>
      <c r="O52" s="6396"/>
      <c r="P52" s="6168"/>
      <c r="Q52" s="2478" t="s">
        <v>58</v>
      </c>
      <c r="R52" s="2662" t="s">
        <v>59</v>
      </c>
      <c r="S52" s="2478" t="s">
        <v>58</v>
      </c>
      <c r="T52" s="2662" t="s">
        <v>59</v>
      </c>
      <c r="U52" s="2478" t="s">
        <v>58</v>
      </c>
      <c r="V52" s="2662" t="s">
        <v>59</v>
      </c>
      <c r="W52" s="2478" t="s">
        <v>58</v>
      </c>
      <c r="X52" s="2477" t="s">
        <v>59</v>
      </c>
      <c r="Y52" s="6396"/>
      <c r="Z52" s="6204"/>
      <c r="AA52" s="6396"/>
      <c r="AB52" s="6168"/>
      <c r="AC52" s="6389"/>
      <c r="AD52" s="6204"/>
    </row>
    <row r="53" spans="1:76" ht="15" customHeight="1" x14ac:dyDescent="0.25">
      <c r="A53" s="5633" t="s">
        <v>4835</v>
      </c>
      <c r="B53" s="2663" t="s">
        <v>64</v>
      </c>
      <c r="C53" s="2664" t="s">
        <v>4567</v>
      </c>
      <c r="D53" s="2665" t="s">
        <v>4568</v>
      </c>
      <c r="E53" s="2666" t="s">
        <v>4569</v>
      </c>
      <c r="F53" s="2667" t="s">
        <v>4570</v>
      </c>
      <c r="G53" s="2668" t="s">
        <v>4571</v>
      </c>
      <c r="H53" s="2667" t="s">
        <v>4572</v>
      </c>
      <c r="I53" s="2668" t="s">
        <v>4573</v>
      </c>
      <c r="J53" s="2667" t="s">
        <v>4574</v>
      </c>
      <c r="K53" s="2668" t="s">
        <v>4575</v>
      </c>
      <c r="L53" s="2667" t="s">
        <v>4576</v>
      </c>
      <c r="M53" s="5552" t="s">
        <v>4577</v>
      </c>
      <c r="N53" s="2666" t="s">
        <v>4578</v>
      </c>
      <c r="O53" s="2664" t="s">
        <v>4579</v>
      </c>
      <c r="P53" s="2666" t="s">
        <v>4580</v>
      </c>
      <c r="Q53" s="2667" t="s">
        <v>4581</v>
      </c>
      <c r="R53" s="2668" t="s">
        <v>4582</v>
      </c>
      <c r="S53" s="2667" t="s">
        <v>4583</v>
      </c>
      <c r="T53" s="2668" t="s">
        <v>4584</v>
      </c>
      <c r="U53" s="2667" t="s">
        <v>4585</v>
      </c>
      <c r="V53" s="2668" t="s">
        <v>4586</v>
      </c>
      <c r="W53" s="2667" t="s">
        <v>4587</v>
      </c>
      <c r="X53" s="2669" t="s">
        <v>4588</v>
      </c>
      <c r="Y53" s="2670" t="s">
        <v>4589</v>
      </c>
      <c r="Z53" s="2668" t="s">
        <v>4590</v>
      </c>
      <c r="AA53" s="2670" t="s">
        <v>4591</v>
      </c>
      <c r="AB53" s="2668" t="s">
        <v>4592</v>
      </c>
      <c r="AC53" s="2671" t="s">
        <v>4593</v>
      </c>
      <c r="AD53" s="2672" t="s">
        <v>4594</v>
      </c>
      <c r="AE53" t="str">
        <f>BP53&amp;BQ53&amp;BR53</f>
        <v xml:space="preserve">  * La variable Pueblos originarios No puede ser mayor al Total.  * La variable Migrantes No puede ser mayor al Total.  * La variable Espacios Amigables/Adolescentes No puede ser mayor al Total.</v>
      </c>
      <c r="BP53" s="83" t="str">
        <f>IF(AND(C53&gt;0,AC53=""),"  * No olvide digitar la variable Pueblos originarios. Digite Cero si no tiene.",IF(AC53&gt;C53,"  * La variable Pueblos originarios No puede ser mayor al Total.",""))</f>
        <v xml:space="preserve">  * La variable Pueblos originarios No puede ser mayor al Total.</v>
      </c>
      <c r="BQ53" s="83" t="str">
        <f>IF(AND(C53&gt;0,AD53=""),"  * No olvide digitar la variable Migrantes. Digite Cero si no tiene.",IF(AD53&gt;C53,"  * La variable Migrantes No puede ser mayor al Total.",""))</f>
        <v xml:space="preserve">  * La variable Migrantes No puede ser mayor al Total.</v>
      </c>
      <c r="BR53" s="83" t="str">
        <f>IF(AND(C53&gt;0,AB53=""),"  * No olvide digitar la variable Espacios Amigables/Adolescentes. Digite Cero si no tiene.",IF(AB53&gt;C53,"  * La variable Espacios Amigables/Adolescentes No puede ser mayor al Total.",""))</f>
        <v xml:space="preserve">  * La variable Espacios Amigables/Adolescentes No puede ser mayor al Total.</v>
      </c>
      <c r="BS53" s="2673"/>
      <c r="BT53" s="2673"/>
      <c r="BV53" s="2628">
        <f>IF(AND(C53&gt;0,AC53=""),1,IF(AC53&gt;C53,1,0))</f>
        <v>1</v>
      </c>
      <c r="BW53" s="2628">
        <f>IF(AND(C53&gt;0,AD53=""),1,IF(AD53&gt;C53,1,0))</f>
        <v>1</v>
      </c>
      <c r="BX53" s="2628">
        <f>IF(AND(C53&gt;0,AB53=""),1,IF(AB53&gt;C53,1,0))</f>
        <v>1</v>
      </c>
    </row>
    <row r="54" spans="1:76" ht="15" customHeight="1" x14ac:dyDescent="0.25">
      <c r="A54" s="5633" t="s">
        <v>4836</v>
      </c>
      <c r="B54" s="2674" t="s">
        <v>65</v>
      </c>
      <c r="C54" s="2675" t="s">
        <v>4567</v>
      </c>
      <c r="D54" s="5554" t="s">
        <v>4568</v>
      </c>
      <c r="E54" s="2676" t="s">
        <v>4569</v>
      </c>
      <c r="F54" s="2677" t="s">
        <v>4570</v>
      </c>
      <c r="G54" s="2678" t="s">
        <v>4571</v>
      </c>
      <c r="H54" s="2677" t="s">
        <v>4572</v>
      </c>
      <c r="I54" s="2678" t="s">
        <v>4573</v>
      </c>
      <c r="J54" s="2677" t="s">
        <v>4574</v>
      </c>
      <c r="K54" s="2678" t="s">
        <v>4575</v>
      </c>
      <c r="L54" s="2677" t="s">
        <v>4576</v>
      </c>
      <c r="M54" s="5553" t="s">
        <v>4577</v>
      </c>
      <c r="N54" s="2676" t="s">
        <v>4578</v>
      </c>
      <c r="O54" s="2675" t="s">
        <v>4579</v>
      </c>
      <c r="P54" s="2676" t="s">
        <v>4580</v>
      </c>
      <c r="Q54" s="2677" t="s">
        <v>4581</v>
      </c>
      <c r="R54" s="2678" t="s">
        <v>4582</v>
      </c>
      <c r="S54" s="2677" t="s">
        <v>4583</v>
      </c>
      <c r="T54" s="2678" t="s">
        <v>4584</v>
      </c>
      <c r="U54" s="2677" t="s">
        <v>4585</v>
      </c>
      <c r="V54" s="2678" t="s">
        <v>4586</v>
      </c>
      <c r="W54" s="2677" t="s">
        <v>4587</v>
      </c>
      <c r="X54" s="2679" t="s">
        <v>4588</v>
      </c>
      <c r="Y54" s="2677" t="s">
        <v>4589</v>
      </c>
      <c r="Z54" s="2678" t="s">
        <v>4590</v>
      </c>
      <c r="AA54" s="2677" t="s">
        <v>4591</v>
      </c>
      <c r="AB54" s="2678" t="s">
        <v>4592</v>
      </c>
      <c r="AC54" s="2680" t="s">
        <v>4593</v>
      </c>
      <c r="AD54" s="2681" t="s">
        <v>4594</v>
      </c>
      <c r="AE54" t="str">
        <f>BP54&amp;BQ54&amp;BR54</f>
        <v xml:space="preserve">  * La variable Pueblos originarios No puede ser mayor al Total.  * La variable Migrantes No puede ser mayor al Total.  * La variable Espacios Amigables/Adolescentes No puede ser mayor al Total.</v>
      </c>
      <c r="BP54" s="83" t="str">
        <f>IF(AND(C54&gt;0,AC54=""),"  * No olvide digitar la variable Pueblos originarios. Digite Cero si no tiene.",IF(AC54&gt;C54,"  * La variable Pueblos originarios No puede ser mayor al Total.",""))</f>
        <v xml:space="preserve">  * La variable Pueblos originarios No puede ser mayor al Total.</v>
      </c>
      <c r="BQ54" s="83" t="str">
        <f>IF(AND(C54&gt;0,AD54=""),"  * No olvide digitar la variable Migrantes. Digite Cero si no tiene.",IF(AD54&gt;C54,"  * La variable Migrantes No puede ser mayor al Total.",""))</f>
        <v xml:space="preserve">  * La variable Migrantes No puede ser mayor al Total.</v>
      </c>
      <c r="BR54" s="83" t="str">
        <f>IF(AND(C54&gt;0,AB54=""),"  * No olvide digitar la variable Espacios Amigables/Adolescentes. Digite Cero si no tiene.",IF(AB54&gt;C54,"  * La variable Espacios Amigables/Adolescentes No puede ser mayor al Total.",""))</f>
        <v xml:space="preserve">  * La variable Espacios Amigables/Adolescentes No puede ser mayor al Total.</v>
      </c>
      <c r="BS54" s="2673"/>
      <c r="BT54" s="2673"/>
      <c r="BV54" s="2628">
        <f>IF(AND(C54&gt;0,AC54=""),1,IF(AC54&gt;C54,1,0))</f>
        <v>1</v>
      </c>
      <c r="BW54" s="2628">
        <f>IF(AND(C54&gt;0,AD54=""),1,IF(AD54&gt;C54,1,0))</f>
        <v>1</v>
      </c>
      <c r="BX54" s="2628">
        <f>IF(AND(C54&gt;0,AB54=""),1,IF(AB54&gt;C54,1,0))</f>
        <v>1</v>
      </c>
    </row>
    <row r="55" spans="1:76" ht="18" customHeight="1" x14ac:dyDescent="0.25">
      <c r="A55" s="5608"/>
      <c r="B55" s="2155" t="s">
        <v>515</v>
      </c>
      <c r="C55" s="2341"/>
      <c r="D55" s="2341"/>
      <c r="E55" s="2341"/>
      <c r="F55" s="2341"/>
      <c r="G55" s="2341"/>
      <c r="H55" s="2682"/>
      <c r="I55" s="2682"/>
      <c r="J55" s="2682"/>
      <c r="K55" s="2682"/>
      <c r="L55" s="2682"/>
      <c r="M55" s="2682"/>
      <c r="N55" s="2682"/>
      <c r="O55" s="2682"/>
      <c r="P55" s="2683"/>
      <c r="Q55" s="2341"/>
      <c r="R55" s="2682"/>
      <c r="S55" s="2682"/>
      <c r="T55" s="2683"/>
      <c r="U55" s="2341"/>
      <c r="V55" s="2682"/>
      <c r="W55" s="2683"/>
      <c r="X55" s="2684"/>
      <c r="Y55" s="24"/>
    </row>
    <row r="56" spans="1:76" x14ac:dyDescent="0.25">
      <c r="A56" s="5608"/>
      <c r="B56" s="6415" t="s">
        <v>516</v>
      </c>
      <c r="C56" s="6416" t="s">
        <v>77</v>
      </c>
      <c r="D56" s="6148"/>
      <c r="E56" s="6100"/>
      <c r="F56" s="6281" t="s">
        <v>29</v>
      </c>
      <c r="G56" s="6300"/>
      <c r="H56" s="6300"/>
      <c r="I56" s="6300"/>
      <c r="J56" s="6300"/>
      <c r="K56" s="6300"/>
      <c r="L56" s="6300"/>
      <c r="M56" s="6300"/>
      <c r="N56" s="6300"/>
      <c r="O56" s="6300"/>
      <c r="P56" s="6300"/>
      <c r="Q56" s="6300"/>
      <c r="R56" s="6300"/>
      <c r="S56" s="6300"/>
      <c r="T56" s="6300"/>
      <c r="U56" s="6300"/>
      <c r="V56" s="6300"/>
      <c r="W56" s="6314"/>
      <c r="X56" s="6099" t="s">
        <v>36</v>
      </c>
      <c r="Y56" s="6100" t="s">
        <v>37</v>
      </c>
    </row>
    <row r="57" spans="1:76" x14ac:dyDescent="0.25">
      <c r="A57" s="5608"/>
      <c r="B57" s="6350"/>
      <c r="C57" s="6214"/>
      <c r="D57" s="6150"/>
      <c r="E57" s="6028"/>
      <c r="F57" s="6404" t="s">
        <v>474</v>
      </c>
      <c r="G57" s="6404" t="s">
        <v>475</v>
      </c>
      <c r="H57" s="6100" t="s">
        <v>326</v>
      </c>
      <c r="I57" s="6349" t="s">
        <v>94</v>
      </c>
      <c r="J57" s="6349" t="s">
        <v>44</v>
      </c>
      <c r="K57" s="6100" t="s">
        <v>45</v>
      </c>
      <c r="L57" s="6100" t="s">
        <v>46</v>
      </c>
      <c r="M57" s="6100" t="s">
        <v>47</v>
      </c>
      <c r="N57" s="6100" t="s">
        <v>48</v>
      </c>
      <c r="O57" s="6100" t="s">
        <v>49</v>
      </c>
      <c r="P57" s="6100" t="s">
        <v>50</v>
      </c>
      <c r="Q57" s="6100" t="s">
        <v>51</v>
      </c>
      <c r="R57" s="6100" t="s">
        <v>52</v>
      </c>
      <c r="S57" s="6100" t="s">
        <v>53</v>
      </c>
      <c r="T57" s="6100" t="s">
        <v>54</v>
      </c>
      <c r="U57" s="6100" t="s">
        <v>55</v>
      </c>
      <c r="V57" s="6100" t="s">
        <v>56</v>
      </c>
      <c r="W57" s="6409" t="s">
        <v>476</v>
      </c>
      <c r="X57" s="6034"/>
      <c r="Y57" s="6027"/>
    </row>
    <row r="58" spans="1:76" x14ac:dyDescent="0.25">
      <c r="A58" s="5608"/>
      <c r="B58" s="6384"/>
      <c r="C58" s="2385" t="s">
        <v>79</v>
      </c>
      <c r="D58" s="2353" t="s">
        <v>58</v>
      </c>
      <c r="E58" s="2275" t="s">
        <v>59</v>
      </c>
      <c r="F58" s="6093"/>
      <c r="G58" s="6093"/>
      <c r="H58" s="6028"/>
      <c r="I58" s="6384"/>
      <c r="J58" s="6384"/>
      <c r="K58" s="6028"/>
      <c r="L58" s="6028"/>
      <c r="M58" s="6028"/>
      <c r="N58" s="6028"/>
      <c r="O58" s="6028"/>
      <c r="P58" s="6028"/>
      <c r="Q58" s="6028"/>
      <c r="R58" s="6028"/>
      <c r="S58" s="6028"/>
      <c r="T58" s="6028"/>
      <c r="U58" s="6028"/>
      <c r="V58" s="6028"/>
      <c r="W58" s="6410"/>
      <c r="X58" s="6035"/>
      <c r="Y58" s="6028"/>
    </row>
    <row r="59" spans="1:76" ht="15" customHeight="1" x14ac:dyDescent="0.25">
      <c r="A59" s="5606"/>
      <c r="B59" s="2685" t="s">
        <v>517</v>
      </c>
      <c r="C59" s="2614">
        <f>SUM(C60:C61)</f>
        <v>0</v>
      </c>
      <c r="D59" s="2615">
        <f>SUM(D60:D61)</f>
        <v>0</v>
      </c>
      <c r="E59" s="2686">
        <f t="shared" ref="E59:W59" si="49">SUM(E60:E61)</f>
        <v>0</v>
      </c>
      <c r="F59" s="2687">
        <f t="shared" si="49"/>
        <v>0</v>
      </c>
      <c r="G59" s="2687">
        <f t="shared" si="49"/>
        <v>0</v>
      </c>
      <c r="H59" s="2688">
        <f t="shared" si="49"/>
        <v>0</v>
      </c>
      <c r="I59" s="2687">
        <f t="shared" si="49"/>
        <v>0</v>
      </c>
      <c r="J59" s="2687">
        <f t="shared" si="49"/>
        <v>0</v>
      </c>
      <c r="K59" s="2649">
        <f t="shared" si="49"/>
        <v>0</v>
      </c>
      <c r="L59" s="2687">
        <f t="shared" si="49"/>
        <v>0</v>
      </c>
      <c r="M59" s="2649">
        <f t="shared" si="49"/>
        <v>0</v>
      </c>
      <c r="N59" s="2687">
        <f t="shared" si="49"/>
        <v>0</v>
      </c>
      <c r="O59" s="2649">
        <f t="shared" si="49"/>
        <v>0</v>
      </c>
      <c r="P59" s="2687">
        <f t="shared" si="49"/>
        <v>0</v>
      </c>
      <c r="Q59" s="2649">
        <f t="shared" si="49"/>
        <v>0</v>
      </c>
      <c r="R59" s="2687">
        <f t="shared" si="49"/>
        <v>0</v>
      </c>
      <c r="S59" s="2649">
        <f t="shared" si="49"/>
        <v>0</v>
      </c>
      <c r="T59" s="2687">
        <f t="shared" si="49"/>
        <v>0</v>
      </c>
      <c r="U59" s="2649">
        <f t="shared" si="49"/>
        <v>0</v>
      </c>
      <c r="V59" s="2687">
        <f t="shared" si="49"/>
        <v>0</v>
      </c>
      <c r="W59" s="2689">
        <f t="shared" si="49"/>
        <v>0</v>
      </c>
      <c r="X59" s="2690">
        <f>SUM(X60:X61)</f>
        <v>0</v>
      </c>
      <c r="Y59" s="2688">
        <f>SUM(Y60:Y61)</f>
        <v>0</v>
      </c>
    </row>
    <row r="60" spans="1:76" ht="15" customHeight="1" x14ac:dyDescent="0.25">
      <c r="A60" s="5633" t="s">
        <v>4837</v>
      </c>
      <c r="B60" s="2691" t="s">
        <v>64</v>
      </c>
      <c r="C60" s="302" t="s">
        <v>4567</v>
      </c>
      <c r="D60" s="5641" t="s">
        <v>4568</v>
      </c>
      <c r="E60" s="5642" t="s">
        <v>4569</v>
      </c>
      <c r="F60" s="2692" t="s">
        <v>4570</v>
      </c>
      <c r="G60" s="65" t="s">
        <v>4571</v>
      </c>
      <c r="H60" s="2692" t="s">
        <v>4572</v>
      </c>
      <c r="I60" s="65" t="s">
        <v>4573</v>
      </c>
      <c r="J60" s="2692" t="s">
        <v>4574</v>
      </c>
      <c r="K60" s="65" t="s">
        <v>4575</v>
      </c>
      <c r="L60" s="2692" t="s">
        <v>4576</v>
      </c>
      <c r="M60" s="65" t="s">
        <v>4577</v>
      </c>
      <c r="N60" s="2692" t="s">
        <v>4578</v>
      </c>
      <c r="O60" s="65" t="s">
        <v>4579</v>
      </c>
      <c r="P60" s="2692" t="s">
        <v>4580</v>
      </c>
      <c r="Q60" s="65" t="s">
        <v>4581</v>
      </c>
      <c r="R60" s="2692" t="s">
        <v>4582</v>
      </c>
      <c r="S60" s="65" t="s">
        <v>4583</v>
      </c>
      <c r="T60" s="2692" t="s">
        <v>4584</v>
      </c>
      <c r="U60" s="65" t="s">
        <v>4585</v>
      </c>
      <c r="V60" s="2692" t="s">
        <v>4586</v>
      </c>
      <c r="W60" s="370" t="s">
        <v>4587</v>
      </c>
      <c r="X60" s="296" t="s">
        <v>4588</v>
      </c>
      <c r="Y60" s="3004" t="s">
        <v>4589</v>
      </c>
      <c r="Z60" t="e">
        <f>BP60&amp;BQ60&amp;BR60</f>
        <v>#VALUE!</v>
      </c>
      <c r="BP60" s="83" t="str">
        <f>IF(AND(C60&gt;0,X60="")," * No olvide digitar la variable Pueblos originarios. Digite Cero si no tiene.",IF(X60&gt;C60,"  * La variable Pueblos originarios No puede ser mayor al Total.",""))</f>
        <v xml:space="preserve">  * La variable Pueblos originarios No puede ser mayor al Total.</v>
      </c>
      <c r="BQ60" s="83" t="str">
        <f>IF(AND(C60&gt;0,Y60="")," * No olvide digitar la variable Migrantes. Digite Cero si no tiene.",IF(Y60&gt;C60,"  * La variable Migrantes No puede ser mayor al Total.",""))</f>
        <v xml:space="preserve">  * La variable Migrantes No puede ser mayor al Total.</v>
      </c>
      <c r="BR60" s="2673" t="e">
        <f>IF((D60+E60)&lt;&gt;SUM(F60:W60)," * Los datos desglosados por edad debe ser igual al total de ambos sexos.","")</f>
        <v>#VALUE!</v>
      </c>
      <c r="BS60" s="2673"/>
      <c r="BT60" s="2673"/>
      <c r="BV60" s="2628">
        <f>IF(AND(C60&gt;0,X60=""),1,IF(X60&gt;C60,1,0))</f>
        <v>1</v>
      </c>
      <c r="BW60" s="2628">
        <f>IF(AND(C60&gt;0,Y60=""),1,IF(Y60&gt;C60,1,0))</f>
        <v>1</v>
      </c>
      <c r="BX60" s="2628" t="e">
        <f>IF((D60+E60)&lt;&gt;SUM(F60:W60),1,0)</f>
        <v>#VALUE!</v>
      </c>
    </row>
    <row r="61" spans="1:76" ht="15" customHeight="1" x14ac:dyDescent="0.25">
      <c r="A61" s="5633" t="s">
        <v>4838</v>
      </c>
      <c r="B61" s="2693" t="s">
        <v>518</v>
      </c>
      <c r="C61" s="302" t="s">
        <v>4567</v>
      </c>
      <c r="D61" s="5641" t="s">
        <v>4568</v>
      </c>
      <c r="E61" s="5642" t="s">
        <v>4569</v>
      </c>
      <c r="F61" s="2692" t="s">
        <v>4570</v>
      </c>
      <c r="G61" s="65" t="s">
        <v>4571</v>
      </c>
      <c r="H61" s="2692" t="s">
        <v>4572</v>
      </c>
      <c r="I61" s="65" t="s">
        <v>4573</v>
      </c>
      <c r="J61" s="2692" t="s">
        <v>4574</v>
      </c>
      <c r="K61" s="65" t="s">
        <v>4575</v>
      </c>
      <c r="L61" s="2692" t="s">
        <v>4576</v>
      </c>
      <c r="M61" s="65" t="s">
        <v>4577</v>
      </c>
      <c r="N61" s="2692" t="s">
        <v>4578</v>
      </c>
      <c r="O61" s="65" t="s">
        <v>4579</v>
      </c>
      <c r="P61" s="2692" t="s">
        <v>4580</v>
      </c>
      <c r="Q61" s="65" t="s">
        <v>4581</v>
      </c>
      <c r="R61" s="2692" t="s">
        <v>4582</v>
      </c>
      <c r="S61" s="65" t="s">
        <v>4583</v>
      </c>
      <c r="T61" s="2692" t="s">
        <v>4584</v>
      </c>
      <c r="U61" s="65" t="s">
        <v>4585</v>
      </c>
      <c r="V61" s="2692" t="s">
        <v>4586</v>
      </c>
      <c r="W61" s="370" t="s">
        <v>4587</v>
      </c>
      <c r="X61" s="296" t="s">
        <v>4588</v>
      </c>
      <c r="Y61" s="3004" t="s">
        <v>4589</v>
      </c>
      <c r="Z61" t="e">
        <f>BP61&amp;BQ61&amp;BR61</f>
        <v>#VALUE!</v>
      </c>
      <c r="BP61" s="83" t="str">
        <f>IF(AND(C61&gt;0,X61="")," * No olvide digitar la variable Pueblos originarios. Digite Cero si no tiene.",IF(X61&gt;C61,"  * La variable Pueblos originarios No puede ser mayor al Total.",""))</f>
        <v xml:space="preserve">  * La variable Pueblos originarios No puede ser mayor al Total.</v>
      </c>
      <c r="BQ61" s="83" t="str">
        <f>IF(AND(C61&gt;0,Y61="")," * No olvide digitar la variable Migrantes. Digite Cero si no tiene.",IF(Y61&gt;C61,"  * La variable Migrantes No puede ser mayor al Total.",""))</f>
        <v xml:space="preserve">  * La variable Migrantes No puede ser mayor al Total.</v>
      </c>
      <c r="BR61" s="2673" t="e">
        <f>IF((D61+E61)&lt;&gt;SUM(F61:W61)," * Los datos desglosados por edad debe ser igual al total de ambos sexos.","")</f>
        <v>#VALUE!</v>
      </c>
      <c r="BS61" s="2673"/>
      <c r="BT61" s="2673"/>
      <c r="BV61" s="2628">
        <f>IF(AND(C61&gt;0,X61=""),1,IF(X61&gt;C61,1,0))</f>
        <v>1</v>
      </c>
      <c r="BW61" s="2628">
        <f>IF(AND(C61&gt;0,Y61=""),1,IF(Y61&gt;C61,1,0))</f>
        <v>1</v>
      </c>
      <c r="BX61" s="2628" t="e">
        <f>IF((D61+E61)&lt;&gt;SUM(F61:W61),1,0)</f>
        <v>#VALUE!</v>
      </c>
    </row>
    <row r="62" spans="1:76" ht="15" customHeight="1" x14ac:dyDescent="0.25">
      <c r="A62" s="5606"/>
      <c r="B62" s="2695" t="s">
        <v>519</v>
      </c>
      <c r="C62" s="2696">
        <f>SUM(C63:C64)</f>
        <v>0</v>
      </c>
      <c r="D62" s="2697">
        <f>SUM(D63:D64)</f>
        <v>0</v>
      </c>
      <c r="E62" s="2686">
        <f t="shared" ref="E62:W62" si="50">SUM(E63:E64)</f>
        <v>0</v>
      </c>
      <c r="F62" s="2687">
        <f t="shared" si="50"/>
        <v>0</v>
      </c>
      <c r="G62" s="2649">
        <f t="shared" si="50"/>
        <v>0</v>
      </c>
      <c r="H62" s="2687">
        <f t="shared" si="50"/>
        <v>0</v>
      </c>
      <c r="I62" s="2649">
        <f t="shared" si="50"/>
        <v>0</v>
      </c>
      <c r="J62" s="2687">
        <f t="shared" si="50"/>
        <v>0</v>
      </c>
      <c r="K62" s="2649">
        <f t="shared" si="50"/>
        <v>0</v>
      </c>
      <c r="L62" s="2687">
        <f t="shared" si="50"/>
        <v>0</v>
      </c>
      <c r="M62" s="2649">
        <f t="shared" si="50"/>
        <v>0</v>
      </c>
      <c r="N62" s="2687">
        <f t="shared" si="50"/>
        <v>0</v>
      </c>
      <c r="O62" s="2649">
        <f t="shared" si="50"/>
        <v>0</v>
      </c>
      <c r="P62" s="2687">
        <f t="shared" si="50"/>
        <v>0</v>
      </c>
      <c r="Q62" s="2649">
        <f t="shared" si="50"/>
        <v>0</v>
      </c>
      <c r="R62" s="2687">
        <f t="shared" si="50"/>
        <v>0</v>
      </c>
      <c r="S62" s="2649">
        <f t="shared" si="50"/>
        <v>0</v>
      </c>
      <c r="T62" s="2687">
        <f t="shared" si="50"/>
        <v>0</v>
      </c>
      <c r="U62" s="2649">
        <f t="shared" si="50"/>
        <v>0</v>
      </c>
      <c r="V62" s="2687">
        <f t="shared" si="50"/>
        <v>0</v>
      </c>
      <c r="W62" s="2689">
        <f t="shared" si="50"/>
        <v>0</v>
      </c>
      <c r="X62" s="2690">
        <f>SUM(X63:X64)</f>
        <v>0</v>
      </c>
      <c r="Y62" s="2688">
        <f>SUM(Y63:Y64)</f>
        <v>0</v>
      </c>
    </row>
    <row r="63" spans="1:76" ht="15" customHeight="1" x14ac:dyDescent="0.25">
      <c r="A63" s="5633" t="s">
        <v>4839</v>
      </c>
      <c r="B63" s="2691" t="s">
        <v>64</v>
      </c>
      <c r="C63" s="302" t="s">
        <v>4567</v>
      </c>
      <c r="D63" s="5641" t="s">
        <v>4568</v>
      </c>
      <c r="E63" s="5642" t="s">
        <v>4569</v>
      </c>
      <c r="F63" s="2692" t="s">
        <v>4570</v>
      </c>
      <c r="G63" s="65" t="s">
        <v>4571</v>
      </c>
      <c r="H63" s="2692" t="s">
        <v>4572</v>
      </c>
      <c r="I63" s="65" t="s">
        <v>4573</v>
      </c>
      <c r="J63" s="2692" t="s">
        <v>4574</v>
      </c>
      <c r="K63" s="65" t="s">
        <v>4575</v>
      </c>
      <c r="L63" s="2692" t="s">
        <v>4576</v>
      </c>
      <c r="M63" s="65" t="s">
        <v>4577</v>
      </c>
      <c r="N63" s="2692" t="s">
        <v>4578</v>
      </c>
      <c r="O63" s="65" t="s">
        <v>4579</v>
      </c>
      <c r="P63" s="2692" t="s">
        <v>4580</v>
      </c>
      <c r="Q63" s="65" t="s">
        <v>4581</v>
      </c>
      <c r="R63" s="2692" t="s">
        <v>4582</v>
      </c>
      <c r="S63" s="65" t="s">
        <v>4583</v>
      </c>
      <c r="T63" s="2692" t="s">
        <v>4584</v>
      </c>
      <c r="U63" s="65" t="s">
        <v>4585</v>
      </c>
      <c r="V63" s="2692" t="s">
        <v>4586</v>
      </c>
      <c r="W63" s="370" t="s">
        <v>4587</v>
      </c>
      <c r="X63" s="296" t="s">
        <v>4588</v>
      </c>
      <c r="Y63" s="3004" t="s">
        <v>4589</v>
      </c>
      <c r="Z63" t="e">
        <f t="shared" ref="Z63:Z64" si="51">BP63&amp;BQ63&amp;BR63</f>
        <v>#VALUE!</v>
      </c>
      <c r="BP63" s="83" t="str">
        <f t="shared" ref="BP63:BP64" si="52">IF(AND(C63&gt;0,X63="")," * No olvide digitar la variable Pueblos originarios. Digite Cero si no tiene.",IF(X63&gt;C63,"  * La variable Pueblos originarios No puede ser mayor al Total.",""))</f>
        <v xml:space="preserve">  * La variable Pueblos originarios No puede ser mayor al Total.</v>
      </c>
      <c r="BQ63" s="83" t="str">
        <f t="shared" ref="BQ63:BQ64" si="53">IF(AND(C63&gt;0,Y63="")," * No olvide digitar la variable Migrantes. Digite Cero si no tiene.",IF(Y63&gt;C63,"  * La variable Migrantes No puede ser mayor al Total.",""))</f>
        <v xml:space="preserve">  * La variable Migrantes No puede ser mayor al Total.</v>
      </c>
      <c r="BR63" s="2673" t="e">
        <f>IF((D63+E63)&lt;&gt;SUM(F63:W63)," * Los datos desglosados por edad debe ser igual al total de ambos sexos.","")</f>
        <v>#VALUE!</v>
      </c>
      <c r="BS63" s="2673"/>
      <c r="BT63" s="2673"/>
      <c r="BV63" s="2628">
        <f t="shared" ref="BV63:BV64" si="54">IF(AND(C63&gt;0,X63=""),1,IF(X63&gt;C63,1,0))</f>
        <v>1</v>
      </c>
      <c r="BW63" s="2628">
        <f t="shared" ref="BW63:BW64" si="55">IF(AND(C63&gt;0,Y63=""),1,IF(Y63&gt;C63,1,0))</f>
        <v>1</v>
      </c>
      <c r="BX63" s="2628" t="e">
        <f t="shared" ref="BX63:BX64" si="56">IF((D63+E63)&lt;&gt;SUM(F63:W63),1,0)</f>
        <v>#VALUE!</v>
      </c>
    </row>
    <row r="64" spans="1:76" ht="15" customHeight="1" x14ac:dyDescent="0.25">
      <c r="A64" s="5633" t="s">
        <v>4840</v>
      </c>
      <c r="B64" s="2693" t="s">
        <v>518</v>
      </c>
      <c r="C64" s="302" t="s">
        <v>4567</v>
      </c>
      <c r="D64" s="5641" t="s">
        <v>4568</v>
      </c>
      <c r="E64" s="5642" t="s">
        <v>4569</v>
      </c>
      <c r="F64" s="2692" t="s">
        <v>4570</v>
      </c>
      <c r="G64" s="65" t="s">
        <v>4571</v>
      </c>
      <c r="H64" s="2692" t="s">
        <v>4572</v>
      </c>
      <c r="I64" s="65" t="s">
        <v>4573</v>
      </c>
      <c r="J64" s="2692" t="s">
        <v>4574</v>
      </c>
      <c r="K64" s="65" t="s">
        <v>4575</v>
      </c>
      <c r="L64" s="2692" t="s">
        <v>4576</v>
      </c>
      <c r="M64" s="65" t="s">
        <v>4577</v>
      </c>
      <c r="N64" s="2692" t="s">
        <v>4578</v>
      </c>
      <c r="O64" s="65" t="s">
        <v>4579</v>
      </c>
      <c r="P64" s="2692" t="s">
        <v>4580</v>
      </c>
      <c r="Q64" s="65" t="s">
        <v>4581</v>
      </c>
      <c r="R64" s="2692" t="s">
        <v>4582</v>
      </c>
      <c r="S64" s="65" t="s">
        <v>4583</v>
      </c>
      <c r="T64" s="2692" t="s">
        <v>4584</v>
      </c>
      <c r="U64" s="65" t="s">
        <v>4585</v>
      </c>
      <c r="V64" s="2692" t="s">
        <v>4586</v>
      </c>
      <c r="W64" s="370" t="s">
        <v>4587</v>
      </c>
      <c r="X64" s="296" t="s">
        <v>4588</v>
      </c>
      <c r="Y64" s="3004" t="s">
        <v>4589</v>
      </c>
      <c r="Z64" t="e">
        <f t="shared" si="51"/>
        <v>#VALUE!</v>
      </c>
      <c r="BP64" s="83" t="str">
        <f t="shared" si="52"/>
        <v xml:space="preserve">  * La variable Pueblos originarios No puede ser mayor al Total.</v>
      </c>
      <c r="BQ64" s="83" t="str">
        <f t="shared" si="53"/>
        <v xml:space="preserve">  * La variable Migrantes No puede ser mayor al Total.</v>
      </c>
      <c r="BR64" s="2673" t="e">
        <f>IF((D64+E64)&lt;&gt;SUM(F64:W64)," * Los datos desglosados por edad debe ser igual al total de ambos sexos.","")</f>
        <v>#VALUE!</v>
      </c>
      <c r="BS64" s="2673"/>
      <c r="BT64" s="2673"/>
      <c r="BV64" s="2628">
        <f t="shared" si="54"/>
        <v>1</v>
      </c>
      <c r="BW64" s="2628">
        <f t="shared" si="55"/>
        <v>1</v>
      </c>
      <c r="BX64" s="2628" t="e">
        <f t="shared" si="56"/>
        <v>#VALUE!</v>
      </c>
    </row>
    <row r="65" spans="1:78" ht="18" customHeight="1" x14ac:dyDescent="0.25">
      <c r="B65" s="2155" t="s">
        <v>520</v>
      </c>
      <c r="C65" s="91"/>
    </row>
    <row r="66" spans="1:78" ht="15" customHeight="1" x14ac:dyDescent="0.25">
      <c r="B66" s="2698" t="s">
        <v>27</v>
      </c>
      <c r="C66" s="2698" t="s">
        <v>77</v>
      </c>
    </row>
    <row r="67" spans="1:78" ht="15" customHeight="1" x14ac:dyDescent="0.25">
      <c r="A67" s="5633" t="s">
        <v>4841</v>
      </c>
      <c r="B67" s="2691" t="s">
        <v>64</v>
      </c>
      <c r="C67" s="2699" t="s">
        <v>4567</v>
      </c>
    </row>
    <row r="68" spans="1:78" ht="15" customHeight="1" x14ac:dyDescent="0.25">
      <c r="A68" s="5633" t="s">
        <v>4842</v>
      </c>
      <c r="B68" s="2284" t="s">
        <v>65</v>
      </c>
      <c r="C68" s="2700" t="s">
        <v>4567</v>
      </c>
    </row>
    <row r="69" spans="1:78" ht="18" customHeight="1" x14ac:dyDescent="0.25">
      <c r="B69" s="3" t="s">
        <v>521</v>
      </c>
      <c r="C69" s="91"/>
      <c r="D69" s="2701"/>
      <c r="E69" s="2701"/>
      <c r="F69" s="24"/>
      <c r="G69" s="24"/>
      <c r="H69" s="24"/>
      <c r="I69" s="24"/>
      <c r="J69" s="24"/>
      <c r="K69" s="2702"/>
      <c r="L69" s="2702"/>
      <c r="M69" s="2702"/>
      <c r="N69" s="2702"/>
      <c r="O69" s="2702"/>
      <c r="P69" s="2702"/>
      <c r="Q69" s="2702"/>
      <c r="R69" s="2702"/>
      <c r="S69" s="2702"/>
      <c r="T69" s="2702"/>
      <c r="U69" s="2703"/>
      <c r="V69" s="2703"/>
    </row>
    <row r="70" spans="1:78" ht="15" customHeight="1" x14ac:dyDescent="0.25">
      <c r="B70" s="6397" t="s">
        <v>301</v>
      </c>
      <c r="C70" s="6398"/>
      <c r="D70" s="6405" t="s">
        <v>77</v>
      </c>
      <c r="E70" s="6407"/>
      <c r="F70" s="6406"/>
      <c r="G70" s="6401" t="s">
        <v>101</v>
      </c>
      <c r="H70" s="6402"/>
      <c r="I70" s="6402"/>
      <c r="J70" s="6402"/>
      <c r="K70" s="6402"/>
      <c r="L70" s="6402"/>
      <c r="M70" s="6402"/>
      <c r="N70" s="6402"/>
      <c r="O70" s="6402"/>
      <c r="P70" s="6402"/>
      <c r="Q70" s="6402"/>
      <c r="R70" s="6402"/>
      <c r="S70" s="6402"/>
      <c r="T70" s="6402"/>
      <c r="U70" s="6402"/>
      <c r="V70" s="6402"/>
      <c r="W70" s="6402"/>
      <c r="X70" s="6402"/>
      <c r="Y70" s="6402"/>
      <c r="Z70" s="6402"/>
      <c r="AA70" s="6402"/>
      <c r="AB70" s="6402"/>
      <c r="AC70" s="6402"/>
      <c r="AD70" s="6402"/>
      <c r="AE70" s="6402"/>
      <c r="AF70" s="6402"/>
      <c r="AG70" s="6402"/>
      <c r="AH70" s="6402"/>
      <c r="AI70" s="6402"/>
      <c r="AJ70" s="6402"/>
      <c r="AK70" s="6402"/>
      <c r="AL70" s="6402"/>
      <c r="AM70" s="6402"/>
      <c r="AN70" s="6403"/>
    </row>
    <row r="71" spans="1:78" ht="15" customHeight="1" x14ac:dyDescent="0.25">
      <c r="B71" s="6399"/>
      <c r="C71" s="6331"/>
      <c r="D71" s="6408" t="s">
        <v>79</v>
      </c>
      <c r="E71" s="6493" t="s">
        <v>522</v>
      </c>
      <c r="F71" s="6027" t="s">
        <v>523</v>
      </c>
      <c r="G71" s="6405" t="s">
        <v>343</v>
      </c>
      <c r="H71" s="6406"/>
      <c r="I71" s="6407" t="s">
        <v>524</v>
      </c>
      <c r="J71" s="6407"/>
      <c r="K71" s="6405" t="s">
        <v>94</v>
      </c>
      <c r="L71" s="6406"/>
      <c r="M71" s="6407" t="s">
        <v>44</v>
      </c>
      <c r="N71" s="6407"/>
      <c r="O71" s="6405" t="s">
        <v>45</v>
      </c>
      <c r="P71" s="6406"/>
      <c r="Q71" s="6407" t="s">
        <v>46</v>
      </c>
      <c r="R71" s="6407"/>
      <c r="S71" s="6405" t="s">
        <v>47</v>
      </c>
      <c r="T71" s="6406"/>
      <c r="U71" s="6407" t="s">
        <v>48</v>
      </c>
      <c r="V71" s="6407"/>
      <c r="W71" s="6405" t="s">
        <v>49</v>
      </c>
      <c r="X71" s="6406"/>
      <c r="Y71" s="6407" t="s">
        <v>50</v>
      </c>
      <c r="Z71" s="6407"/>
      <c r="AA71" s="6405" t="s">
        <v>51</v>
      </c>
      <c r="AB71" s="6406"/>
      <c r="AC71" s="6407" t="s">
        <v>52</v>
      </c>
      <c r="AD71" s="6407"/>
      <c r="AE71" s="6405" t="s">
        <v>53</v>
      </c>
      <c r="AF71" s="6406"/>
      <c r="AG71" s="6407" t="s">
        <v>54</v>
      </c>
      <c r="AH71" s="6407"/>
      <c r="AI71" s="6405" t="s">
        <v>55</v>
      </c>
      <c r="AJ71" s="6406"/>
      <c r="AK71" s="6405" t="s">
        <v>56</v>
      </c>
      <c r="AL71" s="6406"/>
      <c r="AM71" s="6405" t="s">
        <v>476</v>
      </c>
      <c r="AN71" s="6406"/>
    </row>
    <row r="72" spans="1:78" ht="15" customHeight="1" x14ac:dyDescent="0.25">
      <c r="B72" s="6400"/>
      <c r="C72" s="6110"/>
      <c r="D72" s="6103"/>
      <c r="E72" s="6494"/>
      <c r="F72" s="6028"/>
      <c r="G72" s="467" t="s">
        <v>522</v>
      </c>
      <c r="H72" s="468" t="s">
        <v>523</v>
      </c>
      <c r="I72" s="547" t="s">
        <v>522</v>
      </c>
      <c r="J72" s="2704" t="s">
        <v>523</v>
      </c>
      <c r="K72" s="467" t="s">
        <v>522</v>
      </c>
      <c r="L72" s="468" t="s">
        <v>523</v>
      </c>
      <c r="M72" s="547" t="s">
        <v>522</v>
      </c>
      <c r="N72" s="2704" t="s">
        <v>523</v>
      </c>
      <c r="O72" s="467" t="s">
        <v>522</v>
      </c>
      <c r="P72" s="468" t="s">
        <v>523</v>
      </c>
      <c r="Q72" s="547" t="s">
        <v>522</v>
      </c>
      <c r="R72" s="2704" t="s">
        <v>523</v>
      </c>
      <c r="S72" s="467" t="s">
        <v>522</v>
      </c>
      <c r="T72" s="468" t="s">
        <v>523</v>
      </c>
      <c r="U72" s="547" t="s">
        <v>522</v>
      </c>
      <c r="V72" s="2704" t="s">
        <v>523</v>
      </c>
      <c r="W72" s="467" t="s">
        <v>522</v>
      </c>
      <c r="X72" s="468" t="s">
        <v>523</v>
      </c>
      <c r="Y72" s="547" t="s">
        <v>522</v>
      </c>
      <c r="Z72" s="2704" t="s">
        <v>523</v>
      </c>
      <c r="AA72" s="467" t="s">
        <v>522</v>
      </c>
      <c r="AB72" s="468" t="s">
        <v>523</v>
      </c>
      <c r="AC72" s="547" t="s">
        <v>522</v>
      </c>
      <c r="AD72" s="2704" t="s">
        <v>523</v>
      </c>
      <c r="AE72" s="467" t="s">
        <v>522</v>
      </c>
      <c r="AF72" s="468" t="s">
        <v>523</v>
      </c>
      <c r="AG72" s="547" t="s">
        <v>522</v>
      </c>
      <c r="AH72" s="2704" t="s">
        <v>523</v>
      </c>
      <c r="AI72" s="467" t="s">
        <v>522</v>
      </c>
      <c r="AJ72" s="468" t="s">
        <v>523</v>
      </c>
      <c r="AK72" s="467" t="s">
        <v>522</v>
      </c>
      <c r="AL72" s="468" t="s">
        <v>523</v>
      </c>
      <c r="AM72" s="467" t="s">
        <v>522</v>
      </c>
      <c r="AN72" s="468" t="s">
        <v>523</v>
      </c>
    </row>
    <row r="73" spans="1:78" ht="15" customHeight="1" x14ac:dyDescent="0.25">
      <c r="A73" s="5634" t="s">
        <v>4843</v>
      </c>
      <c r="B73" s="6488" t="s">
        <v>525</v>
      </c>
      <c r="C73" s="2705" t="s">
        <v>322</v>
      </c>
      <c r="D73" s="2706" t="s">
        <v>4567</v>
      </c>
      <c r="E73" s="2707" t="s">
        <v>4568</v>
      </c>
      <c r="F73" s="2708" t="s">
        <v>4569</v>
      </c>
      <c r="G73" s="2709" t="s">
        <v>4570</v>
      </c>
      <c r="H73" s="2710" t="s">
        <v>4571</v>
      </c>
      <c r="I73" s="2709" t="s">
        <v>4572</v>
      </c>
      <c r="J73" s="2711" t="s">
        <v>4573</v>
      </c>
      <c r="K73" s="2709" t="s">
        <v>4574</v>
      </c>
      <c r="L73" s="2711" t="s">
        <v>4575</v>
      </c>
      <c r="M73" s="2709" t="s">
        <v>4576</v>
      </c>
      <c r="N73" s="2711" t="s">
        <v>4577</v>
      </c>
      <c r="O73" s="2712" t="s">
        <v>4578</v>
      </c>
      <c r="P73" s="2713" t="s">
        <v>4579</v>
      </c>
      <c r="Q73" s="2709" t="s">
        <v>4580</v>
      </c>
      <c r="R73" s="2711" t="s">
        <v>4581</v>
      </c>
      <c r="S73" s="2712" t="s">
        <v>4582</v>
      </c>
      <c r="T73" s="2713" t="s">
        <v>4583</v>
      </c>
      <c r="U73" s="2709" t="s">
        <v>4584</v>
      </c>
      <c r="V73" s="2713" t="s">
        <v>4585</v>
      </c>
      <c r="W73" s="2709" t="s">
        <v>4586</v>
      </c>
      <c r="X73" s="2711" t="s">
        <v>4587</v>
      </c>
      <c r="Y73" s="2712" t="s">
        <v>4588</v>
      </c>
      <c r="Z73" s="2713" t="s">
        <v>4589</v>
      </c>
      <c r="AA73" s="2709" t="s">
        <v>4590</v>
      </c>
      <c r="AB73" s="2711" t="s">
        <v>4591</v>
      </c>
      <c r="AC73" s="2712" t="s">
        <v>4592</v>
      </c>
      <c r="AD73" s="2713" t="s">
        <v>4593</v>
      </c>
      <c r="AE73" s="2709" t="s">
        <v>4594</v>
      </c>
      <c r="AF73" s="2711" t="s">
        <v>4595</v>
      </c>
      <c r="AG73" s="2712" t="s">
        <v>4596</v>
      </c>
      <c r="AH73" s="2713" t="s">
        <v>4597</v>
      </c>
      <c r="AI73" s="2709" t="s">
        <v>4598</v>
      </c>
      <c r="AJ73" s="2711" t="s">
        <v>4599</v>
      </c>
      <c r="AK73" s="2709" t="s">
        <v>4600</v>
      </c>
      <c r="AL73" s="2711" t="s">
        <v>4601</v>
      </c>
      <c r="AM73" s="2709" t="s">
        <v>4602</v>
      </c>
      <c r="AN73" s="2711" t="s">
        <v>4603</v>
      </c>
    </row>
    <row r="74" spans="1:78" ht="15" customHeight="1" x14ac:dyDescent="0.25">
      <c r="A74" s="5634" t="s">
        <v>4844</v>
      </c>
      <c r="B74" s="6093"/>
      <c r="C74" s="1742" t="s">
        <v>526</v>
      </c>
      <c r="D74" s="2714" t="s">
        <v>4567</v>
      </c>
      <c r="E74" s="2715" t="s">
        <v>4568</v>
      </c>
      <c r="F74" s="2716" t="s">
        <v>4569</v>
      </c>
      <c r="G74" s="2717" t="s">
        <v>4570</v>
      </c>
      <c r="H74" s="2718" t="s">
        <v>4571</v>
      </c>
      <c r="I74" s="2717" t="s">
        <v>4572</v>
      </c>
      <c r="J74" s="2719" t="s">
        <v>4573</v>
      </c>
      <c r="K74" s="2717" t="s">
        <v>4574</v>
      </c>
      <c r="L74" s="2719" t="s">
        <v>4575</v>
      </c>
      <c r="M74" s="2717" t="s">
        <v>4576</v>
      </c>
      <c r="N74" s="2719" t="s">
        <v>4577</v>
      </c>
      <c r="O74" s="2720" t="s">
        <v>4578</v>
      </c>
      <c r="P74" s="2721" t="s">
        <v>4579</v>
      </c>
      <c r="Q74" s="2717" t="s">
        <v>4580</v>
      </c>
      <c r="R74" s="2719" t="s">
        <v>4581</v>
      </c>
      <c r="S74" s="2720" t="s">
        <v>4582</v>
      </c>
      <c r="T74" s="2721" t="s">
        <v>4583</v>
      </c>
      <c r="U74" s="2717" t="s">
        <v>4584</v>
      </c>
      <c r="V74" s="2721" t="s">
        <v>4585</v>
      </c>
      <c r="W74" s="2717" t="s">
        <v>4586</v>
      </c>
      <c r="X74" s="2719" t="s">
        <v>4587</v>
      </c>
      <c r="Y74" s="2720" t="s">
        <v>4588</v>
      </c>
      <c r="Z74" s="2721" t="s">
        <v>4589</v>
      </c>
      <c r="AA74" s="2717" t="s">
        <v>4590</v>
      </c>
      <c r="AB74" s="2719" t="s">
        <v>4591</v>
      </c>
      <c r="AC74" s="2720" t="s">
        <v>4592</v>
      </c>
      <c r="AD74" s="2721" t="s">
        <v>4593</v>
      </c>
      <c r="AE74" s="2717" t="s">
        <v>4594</v>
      </c>
      <c r="AF74" s="2719" t="s">
        <v>4595</v>
      </c>
      <c r="AG74" s="2720" t="s">
        <v>4596</v>
      </c>
      <c r="AH74" s="2721" t="s">
        <v>4597</v>
      </c>
      <c r="AI74" s="2717" t="s">
        <v>4598</v>
      </c>
      <c r="AJ74" s="2719" t="s">
        <v>4599</v>
      </c>
      <c r="AK74" s="2717" t="s">
        <v>4600</v>
      </c>
      <c r="AL74" s="2719" t="s">
        <v>4601</v>
      </c>
      <c r="AM74" s="2717" t="s">
        <v>4602</v>
      </c>
      <c r="AN74" s="2719" t="s">
        <v>4603</v>
      </c>
    </row>
    <row r="75" spans="1:78" ht="15" customHeight="1" x14ac:dyDescent="0.25">
      <c r="A75" s="5616"/>
      <c r="B75" s="6419" t="s">
        <v>77</v>
      </c>
      <c r="C75" s="6419"/>
      <c r="D75" s="2722">
        <f>SUM(E75:F75)</f>
        <v>0</v>
      </c>
      <c r="E75" s="2715">
        <f>SUM(G75,I75,K75,M75,O75,Q75,S75,U75,W75,Y75,AA75,AC75,AE75,AG75,AI75,AK75,AM75)</f>
        <v>0</v>
      </c>
      <c r="F75" s="412">
        <f>SUM(H75,J75,L75,N75,P75,R75,T75,V75,X75,Z75,AB75,AD75,AF75,,AH75,AJ75,AL75,AN75)</f>
        <v>0</v>
      </c>
      <c r="G75" s="2723">
        <f t="shared" ref="G75:AN75" si="57">SUM(G73:G74)</f>
        <v>0</v>
      </c>
      <c r="H75" s="2724">
        <f t="shared" si="57"/>
        <v>0</v>
      </c>
      <c r="I75" s="2723">
        <f t="shared" si="57"/>
        <v>0</v>
      </c>
      <c r="J75" s="2724">
        <f t="shared" si="57"/>
        <v>0</v>
      </c>
      <c r="K75" s="2723">
        <f t="shared" si="57"/>
        <v>0</v>
      </c>
      <c r="L75" s="2724">
        <f t="shared" si="57"/>
        <v>0</v>
      </c>
      <c r="M75" s="2723">
        <f t="shared" si="57"/>
        <v>0</v>
      </c>
      <c r="N75" s="2724">
        <f t="shared" si="57"/>
        <v>0</v>
      </c>
      <c r="O75" s="2723">
        <f t="shared" si="57"/>
        <v>0</v>
      </c>
      <c r="P75" s="2724">
        <f t="shared" si="57"/>
        <v>0</v>
      </c>
      <c r="Q75" s="2723">
        <f t="shared" si="57"/>
        <v>0</v>
      </c>
      <c r="R75" s="2724">
        <f t="shared" si="57"/>
        <v>0</v>
      </c>
      <c r="S75" s="2723">
        <f t="shared" si="57"/>
        <v>0</v>
      </c>
      <c r="T75" s="2724">
        <f t="shared" si="57"/>
        <v>0</v>
      </c>
      <c r="U75" s="2723">
        <f t="shared" si="57"/>
        <v>0</v>
      </c>
      <c r="V75" s="2724">
        <f t="shared" si="57"/>
        <v>0</v>
      </c>
      <c r="W75" s="2723">
        <f t="shared" si="57"/>
        <v>0</v>
      </c>
      <c r="X75" s="2724">
        <f t="shared" si="57"/>
        <v>0</v>
      </c>
      <c r="Y75" s="2723">
        <f t="shared" si="57"/>
        <v>0</v>
      </c>
      <c r="Z75" s="2724">
        <f t="shared" si="57"/>
        <v>0</v>
      </c>
      <c r="AA75" s="2723">
        <f t="shared" si="57"/>
        <v>0</v>
      </c>
      <c r="AB75" s="2724">
        <f t="shared" si="57"/>
        <v>0</v>
      </c>
      <c r="AC75" s="2723">
        <f t="shared" si="57"/>
        <v>0</v>
      </c>
      <c r="AD75" s="2724">
        <f t="shared" si="57"/>
        <v>0</v>
      </c>
      <c r="AE75" s="2723">
        <f t="shared" si="57"/>
        <v>0</v>
      </c>
      <c r="AF75" s="2724">
        <f t="shared" si="57"/>
        <v>0</v>
      </c>
      <c r="AG75" s="2723">
        <f t="shared" si="57"/>
        <v>0</v>
      </c>
      <c r="AH75" s="2724">
        <f t="shared" si="57"/>
        <v>0</v>
      </c>
      <c r="AI75" s="2723">
        <f t="shared" si="57"/>
        <v>0</v>
      </c>
      <c r="AJ75" s="2724">
        <f t="shared" si="57"/>
        <v>0</v>
      </c>
      <c r="AK75" s="2723">
        <f t="shared" si="57"/>
        <v>0</v>
      </c>
      <c r="AL75" s="2724">
        <f t="shared" si="57"/>
        <v>0</v>
      </c>
      <c r="AM75" s="2723">
        <f t="shared" si="57"/>
        <v>0</v>
      </c>
      <c r="AN75" s="2724">
        <f t="shared" si="57"/>
        <v>0</v>
      </c>
      <c r="BP75" s="19"/>
      <c r="BQ75" s="19"/>
    </row>
    <row r="76" spans="1:78" ht="18" customHeight="1" x14ac:dyDescent="0.25">
      <c r="A76" s="5548"/>
      <c r="B76" s="6414" t="s">
        <v>527</v>
      </c>
      <c r="C76" s="6414"/>
      <c r="D76" s="6414"/>
      <c r="E76" s="6414"/>
      <c r="F76" s="6414"/>
      <c r="G76" s="6414"/>
      <c r="H76" s="6414"/>
      <c r="I76" s="91"/>
      <c r="J76" s="91"/>
      <c r="K76" s="91"/>
      <c r="L76" s="91"/>
      <c r="M76" s="91"/>
      <c r="N76" s="91"/>
      <c r="O76" s="24"/>
      <c r="P76" s="24"/>
      <c r="Q76" s="24"/>
      <c r="R76" s="2725"/>
      <c r="S76" s="2725"/>
      <c r="T76" s="2725"/>
      <c r="U76" s="2725"/>
      <c r="V76" s="2725"/>
      <c r="W76" s="2725"/>
      <c r="X76" s="24"/>
      <c r="Y76" s="2725"/>
      <c r="Z76" s="2725"/>
      <c r="AA76" s="2725"/>
      <c r="AB76" s="2726"/>
      <c r="AC76" s="2726"/>
      <c r="AD76" s="2726"/>
      <c r="AE76" s="2726"/>
      <c r="AF76" s="2727"/>
      <c r="AG76" s="2727"/>
      <c r="AH76" s="2727"/>
      <c r="AI76" s="2728"/>
      <c r="AJ76" s="2729"/>
      <c r="AK76" s="2729"/>
      <c r="AL76" s="2729"/>
      <c r="AM76" s="2729"/>
      <c r="AN76" s="2729"/>
      <c r="AO76" s="2729"/>
    </row>
    <row r="77" spans="1:78" ht="15" customHeight="1" x14ac:dyDescent="0.25">
      <c r="A77" s="5548"/>
      <c r="B77" s="6415" t="s">
        <v>27</v>
      </c>
      <c r="C77" s="6416" t="s">
        <v>528</v>
      </c>
      <c r="D77" s="6416" t="s">
        <v>77</v>
      </c>
      <c r="E77" s="6148"/>
      <c r="F77" s="6100"/>
      <c r="G77" s="6411" t="s">
        <v>101</v>
      </c>
      <c r="H77" s="6300"/>
      <c r="I77" s="6300"/>
      <c r="J77" s="6300"/>
      <c r="K77" s="6300"/>
      <c r="L77" s="6300"/>
      <c r="M77" s="6300"/>
      <c r="N77" s="6300"/>
      <c r="O77" s="6300"/>
      <c r="P77" s="6300"/>
      <c r="Q77" s="6300"/>
      <c r="R77" s="6300"/>
      <c r="S77" s="6300"/>
      <c r="T77" s="6300"/>
      <c r="U77" s="6300"/>
      <c r="V77" s="6300"/>
      <c r="W77" s="6300"/>
      <c r="X77" s="6300"/>
      <c r="Y77" s="6300"/>
      <c r="Z77" s="6300"/>
      <c r="AA77" s="6300"/>
      <c r="AB77" s="6300"/>
      <c r="AC77" s="6300"/>
      <c r="AD77" s="6300"/>
      <c r="AE77" s="6300"/>
      <c r="AF77" s="6300"/>
      <c r="AG77" s="6300"/>
      <c r="AH77" s="6300"/>
      <c r="AI77" s="6300"/>
      <c r="AJ77" s="6314"/>
      <c r="AK77" s="6099" t="s">
        <v>453</v>
      </c>
      <c r="AL77" s="6385" t="s">
        <v>67</v>
      </c>
      <c r="AM77" s="6385" t="s">
        <v>36</v>
      </c>
      <c r="AN77" s="6385" t="s">
        <v>37</v>
      </c>
      <c r="AO77" s="6100" t="s">
        <v>33</v>
      </c>
    </row>
    <row r="78" spans="1:78" ht="15" customHeight="1" x14ac:dyDescent="0.25">
      <c r="A78" s="5548"/>
      <c r="B78" s="6350"/>
      <c r="C78" s="6213"/>
      <c r="D78" s="6214"/>
      <c r="E78" s="6150"/>
      <c r="F78" s="6028"/>
      <c r="G78" s="6411" t="s">
        <v>529</v>
      </c>
      <c r="H78" s="6412"/>
      <c r="I78" s="6411" t="s">
        <v>325</v>
      </c>
      <c r="J78" s="6412"/>
      <c r="K78" s="6405" t="s">
        <v>326</v>
      </c>
      <c r="L78" s="6413"/>
      <c r="M78" s="6405" t="s">
        <v>94</v>
      </c>
      <c r="N78" s="6413"/>
      <c r="O78" s="6411" t="s">
        <v>530</v>
      </c>
      <c r="P78" s="6412"/>
      <c r="Q78" s="6411" t="s">
        <v>531</v>
      </c>
      <c r="R78" s="6412"/>
      <c r="S78" s="6405" t="s">
        <v>45</v>
      </c>
      <c r="T78" s="6413"/>
      <c r="U78" s="6405" t="s">
        <v>46</v>
      </c>
      <c r="V78" s="6413"/>
      <c r="W78" s="6405" t="s">
        <v>47</v>
      </c>
      <c r="X78" s="6413"/>
      <c r="Y78" s="6405" t="s">
        <v>48</v>
      </c>
      <c r="Z78" s="6413"/>
      <c r="AA78" s="6405" t="s">
        <v>49</v>
      </c>
      <c r="AB78" s="6413"/>
      <c r="AC78" s="6405" t="s">
        <v>50</v>
      </c>
      <c r="AD78" s="6413"/>
      <c r="AE78" s="6405" t="s">
        <v>51</v>
      </c>
      <c r="AF78" s="6413"/>
      <c r="AG78" s="6405" t="s">
        <v>52</v>
      </c>
      <c r="AH78" s="6413"/>
      <c r="AI78" s="6405" t="s">
        <v>53</v>
      </c>
      <c r="AJ78" s="6413"/>
      <c r="AK78" s="6034"/>
      <c r="AL78" s="6386"/>
      <c r="AM78" s="6386"/>
      <c r="AN78" s="6386"/>
      <c r="AO78" s="6027"/>
    </row>
    <row r="79" spans="1:78" ht="15" customHeight="1" x14ac:dyDescent="0.25">
      <c r="A79" s="5548"/>
      <c r="B79" s="6384"/>
      <c r="C79" s="6214"/>
      <c r="D79" s="467" t="s">
        <v>79</v>
      </c>
      <c r="E79" s="547" t="s">
        <v>58</v>
      </c>
      <c r="F79" s="2730" t="s">
        <v>59</v>
      </c>
      <c r="G79" s="467" t="s">
        <v>58</v>
      </c>
      <c r="H79" s="2730" t="s">
        <v>59</v>
      </c>
      <c r="I79" s="547" t="s">
        <v>58</v>
      </c>
      <c r="J79" s="2730" t="s">
        <v>59</v>
      </c>
      <c r="K79" s="467" t="s">
        <v>58</v>
      </c>
      <c r="L79" s="2730" t="s">
        <v>59</v>
      </c>
      <c r="M79" s="467" t="s">
        <v>58</v>
      </c>
      <c r="N79" s="2730" t="s">
        <v>59</v>
      </c>
      <c r="O79" s="467" t="s">
        <v>58</v>
      </c>
      <c r="P79" s="2730" t="s">
        <v>59</v>
      </c>
      <c r="Q79" s="467" t="s">
        <v>58</v>
      </c>
      <c r="R79" s="2730" t="s">
        <v>59</v>
      </c>
      <c r="S79" s="467" t="s">
        <v>58</v>
      </c>
      <c r="T79" s="2730" t="s">
        <v>59</v>
      </c>
      <c r="U79" s="467" t="s">
        <v>58</v>
      </c>
      <c r="V79" s="2730" t="s">
        <v>59</v>
      </c>
      <c r="W79" s="467" t="s">
        <v>58</v>
      </c>
      <c r="X79" s="2730" t="s">
        <v>59</v>
      </c>
      <c r="Y79" s="467" t="s">
        <v>58</v>
      </c>
      <c r="Z79" s="2730" t="s">
        <v>59</v>
      </c>
      <c r="AA79" s="467" t="s">
        <v>58</v>
      </c>
      <c r="AB79" s="2730" t="s">
        <v>59</v>
      </c>
      <c r="AC79" s="467" t="s">
        <v>58</v>
      </c>
      <c r="AD79" s="2730" t="s">
        <v>59</v>
      </c>
      <c r="AE79" s="467" t="s">
        <v>58</v>
      </c>
      <c r="AF79" s="2730" t="s">
        <v>59</v>
      </c>
      <c r="AG79" s="467" t="s">
        <v>58</v>
      </c>
      <c r="AH79" s="2730" t="s">
        <v>59</v>
      </c>
      <c r="AI79" s="467" t="s">
        <v>58</v>
      </c>
      <c r="AJ79" s="465" t="s">
        <v>59</v>
      </c>
      <c r="AK79" s="6035"/>
      <c r="AL79" s="6086"/>
      <c r="AM79" s="6086"/>
      <c r="AN79" s="6086"/>
      <c r="AO79" s="6028"/>
    </row>
    <row r="80" spans="1:78" ht="15" customHeight="1" x14ac:dyDescent="0.25">
      <c r="A80" s="5633" t="s">
        <v>4845</v>
      </c>
      <c r="B80" s="2731" t="s">
        <v>532</v>
      </c>
      <c r="C80" s="2732" t="s">
        <v>533</v>
      </c>
      <c r="D80" s="609" t="s">
        <v>4567</v>
      </c>
      <c r="E80" s="2733" t="s">
        <v>4568</v>
      </c>
      <c r="F80" s="2686" t="s">
        <v>4569</v>
      </c>
      <c r="G80" s="1906" t="s">
        <v>4570</v>
      </c>
      <c r="H80" s="2734" t="s">
        <v>4571</v>
      </c>
      <c r="I80" s="2053" t="s">
        <v>4572</v>
      </c>
      <c r="J80" s="2734" t="s">
        <v>4573</v>
      </c>
      <c r="K80" s="1906" t="s">
        <v>4574</v>
      </c>
      <c r="L80" s="324" t="s">
        <v>4575</v>
      </c>
      <c r="M80" s="1906" t="s">
        <v>4576</v>
      </c>
      <c r="N80" s="324" t="s">
        <v>4577</v>
      </c>
      <c r="O80" s="1906" t="s">
        <v>4578</v>
      </c>
      <c r="P80" s="324" t="s">
        <v>4579</v>
      </c>
      <c r="Q80" s="1906" t="s">
        <v>4580</v>
      </c>
      <c r="R80" s="324" t="s">
        <v>4581</v>
      </c>
      <c r="S80" s="1906" t="s">
        <v>4582</v>
      </c>
      <c r="T80" s="324" t="s">
        <v>4583</v>
      </c>
      <c r="U80" s="1906" t="s">
        <v>4584</v>
      </c>
      <c r="V80" s="324" t="s">
        <v>4585</v>
      </c>
      <c r="W80" s="1906" t="s">
        <v>4586</v>
      </c>
      <c r="X80" s="324" t="s">
        <v>4587</v>
      </c>
      <c r="Y80" s="1906" t="s">
        <v>4588</v>
      </c>
      <c r="Z80" s="324" t="s">
        <v>4589</v>
      </c>
      <c r="AA80" s="1906" t="s">
        <v>4590</v>
      </c>
      <c r="AB80" s="324" t="s">
        <v>4591</v>
      </c>
      <c r="AC80" s="1906" t="s">
        <v>4592</v>
      </c>
      <c r="AD80" s="324" t="s">
        <v>4593</v>
      </c>
      <c r="AE80" s="1906" t="s">
        <v>4594</v>
      </c>
      <c r="AF80" s="324" t="s">
        <v>4595</v>
      </c>
      <c r="AG80" s="1906" t="s">
        <v>4596</v>
      </c>
      <c r="AH80" s="324" t="s">
        <v>4597</v>
      </c>
      <c r="AI80" s="1906" t="s">
        <v>4598</v>
      </c>
      <c r="AJ80" s="325" t="s">
        <v>4599</v>
      </c>
      <c r="AK80" s="2075" t="s">
        <v>4600</v>
      </c>
      <c r="AL80" s="1880" t="s">
        <v>4601</v>
      </c>
      <c r="AM80" s="1880" t="s">
        <v>4602</v>
      </c>
      <c r="AN80" s="1880" t="s">
        <v>4603</v>
      </c>
      <c r="AO80" s="2734" t="s">
        <v>4604</v>
      </c>
      <c r="AP80" t="str">
        <f>BP80&amp;BQ80&amp;BR80&amp;BS80&amp;BT80</f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0" s="83" t="str">
        <f>IF(AND(F80&gt;0,AK80="")," *  No olvide digitar la variable Gestantes. Digite Cero si no tiene.",IF(AK80&gt;F80,"  * La variable Gestantes No puede ser mayor al Total Mujeres.",""))</f>
        <v xml:space="preserve">  * La variable Gestantes No puede ser mayor al Total Mujeres.</v>
      </c>
      <c r="BQ80" s="83" t="str">
        <f>IF(AND(F80&gt;0,AL80="")," *  No olvide digitar la variable Postparto. Digite Cero si no tiene.",IF(AL80&gt;F80,"  * La variable Postparto No puede ser mayor al Total Mujeres.",""))</f>
        <v xml:space="preserve">  * La variable Postparto No puede ser mayor al Total Mujeres.</v>
      </c>
      <c r="BR80" s="83" t="str">
        <f>IF(AND(D80&gt;0,AM80="")," *  No olvide digitar la variable Pueblos originarios. Digite Cero si no tiene.",IF(AM80&gt;D80,"  * La variable Pueblos originarios No puede ser mayor al Total.",""))</f>
        <v xml:space="preserve">  * La variable Pueblos originarios No puede ser mayor al Total.</v>
      </c>
      <c r="BS80" s="83" t="str">
        <f>IF(AND(D80&gt;0,AN80="")," *  No olvide digitar la variable Migrantes. Digite Cero si no tiene.",IF(AN80&gt;D80,"  * La variable Migrantes No puede ser mayor al Total.",""))</f>
        <v xml:space="preserve">  * La variable Migrantes No puede ser mayor al Total.</v>
      </c>
      <c r="BT80" s="83" t="str">
        <f>IF(AND(D80&gt;0,AO80="")," *  No olvide digitar la variable Espacios Amigables/adolescentes. Digite Cero si no tiene.",IF(AO80&gt;D80,"  * La variable Espacios Amigables/adolescentes No puede ser mayor al Total.",""))</f>
        <v xml:space="preserve">  * La variable Espacios Amigables/adolescentes No puede ser mayor al Total.</v>
      </c>
      <c r="BV80" s="2628">
        <f>IF(AND(F80&gt;0,AK80=""),1,IF(AK80&gt;F80,1,0))</f>
        <v>1</v>
      </c>
      <c r="BW80" s="2628">
        <f>IF(AND(F80&gt;0,AL80=""),1,IF(AL80&gt;F80,1,0))</f>
        <v>1</v>
      </c>
      <c r="BX80" s="2628">
        <f>IF(AND(D80&gt;0,AM80=""),1,IF(AM80&gt;D80,1,0))</f>
        <v>1</v>
      </c>
      <c r="BY80" s="2628">
        <f>IF(AND(D80&gt;0,AN80=""),1,IF(AN80&gt;D80,1,0))</f>
        <v>1</v>
      </c>
      <c r="BZ80" s="2628">
        <f>IF(AND(D80&gt;0,AO80=""),1,IF(AO80&gt;D80,1,0))</f>
        <v>1</v>
      </c>
    </row>
    <row r="81" spans="1:78" ht="15" customHeight="1" x14ac:dyDescent="0.25">
      <c r="A81" s="5633" t="s">
        <v>4846</v>
      </c>
      <c r="B81" s="6421" t="s">
        <v>534</v>
      </c>
      <c r="C81" s="2736" t="s">
        <v>535</v>
      </c>
      <c r="D81" s="302" t="s">
        <v>4567</v>
      </c>
      <c r="E81" s="41" t="s">
        <v>4568</v>
      </c>
      <c r="F81" s="615" t="s">
        <v>4569</v>
      </c>
      <c r="G81" s="326" t="s">
        <v>4570</v>
      </c>
      <c r="H81" s="142" t="s">
        <v>4571</v>
      </c>
      <c r="I81" s="44" t="s">
        <v>4572</v>
      </c>
      <c r="J81" s="142" t="s">
        <v>4573</v>
      </c>
      <c r="K81" s="326" t="s">
        <v>4574</v>
      </c>
      <c r="L81" s="882" t="s">
        <v>4575</v>
      </c>
      <c r="M81" s="326" t="s">
        <v>4576</v>
      </c>
      <c r="N81" s="882" t="s">
        <v>4577</v>
      </c>
      <c r="O81" s="326" t="s">
        <v>4578</v>
      </c>
      <c r="P81" s="882" t="s">
        <v>4579</v>
      </c>
      <c r="Q81" s="326" t="s">
        <v>4580</v>
      </c>
      <c r="R81" s="882" t="s">
        <v>4581</v>
      </c>
      <c r="S81" s="326" t="s">
        <v>4582</v>
      </c>
      <c r="T81" s="882" t="s">
        <v>4583</v>
      </c>
      <c r="U81" s="326" t="s">
        <v>4584</v>
      </c>
      <c r="V81" s="882" t="s">
        <v>4585</v>
      </c>
      <c r="W81" s="326" t="s">
        <v>4586</v>
      </c>
      <c r="X81" s="882" t="s">
        <v>4587</v>
      </c>
      <c r="Y81" s="326" t="s">
        <v>4588</v>
      </c>
      <c r="Z81" s="882" t="s">
        <v>4589</v>
      </c>
      <c r="AA81" s="326" t="s">
        <v>4590</v>
      </c>
      <c r="AB81" s="882" t="s">
        <v>4591</v>
      </c>
      <c r="AC81" s="326" t="s">
        <v>4592</v>
      </c>
      <c r="AD81" s="882" t="s">
        <v>4593</v>
      </c>
      <c r="AE81" s="326" t="s">
        <v>4594</v>
      </c>
      <c r="AF81" s="882" t="s">
        <v>4595</v>
      </c>
      <c r="AG81" s="326" t="s">
        <v>4596</v>
      </c>
      <c r="AH81" s="882" t="s">
        <v>4597</v>
      </c>
      <c r="AI81" s="326" t="s">
        <v>4598</v>
      </c>
      <c r="AJ81" s="1001" t="s">
        <v>4599</v>
      </c>
      <c r="AK81" s="336" t="s">
        <v>4600</v>
      </c>
      <c r="AL81" s="1014" t="s">
        <v>4601</v>
      </c>
      <c r="AM81" s="1014" t="s">
        <v>4602</v>
      </c>
      <c r="AN81" s="1014" t="s">
        <v>4603</v>
      </c>
      <c r="AO81" s="142" t="s">
        <v>4604</v>
      </c>
      <c r="AP81" t="str">
        <f t="shared" ref="AP81:AP83" si="58">BP81&amp;BQ81&amp;BR81&amp;BS81&amp;BT81</f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1" s="83" t="str">
        <f t="shared" ref="BP81:BP82" si="59">IF(AND(F81&gt;0,AK81="")," *  No olvide digitar la variable Gestantes. Digite Cero si no tiene.",IF(AK81&gt;F81,"  * La variable Gestantes No puede ser mayor al Total Mujeres.",""))</f>
        <v xml:space="preserve">  * La variable Gestantes No puede ser mayor al Total Mujeres.</v>
      </c>
      <c r="BQ81" s="83" t="str">
        <f t="shared" ref="BQ81:BQ83" si="60">IF(AND(F81&gt;0,AL81="")," *  No olvide digitar la variable Postparto. Digite Cero si no tiene.",IF(AL81&gt;F81,"  * La variable Postparto No puede ser mayor al Total Mujeres.",""))</f>
        <v xml:space="preserve">  * La variable Postparto No puede ser mayor al Total Mujeres.</v>
      </c>
      <c r="BR81" s="83" t="str">
        <f t="shared" ref="BR81:BR83" si="61">IF(AND(D81&gt;0,AM81="")," *  No olvide digitar la variable Pueblos originarios. Digite Cero si no tiene.",IF(AM81&gt;D81,"  * La variable Pueblos originarios No puede ser mayor al Total.",""))</f>
        <v xml:space="preserve">  * La variable Pueblos originarios No puede ser mayor al Total.</v>
      </c>
      <c r="BS81" s="83" t="str">
        <f t="shared" ref="BS81:BS83" si="62">IF(AND(D81&gt;0,AN81="")," *  No olvide digitar la variable Migrantes. Digite Cero si no tiene.",IF(AN81&gt;D81,"  * La variable Migrantes No puede ser mayor al Total.",""))</f>
        <v xml:space="preserve">  * La variable Migrantes No puede ser mayor al Total.</v>
      </c>
      <c r="BT81" s="83" t="str">
        <f t="shared" ref="BT81:BT83" si="63">IF(AND(D81&gt;0,AO81="")," *  No olvide digitar la variable Espacios Amigables/adolescentes. Digite Cero si no tiene.",IF(AO81&gt;D81,"  * La variable Espacios Amigables/adolescentes No puede ser mayor al Total.",""))</f>
        <v xml:space="preserve">  * La variable Espacios Amigables/adolescentes No puede ser mayor al Total.</v>
      </c>
      <c r="BV81" s="2628">
        <f t="shared" ref="BV81:BV83" si="64">IF(AND(F81&gt;0,AK81=""),1,IF(AK81&gt;F81,1,0))</f>
        <v>1</v>
      </c>
      <c r="BW81" s="2628">
        <f t="shared" ref="BW81:BW83" si="65">IF(AND(F81&gt;0,AL81=""),1,IF(AL81&gt;F81,1,0))</f>
        <v>1</v>
      </c>
      <c r="BX81" s="2628">
        <f t="shared" ref="BX81:BX83" si="66">IF(AND(D81&gt;0,AM81=""),1,IF(AM81&gt;D81,1,0))</f>
        <v>1</v>
      </c>
      <c r="BY81" s="2628">
        <f t="shared" ref="BY81:BY83" si="67">IF(AND(D81&gt;0,AN81=""),1,IF(AN81&gt;D81,1,0))</f>
        <v>1</v>
      </c>
      <c r="BZ81" s="2628">
        <f t="shared" ref="BZ81:BZ83" si="68">IF(AND(D81&gt;0,AO81=""),1,IF(AO81&gt;D81,1,0))</f>
        <v>1</v>
      </c>
    </row>
    <row r="82" spans="1:78" ht="15" customHeight="1" x14ac:dyDescent="0.25">
      <c r="A82" s="5633" t="s">
        <v>4847</v>
      </c>
      <c r="B82" s="6421"/>
      <c r="C82" s="360" t="s">
        <v>536</v>
      </c>
      <c r="D82" s="199" t="s">
        <v>4567</v>
      </c>
      <c r="E82" s="41" t="s">
        <v>4568</v>
      </c>
      <c r="F82" s="615" t="s">
        <v>4569</v>
      </c>
      <c r="G82" s="212" t="s">
        <v>4570</v>
      </c>
      <c r="H82" s="34" t="s">
        <v>4571</v>
      </c>
      <c r="I82" s="1137" t="s">
        <v>4572</v>
      </c>
      <c r="J82" s="34" t="s">
        <v>4573</v>
      </c>
      <c r="K82" s="212" t="s">
        <v>4574</v>
      </c>
      <c r="L82" s="1136" t="s">
        <v>4575</v>
      </c>
      <c r="M82" s="212" t="s">
        <v>4576</v>
      </c>
      <c r="N82" s="1136" t="s">
        <v>4577</v>
      </c>
      <c r="O82" s="212" t="s">
        <v>4578</v>
      </c>
      <c r="P82" s="1136" t="s">
        <v>4579</v>
      </c>
      <c r="Q82" s="212" t="s">
        <v>4580</v>
      </c>
      <c r="R82" s="1136" t="s">
        <v>4581</v>
      </c>
      <c r="S82" s="212" t="s">
        <v>4582</v>
      </c>
      <c r="T82" s="1136" t="s">
        <v>4583</v>
      </c>
      <c r="U82" s="212" t="s">
        <v>4584</v>
      </c>
      <c r="V82" s="1136" t="s">
        <v>4585</v>
      </c>
      <c r="W82" s="212" t="s">
        <v>4586</v>
      </c>
      <c r="X82" s="1136" t="s">
        <v>4587</v>
      </c>
      <c r="Y82" s="212" t="s">
        <v>4588</v>
      </c>
      <c r="Z82" s="1136" t="s">
        <v>4589</v>
      </c>
      <c r="AA82" s="212" t="s">
        <v>4590</v>
      </c>
      <c r="AB82" s="1136" t="s">
        <v>4591</v>
      </c>
      <c r="AC82" s="212" t="s">
        <v>4592</v>
      </c>
      <c r="AD82" s="1136" t="s">
        <v>4593</v>
      </c>
      <c r="AE82" s="212" t="s">
        <v>4594</v>
      </c>
      <c r="AF82" s="1136" t="s">
        <v>4595</v>
      </c>
      <c r="AG82" s="212" t="s">
        <v>4596</v>
      </c>
      <c r="AH82" s="1136" t="s">
        <v>4597</v>
      </c>
      <c r="AI82" s="212" t="s">
        <v>4598</v>
      </c>
      <c r="AJ82" s="2410" t="s">
        <v>4599</v>
      </c>
      <c r="AK82" s="992" t="s">
        <v>4600</v>
      </c>
      <c r="AL82" s="993" t="s">
        <v>4601</v>
      </c>
      <c r="AM82" s="993" t="s">
        <v>4602</v>
      </c>
      <c r="AN82" s="993" t="s">
        <v>4603</v>
      </c>
      <c r="AO82" s="34" t="s">
        <v>4604</v>
      </c>
      <c r="AP82" t="str">
        <f t="shared" si="58"/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2" s="83" t="str">
        <f t="shared" si="59"/>
        <v xml:space="preserve">  * La variable Gestantes No puede ser mayor al Total Mujeres.</v>
      </c>
      <c r="BQ82" s="83" t="str">
        <f t="shared" si="60"/>
        <v xml:space="preserve">  * La variable Postparto No puede ser mayor al Total Mujeres.</v>
      </c>
      <c r="BR82" s="83" t="str">
        <f t="shared" si="61"/>
        <v xml:space="preserve">  * La variable Pueblos originarios No puede ser mayor al Total.</v>
      </c>
      <c r="BS82" s="83" t="str">
        <f t="shared" si="62"/>
        <v xml:space="preserve">  * La variable Migrantes No puede ser mayor al Total.</v>
      </c>
      <c r="BT82" s="83" t="str">
        <f t="shared" si="63"/>
        <v xml:space="preserve">  * La variable Espacios Amigables/adolescentes No puede ser mayor al Total.</v>
      </c>
      <c r="BV82" s="2628">
        <f t="shared" si="64"/>
        <v>1</v>
      </c>
      <c r="BW82" s="2628">
        <f t="shared" si="65"/>
        <v>1</v>
      </c>
      <c r="BX82" s="2628">
        <f t="shared" si="66"/>
        <v>1</v>
      </c>
      <c r="BY82" s="2628">
        <f t="shared" si="67"/>
        <v>1</v>
      </c>
      <c r="BZ82" s="2628">
        <f t="shared" si="68"/>
        <v>1</v>
      </c>
    </row>
    <row r="83" spans="1:78" ht="15" customHeight="1" x14ac:dyDescent="0.25">
      <c r="A83" s="5633" t="s">
        <v>4848</v>
      </c>
      <c r="B83" s="2735" t="s">
        <v>503</v>
      </c>
      <c r="C83" s="2737" t="s">
        <v>537</v>
      </c>
      <c r="D83" s="609" t="s">
        <v>4567</v>
      </c>
      <c r="E83" s="2733" t="s">
        <v>4568</v>
      </c>
      <c r="F83" s="2686" t="s">
        <v>4569</v>
      </c>
      <c r="G83" s="2738" t="s">
        <v>4570</v>
      </c>
      <c r="H83" s="2739" t="s">
        <v>4571</v>
      </c>
      <c r="I83" s="887" t="s">
        <v>4572</v>
      </c>
      <c r="J83" s="2739" t="s">
        <v>4573</v>
      </c>
      <c r="K83" s="2738" t="s">
        <v>4574</v>
      </c>
      <c r="L83" s="888" t="s">
        <v>4575</v>
      </c>
      <c r="M83" s="2738" t="s">
        <v>4576</v>
      </c>
      <c r="N83" s="888" t="s">
        <v>4577</v>
      </c>
      <c r="O83" s="2738" t="s">
        <v>4578</v>
      </c>
      <c r="P83" s="888" t="s">
        <v>4579</v>
      </c>
      <c r="Q83" s="2738" t="s">
        <v>4580</v>
      </c>
      <c r="R83" s="888" t="s">
        <v>4581</v>
      </c>
      <c r="S83" s="2738" t="s">
        <v>4582</v>
      </c>
      <c r="T83" s="888" t="s">
        <v>4583</v>
      </c>
      <c r="U83" s="2738" t="s">
        <v>4584</v>
      </c>
      <c r="V83" s="888" t="s">
        <v>4585</v>
      </c>
      <c r="W83" s="2738" t="s">
        <v>4586</v>
      </c>
      <c r="X83" s="888" t="s">
        <v>4587</v>
      </c>
      <c r="Y83" s="2738" t="s">
        <v>4588</v>
      </c>
      <c r="Z83" s="888" t="s">
        <v>4589</v>
      </c>
      <c r="AA83" s="2738" t="s">
        <v>4590</v>
      </c>
      <c r="AB83" s="888" t="s">
        <v>4591</v>
      </c>
      <c r="AC83" s="2738" t="s">
        <v>4592</v>
      </c>
      <c r="AD83" s="888" t="s">
        <v>4593</v>
      </c>
      <c r="AE83" s="2738" t="s">
        <v>4594</v>
      </c>
      <c r="AF83" s="888" t="s">
        <v>4595</v>
      </c>
      <c r="AG83" s="2738" t="s">
        <v>4596</v>
      </c>
      <c r="AH83" s="888" t="s">
        <v>4597</v>
      </c>
      <c r="AI83" s="2738" t="s">
        <v>4598</v>
      </c>
      <c r="AJ83" s="2740" t="s">
        <v>4599</v>
      </c>
      <c r="AK83" s="2741" t="s">
        <v>4600</v>
      </c>
      <c r="AL83" s="878" t="s">
        <v>4601</v>
      </c>
      <c r="AM83" s="878" t="s">
        <v>4602</v>
      </c>
      <c r="AN83" s="878" t="s">
        <v>4603</v>
      </c>
      <c r="AO83" s="2739" t="s">
        <v>4604</v>
      </c>
      <c r="AP83" t="str">
        <f t="shared" si="58"/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3" s="83" t="str">
        <f>IF(AND(F83&gt;0,AK83="")," *  No olvide digitar la variable Gestantes. Digite Cero si no tiene.",IF(AK83&gt;F83,"  * La variable Gestantes No puede ser mayor al Total Mujeres.",""))</f>
        <v xml:space="preserve">  * La variable Gestantes No puede ser mayor al Total Mujeres.</v>
      </c>
      <c r="BQ83" s="83" t="str">
        <f t="shared" si="60"/>
        <v xml:space="preserve">  * La variable Postparto No puede ser mayor al Total Mujeres.</v>
      </c>
      <c r="BR83" s="83" t="str">
        <f t="shared" si="61"/>
        <v xml:space="preserve">  * La variable Pueblos originarios No puede ser mayor al Total.</v>
      </c>
      <c r="BS83" s="83" t="str">
        <f t="shared" si="62"/>
        <v xml:space="preserve">  * La variable Migrantes No puede ser mayor al Total.</v>
      </c>
      <c r="BT83" s="83" t="str">
        <f t="shared" si="63"/>
        <v xml:space="preserve">  * La variable Espacios Amigables/adolescentes No puede ser mayor al Total.</v>
      </c>
      <c r="BV83" s="2628">
        <f t="shared" si="64"/>
        <v>1</v>
      </c>
      <c r="BW83" s="2628">
        <f t="shared" si="65"/>
        <v>1</v>
      </c>
      <c r="BX83" s="2628">
        <f t="shared" si="66"/>
        <v>1</v>
      </c>
      <c r="BY83" s="2628">
        <f t="shared" si="67"/>
        <v>1</v>
      </c>
      <c r="BZ83" s="2628">
        <f t="shared" si="68"/>
        <v>1</v>
      </c>
    </row>
    <row r="84" spans="1:78" ht="18" customHeight="1" x14ac:dyDescent="0.25">
      <c r="B84" s="3" t="s">
        <v>538</v>
      </c>
      <c r="C84" s="24"/>
      <c r="D84" s="24"/>
      <c r="E84" s="24"/>
      <c r="F84" s="24"/>
      <c r="G84" s="24"/>
    </row>
    <row r="85" spans="1:78" ht="31.15" customHeight="1" x14ac:dyDescent="0.25">
      <c r="B85" s="6417" t="s">
        <v>301</v>
      </c>
      <c r="C85" s="6418"/>
      <c r="D85" s="6419" t="s">
        <v>539</v>
      </c>
      <c r="E85" s="6420" t="s">
        <v>540</v>
      </c>
      <c r="F85" s="6413" t="s">
        <v>541</v>
      </c>
      <c r="G85" s="6419" t="s">
        <v>542</v>
      </c>
    </row>
    <row r="86" spans="1:78" ht="24.6" customHeight="1" x14ac:dyDescent="0.25">
      <c r="B86" s="6417"/>
      <c r="C86" s="6418"/>
      <c r="D86" s="6419"/>
      <c r="E86" s="6420"/>
      <c r="F86" s="6413"/>
      <c r="G86" s="6419"/>
    </row>
    <row r="87" spans="1:78" ht="15" customHeight="1" x14ac:dyDescent="0.25">
      <c r="A87" s="5606"/>
      <c r="B87" s="6431" t="s">
        <v>543</v>
      </c>
      <c r="C87" s="6432"/>
      <c r="D87" s="6432"/>
      <c r="E87" s="6432"/>
      <c r="F87" s="6432"/>
      <c r="G87" s="6433"/>
    </row>
    <row r="88" spans="1:78" ht="15" customHeight="1" x14ac:dyDescent="0.25">
      <c r="A88" s="5633" t="s">
        <v>4849</v>
      </c>
      <c r="B88" s="2736" t="s">
        <v>544</v>
      </c>
      <c r="C88" s="5497" t="s">
        <v>4567</v>
      </c>
      <c r="D88" s="2743" t="s">
        <v>4568</v>
      </c>
      <c r="E88" s="5504" t="s">
        <v>4569</v>
      </c>
      <c r="F88" s="474" t="s">
        <v>4570</v>
      </c>
      <c r="G88" s="2743" t="s">
        <v>4571</v>
      </c>
    </row>
    <row r="89" spans="1:78" ht="15" customHeight="1" x14ac:dyDescent="0.25">
      <c r="A89" s="5633" t="s">
        <v>4850</v>
      </c>
      <c r="B89" s="910" t="s">
        <v>545</v>
      </c>
      <c r="C89" s="5498" t="s">
        <v>4567</v>
      </c>
      <c r="D89" s="790" t="s">
        <v>4568</v>
      </c>
      <c r="E89" s="5505" t="s">
        <v>4569</v>
      </c>
      <c r="F89" s="346" t="s">
        <v>4570</v>
      </c>
      <c r="G89" s="790" t="s">
        <v>4571</v>
      </c>
    </row>
    <row r="90" spans="1:78" ht="15" customHeight="1" x14ac:dyDescent="0.25">
      <c r="A90" s="5633" t="s">
        <v>4851</v>
      </c>
      <c r="B90" s="910" t="s">
        <v>546</v>
      </c>
      <c r="C90" s="5498" t="s">
        <v>4567</v>
      </c>
      <c r="D90" s="790" t="s">
        <v>4568</v>
      </c>
      <c r="E90" s="5505" t="s">
        <v>4569</v>
      </c>
      <c r="F90" s="346" t="s">
        <v>4570</v>
      </c>
      <c r="G90" s="790" t="s">
        <v>4571</v>
      </c>
    </row>
    <row r="91" spans="1:78" ht="15" customHeight="1" x14ac:dyDescent="0.25">
      <c r="A91" s="5633" t="s">
        <v>4852</v>
      </c>
      <c r="B91" s="910" t="s">
        <v>547</v>
      </c>
      <c r="C91" s="5498" t="s">
        <v>4567</v>
      </c>
      <c r="D91" s="790" t="s">
        <v>4568</v>
      </c>
      <c r="E91" s="5505" t="s">
        <v>4569</v>
      </c>
      <c r="F91" s="346" t="s">
        <v>4570</v>
      </c>
      <c r="G91" s="790" t="s">
        <v>4571</v>
      </c>
    </row>
    <row r="92" spans="1:78" ht="15" customHeight="1" x14ac:dyDescent="0.25">
      <c r="A92" s="5633" t="s">
        <v>4853</v>
      </c>
      <c r="B92" s="1780" t="s">
        <v>548</v>
      </c>
      <c r="C92" s="5499" t="s">
        <v>4567</v>
      </c>
      <c r="D92" s="2692" t="s">
        <v>4568</v>
      </c>
      <c r="E92" s="5506" t="s">
        <v>4569</v>
      </c>
      <c r="F92" s="107" t="s">
        <v>4570</v>
      </c>
      <c r="G92" s="2692" t="s">
        <v>4571</v>
      </c>
    </row>
    <row r="93" spans="1:78" ht="15" customHeight="1" x14ac:dyDescent="0.25">
      <c r="A93" s="5606"/>
      <c r="B93" s="6431" t="s">
        <v>549</v>
      </c>
      <c r="C93" s="6432"/>
      <c r="D93" s="6432"/>
      <c r="E93" s="6432"/>
      <c r="F93" s="6432"/>
      <c r="G93" s="6433"/>
    </row>
    <row r="94" spans="1:78" ht="15" customHeight="1" x14ac:dyDescent="0.25">
      <c r="A94" s="5633" t="s">
        <v>4854</v>
      </c>
      <c r="B94" s="2746" t="s">
        <v>550</v>
      </c>
      <c r="C94" s="5500" t="s">
        <v>4567</v>
      </c>
      <c r="D94" s="2743" t="s">
        <v>4568</v>
      </c>
      <c r="E94" s="5504" t="s">
        <v>4569</v>
      </c>
      <c r="F94" s="474" t="s">
        <v>4570</v>
      </c>
      <c r="G94" s="2743" t="s">
        <v>4571</v>
      </c>
    </row>
    <row r="95" spans="1:78" ht="15" customHeight="1" x14ac:dyDescent="0.25">
      <c r="A95" s="5633" t="s">
        <v>4855</v>
      </c>
      <c r="B95" s="360" t="s">
        <v>551</v>
      </c>
      <c r="C95" s="5501" t="s">
        <v>4567</v>
      </c>
      <c r="D95" s="790" t="s">
        <v>4568</v>
      </c>
      <c r="E95" s="5505" t="s">
        <v>4569</v>
      </c>
      <c r="F95" s="346" t="s">
        <v>4570</v>
      </c>
      <c r="G95" s="790" t="s">
        <v>4571</v>
      </c>
    </row>
    <row r="96" spans="1:78" ht="21.6" customHeight="1" x14ac:dyDescent="0.25">
      <c r="A96" s="5633" t="s">
        <v>4856</v>
      </c>
      <c r="B96" s="397" t="s">
        <v>552</v>
      </c>
      <c r="C96" s="1881" t="s">
        <v>4567</v>
      </c>
      <c r="D96" s="2748" t="s">
        <v>4568</v>
      </c>
      <c r="E96" s="5506" t="s">
        <v>4569</v>
      </c>
      <c r="F96" s="527" t="s">
        <v>4570</v>
      </c>
      <c r="G96" s="2748" t="s">
        <v>4571</v>
      </c>
    </row>
    <row r="97" spans="1:19" ht="21.6" customHeight="1" x14ac:dyDescent="0.25">
      <c r="A97" s="5548"/>
      <c r="B97" s="3" t="s">
        <v>553</v>
      </c>
      <c r="C97" s="24"/>
      <c r="D97" s="24"/>
      <c r="E97" s="24"/>
      <c r="F97" s="24"/>
    </row>
    <row r="98" spans="1:19" ht="21.6" customHeight="1" x14ac:dyDescent="0.25">
      <c r="A98" s="5548"/>
      <c r="B98" s="6417" t="s">
        <v>301</v>
      </c>
      <c r="C98" s="6419" t="s">
        <v>77</v>
      </c>
      <c r="D98" s="6419" t="s">
        <v>539</v>
      </c>
      <c r="E98" s="6419" t="s">
        <v>540</v>
      </c>
      <c r="F98" s="6406" t="s">
        <v>554</v>
      </c>
    </row>
    <row r="99" spans="1:19" ht="21.6" customHeight="1" x14ac:dyDescent="0.25">
      <c r="A99" s="5548"/>
      <c r="B99" s="6417"/>
      <c r="C99" s="6419"/>
      <c r="D99" s="6419"/>
      <c r="E99" s="6419"/>
      <c r="F99" s="6406"/>
    </row>
    <row r="100" spans="1:19" ht="15" customHeight="1" x14ac:dyDescent="0.25">
      <c r="A100" s="5616"/>
      <c r="B100" s="2749" t="s">
        <v>543</v>
      </c>
      <c r="C100" s="2750"/>
      <c r="D100" s="2750"/>
      <c r="E100" s="2750"/>
      <c r="F100" s="2751"/>
    </row>
    <row r="101" spans="1:19" ht="15" customHeight="1" x14ac:dyDescent="0.25">
      <c r="A101" s="5634" t="s">
        <v>4857</v>
      </c>
      <c r="B101" s="2736" t="s">
        <v>544</v>
      </c>
      <c r="C101" s="2742" t="s">
        <v>4567</v>
      </c>
      <c r="D101" s="2743" t="s">
        <v>4568</v>
      </c>
      <c r="E101" s="2743" t="s">
        <v>4569</v>
      </c>
      <c r="F101" s="474" t="s">
        <v>4570</v>
      </c>
    </row>
    <row r="102" spans="1:19" ht="15" customHeight="1" x14ac:dyDescent="0.25">
      <c r="A102" s="5634" t="s">
        <v>4858</v>
      </c>
      <c r="B102" s="910" t="s">
        <v>545</v>
      </c>
      <c r="C102" s="2744" t="s">
        <v>4567</v>
      </c>
      <c r="D102" s="790" t="s">
        <v>4568</v>
      </c>
      <c r="E102" s="790" t="s">
        <v>4569</v>
      </c>
      <c r="F102" s="346" t="s">
        <v>4570</v>
      </c>
    </row>
    <row r="103" spans="1:19" ht="15" customHeight="1" x14ac:dyDescent="0.25">
      <c r="A103" s="5634" t="s">
        <v>4859</v>
      </c>
      <c r="B103" s="910" t="s">
        <v>546</v>
      </c>
      <c r="C103" s="2744" t="s">
        <v>4567</v>
      </c>
      <c r="D103" s="790" t="s">
        <v>4568</v>
      </c>
      <c r="E103" s="790" t="s">
        <v>4569</v>
      </c>
      <c r="F103" s="346" t="s">
        <v>4570</v>
      </c>
    </row>
    <row r="104" spans="1:19" ht="15" customHeight="1" x14ac:dyDescent="0.25">
      <c r="A104" s="5634" t="s">
        <v>4860</v>
      </c>
      <c r="B104" s="910" t="s">
        <v>547</v>
      </c>
      <c r="C104" s="2744" t="s">
        <v>4567</v>
      </c>
      <c r="D104" s="790" t="s">
        <v>4568</v>
      </c>
      <c r="E104" s="790" t="s">
        <v>4569</v>
      </c>
      <c r="F104" s="346" t="s">
        <v>4570</v>
      </c>
    </row>
    <row r="105" spans="1:19" ht="15" customHeight="1" x14ac:dyDescent="0.25">
      <c r="A105" s="5634" t="s">
        <v>4861</v>
      </c>
      <c r="B105" s="1780" t="s">
        <v>548</v>
      </c>
      <c r="C105" s="775" t="s">
        <v>4567</v>
      </c>
      <c r="D105" s="2692" t="s">
        <v>4568</v>
      </c>
      <c r="E105" s="2748" t="s">
        <v>4569</v>
      </c>
      <c r="F105" s="107" t="s">
        <v>4570</v>
      </c>
    </row>
    <row r="106" spans="1:19" ht="15" customHeight="1" x14ac:dyDescent="0.25">
      <c r="A106" s="5616"/>
      <c r="B106" s="2749" t="s">
        <v>549</v>
      </c>
      <c r="C106" s="2750"/>
      <c r="D106" s="2750"/>
      <c r="E106" s="2750"/>
      <c r="F106" s="2751"/>
    </row>
    <row r="107" spans="1:19" ht="15" customHeight="1" x14ac:dyDescent="0.25">
      <c r="A107" s="5634" t="s">
        <v>4862</v>
      </c>
      <c r="B107" s="2746" t="s">
        <v>550</v>
      </c>
      <c r="C107" s="2742" t="s">
        <v>4567</v>
      </c>
      <c r="D107" s="2743" t="s">
        <v>4568</v>
      </c>
      <c r="E107" s="2743" t="s">
        <v>4569</v>
      </c>
      <c r="F107" s="474" t="s">
        <v>4570</v>
      </c>
    </row>
    <row r="108" spans="1:19" ht="15" customHeight="1" x14ac:dyDescent="0.25">
      <c r="A108" s="5634" t="s">
        <v>4863</v>
      </c>
      <c r="B108" s="360" t="s">
        <v>551</v>
      </c>
      <c r="C108" s="2744" t="s">
        <v>4567</v>
      </c>
      <c r="D108" s="790" t="s">
        <v>4568</v>
      </c>
      <c r="E108" s="790" t="s">
        <v>4569</v>
      </c>
      <c r="F108" s="346" t="s">
        <v>4570</v>
      </c>
    </row>
    <row r="109" spans="1:19" ht="20.25" customHeight="1" x14ac:dyDescent="0.25">
      <c r="A109" s="5634" t="s">
        <v>4864</v>
      </c>
      <c r="B109" s="397" t="s">
        <v>552</v>
      </c>
      <c r="C109" s="426" t="s">
        <v>4567</v>
      </c>
      <c r="D109" s="2748" t="s">
        <v>4568</v>
      </c>
      <c r="E109" s="2748" t="s">
        <v>4569</v>
      </c>
      <c r="F109" s="2752" t="s">
        <v>4570</v>
      </c>
    </row>
    <row r="110" spans="1:19" ht="18" customHeight="1" x14ac:dyDescent="0.25">
      <c r="A110" s="5548"/>
      <c r="B110" s="6434" t="s">
        <v>4329</v>
      </c>
      <c r="C110" s="6434"/>
      <c r="D110" s="6434"/>
      <c r="E110" s="6434"/>
      <c r="F110" s="6434"/>
      <c r="G110" s="6435"/>
      <c r="H110" s="2753"/>
      <c r="I110" s="2753"/>
      <c r="J110" s="2753"/>
      <c r="K110" s="2753"/>
      <c r="L110" s="2753"/>
      <c r="M110" s="2753"/>
      <c r="N110" s="2753"/>
      <c r="O110" s="2753"/>
      <c r="P110" s="2753"/>
    </row>
    <row r="111" spans="1:19" ht="24" customHeight="1" x14ac:dyDescent="0.25">
      <c r="A111" s="5548"/>
      <c r="B111" s="6436" t="s">
        <v>555</v>
      </c>
      <c r="C111" s="6422" t="s">
        <v>556</v>
      </c>
      <c r="D111" s="6375"/>
      <c r="E111" s="6376"/>
      <c r="F111" s="6422" t="s">
        <v>557</v>
      </c>
      <c r="G111" s="6376"/>
      <c r="H111" s="6422" t="s">
        <v>558</v>
      </c>
      <c r="I111" s="6364"/>
      <c r="J111" s="6423" t="s">
        <v>559</v>
      </c>
      <c r="K111" s="6424"/>
      <c r="L111" s="6367" t="s">
        <v>560</v>
      </c>
      <c r="M111" s="6427" t="s">
        <v>561</v>
      </c>
      <c r="N111" s="6428"/>
      <c r="O111" s="6367"/>
      <c r="P111" s="6427" t="s">
        <v>562</v>
      </c>
      <c r="Q111" s="6367"/>
      <c r="R111" s="6427" t="s">
        <v>563</v>
      </c>
      <c r="S111" s="6367"/>
    </row>
    <row r="112" spans="1:19" ht="21" customHeight="1" x14ac:dyDescent="0.25">
      <c r="A112" s="5548"/>
      <c r="B112" s="6437"/>
      <c r="C112" s="6365"/>
      <c r="D112" s="6377"/>
      <c r="E112" s="6378"/>
      <c r="F112" s="6365"/>
      <c r="G112" s="6378"/>
      <c r="H112" s="6365"/>
      <c r="I112" s="6366"/>
      <c r="J112" s="6425"/>
      <c r="K112" s="6426"/>
      <c r="L112" s="6368"/>
      <c r="M112" s="6429"/>
      <c r="N112" s="6430"/>
      <c r="O112" s="6369"/>
      <c r="P112" s="6429"/>
      <c r="Q112" s="6369"/>
      <c r="R112" s="6429"/>
      <c r="S112" s="6369"/>
    </row>
    <row r="113" spans="1:21" ht="41.25" customHeight="1" x14ac:dyDescent="0.25">
      <c r="A113" s="5548"/>
      <c r="B113" s="6438"/>
      <c r="C113" s="2754" t="s">
        <v>564</v>
      </c>
      <c r="D113" s="2754" t="s">
        <v>565</v>
      </c>
      <c r="E113" s="2755" t="s">
        <v>566</v>
      </c>
      <c r="F113" s="2756" t="s">
        <v>567</v>
      </c>
      <c r="G113" s="2757" t="s">
        <v>568</v>
      </c>
      <c r="H113" s="2756" t="s">
        <v>569</v>
      </c>
      <c r="I113" s="2758" t="s">
        <v>570</v>
      </c>
      <c r="J113" s="2759" t="s">
        <v>567</v>
      </c>
      <c r="K113" s="2760" t="s">
        <v>568</v>
      </c>
      <c r="L113" s="6369"/>
      <c r="M113" s="2754" t="s">
        <v>571</v>
      </c>
      <c r="N113" s="2761" t="s">
        <v>565</v>
      </c>
      <c r="O113" s="2762" t="s">
        <v>572</v>
      </c>
      <c r="P113" s="2754" t="s">
        <v>569</v>
      </c>
      <c r="Q113" s="2763" t="s">
        <v>570</v>
      </c>
      <c r="R113" s="2754" t="s">
        <v>573</v>
      </c>
      <c r="S113" s="2763" t="s">
        <v>574</v>
      </c>
    </row>
    <row r="114" spans="1:21" ht="15" customHeight="1" x14ac:dyDescent="0.25">
      <c r="A114" s="5633" t="s">
        <v>4865</v>
      </c>
      <c r="B114" s="2764" t="s">
        <v>575</v>
      </c>
      <c r="C114" s="2765" t="s">
        <v>4567</v>
      </c>
      <c r="D114" s="2766" t="s">
        <v>4568</v>
      </c>
      <c r="E114" s="2767" t="s">
        <v>4569</v>
      </c>
      <c r="F114" s="2766" t="s">
        <v>4570</v>
      </c>
      <c r="G114" s="2767" t="s">
        <v>4571</v>
      </c>
      <c r="H114" s="2766" t="s">
        <v>4572</v>
      </c>
      <c r="I114" s="2768" t="s">
        <v>4573</v>
      </c>
      <c r="J114" s="2769" t="s">
        <v>4574</v>
      </c>
      <c r="K114" s="2770" t="s">
        <v>4575</v>
      </c>
      <c r="L114" s="2767" t="s">
        <v>4576</v>
      </c>
      <c r="M114" s="2766" t="s">
        <v>4577</v>
      </c>
      <c r="N114" s="2771" t="s">
        <v>4578</v>
      </c>
      <c r="O114" s="2772" t="s">
        <v>4579</v>
      </c>
      <c r="P114" s="2766" t="s">
        <v>4580</v>
      </c>
      <c r="Q114" s="2772" t="s">
        <v>4581</v>
      </c>
      <c r="R114" s="2773" t="s">
        <v>4582</v>
      </c>
      <c r="S114" s="2774" t="s">
        <v>4583</v>
      </c>
    </row>
    <row r="115" spans="1:21" ht="15" customHeight="1" x14ac:dyDescent="0.25">
      <c r="A115" s="5633" t="s">
        <v>4866</v>
      </c>
      <c r="B115" s="2775" t="s">
        <v>576</v>
      </c>
      <c r="C115" s="2765" t="s">
        <v>4567</v>
      </c>
      <c r="D115" s="2776" t="s">
        <v>4568</v>
      </c>
      <c r="E115" s="2777" t="s">
        <v>4569</v>
      </c>
      <c r="F115" s="2776" t="s">
        <v>4570</v>
      </c>
      <c r="G115" s="2777" t="s">
        <v>4571</v>
      </c>
      <c r="H115" s="2776" t="s">
        <v>4572</v>
      </c>
      <c r="I115" s="2778" t="s">
        <v>4573</v>
      </c>
      <c r="J115" s="2779" t="s">
        <v>4574</v>
      </c>
      <c r="K115" s="2780" t="s">
        <v>4575</v>
      </c>
      <c r="L115" s="2777" t="s">
        <v>4576</v>
      </c>
      <c r="M115" s="2773" t="s">
        <v>4577</v>
      </c>
      <c r="N115" s="2781" t="s">
        <v>4578</v>
      </c>
      <c r="O115" s="2774" t="s">
        <v>4579</v>
      </c>
      <c r="P115" s="2773" t="s">
        <v>4580</v>
      </c>
      <c r="Q115" s="2774" t="s">
        <v>4581</v>
      </c>
      <c r="R115" s="2766" t="s">
        <v>4582</v>
      </c>
      <c r="S115" s="2772" t="s">
        <v>4583</v>
      </c>
    </row>
    <row r="116" spans="1:21" ht="15" customHeight="1" x14ac:dyDescent="0.25">
      <c r="A116" s="5633" t="s">
        <v>4867</v>
      </c>
      <c r="B116" s="2775" t="s">
        <v>577</v>
      </c>
      <c r="C116" s="2782" t="s">
        <v>4567</v>
      </c>
      <c r="D116" s="2783" t="s">
        <v>4568</v>
      </c>
      <c r="E116" s="2784" t="s">
        <v>4569</v>
      </c>
      <c r="F116" s="2785" t="s">
        <v>4570</v>
      </c>
      <c r="G116" s="2784" t="s">
        <v>4571</v>
      </c>
      <c r="H116" s="2783" t="s">
        <v>4572</v>
      </c>
      <c r="I116" s="2786" t="s">
        <v>4573</v>
      </c>
      <c r="J116" s="2787" t="s">
        <v>4574</v>
      </c>
      <c r="K116" s="2788" t="s">
        <v>4575</v>
      </c>
      <c r="L116" s="2784" t="s">
        <v>4576</v>
      </c>
      <c r="M116" s="2789" t="s">
        <v>4577</v>
      </c>
      <c r="N116" s="2790" t="s">
        <v>4578</v>
      </c>
      <c r="O116" s="2791" t="s">
        <v>4579</v>
      </c>
      <c r="P116" s="2792" t="s">
        <v>4580</v>
      </c>
      <c r="Q116" s="2791" t="s">
        <v>4581</v>
      </c>
      <c r="R116" s="2783" t="s">
        <v>4582</v>
      </c>
      <c r="S116" s="2793" t="s">
        <v>4583</v>
      </c>
    </row>
    <row r="117" spans="1:21" ht="15" customHeight="1" x14ac:dyDescent="0.25">
      <c r="A117" s="5606"/>
      <c r="B117" s="2794" t="s">
        <v>77</v>
      </c>
      <c r="C117" s="2795">
        <f>SUM(D117:E117)</f>
        <v>0</v>
      </c>
      <c r="D117" s="2795">
        <f t="shared" ref="D117:L117" si="69">SUM(D114:D116)</f>
        <v>0</v>
      </c>
      <c r="E117" s="2796">
        <f t="shared" si="69"/>
        <v>0</v>
      </c>
      <c r="F117" s="2795">
        <f t="shared" si="69"/>
        <v>0</v>
      </c>
      <c r="G117" s="2796">
        <f t="shared" si="69"/>
        <v>0</v>
      </c>
      <c r="H117" s="2795">
        <f t="shared" si="69"/>
        <v>0</v>
      </c>
      <c r="I117" s="2797">
        <f t="shared" si="69"/>
        <v>0</v>
      </c>
      <c r="J117" s="2798">
        <f t="shared" si="69"/>
        <v>0</v>
      </c>
      <c r="K117" s="2799">
        <f t="shared" si="69"/>
        <v>0</v>
      </c>
      <c r="L117" s="2796">
        <f t="shared" si="69"/>
        <v>0</v>
      </c>
      <c r="M117" s="2795">
        <f>SUM(M114)</f>
        <v>0</v>
      </c>
      <c r="N117" s="2800">
        <f t="shared" ref="N117:Q117" si="70">SUM(N114)</f>
        <v>0</v>
      </c>
      <c r="O117" s="2801">
        <f>SUM(O114)</f>
        <v>0</v>
      </c>
      <c r="P117" s="2795">
        <f t="shared" si="70"/>
        <v>0</v>
      </c>
      <c r="Q117" s="2801">
        <f t="shared" si="70"/>
        <v>0</v>
      </c>
      <c r="R117" s="2795">
        <f>SUM(R115:R116)</f>
        <v>0</v>
      </c>
      <c r="S117" s="2800">
        <f>SUM(S115:S116)</f>
        <v>0</v>
      </c>
    </row>
    <row r="118" spans="1:21" ht="15" customHeight="1" x14ac:dyDescent="0.25">
      <c r="B118" s="6370" t="s">
        <v>4426</v>
      </c>
      <c r="C118" s="6370"/>
      <c r="D118" s="6370"/>
      <c r="E118" s="6370"/>
      <c r="F118" s="6370"/>
      <c r="G118" s="6371"/>
      <c r="H118" s="2802"/>
      <c r="I118" s="2802"/>
      <c r="J118" s="2802"/>
      <c r="K118" s="2802"/>
      <c r="L118" s="2802"/>
      <c r="M118" s="2803"/>
      <c r="N118" s="2803"/>
      <c r="O118" s="2803"/>
      <c r="P118" s="2803"/>
      <c r="Q118" s="2803"/>
      <c r="R118" s="2803"/>
      <c r="S118" s="2803"/>
    </row>
    <row r="119" spans="1:21" ht="15" customHeight="1" x14ac:dyDescent="0.25">
      <c r="B119" s="6372" t="s">
        <v>555</v>
      </c>
      <c r="C119" s="6363" t="s">
        <v>556</v>
      </c>
      <c r="D119" s="6375"/>
      <c r="E119" s="6376"/>
      <c r="F119" s="6363" t="s">
        <v>557</v>
      </c>
      <c r="G119" s="6375"/>
      <c r="H119" s="6375"/>
      <c r="I119" s="6376"/>
      <c r="J119" s="6363" t="s">
        <v>558</v>
      </c>
      <c r="K119" s="6364"/>
      <c r="L119" s="6367" t="s">
        <v>4416</v>
      </c>
      <c r="M119" s="6379" t="s">
        <v>4421</v>
      </c>
      <c r="N119" s="6380"/>
      <c r="O119" s="2803"/>
      <c r="P119" s="2803"/>
      <c r="Q119" s="2803"/>
      <c r="R119" s="2803"/>
      <c r="S119" s="2803"/>
      <c r="T119" s="2803"/>
      <c r="U119" s="2803"/>
    </row>
    <row r="120" spans="1:21" ht="15" customHeight="1" x14ac:dyDescent="0.25">
      <c r="B120" s="6373"/>
      <c r="C120" s="6365"/>
      <c r="D120" s="6377"/>
      <c r="E120" s="6378"/>
      <c r="F120" s="6365"/>
      <c r="G120" s="6377"/>
      <c r="H120" s="6377"/>
      <c r="I120" s="6378"/>
      <c r="J120" s="6365"/>
      <c r="K120" s="6366"/>
      <c r="L120" s="6368"/>
      <c r="M120" s="6381"/>
      <c r="N120" s="6382"/>
      <c r="O120" s="2803"/>
      <c r="P120" s="2803"/>
      <c r="Q120" s="2803"/>
      <c r="R120" s="2803"/>
      <c r="S120" s="2803"/>
      <c r="T120" s="2803"/>
      <c r="U120" s="2803"/>
    </row>
    <row r="121" spans="1:21" ht="63.75" customHeight="1" x14ac:dyDescent="0.25">
      <c r="B121" s="6374"/>
      <c r="C121" s="2754" t="s">
        <v>564</v>
      </c>
      <c r="D121" s="2754" t="s">
        <v>565</v>
      </c>
      <c r="E121" s="2804" t="s">
        <v>566</v>
      </c>
      <c r="F121" s="2756" t="s">
        <v>567</v>
      </c>
      <c r="G121" s="2805" t="s">
        <v>568</v>
      </c>
      <c r="H121" s="2756" t="s">
        <v>578</v>
      </c>
      <c r="I121" s="2805" t="s">
        <v>579</v>
      </c>
      <c r="J121" s="2756" t="s">
        <v>569</v>
      </c>
      <c r="K121" s="2758" t="s">
        <v>570</v>
      </c>
      <c r="L121" s="6369"/>
      <c r="M121" s="5568" t="s">
        <v>4422</v>
      </c>
      <c r="N121" s="5569" t="s">
        <v>4423</v>
      </c>
      <c r="O121" s="2803"/>
      <c r="P121" s="2803"/>
      <c r="Q121" s="2803"/>
      <c r="R121" s="2803"/>
      <c r="S121" s="2803"/>
      <c r="T121" s="2803"/>
      <c r="U121" s="2803"/>
    </row>
    <row r="122" spans="1:21" ht="15" customHeight="1" x14ac:dyDescent="0.25">
      <c r="A122" s="5634" t="s">
        <v>4868</v>
      </c>
      <c r="B122" s="2764" t="s">
        <v>580</v>
      </c>
      <c r="C122" s="2765" t="s">
        <v>4567</v>
      </c>
      <c r="D122" s="2766" t="s">
        <v>4568</v>
      </c>
      <c r="E122" s="2767" t="s">
        <v>4569</v>
      </c>
      <c r="F122" s="2806" t="s">
        <v>4570</v>
      </c>
      <c r="G122" s="2807" t="s">
        <v>4571</v>
      </c>
      <c r="H122" s="2806" t="s">
        <v>4572</v>
      </c>
      <c r="I122" s="2807" t="s">
        <v>4573</v>
      </c>
      <c r="J122" s="2766" t="s">
        <v>4574</v>
      </c>
      <c r="K122" s="2768" t="s">
        <v>4575</v>
      </c>
      <c r="L122" s="2807" t="s">
        <v>4576</v>
      </c>
      <c r="M122" s="2766" t="s">
        <v>4577</v>
      </c>
      <c r="N122" s="5529" t="s">
        <v>4578</v>
      </c>
      <c r="O122" s="2803"/>
      <c r="P122" s="2803"/>
      <c r="Q122" s="2803"/>
      <c r="R122" s="2803"/>
      <c r="S122" s="2803"/>
      <c r="T122" s="2803"/>
      <c r="U122" s="2803"/>
    </row>
    <row r="123" spans="1:21" ht="15" customHeight="1" x14ac:dyDescent="0.25">
      <c r="A123" s="5634" t="s">
        <v>4869</v>
      </c>
      <c r="B123" s="2775" t="s">
        <v>581</v>
      </c>
      <c r="C123" s="2765" t="s">
        <v>4567</v>
      </c>
      <c r="D123" s="2776" t="s">
        <v>4568</v>
      </c>
      <c r="E123" s="2777" t="s">
        <v>4569</v>
      </c>
      <c r="F123" s="2776" t="s">
        <v>4570</v>
      </c>
      <c r="G123" s="2777" t="s">
        <v>4571</v>
      </c>
      <c r="H123" s="2776" t="s">
        <v>4572</v>
      </c>
      <c r="I123" s="2777" t="s">
        <v>4573</v>
      </c>
      <c r="J123" s="2776" t="s">
        <v>4574</v>
      </c>
      <c r="K123" s="2778" t="s">
        <v>4575</v>
      </c>
      <c r="L123" s="2777" t="s">
        <v>4576</v>
      </c>
      <c r="M123" s="2776" t="s">
        <v>4577</v>
      </c>
      <c r="N123" s="5530" t="s">
        <v>4578</v>
      </c>
      <c r="O123" s="2803"/>
      <c r="P123" s="2803"/>
      <c r="Q123" s="2803"/>
      <c r="R123" s="2803"/>
      <c r="S123" s="2803"/>
      <c r="T123" s="2803"/>
      <c r="U123" s="2803"/>
    </row>
    <row r="124" spans="1:21" ht="15" customHeight="1" x14ac:dyDescent="0.25">
      <c r="A124" s="5634" t="s">
        <v>4870</v>
      </c>
      <c r="B124" s="2808" t="s">
        <v>554</v>
      </c>
      <c r="C124" s="2782" t="s">
        <v>4567</v>
      </c>
      <c r="D124" s="2783" t="s">
        <v>4568</v>
      </c>
      <c r="E124" s="2809" t="s">
        <v>4569</v>
      </c>
      <c r="F124" s="2789" t="s">
        <v>4570</v>
      </c>
      <c r="G124" s="2810" t="s">
        <v>4571</v>
      </c>
      <c r="H124" s="2789" t="s">
        <v>4572</v>
      </c>
      <c r="I124" s="2810" t="s">
        <v>4573</v>
      </c>
      <c r="J124" s="2783" t="s">
        <v>4574</v>
      </c>
      <c r="K124" s="2811" t="s">
        <v>4575</v>
      </c>
      <c r="L124" s="2810" t="s">
        <v>4576</v>
      </c>
      <c r="M124" s="2783" t="s">
        <v>4577</v>
      </c>
      <c r="N124" s="5531" t="s">
        <v>4578</v>
      </c>
      <c r="O124" s="2803"/>
      <c r="P124" s="2803"/>
      <c r="Q124" s="2803"/>
      <c r="R124" s="2803"/>
      <c r="S124" s="2803"/>
      <c r="T124" s="2803"/>
      <c r="U124" s="2803"/>
    </row>
    <row r="125" spans="1:21" ht="18" customHeight="1" x14ac:dyDescent="0.25">
      <c r="A125" s="5548"/>
      <c r="B125" s="2155" t="s">
        <v>582</v>
      </c>
      <c r="C125" s="2812"/>
      <c r="D125" s="2812"/>
      <c r="E125" s="2813"/>
      <c r="F125" s="2814"/>
      <c r="G125" s="2814"/>
      <c r="H125" s="2814"/>
      <c r="I125" s="2814"/>
      <c r="J125" s="2815"/>
      <c r="K125" s="88"/>
      <c r="L125" s="2815"/>
      <c r="M125" s="88"/>
      <c r="N125" s="7"/>
    </row>
    <row r="126" spans="1:21" ht="15" customHeight="1" x14ac:dyDescent="0.25">
      <c r="A126" s="5548"/>
      <c r="B126" s="6439" t="s">
        <v>583</v>
      </c>
      <c r="C126" s="6436" t="s">
        <v>584</v>
      </c>
      <c r="D126" s="6441" t="s">
        <v>585</v>
      </c>
      <c r="E126" s="6442"/>
      <c r="F126" s="6442"/>
      <c r="G126" s="6442"/>
      <c r="H126" s="6442"/>
      <c r="I126" s="6442"/>
      <c r="J126" s="6442"/>
      <c r="K126" s="6442"/>
      <c r="L126" s="6442"/>
      <c r="M126" s="6443"/>
      <c r="N126" s="6436" t="s">
        <v>586</v>
      </c>
    </row>
    <row r="127" spans="1:21" ht="38.450000000000003" customHeight="1" x14ac:dyDescent="0.25">
      <c r="A127" s="5548"/>
      <c r="B127" s="6440"/>
      <c r="C127" s="6438"/>
      <c r="D127" s="2407" t="s">
        <v>64</v>
      </c>
      <c r="E127" s="490" t="s">
        <v>587</v>
      </c>
      <c r="F127" s="490" t="s">
        <v>98</v>
      </c>
      <c r="G127" s="490" t="s">
        <v>65</v>
      </c>
      <c r="H127" s="490" t="s">
        <v>105</v>
      </c>
      <c r="I127" s="548" t="s">
        <v>194</v>
      </c>
      <c r="J127" s="548" t="s">
        <v>588</v>
      </c>
      <c r="K127" s="490" t="s">
        <v>589</v>
      </c>
      <c r="L127" s="548" t="s">
        <v>590</v>
      </c>
      <c r="M127" s="2816" t="s">
        <v>591</v>
      </c>
      <c r="N127" s="6438"/>
    </row>
    <row r="128" spans="1:21" ht="15" customHeight="1" x14ac:dyDescent="0.25">
      <c r="A128" s="5633" t="s">
        <v>4871</v>
      </c>
      <c r="B128" s="491" t="s">
        <v>592</v>
      </c>
      <c r="C128" s="2767" t="s">
        <v>4567</v>
      </c>
      <c r="D128" s="2766" t="s">
        <v>4568</v>
      </c>
      <c r="E128" s="2817" t="s">
        <v>4569</v>
      </c>
      <c r="F128" s="2817" t="s">
        <v>4570</v>
      </c>
      <c r="G128" s="2817" t="s">
        <v>4571</v>
      </c>
      <c r="H128" s="2817" t="s">
        <v>4572</v>
      </c>
      <c r="I128" s="2817" t="s">
        <v>4573</v>
      </c>
      <c r="J128" s="2817" t="s">
        <v>4574</v>
      </c>
      <c r="K128" s="2817" t="s">
        <v>4575</v>
      </c>
      <c r="L128" s="2817" t="s">
        <v>4576</v>
      </c>
      <c r="M128" s="2767" t="s">
        <v>4577</v>
      </c>
      <c r="N128" s="2818" t="s">
        <v>4578</v>
      </c>
    </row>
    <row r="129" spans="1:77" ht="15" customHeight="1" x14ac:dyDescent="0.25">
      <c r="A129" s="5633" t="s">
        <v>4872</v>
      </c>
      <c r="B129" s="357" t="s">
        <v>593</v>
      </c>
      <c r="C129" s="2784" t="s">
        <v>4567</v>
      </c>
      <c r="D129" s="2785" t="s">
        <v>4568</v>
      </c>
      <c r="E129" s="2819" t="s">
        <v>4569</v>
      </c>
      <c r="F129" s="2819" t="s">
        <v>4570</v>
      </c>
      <c r="G129" s="2819" t="s">
        <v>4571</v>
      </c>
      <c r="H129" s="2819" t="s">
        <v>4572</v>
      </c>
      <c r="I129" s="2819" t="s">
        <v>4573</v>
      </c>
      <c r="J129" s="2819" t="s">
        <v>4574</v>
      </c>
      <c r="K129" s="2819" t="s">
        <v>4575</v>
      </c>
      <c r="L129" s="2819" t="s">
        <v>4576</v>
      </c>
      <c r="M129" s="2784" t="s">
        <v>4577</v>
      </c>
      <c r="N129" s="2820" t="s">
        <v>4578</v>
      </c>
    </row>
    <row r="130" spans="1:77" ht="15" customHeight="1" x14ac:dyDescent="0.25">
      <c r="A130" s="5633" t="s">
        <v>4873</v>
      </c>
      <c r="B130" s="517" t="s">
        <v>594</v>
      </c>
      <c r="C130" s="2809" t="s">
        <v>4567</v>
      </c>
      <c r="D130" s="2783" t="s">
        <v>4568</v>
      </c>
      <c r="E130" s="2821" t="s">
        <v>4569</v>
      </c>
      <c r="F130" s="2821" t="s">
        <v>4570</v>
      </c>
      <c r="G130" s="2821" t="s">
        <v>4571</v>
      </c>
      <c r="H130" s="2821" t="s">
        <v>4572</v>
      </c>
      <c r="I130" s="2821" t="s">
        <v>4573</v>
      </c>
      <c r="J130" s="2821" t="s">
        <v>4574</v>
      </c>
      <c r="K130" s="2821" t="s">
        <v>4575</v>
      </c>
      <c r="L130" s="2821" t="s">
        <v>4576</v>
      </c>
      <c r="M130" s="2809" t="s">
        <v>4577</v>
      </c>
      <c r="N130" s="2822" t="s">
        <v>4578</v>
      </c>
    </row>
    <row r="131" spans="1:77" ht="18" customHeight="1" x14ac:dyDescent="0.25">
      <c r="A131" s="5608"/>
      <c r="B131" s="3" t="s">
        <v>595</v>
      </c>
      <c r="C131" s="2823"/>
      <c r="D131" s="2823"/>
      <c r="E131" s="2823"/>
      <c r="F131" s="2823"/>
      <c r="G131" s="2823"/>
      <c r="H131" s="2823"/>
      <c r="I131" s="2823"/>
      <c r="J131" s="2823"/>
      <c r="K131" s="2823"/>
      <c r="L131" s="2823"/>
      <c r="M131" s="2823"/>
      <c r="N131" s="2823"/>
      <c r="O131" s="2823"/>
      <c r="P131" s="2823"/>
      <c r="Q131" s="2823"/>
      <c r="R131" s="2823"/>
      <c r="S131" s="2823"/>
      <c r="T131" s="2823"/>
      <c r="U131" s="2823"/>
      <c r="V131" s="2823"/>
      <c r="W131" s="2823"/>
      <c r="X131" s="2823"/>
      <c r="Y131" s="2823"/>
      <c r="Z131" s="2823"/>
      <c r="AA131" s="2823"/>
      <c r="AB131" s="2823"/>
      <c r="AC131" s="2823"/>
      <c r="AD131" s="2823"/>
      <c r="AE131" s="2823"/>
      <c r="AF131" s="2823"/>
      <c r="AG131" s="2823"/>
      <c r="AH131" s="2823"/>
      <c r="AI131" s="2823"/>
      <c r="AJ131" s="2823"/>
      <c r="AK131" s="2823"/>
      <c r="AL131" s="2823"/>
      <c r="AM131" s="2823"/>
      <c r="AN131" s="2823"/>
      <c r="AO131" s="2823"/>
      <c r="AP131" s="2824"/>
      <c r="AQ131" s="2824"/>
      <c r="AR131" s="2725"/>
      <c r="AS131" s="2725"/>
    </row>
    <row r="132" spans="1:77" ht="15" customHeight="1" x14ac:dyDescent="0.25">
      <c r="A132" s="5608"/>
      <c r="B132" s="6444" t="s">
        <v>596</v>
      </c>
      <c r="C132" s="6445" t="s">
        <v>28</v>
      </c>
      <c r="D132" s="6148"/>
      <c r="E132" s="6100"/>
      <c r="F132" s="6411" t="s">
        <v>101</v>
      </c>
      <c r="G132" s="6446"/>
      <c r="H132" s="6446"/>
      <c r="I132" s="6446"/>
      <c r="J132" s="6446"/>
      <c r="K132" s="6446"/>
      <c r="L132" s="6446"/>
      <c r="M132" s="6446"/>
      <c r="N132" s="6446"/>
      <c r="O132" s="6446"/>
      <c r="P132" s="6446"/>
      <c r="Q132" s="6446"/>
      <c r="R132" s="6446"/>
      <c r="S132" s="6446"/>
      <c r="T132" s="6446"/>
      <c r="U132" s="6446"/>
      <c r="V132" s="6446"/>
      <c r="W132" s="6446"/>
      <c r="X132" s="6446"/>
      <c r="Y132" s="6446"/>
      <c r="Z132" s="6446"/>
      <c r="AA132" s="6446"/>
      <c r="AB132" s="6446"/>
      <c r="AC132" s="6446"/>
      <c r="AD132" s="6446"/>
      <c r="AE132" s="6446"/>
      <c r="AF132" s="6446"/>
      <c r="AG132" s="6446"/>
      <c r="AH132" s="6446"/>
      <c r="AI132" s="6446"/>
      <c r="AJ132" s="6446"/>
      <c r="AK132" s="6446"/>
      <c r="AL132" s="6446"/>
      <c r="AM132" s="6446"/>
      <c r="AN132" s="6446"/>
      <c r="AO132" s="6447"/>
      <c r="AP132" s="6099" t="s">
        <v>597</v>
      </c>
      <c r="AQ132" s="6385" t="s">
        <v>453</v>
      </c>
      <c r="AR132" s="6385" t="s">
        <v>34</v>
      </c>
      <c r="AS132" s="6100" t="s">
        <v>35</v>
      </c>
    </row>
    <row r="133" spans="1:77" ht="21" customHeight="1" x14ac:dyDescent="0.25">
      <c r="A133" s="5608"/>
      <c r="B133" s="6350"/>
      <c r="C133" s="6214"/>
      <c r="D133" s="6150"/>
      <c r="E133" s="6028"/>
      <c r="F133" s="6405" t="s">
        <v>474</v>
      </c>
      <c r="G133" s="6448"/>
      <c r="H133" s="6411" t="s">
        <v>475</v>
      </c>
      <c r="I133" s="6448"/>
      <c r="J133" s="6411" t="s">
        <v>326</v>
      </c>
      <c r="K133" s="6448"/>
      <c r="L133" s="6411" t="s">
        <v>94</v>
      </c>
      <c r="M133" s="6448"/>
      <c r="N133" s="6411" t="s">
        <v>44</v>
      </c>
      <c r="O133" s="6448"/>
      <c r="P133" s="6411" t="s">
        <v>45</v>
      </c>
      <c r="Q133" s="6448"/>
      <c r="R133" s="6446" t="s">
        <v>46</v>
      </c>
      <c r="S133" s="6448"/>
      <c r="T133" s="6411" t="s">
        <v>47</v>
      </c>
      <c r="U133" s="6448"/>
      <c r="V133" s="6411" t="s">
        <v>48</v>
      </c>
      <c r="W133" s="6448"/>
      <c r="X133" s="6411" t="s">
        <v>49</v>
      </c>
      <c r="Y133" s="6448"/>
      <c r="Z133" s="6411" t="s">
        <v>50</v>
      </c>
      <c r="AA133" s="6448"/>
      <c r="AB133" s="6411" t="s">
        <v>51</v>
      </c>
      <c r="AC133" s="6448"/>
      <c r="AD133" s="6411" t="s">
        <v>52</v>
      </c>
      <c r="AE133" s="6448"/>
      <c r="AF133" s="6411" t="s">
        <v>53</v>
      </c>
      <c r="AG133" s="6448"/>
      <c r="AH133" s="6411" t="s">
        <v>54</v>
      </c>
      <c r="AI133" s="6448"/>
      <c r="AJ133" s="6411" t="s">
        <v>55</v>
      </c>
      <c r="AK133" s="6448"/>
      <c r="AL133" s="6411" t="s">
        <v>56</v>
      </c>
      <c r="AM133" s="6448"/>
      <c r="AN133" s="6446" t="s">
        <v>476</v>
      </c>
      <c r="AO133" s="6447"/>
      <c r="AP133" s="6034"/>
      <c r="AQ133" s="6386"/>
      <c r="AR133" s="6386"/>
      <c r="AS133" s="6027"/>
    </row>
    <row r="134" spans="1:77" ht="15" customHeight="1" x14ac:dyDescent="0.25">
      <c r="A134" s="5608"/>
      <c r="B134" s="6384"/>
      <c r="C134" s="1723" t="s">
        <v>79</v>
      </c>
      <c r="D134" s="547" t="s">
        <v>58</v>
      </c>
      <c r="E134" s="1742" t="s">
        <v>59</v>
      </c>
      <c r="F134" s="467" t="s">
        <v>58</v>
      </c>
      <c r="G134" s="464" t="s">
        <v>59</v>
      </c>
      <c r="H134" s="467" t="s">
        <v>58</v>
      </c>
      <c r="I134" s="464" t="s">
        <v>59</v>
      </c>
      <c r="J134" s="467" t="s">
        <v>58</v>
      </c>
      <c r="K134" s="464" t="s">
        <v>59</v>
      </c>
      <c r="L134" s="467" t="s">
        <v>58</v>
      </c>
      <c r="M134" s="464" t="s">
        <v>59</v>
      </c>
      <c r="N134" s="467" t="s">
        <v>58</v>
      </c>
      <c r="O134" s="464" t="s">
        <v>59</v>
      </c>
      <c r="P134" s="467" t="s">
        <v>58</v>
      </c>
      <c r="Q134" s="464" t="s">
        <v>59</v>
      </c>
      <c r="R134" s="467" t="s">
        <v>58</v>
      </c>
      <c r="S134" s="464" t="s">
        <v>59</v>
      </c>
      <c r="T134" s="467" t="s">
        <v>58</v>
      </c>
      <c r="U134" s="464" t="s">
        <v>59</v>
      </c>
      <c r="V134" s="467" t="s">
        <v>58</v>
      </c>
      <c r="W134" s="464" t="s">
        <v>59</v>
      </c>
      <c r="X134" s="467" t="s">
        <v>58</v>
      </c>
      <c r="Y134" s="464" t="s">
        <v>59</v>
      </c>
      <c r="Z134" s="467" t="s">
        <v>58</v>
      </c>
      <c r="AA134" s="464" t="s">
        <v>59</v>
      </c>
      <c r="AB134" s="467" t="s">
        <v>58</v>
      </c>
      <c r="AC134" s="464" t="s">
        <v>59</v>
      </c>
      <c r="AD134" s="467" t="s">
        <v>58</v>
      </c>
      <c r="AE134" s="464" t="s">
        <v>59</v>
      </c>
      <c r="AF134" s="467" t="s">
        <v>58</v>
      </c>
      <c r="AG134" s="464" t="s">
        <v>59</v>
      </c>
      <c r="AH134" s="467" t="s">
        <v>58</v>
      </c>
      <c r="AI134" s="464" t="s">
        <v>59</v>
      </c>
      <c r="AJ134" s="467" t="s">
        <v>58</v>
      </c>
      <c r="AK134" s="464" t="s">
        <v>59</v>
      </c>
      <c r="AL134" s="467" t="s">
        <v>58</v>
      </c>
      <c r="AM134" s="464" t="s">
        <v>59</v>
      </c>
      <c r="AN134" s="467" t="s">
        <v>58</v>
      </c>
      <c r="AO134" s="465" t="s">
        <v>59</v>
      </c>
      <c r="AP134" s="6035"/>
      <c r="AQ134" s="6086"/>
      <c r="AR134" s="6086"/>
      <c r="AS134" s="6028"/>
    </row>
    <row r="135" spans="1:77" ht="24.75" customHeight="1" x14ac:dyDescent="0.25">
      <c r="A135" s="5636" t="s">
        <v>4874</v>
      </c>
      <c r="B135" s="499" t="s">
        <v>599</v>
      </c>
      <c r="C135" s="2825" t="s">
        <v>4567</v>
      </c>
      <c r="D135" s="478" t="s">
        <v>4568</v>
      </c>
      <c r="E135" s="2826" t="s">
        <v>4569</v>
      </c>
      <c r="F135" s="290" t="s">
        <v>4570</v>
      </c>
      <c r="G135" s="107" t="s">
        <v>4571</v>
      </c>
      <c r="H135" s="290" t="s">
        <v>4572</v>
      </c>
      <c r="I135" s="622" t="s">
        <v>4573</v>
      </c>
      <c r="J135" s="290" t="s">
        <v>4574</v>
      </c>
      <c r="K135" s="622" t="s">
        <v>4575</v>
      </c>
      <c r="L135" s="290" t="s">
        <v>4576</v>
      </c>
      <c r="M135" s="622" t="s">
        <v>4577</v>
      </c>
      <c r="N135" s="290" t="s">
        <v>4578</v>
      </c>
      <c r="O135" s="622" t="s">
        <v>4579</v>
      </c>
      <c r="P135" s="290" t="s">
        <v>4580</v>
      </c>
      <c r="Q135" s="622" t="s">
        <v>4581</v>
      </c>
      <c r="R135" s="22" t="s">
        <v>4582</v>
      </c>
      <c r="S135" s="622" t="s">
        <v>4583</v>
      </c>
      <c r="T135" s="290" t="s">
        <v>4584</v>
      </c>
      <c r="U135" s="622" t="s">
        <v>4585</v>
      </c>
      <c r="V135" s="290" t="s">
        <v>4586</v>
      </c>
      <c r="W135" s="622" t="s">
        <v>4587</v>
      </c>
      <c r="X135" s="290" t="s">
        <v>4588</v>
      </c>
      <c r="Y135" s="622" t="s">
        <v>4589</v>
      </c>
      <c r="Z135" s="290" t="s">
        <v>4590</v>
      </c>
      <c r="AA135" s="622" t="s">
        <v>4591</v>
      </c>
      <c r="AB135" s="290" t="s">
        <v>4592</v>
      </c>
      <c r="AC135" s="622" t="s">
        <v>4593</v>
      </c>
      <c r="AD135" s="290" t="s">
        <v>4594</v>
      </c>
      <c r="AE135" s="622" t="s">
        <v>4595</v>
      </c>
      <c r="AF135" s="290" t="s">
        <v>4596</v>
      </c>
      <c r="AG135" s="622" t="s">
        <v>4597</v>
      </c>
      <c r="AH135" s="290" t="s">
        <v>4598</v>
      </c>
      <c r="AI135" s="622" t="s">
        <v>4599</v>
      </c>
      <c r="AJ135" s="290" t="s">
        <v>4600</v>
      </c>
      <c r="AK135" s="622" t="s">
        <v>4601</v>
      </c>
      <c r="AL135" s="290" t="s">
        <v>4602</v>
      </c>
      <c r="AM135" s="622" t="s">
        <v>4603</v>
      </c>
      <c r="AN135" s="65" t="s">
        <v>4604</v>
      </c>
      <c r="AO135" s="430" t="s">
        <v>4605</v>
      </c>
      <c r="AP135" s="2655" t="s">
        <v>4606</v>
      </c>
      <c r="AQ135" s="2656" t="s">
        <v>4934</v>
      </c>
      <c r="AR135" s="2626" t="s">
        <v>4935</v>
      </c>
      <c r="AS135" s="2827" t="s">
        <v>4936</v>
      </c>
      <c r="AT135" t="str">
        <f>BP135&amp;BQ135&amp;BR135&amp;BS135&amp;BT135</f>
        <v xml:space="preserve">  * La variable Beneficiarios No puede ser mayor al Total.  * La variable Gestantes No puede ser mayor al Total Mujeres.  * La variable Niños, Niñas, adolescentes y jóvenes SENAME No puede ser mayor al Total.  * La variable Niños, Niñas, adolescentes y jóvenes Mejor Niñez No puede ser mayor al Total.</v>
      </c>
      <c r="BP135" s="83" t="str">
        <f>IF(AND(C135&gt;0,AP135="")," * No olvide digitar la variable Beneficiarios. Digite Cero si no tiene.",IF(AP135&gt;C135,"  * La variable Beneficiarios No puede ser mayor al Total.",""))</f>
        <v xml:space="preserve">  * La variable Beneficiarios No puede ser mayor al Total.</v>
      </c>
      <c r="BQ135" s="83" t="str">
        <f>IF(AND(E135&gt;0,AQ135="")," * No olvide digitar la variable Gestantes. Digite Cero si no tiene.",IF(AQ135&gt;E135,"  * La variable Gestantes No puede ser mayor al Total Mujeres.",""))</f>
        <v xml:space="preserve">  * La variable Gestantes No puede ser mayor al Total Mujeres.</v>
      </c>
      <c r="BR135" s="83" t="str">
        <f>IF(AND(C135&gt;0,AR135="")," * No olvide digitar la variable Niños, Niñas, adolescentes y jóvenes SENAME. Digite Cero si no tiene.",IF(AR135&gt;C135,"  * La variable Niños, Niñas, adolescentes y jóvenes SENAME No puede ser mayor al Total.",""))</f>
        <v xml:space="preserve">  * La variable Niños, Niñas, adolescentes y jóvenes SENAME No puede ser mayor al Total.</v>
      </c>
      <c r="BS135" s="83" t="str">
        <f>IF(AND(C135&gt;0,AS135="")," * No olvide digitar la variable Niños, Niñas, adolescentes y jóvenes Mejor niñez. Digite Cero si no tiene.",IF(AS135&gt;C135,"  * La variable Niños, Niñas, adolescentes y jóvenes Mejor Niñez No puede ser mayor al Total.",""))</f>
        <v xml:space="preserve">  * La variable Niños, Niñas, adolescentes y jóvenes Mejor Niñez No puede ser mayor al Total.</v>
      </c>
      <c r="BV135" s="2628">
        <f>IF(AND(C135&gt;0,AP135=""),1,IF(AP135&gt;C135,1,0))</f>
        <v>1</v>
      </c>
      <c r="BW135" s="2628">
        <f>IF(AND(E135&gt;0,AQ135=""),1,IF(AQ135&gt;E135,1,0))</f>
        <v>1</v>
      </c>
      <c r="BX135" s="2628">
        <f>IF(AND(C135&gt;0,AR135=""),1,IF(AR135&gt;C135,1,0))</f>
        <v>1</v>
      </c>
      <c r="BY135" s="2628">
        <f>IF(AND(C135&gt;0,AS135=""),1,IF(AS135&gt;C135,1,0))</f>
        <v>1</v>
      </c>
    </row>
    <row r="136" spans="1:77" ht="15" customHeight="1" x14ac:dyDescent="0.25">
      <c r="A136" s="5636" t="s">
        <v>4875</v>
      </c>
      <c r="B136" s="479" t="s">
        <v>600</v>
      </c>
      <c r="C136" s="2825" t="s">
        <v>4567</v>
      </c>
      <c r="D136" s="478" t="s">
        <v>4568</v>
      </c>
      <c r="E136" s="2826" t="s">
        <v>4569</v>
      </c>
      <c r="F136" s="345" t="s">
        <v>4570</v>
      </c>
      <c r="G136" s="346" t="s">
        <v>4571</v>
      </c>
      <c r="H136" s="345" t="s">
        <v>4572</v>
      </c>
      <c r="I136" s="349" t="s">
        <v>4573</v>
      </c>
      <c r="J136" s="345" t="s">
        <v>4574</v>
      </c>
      <c r="K136" s="349" t="s">
        <v>4575</v>
      </c>
      <c r="L136" s="345" t="s">
        <v>4576</v>
      </c>
      <c r="M136" s="349" t="s">
        <v>4577</v>
      </c>
      <c r="N136" s="345" t="s">
        <v>4578</v>
      </c>
      <c r="O136" s="349" t="s">
        <v>4579</v>
      </c>
      <c r="P136" s="345" t="s">
        <v>4580</v>
      </c>
      <c r="Q136" s="349" t="s">
        <v>4581</v>
      </c>
      <c r="R136" s="347" t="s">
        <v>4582</v>
      </c>
      <c r="S136" s="349" t="s">
        <v>4583</v>
      </c>
      <c r="T136" s="345" t="s">
        <v>4584</v>
      </c>
      <c r="U136" s="349" t="s">
        <v>4585</v>
      </c>
      <c r="V136" s="345" t="s">
        <v>4586</v>
      </c>
      <c r="W136" s="349" t="s">
        <v>4587</v>
      </c>
      <c r="X136" s="345" t="s">
        <v>4588</v>
      </c>
      <c r="Y136" s="349" t="s">
        <v>4589</v>
      </c>
      <c r="Z136" s="345" t="s">
        <v>4590</v>
      </c>
      <c r="AA136" s="349" t="s">
        <v>4591</v>
      </c>
      <c r="AB136" s="345" t="s">
        <v>4592</v>
      </c>
      <c r="AC136" s="349" t="s">
        <v>4593</v>
      </c>
      <c r="AD136" s="345" t="s">
        <v>4594</v>
      </c>
      <c r="AE136" s="349" t="s">
        <v>4595</v>
      </c>
      <c r="AF136" s="345" t="s">
        <v>4596</v>
      </c>
      <c r="AG136" s="349" t="s">
        <v>4597</v>
      </c>
      <c r="AH136" s="345" t="s">
        <v>4598</v>
      </c>
      <c r="AI136" s="349" t="s">
        <v>4599</v>
      </c>
      <c r="AJ136" s="345" t="s">
        <v>4600</v>
      </c>
      <c r="AK136" s="349" t="s">
        <v>4601</v>
      </c>
      <c r="AL136" s="345" t="s">
        <v>4602</v>
      </c>
      <c r="AM136" s="349" t="s">
        <v>4603</v>
      </c>
      <c r="AN136" s="554" t="s">
        <v>4604</v>
      </c>
      <c r="AO136" s="351" t="s">
        <v>4605</v>
      </c>
      <c r="AP136" s="811" t="s">
        <v>4606</v>
      </c>
      <c r="AQ136" s="2630" t="s">
        <v>4934</v>
      </c>
      <c r="AR136" s="2656" t="s">
        <v>4935</v>
      </c>
      <c r="AS136" s="2657" t="s">
        <v>4936</v>
      </c>
      <c r="AT136" t="str">
        <f t="shared" ref="AT136:AT137" si="71">BP136&amp;BQ136&amp;BR136&amp;BS136&amp;BT136</f>
        <v xml:space="preserve">  * La variable Beneficiarios No puede ser mayor al Total.  * La variable Gestantes No puede ser mayor al Total Mujeres.  * La variable Niños, Niñas, adolescentes y jóvenes SENAME No puede ser mayor al Total.  * La variable Niños, Niñas, adolescentes y jóvenes Mejor Niñez No puede ser mayor al Total.</v>
      </c>
      <c r="BP136" s="83" t="str">
        <f t="shared" ref="BP136:BP137" si="72">IF(AND(C136&gt;0,AP136="")," * No olvide digitar la variable Beneficiarios. Digite Cero si no tiene.",IF(AP136&gt;C136,"  * La variable Beneficiarios No puede ser mayor al Total.",""))</f>
        <v xml:space="preserve">  * La variable Beneficiarios No puede ser mayor al Total.</v>
      </c>
      <c r="BQ136" s="83" t="str">
        <f t="shared" ref="BQ136:BQ137" si="73">IF(AND(E136&gt;0,AQ136="")," * No olvide digitar la variable Gestantes. Digite Cero si no tiene.",IF(AQ136&gt;E136,"  * La variable Gestantes No puede ser mayor al Total Mujeres.",""))</f>
        <v xml:space="preserve">  * La variable Gestantes No puede ser mayor al Total Mujeres.</v>
      </c>
      <c r="BR136" s="83" t="str">
        <f t="shared" ref="BR136:BR137" si="74">IF(AND(C136&gt;0,AR136="")," * No olvide digitar la variable Niños, Niñas, adolescentes y jóvenes SENAME. Digite Cero si no tiene.",IF(AR136&gt;C136,"  * La variable Niños, Niñas, adolescentes y jóvenes SENAME No puede ser mayor al Total.",""))</f>
        <v xml:space="preserve">  * La variable Niños, Niñas, adolescentes y jóvenes SENAME No puede ser mayor al Total.</v>
      </c>
      <c r="BS136" s="83" t="str">
        <f t="shared" ref="BS136:BS137" si="75">IF(AND(C136&gt;0,AS136="")," * No olvide digitar la variable Niños, Niñas, adolescentes y jóvenes Mejor niñez. Digite Cero si no tiene.",IF(AS136&gt;C136,"  * La variable Niños, Niñas, adolescentes y jóvenes Mejor Niñez No puede ser mayor al Total.",""))</f>
        <v xml:space="preserve">  * La variable Niños, Niñas, adolescentes y jóvenes Mejor Niñez No puede ser mayor al Total.</v>
      </c>
      <c r="BV136" s="2628">
        <f t="shared" ref="BV136:BV137" si="76">IF(AND(C136&gt;0,AP136=""),1,IF(AP136&gt;C136,1,0))</f>
        <v>1</v>
      </c>
      <c r="BW136" s="2628">
        <f t="shared" ref="BW136:BW137" si="77">IF(AND(E136&gt;0,AQ136=""),1,IF(AQ136&gt;E136,1,0))</f>
        <v>1</v>
      </c>
      <c r="BX136" s="2628">
        <f t="shared" ref="BX136:BX137" si="78">IF(AND(C136&gt;0,AR136=""),1,IF(AR136&gt;C136,1,0))</f>
        <v>1</v>
      </c>
      <c r="BY136" s="2628">
        <f t="shared" ref="BY136:BY137" si="79">IF(AND(C136&gt;0,AS136=""),1,IF(AS136&gt;C136,1,0))</f>
        <v>1</v>
      </c>
    </row>
    <row r="137" spans="1:77" ht="15" customHeight="1" x14ac:dyDescent="0.25">
      <c r="A137" s="5636" t="s">
        <v>4876</v>
      </c>
      <c r="B137" s="2828" t="s">
        <v>601</v>
      </c>
      <c r="C137" s="2829" t="s">
        <v>4567</v>
      </c>
      <c r="D137" s="483" t="s">
        <v>4568</v>
      </c>
      <c r="E137" s="401" t="s">
        <v>4569</v>
      </c>
      <c r="F137" s="379" t="s">
        <v>4570</v>
      </c>
      <c r="G137" s="387" t="s">
        <v>4571</v>
      </c>
      <c r="H137" s="379" t="s">
        <v>4572</v>
      </c>
      <c r="I137" s="388" t="s">
        <v>4573</v>
      </c>
      <c r="J137" s="379" t="s">
        <v>4574</v>
      </c>
      <c r="K137" s="388" t="s">
        <v>4575</v>
      </c>
      <c r="L137" s="379" t="s">
        <v>4576</v>
      </c>
      <c r="M137" s="388" t="s">
        <v>4577</v>
      </c>
      <c r="N137" s="379" t="s">
        <v>4578</v>
      </c>
      <c r="O137" s="388" t="s">
        <v>4579</v>
      </c>
      <c r="P137" s="379" t="s">
        <v>4580</v>
      </c>
      <c r="Q137" s="388" t="s">
        <v>4581</v>
      </c>
      <c r="R137" s="428" t="s">
        <v>4582</v>
      </c>
      <c r="S137" s="388" t="s">
        <v>4583</v>
      </c>
      <c r="T137" s="379" t="s">
        <v>4584</v>
      </c>
      <c r="U137" s="388" t="s">
        <v>4585</v>
      </c>
      <c r="V137" s="379" t="s">
        <v>4586</v>
      </c>
      <c r="W137" s="388" t="s">
        <v>4587</v>
      </c>
      <c r="X137" s="379" t="s">
        <v>4588</v>
      </c>
      <c r="Y137" s="388" t="s">
        <v>4589</v>
      </c>
      <c r="Z137" s="379" t="s">
        <v>4590</v>
      </c>
      <c r="AA137" s="388" t="s">
        <v>4591</v>
      </c>
      <c r="AB137" s="379" t="s">
        <v>4592</v>
      </c>
      <c r="AC137" s="388" t="s">
        <v>4593</v>
      </c>
      <c r="AD137" s="379" t="s">
        <v>4594</v>
      </c>
      <c r="AE137" s="388" t="s">
        <v>4595</v>
      </c>
      <c r="AF137" s="379" t="s">
        <v>4596</v>
      </c>
      <c r="AG137" s="388" t="s">
        <v>4597</v>
      </c>
      <c r="AH137" s="379" t="s">
        <v>4598</v>
      </c>
      <c r="AI137" s="388" t="s">
        <v>4599</v>
      </c>
      <c r="AJ137" s="379" t="s">
        <v>4600</v>
      </c>
      <c r="AK137" s="388" t="s">
        <v>4601</v>
      </c>
      <c r="AL137" s="379" t="s">
        <v>4602</v>
      </c>
      <c r="AM137" s="388" t="s">
        <v>4603</v>
      </c>
      <c r="AN137" s="557" t="s">
        <v>4604</v>
      </c>
      <c r="AO137" s="389" t="s">
        <v>4605</v>
      </c>
      <c r="AP137" s="814" t="s">
        <v>4606</v>
      </c>
      <c r="AQ137" s="2647" t="s">
        <v>4934</v>
      </c>
      <c r="AR137" s="2647" t="s">
        <v>4935</v>
      </c>
      <c r="AS137" s="815" t="s">
        <v>4936</v>
      </c>
      <c r="AT137" t="str">
        <f t="shared" si="71"/>
        <v xml:space="preserve">  * La variable Beneficiarios No puede ser mayor al Total.  * La variable Gestantes No puede ser mayor al Total Mujeres.  * La variable Niños, Niñas, adolescentes y jóvenes SENAME No puede ser mayor al Total.  * La variable Niños, Niñas, adolescentes y jóvenes Mejor Niñez No puede ser mayor al Total.</v>
      </c>
      <c r="BP137" s="83" t="str">
        <f t="shared" si="72"/>
        <v xml:space="preserve">  * La variable Beneficiarios No puede ser mayor al Total.</v>
      </c>
      <c r="BQ137" s="83" t="str">
        <f t="shared" si="73"/>
        <v xml:space="preserve">  * La variable Gestantes No puede ser mayor al Total Mujeres.</v>
      </c>
      <c r="BR137" s="83" t="str">
        <f t="shared" si="74"/>
        <v xml:space="preserve">  * La variable Niños, Niñas, adolescentes y jóvenes SENAME No puede ser mayor al Total.</v>
      </c>
      <c r="BS137" s="83" t="str">
        <f t="shared" si="75"/>
        <v xml:space="preserve">  * La variable Niños, Niñas, adolescentes y jóvenes Mejor Niñez No puede ser mayor al Total.</v>
      </c>
      <c r="BV137" s="2628">
        <f t="shared" si="76"/>
        <v>1</v>
      </c>
      <c r="BW137" s="2628">
        <f t="shared" si="77"/>
        <v>1</v>
      </c>
      <c r="BX137" s="2628">
        <f t="shared" si="78"/>
        <v>1</v>
      </c>
      <c r="BY137" s="2628">
        <f t="shared" si="79"/>
        <v>1</v>
      </c>
    </row>
    <row r="138" spans="1:77" ht="18" customHeight="1" x14ac:dyDescent="0.25">
      <c r="B138" s="3" t="s">
        <v>602</v>
      </c>
      <c r="C138" s="2830"/>
      <c r="D138" s="2830"/>
      <c r="E138" s="24"/>
      <c r="F138" s="2830"/>
      <c r="G138" s="24"/>
      <c r="H138" s="24"/>
      <c r="I138" s="24"/>
      <c r="J138" s="24"/>
      <c r="K138" s="24"/>
      <c r="L138" s="24"/>
    </row>
    <row r="139" spans="1:77" ht="15" customHeight="1" x14ac:dyDescent="0.25">
      <c r="A139" s="5613"/>
      <c r="B139" s="6107" t="s">
        <v>603</v>
      </c>
      <c r="C139" s="6108"/>
      <c r="D139" s="6444" t="s">
        <v>77</v>
      </c>
      <c r="E139" s="6411" t="s">
        <v>29</v>
      </c>
      <c r="F139" s="6446"/>
      <c r="G139" s="6446"/>
      <c r="H139" s="6446"/>
      <c r="I139" s="6448"/>
      <c r="J139" s="6107" t="s">
        <v>453</v>
      </c>
      <c r="K139" s="6099" t="s">
        <v>36</v>
      </c>
      <c r="L139" s="6108" t="s">
        <v>37</v>
      </c>
    </row>
    <row r="140" spans="1:77" ht="35.450000000000003" customHeight="1" x14ac:dyDescent="0.25">
      <c r="A140" s="5613"/>
      <c r="B140" s="6449"/>
      <c r="C140" s="6450"/>
      <c r="D140" s="6384"/>
      <c r="E140" s="2831" t="s">
        <v>604</v>
      </c>
      <c r="F140" s="548" t="s">
        <v>605</v>
      </c>
      <c r="G140" s="548" t="s">
        <v>606</v>
      </c>
      <c r="H140" s="548" t="s">
        <v>607</v>
      </c>
      <c r="I140" s="2816" t="s">
        <v>608</v>
      </c>
      <c r="J140" s="6449"/>
      <c r="K140" s="6035"/>
      <c r="L140" s="6450"/>
    </row>
    <row r="141" spans="1:77" ht="15" customHeight="1" x14ac:dyDescent="0.25">
      <c r="A141" s="5633" t="s">
        <v>4877</v>
      </c>
      <c r="B141" s="6452" t="s">
        <v>609</v>
      </c>
      <c r="C141" s="2832" t="s">
        <v>610</v>
      </c>
      <c r="D141" s="470" t="s">
        <v>4567</v>
      </c>
      <c r="E141" s="2833" t="s">
        <v>4568</v>
      </c>
      <c r="F141" s="2834" t="s">
        <v>4569</v>
      </c>
      <c r="G141" s="2834" t="s">
        <v>4570</v>
      </c>
      <c r="H141" s="2834" t="s">
        <v>4571</v>
      </c>
      <c r="I141" s="2835" t="s">
        <v>4572</v>
      </c>
      <c r="J141" s="2836" t="s">
        <v>4573</v>
      </c>
      <c r="K141" s="2837" t="s">
        <v>4574</v>
      </c>
      <c r="L141" s="2838" t="s">
        <v>4575</v>
      </c>
      <c r="M141" t="str">
        <f>BP141&amp;BQ141&amp;BR141</f>
        <v xml:space="preserve"> * La variable Pueblos originarios No puede ser mayor al Total. * La variable Migrantes No puede ser mayor al Total.</v>
      </c>
      <c r="BP141" s="19"/>
      <c r="BQ141" s="2673" t="str">
        <f>IF(AND(D141&gt;0,K141="")," * No olvide digitar la variable Pueblos originarios. Digite Cero si no tiene.",IF(K141&gt;D141," * La variable Pueblos originarios No puede ser mayor al Total.",""))</f>
        <v xml:space="preserve"> * La variable Pueblos originarios No puede ser mayor al Total.</v>
      </c>
      <c r="BR141" s="2673" t="str">
        <f>IF(AND(D141&gt;0,L141="")," * No olvide digitar la variable Migrantes. Digite Cero si no tiene.",IF(L141&gt;D141," * La variable Migrantes No puede ser mayor al Total.",""))</f>
        <v xml:space="preserve"> * La variable Migrantes No puede ser mayor al Total.</v>
      </c>
      <c r="BW141" s="2628">
        <f>IF(AND(D141&gt;0,K141=""),1,IF(K141&gt;D141,1,0))</f>
        <v>1</v>
      </c>
      <c r="BX141" s="2628">
        <f>IF(AND(D141&gt;0,L141=""),1,IF(L141&gt;D141,1,0))</f>
        <v>1</v>
      </c>
    </row>
    <row r="142" spans="1:77" ht="24" customHeight="1" x14ac:dyDescent="0.25">
      <c r="A142" s="5633" t="s">
        <v>4878</v>
      </c>
      <c r="B142" s="6112"/>
      <c r="C142" s="2250" t="s">
        <v>611</v>
      </c>
      <c r="D142" s="477" t="s">
        <v>4567</v>
      </c>
      <c r="E142" s="2839" t="s">
        <v>4568</v>
      </c>
      <c r="F142" s="2840" t="s">
        <v>4569</v>
      </c>
      <c r="G142" s="2840" t="s">
        <v>4570</v>
      </c>
      <c r="H142" s="2840" t="s">
        <v>4571</v>
      </c>
      <c r="I142" s="2841" t="s">
        <v>4572</v>
      </c>
      <c r="J142" s="2836" t="s">
        <v>4573</v>
      </c>
      <c r="K142" s="2842" t="s">
        <v>4574</v>
      </c>
      <c r="L142" s="2843" t="s">
        <v>4575</v>
      </c>
      <c r="M142" t="str">
        <f t="shared" ref="M142:M145" si="80">BP142&amp;BQ142&amp;BR142</f>
        <v xml:space="preserve"> * La variable Pueblos originarios No puede ser mayor al Total. * La variable Migrantes No puede ser mayor al Total.</v>
      </c>
      <c r="BP142" s="19"/>
      <c r="BQ142" s="2673" t="str">
        <f t="shared" ref="BQ142:BQ149" si="81">IF(AND(D142&gt;0,K142="")," * No olvide digitar la variable Pueblos originarios. Digite Cero si no tiene.",IF(K142&gt;D142," * La variable Pueblos originarios No puede ser mayor al Total.",""))</f>
        <v xml:space="preserve"> * La variable Pueblos originarios No puede ser mayor al Total.</v>
      </c>
      <c r="BR142" s="2673" t="str">
        <f t="shared" ref="BR142:BR149" si="82">IF(AND(D142&gt;0,L142="")," * No olvide digitar la variable Migrantes. Digite Cero si no tiene.",IF(L142&gt;D142," * La variable Migrantes No puede ser mayor al Total.",""))</f>
        <v xml:space="preserve"> * La variable Migrantes No puede ser mayor al Total.</v>
      </c>
      <c r="BW142" s="2628">
        <f t="shared" ref="BW142:BW149" si="83">IF(AND(D142&gt;0,K142=""),1,IF(K142&gt;D142,1,0))</f>
        <v>1</v>
      </c>
      <c r="BX142" s="2628">
        <f t="shared" ref="BX142:BX149" si="84">IF(AND(D142&gt;0,L142=""),1,IF(L142&gt;D142,1,0))</f>
        <v>1</v>
      </c>
    </row>
    <row r="143" spans="1:77" ht="15" customHeight="1" x14ac:dyDescent="0.25">
      <c r="A143" s="5633" t="s">
        <v>4879</v>
      </c>
      <c r="B143" s="6059"/>
      <c r="C143" s="1985" t="s">
        <v>612</v>
      </c>
      <c r="D143" s="555" t="s">
        <v>4567</v>
      </c>
      <c r="E143" s="2844" t="s">
        <v>4568</v>
      </c>
      <c r="F143" s="2845" t="s">
        <v>4569</v>
      </c>
      <c r="G143" s="2845" t="s">
        <v>4570</v>
      </c>
      <c r="H143" s="2845" t="s">
        <v>4571</v>
      </c>
      <c r="I143" s="2846" t="s">
        <v>4572</v>
      </c>
      <c r="J143" s="2836" t="s">
        <v>4573</v>
      </c>
      <c r="K143" s="2847" t="s">
        <v>4574</v>
      </c>
      <c r="L143" s="2848" t="s">
        <v>4575</v>
      </c>
      <c r="M143" t="str">
        <f t="shared" si="80"/>
        <v xml:space="preserve"> * La variable Pueblos originarios No puede ser mayor al Total. * La variable Migrantes No puede ser mayor al Total.</v>
      </c>
      <c r="BP143" s="19"/>
      <c r="BQ143" s="2673" t="str">
        <f t="shared" si="81"/>
        <v xml:space="preserve"> * La variable Pueblos originarios No puede ser mayor al Total.</v>
      </c>
      <c r="BR143" s="2673" t="str">
        <f t="shared" si="82"/>
        <v xml:space="preserve"> * La variable Migrantes No puede ser mayor al Total.</v>
      </c>
      <c r="BW143" s="2628">
        <f t="shared" si="83"/>
        <v>1</v>
      </c>
      <c r="BX143" s="2628">
        <f t="shared" si="84"/>
        <v>1</v>
      </c>
    </row>
    <row r="144" spans="1:77" ht="23.25" customHeight="1" x14ac:dyDescent="0.25">
      <c r="A144" s="5633" t="s">
        <v>4880</v>
      </c>
      <c r="B144" s="6453" t="s">
        <v>613</v>
      </c>
      <c r="C144" s="2849" t="s">
        <v>614</v>
      </c>
      <c r="D144" s="470" t="s">
        <v>4567</v>
      </c>
      <c r="E144" s="2806" t="s">
        <v>4568</v>
      </c>
      <c r="F144" s="2850" t="s">
        <v>4569</v>
      </c>
      <c r="G144" s="2850" t="s">
        <v>4570</v>
      </c>
      <c r="H144" s="2850" t="s">
        <v>4571</v>
      </c>
      <c r="I144" s="2851" t="s">
        <v>4572</v>
      </c>
      <c r="J144" s="2852" t="s">
        <v>4573</v>
      </c>
      <c r="K144" s="2853" t="s">
        <v>4574</v>
      </c>
      <c r="L144" s="2854" t="s">
        <v>4575</v>
      </c>
      <c r="M144" t="str">
        <f t="shared" si="80"/>
        <v xml:space="preserve">  * La variable Pueblos Gestantes No puede ser mayor al Total. * La variable Pueblos originarios No puede ser mayor al Total. * La variable Migrantes No puede ser mayor al Total.</v>
      </c>
      <c r="BP144" s="83" t="str">
        <f>IF(AND(D144&gt;0,J144="")," * No olvide digitar la variable Gestantes. Digite Cero si no tiene.",IF(J144&gt;D144,"  * La variable Pueblos Gestantes No puede ser mayor al Total.",""))</f>
        <v xml:space="preserve">  * La variable Pueblos Gestantes No puede ser mayor al Total.</v>
      </c>
      <c r="BQ144" s="2673" t="str">
        <f t="shared" si="81"/>
        <v xml:space="preserve"> * La variable Pueblos originarios No puede ser mayor al Total.</v>
      </c>
      <c r="BR144" s="2673" t="str">
        <f t="shared" si="82"/>
        <v xml:space="preserve"> * La variable Migrantes No puede ser mayor al Total.</v>
      </c>
      <c r="BV144" s="2628">
        <f>IF(AND(D144&gt;0,J144=""),1,IF(J144&gt;D144,1,0))</f>
        <v>1</v>
      </c>
      <c r="BW144" s="2628">
        <f t="shared" si="83"/>
        <v>1</v>
      </c>
      <c r="BX144" s="2628">
        <f t="shared" si="84"/>
        <v>1</v>
      </c>
    </row>
    <row r="145" spans="1:76" ht="25.5" customHeight="1" x14ac:dyDescent="0.25">
      <c r="A145" s="5633" t="s">
        <v>4881</v>
      </c>
      <c r="B145" s="6059"/>
      <c r="C145" s="2855" t="s">
        <v>615</v>
      </c>
      <c r="D145" s="555" t="s">
        <v>4567</v>
      </c>
      <c r="E145" s="2856" t="s">
        <v>4568</v>
      </c>
      <c r="F145" s="2857" t="s">
        <v>4569</v>
      </c>
      <c r="G145" s="2857" t="s">
        <v>4570</v>
      </c>
      <c r="H145" s="2857" t="s">
        <v>4571</v>
      </c>
      <c r="I145" s="2858" t="s">
        <v>4572</v>
      </c>
      <c r="J145" s="2859" t="s">
        <v>4573</v>
      </c>
      <c r="K145" s="2847" t="s">
        <v>4574</v>
      </c>
      <c r="L145" s="2848" t="s">
        <v>4575</v>
      </c>
      <c r="M145" t="str">
        <f t="shared" si="80"/>
        <v xml:space="preserve"> * La variable Pueblos originarios No puede ser mayor al Total. * La variable Migrantes No puede ser mayor al Total.</v>
      </c>
      <c r="BP145" s="19"/>
      <c r="BQ145" s="2673" t="str">
        <f t="shared" si="81"/>
        <v xml:space="preserve"> * La variable Pueblos originarios No puede ser mayor al Total.</v>
      </c>
      <c r="BR145" s="2673" t="str">
        <f t="shared" si="82"/>
        <v xml:space="preserve"> * La variable Migrantes No puede ser mayor al Total.</v>
      </c>
      <c r="BW145" s="2628">
        <f t="shared" si="83"/>
        <v>1</v>
      </c>
      <c r="BX145" s="2628">
        <f t="shared" si="84"/>
        <v>1</v>
      </c>
    </row>
    <row r="146" spans="1:76" ht="15" customHeight="1" x14ac:dyDescent="0.25">
      <c r="A146" s="5633" t="s">
        <v>4882</v>
      </c>
      <c r="B146" s="6112" t="s">
        <v>616</v>
      </c>
      <c r="C146" s="250" t="s">
        <v>64</v>
      </c>
      <c r="D146" s="299" t="s">
        <v>4567</v>
      </c>
      <c r="E146" s="2860" t="s">
        <v>4568</v>
      </c>
      <c r="F146" s="2861" t="s">
        <v>4569</v>
      </c>
      <c r="G146" s="2861" t="s">
        <v>4570</v>
      </c>
      <c r="H146" s="2861" t="s">
        <v>4571</v>
      </c>
      <c r="I146" s="2835" t="s">
        <v>4572</v>
      </c>
      <c r="J146" s="2862" t="s">
        <v>4573</v>
      </c>
      <c r="K146" s="2863" t="s">
        <v>4574</v>
      </c>
      <c r="L146" s="2864" t="s">
        <v>4575</v>
      </c>
      <c r="M146" t="str">
        <f>BP146&amp;BQ146&amp;BR146</f>
        <v xml:space="preserve"> * La variable Gestantes No puede ser mayor al Total. * La variable Pueblos originarios No puede ser mayor al Total. * La variable Migrantes No puede ser mayor al Total.</v>
      </c>
      <c r="BP146" s="2673" t="str">
        <f>IF(AND(D146&gt;0,J146="")," * No olvide digitar la variable Gestantes. Digite Cero si no tiene.",IF(J146&gt;D146," * La variable Gestantes No puede ser mayor al Total.",""))</f>
        <v xml:space="preserve"> * La variable Gestantes No puede ser mayor al Total.</v>
      </c>
      <c r="BQ146" s="2673" t="str">
        <f t="shared" si="81"/>
        <v xml:space="preserve"> * La variable Pueblos originarios No puede ser mayor al Total.</v>
      </c>
      <c r="BR146" s="2673" t="str">
        <f t="shared" si="82"/>
        <v xml:space="preserve"> * La variable Migrantes No puede ser mayor al Total.</v>
      </c>
      <c r="BS146" t="str">
        <f>IF(AND(D146&gt;0,J146="")," * No olvide digitar la variable Gestantes. Digite Cero si no tiene.",IF(J146&gt;D146," * La variable Gestantes No puede ser mayor al Total.",""))</f>
        <v xml:space="preserve"> * La variable Gestantes No puede ser mayor al Total.</v>
      </c>
      <c r="BV146" s="2628">
        <f>IF(AND(D146&gt;0,J146=""),1,IF(J146&gt;D146,1,0))</f>
        <v>1</v>
      </c>
      <c r="BW146" s="2628">
        <f>IF(AND(D146&gt;0,K146=""),1,IF(K146&gt;D146,1,0))</f>
        <v>1</v>
      </c>
      <c r="BX146" s="2628">
        <f>IF(AND(D146&gt;0,L146=""),1,IF(L146&gt;D146,1,0))</f>
        <v>1</v>
      </c>
    </row>
    <row r="147" spans="1:76" ht="15" customHeight="1" x14ac:dyDescent="0.25">
      <c r="A147" s="5633" t="s">
        <v>4883</v>
      </c>
      <c r="B147" s="6112"/>
      <c r="C147" s="250" t="s">
        <v>65</v>
      </c>
      <c r="D147" s="299" t="s">
        <v>4567</v>
      </c>
      <c r="E147" s="2860" t="s">
        <v>4568</v>
      </c>
      <c r="F147" s="2861" t="s">
        <v>4569</v>
      </c>
      <c r="G147" s="2861" t="s">
        <v>4570</v>
      </c>
      <c r="H147" s="2861" t="s">
        <v>4571</v>
      </c>
      <c r="I147" s="2865" t="s">
        <v>4572</v>
      </c>
      <c r="J147" s="2862" t="s">
        <v>4573</v>
      </c>
      <c r="K147" s="2863" t="s">
        <v>4574</v>
      </c>
      <c r="L147" s="2864" t="s">
        <v>4575</v>
      </c>
      <c r="M147" t="str">
        <f t="shared" ref="M147:M149" si="85">BP147&amp;BQ147&amp;BR147</f>
        <v xml:space="preserve"> * La variable Gestantes No puede ser mayor al Total. * La variable Pueblos originarios No puede ser mayor al Total. * La variable Migrantes No puede ser mayor al Total.</v>
      </c>
      <c r="BP147" s="2673" t="str">
        <f t="shared" ref="BP147:BP149" si="86">IF(AND(D147&gt;0,J147="")," * No olvide digitar la variable Gestantes. Digite Cero si no tiene.",IF(J147&gt;D147," * La variable Gestantes No puede ser mayor al Total.",""))</f>
        <v xml:space="preserve"> * La variable Gestantes No puede ser mayor al Total.</v>
      </c>
      <c r="BQ147" s="2673" t="str">
        <f t="shared" si="81"/>
        <v xml:space="preserve"> * La variable Pueblos originarios No puede ser mayor al Total.</v>
      </c>
      <c r="BR147" s="2673" t="str">
        <f t="shared" si="82"/>
        <v xml:space="preserve"> * La variable Migrantes No puede ser mayor al Total.</v>
      </c>
      <c r="BV147" s="2628">
        <f>IF(AND(D147&gt;0,J147=""),1,IF(J147&gt;D147,1,0))</f>
        <v>1</v>
      </c>
      <c r="BW147" s="2628">
        <f t="shared" si="83"/>
        <v>1</v>
      </c>
      <c r="BX147" s="2628">
        <f t="shared" si="84"/>
        <v>1</v>
      </c>
    </row>
    <row r="148" spans="1:76" ht="15" customHeight="1" x14ac:dyDescent="0.25">
      <c r="A148" s="5633" t="s">
        <v>4884</v>
      </c>
      <c r="B148" s="6112"/>
      <c r="C148" s="343" t="s">
        <v>98</v>
      </c>
      <c r="D148" s="299" t="s">
        <v>4567</v>
      </c>
      <c r="E148" s="2839" t="s">
        <v>4568</v>
      </c>
      <c r="F148" s="2840" t="s">
        <v>4569</v>
      </c>
      <c r="G148" s="2840" t="s">
        <v>4570</v>
      </c>
      <c r="H148" s="2840" t="s">
        <v>4571</v>
      </c>
      <c r="I148" s="2841" t="s">
        <v>4572</v>
      </c>
      <c r="J148" s="2866" t="s">
        <v>4573</v>
      </c>
      <c r="K148" s="2842" t="s">
        <v>4574</v>
      </c>
      <c r="L148" s="2843" t="s">
        <v>4575</v>
      </c>
      <c r="M148" t="str">
        <f t="shared" si="85"/>
        <v xml:space="preserve"> * La variable Gestantes No puede ser mayor al Total. * La variable Pueblos originarios No puede ser mayor al Total. * La variable Migrantes No puede ser mayor al Total.</v>
      </c>
      <c r="BP148" s="2673" t="str">
        <f t="shared" si="86"/>
        <v xml:space="preserve"> * La variable Gestantes No puede ser mayor al Total.</v>
      </c>
      <c r="BQ148" s="2673" t="str">
        <f t="shared" si="81"/>
        <v xml:space="preserve"> * La variable Pueblos originarios No puede ser mayor al Total.</v>
      </c>
      <c r="BR148" s="2673" t="str">
        <f t="shared" si="82"/>
        <v xml:space="preserve"> * La variable Migrantes No puede ser mayor al Total.</v>
      </c>
      <c r="BV148" s="2628">
        <f>IF(AND(D148&gt;0,J148=""),1,IF(J148&gt;D148,1,0))</f>
        <v>1</v>
      </c>
      <c r="BW148" s="2628">
        <f t="shared" si="83"/>
        <v>1</v>
      </c>
      <c r="BX148" s="2628">
        <f t="shared" si="84"/>
        <v>1</v>
      </c>
    </row>
    <row r="149" spans="1:76" ht="15" customHeight="1" x14ac:dyDescent="0.25">
      <c r="A149" s="5633" t="s">
        <v>4885</v>
      </c>
      <c r="B149" s="6059"/>
      <c r="C149" s="516" t="s">
        <v>534</v>
      </c>
      <c r="D149" s="517" t="s">
        <v>4567</v>
      </c>
      <c r="E149" s="2844" t="s">
        <v>4568</v>
      </c>
      <c r="F149" s="2845" t="s">
        <v>4569</v>
      </c>
      <c r="G149" s="2845" t="s">
        <v>4570</v>
      </c>
      <c r="H149" s="2845" t="s">
        <v>4571</v>
      </c>
      <c r="I149" s="2846" t="s">
        <v>4572</v>
      </c>
      <c r="J149" s="2867" t="s">
        <v>4573</v>
      </c>
      <c r="K149" s="2847" t="s">
        <v>4574</v>
      </c>
      <c r="L149" s="2848" t="s">
        <v>4575</v>
      </c>
      <c r="M149" t="str">
        <f t="shared" si="85"/>
        <v xml:space="preserve"> * La variable Gestantes No puede ser mayor al Total. * La variable Pueblos originarios No puede ser mayor al Total. * La variable Migrantes No puede ser mayor al Total.</v>
      </c>
      <c r="BP149" s="2673" t="str">
        <f t="shared" si="86"/>
        <v xml:space="preserve"> * La variable Gestantes No puede ser mayor al Total.</v>
      </c>
      <c r="BQ149" s="2673" t="str">
        <f t="shared" si="81"/>
        <v xml:space="preserve"> * La variable Pueblos originarios No puede ser mayor al Total.</v>
      </c>
      <c r="BR149" s="2673" t="str">
        <f t="shared" si="82"/>
        <v xml:space="preserve"> * La variable Migrantes No puede ser mayor al Total.</v>
      </c>
      <c r="BV149" s="2628">
        <f>IF(AND(D149&gt;0,J149=""),1,IF(J149&gt;D149,1,0))</f>
        <v>1</v>
      </c>
      <c r="BW149" s="2628">
        <f t="shared" si="83"/>
        <v>1</v>
      </c>
      <c r="BX149" s="2628">
        <f t="shared" si="84"/>
        <v>1</v>
      </c>
    </row>
    <row r="150" spans="1:76" ht="18" customHeight="1" x14ac:dyDescent="0.25">
      <c r="B150" s="3" t="s">
        <v>617</v>
      </c>
      <c r="AO150" s="88"/>
      <c r="AP150" s="88"/>
    </row>
    <row r="151" spans="1:76" ht="15" customHeight="1" x14ac:dyDescent="0.25">
      <c r="A151" s="5613"/>
      <c r="B151" s="6142" t="s">
        <v>27</v>
      </c>
      <c r="C151" s="6142" t="s">
        <v>618</v>
      </c>
      <c r="D151" s="6454" t="s">
        <v>79</v>
      </c>
      <c r="E151" s="6104" t="s">
        <v>58</v>
      </c>
      <c r="F151" s="6108" t="s">
        <v>59</v>
      </c>
      <c r="G151" s="6461" t="s">
        <v>101</v>
      </c>
      <c r="H151" s="6462"/>
      <c r="I151" s="6462"/>
      <c r="J151" s="6462"/>
      <c r="K151" s="6462"/>
      <c r="L151" s="6462"/>
      <c r="M151" s="6462"/>
      <c r="N151" s="6462"/>
      <c r="O151" s="6462"/>
      <c r="P151" s="6462"/>
      <c r="Q151" s="6462"/>
      <c r="R151" s="6462"/>
      <c r="S151" s="6462"/>
      <c r="T151" s="6462"/>
      <c r="U151" s="6462"/>
      <c r="V151" s="6462"/>
      <c r="W151" s="6462"/>
      <c r="X151" s="6462"/>
      <c r="Y151" s="6462"/>
      <c r="Z151" s="6462"/>
      <c r="AA151" s="6462"/>
      <c r="AB151" s="6462"/>
      <c r="AC151" s="6462"/>
      <c r="AD151" s="6462"/>
      <c r="AE151" s="6462"/>
      <c r="AF151" s="6462"/>
      <c r="AG151" s="6462"/>
      <c r="AH151" s="6462"/>
      <c r="AI151" s="6462"/>
      <c r="AJ151" s="6462"/>
      <c r="AK151" s="6462"/>
      <c r="AL151" s="6462"/>
      <c r="AM151" s="6462"/>
      <c r="AN151" s="6463"/>
      <c r="AO151" s="6104" t="s">
        <v>36</v>
      </c>
      <c r="AP151" s="6108" t="s">
        <v>37</v>
      </c>
    </row>
    <row r="152" spans="1:76" ht="15" customHeight="1" x14ac:dyDescent="0.25">
      <c r="A152" s="5613"/>
      <c r="B152" s="6144"/>
      <c r="C152" s="6144"/>
      <c r="D152" s="6102"/>
      <c r="E152" s="6105"/>
      <c r="F152" s="6331"/>
      <c r="G152" s="6405" t="s">
        <v>343</v>
      </c>
      <c r="H152" s="6451"/>
      <c r="I152" s="6405" t="s">
        <v>326</v>
      </c>
      <c r="J152" s="6451"/>
      <c r="K152" s="6405" t="s">
        <v>94</v>
      </c>
      <c r="L152" s="6451"/>
      <c r="M152" s="6405" t="s">
        <v>44</v>
      </c>
      <c r="N152" s="6451"/>
      <c r="O152" s="6405" t="s">
        <v>45</v>
      </c>
      <c r="P152" s="6451"/>
      <c r="Q152" s="6456" t="s">
        <v>46</v>
      </c>
      <c r="R152" s="6451"/>
      <c r="S152" s="6405" t="s">
        <v>47</v>
      </c>
      <c r="T152" s="6451"/>
      <c r="U152" s="6405" t="s">
        <v>48</v>
      </c>
      <c r="V152" s="6451"/>
      <c r="W152" s="6405" t="s">
        <v>49</v>
      </c>
      <c r="X152" s="6451"/>
      <c r="Y152" s="6405" t="s">
        <v>50</v>
      </c>
      <c r="Z152" s="6451"/>
      <c r="AA152" s="6405" t="s">
        <v>51</v>
      </c>
      <c r="AB152" s="6451"/>
      <c r="AC152" s="6405" t="s">
        <v>52</v>
      </c>
      <c r="AD152" s="6451"/>
      <c r="AE152" s="6405" t="s">
        <v>53</v>
      </c>
      <c r="AF152" s="6451"/>
      <c r="AG152" s="6405" t="s">
        <v>54</v>
      </c>
      <c r="AH152" s="6451"/>
      <c r="AI152" s="6405" t="s">
        <v>55</v>
      </c>
      <c r="AJ152" s="6451"/>
      <c r="AK152" s="6405" t="s">
        <v>56</v>
      </c>
      <c r="AL152" s="6451"/>
      <c r="AM152" s="6405" t="s">
        <v>57</v>
      </c>
      <c r="AN152" s="6455"/>
      <c r="AO152" s="6105"/>
      <c r="AP152" s="6331"/>
    </row>
    <row r="153" spans="1:76" ht="15" customHeight="1" x14ac:dyDescent="0.25">
      <c r="A153" s="5613"/>
      <c r="B153" s="6146"/>
      <c r="C153" s="6146"/>
      <c r="D153" s="6103"/>
      <c r="E153" s="6106"/>
      <c r="F153" s="6110"/>
      <c r="G153" s="467" t="s">
        <v>461</v>
      </c>
      <c r="H153" s="468" t="s">
        <v>59</v>
      </c>
      <c r="I153" s="467" t="s">
        <v>461</v>
      </c>
      <c r="J153" s="468" t="s">
        <v>59</v>
      </c>
      <c r="K153" s="467" t="s">
        <v>461</v>
      </c>
      <c r="L153" s="468" t="s">
        <v>59</v>
      </c>
      <c r="M153" s="467" t="s">
        <v>461</v>
      </c>
      <c r="N153" s="468" t="s">
        <v>59</v>
      </c>
      <c r="O153" s="467" t="s">
        <v>461</v>
      </c>
      <c r="P153" s="468" t="s">
        <v>59</v>
      </c>
      <c r="Q153" s="467" t="s">
        <v>461</v>
      </c>
      <c r="R153" s="468" t="s">
        <v>59</v>
      </c>
      <c r="S153" s="467" t="s">
        <v>461</v>
      </c>
      <c r="T153" s="468" t="s">
        <v>59</v>
      </c>
      <c r="U153" s="467" t="s">
        <v>461</v>
      </c>
      <c r="V153" s="468" t="s">
        <v>59</v>
      </c>
      <c r="W153" s="467" t="s">
        <v>461</v>
      </c>
      <c r="X153" s="468" t="s">
        <v>59</v>
      </c>
      <c r="Y153" s="467" t="s">
        <v>461</v>
      </c>
      <c r="Z153" s="468" t="s">
        <v>59</v>
      </c>
      <c r="AA153" s="467" t="s">
        <v>461</v>
      </c>
      <c r="AB153" s="468" t="s">
        <v>59</v>
      </c>
      <c r="AC153" s="467" t="s">
        <v>461</v>
      </c>
      <c r="AD153" s="468" t="s">
        <v>59</v>
      </c>
      <c r="AE153" s="467" t="s">
        <v>461</v>
      </c>
      <c r="AF153" s="468" t="s">
        <v>59</v>
      </c>
      <c r="AG153" s="467" t="s">
        <v>461</v>
      </c>
      <c r="AH153" s="468" t="s">
        <v>59</v>
      </c>
      <c r="AI153" s="467" t="s">
        <v>461</v>
      </c>
      <c r="AJ153" s="468" t="s">
        <v>59</v>
      </c>
      <c r="AK153" s="467" t="s">
        <v>461</v>
      </c>
      <c r="AL153" s="468" t="s">
        <v>59</v>
      </c>
      <c r="AM153" s="467" t="s">
        <v>461</v>
      </c>
      <c r="AN153" s="469" t="s">
        <v>59</v>
      </c>
      <c r="AO153" s="6106"/>
      <c r="AP153" s="6110"/>
    </row>
    <row r="154" spans="1:76" ht="15" customHeight="1" x14ac:dyDescent="0.25">
      <c r="A154" s="5633" t="s">
        <v>4886</v>
      </c>
      <c r="B154" s="6453" t="s">
        <v>64</v>
      </c>
      <c r="C154" s="491" t="s">
        <v>619</v>
      </c>
      <c r="D154" s="470" t="s">
        <v>4567</v>
      </c>
      <c r="E154" s="471" t="s">
        <v>4568</v>
      </c>
      <c r="F154" s="472" t="s">
        <v>4569</v>
      </c>
      <c r="G154" s="473" t="s">
        <v>4570</v>
      </c>
      <c r="H154" s="474" t="s">
        <v>4571</v>
      </c>
      <c r="I154" s="473" t="s">
        <v>4572</v>
      </c>
      <c r="J154" s="474" t="s">
        <v>4573</v>
      </c>
      <c r="K154" s="473" t="s">
        <v>4574</v>
      </c>
      <c r="L154" s="474" t="s">
        <v>4575</v>
      </c>
      <c r="M154" s="473" t="s">
        <v>4576</v>
      </c>
      <c r="N154" s="474" t="s">
        <v>4577</v>
      </c>
      <c r="O154" s="473" t="s">
        <v>4578</v>
      </c>
      <c r="P154" s="474" t="s">
        <v>4579</v>
      </c>
      <c r="Q154" s="473" t="s">
        <v>4580</v>
      </c>
      <c r="R154" s="474" t="s">
        <v>4581</v>
      </c>
      <c r="S154" s="473" t="s">
        <v>4582</v>
      </c>
      <c r="T154" s="474" t="s">
        <v>4583</v>
      </c>
      <c r="U154" s="473" t="s">
        <v>4584</v>
      </c>
      <c r="V154" s="474" t="s">
        <v>4585</v>
      </c>
      <c r="W154" s="473" t="s">
        <v>4586</v>
      </c>
      <c r="X154" s="474" t="s">
        <v>4587</v>
      </c>
      <c r="Y154" s="473" t="s">
        <v>4588</v>
      </c>
      <c r="Z154" s="474" t="s">
        <v>4589</v>
      </c>
      <c r="AA154" s="473" t="s">
        <v>4590</v>
      </c>
      <c r="AB154" s="474" t="s">
        <v>4591</v>
      </c>
      <c r="AC154" s="473" t="s">
        <v>4592</v>
      </c>
      <c r="AD154" s="474" t="s">
        <v>4593</v>
      </c>
      <c r="AE154" s="473" t="s">
        <v>4594</v>
      </c>
      <c r="AF154" s="474" t="s">
        <v>4595</v>
      </c>
      <c r="AG154" s="473" t="s">
        <v>4596</v>
      </c>
      <c r="AH154" s="474" t="s">
        <v>4597</v>
      </c>
      <c r="AI154" s="473" t="s">
        <v>4598</v>
      </c>
      <c r="AJ154" s="474" t="s">
        <v>4599</v>
      </c>
      <c r="AK154" s="473" t="s">
        <v>4600</v>
      </c>
      <c r="AL154" s="474" t="s">
        <v>4601</v>
      </c>
      <c r="AM154" s="473" t="s">
        <v>4602</v>
      </c>
      <c r="AN154" s="475" t="s">
        <v>4603</v>
      </c>
      <c r="AO154" s="476" t="s">
        <v>4604</v>
      </c>
      <c r="AP154" s="474" t="s">
        <v>4605</v>
      </c>
      <c r="AQ154" t="str">
        <f>BP154&amp;BQ154</f>
        <v xml:space="preserve">  * La variable Pueblos originarios No puede ser mayor al Total.  * La variable Migrantes No puede ser mayor al Total.</v>
      </c>
      <c r="BP154" s="83" t="str">
        <f>IF(AND(D154&gt;0,AO154=""),"  * No olvide digitar la variable Pueblos originarios. Digite Cero si no tiene.",IF(AO154&gt;D154,"  * La variable Pueblos originarios No puede ser mayor al Total.",""))</f>
        <v xml:space="preserve">  * La variable Pueblos originarios No puede ser mayor al Total.</v>
      </c>
      <c r="BQ154" s="83" t="str">
        <f>IF(AND(D154&gt;0,AP154=""),"  * No olvide digitar la variable Migrantes. Digite Cero si no tiene.",IF(AP154&gt;D154,"  * La variable Migrantes No puede ser mayor al Total.",""))</f>
        <v xml:space="preserve">  * La variable Migrantes No puede ser mayor al Total.</v>
      </c>
      <c r="BR154" s="2673"/>
      <c r="BS154" s="2673"/>
      <c r="BT154" s="2673"/>
      <c r="BV154" s="2628">
        <f>IF(AND(D154&gt;0,AO154=""),1,IF(AO154&gt;D154,1,0))</f>
        <v>1</v>
      </c>
      <c r="BW154" s="2628">
        <f>IF(AND(D154&gt;0,AP154=""),1,IF(AP154&gt;D154,1,0))</f>
        <v>1</v>
      </c>
    </row>
    <row r="155" spans="1:76" ht="15" customHeight="1" x14ac:dyDescent="0.25">
      <c r="A155" s="5633" t="s">
        <v>4887</v>
      </c>
      <c r="B155" s="6112"/>
      <c r="C155" s="357" t="s">
        <v>620</v>
      </c>
      <c r="D155" s="477" t="s">
        <v>4567</v>
      </c>
      <c r="E155" s="478" t="s">
        <v>4568</v>
      </c>
      <c r="F155" s="479" t="s">
        <v>4569</v>
      </c>
      <c r="G155" s="290" t="s">
        <v>4570</v>
      </c>
      <c r="H155" s="107" t="s">
        <v>4571</v>
      </c>
      <c r="I155" s="290" t="s">
        <v>4572</v>
      </c>
      <c r="J155" s="107" t="s">
        <v>4573</v>
      </c>
      <c r="K155" s="290" t="s">
        <v>4574</v>
      </c>
      <c r="L155" s="107" t="s">
        <v>4575</v>
      </c>
      <c r="M155" s="290" t="s">
        <v>4576</v>
      </c>
      <c r="N155" s="107" t="s">
        <v>4577</v>
      </c>
      <c r="O155" s="290" t="s">
        <v>4578</v>
      </c>
      <c r="P155" s="107" t="s">
        <v>4579</v>
      </c>
      <c r="Q155" s="290" t="s">
        <v>4580</v>
      </c>
      <c r="R155" s="107" t="s">
        <v>4581</v>
      </c>
      <c r="S155" s="290" t="s">
        <v>4582</v>
      </c>
      <c r="T155" s="107" t="s">
        <v>4583</v>
      </c>
      <c r="U155" s="290" t="s">
        <v>4584</v>
      </c>
      <c r="V155" s="107" t="s">
        <v>4585</v>
      </c>
      <c r="W155" s="290" t="s">
        <v>4586</v>
      </c>
      <c r="X155" s="107" t="s">
        <v>4587</v>
      </c>
      <c r="Y155" s="290" t="s">
        <v>4588</v>
      </c>
      <c r="Z155" s="107" t="s">
        <v>4589</v>
      </c>
      <c r="AA155" s="290" t="s">
        <v>4590</v>
      </c>
      <c r="AB155" s="107" t="s">
        <v>4591</v>
      </c>
      <c r="AC155" s="290" t="s">
        <v>4592</v>
      </c>
      <c r="AD155" s="107" t="s">
        <v>4593</v>
      </c>
      <c r="AE155" s="290" t="s">
        <v>4594</v>
      </c>
      <c r="AF155" s="107" t="s">
        <v>4595</v>
      </c>
      <c r="AG155" s="290" t="s">
        <v>4596</v>
      </c>
      <c r="AH155" s="107" t="s">
        <v>4597</v>
      </c>
      <c r="AI155" s="290" t="s">
        <v>4598</v>
      </c>
      <c r="AJ155" s="107" t="s">
        <v>4599</v>
      </c>
      <c r="AK155" s="290" t="s">
        <v>4600</v>
      </c>
      <c r="AL155" s="107" t="s">
        <v>4601</v>
      </c>
      <c r="AM155" s="290" t="s">
        <v>4602</v>
      </c>
      <c r="AN155" s="61" t="s">
        <v>4603</v>
      </c>
      <c r="AO155" s="22" t="s">
        <v>4604</v>
      </c>
      <c r="AP155" s="107" t="s">
        <v>4605</v>
      </c>
      <c r="AQ155" t="str">
        <f t="shared" ref="AQ155:AQ167" si="87">BP155&amp;BQ155</f>
        <v xml:space="preserve">  * La variable Pueblos originarios No puede ser mayor al Total.  * La variable Migrantes No puede ser mayor al Total.</v>
      </c>
      <c r="BP155" s="83" t="str">
        <f t="shared" ref="BP155:BP167" si="88">IF(AND(D155&gt;0,AO155=""),"  * No olvide digitar la variable Pueblos originarios. Digite Cero si no tiene.",IF(AO155&gt;D155,"  * La variable Pueblos originarios No puede ser mayor al Total.",""))</f>
        <v xml:space="preserve">  * La variable Pueblos originarios No puede ser mayor al Total.</v>
      </c>
      <c r="BQ155" s="83" t="str">
        <f t="shared" ref="BQ155:BQ167" si="89">IF(AND(D155&gt;0,AP155=""),"  * No olvide digitar la variable Migrantes. Digite Cero si no tiene.",IF(AP155&gt;D155,"  * La variable Migrantes No puede ser mayor al Total.",""))</f>
        <v xml:space="preserve">  * La variable Migrantes No puede ser mayor al Total.</v>
      </c>
      <c r="BR155" s="2673"/>
      <c r="BS155" s="2673"/>
      <c r="BT155" s="2673"/>
      <c r="BV155" s="2628">
        <f t="shared" ref="BV155:BV167" si="90">IF(AND(D155&gt;0,AO155=""),1,IF(AO155&gt;D155,1,0))</f>
        <v>1</v>
      </c>
      <c r="BW155" s="2628">
        <f t="shared" ref="BW155:BW167" si="91">IF(AND(D155&gt;0,AP155=""),1,IF(AP155&gt;D155,1,0))</f>
        <v>1</v>
      </c>
    </row>
    <row r="156" spans="1:76" ht="15" customHeight="1" x14ac:dyDescent="0.25">
      <c r="A156" s="5633" t="s">
        <v>4888</v>
      </c>
      <c r="B156" s="6112"/>
      <c r="C156" s="357" t="s">
        <v>621</v>
      </c>
      <c r="D156" s="477" t="s">
        <v>4567</v>
      </c>
      <c r="E156" s="478" t="s">
        <v>4568</v>
      </c>
      <c r="F156" s="479" t="s">
        <v>4569</v>
      </c>
      <c r="G156" s="345" t="s">
        <v>4570</v>
      </c>
      <c r="H156" s="346" t="s">
        <v>4571</v>
      </c>
      <c r="I156" s="345" t="s">
        <v>4572</v>
      </c>
      <c r="J156" s="346" t="s">
        <v>4573</v>
      </c>
      <c r="K156" s="345" t="s">
        <v>4574</v>
      </c>
      <c r="L156" s="346" t="s">
        <v>4575</v>
      </c>
      <c r="M156" s="345" t="s">
        <v>4576</v>
      </c>
      <c r="N156" s="346" t="s">
        <v>4577</v>
      </c>
      <c r="O156" s="345" t="s">
        <v>4578</v>
      </c>
      <c r="P156" s="346" t="s">
        <v>4579</v>
      </c>
      <c r="Q156" s="345" t="s">
        <v>4580</v>
      </c>
      <c r="R156" s="346" t="s">
        <v>4581</v>
      </c>
      <c r="S156" s="345" t="s">
        <v>4582</v>
      </c>
      <c r="T156" s="346" t="s">
        <v>4583</v>
      </c>
      <c r="U156" s="345" t="s">
        <v>4584</v>
      </c>
      <c r="V156" s="346" t="s">
        <v>4585</v>
      </c>
      <c r="W156" s="345" t="s">
        <v>4586</v>
      </c>
      <c r="X156" s="346" t="s">
        <v>4587</v>
      </c>
      <c r="Y156" s="345" t="s">
        <v>4588</v>
      </c>
      <c r="Z156" s="346" t="s">
        <v>4589</v>
      </c>
      <c r="AA156" s="345" t="s">
        <v>4590</v>
      </c>
      <c r="AB156" s="346" t="s">
        <v>4591</v>
      </c>
      <c r="AC156" s="345" t="s">
        <v>4592</v>
      </c>
      <c r="AD156" s="346" t="s">
        <v>4593</v>
      </c>
      <c r="AE156" s="345" t="s">
        <v>4594</v>
      </c>
      <c r="AF156" s="346" t="s">
        <v>4595</v>
      </c>
      <c r="AG156" s="345" t="s">
        <v>4596</v>
      </c>
      <c r="AH156" s="346" t="s">
        <v>4597</v>
      </c>
      <c r="AI156" s="345" t="s">
        <v>4598</v>
      </c>
      <c r="AJ156" s="346" t="s">
        <v>4599</v>
      </c>
      <c r="AK156" s="345" t="s">
        <v>4600</v>
      </c>
      <c r="AL156" s="346" t="s">
        <v>4601</v>
      </c>
      <c r="AM156" s="345" t="s">
        <v>4602</v>
      </c>
      <c r="AN156" s="480" t="s">
        <v>4603</v>
      </c>
      <c r="AO156" s="347" t="s">
        <v>4604</v>
      </c>
      <c r="AP156" s="346" t="s">
        <v>4605</v>
      </c>
      <c r="AQ156" t="str">
        <f t="shared" si="87"/>
        <v xml:space="preserve">  * La variable Pueblos originarios No puede ser mayor al Total.  * La variable Migrantes No puede ser mayor al Total.</v>
      </c>
      <c r="BP156" s="83" t="str">
        <f t="shared" si="88"/>
        <v xml:space="preserve">  * La variable Pueblos originarios No puede ser mayor al Total.</v>
      </c>
      <c r="BQ156" s="83" t="str">
        <f t="shared" si="89"/>
        <v xml:space="preserve">  * La variable Migrantes No puede ser mayor al Total.</v>
      </c>
      <c r="BR156" s="2673"/>
      <c r="BS156" s="2673"/>
      <c r="BT156" s="2673"/>
      <c r="BV156" s="2628">
        <f t="shared" si="90"/>
        <v>1</v>
      </c>
      <c r="BW156" s="2628">
        <f t="shared" si="91"/>
        <v>1</v>
      </c>
    </row>
    <row r="157" spans="1:76" ht="15" customHeight="1" x14ac:dyDescent="0.25">
      <c r="A157" s="5633" t="s">
        <v>4889</v>
      </c>
      <c r="B157" s="6112"/>
      <c r="C157" s="357" t="s">
        <v>622</v>
      </c>
      <c r="D157" s="477" t="s">
        <v>4567</v>
      </c>
      <c r="E157" s="478" t="s">
        <v>4568</v>
      </c>
      <c r="F157" s="479" t="s">
        <v>4569</v>
      </c>
      <c r="G157" s="345" t="s">
        <v>4570</v>
      </c>
      <c r="H157" s="346" t="s">
        <v>4571</v>
      </c>
      <c r="I157" s="345" t="s">
        <v>4572</v>
      </c>
      <c r="J157" s="346" t="s">
        <v>4573</v>
      </c>
      <c r="K157" s="345" t="s">
        <v>4574</v>
      </c>
      <c r="L157" s="346" t="s">
        <v>4575</v>
      </c>
      <c r="M157" s="345" t="s">
        <v>4576</v>
      </c>
      <c r="N157" s="346" t="s">
        <v>4577</v>
      </c>
      <c r="O157" s="345" t="s">
        <v>4578</v>
      </c>
      <c r="P157" s="346" t="s">
        <v>4579</v>
      </c>
      <c r="Q157" s="345" t="s">
        <v>4580</v>
      </c>
      <c r="R157" s="346" t="s">
        <v>4581</v>
      </c>
      <c r="S157" s="345" t="s">
        <v>4582</v>
      </c>
      <c r="T157" s="346" t="s">
        <v>4583</v>
      </c>
      <c r="U157" s="345" t="s">
        <v>4584</v>
      </c>
      <c r="V157" s="346" t="s">
        <v>4585</v>
      </c>
      <c r="W157" s="345" t="s">
        <v>4586</v>
      </c>
      <c r="X157" s="346" t="s">
        <v>4587</v>
      </c>
      <c r="Y157" s="345" t="s">
        <v>4588</v>
      </c>
      <c r="Z157" s="346" t="s">
        <v>4589</v>
      </c>
      <c r="AA157" s="345" t="s">
        <v>4590</v>
      </c>
      <c r="AB157" s="346" t="s">
        <v>4591</v>
      </c>
      <c r="AC157" s="345" t="s">
        <v>4592</v>
      </c>
      <c r="AD157" s="346" t="s">
        <v>4593</v>
      </c>
      <c r="AE157" s="345" t="s">
        <v>4594</v>
      </c>
      <c r="AF157" s="346" t="s">
        <v>4595</v>
      </c>
      <c r="AG157" s="345" t="s">
        <v>4596</v>
      </c>
      <c r="AH157" s="346" t="s">
        <v>4597</v>
      </c>
      <c r="AI157" s="345" t="s">
        <v>4598</v>
      </c>
      <c r="AJ157" s="346" t="s">
        <v>4599</v>
      </c>
      <c r="AK157" s="345" t="s">
        <v>4600</v>
      </c>
      <c r="AL157" s="346" t="s">
        <v>4601</v>
      </c>
      <c r="AM157" s="345" t="s">
        <v>4602</v>
      </c>
      <c r="AN157" s="480" t="s">
        <v>4603</v>
      </c>
      <c r="AO157" s="347" t="s">
        <v>4604</v>
      </c>
      <c r="AP157" s="346" t="s">
        <v>4605</v>
      </c>
      <c r="AQ157" t="str">
        <f t="shared" si="87"/>
        <v xml:space="preserve">  * La variable Pueblos originarios No puede ser mayor al Total.  * La variable Migrantes No puede ser mayor al Total.</v>
      </c>
      <c r="BP157" s="83" t="str">
        <f t="shared" si="88"/>
        <v xml:space="preserve">  * La variable Pueblos originarios No puede ser mayor al Total.</v>
      </c>
      <c r="BQ157" s="83" t="str">
        <f t="shared" si="89"/>
        <v xml:space="preserve">  * La variable Migrantes No puede ser mayor al Total.</v>
      </c>
      <c r="BR157" s="2673"/>
      <c r="BS157" s="2673"/>
      <c r="BT157" s="2673"/>
      <c r="BV157" s="2628">
        <f t="shared" si="90"/>
        <v>1</v>
      </c>
      <c r="BW157" s="2628">
        <f t="shared" si="91"/>
        <v>1</v>
      </c>
    </row>
    <row r="158" spans="1:76" ht="15" customHeight="1" x14ac:dyDescent="0.25">
      <c r="A158" s="5633" t="s">
        <v>4890</v>
      </c>
      <c r="B158" s="6112"/>
      <c r="C158" s="357" t="s">
        <v>623</v>
      </c>
      <c r="D158" s="477" t="s">
        <v>4567</v>
      </c>
      <c r="E158" s="478" t="s">
        <v>4568</v>
      </c>
      <c r="F158" s="479" t="s">
        <v>4569</v>
      </c>
      <c r="G158" s="345" t="s">
        <v>4570</v>
      </c>
      <c r="H158" s="346" t="s">
        <v>4571</v>
      </c>
      <c r="I158" s="345" t="s">
        <v>4572</v>
      </c>
      <c r="J158" s="346" t="s">
        <v>4573</v>
      </c>
      <c r="K158" s="345" t="s">
        <v>4574</v>
      </c>
      <c r="L158" s="346" t="s">
        <v>4575</v>
      </c>
      <c r="M158" s="345" t="s">
        <v>4576</v>
      </c>
      <c r="N158" s="346" t="s">
        <v>4577</v>
      </c>
      <c r="O158" s="345" t="s">
        <v>4578</v>
      </c>
      <c r="P158" s="346" t="s">
        <v>4579</v>
      </c>
      <c r="Q158" s="345" t="s">
        <v>4580</v>
      </c>
      <c r="R158" s="346" t="s">
        <v>4581</v>
      </c>
      <c r="S158" s="345" t="s">
        <v>4582</v>
      </c>
      <c r="T158" s="346" t="s">
        <v>4583</v>
      </c>
      <c r="U158" s="345" t="s">
        <v>4584</v>
      </c>
      <c r="V158" s="346" t="s">
        <v>4585</v>
      </c>
      <c r="W158" s="345" t="s">
        <v>4586</v>
      </c>
      <c r="X158" s="346" t="s">
        <v>4587</v>
      </c>
      <c r="Y158" s="345" t="s">
        <v>4588</v>
      </c>
      <c r="Z158" s="346" t="s">
        <v>4589</v>
      </c>
      <c r="AA158" s="345" t="s">
        <v>4590</v>
      </c>
      <c r="AB158" s="346" t="s">
        <v>4591</v>
      </c>
      <c r="AC158" s="345" t="s">
        <v>4592</v>
      </c>
      <c r="AD158" s="346" t="s">
        <v>4593</v>
      </c>
      <c r="AE158" s="345" t="s">
        <v>4594</v>
      </c>
      <c r="AF158" s="346" t="s">
        <v>4595</v>
      </c>
      <c r="AG158" s="345" t="s">
        <v>4596</v>
      </c>
      <c r="AH158" s="346" t="s">
        <v>4597</v>
      </c>
      <c r="AI158" s="345" t="s">
        <v>4598</v>
      </c>
      <c r="AJ158" s="346" t="s">
        <v>4599</v>
      </c>
      <c r="AK158" s="345" t="s">
        <v>4600</v>
      </c>
      <c r="AL158" s="346" t="s">
        <v>4601</v>
      </c>
      <c r="AM158" s="345" t="s">
        <v>4602</v>
      </c>
      <c r="AN158" s="480" t="s">
        <v>4603</v>
      </c>
      <c r="AO158" s="347" t="s">
        <v>4604</v>
      </c>
      <c r="AP158" s="346" t="s">
        <v>4605</v>
      </c>
      <c r="AQ158" t="str">
        <f t="shared" si="87"/>
        <v xml:space="preserve">  * La variable Pueblos originarios No puede ser mayor al Total.  * La variable Migrantes No puede ser mayor al Total.</v>
      </c>
      <c r="BP158" s="83" t="str">
        <f t="shared" si="88"/>
        <v xml:space="preserve">  * La variable Pueblos originarios No puede ser mayor al Total.</v>
      </c>
      <c r="BQ158" s="83" t="str">
        <f t="shared" si="89"/>
        <v xml:space="preserve">  * La variable Migrantes No puede ser mayor al Total.</v>
      </c>
      <c r="BR158" s="2673"/>
      <c r="BS158" s="2673"/>
      <c r="BT158" s="2673"/>
      <c r="BV158" s="2628">
        <f t="shared" si="90"/>
        <v>1</v>
      </c>
      <c r="BW158" s="2628">
        <f t="shared" si="91"/>
        <v>1</v>
      </c>
    </row>
    <row r="159" spans="1:76" ht="15" customHeight="1" x14ac:dyDescent="0.25">
      <c r="A159" s="5633" t="s">
        <v>4891</v>
      </c>
      <c r="B159" s="6112"/>
      <c r="C159" s="357" t="s">
        <v>624</v>
      </c>
      <c r="D159" s="477" t="s">
        <v>4567</v>
      </c>
      <c r="E159" s="478" t="s">
        <v>4568</v>
      </c>
      <c r="F159" s="479" t="s">
        <v>4569</v>
      </c>
      <c r="G159" s="192" t="s">
        <v>4570</v>
      </c>
      <c r="H159" s="2" t="s">
        <v>4571</v>
      </c>
      <c r="I159" s="192" t="s">
        <v>4572</v>
      </c>
      <c r="J159" s="2" t="s">
        <v>4573</v>
      </c>
      <c r="K159" s="192" t="s">
        <v>4574</v>
      </c>
      <c r="L159" s="2" t="s">
        <v>4575</v>
      </c>
      <c r="M159" s="192" t="s">
        <v>4576</v>
      </c>
      <c r="N159" s="2" t="s">
        <v>4577</v>
      </c>
      <c r="O159" s="192" t="s">
        <v>4578</v>
      </c>
      <c r="P159" s="2" t="s">
        <v>4579</v>
      </c>
      <c r="Q159" s="192" t="s">
        <v>4580</v>
      </c>
      <c r="R159" s="2" t="s">
        <v>4581</v>
      </c>
      <c r="S159" s="192" t="s">
        <v>4582</v>
      </c>
      <c r="T159" s="2" t="s">
        <v>4583</v>
      </c>
      <c r="U159" s="192" t="s">
        <v>4584</v>
      </c>
      <c r="V159" s="2" t="s">
        <v>4585</v>
      </c>
      <c r="W159" s="192" t="s">
        <v>4586</v>
      </c>
      <c r="X159" s="2" t="s">
        <v>4587</v>
      </c>
      <c r="Y159" s="192" t="s">
        <v>4588</v>
      </c>
      <c r="Z159" s="2" t="s">
        <v>4589</v>
      </c>
      <c r="AA159" s="192" t="s">
        <v>4590</v>
      </c>
      <c r="AB159" s="2" t="s">
        <v>4591</v>
      </c>
      <c r="AC159" s="192" t="s">
        <v>4592</v>
      </c>
      <c r="AD159" s="2" t="s">
        <v>4593</v>
      </c>
      <c r="AE159" s="192" t="s">
        <v>4594</v>
      </c>
      <c r="AF159" s="2" t="s">
        <v>4595</v>
      </c>
      <c r="AG159" s="192" t="s">
        <v>4596</v>
      </c>
      <c r="AH159" s="2" t="s">
        <v>4597</v>
      </c>
      <c r="AI159" s="192" t="s">
        <v>4598</v>
      </c>
      <c r="AJ159" s="2" t="s">
        <v>4599</v>
      </c>
      <c r="AK159" s="192" t="s">
        <v>4600</v>
      </c>
      <c r="AL159" s="2" t="s">
        <v>4601</v>
      </c>
      <c r="AM159" s="192" t="s">
        <v>4602</v>
      </c>
      <c r="AN159" s="375" t="s">
        <v>4603</v>
      </c>
      <c r="AO159" s="481" t="s">
        <v>4604</v>
      </c>
      <c r="AP159" s="2" t="s">
        <v>4605</v>
      </c>
      <c r="AQ159" t="str">
        <f t="shared" si="87"/>
        <v xml:space="preserve">  * La variable Pueblos originarios No puede ser mayor al Total.  * La variable Migrantes No puede ser mayor al Total.</v>
      </c>
      <c r="BP159" s="83" t="str">
        <f t="shared" si="88"/>
        <v xml:space="preserve">  * La variable Pueblos originarios No puede ser mayor al Total.</v>
      </c>
      <c r="BQ159" s="83" t="str">
        <f t="shared" si="89"/>
        <v xml:space="preserve">  * La variable Migrantes No puede ser mayor al Total.</v>
      </c>
      <c r="BR159" s="2673"/>
      <c r="BS159" s="2673"/>
      <c r="BT159" s="2673"/>
      <c r="BV159" s="2628">
        <f t="shared" si="90"/>
        <v>1</v>
      </c>
      <c r="BW159" s="2628">
        <f t="shared" si="91"/>
        <v>1</v>
      </c>
    </row>
    <row r="160" spans="1:76" ht="15" customHeight="1" x14ac:dyDescent="0.25">
      <c r="A160" s="5633" t="s">
        <v>4892</v>
      </c>
      <c r="B160" s="6112"/>
      <c r="C160" s="357" t="s">
        <v>625</v>
      </c>
      <c r="D160" s="477" t="s">
        <v>4567</v>
      </c>
      <c r="E160" s="478" t="s">
        <v>4568</v>
      </c>
      <c r="F160" s="479" t="s">
        <v>4569</v>
      </c>
      <c r="G160" s="192" t="s">
        <v>4570</v>
      </c>
      <c r="H160" s="2" t="s">
        <v>4571</v>
      </c>
      <c r="I160" s="192" t="s">
        <v>4572</v>
      </c>
      <c r="J160" s="2" t="s">
        <v>4573</v>
      </c>
      <c r="K160" s="192" t="s">
        <v>4574</v>
      </c>
      <c r="L160" s="2" t="s">
        <v>4575</v>
      </c>
      <c r="M160" s="192" t="s">
        <v>4576</v>
      </c>
      <c r="N160" s="2" t="s">
        <v>4577</v>
      </c>
      <c r="O160" s="192" t="s">
        <v>4578</v>
      </c>
      <c r="P160" s="2" t="s">
        <v>4579</v>
      </c>
      <c r="Q160" s="192" t="s">
        <v>4580</v>
      </c>
      <c r="R160" s="2" t="s">
        <v>4581</v>
      </c>
      <c r="S160" s="192" t="s">
        <v>4582</v>
      </c>
      <c r="T160" s="2" t="s">
        <v>4583</v>
      </c>
      <c r="U160" s="192" t="s">
        <v>4584</v>
      </c>
      <c r="V160" s="2" t="s">
        <v>4585</v>
      </c>
      <c r="W160" s="192" t="s">
        <v>4586</v>
      </c>
      <c r="X160" s="2" t="s">
        <v>4587</v>
      </c>
      <c r="Y160" s="192" t="s">
        <v>4588</v>
      </c>
      <c r="Z160" s="2" t="s">
        <v>4589</v>
      </c>
      <c r="AA160" s="192" t="s">
        <v>4590</v>
      </c>
      <c r="AB160" s="2" t="s">
        <v>4591</v>
      </c>
      <c r="AC160" s="192" t="s">
        <v>4592</v>
      </c>
      <c r="AD160" s="2" t="s">
        <v>4593</v>
      </c>
      <c r="AE160" s="192" t="s">
        <v>4594</v>
      </c>
      <c r="AF160" s="2" t="s">
        <v>4595</v>
      </c>
      <c r="AG160" s="192" t="s">
        <v>4596</v>
      </c>
      <c r="AH160" s="2" t="s">
        <v>4597</v>
      </c>
      <c r="AI160" s="192" t="s">
        <v>4598</v>
      </c>
      <c r="AJ160" s="2" t="s">
        <v>4599</v>
      </c>
      <c r="AK160" s="192" t="s">
        <v>4600</v>
      </c>
      <c r="AL160" s="2" t="s">
        <v>4601</v>
      </c>
      <c r="AM160" s="192" t="s">
        <v>4602</v>
      </c>
      <c r="AN160" s="375" t="s">
        <v>4603</v>
      </c>
      <c r="AO160" s="481" t="s">
        <v>4604</v>
      </c>
      <c r="AP160" s="2" t="s">
        <v>4605</v>
      </c>
      <c r="AQ160" t="str">
        <f t="shared" si="87"/>
        <v xml:space="preserve">  * La variable Pueblos originarios No puede ser mayor al Total.  * La variable Migrantes No puede ser mayor al Total.</v>
      </c>
      <c r="BP160" s="83" t="str">
        <f t="shared" si="88"/>
        <v xml:space="preserve">  * La variable Pueblos originarios No puede ser mayor al Total.</v>
      </c>
      <c r="BQ160" s="83" t="str">
        <f t="shared" si="89"/>
        <v xml:space="preserve">  * La variable Migrantes No puede ser mayor al Total.</v>
      </c>
      <c r="BR160" s="2673"/>
      <c r="BS160" s="2673"/>
      <c r="BT160" s="2673"/>
      <c r="BV160" s="2628">
        <f t="shared" si="90"/>
        <v>1</v>
      </c>
      <c r="BW160" s="2628">
        <f t="shared" si="91"/>
        <v>1</v>
      </c>
    </row>
    <row r="161" spans="1:75" ht="15" customHeight="1" x14ac:dyDescent="0.25">
      <c r="A161" s="5633" t="s">
        <v>4893</v>
      </c>
      <c r="B161" s="6059"/>
      <c r="C161" s="517" t="s">
        <v>626</v>
      </c>
      <c r="D161" s="482" t="s">
        <v>4567</v>
      </c>
      <c r="E161" s="483" t="s">
        <v>4568</v>
      </c>
      <c r="F161" s="484" t="s">
        <v>4569</v>
      </c>
      <c r="G161" s="379" t="s">
        <v>4570</v>
      </c>
      <c r="H161" s="387" t="s">
        <v>4571</v>
      </c>
      <c r="I161" s="379" t="s">
        <v>4572</v>
      </c>
      <c r="J161" s="387" t="s">
        <v>4573</v>
      </c>
      <c r="K161" s="379" t="s">
        <v>4574</v>
      </c>
      <c r="L161" s="387" t="s">
        <v>4575</v>
      </c>
      <c r="M161" s="379" t="s">
        <v>4576</v>
      </c>
      <c r="N161" s="387" t="s">
        <v>4577</v>
      </c>
      <c r="O161" s="379" t="s">
        <v>4578</v>
      </c>
      <c r="P161" s="387" t="s">
        <v>4579</v>
      </c>
      <c r="Q161" s="379" t="s">
        <v>4580</v>
      </c>
      <c r="R161" s="387" t="s">
        <v>4581</v>
      </c>
      <c r="S161" s="379" t="s">
        <v>4582</v>
      </c>
      <c r="T161" s="387" t="s">
        <v>4583</v>
      </c>
      <c r="U161" s="379" t="s">
        <v>4584</v>
      </c>
      <c r="V161" s="387" t="s">
        <v>4585</v>
      </c>
      <c r="W161" s="379" t="s">
        <v>4586</v>
      </c>
      <c r="X161" s="387" t="s">
        <v>4587</v>
      </c>
      <c r="Y161" s="379" t="s">
        <v>4588</v>
      </c>
      <c r="Z161" s="387" t="s">
        <v>4589</v>
      </c>
      <c r="AA161" s="379" t="s">
        <v>4590</v>
      </c>
      <c r="AB161" s="387" t="s">
        <v>4591</v>
      </c>
      <c r="AC161" s="379" t="s">
        <v>4592</v>
      </c>
      <c r="AD161" s="387" t="s">
        <v>4593</v>
      </c>
      <c r="AE161" s="379" t="s">
        <v>4594</v>
      </c>
      <c r="AF161" s="387" t="s">
        <v>4595</v>
      </c>
      <c r="AG161" s="379" t="s">
        <v>4596</v>
      </c>
      <c r="AH161" s="387" t="s">
        <v>4597</v>
      </c>
      <c r="AI161" s="379" t="s">
        <v>4598</v>
      </c>
      <c r="AJ161" s="387" t="s">
        <v>4599</v>
      </c>
      <c r="AK161" s="379" t="s">
        <v>4600</v>
      </c>
      <c r="AL161" s="387" t="s">
        <v>4601</v>
      </c>
      <c r="AM161" s="379" t="s">
        <v>4602</v>
      </c>
      <c r="AN161" s="391" t="s">
        <v>4603</v>
      </c>
      <c r="AO161" s="428" t="s">
        <v>4604</v>
      </c>
      <c r="AP161" s="387" t="s">
        <v>4605</v>
      </c>
      <c r="AQ161" t="str">
        <f t="shared" si="87"/>
        <v xml:space="preserve">  * La variable Pueblos originarios No puede ser mayor al Total.  * La variable Migrantes No puede ser mayor al Total.</v>
      </c>
      <c r="BP161" s="83" t="str">
        <f t="shared" si="88"/>
        <v xml:space="preserve">  * La variable Pueblos originarios No puede ser mayor al Total.</v>
      </c>
      <c r="BQ161" s="83" t="str">
        <f t="shared" si="89"/>
        <v xml:space="preserve">  * La variable Migrantes No puede ser mayor al Total.</v>
      </c>
      <c r="BR161" s="2673"/>
      <c r="BS161" s="2673"/>
      <c r="BT161" s="2673"/>
      <c r="BV161" s="2628">
        <f t="shared" si="90"/>
        <v>1</v>
      </c>
      <c r="BW161" s="2628">
        <f t="shared" si="91"/>
        <v>1</v>
      </c>
    </row>
    <row r="162" spans="1:75" ht="15" customHeight="1" x14ac:dyDescent="0.25">
      <c r="A162" s="5633" t="s">
        <v>4894</v>
      </c>
      <c r="B162" s="6453" t="s">
        <v>98</v>
      </c>
      <c r="C162" s="491" t="s">
        <v>619</v>
      </c>
      <c r="D162" s="470" t="s">
        <v>4567</v>
      </c>
      <c r="E162" s="471" t="s">
        <v>4568</v>
      </c>
      <c r="F162" s="472" t="s">
        <v>4569</v>
      </c>
      <c r="G162" s="473" t="s">
        <v>4570</v>
      </c>
      <c r="H162" s="474" t="s">
        <v>4571</v>
      </c>
      <c r="I162" s="473" t="s">
        <v>4572</v>
      </c>
      <c r="J162" s="474" t="s">
        <v>4573</v>
      </c>
      <c r="K162" s="473" t="s">
        <v>4574</v>
      </c>
      <c r="L162" s="474" t="s">
        <v>4575</v>
      </c>
      <c r="M162" s="473" t="s">
        <v>4576</v>
      </c>
      <c r="N162" s="474" t="s">
        <v>4577</v>
      </c>
      <c r="O162" s="473" t="s">
        <v>4578</v>
      </c>
      <c r="P162" s="474" t="s">
        <v>4579</v>
      </c>
      <c r="Q162" s="473" t="s">
        <v>4580</v>
      </c>
      <c r="R162" s="474" t="s">
        <v>4581</v>
      </c>
      <c r="S162" s="473" t="s">
        <v>4582</v>
      </c>
      <c r="T162" s="474" t="s">
        <v>4583</v>
      </c>
      <c r="U162" s="473" t="s">
        <v>4584</v>
      </c>
      <c r="V162" s="474" t="s">
        <v>4585</v>
      </c>
      <c r="W162" s="473" t="s">
        <v>4586</v>
      </c>
      <c r="X162" s="474" t="s">
        <v>4587</v>
      </c>
      <c r="Y162" s="473" t="s">
        <v>4588</v>
      </c>
      <c r="Z162" s="474" t="s">
        <v>4589</v>
      </c>
      <c r="AA162" s="473" t="s">
        <v>4590</v>
      </c>
      <c r="AB162" s="474" t="s">
        <v>4591</v>
      </c>
      <c r="AC162" s="473" t="s">
        <v>4592</v>
      </c>
      <c r="AD162" s="474" t="s">
        <v>4593</v>
      </c>
      <c r="AE162" s="473" t="s">
        <v>4594</v>
      </c>
      <c r="AF162" s="474" t="s">
        <v>4595</v>
      </c>
      <c r="AG162" s="473" t="s">
        <v>4596</v>
      </c>
      <c r="AH162" s="474" t="s">
        <v>4597</v>
      </c>
      <c r="AI162" s="473" t="s">
        <v>4598</v>
      </c>
      <c r="AJ162" s="474" t="s">
        <v>4599</v>
      </c>
      <c r="AK162" s="473" t="s">
        <v>4600</v>
      </c>
      <c r="AL162" s="474" t="s">
        <v>4601</v>
      </c>
      <c r="AM162" s="473" t="s">
        <v>4602</v>
      </c>
      <c r="AN162" s="475" t="s">
        <v>4603</v>
      </c>
      <c r="AO162" s="476" t="s">
        <v>4604</v>
      </c>
      <c r="AP162" s="474" t="s">
        <v>4605</v>
      </c>
      <c r="AQ162" t="str">
        <f t="shared" si="87"/>
        <v xml:space="preserve">  * La variable Pueblos originarios No puede ser mayor al Total.  * La variable Migrantes No puede ser mayor al Total.</v>
      </c>
      <c r="BP162" s="83" t="str">
        <f t="shared" si="88"/>
        <v xml:space="preserve">  * La variable Pueblos originarios No puede ser mayor al Total.</v>
      </c>
      <c r="BQ162" s="83" t="str">
        <f t="shared" si="89"/>
        <v xml:space="preserve">  * La variable Migrantes No puede ser mayor al Total.</v>
      </c>
      <c r="BR162" s="2673"/>
      <c r="BS162" s="2673"/>
      <c r="BT162" s="2673"/>
      <c r="BV162" s="2628">
        <f t="shared" si="90"/>
        <v>1</v>
      </c>
      <c r="BW162" s="2628">
        <f t="shared" si="91"/>
        <v>1</v>
      </c>
    </row>
    <row r="163" spans="1:75" ht="15" customHeight="1" x14ac:dyDescent="0.25">
      <c r="A163" s="5633" t="s">
        <v>4895</v>
      </c>
      <c r="B163" s="6112"/>
      <c r="C163" s="357" t="s">
        <v>621</v>
      </c>
      <c r="D163" s="477" t="s">
        <v>4567</v>
      </c>
      <c r="E163" s="478" t="s">
        <v>4568</v>
      </c>
      <c r="F163" s="479" t="s">
        <v>4569</v>
      </c>
      <c r="G163" s="345" t="s">
        <v>4570</v>
      </c>
      <c r="H163" s="346" t="s">
        <v>4571</v>
      </c>
      <c r="I163" s="345" t="s">
        <v>4572</v>
      </c>
      <c r="J163" s="346" t="s">
        <v>4573</v>
      </c>
      <c r="K163" s="345" t="s">
        <v>4574</v>
      </c>
      <c r="L163" s="346" t="s">
        <v>4575</v>
      </c>
      <c r="M163" s="345" t="s">
        <v>4576</v>
      </c>
      <c r="N163" s="346" t="s">
        <v>4577</v>
      </c>
      <c r="O163" s="345" t="s">
        <v>4578</v>
      </c>
      <c r="P163" s="346" t="s">
        <v>4579</v>
      </c>
      <c r="Q163" s="345" t="s">
        <v>4580</v>
      </c>
      <c r="R163" s="346" t="s">
        <v>4581</v>
      </c>
      <c r="S163" s="345" t="s">
        <v>4582</v>
      </c>
      <c r="T163" s="346" t="s">
        <v>4583</v>
      </c>
      <c r="U163" s="345" t="s">
        <v>4584</v>
      </c>
      <c r="V163" s="346" t="s">
        <v>4585</v>
      </c>
      <c r="W163" s="345" t="s">
        <v>4586</v>
      </c>
      <c r="X163" s="346" t="s">
        <v>4587</v>
      </c>
      <c r="Y163" s="345" t="s">
        <v>4588</v>
      </c>
      <c r="Z163" s="346" t="s">
        <v>4589</v>
      </c>
      <c r="AA163" s="345" t="s">
        <v>4590</v>
      </c>
      <c r="AB163" s="346" t="s">
        <v>4591</v>
      </c>
      <c r="AC163" s="345" t="s">
        <v>4592</v>
      </c>
      <c r="AD163" s="346" t="s">
        <v>4593</v>
      </c>
      <c r="AE163" s="345" t="s">
        <v>4594</v>
      </c>
      <c r="AF163" s="346" t="s">
        <v>4595</v>
      </c>
      <c r="AG163" s="345" t="s">
        <v>4596</v>
      </c>
      <c r="AH163" s="346" t="s">
        <v>4597</v>
      </c>
      <c r="AI163" s="345" t="s">
        <v>4598</v>
      </c>
      <c r="AJ163" s="346" t="s">
        <v>4599</v>
      </c>
      <c r="AK163" s="345" t="s">
        <v>4600</v>
      </c>
      <c r="AL163" s="346" t="s">
        <v>4601</v>
      </c>
      <c r="AM163" s="345" t="s">
        <v>4602</v>
      </c>
      <c r="AN163" s="480" t="s">
        <v>4603</v>
      </c>
      <c r="AO163" s="347" t="s">
        <v>4604</v>
      </c>
      <c r="AP163" s="346" t="s">
        <v>4605</v>
      </c>
      <c r="AQ163" t="str">
        <f t="shared" si="87"/>
        <v xml:space="preserve">  * La variable Pueblos originarios No puede ser mayor al Total.  * La variable Migrantes No puede ser mayor al Total.</v>
      </c>
      <c r="BP163" s="83" t="str">
        <f t="shared" si="88"/>
        <v xml:space="preserve">  * La variable Pueblos originarios No puede ser mayor al Total.</v>
      </c>
      <c r="BQ163" s="83" t="str">
        <f t="shared" si="89"/>
        <v xml:space="preserve">  * La variable Migrantes No puede ser mayor al Total.</v>
      </c>
      <c r="BR163" s="2673"/>
      <c r="BS163" s="2673"/>
      <c r="BT163" s="2673"/>
      <c r="BV163" s="2628">
        <f t="shared" si="90"/>
        <v>1</v>
      </c>
      <c r="BW163" s="2628">
        <f t="shared" si="91"/>
        <v>1</v>
      </c>
    </row>
    <row r="164" spans="1:75" ht="15" customHeight="1" x14ac:dyDescent="0.25">
      <c r="A164" s="5633" t="s">
        <v>4896</v>
      </c>
      <c r="B164" s="6112"/>
      <c r="C164" s="357" t="s">
        <v>622</v>
      </c>
      <c r="D164" s="477" t="s">
        <v>4567</v>
      </c>
      <c r="E164" s="478" t="s">
        <v>4568</v>
      </c>
      <c r="F164" s="479" t="s">
        <v>4569</v>
      </c>
      <c r="G164" s="345" t="s">
        <v>4570</v>
      </c>
      <c r="H164" s="346" t="s">
        <v>4571</v>
      </c>
      <c r="I164" s="345" t="s">
        <v>4572</v>
      </c>
      <c r="J164" s="346" t="s">
        <v>4573</v>
      </c>
      <c r="K164" s="345" t="s">
        <v>4574</v>
      </c>
      <c r="L164" s="346" t="s">
        <v>4575</v>
      </c>
      <c r="M164" s="345" t="s">
        <v>4576</v>
      </c>
      <c r="N164" s="346" t="s">
        <v>4577</v>
      </c>
      <c r="O164" s="345" t="s">
        <v>4578</v>
      </c>
      <c r="P164" s="346" t="s">
        <v>4579</v>
      </c>
      <c r="Q164" s="345" t="s">
        <v>4580</v>
      </c>
      <c r="R164" s="346" t="s">
        <v>4581</v>
      </c>
      <c r="S164" s="345" t="s">
        <v>4582</v>
      </c>
      <c r="T164" s="346" t="s">
        <v>4583</v>
      </c>
      <c r="U164" s="345" t="s">
        <v>4584</v>
      </c>
      <c r="V164" s="346" t="s">
        <v>4585</v>
      </c>
      <c r="W164" s="345" t="s">
        <v>4586</v>
      </c>
      <c r="X164" s="346" t="s">
        <v>4587</v>
      </c>
      <c r="Y164" s="345" t="s">
        <v>4588</v>
      </c>
      <c r="Z164" s="346" t="s">
        <v>4589</v>
      </c>
      <c r="AA164" s="345" t="s">
        <v>4590</v>
      </c>
      <c r="AB164" s="346" t="s">
        <v>4591</v>
      </c>
      <c r="AC164" s="345" t="s">
        <v>4592</v>
      </c>
      <c r="AD164" s="346" t="s">
        <v>4593</v>
      </c>
      <c r="AE164" s="345" t="s">
        <v>4594</v>
      </c>
      <c r="AF164" s="346" t="s">
        <v>4595</v>
      </c>
      <c r="AG164" s="345" t="s">
        <v>4596</v>
      </c>
      <c r="AH164" s="346" t="s">
        <v>4597</v>
      </c>
      <c r="AI164" s="345" t="s">
        <v>4598</v>
      </c>
      <c r="AJ164" s="346" t="s">
        <v>4599</v>
      </c>
      <c r="AK164" s="345" t="s">
        <v>4600</v>
      </c>
      <c r="AL164" s="346" t="s">
        <v>4601</v>
      </c>
      <c r="AM164" s="345" t="s">
        <v>4602</v>
      </c>
      <c r="AN164" s="480" t="s">
        <v>4603</v>
      </c>
      <c r="AO164" s="347" t="s">
        <v>4604</v>
      </c>
      <c r="AP164" s="346" t="s">
        <v>4605</v>
      </c>
      <c r="AQ164" t="str">
        <f t="shared" si="87"/>
        <v xml:space="preserve">  * La variable Pueblos originarios No puede ser mayor al Total.  * La variable Migrantes No puede ser mayor al Total.</v>
      </c>
      <c r="BP164" s="83" t="str">
        <f t="shared" si="88"/>
        <v xml:space="preserve">  * La variable Pueblos originarios No puede ser mayor al Total.</v>
      </c>
      <c r="BQ164" s="83" t="str">
        <f t="shared" si="89"/>
        <v xml:space="preserve">  * La variable Migrantes No puede ser mayor al Total.</v>
      </c>
      <c r="BR164" s="2673"/>
      <c r="BS164" s="2673"/>
      <c r="BT164" s="2673"/>
      <c r="BV164" s="2628">
        <f t="shared" si="90"/>
        <v>1</v>
      </c>
      <c r="BW164" s="2628">
        <f t="shared" si="91"/>
        <v>1</v>
      </c>
    </row>
    <row r="165" spans="1:75" ht="15" customHeight="1" x14ac:dyDescent="0.25">
      <c r="A165" s="5633" t="s">
        <v>4897</v>
      </c>
      <c r="B165" s="6112"/>
      <c r="C165" s="357" t="s">
        <v>623</v>
      </c>
      <c r="D165" s="477" t="s">
        <v>4567</v>
      </c>
      <c r="E165" s="478" t="s">
        <v>4568</v>
      </c>
      <c r="F165" s="479" t="s">
        <v>4569</v>
      </c>
      <c r="G165" s="345" t="s">
        <v>4570</v>
      </c>
      <c r="H165" s="346" t="s">
        <v>4571</v>
      </c>
      <c r="I165" s="345" t="s">
        <v>4572</v>
      </c>
      <c r="J165" s="346" t="s">
        <v>4573</v>
      </c>
      <c r="K165" s="345" t="s">
        <v>4574</v>
      </c>
      <c r="L165" s="346" t="s">
        <v>4575</v>
      </c>
      <c r="M165" s="345" t="s">
        <v>4576</v>
      </c>
      <c r="N165" s="346" t="s">
        <v>4577</v>
      </c>
      <c r="O165" s="345" t="s">
        <v>4578</v>
      </c>
      <c r="P165" s="346" t="s">
        <v>4579</v>
      </c>
      <c r="Q165" s="345" t="s">
        <v>4580</v>
      </c>
      <c r="R165" s="346" t="s">
        <v>4581</v>
      </c>
      <c r="S165" s="345" t="s">
        <v>4582</v>
      </c>
      <c r="T165" s="346" t="s">
        <v>4583</v>
      </c>
      <c r="U165" s="345" t="s">
        <v>4584</v>
      </c>
      <c r="V165" s="346" t="s">
        <v>4585</v>
      </c>
      <c r="W165" s="345" t="s">
        <v>4586</v>
      </c>
      <c r="X165" s="346" t="s">
        <v>4587</v>
      </c>
      <c r="Y165" s="345" t="s">
        <v>4588</v>
      </c>
      <c r="Z165" s="346" t="s">
        <v>4589</v>
      </c>
      <c r="AA165" s="345" t="s">
        <v>4590</v>
      </c>
      <c r="AB165" s="346" t="s">
        <v>4591</v>
      </c>
      <c r="AC165" s="345" t="s">
        <v>4592</v>
      </c>
      <c r="AD165" s="346" t="s">
        <v>4593</v>
      </c>
      <c r="AE165" s="345" t="s">
        <v>4594</v>
      </c>
      <c r="AF165" s="346" t="s">
        <v>4595</v>
      </c>
      <c r="AG165" s="345" t="s">
        <v>4596</v>
      </c>
      <c r="AH165" s="346" t="s">
        <v>4597</v>
      </c>
      <c r="AI165" s="345" t="s">
        <v>4598</v>
      </c>
      <c r="AJ165" s="346" t="s">
        <v>4599</v>
      </c>
      <c r="AK165" s="345" t="s">
        <v>4600</v>
      </c>
      <c r="AL165" s="346" t="s">
        <v>4601</v>
      </c>
      <c r="AM165" s="345" t="s">
        <v>4602</v>
      </c>
      <c r="AN165" s="480" t="s">
        <v>4603</v>
      </c>
      <c r="AO165" s="347" t="s">
        <v>4604</v>
      </c>
      <c r="AP165" s="346" t="s">
        <v>4605</v>
      </c>
      <c r="AQ165" t="str">
        <f t="shared" si="87"/>
        <v xml:space="preserve">  * La variable Pueblos originarios No puede ser mayor al Total.  * La variable Migrantes No puede ser mayor al Total.</v>
      </c>
      <c r="BP165" s="83" t="str">
        <f t="shared" si="88"/>
        <v xml:space="preserve">  * La variable Pueblos originarios No puede ser mayor al Total.</v>
      </c>
      <c r="BQ165" s="83" t="str">
        <f t="shared" si="89"/>
        <v xml:space="preserve">  * La variable Migrantes No puede ser mayor al Total.</v>
      </c>
      <c r="BR165" s="2673"/>
      <c r="BS165" s="2673"/>
      <c r="BT165" s="2673"/>
      <c r="BV165" s="2628">
        <f t="shared" si="90"/>
        <v>1</v>
      </c>
      <c r="BW165" s="2628">
        <f t="shared" si="91"/>
        <v>1</v>
      </c>
    </row>
    <row r="166" spans="1:75" ht="15" customHeight="1" x14ac:dyDescent="0.25">
      <c r="A166" s="5633" t="s">
        <v>4898</v>
      </c>
      <c r="B166" s="6112"/>
      <c r="C166" s="357" t="s">
        <v>624</v>
      </c>
      <c r="D166" s="197" t="s">
        <v>4567</v>
      </c>
      <c r="E166" s="485" t="s">
        <v>4568</v>
      </c>
      <c r="F166" s="62" t="s">
        <v>4569</v>
      </c>
      <c r="G166" s="192" t="s">
        <v>4570</v>
      </c>
      <c r="H166" s="2" t="s">
        <v>4571</v>
      </c>
      <c r="I166" s="192" t="s">
        <v>4572</v>
      </c>
      <c r="J166" s="2" t="s">
        <v>4573</v>
      </c>
      <c r="K166" s="192" t="s">
        <v>4574</v>
      </c>
      <c r="L166" s="2" t="s">
        <v>4575</v>
      </c>
      <c r="M166" s="192" t="s">
        <v>4576</v>
      </c>
      <c r="N166" s="2" t="s">
        <v>4577</v>
      </c>
      <c r="O166" s="192" t="s">
        <v>4578</v>
      </c>
      <c r="P166" s="2" t="s">
        <v>4579</v>
      </c>
      <c r="Q166" s="192" t="s">
        <v>4580</v>
      </c>
      <c r="R166" s="2" t="s">
        <v>4581</v>
      </c>
      <c r="S166" s="192" t="s">
        <v>4582</v>
      </c>
      <c r="T166" s="2" t="s">
        <v>4583</v>
      </c>
      <c r="U166" s="192" t="s">
        <v>4584</v>
      </c>
      <c r="V166" s="2" t="s">
        <v>4585</v>
      </c>
      <c r="W166" s="192" t="s">
        <v>4586</v>
      </c>
      <c r="X166" s="2" t="s">
        <v>4587</v>
      </c>
      <c r="Y166" s="192" t="s">
        <v>4588</v>
      </c>
      <c r="Z166" s="2" t="s">
        <v>4589</v>
      </c>
      <c r="AA166" s="192" t="s">
        <v>4590</v>
      </c>
      <c r="AB166" s="2" t="s">
        <v>4591</v>
      </c>
      <c r="AC166" s="192" t="s">
        <v>4592</v>
      </c>
      <c r="AD166" s="2" t="s">
        <v>4593</v>
      </c>
      <c r="AE166" s="192" t="s">
        <v>4594</v>
      </c>
      <c r="AF166" s="2" t="s">
        <v>4595</v>
      </c>
      <c r="AG166" s="192" t="s">
        <v>4596</v>
      </c>
      <c r="AH166" s="2" t="s">
        <v>4597</v>
      </c>
      <c r="AI166" s="192" t="s">
        <v>4598</v>
      </c>
      <c r="AJ166" s="2" t="s">
        <v>4599</v>
      </c>
      <c r="AK166" s="192" t="s">
        <v>4600</v>
      </c>
      <c r="AL166" s="2" t="s">
        <v>4601</v>
      </c>
      <c r="AM166" s="192" t="s">
        <v>4602</v>
      </c>
      <c r="AN166" s="375" t="s">
        <v>4603</v>
      </c>
      <c r="AO166" s="481" t="s">
        <v>4604</v>
      </c>
      <c r="AP166" s="2" t="s">
        <v>4605</v>
      </c>
      <c r="AQ166" t="str">
        <f t="shared" si="87"/>
        <v xml:space="preserve">  * La variable Pueblos originarios No puede ser mayor al Total.  * La variable Migrantes No puede ser mayor al Total.</v>
      </c>
      <c r="BP166" s="83" t="str">
        <f t="shared" si="88"/>
        <v xml:space="preserve">  * La variable Pueblos originarios No puede ser mayor al Total.</v>
      </c>
      <c r="BQ166" s="83" t="str">
        <f t="shared" si="89"/>
        <v xml:space="preserve">  * La variable Migrantes No puede ser mayor al Total.</v>
      </c>
      <c r="BR166" s="2673"/>
      <c r="BS166" s="2673"/>
      <c r="BT166" s="2673"/>
      <c r="BV166" s="2628">
        <f t="shared" si="90"/>
        <v>1</v>
      </c>
      <c r="BW166" s="2628">
        <f t="shared" si="91"/>
        <v>1</v>
      </c>
    </row>
    <row r="167" spans="1:75" ht="15" customHeight="1" x14ac:dyDescent="0.25">
      <c r="A167" s="5633" t="s">
        <v>4899</v>
      </c>
      <c r="B167" s="6059"/>
      <c r="C167" s="517" t="s">
        <v>626</v>
      </c>
      <c r="D167" s="482" t="s">
        <v>4567</v>
      </c>
      <c r="E167" s="483" t="s">
        <v>4568</v>
      </c>
      <c r="F167" s="484" t="s">
        <v>4569</v>
      </c>
      <c r="G167" s="379" t="s">
        <v>4570</v>
      </c>
      <c r="H167" s="387" t="s">
        <v>4571</v>
      </c>
      <c r="I167" s="379" t="s">
        <v>4572</v>
      </c>
      <c r="J167" s="387" t="s">
        <v>4573</v>
      </c>
      <c r="K167" s="379" t="s">
        <v>4574</v>
      </c>
      <c r="L167" s="387" t="s">
        <v>4575</v>
      </c>
      <c r="M167" s="379" t="s">
        <v>4576</v>
      </c>
      <c r="N167" s="387" t="s">
        <v>4577</v>
      </c>
      <c r="O167" s="379" t="s">
        <v>4578</v>
      </c>
      <c r="P167" s="387" t="s">
        <v>4579</v>
      </c>
      <c r="Q167" s="379" t="s">
        <v>4580</v>
      </c>
      <c r="R167" s="387" t="s">
        <v>4581</v>
      </c>
      <c r="S167" s="379" t="s">
        <v>4582</v>
      </c>
      <c r="T167" s="387" t="s">
        <v>4583</v>
      </c>
      <c r="U167" s="379" t="s">
        <v>4584</v>
      </c>
      <c r="V167" s="387" t="s">
        <v>4585</v>
      </c>
      <c r="W167" s="379" t="s">
        <v>4586</v>
      </c>
      <c r="X167" s="387" t="s">
        <v>4587</v>
      </c>
      <c r="Y167" s="379" t="s">
        <v>4588</v>
      </c>
      <c r="Z167" s="387" t="s">
        <v>4589</v>
      </c>
      <c r="AA167" s="379" t="s">
        <v>4590</v>
      </c>
      <c r="AB167" s="387" t="s">
        <v>4591</v>
      </c>
      <c r="AC167" s="379" t="s">
        <v>4592</v>
      </c>
      <c r="AD167" s="387" t="s">
        <v>4593</v>
      </c>
      <c r="AE167" s="379" t="s">
        <v>4594</v>
      </c>
      <c r="AF167" s="387" t="s">
        <v>4595</v>
      </c>
      <c r="AG167" s="379" t="s">
        <v>4596</v>
      </c>
      <c r="AH167" s="387" t="s">
        <v>4597</v>
      </c>
      <c r="AI167" s="379" t="s">
        <v>4598</v>
      </c>
      <c r="AJ167" s="387" t="s">
        <v>4599</v>
      </c>
      <c r="AK167" s="379" t="s">
        <v>4600</v>
      </c>
      <c r="AL167" s="387" t="s">
        <v>4601</v>
      </c>
      <c r="AM167" s="379" t="s">
        <v>4602</v>
      </c>
      <c r="AN167" s="391" t="s">
        <v>4603</v>
      </c>
      <c r="AO167" s="428" t="s">
        <v>4604</v>
      </c>
      <c r="AP167" s="387" t="s">
        <v>4605</v>
      </c>
      <c r="AQ167" t="str">
        <f t="shared" si="87"/>
        <v xml:space="preserve">  * La variable Pueblos originarios No puede ser mayor al Total.  * La variable Migrantes No puede ser mayor al Total.</v>
      </c>
      <c r="BP167" s="83" t="str">
        <f t="shared" si="88"/>
        <v xml:space="preserve">  * La variable Pueblos originarios No puede ser mayor al Total.</v>
      </c>
      <c r="BQ167" s="83" t="str">
        <f t="shared" si="89"/>
        <v xml:space="preserve">  * La variable Migrantes No puede ser mayor al Total.</v>
      </c>
      <c r="BR167" s="2673"/>
      <c r="BS167" s="2673"/>
      <c r="BT167" s="2673"/>
      <c r="BV167" s="2628">
        <f t="shared" si="90"/>
        <v>1</v>
      </c>
      <c r="BW167" s="2628">
        <f t="shared" si="91"/>
        <v>1</v>
      </c>
    </row>
    <row r="168" spans="1:75" ht="18" customHeight="1" x14ac:dyDescent="0.25">
      <c r="B168" s="3" t="s">
        <v>627</v>
      </c>
      <c r="C168" s="1936"/>
      <c r="D168" s="1936"/>
      <c r="E168" s="1936"/>
      <c r="F168" s="1936"/>
      <c r="G168" s="1936"/>
      <c r="H168" s="1936"/>
      <c r="I168" s="1936"/>
      <c r="J168" s="1936"/>
      <c r="K168" s="1936"/>
      <c r="L168" s="1936"/>
      <c r="M168" s="1936"/>
      <c r="N168" s="1936"/>
      <c r="O168" s="1936"/>
      <c r="P168" s="1936"/>
      <c r="R168" s="88"/>
      <c r="S168" s="88"/>
      <c r="T168" s="88"/>
      <c r="U168" s="88"/>
      <c r="V168" s="88"/>
    </row>
    <row r="169" spans="1:75" ht="15" customHeight="1" x14ac:dyDescent="0.25">
      <c r="B169" s="6458" t="s">
        <v>628</v>
      </c>
      <c r="C169" s="6459" t="s">
        <v>77</v>
      </c>
      <c r="D169" s="6461" t="s">
        <v>29</v>
      </c>
      <c r="E169" s="6462"/>
      <c r="F169" s="6462"/>
      <c r="G169" s="6462"/>
      <c r="H169" s="6462"/>
      <c r="I169" s="6462"/>
      <c r="J169" s="6462"/>
      <c r="K169" s="6462"/>
      <c r="L169" s="6462"/>
      <c r="M169" s="6462"/>
      <c r="N169" s="6462"/>
      <c r="O169" s="6462"/>
      <c r="P169" s="6462"/>
      <c r="Q169" s="6462"/>
      <c r="R169" s="6462"/>
      <c r="S169" s="6462"/>
      <c r="T169" s="6463"/>
      <c r="U169" s="6464" t="s">
        <v>36</v>
      </c>
      <c r="V169" s="6457" t="s">
        <v>37</v>
      </c>
    </row>
    <row r="170" spans="1:75" ht="15" customHeight="1" x14ac:dyDescent="0.25">
      <c r="B170" s="6093"/>
      <c r="C170" s="6460"/>
      <c r="D170" s="2869" t="s">
        <v>343</v>
      </c>
      <c r="E170" s="2870" t="s">
        <v>326</v>
      </c>
      <c r="F170" s="2870" t="s">
        <v>303</v>
      </c>
      <c r="G170" s="2870" t="s">
        <v>44</v>
      </c>
      <c r="H170" s="2870" t="s">
        <v>305</v>
      </c>
      <c r="I170" s="2870" t="s">
        <v>46</v>
      </c>
      <c r="J170" s="2870" t="s">
        <v>629</v>
      </c>
      <c r="K170" s="2870" t="s">
        <v>48</v>
      </c>
      <c r="L170" s="2870" t="s">
        <v>630</v>
      </c>
      <c r="M170" s="2870" t="s">
        <v>50</v>
      </c>
      <c r="N170" s="2870" t="s">
        <v>631</v>
      </c>
      <c r="O170" s="2870" t="s">
        <v>52</v>
      </c>
      <c r="P170" s="2870" t="s">
        <v>53</v>
      </c>
      <c r="Q170" s="2870" t="s">
        <v>54</v>
      </c>
      <c r="R170" s="2870" t="s">
        <v>55</v>
      </c>
      <c r="S170" s="2870" t="s">
        <v>56</v>
      </c>
      <c r="T170" s="1748" t="s">
        <v>57</v>
      </c>
      <c r="U170" s="6464"/>
      <c r="V170" s="6457"/>
    </row>
    <row r="171" spans="1:75" ht="22.5" customHeight="1" x14ac:dyDescent="0.25">
      <c r="A171" s="5636" t="s">
        <v>4900</v>
      </c>
      <c r="B171" s="2871" t="s">
        <v>632</v>
      </c>
      <c r="C171" s="5643" t="s">
        <v>4567</v>
      </c>
      <c r="D171" s="1114" t="s">
        <v>4568</v>
      </c>
      <c r="E171" s="1258" t="s">
        <v>4569</v>
      </c>
      <c r="F171" s="1258" t="s">
        <v>4570</v>
      </c>
      <c r="G171" s="1258" t="s">
        <v>4571</v>
      </c>
      <c r="H171" s="1258" t="s">
        <v>4572</v>
      </c>
      <c r="I171" s="1258" t="s">
        <v>4573</v>
      </c>
      <c r="J171" s="1258" t="s">
        <v>4574</v>
      </c>
      <c r="K171" s="1258" t="s">
        <v>4575</v>
      </c>
      <c r="L171" s="1258" t="s">
        <v>4576</v>
      </c>
      <c r="M171" s="1258" t="s">
        <v>4577</v>
      </c>
      <c r="N171" s="1258" t="s">
        <v>4578</v>
      </c>
      <c r="O171" s="1258" t="s">
        <v>4579</v>
      </c>
      <c r="P171" s="1258" t="s">
        <v>4580</v>
      </c>
      <c r="Q171" s="1258" t="s">
        <v>4581</v>
      </c>
      <c r="R171" s="1258" t="s">
        <v>4582</v>
      </c>
      <c r="S171" s="1258" t="s">
        <v>4583</v>
      </c>
      <c r="T171" s="5644" t="s">
        <v>4584</v>
      </c>
      <c r="U171" s="1303" t="s">
        <v>4585</v>
      </c>
      <c r="V171" s="5645" t="s">
        <v>4586</v>
      </c>
      <c r="W171" t="str">
        <f>BP171&amp;BQ171</f>
        <v xml:space="preserve"> * La variable Pueblos originarios No puede ser mayor al Total. * La variable Migrantes No puede ser mayor al Total.</v>
      </c>
      <c r="BP171" s="83" t="str">
        <f>IF(AND(C171&gt;0,U171=""),"  * No olvide digitar la variable Pueblos originarios. Digite Cero si no tiene.",IF(U171&gt;C171," * La variable Pueblos originarios No puede ser mayor al Total.",""))</f>
        <v xml:space="preserve"> * La variable Pueblos originarios No puede ser mayor al Total.</v>
      </c>
      <c r="BQ171" s="83" t="str">
        <f>IF(AND(C171&gt;0,V171=""),"  * No olvide digitar la variable Migrantes. Digite Cero si no tiene.",IF(V171&gt;C171," * La variable Migrantes No puede ser mayor al Total.",""))</f>
        <v xml:space="preserve"> * La variable Migrantes No puede ser mayor al Total.</v>
      </c>
      <c r="BV171" s="2628">
        <f>IF(AND(C171&gt;0,U171=""),1,IF(U171&gt;C171,1,0))</f>
        <v>1</v>
      </c>
      <c r="BW171" s="2628">
        <f>IF(AND(C171&gt;0,V171=""),1,IF(V171&gt;C171,1,0))</f>
        <v>1</v>
      </c>
    </row>
    <row r="172" spans="1:75" ht="18" customHeight="1" x14ac:dyDescent="0.25">
      <c r="A172" s="5548"/>
      <c r="B172" s="2474" t="s">
        <v>633</v>
      </c>
      <c r="C172" s="2873"/>
      <c r="D172" s="2874"/>
      <c r="E172" s="2874"/>
      <c r="F172" s="2874"/>
      <c r="G172" s="2874"/>
      <c r="H172" s="2874"/>
      <c r="I172" s="2874"/>
      <c r="J172" s="2874"/>
      <c r="K172" s="2874"/>
      <c r="L172" s="2874"/>
      <c r="M172" s="2874"/>
    </row>
    <row r="173" spans="1:75" x14ac:dyDescent="0.25">
      <c r="A173" s="5548"/>
      <c r="B173" s="6141" t="s">
        <v>219</v>
      </c>
      <c r="C173" s="6482" t="s">
        <v>634</v>
      </c>
      <c r="D173" s="6484" t="s">
        <v>635</v>
      </c>
      <c r="E173" s="6485"/>
      <c r="F173" s="6485"/>
      <c r="G173" s="6485"/>
      <c r="H173" s="6485"/>
      <c r="I173" s="6485"/>
      <c r="J173" s="6485"/>
      <c r="K173" s="6485"/>
      <c r="L173" s="6486"/>
      <c r="M173" s="6461" t="s">
        <v>636</v>
      </c>
      <c r="N173" s="6462"/>
      <c r="O173" s="6462"/>
      <c r="P173" s="6462"/>
      <c r="Q173" s="6462"/>
      <c r="R173" s="6462"/>
      <c r="S173" s="6462"/>
      <c r="T173" s="6462"/>
      <c r="U173" s="6487"/>
      <c r="V173" s="6461" t="s">
        <v>637</v>
      </c>
      <c r="W173" s="6462"/>
      <c r="X173" s="6462"/>
      <c r="Y173" s="6462"/>
      <c r="Z173" s="6462"/>
      <c r="AA173" s="6462"/>
      <c r="AB173" s="6462"/>
      <c r="AC173" s="6462"/>
      <c r="AD173" s="6463"/>
      <c r="AE173" s="6456" t="s">
        <v>36</v>
      </c>
      <c r="AF173" s="6474" t="s">
        <v>37</v>
      </c>
    </row>
    <row r="174" spans="1:75" ht="18" customHeight="1" x14ac:dyDescent="0.25">
      <c r="A174" s="5548"/>
      <c r="B174" s="6143"/>
      <c r="C174" s="6483"/>
      <c r="D174" s="6475" t="s">
        <v>77</v>
      </c>
      <c r="E174" s="6476"/>
      <c r="F174" s="6477"/>
      <c r="G174" s="6478" t="s">
        <v>638</v>
      </c>
      <c r="H174" s="6478"/>
      <c r="I174" s="6478" t="s">
        <v>639</v>
      </c>
      <c r="J174" s="6478"/>
      <c r="K174" s="6479" t="s">
        <v>640</v>
      </c>
      <c r="L174" s="6479"/>
      <c r="M174" s="6475" t="s">
        <v>77</v>
      </c>
      <c r="N174" s="6476"/>
      <c r="O174" s="6477"/>
      <c r="P174" s="6478" t="s">
        <v>638</v>
      </c>
      <c r="Q174" s="6478"/>
      <c r="R174" s="6478" t="s">
        <v>639</v>
      </c>
      <c r="S174" s="6478"/>
      <c r="T174" s="6479" t="s">
        <v>640</v>
      </c>
      <c r="U174" s="6479"/>
      <c r="V174" s="6475" t="s">
        <v>77</v>
      </c>
      <c r="W174" s="6476"/>
      <c r="X174" s="6477"/>
      <c r="Y174" s="6478" t="s">
        <v>638</v>
      </c>
      <c r="Z174" s="6478"/>
      <c r="AA174" s="6478" t="s">
        <v>639</v>
      </c>
      <c r="AB174" s="6478"/>
      <c r="AC174" s="6479" t="s">
        <v>640</v>
      </c>
      <c r="AD174" s="6480"/>
      <c r="AE174" s="6456"/>
      <c r="AF174" s="6474"/>
    </row>
    <row r="175" spans="1:75" ht="25.9" customHeight="1" x14ac:dyDescent="0.25">
      <c r="A175" s="5548"/>
      <c r="B175" s="6143"/>
      <c r="C175" s="6483"/>
      <c r="D175" s="2876" t="s">
        <v>641</v>
      </c>
      <c r="E175" s="2877" t="s">
        <v>58</v>
      </c>
      <c r="F175" s="2878" t="s">
        <v>59</v>
      </c>
      <c r="G175" s="2879" t="s">
        <v>58</v>
      </c>
      <c r="H175" s="2880" t="s">
        <v>59</v>
      </c>
      <c r="I175" s="2879" t="s">
        <v>58</v>
      </c>
      <c r="J175" s="2880" t="s">
        <v>59</v>
      </c>
      <c r="K175" s="2879" t="s">
        <v>58</v>
      </c>
      <c r="L175" s="2880" t="s">
        <v>59</v>
      </c>
      <c r="M175" s="2879" t="s">
        <v>641</v>
      </c>
      <c r="N175" s="2881" t="s">
        <v>58</v>
      </c>
      <c r="O175" s="1759" t="s">
        <v>59</v>
      </c>
      <c r="P175" s="2879" t="s">
        <v>58</v>
      </c>
      <c r="Q175" s="1759" t="s">
        <v>59</v>
      </c>
      <c r="R175" s="2879" t="s">
        <v>58</v>
      </c>
      <c r="S175" s="1759" t="s">
        <v>59</v>
      </c>
      <c r="T175" s="2879" t="s">
        <v>58</v>
      </c>
      <c r="U175" s="1759" t="s">
        <v>59</v>
      </c>
      <c r="V175" s="2879" t="s">
        <v>641</v>
      </c>
      <c r="W175" s="2882" t="s">
        <v>58</v>
      </c>
      <c r="X175" s="2880" t="s">
        <v>59</v>
      </c>
      <c r="Y175" s="2879" t="s">
        <v>58</v>
      </c>
      <c r="Z175" s="2880" t="s">
        <v>59</v>
      </c>
      <c r="AA175" s="2879" t="s">
        <v>58</v>
      </c>
      <c r="AB175" s="2880" t="s">
        <v>59</v>
      </c>
      <c r="AC175" s="2879" t="s">
        <v>58</v>
      </c>
      <c r="AD175" s="2883" t="s">
        <v>59</v>
      </c>
      <c r="AE175" s="6456"/>
      <c r="AF175" s="6474"/>
    </row>
    <row r="176" spans="1:75" ht="25.15" customHeight="1" x14ac:dyDescent="0.25">
      <c r="A176" s="5636" t="s">
        <v>4901</v>
      </c>
      <c r="B176" s="2884" t="s">
        <v>642</v>
      </c>
      <c r="C176" s="5646" t="s">
        <v>4567</v>
      </c>
      <c r="D176" s="5313" t="s">
        <v>4568</v>
      </c>
      <c r="E176" s="5647" t="s">
        <v>4569</v>
      </c>
      <c r="F176" s="5648" t="s">
        <v>4570</v>
      </c>
      <c r="G176" s="1726" t="s">
        <v>4571</v>
      </c>
      <c r="H176" s="3129" t="s">
        <v>4572</v>
      </c>
      <c r="I176" s="1726" t="s">
        <v>4573</v>
      </c>
      <c r="J176" s="3129" t="s">
        <v>4574</v>
      </c>
      <c r="K176" s="1726" t="s">
        <v>4575</v>
      </c>
      <c r="L176" s="3129" t="s">
        <v>4576</v>
      </c>
      <c r="M176" s="5649" t="s">
        <v>4577</v>
      </c>
      <c r="N176" s="5647" t="s">
        <v>4578</v>
      </c>
      <c r="O176" s="5650" t="s">
        <v>4579</v>
      </c>
      <c r="P176" s="1726" t="s">
        <v>4580</v>
      </c>
      <c r="Q176" s="5651" t="s">
        <v>4581</v>
      </c>
      <c r="R176" s="1726" t="s">
        <v>4582</v>
      </c>
      <c r="S176" s="5651" t="s">
        <v>4583</v>
      </c>
      <c r="T176" s="1726" t="s">
        <v>4584</v>
      </c>
      <c r="U176" s="5651" t="s">
        <v>4585</v>
      </c>
      <c r="V176" s="5652" t="s">
        <v>4586</v>
      </c>
      <c r="W176" s="5647" t="s">
        <v>4587</v>
      </c>
      <c r="X176" s="5648" t="s">
        <v>4588</v>
      </c>
      <c r="Y176" s="1726" t="s">
        <v>4589</v>
      </c>
      <c r="Z176" s="3129" t="s">
        <v>4590</v>
      </c>
      <c r="AA176" s="1726" t="s">
        <v>4591</v>
      </c>
      <c r="AB176" s="3129" t="s">
        <v>4592</v>
      </c>
      <c r="AC176" s="1726" t="s">
        <v>4593</v>
      </c>
      <c r="AD176" s="5555" t="s">
        <v>4594</v>
      </c>
      <c r="AE176" s="5653" t="s">
        <v>4595</v>
      </c>
      <c r="AF176" s="3129" t="s">
        <v>4596</v>
      </c>
      <c r="AG176" t="str">
        <f>BP176&amp;BQ176</f>
        <v xml:space="preserve"> * La variable Pueblos originarios No puede ser mayor al Total. * La variable Migrantes No puede ser mayor al Total.</v>
      </c>
      <c r="BP176" s="83" t="str">
        <f>IF(AND(C176&gt;0,AE176=""),"  * No olvide digitar la variable Pueblos originarios. Digite Cero si no tiene.",IF(AE176&gt;C176," * La variable Pueblos originarios No puede ser mayor al Total.",""))</f>
        <v xml:space="preserve"> * La variable Pueblos originarios No puede ser mayor al Total.</v>
      </c>
      <c r="BQ176" s="83" t="str">
        <f>IF(AND(C176&gt;0,AF176=""),"  * No olvide digitar la variable Migrantes. Digite Cero si no tiene.",IF(AF176&gt;C176," * La variable Migrantes No puede ser mayor al Total.",""))</f>
        <v xml:space="preserve"> * La variable Migrantes No puede ser mayor al Total.</v>
      </c>
      <c r="BV176" s="2628">
        <f>IF(AND(C176&gt;0,AE176=""),1,IF(AE176&gt;C176,1,0))</f>
        <v>1</v>
      </c>
      <c r="BW176" s="2628">
        <f>IF(AND(C176&gt;0,AF176=""),1,IF(AF176&gt;C176,1,0))</f>
        <v>1</v>
      </c>
    </row>
    <row r="177" spans="1:75" ht="25.9" customHeight="1" x14ac:dyDescent="0.25">
      <c r="A177" s="5636" t="s">
        <v>4902</v>
      </c>
      <c r="B177" s="2885" t="s">
        <v>643</v>
      </c>
      <c r="C177" s="5654" t="s">
        <v>4567</v>
      </c>
      <c r="D177" s="5655" t="s">
        <v>4568</v>
      </c>
      <c r="E177" s="5656" t="s">
        <v>4569</v>
      </c>
      <c r="F177" s="5657" t="s">
        <v>4570</v>
      </c>
      <c r="G177" s="1114" t="s">
        <v>4571</v>
      </c>
      <c r="H177" s="3134" t="s">
        <v>4572</v>
      </c>
      <c r="I177" s="1114" t="s">
        <v>4573</v>
      </c>
      <c r="J177" s="3134" t="s">
        <v>4574</v>
      </c>
      <c r="K177" s="1114" t="s">
        <v>4575</v>
      </c>
      <c r="L177" s="3134" t="s">
        <v>4576</v>
      </c>
      <c r="M177" s="2886" t="s">
        <v>4577</v>
      </c>
      <c r="N177" s="2887" t="s">
        <v>4578</v>
      </c>
      <c r="O177" s="2888" t="s">
        <v>4579</v>
      </c>
      <c r="P177" s="2886" t="s">
        <v>4580</v>
      </c>
      <c r="Q177" s="2888" t="s">
        <v>4581</v>
      </c>
      <c r="R177" s="2886" t="s">
        <v>4582</v>
      </c>
      <c r="S177" s="2888" t="s">
        <v>4583</v>
      </c>
      <c r="T177" s="2886" t="s">
        <v>4584</v>
      </c>
      <c r="U177" s="2888" t="s">
        <v>4585</v>
      </c>
      <c r="V177" s="4989" t="s">
        <v>4586</v>
      </c>
      <c r="W177" s="5658" t="s">
        <v>4587</v>
      </c>
      <c r="X177" s="5659" t="s">
        <v>4588</v>
      </c>
      <c r="Y177" s="1114" t="s">
        <v>4589</v>
      </c>
      <c r="Z177" s="3134" t="s">
        <v>4590</v>
      </c>
      <c r="AA177" s="1114" t="s">
        <v>4591</v>
      </c>
      <c r="AB177" s="3134" t="s">
        <v>4592</v>
      </c>
      <c r="AC177" s="1114" t="s">
        <v>4593</v>
      </c>
      <c r="AD177" s="1324" t="s">
        <v>4594</v>
      </c>
      <c r="AE177" s="5660" t="s">
        <v>4595</v>
      </c>
      <c r="AF177" s="3134" t="s">
        <v>4596</v>
      </c>
      <c r="AG177" t="str">
        <f t="shared" ref="AG177:AG183" si="92">BP177&amp;BQ177</f>
        <v xml:space="preserve"> * La variable Pueblos originarios No puede ser mayor al Total. * La variable Migrantes No puede ser mayor al Total.</v>
      </c>
      <c r="BP177" s="83" t="str">
        <f t="shared" ref="BP177:BP183" si="93">IF(AND(C177&gt;0,AE177=""),"  * No olvide digitar la variable Pueblos originarios. Digite Cero si no tiene.",IF(AE177&gt;C177," * La variable Pueblos originarios No puede ser mayor al Total.",""))</f>
        <v xml:space="preserve"> * La variable Pueblos originarios No puede ser mayor al Total.</v>
      </c>
      <c r="BQ177" s="83" t="str">
        <f t="shared" ref="BQ177:BQ183" si="94">IF(AND(C177&gt;0,AF177=""),"  * No olvide digitar la variable Migrantes. Digite Cero si no tiene.",IF(AF177&gt;C177," * La variable Migrantes No puede ser mayor al Total.",""))</f>
        <v xml:space="preserve"> * La variable Migrantes No puede ser mayor al Total.</v>
      </c>
      <c r="BV177" s="2628">
        <f t="shared" ref="BV177:BV183" si="95">IF(AND(C177&gt;0,AE177=""),1,IF(AE177&gt;C177,1,0))</f>
        <v>1</v>
      </c>
      <c r="BW177" s="2628">
        <f t="shared" ref="BW177:BW183" si="96">IF(AND(C177&gt;0,AF177=""),1,IF(AF177&gt;C177,1,0))</f>
        <v>1</v>
      </c>
    </row>
    <row r="178" spans="1:75" ht="25.15" customHeight="1" x14ac:dyDescent="0.25">
      <c r="A178" s="5636" t="s">
        <v>4903</v>
      </c>
      <c r="B178" s="2884" t="s">
        <v>644</v>
      </c>
      <c r="C178" s="5646" t="s">
        <v>4567</v>
      </c>
      <c r="D178" s="5313" t="s">
        <v>4568</v>
      </c>
      <c r="E178" s="5661" t="s">
        <v>4569</v>
      </c>
      <c r="F178" s="5662" t="s">
        <v>4570</v>
      </c>
      <c r="G178" s="1726" t="s">
        <v>4571</v>
      </c>
      <c r="H178" s="3129" t="s">
        <v>4572</v>
      </c>
      <c r="I178" s="1726" t="s">
        <v>4573</v>
      </c>
      <c r="J178" s="3129" t="s">
        <v>4574</v>
      </c>
      <c r="K178" s="1726" t="s">
        <v>4575</v>
      </c>
      <c r="L178" s="3129" t="s">
        <v>4576</v>
      </c>
      <c r="M178" s="5649" t="s">
        <v>4577</v>
      </c>
      <c r="N178" s="5647" t="s">
        <v>4578</v>
      </c>
      <c r="O178" s="5650" t="s">
        <v>4579</v>
      </c>
      <c r="P178" s="1726" t="s">
        <v>4580</v>
      </c>
      <c r="Q178" s="5651" t="s">
        <v>4581</v>
      </c>
      <c r="R178" s="1726" t="s">
        <v>4582</v>
      </c>
      <c r="S178" s="5651" t="s">
        <v>4583</v>
      </c>
      <c r="T178" s="1726" t="s">
        <v>4584</v>
      </c>
      <c r="U178" s="5651" t="s">
        <v>4585</v>
      </c>
      <c r="V178" s="5652" t="s">
        <v>4586</v>
      </c>
      <c r="W178" s="5647" t="s">
        <v>4587</v>
      </c>
      <c r="X178" s="5648" t="s">
        <v>4588</v>
      </c>
      <c r="Y178" s="1726" t="s">
        <v>4589</v>
      </c>
      <c r="Z178" s="3129" t="s">
        <v>4590</v>
      </c>
      <c r="AA178" s="1726" t="s">
        <v>4591</v>
      </c>
      <c r="AB178" s="3129" t="s">
        <v>4592</v>
      </c>
      <c r="AC178" s="1726" t="s">
        <v>4593</v>
      </c>
      <c r="AD178" s="5555" t="s">
        <v>4594</v>
      </c>
      <c r="AE178" s="5653" t="s">
        <v>4595</v>
      </c>
      <c r="AF178" s="3129" t="s">
        <v>4596</v>
      </c>
      <c r="AG178" t="str">
        <f t="shared" si="92"/>
        <v xml:space="preserve"> * La variable Pueblos originarios No puede ser mayor al Total. * La variable Migrantes No puede ser mayor al Total.</v>
      </c>
      <c r="BP178" s="83" t="str">
        <f t="shared" si="93"/>
        <v xml:space="preserve"> * La variable Pueblos originarios No puede ser mayor al Total.</v>
      </c>
      <c r="BQ178" s="83" t="str">
        <f t="shared" si="94"/>
        <v xml:space="preserve"> * La variable Migrantes No puede ser mayor al Total.</v>
      </c>
      <c r="BV178" s="2628">
        <f t="shared" si="95"/>
        <v>1</v>
      </c>
      <c r="BW178" s="2628">
        <f t="shared" si="96"/>
        <v>1</v>
      </c>
    </row>
    <row r="179" spans="1:75" ht="26.45" customHeight="1" x14ac:dyDescent="0.25">
      <c r="A179" s="5636" t="s">
        <v>4904</v>
      </c>
      <c r="B179" s="2885" t="s">
        <v>645</v>
      </c>
      <c r="C179" s="5654" t="s">
        <v>4567</v>
      </c>
      <c r="D179" s="5655" t="s">
        <v>4568</v>
      </c>
      <c r="E179" s="5656" t="s">
        <v>4569</v>
      </c>
      <c r="F179" s="5657" t="s">
        <v>4570</v>
      </c>
      <c r="G179" s="1114" t="s">
        <v>4571</v>
      </c>
      <c r="H179" s="3134" t="s">
        <v>4572</v>
      </c>
      <c r="I179" s="1114" t="s">
        <v>4573</v>
      </c>
      <c r="J179" s="3134" t="s">
        <v>4574</v>
      </c>
      <c r="K179" s="1114" t="s">
        <v>4575</v>
      </c>
      <c r="L179" s="3134" t="s">
        <v>4576</v>
      </c>
      <c r="M179" s="2886" t="s">
        <v>4577</v>
      </c>
      <c r="N179" s="2887" t="s">
        <v>4578</v>
      </c>
      <c r="O179" s="2888" t="s">
        <v>4579</v>
      </c>
      <c r="P179" s="2886" t="s">
        <v>4580</v>
      </c>
      <c r="Q179" s="2888" t="s">
        <v>4581</v>
      </c>
      <c r="R179" s="2886" t="s">
        <v>4582</v>
      </c>
      <c r="S179" s="2888" t="s">
        <v>4583</v>
      </c>
      <c r="T179" s="2886" t="s">
        <v>4584</v>
      </c>
      <c r="U179" s="2888" t="s">
        <v>4585</v>
      </c>
      <c r="V179" s="4989" t="s">
        <v>4586</v>
      </c>
      <c r="W179" s="5658" t="s">
        <v>4587</v>
      </c>
      <c r="X179" s="5659" t="s">
        <v>4588</v>
      </c>
      <c r="Y179" s="1114" t="s">
        <v>4589</v>
      </c>
      <c r="Z179" s="3134" t="s">
        <v>4590</v>
      </c>
      <c r="AA179" s="1114" t="s">
        <v>4591</v>
      </c>
      <c r="AB179" s="3134" t="s">
        <v>4592</v>
      </c>
      <c r="AC179" s="1114" t="s">
        <v>4593</v>
      </c>
      <c r="AD179" s="1324" t="s">
        <v>4594</v>
      </c>
      <c r="AE179" s="5660" t="s">
        <v>4595</v>
      </c>
      <c r="AF179" s="3134" t="s">
        <v>4596</v>
      </c>
      <c r="AG179" t="str">
        <f t="shared" si="92"/>
        <v xml:space="preserve"> * La variable Pueblos originarios No puede ser mayor al Total. * La variable Migrantes No puede ser mayor al Total.</v>
      </c>
      <c r="BP179" s="83" t="str">
        <f t="shared" si="93"/>
        <v xml:space="preserve"> * La variable Pueblos originarios No puede ser mayor al Total.</v>
      </c>
      <c r="BQ179" s="83" t="str">
        <f t="shared" si="94"/>
        <v xml:space="preserve"> * La variable Migrantes No puede ser mayor al Total.</v>
      </c>
      <c r="BV179" s="2628">
        <f t="shared" si="95"/>
        <v>1</v>
      </c>
      <c r="BW179" s="2628">
        <f t="shared" si="96"/>
        <v>1</v>
      </c>
    </row>
    <row r="180" spans="1:75" ht="21" x14ac:dyDescent="0.25">
      <c r="A180" s="5636" t="s">
        <v>4905</v>
      </c>
      <c r="B180" s="2884" t="s">
        <v>646</v>
      </c>
      <c r="C180" s="5646" t="s">
        <v>4567</v>
      </c>
      <c r="D180" s="5313" t="s">
        <v>4568</v>
      </c>
      <c r="E180" s="5661" t="s">
        <v>4569</v>
      </c>
      <c r="F180" s="5662" t="s">
        <v>4570</v>
      </c>
      <c r="G180" s="1726" t="s">
        <v>4571</v>
      </c>
      <c r="H180" s="3129" t="s">
        <v>4572</v>
      </c>
      <c r="I180" s="1726" t="s">
        <v>4573</v>
      </c>
      <c r="J180" s="3129" t="s">
        <v>4574</v>
      </c>
      <c r="K180" s="1726" t="s">
        <v>4575</v>
      </c>
      <c r="L180" s="3129" t="s">
        <v>4576</v>
      </c>
      <c r="M180" s="5649" t="s">
        <v>4577</v>
      </c>
      <c r="N180" s="5647" t="s">
        <v>4578</v>
      </c>
      <c r="O180" s="5650" t="s">
        <v>4579</v>
      </c>
      <c r="P180" s="1726" t="s">
        <v>4580</v>
      </c>
      <c r="Q180" s="5651" t="s">
        <v>4581</v>
      </c>
      <c r="R180" s="1726" t="s">
        <v>4582</v>
      </c>
      <c r="S180" s="5651" t="s">
        <v>4583</v>
      </c>
      <c r="T180" s="1726" t="s">
        <v>4584</v>
      </c>
      <c r="U180" s="5651" t="s">
        <v>4585</v>
      </c>
      <c r="V180" s="5652" t="s">
        <v>4586</v>
      </c>
      <c r="W180" s="5647" t="s">
        <v>4587</v>
      </c>
      <c r="X180" s="5648" t="s">
        <v>4588</v>
      </c>
      <c r="Y180" s="1726" t="s">
        <v>4589</v>
      </c>
      <c r="Z180" s="3129" t="s">
        <v>4590</v>
      </c>
      <c r="AA180" s="1726" t="s">
        <v>4591</v>
      </c>
      <c r="AB180" s="3129" t="s">
        <v>4592</v>
      </c>
      <c r="AC180" s="1726" t="s">
        <v>4593</v>
      </c>
      <c r="AD180" s="5555" t="s">
        <v>4594</v>
      </c>
      <c r="AE180" s="5653" t="s">
        <v>4595</v>
      </c>
      <c r="AF180" s="3129" t="s">
        <v>4596</v>
      </c>
      <c r="AG180" t="str">
        <f t="shared" si="92"/>
        <v xml:space="preserve"> * La variable Pueblos originarios No puede ser mayor al Total. * La variable Migrantes No puede ser mayor al Total.</v>
      </c>
      <c r="BP180" s="83" t="str">
        <f t="shared" si="93"/>
        <v xml:space="preserve"> * La variable Pueblos originarios No puede ser mayor al Total.</v>
      </c>
      <c r="BQ180" s="83" t="str">
        <f t="shared" si="94"/>
        <v xml:space="preserve"> * La variable Migrantes No puede ser mayor al Total.</v>
      </c>
      <c r="BV180" s="2628">
        <f t="shared" si="95"/>
        <v>1</v>
      </c>
      <c r="BW180" s="2628">
        <f t="shared" si="96"/>
        <v>1</v>
      </c>
    </row>
    <row r="181" spans="1:75" ht="25.9" customHeight="1" x14ac:dyDescent="0.25">
      <c r="A181" s="5636" t="s">
        <v>4906</v>
      </c>
      <c r="B181" s="2885" t="s">
        <v>647</v>
      </c>
      <c r="C181" s="5654" t="s">
        <v>4567</v>
      </c>
      <c r="D181" s="5655" t="s">
        <v>4568</v>
      </c>
      <c r="E181" s="5656" t="s">
        <v>4569</v>
      </c>
      <c r="F181" s="5657" t="s">
        <v>4570</v>
      </c>
      <c r="G181" s="1114" t="s">
        <v>4571</v>
      </c>
      <c r="H181" s="3134" t="s">
        <v>4572</v>
      </c>
      <c r="I181" s="1114" t="s">
        <v>4573</v>
      </c>
      <c r="J181" s="3134" t="s">
        <v>4574</v>
      </c>
      <c r="K181" s="1114" t="s">
        <v>4575</v>
      </c>
      <c r="L181" s="3134" t="s">
        <v>4576</v>
      </c>
      <c r="M181" s="2886" t="s">
        <v>4577</v>
      </c>
      <c r="N181" s="2887" t="s">
        <v>4578</v>
      </c>
      <c r="O181" s="2888" t="s">
        <v>4579</v>
      </c>
      <c r="P181" s="2886" t="s">
        <v>4580</v>
      </c>
      <c r="Q181" s="2888" t="s">
        <v>4581</v>
      </c>
      <c r="R181" s="2886" t="s">
        <v>4582</v>
      </c>
      <c r="S181" s="2888" t="s">
        <v>4583</v>
      </c>
      <c r="T181" s="2886" t="s">
        <v>4584</v>
      </c>
      <c r="U181" s="2888" t="s">
        <v>4585</v>
      </c>
      <c r="V181" s="4989" t="s">
        <v>4586</v>
      </c>
      <c r="W181" s="5658" t="s">
        <v>4587</v>
      </c>
      <c r="X181" s="5659" t="s">
        <v>4588</v>
      </c>
      <c r="Y181" s="1114" t="s">
        <v>4589</v>
      </c>
      <c r="Z181" s="3134" t="s">
        <v>4590</v>
      </c>
      <c r="AA181" s="1114" t="s">
        <v>4591</v>
      </c>
      <c r="AB181" s="3134" t="s">
        <v>4592</v>
      </c>
      <c r="AC181" s="1114" t="s">
        <v>4593</v>
      </c>
      <c r="AD181" s="1324" t="s">
        <v>4594</v>
      </c>
      <c r="AE181" s="5660" t="s">
        <v>4595</v>
      </c>
      <c r="AF181" s="3134" t="s">
        <v>4596</v>
      </c>
      <c r="AG181" t="str">
        <f t="shared" si="92"/>
        <v xml:space="preserve"> * La variable Pueblos originarios No puede ser mayor al Total. * La variable Migrantes No puede ser mayor al Total.</v>
      </c>
      <c r="BP181" s="83" t="str">
        <f t="shared" si="93"/>
        <v xml:space="preserve"> * La variable Pueblos originarios No puede ser mayor al Total.</v>
      </c>
      <c r="BQ181" s="83" t="str">
        <f t="shared" si="94"/>
        <v xml:space="preserve"> * La variable Migrantes No puede ser mayor al Total.</v>
      </c>
      <c r="BV181" s="2628">
        <f t="shared" si="95"/>
        <v>1</v>
      </c>
      <c r="BW181" s="2628">
        <f t="shared" si="96"/>
        <v>1</v>
      </c>
    </row>
    <row r="182" spans="1:75" ht="26.45" customHeight="1" x14ac:dyDescent="0.25">
      <c r="A182" s="5636" t="s">
        <v>4907</v>
      </c>
      <c r="B182" s="2206" t="s">
        <v>648</v>
      </c>
      <c r="C182" s="2889" t="s">
        <v>4567</v>
      </c>
      <c r="D182" s="2208" t="s">
        <v>4568</v>
      </c>
      <c r="E182" s="5663" t="s">
        <v>4569</v>
      </c>
      <c r="F182" s="2891" t="s">
        <v>4570</v>
      </c>
      <c r="G182" s="290" t="s">
        <v>4571</v>
      </c>
      <c r="H182" s="622" t="s">
        <v>4572</v>
      </c>
      <c r="I182" s="290" t="s">
        <v>4573</v>
      </c>
      <c r="J182" s="622" t="s">
        <v>4574</v>
      </c>
      <c r="K182" s="290" t="s">
        <v>4575</v>
      </c>
      <c r="L182" s="622" t="s">
        <v>4576</v>
      </c>
      <c r="M182" s="299" t="s">
        <v>4577</v>
      </c>
      <c r="N182" s="3073" t="s">
        <v>4578</v>
      </c>
      <c r="O182" s="5664" t="s">
        <v>4579</v>
      </c>
      <c r="P182" s="290" t="s">
        <v>4580</v>
      </c>
      <c r="Q182" s="3004" t="s">
        <v>4581</v>
      </c>
      <c r="R182" s="290" t="s">
        <v>4582</v>
      </c>
      <c r="S182" s="3004" t="s">
        <v>4583</v>
      </c>
      <c r="T182" s="290" t="s">
        <v>4584</v>
      </c>
      <c r="U182" s="3004" t="s">
        <v>4585</v>
      </c>
      <c r="V182" s="299" t="s">
        <v>4586</v>
      </c>
      <c r="W182" s="3073" t="s">
        <v>4587</v>
      </c>
      <c r="X182" s="574" t="s">
        <v>4588</v>
      </c>
      <c r="Y182" s="290" t="s">
        <v>4589</v>
      </c>
      <c r="Z182" s="622" t="s">
        <v>4590</v>
      </c>
      <c r="AA182" s="290" t="s">
        <v>4591</v>
      </c>
      <c r="AB182" s="622" t="s">
        <v>4592</v>
      </c>
      <c r="AC182" s="290" t="s">
        <v>4593</v>
      </c>
      <c r="AD182" s="430" t="s">
        <v>4594</v>
      </c>
      <c r="AE182" s="65" t="s">
        <v>4595</v>
      </c>
      <c r="AF182" s="622" t="s">
        <v>4596</v>
      </c>
      <c r="AG182" t="str">
        <f t="shared" si="92"/>
        <v xml:space="preserve"> * La variable Pueblos originarios No puede ser mayor al Total. * La variable Migrantes No puede ser mayor al Total.</v>
      </c>
      <c r="BP182" s="83" t="str">
        <f t="shared" si="93"/>
        <v xml:space="preserve"> * La variable Pueblos originarios No puede ser mayor al Total.</v>
      </c>
      <c r="BQ182" s="83" t="str">
        <f t="shared" si="94"/>
        <v xml:space="preserve"> * La variable Migrantes No puede ser mayor al Total.</v>
      </c>
      <c r="BV182" s="2628">
        <f t="shared" si="95"/>
        <v>1</v>
      </c>
      <c r="BW182" s="2628">
        <f t="shared" si="96"/>
        <v>1</v>
      </c>
    </row>
    <row r="183" spans="1:75" ht="31.15" customHeight="1" x14ac:dyDescent="0.25">
      <c r="A183" s="5636" t="s">
        <v>4908</v>
      </c>
      <c r="B183" s="2885" t="s">
        <v>649</v>
      </c>
      <c r="C183" s="5654" t="s">
        <v>4567</v>
      </c>
      <c r="D183" s="5655" t="s">
        <v>4568</v>
      </c>
      <c r="E183" s="5656" t="s">
        <v>4569</v>
      </c>
      <c r="F183" s="5657" t="s">
        <v>4570</v>
      </c>
      <c r="G183" s="1114" t="s">
        <v>4571</v>
      </c>
      <c r="H183" s="3134" t="s">
        <v>4572</v>
      </c>
      <c r="I183" s="1114" t="s">
        <v>4573</v>
      </c>
      <c r="J183" s="3134" t="s">
        <v>4574</v>
      </c>
      <c r="K183" s="1114" t="s">
        <v>4575</v>
      </c>
      <c r="L183" s="3134" t="s">
        <v>4576</v>
      </c>
      <c r="M183" s="5665" t="s">
        <v>4577</v>
      </c>
      <c r="N183" s="5666" t="s">
        <v>4578</v>
      </c>
      <c r="O183" s="5667" t="s">
        <v>4579</v>
      </c>
      <c r="P183" s="5665" t="s">
        <v>4580</v>
      </c>
      <c r="Q183" s="5667" t="s">
        <v>4581</v>
      </c>
      <c r="R183" s="5665" t="s">
        <v>4582</v>
      </c>
      <c r="S183" s="5667" t="s">
        <v>4583</v>
      </c>
      <c r="T183" s="5665" t="s">
        <v>4584</v>
      </c>
      <c r="U183" s="5668" t="s">
        <v>4585</v>
      </c>
      <c r="V183" s="4989" t="s">
        <v>4586</v>
      </c>
      <c r="W183" s="5658" t="s">
        <v>4587</v>
      </c>
      <c r="X183" s="5659" t="s">
        <v>4588</v>
      </c>
      <c r="Y183" s="1114" t="s">
        <v>4589</v>
      </c>
      <c r="Z183" s="3134" t="s">
        <v>4590</v>
      </c>
      <c r="AA183" s="1114" t="s">
        <v>4591</v>
      </c>
      <c r="AB183" s="3134" t="s">
        <v>4592</v>
      </c>
      <c r="AC183" s="1114" t="s">
        <v>4593</v>
      </c>
      <c r="AD183" s="1324" t="s">
        <v>4594</v>
      </c>
      <c r="AE183" s="5660" t="s">
        <v>4595</v>
      </c>
      <c r="AF183" s="3134" t="s">
        <v>4596</v>
      </c>
      <c r="AG183" t="str">
        <f t="shared" si="92"/>
        <v xml:space="preserve"> * La variable Pueblos originarios No puede ser mayor al Total. * La variable Migrantes No puede ser mayor al Total.</v>
      </c>
      <c r="BP183" s="83" t="str">
        <f t="shared" si="93"/>
        <v xml:space="preserve"> * La variable Pueblos originarios No puede ser mayor al Total.</v>
      </c>
      <c r="BQ183" s="83" t="str">
        <f t="shared" si="94"/>
        <v xml:space="preserve"> * La variable Migrantes No puede ser mayor al Total.</v>
      </c>
      <c r="BV183" s="2628">
        <f t="shared" si="95"/>
        <v>1</v>
      </c>
      <c r="BW183" s="2628">
        <f t="shared" si="96"/>
        <v>1</v>
      </c>
    </row>
    <row r="184" spans="1:75" ht="18" customHeight="1" x14ac:dyDescent="0.25">
      <c r="A184" s="5548"/>
      <c r="B184" s="2892" t="s">
        <v>650</v>
      </c>
      <c r="C184" s="25"/>
      <c r="D184" s="25"/>
      <c r="E184" s="25"/>
      <c r="F184" s="25"/>
    </row>
    <row r="185" spans="1:75" ht="31.5" x14ac:dyDescent="0.25">
      <c r="A185" s="5548"/>
      <c r="B185" s="1755" t="s">
        <v>651</v>
      </c>
      <c r="C185" s="1754" t="s">
        <v>77</v>
      </c>
      <c r="D185" s="1790" t="s">
        <v>652</v>
      </c>
      <c r="E185" s="1804" t="s">
        <v>653</v>
      </c>
    </row>
    <row r="186" spans="1:75" x14ac:dyDescent="0.25">
      <c r="A186" s="5637" t="s">
        <v>4909</v>
      </c>
      <c r="B186" s="2893" t="s">
        <v>4420</v>
      </c>
      <c r="C186" s="5469" t="s">
        <v>4567</v>
      </c>
      <c r="D186" s="290" t="s">
        <v>4568</v>
      </c>
      <c r="E186" s="3004" t="s">
        <v>4569</v>
      </c>
    </row>
    <row r="187" spans="1:75" x14ac:dyDescent="0.25">
      <c r="A187" s="5637" t="s">
        <v>4910</v>
      </c>
      <c r="B187" s="332" t="s">
        <v>655</v>
      </c>
      <c r="C187" s="4161" t="s">
        <v>4567</v>
      </c>
      <c r="D187" s="1089" t="s">
        <v>4568</v>
      </c>
      <c r="E187" s="1090" t="s">
        <v>4569</v>
      </c>
    </row>
    <row r="188" spans="1:75" x14ac:dyDescent="0.25">
      <c r="A188" s="5637" t="s">
        <v>4911</v>
      </c>
      <c r="B188" s="332" t="s">
        <v>656</v>
      </c>
      <c r="C188" s="2744" t="s">
        <v>4567</v>
      </c>
      <c r="D188" s="345" t="s">
        <v>4568</v>
      </c>
      <c r="E188" s="1093" t="s">
        <v>4569</v>
      </c>
    </row>
    <row r="189" spans="1:75" x14ac:dyDescent="0.25">
      <c r="A189" s="5637" t="s">
        <v>4912</v>
      </c>
      <c r="B189" s="2243" t="s">
        <v>657</v>
      </c>
      <c r="C189" s="775" t="s">
        <v>4567</v>
      </c>
      <c r="D189" s="379" t="s">
        <v>4568</v>
      </c>
      <c r="E189" s="3134" t="s">
        <v>4569</v>
      </c>
    </row>
    <row r="190" spans="1:75" ht="18" customHeight="1" x14ac:dyDescent="0.25">
      <c r="A190" s="5548"/>
      <c r="B190" s="2892" t="s">
        <v>658</v>
      </c>
      <c r="C190" s="25"/>
      <c r="D190" s="25"/>
      <c r="E190" s="25"/>
      <c r="F190" s="25"/>
    </row>
    <row r="191" spans="1:75" ht="30" customHeight="1" x14ac:dyDescent="0.25">
      <c r="A191" s="5638"/>
      <c r="B191" s="6398" t="s">
        <v>651</v>
      </c>
      <c r="C191" s="6403" t="s">
        <v>77</v>
      </c>
      <c r="D191" s="6405" t="s">
        <v>29</v>
      </c>
      <c r="E191" s="6407"/>
      <c r="F191" s="6455"/>
      <c r="G191" s="6492" t="s">
        <v>659</v>
      </c>
      <c r="H191" s="6481" t="s">
        <v>660</v>
      </c>
      <c r="I191" s="6403" t="s">
        <v>661</v>
      </c>
    </row>
    <row r="192" spans="1:75" ht="38.25" customHeight="1" x14ac:dyDescent="0.25">
      <c r="A192" s="5638"/>
      <c r="B192" s="6110"/>
      <c r="C192" s="6028"/>
      <c r="D192" s="1754" t="s">
        <v>662</v>
      </c>
      <c r="E192" s="489" t="s">
        <v>663</v>
      </c>
      <c r="F192" s="469" t="s">
        <v>664</v>
      </c>
      <c r="G192" s="6106"/>
      <c r="H192" s="6086"/>
      <c r="I192" s="6028"/>
    </row>
    <row r="193" spans="1:76" x14ac:dyDescent="0.25">
      <c r="A193" s="5639" t="s">
        <v>4913</v>
      </c>
      <c r="B193" s="2708" t="s">
        <v>665</v>
      </c>
      <c r="C193" s="5669" t="s">
        <v>4567</v>
      </c>
      <c r="D193" s="1726" t="s">
        <v>4568</v>
      </c>
      <c r="E193" s="5562" t="s">
        <v>4569</v>
      </c>
      <c r="F193" s="5555" t="s">
        <v>4570</v>
      </c>
      <c r="G193" s="5670" t="s">
        <v>4571</v>
      </c>
      <c r="H193" s="5562" t="s">
        <v>4572</v>
      </c>
      <c r="I193" s="5651" t="s">
        <v>4573</v>
      </c>
      <c r="J193" t="str">
        <f>BP193&amp;BQ193&amp;BR193</f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3" s="83" t="str">
        <f>IF(AND($C193&gt;0,G193=""),"  * No olvide digitar la variable Lugar de trabajo. Digite Cero si no tiene.",IF(G193&gt;$C193," * La variable Lugar de trabajo No puede ser mayor al Total.",""))</f>
        <v xml:space="preserve"> * La variable Lugar de trabajo No puede ser mayor al Total.</v>
      </c>
      <c r="BQ193" s="83" t="str">
        <f>IF(AND($C193&gt;0,H193=""),"  * No olvide digitar la variable Institución (ELEAM, cárceles,colegios, sala cuna y jardines infantiles). Digite Cero si no tiene.",IF(H193&gt;$C193,"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3" s="83" t="str">
        <f>IF(AND($C193&gt;0,I193=""),"  * No olvide digitar la variable Grupos comunitarios. Digite Cero si no tiene.",IF(I193&gt;$C193," * La variable Grupos comunitarios No puede ser mayor al Total.",""))</f>
        <v xml:space="preserve"> * La variable Grupos comunitarios No puede ser mayor al Total.</v>
      </c>
      <c r="BV193" s="2628">
        <f>IF(AND($C193&gt;0,G193=""),1,IF(G193&gt;$C193,1,0))</f>
        <v>1</v>
      </c>
      <c r="BW193" s="2628">
        <f>IF(AND($C193&gt;0,H193=""),1,IF(H193&gt;$C193,1,0))</f>
        <v>1</v>
      </c>
      <c r="BX193" s="2628">
        <f>IF(AND($C193&gt;0,I193=""),1,IF(I193&gt;$C193,1,0))</f>
        <v>1</v>
      </c>
    </row>
    <row r="194" spans="1:76" x14ac:dyDescent="0.25">
      <c r="A194" s="5639" t="s">
        <v>4914</v>
      </c>
      <c r="B194" s="2894" t="s">
        <v>666</v>
      </c>
      <c r="C194" s="5671" t="s">
        <v>4567</v>
      </c>
      <c r="D194" s="1089" t="s">
        <v>4568</v>
      </c>
      <c r="E194" s="368" t="s">
        <v>4569</v>
      </c>
      <c r="F194" s="5672" t="s">
        <v>4570</v>
      </c>
      <c r="G194" s="3063" t="s">
        <v>4571</v>
      </c>
      <c r="H194" s="368" t="s">
        <v>4572</v>
      </c>
      <c r="I194" s="1090" t="s">
        <v>4573</v>
      </c>
      <c r="J194" t="str">
        <f t="shared" ref="J194:J198" si="97">BP194&amp;BQ194&amp;BR194</f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4" s="83" t="str">
        <f t="shared" ref="BP194:BP197" si="98">IF(AND($C194&gt;0,G194=""),"  * No olvide digitar la variable Lugar de trabajo. Digite Cero si no tiene.",IF(G194&gt;$C194," * La variable Lugar de trabajo No puede ser mayor al Total.",""))</f>
        <v xml:space="preserve"> * La variable Lugar de trabajo No puede ser mayor al Total.</v>
      </c>
      <c r="BQ194" s="83" t="str">
        <f t="shared" ref="BQ194:BQ197" si="99">IF(AND($C194&gt;0,H194=""),"  * No olvide digitar la variable Institución (ELEAM, cárceles,colegios, sala cuna y jardines infantiles). Digite Cero si no tiene.",IF(H194&gt;$C194,"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4" s="83" t="str">
        <f t="shared" ref="BR194:BR197" si="100">IF(AND($C194&gt;0,I194=""),"  * No olvide digitar la variable Grupos comunitarios. Digite Cero si no tiene.",IF(I194&gt;$C194," * La variable Grupos comunitarios No puede ser mayor al Total.",""))</f>
        <v xml:space="preserve"> * La variable Grupos comunitarios No puede ser mayor al Total.</v>
      </c>
      <c r="BV194" s="2628">
        <f t="shared" ref="BV194:BV198" si="101">IF(AND($C194&gt;0,G194=""),1,IF(G194&gt;$C194,1,0))</f>
        <v>1</v>
      </c>
      <c r="BW194" s="2628">
        <f t="shared" ref="BW194:BW198" si="102">IF(AND($C194&gt;0,H194=""),1,IF(H194&gt;$C194,1,0))</f>
        <v>1</v>
      </c>
      <c r="BX194" s="2628">
        <f t="shared" ref="BX194:BX198" si="103">IF(AND($C194&gt;0,I194=""),1,IF(I194&gt;$C194,1,0))</f>
        <v>1</v>
      </c>
    </row>
    <row r="195" spans="1:76" x14ac:dyDescent="0.25">
      <c r="A195" s="5639" t="s">
        <v>4915</v>
      </c>
      <c r="B195" s="2895" t="s">
        <v>667</v>
      </c>
      <c r="C195" s="2896" t="s">
        <v>4567</v>
      </c>
      <c r="D195" s="290" t="s">
        <v>4568</v>
      </c>
      <c r="E195" s="531" t="s">
        <v>4569</v>
      </c>
      <c r="F195" s="430" t="s">
        <v>4570</v>
      </c>
      <c r="G195" s="3005" t="s">
        <v>4571</v>
      </c>
      <c r="H195" s="531" t="s">
        <v>4572</v>
      </c>
      <c r="I195" s="3004" t="s">
        <v>4573</v>
      </c>
      <c r="J195" t="str">
        <f t="shared" si="9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5" s="83" t="str">
        <f t="shared" si="98"/>
        <v xml:space="preserve"> * La variable Lugar de trabajo No puede ser mayor al Total.</v>
      </c>
      <c r="BQ195" s="83" t="str">
        <f t="shared" si="99"/>
        <v xml:space="preserve"> * La variable Institución (ELEAM, cárceles,colegios, sala cuna y jardines infantiles) No puede ser mayor al Total.</v>
      </c>
      <c r="BR195" s="83" t="str">
        <f t="shared" si="100"/>
        <v xml:space="preserve"> * La variable Grupos comunitarios No puede ser mayor al Total.</v>
      </c>
      <c r="BV195" s="2628">
        <f t="shared" si="101"/>
        <v>1</v>
      </c>
      <c r="BW195" s="2628">
        <f t="shared" si="102"/>
        <v>1</v>
      </c>
      <c r="BX195" s="2628">
        <f t="shared" si="103"/>
        <v>1</v>
      </c>
    </row>
    <row r="196" spans="1:76" x14ac:dyDescent="0.25">
      <c r="A196" s="5639" t="s">
        <v>4916</v>
      </c>
      <c r="B196" s="2895" t="s">
        <v>668</v>
      </c>
      <c r="C196" s="2896" t="s">
        <v>4567</v>
      </c>
      <c r="D196" s="290" t="s">
        <v>4568</v>
      </c>
      <c r="E196" s="531" t="s">
        <v>4569</v>
      </c>
      <c r="F196" s="430" t="s">
        <v>4570</v>
      </c>
      <c r="G196" s="3005" t="s">
        <v>4571</v>
      </c>
      <c r="H196" s="531" t="s">
        <v>4572</v>
      </c>
      <c r="I196" s="3004" t="s">
        <v>4573</v>
      </c>
      <c r="J196" t="str">
        <f t="shared" si="9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6" s="83" t="str">
        <f t="shared" si="98"/>
        <v xml:space="preserve"> * La variable Lugar de trabajo No puede ser mayor al Total.</v>
      </c>
      <c r="BQ196" s="83" t="str">
        <f t="shared" si="99"/>
        <v xml:space="preserve"> * La variable Institución (ELEAM, cárceles,colegios, sala cuna y jardines infantiles) No puede ser mayor al Total.</v>
      </c>
      <c r="BR196" s="83" t="str">
        <f t="shared" si="100"/>
        <v xml:space="preserve"> * La variable Grupos comunitarios No puede ser mayor al Total.</v>
      </c>
      <c r="BV196" s="2628">
        <f t="shared" si="101"/>
        <v>1</v>
      </c>
      <c r="BW196" s="2628">
        <f t="shared" si="102"/>
        <v>1</v>
      </c>
      <c r="BX196" s="2628">
        <f t="shared" si="103"/>
        <v>1</v>
      </c>
    </row>
    <row r="197" spans="1:76" x14ac:dyDescent="0.25">
      <c r="A197" s="5639" t="s">
        <v>4917</v>
      </c>
      <c r="B197" s="2895" t="s">
        <v>669</v>
      </c>
      <c r="C197" s="2896" t="s">
        <v>4567</v>
      </c>
      <c r="D197" s="290" t="s">
        <v>4568</v>
      </c>
      <c r="E197" s="531" t="s">
        <v>4569</v>
      </c>
      <c r="F197" s="430" t="s">
        <v>4570</v>
      </c>
      <c r="G197" s="3005" t="s">
        <v>4571</v>
      </c>
      <c r="H197" s="531" t="s">
        <v>4572</v>
      </c>
      <c r="I197" s="3004" t="s">
        <v>4573</v>
      </c>
      <c r="J197" t="str">
        <f t="shared" si="9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7" s="83" t="str">
        <f t="shared" si="98"/>
        <v xml:space="preserve"> * La variable Lugar de trabajo No puede ser mayor al Total.</v>
      </c>
      <c r="BQ197" s="83" t="str">
        <f t="shared" si="99"/>
        <v xml:space="preserve"> * La variable Institución (ELEAM, cárceles,colegios, sala cuna y jardines infantiles) No puede ser mayor al Total.</v>
      </c>
      <c r="BR197" s="83" t="str">
        <f t="shared" si="100"/>
        <v xml:space="preserve"> * La variable Grupos comunitarios No puede ser mayor al Total.</v>
      </c>
      <c r="BV197" s="2628">
        <f t="shared" si="101"/>
        <v>1</v>
      </c>
      <c r="BW197" s="2628">
        <f t="shared" si="102"/>
        <v>1</v>
      </c>
      <c r="BX197" s="2628">
        <f t="shared" si="103"/>
        <v>1</v>
      </c>
    </row>
    <row r="198" spans="1:76" x14ac:dyDescent="0.25">
      <c r="A198" s="5639" t="s">
        <v>4918</v>
      </c>
      <c r="B198" s="2716" t="s">
        <v>670</v>
      </c>
      <c r="C198" s="5673" t="s">
        <v>4567</v>
      </c>
      <c r="D198" s="1737" t="s">
        <v>4568</v>
      </c>
      <c r="E198" s="262" t="s">
        <v>4569</v>
      </c>
      <c r="F198" s="297" t="s">
        <v>4570</v>
      </c>
      <c r="G198" s="5674" t="s">
        <v>4571</v>
      </c>
      <c r="H198" s="262" t="s">
        <v>4572</v>
      </c>
      <c r="I198" s="5675" t="s">
        <v>4573</v>
      </c>
      <c r="J198" t="str">
        <f t="shared" si="9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8" s="83" t="str">
        <f>IF(AND($C198&gt;0,G198=""),"  * No olvide digitar la variable Lugar de trabajo. Digite Cero si no tiene.",IF(G198&gt;$C198," * La variable Lugar de trabajo No puede ser mayor al Total.",""))</f>
        <v xml:space="preserve"> * La variable Lugar de trabajo No puede ser mayor al Total.</v>
      </c>
      <c r="BQ198" s="83" t="str">
        <f>IF(AND($C198&gt;0,H198=""),"  * No olvide digitar la variable Institución (ELEAM, cárceles,colegios, sala cuna y jardines infantiles). Digite Cero si no tiene.",IF(H198&gt;$C198,"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8" s="83" t="str">
        <f>IF(AND($C198&gt;0,I198=""),"  * No olvide digitar la variable Grupos comunitarios. Digite Cero si no tiene.",IF(I198&gt;$C198," * La variable Grupos comunitarios No puede ser mayor al Total.",""))</f>
        <v xml:space="preserve"> * La variable Grupos comunitarios No puede ser mayor al Total.</v>
      </c>
      <c r="BV198" s="2628">
        <f t="shared" si="101"/>
        <v>1</v>
      </c>
      <c r="BW198" s="2628">
        <f t="shared" si="102"/>
        <v>1</v>
      </c>
      <c r="BX198" s="2628">
        <f t="shared" si="103"/>
        <v>1</v>
      </c>
    </row>
    <row r="199" spans="1:76" ht="18" customHeight="1" x14ac:dyDescent="0.25">
      <c r="B199" s="2892" t="s">
        <v>671</v>
      </c>
      <c r="C199" s="25"/>
      <c r="D199" s="25"/>
      <c r="E199" s="25"/>
      <c r="F199" s="25"/>
    </row>
    <row r="200" spans="1:76" x14ac:dyDescent="0.25">
      <c r="B200" s="6489" t="s">
        <v>651</v>
      </c>
      <c r="C200" s="6488" t="s">
        <v>77</v>
      </c>
      <c r="D200" s="6405" t="s">
        <v>29</v>
      </c>
      <c r="E200" s="6456"/>
      <c r="F200" s="6451"/>
    </row>
    <row r="201" spans="1:76" ht="21" customHeight="1" x14ac:dyDescent="0.25">
      <c r="B201" s="6490"/>
      <c r="C201" s="6093"/>
      <c r="D201" s="1754" t="s">
        <v>662</v>
      </c>
      <c r="E201" s="489" t="s">
        <v>663</v>
      </c>
      <c r="F201" s="468" t="s">
        <v>664</v>
      </c>
    </row>
    <row r="202" spans="1:76" x14ac:dyDescent="0.25">
      <c r="A202" s="5637" t="s">
        <v>4919</v>
      </c>
      <c r="B202" s="255" t="s">
        <v>672</v>
      </c>
      <c r="C202" s="2897" t="s">
        <v>4567</v>
      </c>
      <c r="D202" s="473" t="s">
        <v>4568</v>
      </c>
      <c r="E202" s="493" t="s">
        <v>4569</v>
      </c>
      <c r="F202" s="567" t="s">
        <v>4570</v>
      </c>
    </row>
    <row r="203" spans="1:76" x14ac:dyDescent="0.25">
      <c r="A203" s="5637" t="s">
        <v>4920</v>
      </c>
      <c r="B203" s="332" t="s">
        <v>673</v>
      </c>
      <c r="C203" s="2744" t="s">
        <v>4567</v>
      </c>
      <c r="D203" s="345" t="s">
        <v>4568</v>
      </c>
      <c r="E203" s="368" t="s">
        <v>4569</v>
      </c>
      <c r="F203" s="349" t="s">
        <v>4570</v>
      </c>
    </row>
    <row r="204" spans="1:76" x14ac:dyDescent="0.25">
      <c r="A204" s="5637" t="s">
        <v>4921</v>
      </c>
      <c r="B204" s="332" t="s">
        <v>674</v>
      </c>
      <c r="C204" s="2744" t="s">
        <v>4567</v>
      </c>
      <c r="D204" s="290" t="s">
        <v>4568</v>
      </c>
      <c r="E204" s="531" t="s">
        <v>4569</v>
      </c>
      <c r="F204" s="622" t="s">
        <v>4570</v>
      </c>
    </row>
    <row r="205" spans="1:76" x14ac:dyDescent="0.25">
      <c r="A205" s="5637" t="s">
        <v>4922</v>
      </c>
      <c r="B205" s="332" t="s">
        <v>675</v>
      </c>
      <c r="C205" s="2744" t="s">
        <v>4567</v>
      </c>
      <c r="D205" s="290" t="s">
        <v>4568</v>
      </c>
      <c r="E205" s="531" t="s">
        <v>4569</v>
      </c>
      <c r="F205" s="622" t="s">
        <v>4570</v>
      </c>
    </row>
    <row r="206" spans="1:76" ht="23.45" customHeight="1" x14ac:dyDescent="0.25">
      <c r="A206" s="5637" t="s">
        <v>4923</v>
      </c>
      <c r="B206" s="2284" t="s">
        <v>676</v>
      </c>
      <c r="C206" s="426" t="s">
        <v>4567</v>
      </c>
      <c r="D206" s="379" t="s">
        <v>4568</v>
      </c>
      <c r="E206" s="371" t="s">
        <v>4569</v>
      </c>
      <c r="F206" s="388" t="s">
        <v>4570</v>
      </c>
    </row>
    <row r="207" spans="1:76" ht="18" customHeight="1" x14ac:dyDescent="0.25">
      <c r="A207" s="5548"/>
      <c r="B207" s="13" t="s">
        <v>677</v>
      </c>
    </row>
    <row r="208" spans="1:76" x14ac:dyDescent="0.25">
      <c r="A208" s="5638"/>
      <c r="B208" s="6491" t="s">
        <v>651</v>
      </c>
      <c r="C208" s="6398"/>
      <c r="D208" s="6403" t="s">
        <v>77</v>
      </c>
      <c r="E208" s="6405" t="s">
        <v>29</v>
      </c>
      <c r="F208" s="6456"/>
      <c r="G208" s="6451"/>
    </row>
    <row r="209" spans="1:7" ht="24" customHeight="1" x14ac:dyDescent="0.25">
      <c r="A209" s="5638"/>
      <c r="B209" s="6109"/>
      <c r="C209" s="6110"/>
      <c r="D209" s="6028"/>
      <c r="E209" s="1754" t="s">
        <v>662</v>
      </c>
      <c r="F209" s="489" t="s">
        <v>663</v>
      </c>
      <c r="G209" s="468" t="s">
        <v>664</v>
      </c>
    </row>
    <row r="210" spans="1:7" x14ac:dyDescent="0.25">
      <c r="A210" s="5639" t="s">
        <v>4924</v>
      </c>
      <c r="B210" s="6398" t="s">
        <v>678</v>
      </c>
      <c r="C210" s="2691" t="s">
        <v>679</v>
      </c>
      <c r="D210" s="2898" t="s">
        <v>4567</v>
      </c>
      <c r="E210" s="473" t="s">
        <v>4568</v>
      </c>
      <c r="F210" s="493" t="s">
        <v>4569</v>
      </c>
      <c r="G210" s="567" t="s">
        <v>4570</v>
      </c>
    </row>
    <row r="211" spans="1:7" ht="16.899999999999999" customHeight="1" x14ac:dyDescent="0.25">
      <c r="A211" s="5639" t="s">
        <v>4925</v>
      </c>
      <c r="B211" s="6331"/>
      <c r="C211" s="2284" t="s">
        <v>680</v>
      </c>
      <c r="D211" s="2898" t="s">
        <v>4567</v>
      </c>
      <c r="E211" s="379" t="s">
        <v>4568</v>
      </c>
      <c r="F211" s="371" t="s">
        <v>4569</v>
      </c>
      <c r="G211" s="388" t="s">
        <v>4570</v>
      </c>
    </row>
    <row r="212" spans="1:7" ht="16.899999999999999" customHeight="1" x14ac:dyDescent="0.25">
      <c r="A212" s="5639" t="s">
        <v>4926</v>
      </c>
      <c r="B212" s="6398" t="s">
        <v>681</v>
      </c>
      <c r="C212" s="399" t="s">
        <v>682</v>
      </c>
      <c r="D212" s="2896" t="s">
        <v>4567</v>
      </c>
      <c r="E212" s="290" t="s">
        <v>4568</v>
      </c>
      <c r="F212" s="531" t="s">
        <v>4569</v>
      </c>
      <c r="G212" s="622" t="s">
        <v>4570</v>
      </c>
    </row>
    <row r="213" spans="1:7" ht="21" x14ac:dyDescent="0.25">
      <c r="A213" s="5639" t="s">
        <v>4927</v>
      </c>
      <c r="B213" s="6110"/>
      <c r="C213" s="2899" t="s">
        <v>683</v>
      </c>
      <c r="D213" s="2900" t="s">
        <v>4567</v>
      </c>
      <c r="E213" s="379" t="s">
        <v>4568</v>
      </c>
      <c r="F213" s="371" t="s">
        <v>4569</v>
      </c>
      <c r="G213" s="388" t="s">
        <v>4570</v>
      </c>
    </row>
    <row r="214" spans="1:7" ht="18" customHeight="1" x14ac:dyDescent="0.25">
      <c r="B214" s="2901" t="s">
        <v>684</v>
      </c>
      <c r="C214" s="2902"/>
      <c r="D214" s="25"/>
      <c r="E214" s="25"/>
    </row>
    <row r="215" spans="1:7" x14ac:dyDescent="0.25">
      <c r="A215" s="5613"/>
      <c r="B215" s="6398" t="s">
        <v>651</v>
      </c>
      <c r="C215" s="6403" t="s">
        <v>77</v>
      </c>
      <c r="D215" s="6456" t="s">
        <v>685</v>
      </c>
      <c r="E215" s="6456"/>
      <c r="F215" s="6456"/>
      <c r="G215" s="2903"/>
    </row>
    <row r="216" spans="1:7" ht="21" x14ac:dyDescent="0.25">
      <c r="A216" s="5613"/>
      <c r="B216" s="6110"/>
      <c r="C216" s="6028"/>
      <c r="D216" s="1758" t="s">
        <v>686</v>
      </c>
      <c r="E216" s="489" t="s">
        <v>687</v>
      </c>
      <c r="F216" s="468" t="s">
        <v>688</v>
      </c>
    </row>
    <row r="217" spans="1:7" x14ac:dyDescent="0.25">
      <c r="A217" s="5637" t="s">
        <v>4928</v>
      </c>
      <c r="B217" s="2691" t="s">
        <v>689</v>
      </c>
      <c r="C217" s="2904" t="s">
        <v>4567</v>
      </c>
      <c r="D217" s="476" t="s">
        <v>4568</v>
      </c>
      <c r="E217" s="493" t="s">
        <v>4569</v>
      </c>
      <c r="F217" s="567" t="s">
        <v>4570</v>
      </c>
    </row>
    <row r="218" spans="1:7" x14ac:dyDescent="0.25">
      <c r="A218" s="5637" t="s">
        <v>4929</v>
      </c>
      <c r="B218" s="2905" t="s">
        <v>690</v>
      </c>
      <c r="C218" s="2629" t="s">
        <v>4567</v>
      </c>
      <c r="D218" s="345" t="s">
        <v>4568</v>
      </c>
      <c r="E218" s="368" t="s">
        <v>4569</v>
      </c>
      <c r="F218" s="349" t="s">
        <v>4570</v>
      </c>
    </row>
    <row r="219" spans="1:7" x14ac:dyDescent="0.25">
      <c r="A219" s="5637" t="s">
        <v>4930</v>
      </c>
      <c r="B219" s="2284" t="s">
        <v>691</v>
      </c>
      <c r="C219" s="2906" t="s">
        <v>4567</v>
      </c>
      <c r="D219" s="541" t="s">
        <v>4568</v>
      </c>
      <c r="E219" s="262" t="s">
        <v>4569</v>
      </c>
      <c r="F219" s="310" t="s">
        <v>4570</v>
      </c>
    </row>
    <row r="220" spans="1:7" ht="18" customHeight="1" x14ac:dyDescent="0.25">
      <c r="B220" s="2901" t="s">
        <v>692</v>
      </c>
      <c r="C220" s="2902"/>
    </row>
    <row r="221" spans="1:7" x14ac:dyDescent="0.25">
      <c r="A221" s="5613"/>
      <c r="B221" s="6398" t="s">
        <v>651</v>
      </c>
      <c r="C221" s="6488" t="s">
        <v>693</v>
      </c>
    </row>
    <row r="222" spans="1:7" x14ac:dyDescent="0.25">
      <c r="A222" s="5613"/>
      <c r="B222" s="6110"/>
      <c r="C222" s="6093"/>
    </row>
    <row r="223" spans="1:7" x14ac:dyDescent="0.25">
      <c r="A223" s="5637" t="s">
        <v>4931</v>
      </c>
      <c r="B223" s="2691" t="s">
        <v>694</v>
      </c>
      <c r="C223" s="5489" t="s">
        <v>4567</v>
      </c>
    </row>
    <row r="224" spans="1:7" x14ac:dyDescent="0.25">
      <c r="A224" s="5637" t="s">
        <v>4932</v>
      </c>
      <c r="B224" s="2284" t="s">
        <v>4419</v>
      </c>
      <c r="C224" s="5490" t="s">
        <v>4567</v>
      </c>
    </row>
    <row r="225" spans="1:2" x14ac:dyDescent="0.25">
      <c r="A225" s="5548"/>
    </row>
    <row r="226" spans="1:2" x14ac:dyDescent="0.25">
      <c r="A226" s="5548"/>
    </row>
    <row r="227" spans="1:2" x14ac:dyDescent="0.25">
      <c r="A227" t="s">
        <v>4777</v>
      </c>
    </row>
    <row r="228" spans="1:2" x14ac:dyDescent="0.25">
      <c r="A228" s="5640" t="s">
        <v>4933</v>
      </c>
    </row>
    <row r="229" spans="1:2" x14ac:dyDescent="0.25">
      <c r="A229" t="s">
        <v>4566</v>
      </c>
    </row>
    <row r="230" spans="1:2" x14ac:dyDescent="0.25">
      <c r="A230" s="5637" t="s">
        <v>4819</v>
      </c>
    </row>
    <row r="231" spans="1:2" x14ac:dyDescent="0.25">
      <c r="A231" s="5639" t="s">
        <v>4834</v>
      </c>
    </row>
    <row r="232" spans="1:2" x14ac:dyDescent="0.25">
      <c r="A232" s="5637" t="s">
        <v>4843</v>
      </c>
    </row>
    <row r="233" spans="1:2" x14ac:dyDescent="0.25">
      <c r="A233" s="5637" t="s">
        <v>4844</v>
      </c>
    </row>
    <row r="234" spans="1:2" x14ac:dyDescent="0.25">
      <c r="A234" s="5637" t="s">
        <v>4857</v>
      </c>
    </row>
    <row r="235" spans="1:2" x14ac:dyDescent="0.25">
      <c r="A235" s="5637" t="s">
        <v>4858</v>
      </c>
    </row>
    <row r="236" spans="1:2" x14ac:dyDescent="0.25">
      <c r="A236" s="5637" t="s">
        <v>4859</v>
      </c>
    </row>
    <row r="237" spans="1:2" x14ac:dyDescent="0.25">
      <c r="A237" s="5637" t="s">
        <v>4860</v>
      </c>
    </row>
    <row r="238" spans="1:2" ht="12.75" customHeight="1" x14ac:dyDescent="0.25">
      <c r="A238" s="5637" t="s">
        <v>4861</v>
      </c>
    </row>
    <row r="239" spans="1:2" x14ac:dyDescent="0.25">
      <c r="A239" s="5637" t="s">
        <v>4862</v>
      </c>
      <c r="B239" s="2907">
        <f>SUM(C12:C26,C31:C47,C53:C54,N53:N54,C60:C61,C63:C64,C67:C68,D73:D74,D80:D83,C88:C92,C94:C96,C114:C116,C128:N130,C135:C137,D141:D149,D154:D167,C171,C176:C183,C186:C189,C193:C198,C202:C206,D210:D213,C217:C219,C223:C224)</f>
        <v>0</v>
      </c>
    </row>
    <row r="240" spans="1:2" x14ac:dyDescent="0.25">
      <c r="A240" s="5637" t="s">
        <v>4863</v>
      </c>
      <c r="B240" s="2908" t="e">
        <f>SUM(BV13:BZ198)</f>
        <v>#VALUE!</v>
      </c>
    </row>
    <row r="241" spans="1:1" x14ac:dyDescent="0.25">
      <c r="A241" s="5637" t="s">
        <v>4864</v>
      </c>
    </row>
    <row r="242" spans="1:1" x14ac:dyDescent="0.25">
      <c r="A242" s="5637" t="s">
        <v>4868</v>
      </c>
    </row>
    <row r="243" spans="1:1" x14ac:dyDescent="0.25">
      <c r="A243" s="5637" t="s">
        <v>4869</v>
      </c>
    </row>
    <row r="244" spans="1:1" x14ac:dyDescent="0.25">
      <c r="A244" s="5637" t="s">
        <v>4870</v>
      </c>
    </row>
    <row r="245" spans="1:1" x14ac:dyDescent="0.25">
      <c r="A245" s="5637" t="s">
        <v>4909</v>
      </c>
    </row>
    <row r="246" spans="1:1" x14ac:dyDescent="0.25">
      <c r="A246" s="5637" t="s">
        <v>4910</v>
      </c>
    </row>
    <row r="247" spans="1:1" x14ac:dyDescent="0.25">
      <c r="A247" s="5637" t="s">
        <v>4911</v>
      </c>
    </row>
    <row r="248" spans="1:1" x14ac:dyDescent="0.25">
      <c r="A248" s="5637" t="s">
        <v>4912</v>
      </c>
    </row>
    <row r="249" spans="1:1" x14ac:dyDescent="0.25">
      <c r="A249" s="5637" t="s">
        <v>4913</v>
      </c>
    </row>
    <row r="250" spans="1:1" x14ac:dyDescent="0.25">
      <c r="A250" s="5637" t="s">
        <v>4914</v>
      </c>
    </row>
    <row r="251" spans="1:1" x14ac:dyDescent="0.25">
      <c r="A251" s="5637" t="s">
        <v>4915</v>
      </c>
    </row>
    <row r="252" spans="1:1" x14ac:dyDescent="0.25">
      <c r="A252" s="5637" t="s">
        <v>4916</v>
      </c>
    </row>
    <row r="253" spans="1:1" x14ac:dyDescent="0.25">
      <c r="A253" s="5637" t="s">
        <v>4917</v>
      </c>
    </row>
    <row r="254" spans="1:1" x14ac:dyDescent="0.25">
      <c r="A254" s="5637" t="s">
        <v>4918</v>
      </c>
    </row>
    <row r="255" spans="1:1" x14ac:dyDescent="0.25">
      <c r="A255" s="5637" t="s">
        <v>4919</v>
      </c>
    </row>
    <row r="256" spans="1:1" x14ac:dyDescent="0.25">
      <c r="A256" s="5637" t="s">
        <v>4920</v>
      </c>
    </row>
    <row r="257" spans="1:1" x14ac:dyDescent="0.25">
      <c r="A257" s="5637" t="s">
        <v>4921</v>
      </c>
    </row>
    <row r="258" spans="1:1" x14ac:dyDescent="0.25">
      <c r="A258" s="5637" t="s">
        <v>4922</v>
      </c>
    </row>
    <row r="259" spans="1:1" x14ac:dyDescent="0.25">
      <c r="A259" s="5637" t="s">
        <v>4923</v>
      </c>
    </row>
    <row r="260" spans="1:1" x14ac:dyDescent="0.25">
      <c r="A260" s="5637" t="s">
        <v>4924</v>
      </c>
    </row>
    <row r="261" spans="1:1" x14ac:dyDescent="0.25">
      <c r="A261" s="5637" t="s">
        <v>4925</v>
      </c>
    </row>
    <row r="262" spans="1:1" x14ac:dyDescent="0.25">
      <c r="A262" s="5637" t="s">
        <v>4926</v>
      </c>
    </row>
    <row r="263" spans="1:1" x14ac:dyDescent="0.25">
      <c r="A263" s="5637" t="s">
        <v>4927</v>
      </c>
    </row>
    <row r="264" spans="1:1" x14ac:dyDescent="0.25">
      <c r="A264" s="5637" t="s">
        <v>4928</v>
      </c>
    </row>
    <row r="265" spans="1:1" x14ac:dyDescent="0.25">
      <c r="A265" s="5637" t="s">
        <v>4929</v>
      </c>
    </row>
    <row r="266" spans="1:1" x14ac:dyDescent="0.25">
      <c r="A266" s="5637" t="s">
        <v>4930</v>
      </c>
    </row>
    <row r="267" spans="1:1" x14ac:dyDescent="0.25">
      <c r="A267" s="5637" t="s">
        <v>4931</v>
      </c>
    </row>
    <row r="268" spans="1:1" x14ac:dyDescent="0.25">
      <c r="A268" s="5637" t="s">
        <v>4932</v>
      </c>
    </row>
  </sheetData>
  <mergeCells count="289">
    <mergeCell ref="B73:B74"/>
    <mergeCell ref="B75:C75"/>
    <mergeCell ref="U71:V71"/>
    <mergeCell ref="W71:X71"/>
    <mergeCell ref="Y71:Z71"/>
    <mergeCell ref="AA71:AB71"/>
    <mergeCell ref="AC71:AD71"/>
    <mergeCell ref="E71:E72"/>
    <mergeCell ref="F71:F72"/>
    <mergeCell ref="G71:H71"/>
    <mergeCell ref="I71:J71"/>
    <mergeCell ref="K71:L71"/>
    <mergeCell ref="M71:N71"/>
    <mergeCell ref="O71:P71"/>
    <mergeCell ref="Q71:R71"/>
    <mergeCell ref="S71:T71"/>
    <mergeCell ref="C221:C222"/>
    <mergeCell ref="B221:B222"/>
    <mergeCell ref="B210:B211"/>
    <mergeCell ref="B212:B213"/>
    <mergeCell ref="C215:C216"/>
    <mergeCell ref="D215:F215"/>
    <mergeCell ref="B215:B216"/>
    <mergeCell ref="B191:B192"/>
    <mergeCell ref="B200:B201"/>
    <mergeCell ref="C200:C201"/>
    <mergeCell ref="D200:F200"/>
    <mergeCell ref="B208:C209"/>
    <mergeCell ref="D208:D209"/>
    <mergeCell ref="E208:G208"/>
    <mergeCell ref="C191:C192"/>
    <mergeCell ref="G191:G192"/>
    <mergeCell ref="H191:H192"/>
    <mergeCell ref="I191:I192"/>
    <mergeCell ref="D191:F191"/>
    <mergeCell ref="B173:B175"/>
    <mergeCell ref="C173:C175"/>
    <mergeCell ref="D173:L173"/>
    <mergeCell ref="M173:U173"/>
    <mergeCell ref="V173:AD173"/>
    <mergeCell ref="AE173:AE175"/>
    <mergeCell ref="AF173:AF175"/>
    <mergeCell ref="D174:F174"/>
    <mergeCell ref="G174:H174"/>
    <mergeCell ref="I174:J174"/>
    <mergeCell ref="K174:L174"/>
    <mergeCell ref="M174:O174"/>
    <mergeCell ref="P174:Q174"/>
    <mergeCell ref="R174:S174"/>
    <mergeCell ref="T174:U174"/>
    <mergeCell ref="V174:X174"/>
    <mergeCell ref="Y174:Z174"/>
    <mergeCell ref="AA174:AB174"/>
    <mergeCell ref="AC174:AD174"/>
    <mergeCell ref="B50:B52"/>
    <mergeCell ref="C50:C52"/>
    <mergeCell ref="D50:D52"/>
    <mergeCell ref="E50:E52"/>
    <mergeCell ref="F50:M50"/>
    <mergeCell ref="N50:N52"/>
    <mergeCell ref="O50:O52"/>
    <mergeCell ref="P50:P52"/>
    <mergeCell ref="Q50:X50"/>
    <mergeCell ref="F51:G51"/>
    <mergeCell ref="H51:I51"/>
    <mergeCell ref="J51:K51"/>
    <mergeCell ref="L51:M51"/>
    <mergeCell ref="Q51:R51"/>
    <mergeCell ref="S51:T51"/>
    <mergeCell ref="U51:V51"/>
    <mergeCell ref="W51:X51"/>
    <mergeCell ref="V169:V170"/>
    <mergeCell ref="B154:B161"/>
    <mergeCell ref="B162:B167"/>
    <mergeCell ref="B169:B170"/>
    <mergeCell ref="C169:C170"/>
    <mergeCell ref="D169:T169"/>
    <mergeCell ref="U169:U170"/>
    <mergeCell ref="AC152:AD152"/>
    <mergeCell ref="AE152:AF152"/>
    <mergeCell ref="E151:E153"/>
    <mergeCell ref="F151:F153"/>
    <mergeCell ref="G151:AN151"/>
    <mergeCell ref="AO151:AO153"/>
    <mergeCell ref="AP151:AP153"/>
    <mergeCell ref="G152:H152"/>
    <mergeCell ref="I152:J152"/>
    <mergeCell ref="K152:L152"/>
    <mergeCell ref="M152:N152"/>
    <mergeCell ref="O152:P152"/>
    <mergeCell ref="B141:B143"/>
    <mergeCell ref="B144:B145"/>
    <mergeCell ref="B146:B149"/>
    <mergeCell ref="B151:B153"/>
    <mergeCell ref="C151:C153"/>
    <mergeCell ref="D151:D153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B139:C140"/>
    <mergeCell ref="D139:D140"/>
    <mergeCell ref="E139:I139"/>
    <mergeCell ref="J139:J140"/>
    <mergeCell ref="K139:K140"/>
    <mergeCell ref="L139:L140"/>
    <mergeCell ref="X133:Y133"/>
    <mergeCell ref="Z133:AA133"/>
    <mergeCell ref="AB133:AC133"/>
    <mergeCell ref="AP132:AP134"/>
    <mergeCell ref="AQ132:AQ134"/>
    <mergeCell ref="AR132:AR134"/>
    <mergeCell ref="AS132:AS134"/>
    <mergeCell ref="F133:G133"/>
    <mergeCell ref="H133:I133"/>
    <mergeCell ref="J133:K133"/>
    <mergeCell ref="L133:M133"/>
    <mergeCell ref="N133:O133"/>
    <mergeCell ref="P133:Q133"/>
    <mergeCell ref="AJ133:AK133"/>
    <mergeCell ref="AL133:AM133"/>
    <mergeCell ref="AN133:AO133"/>
    <mergeCell ref="AD133:AE133"/>
    <mergeCell ref="AF133:AG133"/>
    <mergeCell ref="AH133:AI133"/>
    <mergeCell ref="B126:B127"/>
    <mergeCell ref="C126:C127"/>
    <mergeCell ref="D126:M126"/>
    <mergeCell ref="N126:N127"/>
    <mergeCell ref="B132:B134"/>
    <mergeCell ref="C132:E133"/>
    <mergeCell ref="F132:AO132"/>
    <mergeCell ref="R133:S133"/>
    <mergeCell ref="T133:U133"/>
    <mergeCell ref="V133:W133"/>
    <mergeCell ref="H111:I112"/>
    <mergeCell ref="J111:K112"/>
    <mergeCell ref="L111:L113"/>
    <mergeCell ref="M111:O112"/>
    <mergeCell ref="P111:Q112"/>
    <mergeCell ref="R111:S112"/>
    <mergeCell ref="B87:G87"/>
    <mergeCell ref="B93:G93"/>
    <mergeCell ref="B110:G110"/>
    <mergeCell ref="B111:B113"/>
    <mergeCell ref="C111:E112"/>
    <mergeCell ref="F111:G112"/>
    <mergeCell ref="B98:B99"/>
    <mergeCell ref="C98:C99"/>
    <mergeCell ref="D98:D99"/>
    <mergeCell ref="E98:E99"/>
    <mergeCell ref="F98:F99"/>
    <mergeCell ref="B85:B86"/>
    <mergeCell ref="C85:C86"/>
    <mergeCell ref="D85:D86"/>
    <mergeCell ref="E85:E86"/>
    <mergeCell ref="F85:F86"/>
    <mergeCell ref="G85:G86"/>
    <mergeCell ref="AA78:AB78"/>
    <mergeCell ref="AC78:AD78"/>
    <mergeCell ref="AE78:AF78"/>
    <mergeCell ref="B81:B82"/>
    <mergeCell ref="B77:B79"/>
    <mergeCell ref="C77:C79"/>
    <mergeCell ref="D77:F78"/>
    <mergeCell ref="AL77:AL79"/>
    <mergeCell ref="AM77:AM79"/>
    <mergeCell ref="AE71:AF71"/>
    <mergeCell ref="AG71:AH71"/>
    <mergeCell ref="W57:W58"/>
    <mergeCell ref="AN77:AN79"/>
    <mergeCell ref="AO77:AO79"/>
    <mergeCell ref="G78:H78"/>
    <mergeCell ref="I78:J78"/>
    <mergeCell ref="K78:L78"/>
    <mergeCell ref="M78:N78"/>
    <mergeCell ref="O78:P78"/>
    <mergeCell ref="Q78:R78"/>
    <mergeCell ref="G77:AJ77"/>
    <mergeCell ref="AK77:AK79"/>
    <mergeCell ref="S78:T78"/>
    <mergeCell ref="U78:V78"/>
    <mergeCell ref="W78:X78"/>
    <mergeCell ref="Y78:Z78"/>
    <mergeCell ref="AG78:AH78"/>
    <mergeCell ref="AI78:AJ78"/>
    <mergeCell ref="B76:H76"/>
    <mergeCell ref="B56:B58"/>
    <mergeCell ref="C56:E57"/>
    <mergeCell ref="F56:W56"/>
    <mergeCell ref="B70:C72"/>
    <mergeCell ref="G70:AN70"/>
    <mergeCell ref="X56:X58"/>
    <mergeCell ref="Y56:Y58"/>
    <mergeCell ref="F57:F58"/>
    <mergeCell ref="AM71:AN71"/>
    <mergeCell ref="AI71:AJ71"/>
    <mergeCell ref="AK71:AL71"/>
    <mergeCell ref="G57:G58"/>
    <mergeCell ref="H57:H58"/>
    <mergeCell ref="I57:I58"/>
    <mergeCell ref="J57:J58"/>
    <mergeCell ref="Q57:Q58"/>
    <mergeCell ref="R57:R58"/>
    <mergeCell ref="S57:S58"/>
    <mergeCell ref="T57:T58"/>
    <mergeCell ref="U57:U58"/>
    <mergeCell ref="O57:O58"/>
    <mergeCell ref="P57:P58"/>
    <mergeCell ref="D70:F70"/>
    <mergeCell ref="N57:N58"/>
    <mergeCell ref="D71:D72"/>
    <mergeCell ref="F29:G29"/>
    <mergeCell ref="H29:I29"/>
    <mergeCell ref="J29:K29"/>
    <mergeCell ref="L29:M29"/>
    <mergeCell ref="N29:O29"/>
    <mergeCell ref="P29:Q29"/>
    <mergeCell ref="R29:S29"/>
    <mergeCell ref="F28:AO28"/>
    <mergeCell ref="AP28:AP30"/>
    <mergeCell ref="T29:U29"/>
    <mergeCell ref="V29:W29"/>
    <mergeCell ref="X29:Y29"/>
    <mergeCell ref="Z29:AA29"/>
    <mergeCell ref="AN29:AO29"/>
    <mergeCell ref="AB29:AC29"/>
    <mergeCell ref="AD29:AE29"/>
    <mergeCell ref="AF29:AG29"/>
    <mergeCell ref="AH29:AI29"/>
    <mergeCell ref="AJ29:AK29"/>
    <mergeCell ref="AL29:AM29"/>
    <mergeCell ref="AT9:AT11"/>
    <mergeCell ref="AN10:AO10"/>
    <mergeCell ref="AB10:AC10"/>
    <mergeCell ref="AD10:AE10"/>
    <mergeCell ref="AF10:AG10"/>
    <mergeCell ref="AH10:AI10"/>
    <mergeCell ref="AJ10:AK10"/>
    <mergeCell ref="AL10:AM10"/>
    <mergeCell ref="AR28:AR30"/>
    <mergeCell ref="AS28:AS30"/>
    <mergeCell ref="AT28:AT30"/>
    <mergeCell ref="AQ28:AQ30"/>
    <mergeCell ref="AP9:AP11"/>
    <mergeCell ref="AQ9:AQ11"/>
    <mergeCell ref="T10:U10"/>
    <mergeCell ref="V10:W10"/>
    <mergeCell ref="X10:Y10"/>
    <mergeCell ref="Z10:AA10"/>
    <mergeCell ref="AR9:AR11"/>
    <mergeCell ref="AS9:AS11"/>
    <mergeCell ref="AC50:AC52"/>
    <mergeCell ref="AD50:AD52"/>
    <mergeCell ref="AB50:AB52"/>
    <mergeCell ref="Y50:Z50"/>
    <mergeCell ref="AA50:AA52"/>
    <mergeCell ref="Y51:Y52"/>
    <mergeCell ref="Z51:Z52"/>
    <mergeCell ref="J119:K120"/>
    <mergeCell ref="L119:L121"/>
    <mergeCell ref="B118:G118"/>
    <mergeCell ref="B119:B121"/>
    <mergeCell ref="C119:E120"/>
    <mergeCell ref="F119:I120"/>
    <mergeCell ref="M119:N120"/>
    <mergeCell ref="B6:X6"/>
    <mergeCell ref="B9:B11"/>
    <mergeCell ref="C9:E10"/>
    <mergeCell ref="F9:AO9"/>
    <mergeCell ref="F10:G10"/>
    <mergeCell ref="H10:I10"/>
    <mergeCell ref="J10:K10"/>
    <mergeCell ref="L10:M10"/>
    <mergeCell ref="N10:O10"/>
    <mergeCell ref="P10:Q10"/>
    <mergeCell ref="R10:S10"/>
    <mergeCell ref="B28:B30"/>
    <mergeCell ref="C28:E29"/>
    <mergeCell ref="V57:V58"/>
    <mergeCell ref="K57:K58"/>
    <mergeCell ref="L57:L58"/>
    <mergeCell ref="M57:M58"/>
  </mergeCells>
  <conditionalFormatting sqref="A12:A26">
    <cfRule type="duplicateValues" dxfId="40" priority="41"/>
  </conditionalFormatting>
  <conditionalFormatting sqref="A31:A33">
    <cfRule type="duplicateValues" dxfId="39" priority="40"/>
  </conditionalFormatting>
  <conditionalFormatting sqref="A34:A47">
    <cfRule type="duplicateValues" dxfId="38" priority="39"/>
  </conditionalFormatting>
  <conditionalFormatting sqref="A48">
    <cfRule type="duplicateValues" dxfId="37" priority="38"/>
  </conditionalFormatting>
  <conditionalFormatting sqref="A53:A64">
    <cfRule type="duplicateValues" dxfId="36" priority="37"/>
  </conditionalFormatting>
  <conditionalFormatting sqref="A67:A68">
    <cfRule type="duplicateValues" dxfId="35" priority="36"/>
  </conditionalFormatting>
  <conditionalFormatting sqref="A73:A74">
    <cfRule type="duplicateValues" dxfId="34" priority="35"/>
  </conditionalFormatting>
  <conditionalFormatting sqref="A80:A83">
    <cfRule type="duplicateValues" dxfId="33" priority="34"/>
  </conditionalFormatting>
  <conditionalFormatting sqref="A87:A96">
    <cfRule type="duplicateValues" dxfId="32" priority="33"/>
  </conditionalFormatting>
  <conditionalFormatting sqref="A101:A105">
    <cfRule type="duplicateValues" dxfId="31" priority="32"/>
  </conditionalFormatting>
  <conditionalFormatting sqref="A107:A109">
    <cfRule type="duplicateValues" dxfId="30" priority="31"/>
  </conditionalFormatting>
  <conditionalFormatting sqref="A114:A117">
    <cfRule type="duplicateValues" dxfId="29" priority="30"/>
  </conditionalFormatting>
  <conditionalFormatting sqref="A122:A124">
    <cfRule type="duplicateValues" dxfId="28" priority="29"/>
  </conditionalFormatting>
  <conditionalFormatting sqref="A128:A137">
    <cfRule type="duplicateValues" dxfId="27" priority="28"/>
  </conditionalFormatting>
  <conditionalFormatting sqref="A141:A145">
    <cfRule type="duplicateValues" dxfId="26" priority="27"/>
  </conditionalFormatting>
  <conditionalFormatting sqref="A146:A149">
    <cfRule type="duplicateValues" dxfId="25" priority="26"/>
  </conditionalFormatting>
  <conditionalFormatting sqref="A154:A167">
    <cfRule type="duplicateValues" dxfId="24" priority="25"/>
  </conditionalFormatting>
  <conditionalFormatting sqref="A171">
    <cfRule type="duplicateValues" dxfId="23" priority="24"/>
  </conditionalFormatting>
  <conditionalFormatting sqref="A176:A183">
    <cfRule type="duplicateValues" dxfId="22" priority="23"/>
  </conditionalFormatting>
  <conditionalFormatting sqref="A186:A189">
    <cfRule type="duplicateValues" dxfId="21" priority="22"/>
  </conditionalFormatting>
  <conditionalFormatting sqref="A193:A196">
    <cfRule type="duplicateValues" dxfId="20" priority="21"/>
  </conditionalFormatting>
  <conditionalFormatting sqref="A197:A198">
    <cfRule type="duplicateValues" dxfId="19" priority="20"/>
  </conditionalFormatting>
  <conditionalFormatting sqref="A202:A205">
    <cfRule type="duplicateValues" dxfId="18" priority="19"/>
  </conditionalFormatting>
  <conditionalFormatting sqref="A206">
    <cfRule type="duplicateValues" dxfId="17" priority="18"/>
  </conditionalFormatting>
  <conditionalFormatting sqref="A210:A213">
    <cfRule type="duplicateValues" dxfId="16" priority="17"/>
  </conditionalFormatting>
  <conditionalFormatting sqref="A217:A219">
    <cfRule type="duplicateValues" dxfId="15" priority="16"/>
  </conditionalFormatting>
  <conditionalFormatting sqref="A223">
    <cfRule type="duplicateValues" dxfId="14" priority="15"/>
  </conditionalFormatting>
  <conditionalFormatting sqref="A224">
    <cfRule type="duplicateValues" dxfId="13" priority="14"/>
  </conditionalFormatting>
  <conditionalFormatting sqref="A228">
    <cfRule type="duplicateValues" dxfId="12" priority="13"/>
  </conditionalFormatting>
  <conditionalFormatting sqref="A230">
    <cfRule type="duplicateValues" dxfId="11" priority="12"/>
  </conditionalFormatting>
  <conditionalFormatting sqref="A231">
    <cfRule type="duplicateValues" dxfId="10" priority="11"/>
  </conditionalFormatting>
  <conditionalFormatting sqref="A232:A233">
    <cfRule type="duplicateValues" dxfId="9" priority="10"/>
  </conditionalFormatting>
  <conditionalFormatting sqref="A234:A238">
    <cfRule type="duplicateValues" dxfId="8" priority="9"/>
  </conditionalFormatting>
  <conditionalFormatting sqref="A239:A241">
    <cfRule type="duplicateValues" dxfId="7" priority="8"/>
  </conditionalFormatting>
  <conditionalFormatting sqref="A242:A244">
    <cfRule type="duplicateValues" dxfId="6" priority="7"/>
  </conditionalFormatting>
  <conditionalFormatting sqref="A245:A248">
    <cfRule type="duplicateValues" dxfId="5" priority="6"/>
  </conditionalFormatting>
  <conditionalFormatting sqref="A249:A252">
    <cfRule type="duplicateValues" dxfId="4" priority="5"/>
  </conditionalFormatting>
  <conditionalFormatting sqref="A253:A258">
    <cfRule type="duplicateValues" dxfId="3" priority="4"/>
  </conditionalFormatting>
  <conditionalFormatting sqref="A259:A263">
    <cfRule type="duplicateValues" dxfId="2" priority="3"/>
  </conditionalFormatting>
  <conditionalFormatting sqref="A264:A267">
    <cfRule type="duplicateValues" dxfId="1" priority="2"/>
  </conditionalFormatting>
  <conditionalFormatting sqref="A268">
    <cfRule type="duplicateValues" dxfId="0" priority="1"/>
  </conditionalFormatting>
  <dataValidations count="12">
    <dataValidation type="whole" operator="equal" allowBlank="1" showInputMessage="1" showErrorMessage="1" sqref="D19:D20 L124 J145 AD35:AO35 R114:S114 F37:K38 F35:K35 F122:I122 N35:O35 M115:Q116 L122 E144:I144 J141:J143 AT19:AT25 F124:I124 M183:U183 M177:U177 M179:U179 M181:U181" xr:uid="{85721005-26C4-48AA-A852-DCA45B11D0D9}">
      <formula1>0</formula1>
    </dataValidation>
    <dataValidation type="whole" allowBlank="1" showInputMessage="1" showErrorMessage="1" sqref="D186:E189 D101:F105 D107:F109 F13:AS26 AT13:AT18 AT26" xr:uid="{BB430DA5-CA5C-45A6-8094-1D11EFC69549}">
      <formula1>0</formula1>
      <formula2>9.99999999999999E+37</formula2>
    </dataValidation>
    <dataValidation type="whole" allowBlank="1" showInputMessage="1" showErrorMessage="1" sqref="F53:M54 Q53:AD54" xr:uid="{3576AE8E-D88F-43B7-970B-211AD4AB2435}">
      <formula1>0</formula1>
      <formula2>9.99999999999999E+31</formula2>
    </dataValidation>
    <dataValidation type="whole" allowBlank="1" showInputMessage="1" showErrorMessage="1" sqref="E94:E96 C67:C68 G73:AN74 D63:Y64 C94:C96 E88:E92 D60:Y61 D193:I198" xr:uid="{83366FBF-F3F4-4C21-9B0B-F632F1042ABF}">
      <formula1>0</formula1>
      <formula2>9.99999999999999E+38</formula2>
    </dataValidation>
    <dataValidation type="whole" allowBlank="1" showInputMessage="1" showErrorMessage="1" sqref="D88:D92 G80:AO83 F94:G96 P32:P33 E210:G213 D217:F219 D94:D96 F32:F33 H32:H33 J32:J33 F88:G92 N32:N33 C223:C224" xr:uid="{04369D1E-C0F8-4B4D-B998-02B241ABA24D}">
      <formula1>0</formula1>
      <formula2>9.99999999999999E+40</formula2>
    </dataValidation>
    <dataValidation type="whole" allowBlank="1" showInputMessage="1" showErrorMessage="1" sqref="C128:N130 D38 G176:L183" xr:uid="{3FF5D641-AF5A-4952-A671-FB0C7333CE92}">
      <formula1>0</formula1>
      <formula2>9.99999999999999E+41</formula2>
    </dataValidation>
    <dataValidation type="whole" allowBlank="1" showInputMessage="1" showErrorMessage="1" sqref="F135:AS137" xr:uid="{40EBAC4A-7B18-42F7-AAB5-EFAEF8E34102}">
      <formula1>0</formula1>
      <formula2>9.99999999999999E+34</formula2>
    </dataValidation>
    <dataValidation type="whole" allowBlank="1" showInputMessage="1" showErrorMessage="1" sqref="G154:AP167 Y176:AF183" xr:uid="{99A919D9-E47B-43DE-A509-247F2A0214E0}">
      <formula1>0</formula1>
      <formula2>9.99999999999999E+36</formula2>
    </dataValidation>
    <dataValidation type="whole" allowBlank="1" showInputMessage="1" showErrorMessage="1" sqref="C88:C92 D32:D33 D171:V171" xr:uid="{3D10EF60-51BA-43BD-A529-A1992FBD692D}">
      <formula1>0</formula1>
      <formula2>9.99999999999999E+42</formula2>
    </dataValidation>
    <dataValidation type="whole" allowBlank="1" showInputMessage="1" showErrorMessage="1" sqref="D202:F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F36:K36 J34 AP35:AT48 P34:P35 N34 D114:L116 M114:Q114 R115:S116 D122:E124 E141:I143 J144 K141:L149 E145:I145 E146:J149 L31:M48 F123:I123 J122:N124 F34 F31 G31:G34 H34 H31 I31:I34 K31:K34 J31 O31:O34 N31 P31 Q31:AC35 AD31:AT34 N36:AO48 F39:K48 P182:U182 P176:U176 P178:U178 P180:U180" xr:uid="{AE98F494-A9B7-44E7-8086-EE23551EF423}">
      <formula1>0</formula1>
    </dataValidation>
    <dataValidation operator="greaterThanOrEqual" allowBlank="1" showInputMessage="1" showErrorMessage="1" errorTitle="Error" error="Favor Ingrese sólo Números." sqref="A12:A26 A31:A32 A34:A46 A53:A64 A67:A68 A80:A83 A87:A96 A114:A117 A128:A137 A141:A149 A154:A167 A171 A228" xr:uid="{810CCBA3-4764-45C2-B288-0797C4734A17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A466"/>
  <sheetViews>
    <sheetView showGridLines="0" zoomScaleNormal="100" workbookViewId="0"/>
  </sheetViews>
  <sheetFormatPr baseColWidth="10" defaultColWidth="11.42578125" defaultRowHeight="15" x14ac:dyDescent="0.25"/>
  <cols>
    <col min="1" max="1" width="20.140625" customWidth="1"/>
    <col min="2" max="2" width="41.7109375" customWidth="1"/>
    <col min="3" max="3" width="37.42578125" customWidth="1"/>
    <col min="4" max="4" width="12.140625" customWidth="1"/>
    <col min="15" max="15" width="12.7109375" customWidth="1"/>
    <col min="16" max="16" width="13.7109375" customWidth="1"/>
    <col min="17" max="17" width="15.85546875" customWidth="1"/>
    <col min="18" max="18" width="12.5703125" customWidth="1"/>
    <col min="19" max="19" width="12.85546875" customWidth="1"/>
    <col min="21" max="21" width="11.85546875" customWidth="1"/>
    <col min="22" max="22" width="11.5703125" customWidth="1"/>
    <col min="23" max="23" width="12.28515625" customWidth="1"/>
    <col min="24" max="24" width="13.140625" customWidth="1"/>
    <col min="25" max="25" width="13.5703125" customWidth="1"/>
    <col min="36" max="36" width="10.7109375" customWidth="1"/>
    <col min="37" max="37" width="11.5703125" customWidth="1"/>
    <col min="38" max="38" width="10.42578125" customWidth="1"/>
    <col min="40" max="40" width="12.28515625" customWidth="1"/>
    <col min="41" max="41" width="12.5703125" customWidth="1"/>
    <col min="42" max="42" width="13.7109375" customWidth="1"/>
    <col min="43" max="43" width="12.5703125" customWidth="1"/>
    <col min="47" max="47" width="11.140625" customWidth="1"/>
    <col min="50" max="51" width="12.5703125" customWidth="1"/>
    <col min="67" max="68" width="11.42578125" customWidth="1"/>
    <col min="77" max="78" width="11.42578125" customWidth="1"/>
    <col min="79" max="105" width="11.42578125" hidden="1" customWidth="1"/>
  </cols>
  <sheetData>
    <row r="1" spans="1:103" x14ac:dyDescent="0.25">
      <c r="B1" s="50" t="s">
        <v>23</v>
      </c>
    </row>
    <row r="2" spans="1:103" x14ac:dyDescent="0.25">
      <c r="B2" s="50" t="str">
        <f>CONCATENATE("COMUNA: ",NOMBRE!B2," (",NOMBRE!C2,NOMBRE!D2,NOMBRE!E2,NOMBRE!F2,NOMBRE!G2,")")</f>
        <v>COMUNA:  ()</v>
      </c>
    </row>
    <row r="3" spans="1:103" x14ac:dyDescent="0.25">
      <c r="B3" s="50" t="str">
        <f>CONCATENATE("ESTABLECIMIENTO/ESTRATEGIA: ", NOMBRE!B3," (",NOMBRE!C3,NOMBRE!D3,NOMBRE!E3,NOMBRE!F3,NOMBRE!G3,NOMBRE!H3,")")</f>
        <v>ESTABLECIMIENTO/ESTRATEGIA:  ()</v>
      </c>
    </row>
    <row r="4" spans="1:103" x14ac:dyDescent="0.25">
      <c r="B4" s="50" t="str">
        <f>CONCATENATE("MES: ",NOMBRE!B6," (",NOMBRE!C6,NOMBRE!D6,")")</f>
        <v>MES:  ()</v>
      </c>
    </row>
    <row r="5" spans="1:103" x14ac:dyDescent="0.25">
      <c r="B5" s="50" t="str">
        <f>CONCATENATE("AÑO: ",NOMBRE!B7)</f>
        <v>AÑO: 2025</v>
      </c>
    </row>
    <row r="6" spans="1:103" ht="18" customHeight="1" x14ac:dyDescent="0.25">
      <c r="B6" s="6383" t="s">
        <v>695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</row>
    <row r="8" spans="1:103" ht="18" customHeight="1" x14ac:dyDescent="0.25">
      <c r="B8" s="2474" t="s">
        <v>696</v>
      </c>
    </row>
    <row r="9" spans="1:103" ht="21.6" customHeight="1" x14ac:dyDescent="0.25">
      <c r="B9" s="6212" t="s">
        <v>697</v>
      </c>
      <c r="C9" s="6511"/>
      <c r="D9" s="6458" t="s">
        <v>28</v>
      </c>
      <c r="E9" s="6411" t="s">
        <v>29</v>
      </c>
      <c r="F9" s="6446"/>
      <c r="G9" s="6446"/>
      <c r="H9" s="6446"/>
      <c r="I9" s="6446"/>
      <c r="J9" s="6446"/>
      <c r="K9" s="6446"/>
      <c r="L9" s="6446"/>
      <c r="M9" s="6446"/>
      <c r="N9" s="6446"/>
      <c r="O9" s="6447"/>
      <c r="P9" s="6517" t="s">
        <v>698</v>
      </c>
      <c r="Q9" s="6481" t="s">
        <v>699</v>
      </c>
      <c r="R9" s="6481" t="s">
        <v>700</v>
      </c>
      <c r="S9" s="6547" t="s">
        <v>701</v>
      </c>
      <c r="T9" s="6549" t="s">
        <v>513</v>
      </c>
      <c r="U9" s="6549"/>
      <c r="V9" s="6481" t="s">
        <v>38</v>
      </c>
      <c r="W9" s="6511" t="s">
        <v>36</v>
      </c>
      <c r="X9" s="6405" t="s">
        <v>37</v>
      </c>
      <c r="Y9" s="6451"/>
    </row>
    <row r="10" spans="1:103" ht="27" customHeight="1" x14ac:dyDescent="0.25">
      <c r="B10" s="6213"/>
      <c r="C10" s="6027"/>
      <c r="D10" s="6024"/>
      <c r="E10" s="467" t="s">
        <v>702</v>
      </c>
      <c r="F10" s="547" t="s">
        <v>703</v>
      </c>
      <c r="G10" s="490" t="s">
        <v>44</v>
      </c>
      <c r="H10" s="490" t="s">
        <v>45</v>
      </c>
      <c r="I10" s="490" t="s">
        <v>46</v>
      </c>
      <c r="J10" s="490" t="s">
        <v>47</v>
      </c>
      <c r="K10" s="490" t="s">
        <v>48</v>
      </c>
      <c r="L10" s="490" t="s">
        <v>49</v>
      </c>
      <c r="M10" s="490" t="s">
        <v>50</v>
      </c>
      <c r="N10" s="490" t="s">
        <v>51</v>
      </c>
      <c r="O10" s="469" t="s">
        <v>704</v>
      </c>
      <c r="P10" s="6035"/>
      <c r="Q10" s="6086"/>
      <c r="R10" s="6086"/>
      <c r="S10" s="6548"/>
      <c r="T10" s="2909" t="s">
        <v>60</v>
      </c>
      <c r="U10" s="2909" t="s">
        <v>62</v>
      </c>
      <c r="V10" s="6086"/>
      <c r="W10" s="6028"/>
      <c r="X10" s="467" t="s">
        <v>705</v>
      </c>
      <c r="Y10" s="1742" t="s">
        <v>706</v>
      </c>
    </row>
    <row r="11" spans="1:103" ht="15" customHeight="1" x14ac:dyDescent="0.25">
      <c r="A11" s="5640" t="s">
        <v>4938</v>
      </c>
      <c r="B11" s="6555" t="s">
        <v>707</v>
      </c>
      <c r="C11" s="6555"/>
      <c r="D11" s="492" t="s">
        <v>4567</v>
      </c>
      <c r="E11" s="473" t="s">
        <v>4568</v>
      </c>
      <c r="F11" s="476" t="s">
        <v>4569</v>
      </c>
      <c r="G11" s="493" t="s">
        <v>4570</v>
      </c>
      <c r="H11" s="493" t="s">
        <v>4571</v>
      </c>
      <c r="I11" s="493" t="s">
        <v>4572</v>
      </c>
      <c r="J11" s="493" t="s">
        <v>4573</v>
      </c>
      <c r="K11" s="493" t="s">
        <v>4574</v>
      </c>
      <c r="L11" s="493" t="s">
        <v>4575</v>
      </c>
      <c r="M11" s="493" t="s">
        <v>4576</v>
      </c>
      <c r="N11" s="494" t="s">
        <v>4577</v>
      </c>
      <c r="O11" s="495" t="s">
        <v>4578</v>
      </c>
      <c r="P11" s="496" t="s">
        <v>4579</v>
      </c>
      <c r="Q11" s="493" t="s">
        <v>4580</v>
      </c>
      <c r="R11" s="493" t="s">
        <v>4581</v>
      </c>
      <c r="S11" s="2910" t="s">
        <v>4582</v>
      </c>
      <c r="T11" s="2910" t="s">
        <v>4583</v>
      </c>
      <c r="U11" s="2910" t="s">
        <v>4584</v>
      </c>
      <c r="V11" s="2910" t="s">
        <v>4585</v>
      </c>
      <c r="W11" s="474" t="s">
        <v>4586</v>
      </c>
      <c r="X11" s="473" t="s">
        <v>4587</v>
      </c>
      <c r="Y11" s="474" t="s">
        <v>4588</v>
      </c>
      <c r="Z11" t="e">
        <f>CB11&amp;CC11&amp;CD11&amp;CE11&amp;CF11&amp;CG11&amp;CH11&amp;CI11&amp;CJ11&amp;CK11</f>
        <v>#VALUE!</v>
      </c>
      <c r="CB11" s="135" t="str">
        <f>IF(AND($D11&gt;0,P11="")," * No olvide digitar la variable Víctima de Violencia de Género. Digite Cero si no tiene.",IF(P11&gt;$D11," * La variable Víctima de Violencia de Género No puede ser mayor al Total.",""))</f>
        <v xml:space="preserve"> * La variable Víctima de Violencia de Género No puede ser mayor al Total.</v>
      </c>
      <c r="CC11" s="135" t="str">
        <f>IF(AND(D11&gt;0,Q11=""),"  * No olvide digitar la variable Ingresos por Traslados. Digite Cero si no tiene.",IF(Q11&gt;D11,"  * La variable Ingresos por Traslados No puede ser mayor al Total.",""))</f>
        <v xml:space="preserve">  * La variable Ingresos por Traslados No puede ser mayor al Total.</v>
      </c>
      <c r="CD11" s="135" t="str">
        <f>IF(AND($D11&gt;0,R11="")," * No olvide digitar la variable Ingresos con Control Precoz Extrasistema. Digite Cero si no tiene.",IF(R11&gt;$D11," * La variable Ingresos con Control Precoz Extrasistema No puede ser mayor al Total.",""))</f>
        <v xml:space="preserve"> * La variable Ingresos con Control Precoz Extrasistema No puede ser mayor al Total.</v>
      </c>
      <c r="CE11" s="135" t="str">
        <f>IF(AND($D11&gt;0,S11="")," * No olvide digitar la variable Derivación por IVE causal 3 &lt;14 años. Digite Cero si no tiene.",IF(S11&gt;$D11," * La variable Derivación por IVE causal 3 &lt;14 años No puede ser mayor al Total.",""))</f>
        <v xml:space="preserve"> * La variable Derivación por IVE causal 3 &lt;14 años No puede ser mayor al Total.</v>
      </c>
      <c r="CF11" s="135" t="str">
        <f>IF(AND($D11&gt;0,T11=""),"  * No olvide digitar la variable Trans masculino. Digite Cero si no tiene.",IF(T11&gt;$D11,"  * La variable Trans masculino No puede ser mayor al Total.",""))</f>
        <v xml:space="preserve">  * La variable Trans masculino No puede ser mayor al Total.</v>
      </c>
      <c r="CG11" s="135" t="str">
        <f>IF(AND($D11&gt;0,U11=""),"  * No olvide digitar la variable No binarie. Digite Cero si no tiene.",IF(U11&gt;$D11," * La variable No binarie No puede ser mayor al Total.",""))</f>
        <v xml:space="preserve"> * La variable No binarie No puede ser mayor al Total.</v>
      </c>
      <c r="CH11" s="135" t="str">
        <f>IF(AND($D11&gt;0,V11="")," * No olvide digitar la variable Personas con discapacidad. Digite Cero si no tiene.",IF(V11&gt;$D11," *La variable Personas con discapacidad No puede ser mayor al Total.",""))</f>
        <v xml:space="preserve"> *La variable Personas con discapacidad No puede ser mayor al Total.</v>
      </c>
      <c r="CI11" s="135" t="str">
        <f>IF(AND($D11&gt;0,W11="")," * No olvide digitar la variable Pueblos Originarios. Digite Cero si no tiene.",IF(W11&gt;$D11," *La variable Pueblos Originarios No puede ser mayor al Total.",""))</f>
        <v xml:space="preserve"> *La variable Pueblos Originarios No puede ser mayor al Total.</v>
      </c>
      <c r="CJ11" s="135" t="e">
        <f>IF(AND($E11+F11+G11&gt;0,X11="")," * No olvide digitar la variable Migrantes Menor de 20 años. Digite Cero si no tiene.",IF(X11&gt;$E11+F11+G11," * La variable Migrantes Menor de 20 años No puede ser mayor a la suma del grupo Rango Etario menor de 20 años.",""))</f>
        <v>#VALUE!</v>
      </c>
      <c r="CK11" s="135" t="e">
        <f>IF(AND($H11+$I11+$J11+$K11+$L11+$M11+$N11+$O11&gt;0,$Y11="")," * No olvide digitar la variable Migrantes 20 y más años. Digite Cero si no tiene.",IF($H11+$I11+$J11+$K11+$L11+$M11+$N11+$O11&lt;$Y11," * La variable Migrantes 20 y más años No puede ser mayor a la suma del grupo Rango Etario 20 y más años.",""))</f>
        <v>#VALUE!</v>
      </c>
      <c r="CP11" s="84">
        <f t="shared" ref="CP11:CR14" si="0">IF(AND($D11&gt;0,P11=""),1,IF(P11&gt;$D11,1,0))</f>
        <v>1</v>
      </c>
      <c r="CQ11" s="84">
        <f t="shared" si="0"/>
        <v>1</v>
      </c>
      <c r="CR11" s="84">
        <f t="shared" si="0"/>
        <v>1</v>
      </c>
      <c r="CS11" s="182" t="e">
        <f>IF(S11&gt;$F11+E11,1,0)</f>
        <v>#VALUE!</v>
      </c>
      <c r="CT11" s="84">
        <f t="shared" ref="CT11:CW14" si="1">IF(AND($D11&gt;0,T11=""),1,IF(T11&gt;$D11,1,0))</f>
        <v>1</v>
      </c>
      <c r="CU11" s="84">
        <f t="shared" si="1"/>
        <v>1</v>
      </c>
      <c r="CV11" s="84">
        <f t="shared" si="1"/>
        <v>1</v>
      </c>
      <c r="CW11" s="84">
        <f t="shared" si="1"/>
        <v>1</v>
      </c>
      <c r="CX11" s="84" t="e">
        <f>IF(AND(E11+F11+G11&gt;0,X11=""),1,IF(X11&gt;E11+F11+G11,1,0))</f>
        <v>#VALUE!</v>
      </c>
      <c r="CY11" s="84" t="e">
        <f>IF(AND($H11+$I11+$J11+$K11+$L11+$M11+$N11+$O11&gt;0,$Y11=""),1,IF($H11+$I11+$J11+$K11+$L11+$M11+$N11+$O11&lt;$Y11,1,0))</f>
        <v>#VALUE!</v>
      </c>
    </row>
    <row r="12" spans="1:103" ht="15" customHeight="1" x14ac:dyDescent="0.25">
      <c r="A12" s="5640" t="s">
        <v>4939</v>
      </c>
      <c r="B12" s="6556" t="s">
        <v>708</v>
      </c>
      <c r="C12" s="6556"/>
      <c r="D12" s="497" t="s">
        <v>4567</v>
      </c>
      <c r="E12" s="345" t="s">
        <v>4568</v>
      </c>
      <c r="F12" s="347" t="s">
        <v>4569</v>
      </c>
      <c r="G12" s="368" t="s">
        <v>4570</v>
      </c>
      <c r="H12" s="368" t="s">
        <v>4571</v>
      </c>
      <c r="I12" s="368" t="s">
        <v>4572</v>
      </c>
      <c r="J12" s="368" t="s">
        <v>4573</v>
      </c>
      <c r="K12" s="368" t="s">
        <v>4574</v>
      </c>
      <c r="L12" s="368" t="s">
        <v>4575</v>
      </c>
      <c r="M12" s="368" t="s">
        <v>4576</v>
      </c>
      <c r="N12" s="348" t="s">
        <v>4577</v>
      </c>
      <c r="O12" s="351" t="s">
        <v>4578</v>
      </c>
      <c r="P12" s="429" t="s">
        <v>4579</v>
      </c>
      <c r="Q12" s="368" t="s">
        <v>4580</v>
      </c>
      <c r="R12" s="368" t="s">
        <v>4581</v>
      </c>
      <c r="S12" s="2910" t="s">
        <v>4582</v>
      </c>
      <c r="T12" s="2910" t="s">
        <v>4583</v>
      </c>
      <c r="U12" s="2910" t="s">
        <v>4584</v>
      </c>
      <c r="V12" s="2910" t="s">
        <v>4585</v>
      </c>
      <c r="W12" s="346" t="s">
        <v>4586</v>
      </c>
      <c r="X12" s="345" t="s">
        <v>4587</v>
      </c>
      <c r="Y12" s="346" t="s">
        <v>4588</v>
      </c>
      <c r="Z12" t="e">
        <f t="shared" ref="Z12:Z14" si="2">CB12&amp;CC12&amp;CD12&amp;CE12&amp;CF12&amp;CG12&amp;CH12&amp;CI12&amp;CJ12&amp;CK12</f>
        <v>#VALUE!</v>
      </c>
      <c r="CB12" s="135" t="str">
        <f t="shared" ref="CB12:CB14" si="3">IF(AND($D12&gt;0,P12="")," * No olvide digitar la variable Víctima de Violencia de Género. Digite Cero si no tiene.",IF(P12&gt;$D12," * La variable Víctima de Violencia de Género No puede ser mayor al Total.",""))</f>
        <v xml:space="preserve"> * La variable Víctima de Violencia de Género No puede ser mayor al Total.</v>
      </c>
      <c r="CC12" s="135" t="str">
        <f t="shared" ref="CC12:CC14" si="4">IF(AND(D12&gt;0,Q12=""),"  * No olvide digitar la variable Ingresos por Traslados. Digite Cero si no tiene.",IF(Q12&gt;D12,"  * La variable Ingresos por Traslados No puede ser mayor al Total.",""))</f>
        <v xml:space="preserve">  * La variable Ingresos por Traslados No puede ser mayor al Total.</v>
      </c>
      <c r="CD12" s="135" t="str">
        <f t="shared" ref="CD12:CD14" si="5">IF(AND($D12&gt;0,R12="")," * No olvide digitar la variable Ingresos con Control Precoz Extrasistema. Digite Cero si no tiene.",IF(R12&gt;$D12," * La variable Ingresos con Control Precoz Extrasistema No puede ser mayor al Total.",""))</f>
        <v xml:space="preserve"> * La variable Ingresos con Control Precoz Extrasistema No puede ser mayor al Total.</v>
      </c>
      <c r="CE12" s="135" t="str">
        <f t="shared" ref="CE12:CE14" si="6">IF(AND($D12&gt;0,S12="")," * No olvide digitar la variable Derivación por IVE causal 3 &lt;14 años. Digite Cero si no tiene.",IF(S12&gt;$D12," * La variable Derivación por IVE causal 3 &lt;14 años No puede ser mayor al Total.",""))</f>
        <v xml:space="preserve"> * La variable Derivación por IVE causal 3 &lt;14 años No puede ser mayor al Total.</v>
      </c>
      <c r="CF12" s="135" t="str">
        <f t="shared" ref="CF12:CF14" si="7">IF(AND($D12&gt;0,T12=""),"  * No olvide digitar la variable Trans masculino. Digite Cero si no tiene.",IF(T12&gt;$D12,"  * La variable Trans masculino No puede ser mayor al Total.",""))</f>
        <v xml:space="preserve">  * La variable Trans masculino No puede ser mayor al Total.</v>
      </c>
      <c r="CG12" s="135" t="str">
        <f t="shared" ref="CG12:CG14" si="8">IF(AND($D12&gt;0,U12=""),"  * No olvide digitar la variable No binarie. Digite Cero si no tiene.",IF(U12&gt;$D12," * La variable No binarie No puede ser mayor al Total.",""))</f>
        <v xml:space="preserve"> * La variable No binarie No puede ser mayor al Total.</v>
      </c>
      <c r="CH12" s="135" t="str">
        <f t="shared" ref="CH12:CH14" si="9">IF(AND($D12&gt;0,V12="")," * No olvide digitar la variable Personas con discapacidad. Digite Cero si no tiene.",IF(V12&gt;$D12," *La variable Personas con discapacidad No puede ser mayor al Total.",""))</f>
        <v xml:space="preserve"> *La variable Personas con discapacidad No puede ser mayor al Total.</v>
      </c>
      <c r="CI12" s="135" t="str">
        <f t="shared" ref="CI12:CI14" si="10">IF(AND($D12&gt;0,W12="")," * No olvide digitar la variable Pueblos Originarios. Digite Cero si no tiene.",IF(W12&gt;$D12," *La variable Pueblos Originarios No puede ser mayor al Total.",""))</f>
        <v xml:space="preserve"> *La variable Pueblos Originarios No puede ser mayor al Total.</v>
      </c>
      <c r="CJ12" s="135" t="e">
        <f t="shared" ref="CJ12:CJ14" si="11">IF(AND($E12+F12+G12&gt;0,X12="")," * No olvide digitar la variable Migrantes Menor de 20 años. Digite Cero si no tiene.",IF(X12&gt;$E12+F12+G12," * La variable Migrantes Menor de 20 años No puede ser mayor a la suma del grupo Rango Etario menor de 20 años.",""))</f>
        <v>#VALUE!</v>
      </c>
      <c r="CK12" s="135" t="e">
        <f t="shared" ref="CK12:CK14" si="12">IF(AND($H12+$I12+$J12+$K12+$L12+$M12+$N12+$O12&gt;0,$Y12="")," * No olvide digitar la variable Migrantes 20 y más años. Digite Cero si no tiene.",IF($H12+$I12+$J12+$K12+$L12+$M12+$N12+$O12&lt;$Y12," * La variable Migrantes 20 y más años No puede ser mayor a la suma del grupo Rango Etario 20 y más años.",""))</f>
        <v>#VALUE!</v>
      </c>
      <c r="CP12" s="84">
        <f t="shared" si="0"/>
        <v>1</v>
      </c>
      <c r="CQ12" s="84">
        <f t="shared" si="0"/>
        <v>1</v>
      </c>
      <c r="CR12" s="84">
        <f t="shared" si="0"/>
        <v>1</v>
      </c>
      <c r="CS12" s="182" t="e">
        <f>IF(S12&gt;$F12+E12,1,0)</f>
        <v>#VALUE!</v>
      </c>
      <c r="CT12" s="84">
        <f t="shared" si="1"/>
        <v>1</v>
      </c>
      <c r="CU12" s="84">
        <f t="shared" si="1"/>
        <v>1</v>
      </c>
      <c r="CV12" s="84">
        <f t="shared" si="1"/>
        <v>1</v>
      </c>
      <c r="CW12" s="84">
        <f t="shared" si="1"/>
        <v>1</v>
      </c>
      <c r="CX12" s="84" t="e">
        <f>IF(AND(E12+F12+G12&gt;0,X12=""),1,IF(X12&gt;E12+F12+G12,1,0))</f>
        <v>#VALUE!</v>
      </c>
      <c r="CY12" s="84" t="e">
        <f t="shared" ref="CY12:CY14" si="13">IF(AND($H12+$I12+$J12+$K12+$L12+$M12+$N12+$O12&gt;0,$Y12=""),1,IF($H12+$I12+$J12+$K12+$L12+$M12+$N12+$O12&lt;$Y12,1,0))</f>
        <v>#VALUE!</v>
      </c>
    </row>
    <row r="13" spans="1:103" ht="15" customHeight="1" x14ac:dyDescent="0.25">
      <c r="A13" s="5640" t="s">
        <v>4940</v>
      </c>
      <c r="B13" s="6557" t="s">
        <v>709</v>
      </c>
      <c r="C13" s="6558"/>
      <c r="D13" s="497" t="s">
        <v>4567</v>
      </c>
      <c r="E13" s="345" t="s">
        <v>4568</v>
      </c>
      <c r="F13" s="347" t="s">
        <v>4569</v>
      </c>
      <c r="G13" s="368" t="s">
        <v>4570</v>
      </c>
      <c r="H13" s="368" t="s">
        <v>4571</v>
      </c>
      <c r="I13" s="368" t="s">
        <v>4572</v>
      </c>
      <c r="J13" s="368" t="s">
        <v>4573</v>
      </c>
      <c r="K13" s="368" t="s">
        <v>4574</v>
      </c>
      <c r="L13" s="368" t="s">
        <v>4575</v>
      </c>
      <c r="M13" s="368" t="s">
        <v>4576</v>
      </c>
      <c r="N13" s="348" t="s">
        <v>4577</v>
      </c>
      <c r="O13" s="351" t="s">
        <v>4578</v>
      </c>
      <c r="P13" s="429" t="s">
        <v>4579</v>
      </c>
      <c r="Q13" s="368" t="s">
        <v>4580</v>
      </c>
      <c r="R13" s="368" t="s">
        <v>4581</v>
      </c>
      <c r="S13" s="2910" t="s">
        <v>4582</v>
      </c>
      <c r="T13" s="2910" t="s">
        <v>4583</v>
      </c>
      <c r="U13" s="2910" t="s">
        <v>4584</v>
      </c>
      <c r="V13" s="2910" t="s">
        <v>4585</v>
      </c>
      <c r="W13" s="346" t="s">
        <v>4586</v>
      </c>
      <c r="X13" s="345" t="s">
        <v>4587</v>
      </c>
      <c r="Y13" s="346" t="s">
        <v>4588</v>
      </c>
      <c r="Z13" t="e">
        <f t="shared" si="2"/>
        <v>#VALUE!</v>
      </c>
      <c r="CB13" s="135" t="str">
        <f t="shared" si="3"/>
        <v xml:space="preserve"> * La variable Víctima de Violencia de Género No puede ser mayor al Total.</v>
      </c>
      <c r="CC13" s="135" t="str">
        <f t="shared" si="4"/>
        <v xml:space="preserve">  * La variable Ingresos por Traslados No puede ser mayor al Total.</v>
      </c>
      <c r="CD13" s="135" t="str">
        <f t="shared" si="5"/>
        <v xml:space="preserve"> * La variable Ingresos con Control Precoz Extrasistema No puede ser mayor al Total.</v>
      </c>
      <c r="CE13" s="135" t="str">
        <f t="shared" si="6"/>
        <v xml:space="preserve"> * La variable Derivación por IVE causal 3 &lt;14 años No puede ser mayor al Total.</v>
      </c>
      <c r="CF13" s="135" t="str">
        <f t="shared" si="7"/>
        <v xml:space="preserve">  * La variable Trans masculino No puede ser mayor al Total.</v>
      </c>
      <c r="CG13" s="135" t="str">
        <f t="shared" si="8"/>
        <v xml:space="preserve"> * La variable No binarie No puede ser mayor al Total.</v>
      </c>
      <c r="CH13" s="135" t="str">
        <f t="shared" si="9"/>
        <v xml:space="preserve"> *La variable Personas con discapacidad No puede ser mayor al Total.</v>
      </c>
      <c r="CI13" s="135" t="str">
        <f t="shared" si="10"/>
        <v xml:space="preserve"> *La variable Pueblos Originarios No puede ser mayor al Total.</v>
      </c>
      <c r="CJ13" s="135" t="e">
        <f t="shared" si="11"/>
        <v>#VALUE!</v>
      </c>
      <c r="CK13" s="135" t="e">
        <f t="shared" si="12"/>
        <v>#VALUE!</v>
      </c>
      <c r="CP13" s="84">
        <f t="shared" si="0"/>
        <v>1</v>
      </c>
      <c r="CQ13" s="84">
        <f t="shared" si="0"/>
        <v>1</v>
      </c>
      <c r="CR13" s="84">
        <f t="shared" si="0"/>
        <v>1</v>
      </c>
      <c r="CS13" s="182" t="e">
        <f>IF(S13&gt;$F13+E13,1,0)</f>
        <v>#VALUE!</v>
      </c>
      <c r="CT13" s="84">
        <f t="shared" si="1"/>
        <v>1</v>
      </c>
      <c r="CU13" s="84">
        <f t="shared" si="1"/>
        <v>1</v>
      </c>
      <c r="CV13" s="84">
        <f t="shared" si="1"/>
        <v>1</v>
      </c>
      <c r="CW13" s="84">
        <f t="shared" si="1"/>
        <v>1</v>
      </c>
      <c r="CX13" s="84" t="e">
        <f>IF(AND(E13+F13+G13&gt;0,X13=""),1,IF(X13&gt;E13+F13+G13,1,0))</f>
        <v>#VALUE!</v>
      </c>
      <c r="CY13" s="84" t="e">
        <f t="shared" si="13"/>
        <v>#VALUE!</v>
      </c>
    </row>
    <row r="14" spans="1:103" ht="15" customHeight="1" x14ac:dyDescent="0.25">
      <c r="A14" s="5640" t="s">
        <v>4941</v>
      </c>
      <c r="B14" s="6559" t="s">
        <v>710</v>
      </c>
      <c r="C14" s="6560"/>
      <c r="D14" s="500" t="s">
        <v>4567</v>
      </c>
      <c r="E14" s="379" t="s">
        <v>4568</v>
      </c>
      <c r="F14" s="428" t="s">
        <v>4569</v>
      </c>
      <c r="G14" s="371" t="s">
        <v>4570</v>
      </c>
      <c r="H14" s="371" t="s">
        <v>4571</v>
      </c>
      <c r="I14" s="371" t="s">
        <v>4572</v>
      </c>
      <c r="J14" s="371" t="s">
        <v>4573</v>
      </c>
      <c r="K14" s="371" t="s">
        <v>4574</v>
      </c>
      <c r="L14" s="371" t="s">
        <v>4575</v>
      </c>
      <c r="M14" s="371" t="s">
        <v>4576</v>
      </c>
      <c r="N14" s="501" t="s">
        <v>4577</v>
      </c>
      <c r="O14" s="389" t="s">
        <v>4578</v>
      </c>
      <c r="P14" s="378" t="s">
        <v>4579</v>
      </c>
      <c r="Q14" s="371" t="s">
        <v>4580</v>
      </c>
      <c r="R14" s="371" t="s">
        <v>4581</v>
      </c>
      <c r="S14" s="2911" t="s">
        <v>4582</v>
      </c>
      <c r="T14" s="2911" t="s">
        <v>4583</v>
      </c>
      <c r="U14" s="2911" t="s">
        <v>4584</v>
      </c>
      <c r="V14" s="2911" t="s">
        <v>4585</v>
      </c>
      <c r="W14" s="387" t="s">
        <v>4586</v>
      </c>
      <c r="X14" s="379" t="s">
        <v>4587</v>
      </c>
      <c r="Y14" s="387" t="s">
        <v>4588</v>
      </c>
      <c r="Z14" t="e">
        <f t="shared" si="2"/>
        <v>#VALUE!</v>
      </c>
      <c r="CB14" s="135" t="str">
        <f t="shared" si="3"/>
        <v xml:space="preserve"> * La variable Víctima de Violencia de Género No puede ser mayor al Total.</v>
      </c>
      <c r="CC14" s="135" t="str">
        <f t="shared" si="4"/>
        <v xml:space="preserve">  * La variable Ingresos por Traslados No puede ser mayor al Total.</v>
      </c>
      <c r="CD14" s="135" t="str">
        <f t="shared" si="5"/>
        <v xml:space="preserve"> * La variable Ingresos con Control Precoz Extrasistema No puede ser mayor al Total.</v>
      </c>
      <c r="CE14" s="135" t="str">
        <f t="shared" si="6"/>
        <v xml:space="preserve"> * La variable Derivación por IVE causal 3 &lt;14 años No puede ser mayor al Total.</v>
      </c>
      <c r="CF14" s="135" t="str">
        <f t="shared" si="7"/>
        <v xml:space="preserve">  * La variable Trans masculino No puede ser mayor al Total.</v>
      </c>
      <c r="CG14" s="135" t="str">
        <f t="shared" si="8"/>
        <v xml:space="preserve"> * La variable No binarie No puede ser mayor al Total.</v>
      </c>
      <c r="CH14" s="135" t="str">
        <f t="shared" si="9"/>
        <v xml:space="preserve"> *La variable Personas con discapacidad No puede ser mayor al Total.</v>
      </c>
      <c r="CI14" s="135" t="str">
        <f t="shared" si="10"/>
        <v xml:space="preserve"> *La variable Pueblos Originarios No puede ser mayor al Total.</v>
      </c>
      <c r="CJ14" s="135" t="e">
        <f t="shared" si="11"/>
        <v>#VALUE!</v>
      </c>
      <c r="CK14" s="135" t="e">
        <f t="shared" si="12"/>
        <v>#VALUE!</v>
      </c>
      <c r="CP14" s="84">
        <f t="shared" si="0"/>
        <v>1</v>
      </c>
      <c r="CQ14" s="84">
        <f t="shared" si="0"/>
        <v>1</v>
      </c>
      <c r="CR14" s="84">
        <f t="shared" si="0"/>
        <v>1</v>
      </c>
      <c r="CS14" s="182" t="e">
        <f>IF(S14&gt;$F14+E14,1,0)</f>
        <v>#VALUE!</v>
      </c>
      <c r="CT14" s="84">
        <f t="shared" si="1"/>
        <v>1</v>
      </c>
      <c r="CU14" s="84">
        <f t="shared" si="1"/>
        <v>1</v>
      </c>
      <c r="CV14" s="84">
        <f t="shared" si="1"/>
        <v>1</v>
      </c>
      <c r="CW14" s="84">
        <f t="shared" si="1"/>
        <v>1</v>
      </c>
      <c r="CX14" s="84" t="e">
        <f>IF(AND(E14+F14+G14&gt;0,X14=""),1,IF(X14&gt;E14+F14+G14,1,0))</f>
        <v>#VALUE!</v>
      </c>
      <c r="CY14" s="84" t="e">
        <f t="shared" si="13"/>
        <v>#VALUE!</v>
      </c>
    </row>
    <row r="15" spans="1:103" ht="18" customHeight="1" x14ac:dyDescent="0.25">
      <c r="A15" s="3222"/>
      <c r="B15" s="3" t="s">
        <v>711</v>
      </c>
      <c r="C15" s="91"/>
      <c r="D15" s="91"/>
      <c r="E15" s="91"/>
      <c r="F15" s="91"/>
      <c r="G15" s="91"/>
      <c r="H15" s="91"/>
      <c r="I15" s="91"/>
      <c r="J15" s="91"/>
      <c r="K15" s="91"/>
      <c r="CO15" s="19"/>
      <c r="CP15" s="19"/>
      <c r="CQ15" s="19"/>
      <c r="CR15" s="19"/>
      <c r="CS15" s="19"/>
      <c r="CT15" s="19"/>
      <c r="CU15" s="19"/>
      <c r="CV15" s="19"/>
      <c r="CW15" s="19"/>
      <c r="CX15" s="19"/>
    </row>
    <row r="16" spans="1:103" ht="15" customHeight="1" x14ac:dyDescent="0.25">
      <c r="A16" s="3222"/>
      <c r="B16" s="6212" t="s">
        <v>712</v>
      </c>
      <c r="C16" s="6511"/>
      <c r="D16" s="6454" t="s">
        <v>713</v>
      </c>
      <c r="E16" s="6579" t="s">
        <v>714</v>
      </c>
      <c r="F16" s="6492" t="s">
        <v>36</v>
      </c>
      <c r="G16" s="6511" t="s">
        <v>37</v>
      </c>
      <c r="CO16" s="19"/>
      <c r="CP16" s="19"/>
      <c r="CQ16" s="19"/>
      <c r="CR16" s="19"/>
      <c r="CS16" s="19"/>
      <c r="CT16" s="19"/>
      <c r="CU16" s="19"/>
      <c r="CV16" s="19"/>
      <c r="CW16" s="19"/>
      <c r="CX16" s="19"/>
    </row>
    <row r="17" spans="1:102" ht="18.75" customHeight="1" x14ac:dyDescent="0.25">
      <c r="A17" s="3222"/>
      <c r="B17" s="6213"/>
      <c r="C17" s="6027"/>
      <c r="D17" s="6103"/>
      <c r="E17" s="6224"/>
      <c r="F17" s="6106"/>
      <c r="G17" s="6028"/>
      <c r="CO17" s="19"/>
      <c r="CP17" s="19"/>
      <c r="CQ17" s="19"/>
      <c r="CR17" s="19"/>
      <c r="CS17" s="19"/>
      <c r="CT17" s="19"/>
      <c r="CU17" s="19"/>
      <c r="CV17" s="19"/>
      <c r="CW17" s="19"/>
      <c r="CX17" s="19"/>
    </row>
    <row r="18" spans="1:102" ht="15" customHeight="1" x14ac:dyDescent="0.25">
      <c r="A18" s="5640" t="s">
        <v>4942</v>
      </c>
      <c r="B18" s="6561" t="s">
        <v>715</v>
      </c>
      <c r="C18" s="6562"/>
      <c r="D18" s="5683" t="s">
        <v>4567</v>
      </c>
      <c r="E18" s="5684" t="s">
        <v>4568</v>
      </c>
      <c r="F18" s="5685" t="s">
        <v>4569</v>
      </c>
      <c r="G18" s="5686" t="s">
        <v>4570</v>
      </c>
      <c r="H18" t="str">
        <f t="shared" ref="H18:H31" si="14">CB18&amp;CC18&amp;CD18</f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18" s="135" t="str">
        <f>IF(AND($D18&gt;0,$E18=""),"  * No olvide digitar la variable "&amp;$E$16&amp;""&amp;". Digite Cero si no tiene.",IF(E18&gt;D18,"  ** La variable Víctima de violencia de género No puede ser mayor al "&amp;$D$16&amp;""&amp;" .",""))</f>
        <v xml:space="preserve">  ** La variable Víctima de violencia de género No puede ser mayor al Nº de Ingreso a ARO .</v>
      </c>
      <c r="CC18" s="135" t="str">
        <f>IF(AND(D18&gt;0,F18=""),"  * No olvide digitar la "&amp;$F$16&amp;""&amp;" . Digite Cero si no tiene.",IF(F18&gt;D18,"  * La variable Pueblos originarios No puede ser mayor al  "&amp;$D$16&amp;""&amp;" .",""))</f>
        <v xml:space="preserve">  * La variable Pueblos originarios No puede ser mayor al  Nº de Ingreso a ARO .</v>
      </c>
      <c r="CD18" s="135" t="str">
        <f>IF(AND(D18&gt;0,G18=""),"  * No olvide digitar la "&amp;$G$16&amp;""&amp;" . Digite Cero si no tiene.",IF(G18&gt;D18,"  * La variable Migrantes No puede ser mayor al  "&amp;$D$16&amp;""&amp;" .",""))</f>
        <v xml:space="preserve">  * La variable Migrantes No puede ser mayor al  Nº de Ingreso a ARO .</v>
      </c>
      <c r="CO18" s="19"/>
      <c r="CP18" s="84">
        <f t="shared" ref="CP18:CP31" si="15">IF(AND(D18&gt;0,E18=""),1,IF(E18&gt;D18,1,0))</f>
        <v>1</v>
      </c>
      <c r="CQ18" s="84">
        <f t="shared" ref="CQ18:CQ31" si="16">IF(AND(D18&gt;0,F18=""),1,IF(F18&gt;D18,1,0))</f>
        <v>1</v>
      </c>
      <c r="CR18" s="84">
        <f t="shared" ref="CR18:CR31" si="17">IF(AND(D18&gt;0,G18=""),1,IF(G18&gt;D18,1,0))</f>
        <v>1</v>
      </c>
      <c r="CS18" s="19"/>
      <c r="CT18" s="19"/>
      <c r="CU18" s="19"/>
      <c r="CV18" s="19"/>
      <c r="CW18" s="19"/>
      <c r="CX18" s="19"/>
    </row>
    <row r="19" spans="1:102" ht="15" customHeight="1" x14ac:dyDescent="0.25">
      <c r="A19" s="5640" t="s">
        <v>4943</v>
      </c>
      <c r="B19" s="6565" t="s">
        <v>716</v>
      </c>
      <c r="C19" s="6566"/>
      <c r="D19" s="290" t="s">
        <v>4567</v>
      </c>
      <c r="E19" s="430" t="s">
        <v>4568</v>
      </c>
      <c r="F19" s="3005" t="s">
        <v>4569</v>
      </c>
      <c r="G19" s="3004" t="s">
        <v>4570</v>
      </c>
      <c r="H19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19" s="135" t="str">
        <f t="shared" ref="CB19:CB31" si="18">IF(AND($D19&gt;0,$E19=""),"  * No olvide digitar la variable "&amp;$E$16&amp;""&amp;". Digite Cero si no tiene.",IF(E19&gt;D19,"  ** La variable Víctima de violencia de género No puede ser mayor al "&amp;$D$16&amp;""&amp;" .",""))</f>
        <v xml:space="preserve">  ** La variable Víctima de violencia de género No puede ser mayor al Nº de Ingreso a ARO .</v>
      </c>
      <c r="CC19" s="135" t="str">
        <f t="shared" ref="CC19:CC31" si="19">IF(AND(D19&gt;0,F19=""),"  * No olvide digitar la "&amp;$F$16&amp;""&amp;" . Digite Cero si no tiene.",IF(F19&gt;D19,"  * La variable Pueblos originarios No puede ser mayor al  "&amp;$D$16&amp;""&amp;" .",""))</f>
        <v xml:space="preserve">  * La variable Pueblos originarios No puede ser mayor al  Nº de Ingreso a ARO .</v>
      </c>
      <c r="CD19" s="135" t="str">
        <f t="shared" ref="CD19:CD31" si="20">IF(AND(D19&gt;0,G19=""),"  * No olvide digitar la "&amp;$G$16&amp;""&amp;" . Digite Cero si no tiene.",IF(G19&gt;D19,"  * La variable Migrantes No puede ser mayor al  "&amp;$D$16&amp;""&amp;" .",""))</f>
        <v xml:space="preserve">  * La variable Migrantes No puede ser mayor al  Nº de Ingreso a ARO .</v>
      </c>
      <c r="CO19" s="19"/>
      <c r="CP19" s="84">
        <f t="shared" si="15"/>
        <v>1</v>
      </c>
      <c r="CQ19" s="84">
        <f t="shared" si="16"/>
        <v>1</v>
      </c>
      <c r="CR19" s="84">
        <f t="shared" si="17"/>
        <v>1</v>
      </c>
      <c r="CS19" s="19"/>
      <c r="CT19" s="19"/>
      <c r="CU19" s="19"/>
      <c r="CV19" s="19"/>
      <c r="CW19" s="19"/>
      <c r="CX19" s="19"/>
    </row>
    <row r="20" spans="1:102" ht="15" customHeight="1" x14ac:dyDescent="0.25">
      <c r="A20" s="5640" t="s">
        <v>4944</v>
      </c>
      <c r="B20" s="6237" t="s">
        <v>717</v>
      </c>
      <c r="C20" s="6238"/>
      <c r="D20" s="1089" t="s">
        <v>4567</v>
      </c>
      <c r="E20" s="5672" t="s">
        <v>4568</v>
      </c>
      <c r="F20" s="3063" t="s">
        <v>4569</v>
      </c>
      <c r="G20" s="1090" t="s">
        <v>4570</v>
      </c>
      <c r="H20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Q20" t="s">
        <v>10</v>
      </c>
      <c r="CB20" s="135" t="str">
        <f t="shared" si="18"/>
        <v xml:space="preserve">  ** La variable Víctima de violencia de género No puede ser mayor al Nº de Ingreso a ARO .</v>
      </c>
      <c r="CC20" s="135" t="str">
        <f t="shared" si="19"/>
        <v xml:space="preserve">  * La variable Pueblos originarios No puede ser mayor al  Nº de Ingreso a ARO .</v>
      </c>
      <c r="CD20" s="135" t="str">
        <f t="shared" si="20"/>
        <v xml:space="preserve">  * La variable Migrantes No puede ser mayor al  Nº de Ingreso a ARO .</v>
      </c>
      <c r="CO20" s="19"/>
      <c r="CP20" s="84">
        <f t="shared" si="15"/>
        <v>1</v>
      </c>
      <c r="CQ20" s="84">
        <f t="shared" si="16"/>
        <v>1</v>
      </c>
      <c r="CR20" s="84">
        <f t="shared" si="17"/>
        <v>1</v>
      </c>
      <c r="CS20" s="19"/>
      <c r="CT20" s="19"/>
      <c r="CU20" s="19"/>
      <c r="CV20" s="19"/>
      <c r="CW20" s="19"/>
      <c r="CX20" s="19"/>
    </row>
    <row r="21" spans="1:102" ht="15" customHeight="1" x14ac:dyDescent="0.25">
      <c r="A21" s="5640">
        <v>24100700</v>
      </c>
      <c r="B21" s="6237" t="s">
        <v>718</v>
      </c>
      <c r="C21" s="6238"/>
      <c r="D21" s="1089" t="s">
        <v>4567</v>
      </c>
      <c r="E21" s="5672" t="s">
        <v>4568</v>
      </c>
      <c r="F21" s="3063" t="s">
        <v>4569</v>
      </c>
      <c r="G21" s="1090" t="s">
        <v>4570</v>
      </c>
      <c r="H21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1" s="135" t="str">
        <f t="shared" si="18"/>
        <v xml:space="preserve">  ** La variable Víctima de violencia de género No puede ser mayor al Nº de Ingreso a ARO .</v>
      </c>
      <c r="CC21" s="135" t="str">
        <f t="shared" si="19"/>
        <v xml:space="preserve">  * La variable Pueblos originarios No puede ser mayor al  Nº de Ingreso a ARO .</v>
      </c>
      <c r="CD21" s="135" t="str">
        <f t="shared" si="20"/>
        <v xml:space="preserve">  * La variable Migrantes No puede ser mayor al  Nº de Ingreso a ARO .</v>
      </c>
      <c r="CO21" s="19"/>
      <c r="CP21" s="84">
        <f t="shared" si="15"/>
        <v>1</v>
      </c>
      <c r="CQ21" s="84">
        <f t="shared" si="16"/>
        <v>1</v>
      </c>
      <c r="CR21" s="84">
        <f t="shared" si="17"/>
        <v>1</v>
      </c>
      <c r="CS21" s="19"/>
      <c r="CT21" s="19"/>
      <c r="CU21" s="19"/>
      <c r="CV21" s="19"/>
      <c r="CW21" s="19"/>
      <c r="CX21" s="19"/>
    </row>
    <row r="22" spans="1:102" ht="15" customHeight="1" x14ac:dyDescent="0.25">
      <c r="A22" s="5640" t="s">
        <v>4945</v>
      </c>
      <c r="B22" s="6237" t="s">
        <v>719</v>
      </c>
      <c r="C22" s="6238"/>
      <c r="D22" s="1089" t="s">
        <v>4567</v>
      </c>
      <c r="E22" s="5672" t="s">
        <v>4568</v>
      </c>
      <c r="F22" s="3063" t="s">
        <v>4569</v>
      </c>
      <c r="G22" s="1090" t="s">
        <v>4570</v>
      </c>
      <c r="H22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2" s="135" t="str">
        <f t="shared" si="18"/>
        <v xml:space="preserve">  ** La variable Víctima de violencia de género No puede ser mayor al Nº de Ingreso a ARO .</v>
      </c>
      <c r="CC22" s="135" t="str">
        <f t="shared" si="19"/>
        <v xml:space="preserve">  * La variable Pueblos originarios No puede ser mayor al  Nº de Ingreso a ARO .</v>
      </c>
      <c r="CD22" s="135" t="str">
        <f t="shared" si="20"/>
        <v xml:space="preserve">  * La variable Migrantes No puede ser mayor al  Nº de Ingreso a ARO .</v>
      </c>
      <c r="CO22" s="19"/>
      <c r="CP22" s="84">
        <f t="shared" si="15"/>
        <v>1</v>
      </c>
      <c r="CQ22" s="84">
        <f t="shared" si="16"/>
        <v>1</v>
      </c>
      <c r="CR22" s="84">
        <f t="shared" si="17"/>
        <v>1</v>
      </c>
      <c r="CS22" s="19"/>
      <c r="CT22" s="19"/>
      <c r="CU22" s="19"/>
      <c r="CV22" s="19"/>
      <c r="CW22" s="19"/>
      <c r="CX22" s="19"/>
    </row>
    <row r="23" spans="1:102" ht="15" customHeight="1" x14ac:dyDescent="0.25">
      <c r="A23" s="5640">
        <v>24090050</v>
      </c>
      <c r="B23" s="6237" t="s">
        <v>720</v>
      </c>
      <c r="C23" s="6238"/>
      <c r="D23" s="1089" t="s">
        <v>4567</v>
      </c>
      <c r="E23" s="5672" t="s">
        <v>4568</v>
      </c>
      <c r="F23" s="3063" t="s">
        <v>4569</v>
      </c>
      <c r="G23" s="1090" t="s">
        <v>4570</v>
      </c>
      <c r="H23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3" s="135" t="str">
        <f t="shared" si="18"/>
        <v xml:space="preserve">  ** La variable Víctima de violencia de género No puede ser mayor al Nº de Ingreso a ARO .</v>
      </c>
      <c r="CC23" s="135" t="str">
        <f t="shared" si="19"/>
        <v xml:space="preserve">  * La variable Pueblos originarios No puede ser mayor al  Nº de Ingreso a ARO .</v>
      </c>
      <c r="CD23" s="135" t="str">
        <f t="shared" si="20"/>
        <v xml:space="preserve">  * La variable Migrantes No puede ser mayor al  Nº de Ingreso a ARO .</v>
      </c>
      <c r="CO23" s="19"/>
      <c r="CP23" s="84">
        <f t="shared" si="15"/>
        <v>1</v>
      </c>
      <c r="CQ23" s="84">
        <f t="shared" si="16"/>
        <v>1</v>
      </c>
      <c r="CR23" s="84">
        <f t="shared" si="17"/>
        <v>1</v>
      </c>
      <c r="CS23" s="19"/>
      <c r="CT23" s="19"/>
      <c r="CU23" s="19"/>
      <c r="CV23" s="19"/>
      <c r="CW23" s="19"/>
      <c r="CX23" s="19"/>
    </row>
    <row r="24" spans="1:102" ht="15" customHeight="1" x14ac:dyDescent="0.25">
      <c r="A24" s="5640">
        <v>24090060</v>
      </c>
      <c r="B24" s="6237" t="s">
        <v>721</v>
      </c>
      <c r="C24" s="6238"/>
      <c r="D24" s="1089" t="s">
        <v>4567</v>
      </c>
      <c r="E24" s="5672" t="s">
        <v>4568</v>
      </c>
      <c r="F24" s="3063" t="s">
        <v>4569</v>
      </c>
      <c r="G24" s="1090" t="s">
        <v>4570</v>
      </c>
      <c r="H24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4" s="135" t="str">
        <f t="shared" si="18"/>
        <v xml:space="preserve">  ** La variable Víctima de violencia de género No puede ser mayor al Nº de Ingreso a ARO .</v>
      </c>
      <c r="CC24" s="135" t="str">
        <f t="shared" si="19"/>
        <v xml:space="preserve">  * La variable Pueblos originarios No puede ser mayor al  Nº de Ingreso a ARO .</v>
      </c>
      <c r="CD24" s="135" t="str">
        <f t="shared" si="20"/>
        <v xml:space="preserve">  * La variable Migrantes No puede ser mayor al  Nº de Ingreso a ARO .</v>
      </c>
      <c r="CO24" s="19"/>
      <c r="CP24" s="84">
        <f t="shared" si="15"/>
        <v>1</v>
      </c>
      <c r="CQ24" s="84">
        <f t="shared" si="16"/>
        <v>1</v>
      </c>
      <c r="CR24" s="84">
        <f t="shared" si="17"/>
        <v>1</v>
      </c>
      <c r="CS24" s="19"/>
      <c r="CT24" s="19"/>
      <c r="CU24" s="19"/>
      <c r="CV24" s="19"/>
      <c r="CW24" s="19"/>
      <c r="CX24" s="19"/>
    </row>
    <row r="25" spans="1:102" ht="15" customHeight="1" x14ac:dyDescent="0.25">
      <c r="A25" s="5640" t="s">
        <v>4946</v>
      </c>
      <c r="B25" s="6237" t="s">
        <v>722</v>
      </c>
      <c r="C25" s="6238"/>
      <c r="D25" s="1089" t="s">
        <v>4567</v>
      </c>
      <c r="E25" s="5672" t="s">
        <v>4568</v>
      </c>
      <c r="F25" s="3063" t="s">
        <v>4569</v>
      </c>
      <c r="G25" s="1090" t="s">
        <v>4570</v>
      </c>
      <c r="H25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5" s="135" t="str">
        <f t="shared" si="18"/>
        <v xml:space="preserve">  ** La variable Víctima de violencia de género No puede ser mayor al Nº de Ingreso a ARO .</v>
      </c>
      <c r="CC25" s="135" t="str">
        <f t="shared" si="19"/>
        <v xml:space="preserve">  * La variable Pueblos originarios No puede ser mayor al  Nº de Ingreso a ARO .</v>
      </c>
      <c r="CD25" s="135" t="str">
        <f t="shared" si="20"/>
        <v xml:space="preserve">  * La variable Migrantes No puede ser mayor al  Nº de Ingreso a ARO .</v>
      </c>
      <c r="CO25" s="19"/>
      <c r="CP25" s="84">
        <f t="shared" si="15"/>
        <v>1</v>
      </c>
      <c r="CQ25" s="84">
        <f t="shared" si="16"/>
        <v>1</v>
      </c>
      <c r="CR25" s="84">
        <f t="shared" si="17"/>
        <v>1</v>
      </c>
      <c r="CS25" s="19"/>
      <c r="CT25" s="19"/>
      <c r="CU25" s="19"/>
      <c r="CV25" s="19"/>
      <c r="CW25" s="19"/>
      <c r="CX25" s="19"/>
    </row>
    <row r="26" spans="1:102" ht="15" customHeight="1" x14ac:dyDescent="0.25">
      <c r="A26" s="5640" t="s">
        <v>4947</v>
      </c>
      <c r="B26" s="6237" t="s">
        <v>723</v>
      </c>
      <c r="C26" s="6238"/>
      <c r="D26" s="1089" t="s">
        <v>4567</v>
      </c>
      <c r="E26" s="5672" t="s">
        <v>4568</v>
      </c>
      <c r="F26" s="3063" t="s">
        <v>4569</v>
      </c>
      <c r="G26" s="1090" t="s">
        <v>4570</v>
      </c>
      <c r="H26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6" s="135" t="str">
        <f t="shared" si="18"/>
        <v xml:space="preserve">  ** La variable Víctima de violencia de género No puede ser mayor al Nº de Ingreso a ARO .</v>
      </c>
      <c r="CC26" s="135" t="str">
        <f t="shared" si="19"/>
        <v xml:space="preserve">  * La variable Pueblos originarios No puede ser mayor al  Nº de Ingreso a ARO .</v>
      </c>
      <c r="CD26" s="135" t="str">
        <f t="shared" si="20"/>
        <v xml:space="preserve">  * La variable Migrantes No puede ser mayor al  Nº de Ingreso a ARO .</v>
      </c>
      <c r="CO26" s="19"/>
      <c r="CP26" s="84">
        <f t="shared" si="15"/>
        <v>1</v>
      </c>
      <c r="CQ26" s="84">
        <f t="shared" si="16"/>
        <v>1</v>
      </c>
      <c r="CR26" s="84">
        <f t="shared" si="17"/>
        <v>1</v>
      </c>
      <c r="CS26" s="19"/>
      <c r="CT26" s="19"/>
      <c r="CU26" s="19"/>
      <c r="CV26" s="19"/>
      <c r="CW26" s="19"/>
      <c r="CX26" s="19"/>
    </row>
    <row r="27" spans="1:102" ht="15" customHeight="1" x14ac:dyDescent="0.25">
      <c r="A27" s="5640" t="s">
        <v>4948</v>
      </c>
      <c r="B27" s="6237" t="s">
        <v>724</v>
      </c>
      <c r="C27" s="6238"/>
      <c r="D27" s="1089" t="s">
        <v>4567</v>
      </c>
      <c r="E27" s="5672" t="s">
        <v>4568</v>
      </c>
      <c r="F27" s="3063" t="s">
        <v>4569</v>
      </c>
      <c r="G27" s="1090" t="s">
        <v>4570</v>
      </c>
      <c r="H27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7" s="135" t="str">
        <f t="shared" si="18"/>
        <v xml:space="preserve">  ** La variable Víctima de violencia de género No puede ser mayor al Nº de Ingreso a ARO .</v>
      </c>
      <c r="CC27" s="135" t="str">
        <f t="shared" si="19"/>
        <v xml:space="preserve">  * La variable Pueblos originarios No puede ser mayor al  Nº de Ingreso a ARO .</v>
      </c>
      <c r="CD27" s="135" t="str">
        <f t="shared" si="20"/>
        <v xml:space="preserve">  * La variable Migrantes No puede ser mayor al  Nº de Ingreso a ARO .</v>
      </c>
      <c r="CO27" s="19"/>
      <c r="CP27" s="84">
        <f t="shared" si="15"/>
        <v>1</v>
      </c>
      <c r="CQ27" s="84">
        <f t="shared" si="16"/>
        <v>1</v>
      </c>
      <c r="CR27" s="84">
        <f t="shared" si="17"/>
        <v>1</v>
      </c>
      <c r="CS27" s="19"/>
      <c r="CT27" s="19"/>
      <c r="CU27" s="19"/>
      <c r="CV27" s="19"/>
      <c r="CW27" s="19"/>
      <c r="CX27" s="19"/>
    </row>
    <row r="28" spans="1:102" ht="15" customHeight="1" x14ac:dyDescent="0.25">
      <c r="A28" s="5640" t="s">
        <v>4949</v>
      </c>
      <c r="B28" s="6237" t="s">
        <v>725</v>
      </c>
      <c r="C28" s="6238"/>
      <c r="D28" s="5687" t="s">
        <v>4567</v>
      </c>
      <c r="E28" s="5688" t="s">
        <v>4568</v>
      </c>
      <c r="F28" s="481" t="s">
        <v>4569</v>
      </c>
      <c r="G28" s="2" t="s">
        <v>4570</v>
      </c>
      <c r="H28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8" s="135" t="str">
        <f t="shared" si="18"/>
        <v xml:space="preserve">  ** La variable Víctima de violencia de género No puede ser mayor al Nº de Ingreso a ARO .</v>
      </c>
      <c r="CC28" s="135" t="str">
        <f t="shared" si="19"/>
        <v xml:space="preserve">  * La variable Pueblos originarios No puede ser mayor al  Nº de Ingreso a ARO .</v>
      </c>
      <c r="CD28" s="135" t="str">
        <f t="shared" si="20"/>
        <v xml:space="preserve">  * La variable Migrantes No puede ser mayor al  Nº de Ingreso a ARO .</v>
      </c>
      <c r="CO28" s="19"/>
      <c r="CP28" s="84">
        <f t="shared" si="15"/>
        <v>1</v>
      </c>
      <c r="CQ28" s="84">
        <f t="shared" si="16"/>
        <v>1</v>
      </c>
      <c r="CR28" s="84">
        <f t="shared" si="17"/>
        <v>1</v>
      </c>
      <c r="CS28" s="19"/>
      <c r="CT28" s="19"/>
      <c r="CU28" s="19"/>
      <c r="CV28" s="19"/>
      <c r="CW28" s="19"/>
      <c r="CX28" s="19"/>
    </row>
    <row r="29" spans="1:102" ht="15" customHeight="1" x14ac:dyDescent="0.25">
      <c r="A29" s="5640" t="s">
        <v>4950</v>
      </c>
      <c r="B29" s="6237" t="s">
        <v>726</v>
      </c>
      <c r="C29" s="6238"/>
      <c r="D29" s="5687" t="s">
        <v>4567</v>
      </c>
      <c r="E29" s="5688" t="s">
        <v>4568</v>
      </c>
      <c r="F29" s="481" t="s">
        <v>4569</v>
      </c>
      <c r="G29" s="2" t="s">
        <v>4570</v>
      </c>
      <c r="H29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9" s="135" t="str">
        <f t="shared" si="18"/>
        <v xml:space="preserve">  ** La variable Víctima de violencia de género No puede ser mayor al Nº de Ingreso a ARO .</v>
      </c>
      <c r="CC29" s="135" t="str">
        <f t="shared" si="19"/>
        <v xml:space="preserve">  * La variable Pueblos originarios No puede ser mayor al  Nº de Ingreso a ARO .</v>
      </c>
      <c r="CD29" s="135" t="str">
        <f t="shared" si="20"/>
        <v xml:space="preserve">  * La variable Migrantes No puede ser mayor al  Nº de Ingreso a ARO .</v>
      </c>
      <c r="CO29" s="19"/>
      <c r="CP29" s="84">
        <f t="shared" si="15"/>
        <v>1</v>
      </c>
      <c r="CQ29" s="84">
        <f t="shared" si="16"/>
        <v>1</v>
      </c>
      <c r="CR29" s="84">
        <f t="shared" si="17"/>
        <v>1</v>
      </c>
      <c r="CS29" s="19"/>
      <c r="CT29" s="19"/>
      <c r="CU29" s="19"/>
      <c r="CV29" s="19"/>
      <c r="CW29" s="19"/>
      <c r="CX29" s="19"/>
    </row>
    <row r="30" spans="1:102" ht="15" customHeight="1" x14ac:dyDescent="0.25">
      <c r="A30" s="5640" t="s">
        <v>4951</v>
      </c>
      <c r="B30" s="6237" t="s">
        <v>727</v>
      </c>
      <c r="C30" s="6238"/>
      <c r="D30" s="5687" t="s">
        <v>4567</v>
      </c>
      <c r="E30" s="5688" t="s">
        <v>4568</v>
      </c>
      <c r="F30" s="481" t="s">
        <v>4569</v>
      </c>
      <c r="G30" s="2" t="s">
        <v>4570</v>
      </c>
      <c r="H30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30" s="135" t="str">
        <f t="shared" si="18"/>
        <v xml:space="preserve">  ** La variable Víctima de violencia de género No puede ser mayor al Nº de Ingreso a ARO .</v>
      </c>
      <c r="CC30" s="135" t="str">
        <f t="shared" si="19"/>
        <v xml:space="preserve">  * La variable Pueblos originarios No puede ser mayor al  Nº de Ingreso a ARO .</v>
      </c>
      <c r="CD30" s="135" t="str">
        <f t="shared" si="20"/>
        <v xml:space="preserve">  * La variable Migrantes No puede ser mayor al  Nº de Ingreso a ARO .</v>
      </c>
      <c r="CO30" s="19"/>
      <c r="CP30" s="84">
        <f t="shared" si="15"/>
        <v>1</v>
      </c>
      <c r="CQ30" s="84">
        <f t="shared" si="16"/>
        <v>1</v>
      </c>
      <c r="CR30" s="84">
        <f t="shared" si="17"/>
        <v>1</v>
      </c>
      <c r="CS30" s="19"/>
      <c r="CT30" s="19"/>
      <c r="CU30" s="19"/>
      <c r="CV30" s="19"/>
      <c r="CW30" s="19"/>
      <c r="CX30" s="19"/>
    </row>
    <row r="31" spans="1:102" ht="15" customHeight="1" x14ac:dyDescent="0.25">
      <c r="A31" s="5640">
        <v>24100800</v>
      </c>
      <c r="B31" s="6563" t="s">
        <v>728</v>
      </c>
      <c r="C31" s="6564"/>
      <c r="D31" s="1114" t="s">
        <v>4567</v>
      </c>
      <c r="E31" s="1324" t="s">
        <v>4568</v>
      </c>
      <c r="F31" s="5532" t="s">
        <v>4569</v>
      </c>
      <c r="G31" s="5645" t="s">
        <v>4570</v>
      </c>
      <c r="H31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31" s="135" t="str">
        <f t="shared" si="18"/>
        <v xml:space="preserve">  ** La variable Víctima de violencia de género No puede ser mayor al Nº de Ingreso a ARO .</v>
      </c>
      <c r="CC31" s="135" t="str">
        <f t="shared" si="19"/>
        <v xml:space="preserve">  * La variable Pueblos originarios No puede ser mayor al  Nº de Ingreso a ARO .</v>
      </c>
      <c r="CD31" s="135" t="str">
        <f t="shared" si="20"/>
        <v xml:space="preserve">  * La variable Migrantes No puede ser mayor al  Nº de Ingreso a ARO .</v>
      </c>
      <c r="CO31" s="19"/>
      <c r="CP31" s="84">
        <f t="shared" si="15"/>
        <v>1</v>
      </c>
      <c r="CQ31" s="84">
        <f t="shared" si="16"/>
        <v>1</v>
      </c>
      <c r="CR31" s="84">
        <f t="shared" si="17"/>
        <v>1</v>
      </c>
      <c r="CS31" s="19"/>
      <c r="CT31" s="19"/>
      <c r="CU31" s="19"/>
      <c r="CV31" s="19"/>
      <c r="CW31" s="19"/>
      <c r="CX31" s="19"/>
    </row>
    <row r="32" spans="1:102" s="6" customFormat="1" ht="18" customHeight="1" x14ac:dyDescent="0.2">
      <c r="A32" s="5603"/>
      <c r="B32" s="3" t="s">
        <v>729</v>
      </c>
      <c r="C32" s="194"/>
      <c r="D32" s="291"/>
      <c r="E32" s="4"/>
      <c r="F32" s="4"/>
      <c r="G32" s="3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104" ht="22.15" customHeight="1" x14ac:dyDescent="0.25">
      <c r="A33" s="5548"/>
      <c r="B33" s="6212" t="s">
        <v>730</v>
      </c>
      <c r="C33" s="6511"/>
      <c r="D33" s="6458" t="s">
        <v>28</v>
      </c>
      <c r="E33" s="6411" t="s">
        <v>29</v>
      </c>
      <c r="F33" s="6446"/>
      <c r="G33" s="6446"/>
      <c r="H33" s="6446"/>
      <c r="I33" s="6446"/>
      <c r="J33" s="6446"/>
      <c r="K33" s="6446"/>
      <c r="L33" s="6446"/>
      <c r="M33" s="6446"/>
      <c r="N33" s="6446"/>
      <c r="O33" s="6446"/>
      <c r="P33" s="6446"/>
      <c r="Q33" s="6447"/>
      <c r="R33" s="6517" t="s">
        <v>33</v>
      </c>
      <c r="S33" s="6481" t="s">
        <v>731</v>
      </c>
      <c r="T33" s="6511" t="s">
        <v>36</v>
      </c>
      <c r="U33" s="6405" t="s">
        <v>37</v>
      </c>
      <c r="V33" s="6451"/>
      <c r="W33" s="6550" t="s">
        <v>732</v>
      </c>
      <c r="X33" s="6532" t="s">
        <v>733</v>
      </c>
      <c r="Y33" s="6405" t="s">
        <v>734</v>
      </c>
      <c r="Z33" s="6456"/>
      <c r="AA33" s="6451"/>
      <c r="AB33" s="6533" t="s">
        <v>735</v>
      </c>
    </row>
    <row r="34" spans="1:104" ht="27.75" customHeight="1" x14ac:dyDescent="0.25">
      <c r="A34" s="5548"/>
      <c r="B34" s="6213"/>
      <c r="C34" s="6027"/>
      <c r="D34" s="6024"/>
      <c r="E34" s="467" t="s">
        <v>736</v>
      </c>
      <c r="F34" s="490" t="s">
        <v>44</v>
      </c>
      <c r="G34" s="490" t="s">
        <v>45</v>
      </c>
      <c r="H34" s="490" t="s">
        <v>46</v>
      </c>
      <c r="I34" s="490" t="s">
        <v>47</v>
      </c>
      <c r="J34" s="490" t="s">
        <v>48</v>
      </c>
      <c r="K34" s="490" t="s">
        <v>49</v>
      </c>
      <c r="L34" s="490" t="s">
        <v>50</v>
      </c>
      <c r="M34" s="490" t="s">
        <v>51</v>
      </c>
      <c r="N34" s="490" t="s">
        <v>52</v>
      </c>
      <c r="O34" s="508" t="s">
        <v>53</v>
      </c>
      <c r="P34" s="490" t="s">
        <v>54</v>
      </c>
      <c r="Q34" s="469" t="s">
        <v>737</v>
      </c>
      <c r="R34" s="6035"/>
      <c r="S34" s="6086"/>
      <c r="T34" s="6028"/>
      <c r="U34" s="467" t="s">
        <v>705</v>
      </c>
      <c r="V34" s="1742" t="s">
        <v>706</v>
      </c>
      <c r="W34" s="6551"/>
      <c r="X34" s="6532"/>
      <c r="Y34" s="2913" t="s">
        <v>60</v>
      </c>
      <c r="Z34" s="781" t="s">
        <v>738</v>
      </c>
      <c r="AA34" s="2914" t="s">
        <v>62</v>
      </c>
      <c r="AB34" s="6067"/>
    </row>
    <row r="35" spans="1:104" ht="15" customHeight="1" x14ac:dyDescent="0.25">
      <c r="A35" s="5676"/>
      <c r="B35" s="6540" t="s">
        <v>739</v>
      </c>
      <c r="C35" s="6540"/>
      <c r="D35" s="509">
        <f>SUM(E35:Q35)</f>
        <v>0</v>
      </c>
      <c r="E35" s="510">
        <f>SUM(E36:E49)</f>
        <v>0</v>
      </c>
      <c r="F35" s="511">
        <f>SUM(F36:F49)</f>
        <v>0</v>
      </c>
      <c r="G35" s="511">
        <f t="shared" ref="G35:N35" si="21">SUM(G36:G49)</f>
        <v>0</v>
      </c>
      <c r="H35" s="511">
        <f t="shared" si="21"/>
        <v>0</v>
      </c>
      <c r="I35" s="511">
        <f t="shared" si="21"/>
        <v>0</v>
      </c>
      <c r="J35" s="511">
        <f t="shared" si="21"/>
        <v>0</v>
      </c>
      <c r="K35" s="511">
        <f t="shared" si="21"/>
        <v>0</v>
      </c>
      <c r="L35" s="511">
        <f t="shared" si="21"/>
        <v>0</v>
      </c>
      <c r="M35" s="511">
        <f t="shared" si="21"/>
        <v>0</v>
      </c>
      <c r="N35" s="511">
        <f t="shared" si="21"/>
        <v>0</v>
      </c>
      <c r="O35" s="511">
        <f>SUM(O36:O48)</f>
        <v>0</v>
      </c>
      <c r="P35" s="511">
        <f t="shared" ref="P35:Q35" si="22">SUM(P36:P48)</f>
        <v>0</v>
      </c>
      <c r="Q35" s="511">
        <f t="shared" si="22"/>
        <v>0</v>
      </c>
      <c r="R35" s="513">
        <f t="shared" ref="R35:AB35" si="23">SUM(R36:R49)</f>
        <v>0</v>
      </c>
      <c r="S35" s="511">
        <f t="shared" si="23"/>
        <v>0</v>
      </c>
      <c r="T35" s="514">
        <f t="shared" si="23"/>
        <v>0</v>
      </c>
      <c r="U35" s="510">
        <f t="shared" si="23"/>
        <v>0</v>
      </c>
      <c r="V35" s="514">
        <f t="shared" si="23"/>
        <v>0</v>
      </c>
      <c r="W35" s="510">
        <f t="shared" si="23"/>
        <v>0</v>
      </c>
      <c r="X35" s="514">
        <f t="shared" si="23"/>
        <v>0</v>
      </c>
      <c r="Y35" s="510">
        <f t="shared" si="23"/>
        <v>0</v>
      </c>
      <c r="Z35" s="511">
        <f t="shared" si="23"/>
        <v>0</v>
      </c>
      <c r="AA35" s="514">
        <f t="shared" si="23"/>
        <v>0</v>
      </c>
      <c r="AB35" s="514">
        <f t="shared" si="23"/>
        <v>0</v>
      </c>
    </row>
    <row r="36" spans="1:104" ht="15" customHeight="1" x14ac:dyDescent="0.25">
      <c r="A36" s="5640" t="s">
        <v>4952</v>
      </c>
      <c r="B36" s="6567" t="s">
        <v>740</v>
      </c>
      <c r="C36" s="6568"/>
      <c r="D36" s="4779" t="s">
        <v>4567</v>
      </c>
      <c r="E36" s="1726" t="s">
        <v>4568</v>
      </c>
      <c r="F36" s="5562" t="s">
        <v>4569</v>
      </c>
      <c r="G36" s="5562" t="s">
        <v>4570</v>
      </c>
      <c r="H36" s="5562" t="s">
        <v>4571</v>
      </c>
      <c r="I36" s="5562" t="s">
        <v>4572</v>
      </c>
      <c r="J36" s="5562" t="s">
        <v>4573</v>
      </c>
      <c r="K36" s="5562" t="s">
        <v>4574</v>
      </c>
      <c r="L36" s="5562" t="s">
        <v>4575</v>
      </c>
      <c r="M36" s="5562" t="s">
        <v>4576</v>
      </c>
      <c r="N36" s="5562" t="s">
        <v>4577</v>
      </c>
      <c r="O36" s="5689" t="s">
        <v>4578</v>
      </c>
      <c r="P36" s="5689" t="s">
        <v>4579</v>
      </c>
      <c r="Q36" s="5690" t="s">
        <v>4580</v>
      </c>
      <c r="R36" s="3128" t="s">
        <v>4581</v>
      </c>
      <c r="S36" s="5562" t="s">
        <v>4582</v>
      </c>
      <c r="T36" s="5651" t="s">
        <v>4583</v>
      </c>
      <c r="U36" s="1726" t="s">
        <v>4584</v>
      </c>
      <c r="V36" s="5651" t="s">
        <v>4585</v>
      </c>
      <c r="W36" s="1726" t="s">
        <v>4586</v>
      </c>
      <c r="X36" s="5651" t="s">
        <v>4587</v>
      </c>
      <c r="Y36" s="1726" t="s">
        <v>4588</v>
      </c>
      <c r="Z36" s="5562" t="s">
        <v>4589</v>
      </c>
      <c r="AA36" s="5651" t="s">
        <v>4590</v>
      </c>
      <c r="AB36" s="5651" t="s">
        <v>4591</v>
      </c>
      <c r="AC36" t="e">
        <f>CB36&amp;CC36&amp;CD36&amp;CE36&amp;CF36&amp;CG36&amp;CH36&amp;CI36&amp;CJ36&amp;CK36&amp;CL36</f>
        <v>#VALUE!</v>
      </c>
      <c r="CB36" s="135" t="str">
        <f>IF(AND($D36&gt;0,R36="")," * No olvide digitar la variable "&amp;$R$33&amp;""&amp;". Digite Cero si no tiene.",IF(R36&gt;$D36," * La variable "&amp;$R$33&amp;""&amp;" no  puede ser mayor al Total.",""))</f>
        <v xml:space="preserve"> * La variable Espacios Amigables/ Adolescentes no  puede ser mayor al Total.</v>
      </c>
      <c r="CC36" s="135" t="str">
        <f>IF(AND($D36&gt;0,S36="")," * No olvide digitar la variable "&amp;$S$33&amp;""&amp;". Digite Cero si no tiene.", "")</f>
        <v/>
      </c>
      <c r="CD36" s="135" t="str">
        <f>IF(AND($D36&gt;0,T36="")," * No olvide digitar la variable "&amp;$T$33&amp;""&amp;". Digite Cero si no tiene.",IF(T36&gt;D36," * La variable "&amp;$T$33&amp;""&amp;" no  puede ser mayor al Total.",""))</f>
        <v xml:space="preserve"> * La variable Pueblos Originarios no  puede ser mayor al Total.</v>
      </c>
      <c r="CE36" s="135" t="e">
        <f>IF(AND($E36+F36&gt;0,U36="")," * No olvide digitar la variable Migrantes "&amp;$U$34&amp;""&amp;". Digite Cero si no tiene.",IF(U36&gt;$E36+F36," * La variable Migrantes "&amp;$U$34&amp;""&amp;" no  puede ser mayor al Total.",""))</f>
        <v>#VALUE!</v>
      </c>
      <c r="CF36" s="135" t="e">
        <f>IF(AND($G36+$H36+$I36+$J36+$K36+$L36+$M36+$N36&gt;0,$V36="")," * No olvide digitar la variable Migrantes "&amp;$V$34&amp;""&amp;". Digite Cero si no tiene.",IF($V36&gt;$G36+$H36+$I36+$J36+$K36+$L36+$M36+$N36," * La variable Migrantes "&amp;$V$34&amp;""&amp;" no  puede ser mayor al Total.",""))</f>
        <v>#VALUE!</v>
      </c>
      <c r="CG36" s="135" t="str">
        <f>IF(AND($D36&gt;0,W36="")," * No olvide digitar la variable "&amp;$W$33&amp;""&amp;". Digite Cero si no tiene.","")</f>
        <v/>
      </c>
      <c r="CH36" s="135" t="str">
        <f>IF(AND($D36&gt;0,X36="")," * No olvide digitar la variable "&amp;$X$33&amp;""&amp;". Digite Cero si no tiene.",IF(X36&gt;$D36," * La variable "&amp;$X$33&amp;""&amp;" no  puede ser mayor al Total.",""))</f>
        <v xml:space="preserve"> * La variable Ingreso a Anticoncepción post aborto no  puede ser mayor al Total.</v>
      </c>
      <c r="CI36" s="135" t="str">
        <f>IF(AND($D36&gt;0,Y36="")," * No olvide digitar la variable "&amp;$Y$34&amp;""&amp;". Digite Cero si no tiene.",IF(Y36&gt;$D36," * La variable "&amp;$Y$34&amp;""&amp;" no  puede ser mayor al Total.",""))</f>
        <v xml:space="preserve"> * La variable Trans masculino no  puede ser mayor al Total.</v>
      </c>
      <c r="CJ36" s="135" t="str">
        <f>IF(AND($D36&gt;0,Z36="")," * No olvide digitar la variable "&amp;$Z$34&amp;""&amp;". Digite Cero si no tiene.",IF(Z36&gt;$D36," * La variable "&amp;$Z$34&amp;""&amp;" no  puede ser mayor al Total.",""))</f>
        <v xml:space="preserve"> * La variable Trans femenino no  puede ser mayor al Total.</v>
      </c>
      <c r="CK36" s="135" t="str">
        <f>IF(AND($D36&gt;0,AA36="")," * No olvide digitar la variable "&amp;$AA$34&amp;""&amp;". Digite Cero si no tiene.",IF(AA36&gt;$D36," * La variable "&amp;$AA$34&amp;""&amp;" no  puede ser mayor al Total.",""))</f>
        <v xml:space="preserve"> * La variable No binarie no  puede ser mayor al Total.</v>
      </c>
      <c r="CL36" s="135" t="str">
        <f>IF(AND($D36&gt;0,AB36="")," * No olvide digitar la variable "&amp;$AB$33&amp;""&amp;". Digite Cero si no tiene.",IF(AB36&gt;$D36," * La variable "&amp;$AB$33&amp;""&amp;" no  puede ser mayor al Total.",""))</f>
        <v xml:space="preserve"> * La variable Personas con Discpacidad no  puede ser mayor al Total.</v>
      </c>
      <c r="CP36" s="1867">
        <f t="shared" ref="CP36:CZ36" si="24">IF(AND($D36&gt;0,R36=""),1,IF(R36&gt;$D36,1,0))</f>
        <v>1</v>
      </c>
      <c r="CQ36" s="1867"/>
      <c r="CR36" s="1867">
        <f t="shared" si="24"/>
        <v>1</v>
      </c>
      <c r="CS36" s="1867" t="e">
        <f>IF(AND($E36+$F36&gt;0,$U36=""),1,IF(U36&gt;$E36+$F36,1,0))</f>
        <v>#VALUE!</v>
      </c>
      <c r="CT36" s="1867" t="e">
        <f>IF(AND($G36+$H36+$I36+$J36+$K36+$L36+$M36+$N36&gt;0,$V36=""),1,IF($V36&gt;$G36+$H36+$I36+$J36+$K36+$L36+$M36+$N36,1,0))</f>
        <v>#VALUE!</v>
      </c>
      <c r="CU36" s="1867">
        <f>IF(AND($D36&gt;0,W36=""),1,0)</f>
        <v>0</v>
      </c>
      <c r="CV36" s="1867">
        <f>IF(AND($D36&gt;0,X36=""),1,IF(X36&gt;$D36,1,0))</f>
        <v>1</v>
      </c>
      <c r="CW36" s="1867">
        <f>IF(AND($D36&gt;0,Y36=""),1,IF(Y36&gt;$D36,1,0))</f>
        <v>1</v>
      </c>
      <c r="CX36" s="1867">
        <f>IF(AND($D36&gt;0,Z36=""),1,IF(Z36&gt;$D36,1,0))</f>
        <v>1</v>
      </c>
      <c r="CY36" s="1867">
        <f>IF(AND($D36&gt;0,AA36=""),1,IF(AA36&gt;$D36,1,0))</f>
        <v>1</v>
      </c>
      <c r="CZ36" s="1867">
        <f t="shared" si="24"/>
        <v>1</v>
      </c>
    </row>
    <row r="37" spans="1:104" ht="15" customHeight="1" x14ac:dyDescent="0.25">
      <c r="A37" s="5640" t="s">
        <v>4953</v>
      </c>
      <c r="B37" s="6569" t="s">
        <v>741</v>
      </c>
      <c r="C37" s="6570"/>
      <c r="D37" s="2829" t="s">
        <v>4567</v>
      </c>
      <c r="E37" s="1114" t="s">
        <v>4568</v>
      </c>
      <c r="F37" s="1258" t="s">
        <v>4569</v>
      </c>
      <c r="G37" s="1258" t="s">
        <v>4570</v>
      </c>
      <c r="H37" s="1258" t="s">
        <v>4571</v>
      </c>
      <c r="I37" s="1258" t="s">
        <v>4572</v>
      </c>
      <c r="J37" s="1258" t="s">
        <v>4573</v>
      </c>
      <c r="K37" s="1258" t="s">
        <v>4574</v>
      </c>
      <c r="L37" s="1258" t="s">
        <v>4575</v>
      </c>
      <c r="M37" s="1258" t="s">
        <v>4576</v>
      </c>
      <c r="N37" s="1258" t="s">
        <v>4577</v>
      </c>
      <c r="O37" s="4556" t="s">
        <v>4578</v>
      </c>
      <c r="P37" s="4556" t="s">
        <v>4579</v>
      </c>
      <c r="Q37" s="5691" t="s">
        <v>4580</v>
      </c>
      <c r="R37" s="1303" t="s">
        <v>4581</v>
      </c>
      <c r="S37" s="1258" t="s">
        <v>4582</v>
      </c>
      <c r="T37" s="5645" t="s">
        <v>4583</v>
      </c>
      <c r="U37" s="1114" t="s">
        <v>4584</v>
      </c>
      <c r="V37" s="5645" t="s">
        <v>4585</v>
      </c>
      <c r="W37" s="1114" t="s">
        <v>4586</v>
      </c>
      <c r="X37" s="5645" t="s">
        <v>4587</v>
      </c>
      <c r="Y37" s="1114" t="s">
        <v>4588</v>
      </c>
      <c r="Z37" s="1258" t="s">
        <v>4589</v>
      </c>
      <c r="AA37" s="5645" t="s">
        <v>4590</v>
      </c>
      <c r="AB37" s="5645" t="s">
        <v>4591</v>
      </c>
      <c r="AC37" t="e">
        <f t="shared" ref="AC37:AC51" si="25">CB37&amp;CC37&amp;CD37&amp;CE37&amp;CF37&amp;CG37&amp;CH37&amp;CI37&amp;CJ37&amp;CK37&amp;CL37</f>
        <v>#VALUE!</v>
      </c>
      <c r="CB37" s="135" t="str">
        <f t="shared" ref="CB37:CB51" si="26">IF(AND($D37&gt;0,R37="")," * No olvide digitar la variable "&amp;$R$33&amp;""&amp;". Digite Cero si no tiene.",IF(R37&gt;$D37," * La variable "&amp;$R$33&amp;""&amp;" no  puede ser mayor al Total.",""))</f>
        <v xml:space="preserve"> * La variable Espacios Amigables/ Adolescentes no  puede ser mayor al Total.</v>
      </c>
      <c r="CC37" s="135" t="str">
        <f t="shared" ref="CC37:CC51" si="27">IF(AND($D37&gt;0,S37="")," * No olvide digitar la variable "&amp;$S$33&amp;""&amp;". Digite Cero si no tiene.", "")</f>
        <v/>
      </c>
      <c r="CD37" s="135" t="str">
        <f t="shared" ref="CD37:CD51" si="28">IF(AND($D37&gt;0,T37="")," * No olvide digitar la variable "&amp;$T$33&amp;""&amp;". Digite Cero si no tiene.",IF(T37&gt;D37," * La variable "&amp;$T$33&amp;""&amp;" no  puede ser mayor al Total.",""))</f>
        <v xml:space="preserve"> * La variable Pueblos Originarios no  puede ser mayor al Total.</v>
      </c>
      <c r="CE37" s="135" t="e">
        <f t="shared" ref="CE37:CE51" si="29">IF(AND($E37+F37&gt;0,U37="")," * No olvide digitar la variable Migrantes "&amp;$U$34&amp;""&amp;". Digite Cero si no tiene.",IF(U37&gt;$E37+F37," * La variable Migrantes "&amp;$U$34&amp;""&amp;" no  puede ser mayor al Total.",""))</f>
        <v>#VALUE!</v>
      </c>
      <c r="CF37" s="135" t="e">
        <f t="shared" ref="CF37:CF51" si="30">IF(AND($G37+$H37+$I37+$J37+$K37+$L37+$M37+$N37&gt;0,$V37="")," * No olvide digitar la variable Migrantes "&amp;$V$34&amp;""&amp;". Digite Cero si no tiene.",IF($V37&gt;$G37+$H37+$I37+$J37+$K37+$L37+$M37+$N37," * La variable Migrantes "&amp;$V$34&amp;""&amp;" no  puede ser mayor al Total.",""))</f>
        <v>#VALUE!</v>
      </c>
      <c r="CG37" s="135" t="str">
        <f t="shared" ref="CG37:CG51" si="31">IF(AND($D37&gt;0,W37="")," * No olvide digitar la variable "&amp;$W$33&amp;""&amp;". Digite Cero si no tiene.","")</f>
        <v/>
      </c>
      <c r="CH37" s="135" t="str">
        <f t="shared" ref="CH37:CH51" si="32">IF(AND($D37&gt;0,X37="")," * No olvide digitar la variable "&amp;$X$33&amp;""&amp;". Digite Cero si no tiene.",IF(X37&gt;$D37," * La variable "&amp;$X$33&amp;""&amp;" no  puede ser mayor al Total.",""))</f>
        <v xml:space="preserve"> * La variable Ingreso a Anticoncepción post aborto no  puede ser mayor al Total.</v>
      </c>
      <c r="CI37" s="135" t="str">
        <f t="shared" ref="CI37:CI51" si="33">IF(AND($D37&gt;0,Y37="")," * No olvide digitar la variable "&amp;$Y$34&amp;""&amp;". Digite Cero si no tiene.",IF(Y37&gt;$D37," * La variable "&amp;$Y$34&amp;""&amp;" no  puede ser mayor al Total.",""))</f>
        <v xml:space="preserve"> * La variable Trans masculino no  puede ser mayor al Total.</v>
      </c>
      <c r="CJ37" s="135" t="str">
        <f t="shared" ref="CJ37:CJ51" si="34">IF(AND($D37&gt;0,Z37="")," * No olvide digitar la variable "&amp;$Z$34&amp;""&amp;". Digite Cero si no tiene.",IF(Z37&gt;$D37," * La variable "&amp;$Z$34&amp;""&amp;" no  puede ser mayor al Total.",""))</f>
        <v xml:space="preserve"> * La variable Trans femenino no  puede ser mayor al Total.</v>
      </c>
      <c r="CK37" s="135" t="str">
        <f t="shared" ref="CK37:CK51" si="35">IF(AND($D37&gt;0,AA37="")," * No olvide digitar la variable "&amp;$AA$34&amp;""&amp;". Digite Cero si no tiene.",IF(AA37&gt;$D37," * La variable "&amp;$AA$34&amp;""&amp;" no  puede ser mayor al Total.",""))</f>
        <v xml:space="preserve"> * La variable No binarie no  puede ser mayor al Total.</v>
      </c>
      <c r="CL37" s="135" t="str">
        <f t="shared" ref="CL37:CL51" si="36">IF(AND($D37&gt;0,AB37="")," * No olvide digitar la variable "&amp;$AB$33&amp;""&amp;". Digite Cero si no tiene.",IF(AB37&gt;$D37," * La variable "&amp;$AB$33&amp;""&amp;" no  puede ser mayor al Total.",""))</f>
        <v xml:space="preserve"> * La variable Personas con Discpacidad no  puede ser mayor al Total.</v>
      </c>
      <c r="CP37" s="1867">
        <f t="shared" ref="CP37:CP51" si="37">IF(AND($D37&gt;0,R37=""),1,IF(R37&gt;$D37,1,0))</f>
        <v>1</v>
      </c>
      <c r="CQ37" s="1867"/>
      <c r="CR37" s="1867">
        <f t="shared" ref="CR37:CR51" si="38">IF(AND($D37&gt;0,T37=""),1,IF(T37&gt;$D37,1,0))</f>
        <v>1</v>
      </c>
      <c r="CS37" s="1867" t="e">
        <f t="shared" ref="CS37:CS51" si="39">IF(AND($E37+$F37&gt;0,$U37=""),1,IF(U37&gt;$E37+$F37,1,0))</f>
        <v>#VALUE!</v>
      </c>
      <c r="CT37" s="1867" t="e">
        <f t="shared" ref="CT37:CT51" si="40">IF(AND($G37+$H37+$I37+$J37+$K37+$L37+$M37+$N37&gt;0,$V37=""),1,IF($V37&gt;$G37+$H37+$I37+$J37+$K37+$L37+$M37+$N37,1,0))</f>
        <v>#VALUE!</v>
      </c>
      <c r="CU37" s="1867">
        <f t="shared" ref="CU37:CU51" si="41">IF(AND($D37&gt;0,W37=""),1,0)</f>
        <v>0</v>
      </c>
      <c r="CV37" s="1867">
        <f t="shared" ref="CV37:CV51" si="42">IF(AND($D37&gt;0,X37=""),1,IF(X37&gt;$D37,1,0))</f>
        <v>1</v>
      </c>
      <c r="CW37" s="1867">
        <f t="shared" ref="CW37:CW51" si="43">IF(AND($D37&gt;0,Y37=""),1,IF(Y37&gt;$D37,1,0))</f>
        <v>1</v>
      </c>
      <c r="CX37" s="1867">
        <f t="shared" ref="CX37:CX51" si="44">IF(AND($D37&gt;0,Z37=""),1,IF(Z37&gt;$D37,1,0))</f>
        <v>1</v>
      </c>
      <c r="CY37" s="1867">
        <f t="shared" ref="CY37:CY51" si="45">IF(AND($D37&gt;0,AA37=""),1,IF(AA37&gt;$D37,1,0))</f>
        <v>1</v>
      </c>
      <c r="CZ37" s="1867">
        <f t="shared" ref="CZ37:CZ51" si="46">IF(AND($D37&gt;0,AB37=""),1,IF(AB37&gt;$D37,1,0))</f>
        <v>1</v>
      </c>
    </row>
    <row r="38" spans="1:104" ht="15" customHeight="1" x14ac:dyDescent="0.25">
      <c r="A38" s="5640" t="s">
        <v>4954</v>
      </c>
      <c r="B38" s="6535" t="s">
        <v>742</v>
      </c>
      <c r="C38" s="519" t="s">
        <v>743</v>
      </c>
      <c r="D38" s="4779" t="s">
        <v>4567</v>
      </c>
      <c r="E38" s="1726" t="s">
        <v>4568</v>
      </c>
      <c r="F38" s="5562" t="s">
        <v>4569</v>
      </c>
      <c r="G38" s="5562" t="s">
        <v>4570</v>
      </c>
      <c r="H38" s="5562" t="s">
        <v>4571</v>
      </c>
      <c r="I38" s="5562" t="s">
        <v>4572</v>
      </c>
      <c r="J38" s="5562" t="s">
        <v>4573</v>
      </c>
      <c r="K38" s="5562" t="s">
        <v>4574</v>
      </c>
      <c r="L38" s="5562" t="s">
        <v>4575</v>
      </c>
      <c r="M38" s="5562" t="s">
        <v>4576</v>
      </c>
      <c r="N38" s="5562" t="s">
        <v>4577</v>
      </c>
      <c r="O38" s="5689" t="s">
        <v>4578</v>
      </c>
      <c r="P38" s="5689" t="s">
        <v>4579</v>
      </c>
      <c r="Q38" s="5690" t="s">
        <v>4580</v>
      </c>
      <c r="R38" s="3128" t="s">
        <v>4581</v>
      </c>
      <c r="S38" s="5562" t="s">
        <v>4582</v>
      </c>
      <c r="T38" s="5651" t="s">
        <v>4583</v>
      </c>
      <c r="U38" s="1726" t="s">
        <v>4584</v>
      </c>
      <c r="V38" s="5651" t="s">
        <v>4585</v>
      </c>
      <c r="W38" s="1726" t="s">
        <v>4586</v>
      </c>
      <c r="X38" s="5651" t="s">
        <v>4587</v>
      </c>
      <c r="Y38" s="1726" t="s">
        <v>4588</v>
      </c>
      <c r="Z38" s="5562" t="s">
        <v>4589</v>
      </c>
      <c r="AA38" s="5651" t="s">
        <v>4590</v>
      </c>
      <c r="AB38" s="5651" t="s">
        <v>4591</v>
      </c>
      <c r="AC38" t="e">
        <f t="shared" si="25"/>
        <v>#VALUE!</v>
      </c>
      <c r="CB38" s="135" t="str">
        <f t="shared" si="26"/>
        <v xml:space="preserve"> * La variable Espacios Amigables/ Adolescentes no  puede ser mayor al Total.</v>
      </c>
      <c r="CC38" s="135" t="str">
        <f t="shared" si="27"/>
        <v/>
      </c>
      <c r="CD38" s="135" t="str">
        <f t="shared" si="28"/>
        <v xml:space="preserve"> * La variable Pueblos Originarios no  puede ser mayor al Total.</v>
      </c>
      <c r="CE38" s="135" t="e">
        <f t="shared" si="29"/>
        <v>#VALUE!</v>
      </c>
      <c r="CF38" s="135" t="e">
        <f t="shared" si="30"/>
        <v>#VALUE!</v>
      </c>
      <c r="CG38" s="135" t="str">
        <f t="shared" si="31"/>
        <v/>
      </c>
      <c r="CH38" s="135" t="str">
        <f t="shared" si="32"/>
        <v xml:space="preserve"> * La variable Ingreso a Anticoncepción post aborto no  puede ser mayor al Total.</v>
      </c>
      <c r="CI38" s="135" t="str">
        <f t="shared" si="33"/>
        <v xml:space="preserve"> * La variable Trans masculino no  puede ser mayor al Total.</v>
      </c>
      <c r="CJ38" s="135" t="str">
        <f t="shared" si="34"/>
        <v xml:space="preserve"> * La variable Trans femenino no  puede ser mayor al Total.</v>
      </c>
      <c r="CK38" s="135" t="str">
        <f t="shared" si="35"/>
        <v xml:space="preserve"> * La variable No binarie no  puede ser mayor al Total.</v>
      </c>
      <c r="CL38" s="135" t="str">
        <f t="shared" si="36"/>
        <v xml:space="preserve"> * La variable Personas con Discpacidad no  puede ser mayor al Total.</v>
      </c>
      <c r="CP38" s="1867">
        <f t="shared" si="37"/>
        <v>1</v>
      </c>
      <c r="CQ38" s="1867"/>
      <c r="CR38" s="1867">
        <f t="shared" si="38"/>
        <v>1</v>
      </c>
      <c r="CS38" s="1867" t="e">
        <f t="shared" si="39"/>
        <v>#VALUE!</v>
      </c>
      <c r="CT38" s="1867" t="e">
        <f t="shared" si="40"/>
        <v>#VALUE!</v>
      </c>
      <c r="CU38" s="1867">
        <f t="shared" si="41"/>
        <v>0</v>
      </c>
      <c r="CV38" s="1867">
        <f t="shared" si="42"/>
        <v>1</v>
      </c>
      <c r="CW38" s="1867">
        <f t="shared" si="43"/>
        <v>1</v>
      </c>
      <c r="CX38" s="1867">
        <f t="shared" si="44"/>
        <v>1</v>
      </c>
      <c r="CY38" s="1867">
        <f t="shared" si="45"/>
        <v>1</v>
      </c>
      <c r="CZ38" s="1867">
        <f t="shared" si="46"/>
        <v>1</v>
      </c>
    </row>
    <row r="39" spans="1:104" ht="15" customHeight="1" x14ac:dyDescent="0.25">
      <c r="A39" s="5640" t="s">
        <v>4955</v>
      </c>
      <c r="B39" s="6535"/>
      <c r="C39" s="520" t="s">
        <v>744</v>
      </c>
      <c r="D39" s="2825" t="s">
        <v>4567</v>
      </c>
      <c r="E39" s="1089" t="s">
        <v>4568</v>
      </c>
      <c r="F39" s="368" t="s">
        <v>4569</v>
      </c>
      <c r="G39" s="368" t="s">
        <v>4570</v>
      </c>
      <c r="H39" s="368" t="s">
        <v>4571</v>
      </c>
      <c r="I39" s="368" t="s">
        <v>4572</v>
      </c>
      <c r="J39" s="368" t="s">
        <v>4573</v>
      </c>
      <c r="K39" s="368" t="s">
        <v>4574</v>
      </c>
      <c r="L39" s="368" t="s">
        <v>4575</v>
      </c>
      <c r="M39" s="368" t="s">
        <v>4576</v>
      </c>
      <c r="N39" s="368" t="s">
        <v>4577</v>
      </c>
      <c r="O39" s="521" t="s">
        <v>4578</v>
      </c>
      <c r="P39" s="521" t="s">
        <v>4579</v>
      </c>
      <c r="Q39" s="5692" t="s">
        <v>4580</v>
      </c>
      <c r="R39" s="4065" t="s">
        <v>4581</v>
      </c>
      <c r="S39" s="368" t="s">
        <v>4582</v>
      </c>
      <c r="T39" s="1090" t="s">
        <v>4583</v>
      </c>
      <c r="U39" s="1089" t="s">
        <v>4584</v>
      </c>
      <c r="V39" s="1090" t="s">
        <v>4585</v>
      </c>
      <c r="W39" s="1089" t="s">
        <v>4586</v>
      </c>
      <c r="X39" s="1090" t="s">
        <v>4587</v>
      </c>
      <c r="Y39" s="1089" t="s">
        <v>4588</v>
      </c>
      <c r="Z39" s="368" t="s">
        <v>4589</v>
      </c>
      <c r="AA39" s="1090" t="s">
        <v>4590</v>
      </c>
      <c r="AB39" s="1090" t="s">
        <v>4591</v>
      </c>
      <c r="AC39" t="e">
        <f t="shared" si="25"/>
        <v>#VALUE!</v>
      </c>
      <c r="CB39" s="135" t="str">
        <f t="shared" si="26"/>
        <v xml:space="preserve"> * La variable Espacios Amigables/ Adolescentes no  puede ser mayor al Total.</v>
      </c>
      <c r="CC39" s="135" t="str">
        <f t="shared" si="27"/>
        <v/>
      </c>
      <c r="CD39" s="135" t="str">
        <f t="shared" si="28"/>
        <v xml:space="preserve"> * La variable Pueblos Originarios no  puede ser mayor al Total.</v>
      </c>
      <c r="CE39" s="135" t="e">
        <f t="shared" si="29"/>
        <v>#VALUE!</v>
      </c>
      <c r="CF39" s="135" t="e">
        <f t="shared" si="30"/>
        <v>#VALUE!</v>
      </c>
      <c r="CG39" s="135" t="str">
        <f t="shared" si="31"/>
        <v/>
      </c>
      <c r="CH39" s="135" t="str">
        <f t="shared" si="32"/>
        <v xml:space="preserve"> * La variable Ingreso a Anticoncepción post aborto no  puede ser mayor al Total.</v>
      </c>
      <c r="CI39" s="135" t="str">
        <f t="shared" si="33"/>
        <v xml:space="preserve"> * La variable Trans masculino no  puede ser mayor al Total.</v>
      </c>
      <c r="CJ39" s="135" t="str">
        <f t="shared" si="34"/>
        <v xml:space="preserve"> * La variable Trans femenino no  puede ser mayor al Total.</v>
      </c>
      <c r="CK39" s="135" t="str">
        <f t="shared" si="35"/>
        <v xml:space="preserve"> * La variable No binarie no  puede ser mayor al Total.</v>
      </c>
      <c r="CL39" s="135" t="str">
        <f t="shared" si="36"/>
        <v xml:space="preserve"> * La variable Personas con Discpacidad no  puede ser mayor al Total.</v>
      </c>
      <c r="CP39" s="1867">
        <f t="shared" si="37"/>
        <v>1</v>
      </c>
      <c r="CQ39" s="1867"/>
      <c r="CR39" s="1867">
        <f t="shared" si="38"/>
        <v>1</v>
      </c>
      <c r="CS39" s="1867" t="e">
        <f t="shared" si="39"/>
        <v>#VALUE!</v>
      </c>
      <c r="CT39" s="1867" t="e">
        <f t="shared" si="40"/>
        <v>#VALUE!</v>
      </c>
      <c r="CU39" s="1867">
        <f t="shared" si="41"/>
        <v>0</v>
      </c>
      <c r="CV39" s="1867">
        <f t="shared" si="42"/>
        <v>1</v>
      </c>
      <c r="CW39" s="1867">
        <f t="shared" si="43"/>
        <v>1</v>
      </c>
      <c r="CX39" s="1867">
        <f t="shared" si="44"/>
        <v>1</v>
      </c>
      <c r="CY39" s="1867">
        <f t="shared" si="45"/>
        <v>1</v>
      </c>
      <c r="CZ39" s="1867">
        <f t="shared" si="46"/>
        <v>1</v>
      </c>
    </row>
    <row r="40" spans="1:104" ht="15" customHeight="1" x14ac:dyDescent="0.25">
      <c r="A40" s="5640" t="s">
        <v>4956</v>
      </c>
      <c r="B40" s="6535"/>
      <c r="C40" s="520" t="s">
        <v>745</v>
      </c>
      <c r="D40" s="2825" t="s">
        <v>4567</v>
      </c>
      <c r="E40" s="1089" t="s">
        <v>4568</v>
      </c>
      <c r="F40" s="368" t="s">
        <v>4569</v>
      </c>
      <c r="G40" s="368" t="s">
        <v>4570</v>
      </c>
      <c r="H40" s="368" t="s">
        <v>4571</v>
      </c>
      <c r="I40" s="368" t="s">
        <v>4572</v>
      </c>
      <c r="J40" s="368" t="s">
        <v>4573</v>
      </c>
      <c r="K40" s="368" t="s">
        <v>4574</v>
      </c>
      <c r="L40" s="368" t="s">
        <v>4575</v>
      </c>
      <c r="M40" s="368" t="s">
        <v>4576</v>
      </c>
      <c r="N40" s="368" t="s">
        <v>4577</v>
      </c>
      <c r="O40" s="521" t="s">
        <v>4578</v>
      </c>
      <c r="P40" s="521" t="s">
        <v>4579</v>
      </c>
      <c r="Q40" s="5692" t="s">
        <v>4580</v>
      </c>
      <c r="R40" s="4065" t="s">
        <v>4581</v>
      </c>
      <c r="S40" s="368" t="s">
        <v>4582</v>
      </c>
      <c r="T40" s="1090" t="s">
        <v>4583</v>
      </c>
      <c r="U40" s="1089" t="s">
        <v>4584</v>
      </c>
      <c r="V40" s="1090" t="s">
        <v>4585</v>
      </c>
      <c r="W40" s="1089" t="s">
        <v>4586</v>
      </c>
      <c r="X40" s="1090" t="s">
        <v>4587</v>
      </c>
      <c r="Y40" s="1089" t="s">
        <v>4588</v>
      </c>
      <c r="Z40" s="368" t="s">
        <v>4589</v>
      </c>
      <c r="AA40" s="1090" t="s">
        <v>4590</v>
      </c>
      <c r="AB40" s="1090" t="s">
        <v>4591</v>
      </c>
      <c r="AC40" t="e">
        <f t="shared" si="25"/>
        <v>#VALUE!</v>
      </c>
      <c r="CB40" s="135" t="str">
        <f t="shared" si="26"/>
        <v xml:space="preserve"> * La variable Espacios Amigables/ Adolescentes no  puede ser mayor al Total.</v>
      </c>
      <c r="CC40" s="135" t="str">
        <f t="shared" si="27"/>
        <v/>
      </c>
      <c r="CD40" s="135" t="str">
        <f t="shared" si="28"/>
        <v xml:space="preserve"> * La variable Pueblos Originarios no  puede ser mayor al Total.</v>
      </c>
      <c r="CE40" s="135" t="e">
        <f t="shared" si="29"/>
        <v>#VALUE!</v>
      </c>
      <c r="CF40" s="135" t="e">
        <f t="shared" si="30"/>
        <v>#VALUE!</v>
      </c>
      <c r="CG40" s="135" t="str">
        <f t="shared" si="31"/>
        <v/>
      </c>
      <c r="CH40" s="135" t="str">
        <f t="shared" si="32"/>
        <v xml:space="preserve"> * La variable Ingreso a Anticoncepción post aborto no  puede ser mayor al Total.</v>
      </c>
      <c r="CI40" s="135" t="str">
        <f t="shared" si="33"/>
        <v xml:space="preserve"> * La variable Trans masculino no  puede ser mayor al Total.</v>
      </c>
      <c r="CJ40" s="135" t="str">
        <f t="shared" si="34"/>
        <v xml:space="preserve"> * La variable Trans femenino no  puede ser mayor al Total.</v>
      </c>
      <c r="CK40" s="135" t="str">
        <f t="shared" si="35"/>
        <v xml:space="preserve"> * La variable No binarie no  puede ser mayor al Total.</v>
      </c>
      <c r="CL40" s="135" t="str">
        <f t="shared" si="36"/>
        <v xml:space="preserve"> * La variable Personas con Discpacidad no  puede ser mayor al Total.</v>
      </c>
      <c r="CP40" s="1867">
        <f t="shared" si="37"/>
        <v>1</v>
      </c>
      <c r="CQ40" s="1867"/>
      <c r="CR40" s="1867">
        <f t="shared" si="38"/>
        <v>1</v>
      </c>
      <c r="CS40" s="1867" t="e">
        <f t="shared" si="39"/>
        <v>#VALUE!</v>
      </c>
      <c r="CT40" s="1867" t="e">
        <f t="shared" si="40"/>
        <v>#VALUE!</v>
      </c>
      <c r="CU40" s="1867">
        <f t="shared" si="41"/>
        <v>0</v>
      </c>
      <c r="CV40" s="1867">
        <f t="shared" si="42"/>
        <v>1</v>
      </c>
      <c r="CW40" s="1867">
        <f t="shared" si="43"/>
        <v>1</v>
      </c>
      <c r="CX40" s="1867">
        <f t="shared" si="44"/>
        <v>1</v>
      </c>
      <c r="CY40" s="1867">
        <f t="shared" si="45"/>
        <v>1</v>
      </c>
      <c r="CZ40" s="1867">
        <f t="shared" si="46"/>
        <v>1</v>
      </c>
    </row>
    <row r="41" spans="1:104" ht="15" customHeight="1" x14ac:dyDescent="0.25">
      <c r="A41" s="5640" t="s">
        <v>4957</v>
      </c>
      <c r="B41" s="6535"/>
      <c r="C41" s="520" t="s">
        <v>746</v>
      </c>
      <c r="D41" s="2825" t="s">
        <v>4567</v>
      </c>
      <c r="E41" s="1089" t="s">
        <v>4568</v>
      </c>
      <c r="F41" s="368" t="s">
        <v>4569</v>
      </c>
      <c r="G41" s="368" t="s">
        <v>4570</v>
      </c>
      <c r="H41" s="368" t="s">
        <v>4571</v>
      </c>
      <c r="I41" s="368" t="s">
        <v>4572</v>
      </c>
      <c r="J41" s="368" t="s">
        <v>4573</v>
      </c>
      <c r="K41" s="368" t="s">
        <v>4574</v>
      </c>
      <c r="L41" s="368" t="s">
        <v>4575</v>
      </c>
      <c r="M41" s="368" t="s">
        <v>4576</v>
      </c>
      <c r="N41" s="368" t="s">
        <v>4577</v>
      </c>
      <c r="O41" s="521" t="s">
        <v>4578</v>
      </c>
      <c r="P41" s="521" t="s">
        <v>4579</v>
      </c>
      <c r="Q41" s="5692" t="s">
        <v>4580</v>
      </c>
      <c r="R41" s="4065" t="s">
        <v>4581</v>
      </c>
      <c r="S41" s="368" t="s">
        <v>4582</v>
      </c>
      <c r="T41" s="1090" t="s">
        <v>4583</v>
      </c>
      <c r="U41" s="1089" t="s">
        <v>4584</v>
      </c>
      <c r="V41" s="1090" t="s">
        <v>4585</v>
      </c>
      <c r="W41" s="1089" t="s">
        <v>4586</v>
      </c>
      <c r="X41" s="1090" t="s">
        <v>4587</v>
      </c>
      <c r="Y41" s="1089" t="s">
        <v>4588</v>
      </c>
      <c r="Z41" s="368" t="s">
        <v>4589</v>
      </c>
      <c r="AA41" s="1090" t="s">
        <v>4590</v>
      </c>
      <c r="AB41" s="1090" t="s">
        <v>4591</v>
      </c>
      <c r="AC41" t="e">
        <f t="shared" si="25"/>
        <v>#VALUE!</v>
      </c>
      <c r="CB41" s="135" t="str">
        <f t="shared" si="26"/>
        <v xml:space="preserve"> * La variable Espacios Amigables/ Adolescentes no  puede ser mayor al Total.</v>
      </c>
      <c r="CC41" s="135" t="str">
        <f t="shared" si="27"/>
        <v/>
      </c>
      <c r="CD41" s="135" t="str">
        <f t="shared" si="28"/>
        <v xml:space="preserve"> * La variable Pueblos Originarios no  puede ser mayor al Total.</v>
      </c>
      <c r="CE41" s="135" t="e">
        <f t="shared" si="29"/>
        <v>#VALUE!</v>
      </c>
      <c r="CF41" s="135" t="e">
        <f t="shared" si="30"/>
        <v>#VALUE!</v>
      </c>
      <c r="CG41" s="135" t="str">
        <f t="shared" si="31"/>
        <v/>
      </c>
      <c r="CH41" s="135" t="str">
        <f t="shared" si="32"/>
        <v xml:space="preserve"> * La variable Ingreso a Anticoncepción post aborto no  puede ser mayor al Total.</v>
      </c>
      <c r="CI41" s="135" t="str">
        <f t="shared" si="33"/>
        <v xml:space="preserve"> * La variable Trans masculino no  puede ser mayor al Total.</v>
      </c>
      <c r="CJ41" s="135" t="str">
        <f t="shared" si="34"/>
        <v xml:space="preserve"> * La variable Trans femenino no  puede ser mayor al Total.</v>
      </c>
      <c r="CK41" s="135" t="str">
        <f t="shared" si="35"/>
        <v xml:space="preserve"> * La variable No binarie no  puede ser mayor al Total.</v>
      </c>
      <c r="CL41" s="135" t="str">
        <f t="shared" si="36"/>
        <v xml:space="preserve"> * La variable Personas con Discpacidad no  puede ser mayor al Total.</v>
      </c>
      <c r="CP41" s="1867">
        <f t="shared" si="37"/>
        <v>1</v>
      </c>
      <c r="CQ41" s="1867"/>
      <c r="CR41" s="1867">
        <f t="shared" si="38"/>
        <v>1</v>
      </c>
      <c r="CS41" s="1867" t="e">
        <f t="shared" si="39"/>
        <v>#VALUE!</v>
      </c>
      <c r="CT41" s="1867" t="e">
        <f t="shared" si="40"/>
        <v>#VALUE!</v>
      </c>
      <c r="CU41" s="1867">
        <f t="shared" si="41"/>
        <v>0</v>
      </c>
      <c r="CV41" s="1867">
        <f t="shared" si="42"/>
        <v>1</v>
      </c>
      <c r="CW41" s="1867">
        <f t="shared" si="43"/>
        <v>1</v>
      </c>
      <c r="CX41" s="1867">
        <f t="shared" si="44"/>
        <v>1</v>
      </c>
      <c r="CY41" s="1867">
        <f t="shared" si="45"/>
        <v>1</v>
      </c>
      <c r="CZ41" s="1867">
        <f t="shared" si="46"/>
        <v>1</v>
      </c>
    </row>
    <row r="42" spans="1:104" ht="15" customHeight="1" x14ac:dyDescent="0.25">
      <c r="A42" s="5640" t="s">
        <v>4958</v>
      </c>
      <c r="B42" s="6535"/>
      <c r="C42" s="520" t="s">
        <v>747</v>
      </c>
      <c r="D42" s="2825" t="s">
        <v>4567</v>
      </c>
      <c r="E42" s="1089" t="s">
        <v>4568</v>
      </c>
      <c r="F42" s="368" t="s">
        <v>4569</v>
      </c>
      <c r="G42" s="368" t="s">
        <v>4570</v>
      </c>
      <c r="H42" s="368" t="s">
        <v>4571</v>
      </c>
      <c r="I42" s="368" t="s">
        <v>4572</v>
      </c>
      <c r="J42" s="368" t="s">
        <v>4573</v>
      </c>
      <c r="K42" s="368" t="s">
        <v>4574</v>
      </c>
      <c r="L42" s="368" t="s">
        <v>4575</v>
      </c>
      <c r="M42" s="368" t="s">
        <v>4576</v>
      </c>
      <c r="N42" s="368" t="s">
        <v>4577</v>
      </c>
      <c r="O42" s="521" t="s">
        <v>4578</v>
      </c>
      <c r="P42" s="521" t="s">
        <v>4579</v>
      </c>
      <c r="Q42" s="5692" t="s">
        <v>4580</v>
      </c>
      <c r="R42" s="4065" t="s">
        <v>4581</v>
      </c>
      <c r="S42" s="368" t="s">
        <v>4582</v>
      </c>
      <c r="T42" s="1090" t="s">
        <v>4583</v>
      </c>
      <c r="U42" s="1089" t="s">
        <v>4584</v>
      </c>
      <c r="V42" s="1090" t="s">
        <v>4585</v>
      </c>
      <c r="W42" s="1089" t="s">
        <v>4586</v>
      </c>
      <c r="X42" s="1090" t="s">
        <v>4587</v>
      </c>
      <c r="Y42" s="1089" t="s">
        <v>4588</v>
      </c>
      <c r="Z42" s="368" t="s">
        <v>4589</v>
      </c>
      <c r="AA42" s="1090" t="s">
        <v>4590</v>
      </c>
      <c r="AB42" s="1090" t="s">
        <v>4591</v>
      </c>
      <c r="AC42" t="e">
        <f t="shared" si="25"/>
        <v>#VALUE!</v>
      </c>
      <c r="CB42" s="135" t="str">
        <f t="shared" si="26"/>
        <v xml:space="preserve"> * La variable Espacios Amigables/ Adolescentes no  puede ser mayor al Total.</v>
      </c>
      <c r="CC42" s="135" t="str">
        <f t="shared" si="27"/>
        <v/>
      </c>
      <c r="CD42" s="135" t="str">
        <f t="shared" si="28"/>
        <v xml:space="preserve"> * La variable Pueblos Originarios no  puede ser mayor al Total.</v>
      </c>
      <c r="CE42" s="135" t="e">
        <f t="shared" si="29"/>
        <v>#VALUE!</v>
      </c>
      <c r="CF42" s="135" t="e">
        <f t="shared" si="30"/>
        <v>#VALUE!</v>
      </c>
      <c r="CG42" s="135" t="str">
        <f t="shared" si="31"/>
        <v/>
      </c>
      <c r="CH42" s="135" t="str">
        <f t="shared" si="32"/>
        <v xml:space="preserve"> * La variable Ingreso a Anticoncepción post aborto no  puede ser mayor al Total.</v>
      </c>
      <c r="CI42" s="135" t="str">
        <f t="shared" si="33"/>
        <v xml:space="preserve"> * La variable Trans masculino no  puede ser mayor al Total.</v>
      </c>
      <c r="CJ42" s="135" t="str">
        <f t="shared" si="34"/>
        <v xml:space="preserve"> * La variable Trans femenino no  puede ser mayor al Total.</v>
      </c>
      <c r="CK42" s="135" t="str">
        <f t="shared" si="35"/>
        <v xml:space="preserve"> * La variable No binarie no  puede ser mayor al Total.</v>
      </c>
      <c r="CL42" s="135" t="str">
        <f t="shared" si="36"/>
        <v xml:space="preserve"> * La variable Personas con Discpacidad no  puede ser mayor al Total.</v>
      </c>
      <c r="CP42" s="1867">
        <f t="shared" si="37"/>
        <v>1</v>
      </c>
      <c r="CQ42" s="1867"/>
      <c r="CR42" s="1867">
        <f t="shared" si="38"/>
        <v>1</v>
      </c>
      <c r="CS42" s="1867" t="e">
        <f t="shared" si="39"/>
        <v>#VALUE!</v>
      </c>
      <c r="CT42" s="1867" t="e">
        <f t="shared" si="40"/>
        <v>#VALUE!</v>
      </c>
      <c r="CU42" s="1867">
        <f t="shared" si="41"/>
        <v>0</v>
      </c>
      <c r="CV42" s="1867">
        <f t="shared" si="42"/>
        <v>1</v>
      </c>
      <c r="CW42" s="1867">
        <f t="shared" si="43"/>
        <v>1</v>
      </c>
      <c r="CX42" s="1867">
        <f t="shared" si="44"/>
        <v>1</v>
      </c>
      <c r="CY42" s="1867">
        <f t="shared" si="45"/>
        <v>1</v>
      </c>
      <c r="CZ42" s="1867">
        <f t="shared" si="46"/>
        <v>1</v>
      </c>
    </row>
    <row r="43" spans="1:104" ht="15" customHeight="1" x14ac:dyDescent="0.25">
      <c r="A43" s="5640" t="s">
        <v>4959</v>
      </c>
      <c r="B43" s="6535"/>
      <c r="C43" s="110" t="s">
        <v>748</v>
      </c>
      <c r="D43" s="352" t="s">
        <v>4567</v>
      </c>
      <c r="E43" s="4776" t="s">
        <v>4568</v>
      </c>
      <c r="F43" s="242" t="s">
        <v>4569</v>
      </c>
      <c r="G43" s="242" t="s">
        <v>4570</v>
      </c>
      <c r="H43" s="242" t="s">
        <v>4571</v>
      </c>
      <c r="I43" s="242" t="s">
        <v>4572</v>
      </c>
      <c r="J43" s="242" t="s">
        <v>4573</v>
      </c>
      <c r="K43" s="242" t="s">
        <v>4574</v>
      </c>
      <c r="L43" s="242" t="s">
        <v>4575</v>
      </c>
      <c r="M43" s="242" t="s">
        <v>4576</v>
      </c>
      <c r="N43" s="242" t="s">
        <v>4577</v>
      </c>
      <c r="O43" s="244" t="s">
        <v>4578</v>
      </c>
      <c r="P43" s="244" t="s">
        <v>4579</v>
      </c>
      <c r="Q43" s="292" t="s">
        <v>4580</v>
      </c>
      <c r="R43" s="74" t="s">
        <v>4581</v>
      </c>
      <c r="S43" s="242" t="s">
        <v>4582</v>
      </c>
      <c r="T43" s="5693" t="s">
        <v>4583</v>
      </c>
      <c r="U43" s="4776" t="s">
        <v>4584</v>
      </c>
      <c r="V43" s="5693" t="s">
        <v>4585</v>
      </c>
      <c r="W43" s="4776" t="s">
        <v>4586</v>
      </c>
      <c r="X43" s="5693" t="s">
        <v>4587</v>
      </c>
      <c r="Y43" s="4776" t="s">
        <v>4588</v>
      </c>
      <c r="Z43" s="242" t="s">
        <v>4589</v>
      </c>
      <c r="AA43" s="5693" t="s">
        <v>4590</v>
      </c>
      <c r="AB43" s="5693" t="s">
        <v>4591</v>
      </c>
      <c r="AC43" t="e">
        <f t="shared" si="25"/>
        <v>#VALUE!</v>
      </c>
      <c r="CB43" s="135" t="str">
        <f t="shared" si="26"/>
        <v xml:space="preserve"> * La variable Espacios Amigables/ Adolescentes no  puede ser mayor al Total.</v>
      </c>
      <c r="CC43" s="135" t="str">
        <f t="shared" si="27"/>
        <v/>
      </c>
      <c r="CD43" s="135" t="str">
        <f t="shared" si="28"/>
        <v xml:space="preserve"> * La variable Pueblos Originarios no  puede ser mayor al Total.</v>
      </c>
      <c r="CE43" s="135" t="e">
        <f t="shared" si="29"/>
        <v>#VALUE!</v>
      </c>
      <c r="CF43" s="135" t="e">
        <f>IF(AND($G43+$H43+$I43+$J43+$K43+$L43+$M43+$N43&gt;0,$V43="")," * No olvide digitar la variable Migrantes "&amp;$V$34&amp;""&amp;". Digite Cero si no tiene.",IF($V43&gt;$G43+$H43+$I43+$J43+$K43+$L43+$M43+$N43," * La variable Migrantes "&amp;$V$34&amp;""&amp;" no  puede ser mayor al Total.",""))</f>
        <v>#VALUE!</v>
      </c>
      <c r="CG43" s="135" t="str">
        <f t="shared" si="31"/>
        <v/>
      </c>
      <c r="CH43" s="135" t="str">
        <f t="shared" si="32"/>
        <v xml:space="preserve"> * La variable Ingreso a Anticoncepción post aborto no  puede ser mayor al Total.</v>
      </c>
      <c r="CI43" s="135" t="str">
        <f t="shared" si="33"/>
        <v xml:space="preserve"> * La variable Trans masculino no  puede ser mayor al Total.</v>
      </c>
      <c r="CJ43" s="135" t="str">
        <f t="shared" si="34"/>
        <v xml:space="preserve"> * La variable Trans femenino no  puede ser mayor al Total.</v>
      </c>
      <c r="CK43" s="135" t="str">
        <f t="shared" si="35"/>
        <v xml:space="preserve"> * La variable No binarie no  puede ser mayor al Total.</v>
      </c>
      <c r="CL43" s="135" t="str">
        <f t="shared" si="36"/>
        <v xml:space="preserve"> * La variable Personas con Discpacidad no  puede ser mayor al Total.</v>
      </c>
      <c r="CP43" s="1867">
        <f t="shared" si="37"/>
        <v>1</v>
      </c>
      <c r="CQ43" s="1867"/>
      <c r="CR43" s="1867">
        <f t="shared" si="38"/>
        <v>1</v>
      </c>
      <c r="CS43" s="1867" t="e">
        <f t="shared" si="39"/>
        <v>#VALUE!</v>
      </c>
      <c r="CT43" s="1867" t="e">
        <f t="shared" si="40"/>
        <v>#VALUE!</v>
      </c>
      <c r="CU43" s="1867">
        <f t="shared" si="41"/>
        <v>0</v>
      </c>
      <c r="CV43" s="1867">
        <f t="shared" si="42"/>
        <v>1</v>
      </c>
      <c r="CW43" s="1867">
        <f t="shared" si="43"/>
        <v>1</v>
      </c>
      <c r="CX43" s="1867">
        <f t="shared" si="44"/>
        <v>1</v>
      </c>
      <c r="CY43" s="1867">
        <f t="shared" si="45"/>
        <v>1</v>
      </c>
      <c r="CZ43" s="1867">
        <f t="shared" si="46"/>
        <v>1</v>
      </c>
    </row>
    <row r="44" spans="1:104" ht="15" customHeight="1" x14ac:dyDescent="0.25">
      <c r="A44" s="5640" t="s">
        <v>4960</v>
      </c>
      <c r="B44" s="6535"/>
      <c r="C44" s="523" t="s">
        <v>749</v>
      </c>
      <c r="D44" s="2829" t="s">
        <v>4567</v>
      </c>
      <c r="E44" s="1114" t="s">
        <v>4568</v>
      </c>
      <c r="F44" s="1258" t="s">
        <v>4569</v>
      </c>
      <c r="G44" s="1258" t="s">
        <v>4570</v>
      </c>
      <c r="H44" s="1258" t="s">
        <v>4571</v>
      </c>
      <c r="I44" s="1258" t="s">
        <v>4572</v>
      </c>
      <c r="J44" s="1258" t="s">
        <v>4573</v>
      </c>
      <c r="K44" s="1258" t="s">
        <v>4574</v>
      </c>
      <c r="L44" s="1258" t="s">
        <v>4575</v>
      </c>
      <c r="M44" s="1258" t="s">
        <v>4576</v>
      </c>
      <c r="N44" s="1258" t="s">
        <v>4577</v>
      </c>
      <c r="O44" s="4556" t="s">
        <v>4578</v>
      </c>
      <c r="P44" s="4556" t="s">
        <v>4579</v>
      </c>
      <c r="Q44" s="5691" t="s">
        <v>4580</v>
      </c>
      <c r="R44" s="1303" t="s">
        <v>4581</v>
      </c>
      <c r="S44" s="1258" t="s">
        <v>4582</v>
      </c>
      <c r="T44" s="5645" t="s">
        <v>4583</v>
      </c>
      <c r="U44" s="1114" t="s">
        <v>4584</v>
      </c>
      <c r="V44" s="5645" t="s">
        <v>4585</v>
      </c>
      <c r="W44" s="1114" t="s">
        <v>4586</v>
      </c>
      <c r="X44" s="5645" t="s">
        <v>4587</v>
      </c>
      <c r="Y44" s="1114" t="s">
        <v>4588</v>
      </c>
      <c r="Z44" s="1258" t="s">
        <v>4589</v>
      </c>
      <c r="AA44" s="5645" t="s">
        <v>4590</v>
      </c>
      <c r="AB44" s="5645" t="s">
        <v>4591</v>
      </c>
      <c r="AC44" t="e">
        <f t="shared" si="25"/>
        <v>#VALUE!</v>
      </c>
      <c r="CB44" s="135" t="str">
        <f t="shared" si="26"/>
        <v xml:space="preserve"> * La variable Espacios Amigables/ Adolescentes no  puede ser mayor al Total.</v>
      </c>
      <c r="CC44" s="135" t="str">
        <f t="shared" si="27"/>
        <v/>
      </c>
      <c r="CD44" s="135" t="str">
        <f t="shared" si="28"/>
        <v xml:space="preserve"> * La variable Pueblos Originarios no  puede ser mayor al Total.</v>
      </c>
      <c r="CE44" s="135" t="e">
        <f>IF(AND($E44+F44&gt;0,U44="")," * No olvide digitar la variable Migrantes "&amp;$U$34&amp;""&amp;". Digite Cero si no tiene.",IF(U44&gt;$E44+F44," * La variable Migrantes "&amp;$U$34&amp;""&amp;" no  puede ser mayor al Total.",""))</f>
        <v>#VALUE!</v>
      </c>
      <c r="CF44" s="135" t="e">
        <f t="shared" si="30"/>
        <v>#VALUE!</v>
      </c>
      <c r="CG44" s="135" t="str">
        <f t="shared" si="31"/>
        <v/>
      </c>
      <c r="CH44" s="135" t="str">
        <f t="shared" si="32"/>
        <v xml:space="preserve"> * La variable Ingreso a Anticoncepción post aborto no  puede ser mayor al Total.</v>
      </c>
      <c r="CI44" s="135" t="str">
        <f t="shared" si="33"/>
        <v xml:space="preserve"> * La variable Trans masculino no  puede ser mayor al Total.</v>
      </c>
      <c r="CJ44" s="135" t="str">
        <f t="shared" si="34"/>
        <v xml:space="preserve"> * La variable Trans femenino no  puede ser mayor al Total.</v>
      </c>
      <c r="CK44" s="135" t="str">
        <f t="shared" si="35"/>
        <v xml:space="preserve"> * La variable No binarie no  puede ser mayor al Total.</v>
      </c>
      <c r="CL44" s="135" t="str">
        <f t="shared" si="36"/>
        <v xml:space="preserve"> * La variable Personas con Discpacidad no  puede ser mayor al Total.</v>
      </c>
      <c r="CP44" s="1867">
        <f t="shared" si="37"/>
        <v>1</v>
      </c>
      <c r="CQ44" s="1867"/>
      <c r="CR44" s="1867">
        <f t="shared" si="38"/>
        <v>1</v>
      </c>
      <c r="CS44" s="1867" t="e">
        <f t="shared" si="39"/>
        <v>#VALUE!</v>
      </c>
      <c r="CT44" s="1867" t="e">
        <f t="shared" si="40"/>
        <v>#VALUE!</v>
      </c>
      <c r="CU44" s="1867">
        <f t="shared" si="41"/>
        <v>0</v>
      </c>
      <c r="CV44" s="1867">
        <f t="shared" si="42"/>
        <v>1</v>
      </c>
      <c r="CW44" s="1867">
        <f t="shared" si="43"/>
        <v>1</v>
      </c>
      <c r="CX44" s="1867">
        <f t="shared" si="44"/>
        <v>1</v>
      </c>
      <c r="CY44" s="1867">
        <f t="shared" si="45"/>
        <v>1</v>
      </c>
      <c r="CZ44" s="1867">
        <f t="shared" si="46"/>
        <v>1</v>
      </c>
    </row>
    <row r="45" spans="1:104" ht="15" customHeight="1" x14ac:dyDescent="0.25">
      <c r="A45" s="5640" t="s">
        <v>4961</v>
      </c>
      <c r="B45" s="6453" t="s">
        <v>750</v>
      </c>
      <c r="C45" s="519" t="s">
        <v>751</v>
      </c>
      <c r="D45" s="4779" t="s">
        <v>4567</v>
      </c>
      <c r="E45" s="1726" t="s">
        <v>4568</v>
      </c>
      <c r="F45" s="5562" t="s">
        <v>4569</v>
      </c>
      <c r="G45" s="5562" t="s">
        <v>4570</v>
      </c>
      <c r="H45" s="5562" t="s">
        <v>4571</v>
      </c>
      <c r="I45" s="5562" t="s">
        <v>4572</v>
      </c>
      <c r="J45" s="5562" t="s">
        <v>4573</v>
      </c>
      <c r="K45" s="5562" t="s">
        <v>4574</v>
      </c>
      <c r="L45" s="5562" t="s">
        <v>4575</v>
      </c>
      <c r="M45" s="5562" t="s">
        <v>4576</v>
      </c>
      <c r="N45" s="5562" t="s">
        <v>4577</v>
      </c>
      <c r="O45" s="5694" t="s">
        <v>4578</v>
      </c>
      <c r="P45" s="5694" t="s">
        <v>4579</v>
      </c>
      <c r="Q45" s="5694" t="s">
        <v>4580</v>
      </c>
      <c r="R45" s="3128" t="s">
        <v>4581</v>
      </c>
      <c r="S45" s="5562" t="s">
        <v>4582</v>
      </c>
      <c r="T45" s="5651" t="s">
        <v>4583</v>
      </c>
      <c r="U45" s="1726" t="s">
        <v>4584</v>
      </c>
      <c r="V45" s="5651" t="s">
        <v>4585</v>
      </c>
      <c r="W45" s="1726" t="s">
        <v>4586</v>
      </c>
      <c r="X45" s="5651" t="s">
        <v>4587</v>
      </c>
      <c r="Y45" s="1726" t="s">
        <v>4588</v>
      </c>
      <c r="Z45" s="5562" t="s">
        <v>4589</v>
      </c>
      <c r="AA45" s="5651" t="s">
        <v>4590</v>
      </c>
      <c r="AB45" s="5651" t="s">
        <v>4591</v>
      </c>
      <c r="AC45" t="e">
        <f t="shared" si="25"/>
        <v>#VALUE!</v>
      </c>
      <c r="CB45" s="135" t="str">
        <f t="shared" si="26"/>
        <v xml:space="preserve"> * La variable Espacios Amigables/ Adolescentes no  puede ser mayor al Total.</v>
      </c>
      <c r="CC45" s="135" t="str">
        <f t="shared" si="27"/>
        <v/>
      </c>
      <c r="CD45" s="135" t="str">
        <f t="shared" si="28"/>
        <v xml:space="preserve"> * La variable Pueblos Originarios no  puede ser mayor al Total.</v>
      </c>
      <c r="CE45" s="135" t="e">
        <f t="shared" si="29"/>
        <v>#VALUE!</v>
      </c>
      <c r="CF45" s="135" t="e">
        <f t="shared" si="30"/>
        <v>#VALUE!</v>
      </c>
      <c r="CG45" s="135" t="str">
        <f t="shared" si="31"/>
        <v/>
      </c>
      <c r="CH45" s="135" t="str">
        <f t="shared" si="32"/>
        <v xml:space="preserve"> * La variable Ingreso a Anticoncepción post aborto no  puede ser mayor al Total.</v>
      </c>
      <c r="CI45" s="135" t="str">
        <f t="shared" si="33"/>
        <v xml:space="preserve"> * La variable Trans masculino no  puede ser mayor al Total.</v>
      </c>
      <c r="CJ45" s="135" t="str">
        <f t="shared" si="34"/>
        <v xml:space="preserve"> * La variable Trans femenino no  puede ser mayor al Total.</v>
      </c>
      <c r="CK45" s="135" t="str">
        <f t="shared" si="35"/>
        <v xml:space="preserve"> * La variable No binarie no  puede ser mayor al Total.</v>
      </c>
      <c r="CL45" s="135" t="str">
        <f t="shared" si="36"/>
        <v xml:space="preserve"> * La variable Personas con Discpacidad no  puede ser mayor al Total.</v>
      </c>
      <c r="CP45" s="1867">
        <f t="shared" si="37"/>
        <v>1</v>
      </c>
      <c r="CQ45" s="1867"/>
      <c r="CR45" s="1867">
        <f t="shared" si="38"/>
        <v>1</v>
      </c>
      <c r="CS45" s="1867" t="e">
        <f t="shared" si="39"/>
        <v>#VALUE!</v>
      </c>
      <c r="CT45" s="1867" t="e">
        <f t="shared" si="40"/>
        <v>#VALUE!</v>
      </c>
      <c r="CU45" s="1867">
        <f t="shared" si="41"/>
        <v>0</v>
      </c>
      <c r="CV45" s="1867">
        <f t="shared" si="42"/>
        <v>1</v>
      </c>
      <c r="CW45" s="1867">
        <f t="shared" si="43"/>
        <v>1</v>
      </c>
      <c r="CX45" s="1867">
        <f t="shared" si="44"/>
        <v>1</v>
      </c>
      <c r="CY45" s="1867">
        <f t="shared" si="45"/>
        <v>1</v>
      </c>
      <c r="CZ45" s="1867">
        <f t="shared" si="46"/>
        <v>1</v>
      </c>
    </row>
    <row r="46" spans="1:104" ht="15" customHeight="1" x14ac:dyDescent="0.25">
      <c r="A46" s="5640" t="s">
        <v>4962</v>
      </c>
      <c r="B46" s="6059"/>
      <c r="C46" s="524" t="s">
        <v>58</v>
      </c>
      <c r="D46" s="2829" t="s">
        <v>4567</v>
      </c>
      <c r="E46" s="1114" t="s">
        <v>4568</v>
      </c>
      <c r="F46" s="1258" t="s">
        <v>4569</v>
      </c>
      <c r="G46" s="1258" t="s">
        <v>4570</v>
      </c>
      <c r="H46" s="1258" t="s">
        <v>4571</v>
      </c>
      <c r="I46" s="1258" t="s">
        <v>4572</v>
      </c>
      <c r="J46" s="1258" t="s">
        <v>4573</v>
      </c>
      <c r="K46" s="1258" t="s">
        <v>4574</v>
      </c>
      <c r="L46" s="1258" t="s">
        <v>4575</v>
      </c>
      <c r="M46" s="1258" t="s">
        <v>4576</v>
      </c>
      <c r="N46" s="1258" t="s">
        <v>4577</v>
      </c>
      <c r="O46" s="1258" t="s">
        <v>4578</v>
      </c>
      <c r="P46" s="1258" t="s">
        <v>4579</v>
      </c>
      <c r="Q46" s="1258" t="s">
        <v>4580</v>
      </c>
      <c r="R46" s="1303" t="s">
        <v>4581</v>
      </c>
      <c r="S46" s="1258" t="s">
        <v>4582</v>
      </c>
      <c r="T46" s="5645" t="s">
        <v>4583</v>
      </c>
      <c r="U46" s="1114" t="s">
        <v>4584</v>
      </c>
      <c r="V46" s="5645" t="s">
        <v>4585</v>
      </c>
      <c r="W46" s="1114" t="s">
        <v>4586</v>
      </c>
      <c r="X46" s="5645" t="s">
        <v>4587</v>
      </c>
      <c r="Y46" s="1114" t="s">
        <v>4588</v>
      </c>
      <c r="Z46" s="1258" t="s">
        <v>4589</v>
      </c>
      <c r="AA46" s="5645" t="s">
        <v>4590</v>
      </c>
      <c r="AB46" s="5645" t="s">
        <v>4591</v>
      </c>
      <c r="AC46" t="e">
        <f t="shared" si="25"/>
        <v>#VALUE!</v>
      </c>
      <c r="CB46" s="135" t="str">
        <f t="shared" si="26"/>
        <v xml:space="preserve"> * La variable Espacios Amigables/ Adolescentes no  puede ser mayor al Total.</v>
      </c>
      <c r="CC46" s="135" t="str">
        <f t="shared" si="27"/>
        <v/>
      </c>
      <c r="CD46" s="135" t="str">
        <f t="shared" si="28"/>
        <v xml:space="preserve"> * La variable Pueblos Originarios no  puede ser mayor al Total.</v>
      </c>
      <c r="CE46" s="135" t="e">
        <f t="shared" si="29"/>
        <v>#VALUE!</v>
      </c>
      <c r="CF46" s="135" t="e">
        <f t="shared" si="30"/>
        <v>#VALUE!</v>
      </c>
      <c r="CG46" s="135" t="str">
        <f t="shared" si="31"/>
        <v/>
      </c>
      <c r="CH46" s="135" t="str">
        <f t="shared" si="32"/>
        <v xml:space="preserve"> * La variable Ingreso a Anticoncepción post aborto no  puede ser mayor al Total.</v>
      </c>
      <c r="CI46" s="135" t="str">
        <f t="shared" si="33"/>
        <v xml:space="preserve"> * La variable Trans masculino no  puede ser mayor al Total.</v>
      </c>
      <c r="CJ46" s="135" t="str">
        <f t="shared" si="34"/>
        <v xml:space="preserve"> * La variable Trans femenino no  puede ser mayor al Total.</v>
      </c>
      <c r="CK46" s="135" t="str">
        <f t="shared" si="35"/>
        <v xml:space="preserve"> * La variable No binarie no  puede ser mayor al Total.</v>
      </c>
      <c r="CL46" s="135" t="str">
        <f t="shared" si="36"/>
        <v xml:space="preserve"> * La variable Personas con Discpacidad no  puede ser mayor al Total.</v>
      </c>
      <c r="CP46" s="1867">
        <f t="shared" si="37"/>
        <v>1</v>
      </c>
      <c r="CQ46" s="1867"/>
      <c r="CR46" s="1867">
        <f t="shared" si="38"/>
        <v>1</v>
      </c>
      <c r="CS46" s="1867" t="e">
        <f t="shared" si="39"/>
        <v>#VALUE!</v>
      </c>
      <c r="CT46" s="1867" t="e">
        <f t="shared" si="40"/>
        <v>#VALUE!</v>
      </c>
      <c r="CU46" s="1867">
        <f t="shared" si="41"/>
        <v>0</v>
      </c>
      <c r="CV46" s="1867">
        <f t="shared" si="42"/>
        <v>1</v>
      </c>
      <c r="CW46" s="1867">
        <f t="shared" si="43"/>
        <v>1</v>
      </c>
      <c r="CX46" s="1867">
        <f t="shared" si="44"/>
        <v>1</v>
      </c>
      <c r="CY46" s="1867">
        <f t="shared" si="45"/>
        <v>1</v>
      </c>
      <c r="CZ46" s="1867">
        <f t="shared" si="46"/>
        <v>1</v>
      </c>
    </row>
    <row r="47" spans="1:104" ht="15" customHeight="1" x14ac:dyDescent="0.25">
      <c r="A47" s="5640" t="s">
        <v>4963</v>
      </c>
      <c r="B47" s="6453" t="s">
        <v>752</v>
      </c>
      <c r="C47" s="519" t="s">
        <v>751</v>
      </c>
      <c r="D47" s="4779" t="s">
        <v>4567</v>
      </c>
      <c r="E47" s="1726" t="s">
        <v>4568</v>
      </c>
      <c r="F47" s="5562" t="s">
        <v>4569</v>
      </c>
      <c r="G47" s="5562" t="s">
        <v>4570</v>
      </c>
      <c r="H47" s="5562" t="s">
        <v>4571</v>
      </c>
      <c r="I47" s="5562" t="s">
        <v>4572</v>
      </c>
      <c r="J47" s="5562" t="s">
        <v>4573</v>
      </c>
      <c r="K47" s="5562" t="s">
        <v>4574</v>
      </c>
      <c r="L47" s="5562" t="s">
        <v>4575</v>
      </c>
      <c r="M47" s="5562" t="s">
        <v>4576</v>
      </c>
      <c r="N47" s="5562" t="s">
        <v>4577</v>
      </c>
      <c r="O47" s="5689" t="s">
        <v>4578</v>
      </c>
      <c r="P47" s="5689" t="s">
        <v>4579</v>
      </c>
      <c r="Q47" s="5690" t="s">
        <v>4580</v>
      </c>
      <c r="R47" s="3128" t="s">
        <v>4581</v>
      </c>
      <c r="S47" s="5562" t="s">
        <v>4582</v>
      </c>
      <c r="T47" s="5651" t="s">
        <v>4583</v>
      </c>
      <c r="U47" s="1726" t="s">
        <v>4584</v>
      </c>
      <c r="V47" s="5651" t="s">
        <v>4585</v>
      </c>
      <c r="W47" s="1726" t="s">
        <v>4586</v>
      </c>
      <c r="X47" s="5651" t="s">
        <v>4587</v>
      </c>
      <c r="Y47" s="1726" t="s">
        <v>4588</v>
      </c>
      <c r="Z47" s="5562" t="s">
        <v>4589</v>
      </c>
      <c r="AA47" s="5651" t="s">
        <v>4590</v>
      </c>
      <c r="AB47" s="5651" t="s">
        <v>4591</v>
      </c>
      <c r="AC47" t="e">
        <f t="shared" si="25"/>
        <v>#VALUE!</v>
      </c>
      <c r="CB47" s="135" t="str">
        <f t="shared" si="26"/>
        <v xml:space="preserve"> * La variable Espacios Amigables/ Adolescentes no  puede ser mayor al Total.</v>
      </c>
      <c r="CC47" s="135" t="str">
        <f t="shared" si="27"/>
        <v/>
      </c>
      <c r="CD47" s="135" t="str">
        <f t="shared" si="28"/>
        <v xml:space="preserve"> * La variable Pueblos Originarios no  puede ser mayor al Total.</v>
      </c>
      <c r="CE47" s="135" t="e">
        <f t="shared" si="29"/>
        <v>#VALUE!</v>
      </c>
      <c r="CF47" s="135" t="e">
        <f t="shared" si="30"/>
        <v>#VALUE!</v>
      </c>
      <c r="CG47" s="135" t="str">
        <f t="shared" si="31"/>
        <v/>
      </c>
      <c r="CH47" s="135" t="str">
        <f t="shared" si="32"/>
        <v xml:space="preserve"> * La variable Ingreso a Anticoncepción post aborto no  puede ser mayor al Total.</v>
      </c>
      <c r="CI47" s="135" t="str">
        <f t="shared" si="33"/>
        <v xml:space="preserve"> * La variable Trans masculino no  puede ser mayor al Total.</v>
      </c>
      <c r="CJ47" s="135" t="str">
        <f t="shared" si="34"/>
        <v xml:space="preserve"> * La variable Trans femenino no  puede ser mayor al Total.</v>
      </c>
      <c r="CK47" s="135" t="str">
        <f t="shared" si="35"/>
        <v xml:space="preserve"> * La variable No binarie no  puede ser mayor al Total.</v>
      </c>
      <c r="CL47" s="135" t="str">
        <f t="shared" si="36"/>
        <v xml:space="preserve"> * La variable Personas con Discpacidad no  puede ser mayor al Total.</v>
      </c>
      <c r="CP47" s="1867">
        <f t="shared" si="37"/>
        <v>1</v>
      </c>
      <c r="CQ47" s="1867"/>
      <c r="CR47" s="1867">
        <f t="shared" si="38"/>
        <v>1</v>
      </c>
      <c r="CS47" s="1867" t="e">
        <f t="shared" si="39"/>
        <v>#VALUE!</v>
      </c>
      <c r="CT47" s="1867" t="e">
        <f t="shared" si="40"/>
        <v>#VALUE!</v>
      </c>
      <c r="CU47" s="1867">
        <f t="shared" si="41"/>
        <v>0</v>
      </c>
      <c r="CV47" s="1867">
        <f t="shared" si="42"/>
        <v>1</v>
      </c>
      <c r="CW47" s="1867">
        <f t="shared" si="43"/>
        <v>1</v>
      </c>
      <c r="CX47" s="1867">
        <f t="shared" si="44"/>
        <v>1</v>
      </c>
      <c r="CY47" s="1867">
        <f t="shared" si="45"/>
        <v>1</v>
      </c>
      <c r="CZ47" s="1867">
        <f t="shared" si="46"/>
        <v>1</v>
      </c>
    </row>
    <row r="48" spans="1:104" ht="15" customHeight="1" x14ac:dyDescent="0.25">
      <c r="A48" s="5640" t="s">
        <v>4964</v>
      </c>
      <c r="B48" s="6059"/>
      <c r="C48" s="525" t="s">
        <v>58</v>
      </c>
      <c r="D48" s="5695" t="s">
        <v>4567</v>
      </c>
      <c r="E48" s="1737" t="s">
        <v>4568</v>
      </c>
      <c r="F48" s="262" t="s">
        <v>4569</v>
      </c>
      <c r="G48" s="262" t="s">
        <v>4570</v>
      </c>
      <c r="H48" s="262" t="s">
        <v>4571</v>
      </c>
      <c r="I48" s="262" t="s">
        <v>4572</v>
      </c>
      <c r="J48" s="262" t="s">
        <v>4573</v>
      </c>
      <c r="K48" s="262" t="s">
        <v>4574</v>
      </c>
      <c r="L48" s="262" t="s">
        <v>4575</v>
      </c>
      <c r="M48" s="262" t="s">
        <v>4576</v>
      </c>
      <c r="N48" s="262" t="s">
        <v>4577</v>
      </c>
      <c r="O48" s="293" t="s">
        <v>4578</v>
      </c>
      <c r="P48" s="293" t="s">
        <v>4579</v>
      </c>
      <c r="Q48" s="294" t="s">
        <v>4580</v>
      </c>
      <c r="R48" s="266" t="s">
        <v>4581</v>
      </c>
      <c r="S48" s="262" t="s">
        <v>4582</v>
      </c>
      <c r="T48" s="5675" t="s">
        <v>4583</v>
      </c>
      <c r="U48" s="1737" t="s">
        <v>4584</v>
      </c>
      <c r="V48" s="5675" t="s">
        <v>4585</v>
      </c>
      <c r="W48" s="1737" t="s">
        <v>4586</v>
      </c>
      <c r="X48" s="5675" t="s">
        <v>4587</v>
      </c>
      <c r="Y48" s="1737" t="s">
        <v>4588</v>
      </c>
      <c r="Z48" s="262" t="s">
        <v>4589</v>
      </c>
      <c r="AA48" s="5675" t="s">
        <v>4590</v>
      </c>
      <c r="AB48" s="5675" t="s">
        <v>4591</v>
      </c>
      <c r="AC48" t="e">
        <f t="shared" si="25"/>
        <v>#VALUE!</v>
      </c>
      <c r="CB48" s="135" t="str">
        <f t="shared" si="26"/>
        <v xml:space="preserve"> * La variable Espacios Amigables/ Adolescentes no  puede ser mayor al Total.</v>
      </c>
      <c r="CC48" s="135" t="str">
        <f t="shared" si="27"/>
        <v/>
      </c>
      <c r="CD48" s="135" t="str">
        <f t="shared" si="28"/>
        <v xml:space="preserve"> * La variable Pueblos Originarios no  puede ser mayor al Total.</v>
      </c>
      <c r="CE48" s="135" t="e">
        <f>IF(AND($E48+F48&gt;0,U48="")," * No olvide digitar la variable Migrantes "&amp;$U$34&amp;""&amp;". Digite Cero si no tiene.",IF(U48&gt;$E48+F48," * La variable Migrantes "&amp;$U$34&amp;""&amp;" no  puede ser mayor al Total.",""))</f>
        <v>#VALUE!</v>
      </c>
      <c r="CF48" s="135" t="e">
        <f t="shared" si="30"/>
        <v>#VALUE!</v>
      </c>
      <c r="CG48" s="135" t="str">
        <f t="shared" si="31"/>
        <v/>
      </c>
      <c r="CH48" s="135" t="str">
        <f t="shared" si="32"/>
        <v xml:space="preserve"> * La variable Ingreso a Anticoncepción post aborto no  puede ser mayor al Total.</v>
      </c>
      <c r="CI48" s="135" t="str">
        <f t="shared" si="33"/>
        <v xml:space="preserve"> * La variable Trans masculino no  puede ser mayor al Total.</v>
      </c>
      <c r="CJ48" s="135" t="str">
        <f t="shared" si="34"/>
        <v xml:space="preserve"> * La variable Trans femenino no  puede ser mayor al Total.</v>
      </c>
      <c r="CK48" s="135" t="str">
        <f t="shared" si="35"/>
        <v xml:space="preserve"> * La variable No binarie no  puede ser mayor al Total.</v>
      </c>
      <c r="CL48" s="135" t="str">
        <f t="shared" si="36"/>
        <v xml:space="preserve"> * La variable Personas con Discpacidad no  puede ser mayor al Total.</v>
      </c>
      <c r="CP48" s="1867">
        <f t="shared" si="37"/>
        <v>1</v>
      </c>
      <c r="CQ48" s="1867"/>
      <c r="CR48" s="1867">
        <f t="shared" si="38"/>
        <v>1</v>
      </c>
      <c r="CS48" s="1867" t="e">
        <f>IF(AND($E48+$F48&gt;0,$U48=""),1,IF(U48&gt;$E48+$F48,1,0))</f>
        <v>#VALUE!</v>
      </c>
      <c r="CT48" s="1867" t="e">
        <f t="shared" si="40"/>
        <v>#VALUE!</v>
      </c>
      <c r="CU48" s="1867">
        <f t="shared" si="41"/>
        <v>0</v>
      </c>
      <c r="CV48" s="1867">
        <f t="shared" si="42"/>
        <v>1</v>
      </c>
      <c r="CW48" s="1867">
        <f t="shared" si="43"/>
        <v>1</v>
      </c>
      <c r="CX48" s="1867">
        <f t="shared" si="44"/>
        <v>1</v>
      </c>
      <c r="CY48" s="1867">
        <f t="shared" si="45"/>
        <v>1</v>
      </c>
      <c r="CZ48" s="1867">
        <f t="shared" si="46"/>
        <v>1</v>
      </c>
    </row>
    <row r="49" spans="1:104" ht="15" customHeight="1" x14ac:dyDescent="0.25">
      <c r="A49" s="5637" t="s">
        <v>4965</v>
      </c>
      <c r="B49" s="6594" t="s">
        <v>591</v>
      </c>
      <c r="C49" s="6595"/>
      <c r="D49" s="3076" t="s">
        <v>4567</v>
      </c>
      <c r="E49" s="5683" t="s">
        <v>4568</v>
      </c>
      <c r="F49" s="5696" t="s">
        <v>4569</v>
      </c>
      <c r="G49" s="5696" t="s">
        <v>4570</v>
      </c>
      <c r="H49" s="5696" t="s">
        <v>4571</v>
      </c>
      <c r="I49" s="5696" t="s">
        <v>4572</v>
      </c>
      <c r="J49" s="5696" t="s">
        <v>4573</v>
      </c>
      <c r="K49" s="5696" t="s">
        <v>4574</v>
      </c>
      <c r="L49" s="5696" t="s">
        <v>4575</v>
      </c>
      <c r="M49" s="5696" t="s">
        <v>4576</v>
      </c>
      <c r="N49" s="5696" t="s">
        <v>4577</v>
      </c>
      <c r="O49" s="5561" t="s">
        <v>4578</v>
      </c>
      <c r="P49" s="5561" t="s">
        <v>4579</v>
      </c>
      <c r="Q49" s="5697" t="s">
        <v>4580</v>
      </c>
      <c r="R49" s="5698" t="s">
        <v>4581</v>
      </c>
      <c r="S49" s="5696" t="s">
        <v>4582</v>
      </c>
      <c r="T49" s="5686" t="s">
        <v>4583</v>
      </c>
      <c r="U49" s="5683" t="s">
        <v>4584</v>
      </c>
      <c r="V49" s="5686" t="s">
        <v>4585</v>
      </c>
      <c r="W49" s="5683" t="s">
        <v>4586</v>
      </c>
      <c r="X49" s="5686" t="s">
        <v>4587</v>
      </c>
      <c r="Y49" s="5683" t="s">
        <v>4588</v>
      </c>
      <c r="Z49" s="5696" t="s">
        <v>4589</v>
      </c>
      <c r="AA49" s="5686" t="s">
        <v>4590</v>
      </c>
      <c r="AB49" s="5686" t="s">
        <v>4591</v>
      </c>
      <c r="AC49" t="e">
        <f t="shared" si="25"/>
        <v>#VALUE!</v>
      </c>
      <c r="CB49" s="135" t="str">
        <f t="shared" si="26"/>
        <v xml:space="preserve"> * La variable Espacios Amigables/ Adolescentes no  puede ser mayor al Total.</v>
      </c>
      <c r="CC49" s="135" t="str">
        <f t="shared" si="27"/>
        <v/>
      </c>
      <c r="CD49" s="135" t="str">
        <f t="shared" si="28"/>
        <v xml:space="preserve"> * La variable Pueblos Originarios no  puede ser mayor al Total.</v>
      </c>
      <c r="CE49" s="135" t="e">
        <f>IF(AND($E49+F49&gt;0,U49="")," * No olvide digitar la variable Migrantes "&amp;$U$34&amp;""&amp;". Digite Cero si no tiene.",IF(U49&gt;$E49+F49," * La variable Migrantes "&amp;$U$34&amp;""&amp;" no  puede ser mayor al Total.",""))</f>
        <v>#VALUE!</v>
      </c>
      <c r="CF49" s="135" t="e">
        <f t="shared" si="30"/>
        <v>#VALUE!</v>
      </c>
      <c r="CG49" s="135" t="str">
        <f t="shared" si="31"/>
        <v/>
      </c>
      <c r="CH49" s="135" t="str">
        <f t="shared" si="32"/>
        <v xml:space="preserve"> * La variable Ingreso a Anticoncepción post aborto no  puede ser mayor al Total.</v>
      </c>
      <c r="CI49" s="135" t="str">
        <f t="shared" si="33"/>
        <v xml:space="preserve"> * La variable Trans masculino no  puede ser mayor al Total.</v>
      </c>
      <c r="CJ49" s="135" t="str">
        <f t="shared" si="34"/>
        <v xml:space="preserve"> * La variable Trans femenino no  puede ser mayor al Total.</v>
      </c>
      <c r="CK49" s="135" t="str">
        <f t="shared" si="35"/>
        <v xml:space="preserve"> * La variable No binarie no  puede ser mayor al Total.</v>
      </c>
      <c r="CL49" s="135" t="str">
        <f t="shared" si="36"/>
        <v xml:space="preserve"> * La variable Personas con Discpacidad no  puede ser mayor al Total.</v>
      </c>
      <c r="CP49" s="1867">
        <f t="shared" si="37"/>
        <v>1</v>
      </c>
      <c r="CQ49" s="1867"/>
      <c r="CR49" s="1867">
        <f t="shared" si="38"/>
        <v>1</v>
      </c>
      <c r="CS49" s="1867" t="e">
        <f>IF(AND($E49+$F49&gt;0,$U49=""),1,IF(U49&gt;$E49+$F49,1,0))</f>
        <v>#VALUE!</v>
      </c>
      <c r="CT49" s="1867" t="e">
        <f t="shared" si="40"/>
        <v>#VALUE!</v>
      </c>
      <c r="CU49" s="1867">
        <f t="shared" si="41"/>
        <v>0</v>
      </c>
      <c r="CV49" s="1867">
        <f t="shared" si="42"/>
        <v>1</v>
      </c>
      <c r="CW49" s="1867">
        <f t="shared" si="43"/>
        <v>1</v>
      </c>
      <c r="CX49" s="1867">
        <f t="shared" si="44"/>
        <v>1</v>
      </c>
      <c r="CY49" s="1867">
        <f t="shared" si="45"/>
        <v>1</v>
      </c>
      <c r="CZ49" s="1867">
        <f t="shared" si="46"/>
        <v>1</v>
      </c>
    </row>
    <row r="50" spans="1:104" ht="15" customHeight="1" x14ac:dyDescent="0.25">
      <c r="A50" s="5640" t="s">
        <v>4966</v>
      </c>
      <c r="B50" s="6590" t="s">
        <v>753</v>
      </c>
      <c r="C50" s="6591"/>
      <c r="D50" s="295" t="s">
        <v>4567</v>
      </c>
      <c r="E50" s="290" t="s">
        <v>4568</v>
      </c>
      <c r="F50" s="531" t="s">
        <v>4569</v>
      </c>
      <c r="G50" s="531" t="s">
        <v>4570</v>
      </c>
      <c r="H50" s="531" t="s">
        <v>4571</v>
      </c>
      <c r="I50" s="531" t="s">
        <v>4572</v>
      </c>
      <c r="J50" s="531" t="s">
        <v>4573</v>
      </c>
      <c r="K50" s="531" t="s">
        <v>4574</v>
      </c>
      <c r="L50" s="531" t="s">
        <v>4575</v>
      </c>
      <c r="M50" s="531" t="s">
        <v>4576</v>
      </c>
      <c r="N50" s="531" t="s">
        <v>4577</v>
      </c>
      <c r="O50" s="532" t="s">
        <v>4578</v>
      </c>
      <c r="P50" s="532" t="s">
        <v>4579</v>
      </c>
      <c r="Q50" s="533" t="s">
        <v>4580</v>
      </c>
      <c r="R50" s="296" t="s">
        <v>4581</v>
      </c>
      <c r="S50" s="531" t="s">
        <v>4582</v>
      </c>
      <c r="T50" s="3004" t="s">
        <v>4583</v>
      </c>
      <c r="U50" s="290" t="s">
        <v>4584</v>
      </c>
      <c r="V50" s="3004" t="s">
        <v>4585</v>
      </c>
      <c r="W50" s="290" t="s">
        <v>4586</v>
      </c>
      <c r="X50" s="3004" t="s">
        <v>4587</v>
      </c>
      <c r="Y50" s="290" t="s">
        <v>4588</v>
      </c>
      <c r="Z50" s="531" t="s">
        <v>4589</v>
      </c>
      <c r="AA50" s="3004" t="s">
        <v>4590</v>
      </c>
      <c r="AB50" s="3004" t="s">
        <v>4591</v>
      </c>
      <c r="AC50" t="e">
        <f t="shared" si="25"/>
        <v>#VALUE!</v>
      </c>
      <c r="CB50" s="135" t="str">
        <f t="shared" si="26"/>
        <v xml:space="preserve"> * La variable Espacios Amigables/ Adolescentes no  puede ser mayor al Total.</v>
      </c>
      <c r="CC50" s="135" t="str">
        <f t="shared" si="27"/>
        <v/>
      </c>
      <c r="CD50" s="135" t="str">
        <f t="shared" si="28"/>
        <v xml:space="preserve"> * La variable Pueblos Originarios no  puede ser mayor al Total.</v>
      </c>
      <c r="CE50" s="135" t="e">
        <f t="shared" si="29"/>
        <v>#VALUE!</v>
      </c>
      <c r="CF50" s="135" t="e">
        <f t="shared" si="30"/>
        <v>#VALUE!</v>
      </c>
      <c r="CG50" s="135" t="str">
        <f t="shared" si="31"/>
        <v/>
      </c>
      <c r="CH50" s="135" t="str">
        <f t="shared" si="32"/>
        <v xml:space="preserve"> * La variable Ingreso a Anticoncepción post aborto no  puede ser mayor al Total.</v>
      </c>
      <c r="CI50" s="135" t="str">
        <f t="shared" si="33"/>
        <v xml:space="preserve"> * La variable Trans masculino no  puede ser mayor al Total.</v>
      </c>
      <c r="CJ50" s="135" t="str">
        <f t="shared" si="34"/>
        <v xml:space="preserve"> * La variable Trans femenino no  puede ser mayor al Total.</v>
      </c>
      <c r="CK50" s="135" t="str">
        <f t="shared" si="35"/>
        <v xml:space="preserve"> * La variable No binarie no  puede ser mayor al Total.</v>
      </c>
      <c r="CL50" s="135" t="str">
        <f t="shared" si="36"/>
        <v xml:space="preserve"> * La variable Personas con Discpacidad no  puede ser mayor al Total.</v>
      </c>
      <c r="CP50" s="1867">
        <f t="shared" si="37"/>
        <v>1</v>
      </c>
      <c r="CQ50" s="1867"/>
      <c r="CR50" s="1867">
        <f t="shared" si="38"/>
        <v>1</v>
      </c>
      <c r="CS50" s="1867" t="e">
        <f t="shared" si="39"/>
        <v>#VALUE!</v>
      </c>
      <c r="CT50" s="1867" t="e">
        <f t="shared" si="40"/>
        <v>#VALUE!</v>
      </c>
      <c r="CU50" s="1867">
        <f t="shared" si="41"/>
        <v>0</v>
      </c>
      <c r="CV50" s="1867">
        <f t="shared" si="42"/>
        <v>1</v>
      </c>
      <c r="CW50" s="1867">
        <f t="shared" si="43"/>
        <v>1</v>
      </c>
      <c r="CX50" s="1867">
        <f t="shared" si="44"/>
        <v>1</v>
      </c>
      <c r="CY50" s="1867">
        <f t="shared" si="45"/>
        <v>1</v>
      </c>
      <c r="CZ50" s="1867">
        <f t="shared" si="46"/>
        <v>1</v>
      </c>
    </row>
    <row r="51" spans="1:104" ht="15" customHeight="1" x14ac:dyDescent="0.25">
      <c r="A51" s="5640" t="s">
        <v>4967</v>
      </c>
      <c r="B51" s="6592" t="s">
        <v>754</v>
      </c>
      <c r="C51" s="6593"/>
      <c r="D51" s="5695" t="s">
        <v>4567</v>
      </c>
      <c r="E51" s="1737" t="s">
        <v>4568</v>
      </c>
      <c r="F51" s="262" t="s">
        <v>4569</v>
      </c>
      <c r="G51" s="262" t="s">
        <v>4570</v>
      </c>
      <c r="H51" s="262" t="s">
        <v>4571</v>
      </c>
      <c r="I51" s="262" t="s">
        <v>4572</v>
      </c>
      <c r="J51" s="262" t="s">
        <v>4573</v>
      </c>
      <c r="K51" s="262" t="s">
        <v>4574</v>
      </c>
      <c r="L51" s="262" t="s">
        <v>4575</v>
      </c>
      <c r="M51" s="262" t="s">
        <v>4576</v>
      </c>
      <c r="N51" s="262" t="s">
        <v>4577</v>
      </c>
      <c r="O51" s="293" t="s">
        <v>4578</v>
      </c>
      <c r="P51" s="293" t="s">
        <v>4579</v>
      </c>
      <c r="Q51" s="294" t="s">
        <v>4580</v>
      </c>
      <c r="R51" s="266" t="s">
        <v>4581</v>
      </c>
      <c r="S51" s="262" t="s">
        <v>4582</v>
      </c>
      <c r="T51" s="5675" t="s">
        <v>4583</v>
      </c>
      <c r="U51" s="1737" t="s">
        <v>4584</v>
      </c>
      <c r="V51" s="5675" t="s">
        <v>4585</v>
      </c>
      <c r="W51" s="1737" t="s">
        <v>4586</v>
      </c>
      <c r="X51" s="5675" t="s">
        <v>4587</v>
      </c>
      <c r="Y51" s="1737" t="s">
        <v>4588</v>
      </c>
      <c r="Z51" s="262" t="s">
        <v>4589</v>
      </c>
      <c r="AA51" s="5675" t="s">
        <v>4590</v>
      </c>
      <c r="AB51" s="5675" t="s">
        <v>4591</v>
      </c>
      <c r="AC51" t="e">
        <f t="shared" si="25"/>
        <v>#VALUE!</v>
      </c>
      <c r="CB51" s="135" t="str">
        <f t="shared" si="26"/>
        <v xml:space="preserve"> * La variable Espacios Amigables/ Adolescentes no  puede ser mayor al Total.</v>
      </c>
      <c r="CC51" s="135" t="str">
        <f t="shared" si="27"/>
        <v/>
      </c>
      <c r="CD51" s="135" t="str">
        <f t="shared" si="28"/>
        <v xml:space="preserve"> * La variable Pueblos Originarios no  puede ser mayor al Total.</v>
      </c>
      <c r="CE51" s="135" t="e">
        <f t="shared" si="29"/>
        <v>#VALUE!</v>
      </c>
      <c r="CF51" s="135" t="e">
        <f t="shared" si="30"/>
        <v>#VALUE!</v>
      </c>
      <c r="CG51" s="135" t="str">
        <f t="shared" si="31"/>
        <v/>
      </c>
      <c r="CH51" s="135" t="str">
        <f t="shared" si="32"/>
        <v xml:space="preserve"> * La variable Ingreso a Anticoncepción post aborto no  puede ser mayor al Total.</v>
      </c>
      <c r="CI51" s="135" t="str">
        <f t="shared" si="33"/>
        <v xml:space="preserve"> * La variable Trans masculino no  puede ser mayor al Total.</v>
      </c>
      <c r="CJ51" s="135" t="str">
        <f t="shared" si="34"/>
        <v xml:space="preserve"> * La variable Trans femenino no  puede ser mayor al Total.</v>
      </c>
      <c r="CK51" s="135" t="str">
        <f t="shared" si="35"/>
        <v xml:space="preserve"> * La variable No binarie no  puede ser mayor al Total.</v>
      </c>
      <c r="CL51" s="135" t="str">
        <f t="shared" si="36"/>
        <v xml:space="preserve"> * La variable Personas con Discpacidad no  puede ser mayor al Total.</v>
      </c>
      <c r="CP51" s="1867">
        <f t="shared" si="37"/>
        <v>1</v>
      </c>
      <c r="CQ51" s="1867"/>
      <c r="CR51" s="1867">
        <f t="shared" si="38"/>
        <v>1</v>
      </c>
      <c r="CS51" s="1867" t="e">
        <f t="shared" si="39"/>
        <v>#VALUE!</v>
      </c>
      <c r="CT51" s="1867" t="e">
        <f t="shared" si="40"/>
        <v>#VALUE!</v>
      </c>
      <c r="CU51" s="1867">
        <f t="shared" si="41"/>
        <v>0</v>
      </c>
      <c r="CV51" s="1867">
        <f t="shared" si="42"/>
        <v>1</v>
      </c>
      <c r="CW51" s="1867">
        <f t="shared" si="43"/>
        <v>1</v>
      </c>
      <c r="CX51" s="1867">
        <f t="shared" si="44"/>
        <v>1</v>
      </c>
      <c r="CY51" s="1867">
        <f t="shared" si="45"/>
        <v>1</v>
      </c>
      <c r="CZ51" s="1867">
        <f t="shared" si="46"/>
        <v>1</v>
      </c>
    </row>
    <row r="52" spans="1:104" ht="24.75" customHeight="1" x14ac:dyDescent="0.25">
      <c r="B52" s="3" t="s">
        <v>755</v>
      </c>
      <c r="CC52" s="19"/>
      <c r="CD52" s="19"/>
      <c r="CE52" s="19"/>
      <c r="CF52" s="19"/>
      <c r="CG52" s="19"/>
      <c r="CP52" s="2915"/>
    </row>
    <row r="53" spans="1:104" ht="22.9" customHeight="1" x14ac:dyDescent="0.25">
      <c r="B53" s="6212" t="s">
        <v>730</v>
      </c>
      <c r="C53" s="6511"/>
      <c r="D53" s="6458" t="s">
        <v>28</v>
      </c>
      <c r="E53" s="6411" t="s">
        <v>29</v>
      </c>
      <c r="F53" s="6446"/>
      <c r="G53" s="6446"/>
      <c r="H53" s="6446"/>
      <c r="I53" s="6446"/>
      <c r="J53" s="6446"/>
      <c r="K53" s="6446"/>
      <c r="L53" s="6446"/>
      <c r="M53" s="6446"/>
      <c r="N53" s="6446"/>
      <c r="O53" s="6446"/>
      <c r="P53" s="6446"/>
      <c r="Q53" s="6447"/>
      <c r="R53" s="6517" t="s">
        <v>33</v>
      </c>
      <c r="S53" s="6511" t="s">
        <v>36</v>
      </c>
      <c r="T53" s="6405" t="s">
        <v>37</v>
      </c>
      <c r="U53" s="6451"/>
      <c r="V53" s="6405" t="s">
        <v>734</v>
      </c>
      <c r="W53" s="6456"/>
      <c r="X53" s="6451"/>
      <c r="Y53" s="6511" t="s">
        <v>735</v>
      </c>
      <c r="CB53" s="19"/>
      <c r="CC53" s="19"/>
      <c r="CD53" s="19"/>
      <c r="CE53" s="19"/>
      <c r="CF53" s="19"/>
      <c r="CR53" s="2915"/>
    </row>
    <row r="54" spans="1:104" ht="28.5" customHeight="1" x14ac:dyDescent="0.25">
      <c r="B54" s="6213"/>
      <c r="C54" s="6027"/>
      <c r="D54" s="6024"/>
      <c r="E54" s="467" t="s">
        <v>736</v>
      </c>
      <c r="F54" s="490" t="s">
        <v>44</v>
      </c>
      <c r="G54" s="490" t="s">
        <v>45</v>
      </c>
      <c r="H54" s="490" t="s">
        <v>46</v>
      </c>
      <c r="I54" s="490" t="s">
        <v>47</v>
      </c>
      <c r="J54" s="490" t="s">
        <v>48</v>
      </c>
      <c r="K54" s="490" t="s">
        <v>49</v>
      </c>
      <c r="L54" s="490" t="s">
        <v>50</v>
      </c>
      <c r="M54" s="490" t="s">
        <v>51</v>
      </c>
      <c r="N54" s="490" t="s">
        <v>52</v>
      </c>
      <c r="O54" s="508" t="s">
        <v>53</v>
      </c>
      <c r="P54" s="490" t="s">
        <v>54</v>
      </c>
      <c r="Q54" s="469" t="s">
        <v>737</v>
      </c>
      <c r="R54" s="6035"/>
      <c r="S54" s="6028"/>
      <c r="T54" s="467" t="s">
        <v>705</v>
      </c>
      <c r="U54" s="1742" t="s">
        <v>706</v>
      </c>
      <c r="V54" s="2913" t="s">
        <v>60</v>
      </c>
      <c r="W54" s="781" t="s">
        <v>738</v>
      </c>
      <c r="X54" s="2916" t="s">
        <v>62</v>
      </c>
      <c r="Y54" s="6028"/>
      <c r="CB54" s="19"/>
      <c r="CC54" s="19"/>
      <c r="CD54" s="19"/>
      <c r="CE54" s="19"/>
      <c r="CF54" s="19"/>
      <c r="CR54" s="2915"/>
    </row>
    <row r="55" spans="1:104" ht="15" customHeight="1" x14ac:dyDescent="0.25">
      <c r="A55" s="5640" t="s">
        <v>4968</v>
      </c>
      <c r="B55" s="6453" t="s">
        <v>756</v>
      </c>
      <c r="C55" s="542" t="s">
        <v>751</v>
      </c>
      <c r="D55" s="4779" t="s">
        <v>4567</v>
      </c>
      <c r="E55" s="1726" t="s">
        <v>4568</v>
      </c>
      <c r="F55" s="5562" t="s">
        <v>4569</v>
      </c>
      <c r="G55" s="5562" t="s">
        <v>4570</v>
      </c>
      <c r="H55" s="5562" t="s">
        <v>4571</v>
      </c>
      <c r="I55" s="5562" t="s">
        <v>4572</v>
      </c>
      <c r="J55" s="5562" t="s">
        <v>4573</v>
      </c>
      <c r="K55" s="5562" t="s">
        <v>4574</v>
      </c>
      <c r="L55" s="5562" t="s">
        <v>4575</v>
      </c>
      <c r="M55" s="5562" t="s">
        <v>4576</v>
      </c>
      <c r="N55" s="5562" t="s">
        <v>4577</v>
      </c>
      <c r="O55" s="5670" t="s">
        <v>4578</v>
      </c>
      <c r="P55" s="5562" t="s">
        <v>4579</v>
      </c>
      <c r="Q55" s="5555" t="s">
        <v>4580</v>
      </c>
      <c r="R55" s="3128" t="s">
        <v>4581</v>
      </c>
      <c r="S55" s="5651" t="s">
        <v>4582</v>
      </c>
      <c r="T55" s="1726" t="s">
        <v>4583</v>
      </c>
      <c r="U55" s="5651" t="s">
        <v>4584</v>
      </c>
      <c r="V55" s="1726" t="s">
        <v>4585</v>
      </c>
      <c r="W55" s="5562" t="s">
        <v>4586</v>
      </c>
      <c r="X55" s="5651" t="s">
        <v>4587</v>
      </c>
      <c r="Y55" s="5651" t="s">
        <v>4588</v>
      </c>
      <c r="Z55" t="e">
        <f>CB55&amp;CC55&amp;CD55&amp;CE55&amp;CF55&amp;CG55&amp;CH55&amp;CI55</f>
        <v>#VALUE!</v>
      </c>
      <c r="CB55" s="135" t="str">
        <f>IF(AND($D55&gt;0,R55="")," * No olvide digitar la variable "&amp;R$53&amp;""&amp;". Digite Cero si no tiene.",IF(R55&gt;$D55," * La variable "&amp;R$53&amp;""&amp;" no  puede ser mayor al Total.",""))</f>
        <v xml:space="preserve"> * La variable Espacios Amigables/ Adolescentes no  puede ser mayor al Total.</v>
      </c>
      <c r="CC55" s="135" t="str">
        <f>IF(AND($D55&gt;0,S55="")," * No olvide digitar la variable "&amp;S$53&amp;""&amp;". Digite Cero si no tiene.",IF(S55&gt;$D55," * La variable "&amp;S$53&amp;""&amp;" no  puede ser mayor al Total.",""))</f>
        <v xml:space="preserve"> * La variable Pueblos Originarios no  puede ser mayor al Total.</v>
      </c>
      <c r="CD55" s="135" t="e">
        <f>IF(AND($E55+$F55&gt;0,$T55="")," * No olvide digitar la variable Migrantes "&amp;T$54&amp;""&amp;". Digite Cero si no tiene.",IF($T55&gt;$E55+$F55," * La variable Migrantes "&amp;T$54&amp;""&amp;" no  puede ser mayor al Total.",""))</f>
        <v>#VALUE!</v>
      </c>
      <c r="CE55" s="135" t="e">
        <f>IF(AND($G55+$H55+$I55+$J55+$K55+$L55+$M55+$N55+$O55+$P55+$Q55&gt;0,$U55="")," * No olvide digitar la variable Migrantes "&amp;U$54&amp;""&amp;". Digite Cero si no tiene.",IF(U55&gt;$G55+$H55+$I55+$J55+$K55+$L55+$M55+$N55+$O55+$P55+$Q55," * La variable Migrantes "&amp;U$54&amp;""&amp;" no  puede ser mayor al Total.",""))</f>
        <v>#VALUE!</v>
      </c>
      <c r="CF55" s="135" t="str">
        <f>IF(AND($D55&gt;0,V55="")," * No olvide digitar la variable "&amp;V$54&amp;""&amp;". Digite Cero si no tiene.",IF(V55&gt;$D55," * La variable "&amp;V$54&amp;""&amp;" no  puede ser mayor al Total.",""))</f>
        <v xml:space="preserve"> * La variable Trans masculino no  puede ser mayor al Total.</v>
      </c>
      <c r="CG55" s="135" t="str">
        <f>IF(AND($D55&gt;0,W55="")," * No olvide digitar la variable "&amp;W$54&amp;""&amp;". Digite Cero si no tiene.",IF(W55&gt;$D55," * La variable "&amp;W$54&amp;""&amp;" no  puede ser mayor al Total.",""))</f>
        <v xml:space="preserve"> * La variable Trans femenino no  puede ser mayor al Total.</v>
      </c>
      <c r="CH55" s="135" t="str">
        <f>IF(AND($D55&gt;0,X55="")," * No olvide digitar la variable "&amp;X$54&amp;""&amp;". Digite Cero si no tiene.",IF(X55&gt;$D55," * La variable "&amp;X$54&amp;""&amp;" no  puede ser mayor al Total.",""))</f>
        <v xml:space="preserve"> * La variable No binarie no  puede ser mayor al Total.</v>
      </c>
      <c r="CI55" s="135" t="str">
        <f>IF(AND($D55&gt;0,Y55="")," * No olvide digitar la variable "&amp;Y$53&amp;""&amp;". Digite Cero si no tiene.",IF(Y55&gt;$D55," * La variable "&amp;Y$53&amp;""&amp;" no  puede ser mayor al Total.",""))</f>
        <v xml:space="preserve"> * La variable Personas con Discpacidad no  puede ser mayor al Total.</v>
      </c>
      <c r="CJ55" s="19"/>
      <c r="CP55" s="2917">
        <f t="shared" ref="CP55:CQ55" si="47">IF(AND($D55&gt;0,R55=""),1,IF(R55&gt;$D55,1,0))</f>
        <v>1</v>
      </c>
      <c r="CQ55" s="2917">
        <f t="shared" si="47"/>
        <v>1</v>
      </c>
      <c r="CR55" s="2917" t="e">
        <f>IF(AND($E55+$F55&gt;0,T55=""),1,IF(T55&gt;$E55+$F55,1,0))</f>
        <v>#VALUE!</v>
      </c>
      <c r="CS55" s="2917" t="e">
        <f>IF(AND($G55+$H55+$I55+$J55+$K55+$L55+$M55+$N55+$O55+$P55+$Q55&gt;0,$U55=""),1,IF($U55&gt;$G55+$H55+$I55+$J55+$K55+$L55+$M55+$N55+$O55+$P55+$Q55,1,0))</f>
        <v>#VALUE!</v>
      </c>
      <c r="CT55" s="2917">
        <f>IF(AND($D55&gt;0,V55=""),1,IF(V55&gt;$D55,1,0))</f>
        <v>1</v>
      </c>
      <c r="CU55" s="2917">
        <f>IF(AND($D55&gt;0,W55=""),1,IF(W55&gt;$D55,1,0))</f>
        <v>1</v>
      </c>
      <c r="CV55" s="2917">
        <f>IF(AND($D55&gt;0,X55=""),1,IF(X55&gt;$D55,1,0))</f>
        <v>1</v>
      </c>
      <c r="CW55" s="2917">
        <f>IF(AND($D55&gt;0,Y55=""),1,IF(Y55&gt;$D55,1,0))</f>
        <v>1</v>
      </c>
      <c r="CX55" s="2918"/>
    </row>
    <row r="56" spans="1:104" ht="15" customHeight="1" x14ac:dyDescent="0.25">
      <c r="A56" s="5640" t="s">
        <v>4969</v>
      </c>
      <c r="B56" s="6059"/>
      <c r="C56" s="2919" t="s">
        <v>58</v>
      </c>
      <c r="D56" s="5695" t="s">
        <v>4567</v>
      </c>
      <c r="E56" s="1737" t="s">
        <v>4568</v>
      </c>
      <c r="F56" s="262" t="s">
        <v>4569</v>
      </c>
      <c r="G56" s="262" t="s">
        <v>4570</v>
      </c>
      <c r="H56" s="262" t="s">
        <v>4571</v>
      </c>
      <c r="I56" s="262" t="s">
        <v>4572</v>
      </c>
      <c r="J56" s="262" t="s">
        <v>4573</v>
      </c>
      <c r="K56" s="262" t="s">
        <v>4574</v>
      </c>
      <c r="L56" s="262" t="s">
        <v>4575</v>
      </c>
      <c r="M56" s="262" t="s">
        <v>4576</v>
      </c>
      <c r="N56" s="262" t="s">
        <v>4577</v>
      </c>
      <c r="O56" s="5674" t="s">
        <v>4578</v>
      </c>
      <c r="P56" s="262" t="s">
        <v>4579</v>
      </c>
      <c r="Q56" s="297" t="s">
        <v>4580</v>
      </c>
      <c r="R56" s="266" t="s">
        <v>4581</v>
      </c>
      <c r="S56" s="5675" t="s">
        <v>4582</v>
      </c>
      <c r="T56" s="1737" t="s">
        <v>4583</v>
      </c>
      <c r="U56" s="5675" t="s">
        <v>4584</v>
      </c>
      <c r="V56" s="1737" t="s">
        <v>4585</v>
      </c>
      <c r="W56" s="262" t="s">
        <v>4586</v>
      </c>
      <c r="X56" s="5675" t="s">
        <v>4587</v>
      </c>
      <c r="Y56" s="5675" t="s">
        <v>4588</v>
      </c>
      <c r="Z56" t="e">
        <f t="shared" ref="Z56:Z59" si="48">CB56&amp;CC56&amp;CD56&amp;CE56&amp;CF56&amp;CG56&amp;CH56&amp;CI56</f>
        <v>#VALUE!</v>
      </c>
      <c r="CB56" s="135" t="str">
        <f t="shared" ref="CB56:CB59" si="49">IF(AND($D56&gt;0,R56="")," * No olvide digitar la variable "&amp;R$53&amp;""&amp;". Digite Cero si no tiene.",IF(R56&gt;$D56," * La variable "&amp;R$53&amp;""&amp;" no  puede ser mayor al Total.",""))</f>
        <v xml:space="preserve"> * La variable Espacios Amigables/ Adolescentes no  puede ser mayor al Total.</v>
      </c>
      <c r="CC56" s="135" t="str">
        <f t="shared" ref="CC56:CC59" si="50">IF(AND($D56&gt;0,S56="")," * No olvide digitar la variable "&amp;S$53&amp;""&amp;". Digite Cero si no tiene.",IF(S56&gt;$D56," * La variable "&amp;S$53&amp;""&amp;" no  puede ser mayor al Total.",""))</f>
        <v xml:space="preserve"> * La variable Pueblos Originarios no  puede ser mayor al Total.</v>
      </c>
      <c r="CD56" s="135" t="e">
        <f t="shared" ref="CD56:CD59" si="51">IF(AND($E56+$F56&gt;0,$T56="")," * No olvide digitar la variable Migrantes "&amp;T$54&amp;""&amp;". Digite Cero si no tiene.",IF($T56&gt;$E56+$F56," * La variable Migrantes "&amp;T$54&amp;""&amp;" no  puede ser mayor al Total.",""))</f>
        <v>#VALUE!</v>
      </c>
      <c r="CE56" s="135" t="e">
        <f t="shared" ref="CE56:CE59" si="52">IF(AND($G56+$H56+$I56+$J56+$K56+$L56+$M56+$N56+$O56+$P56+$Q56&gt;0,$U56="")," * No olvide digitar la variable Migrantes "&amp;U$54&amp;""&amp;". Digite Cero si no tiene.",IF(U56&gt;$G56+$H56+$I56+$J56+$K56+$L56+$M56+$N56+$O56+$P56+$Q56," * La variable Migrantes "&amp;U$54&amp;""&amp;" no  puede ser mayor al Total.",""))</f>
        <v>#VALUE!</v>
      </c>
      <c r="CF56" s="135" t="str">
        <f t="shared" ref="CF56:CF59" si="53">IF(AND($D56&gt;0,V56="")," * No olvide digitar la variable "&amp;V$54&amp;""&amp;". Digite Cero si no tiene.",IF(V56&gt;$D56," * La variable "&amp;V$54&amp;""&amp;" no  puede ser mayor al Total.",""))</f>
        <v xml:space="preserve"> * La variable Trans masculino no  puede ser mayor al Total.</v>
      </c>
      <c r="CG56" s="135" t="str">
        <f t="shared" ref="CG56:CG59" si="54">IF(AND($D56&gt;0,W56="")," * No olvide digitar la variable "&amp;W$54&amp;""&amp;". Digite Cero si no tiene.",IF(W56&gt;$D56," * La variable "&amp;W$54&amp;""&amp;" no  puede ser mayor al Total.",""))</f>
        <v xml:space="preserve"> * La variable Trans femenino no  puede ser mayor al Total.</v>
      </c>
      <c r="CH56" s="135" t="str">
        <f t="shared" ref="CH56:CH59" si="55">IF(AND($D56&gt;0,X56="")," * No olvide digitar la variable "&amp;X$54&amp;""&amp;". Digite Cero si no tiene.",IF(X56&gt;$D56," * La variable "&amp;X$54&amp;""&amp;" no  puede ser mayor al Total.",""))</f>
        <v xml:space="preserve"> * La variable No binarie no  puede ser mayor al Total.</v>
      </c>
      <c r="CI56" s="135" t="str">
        <f t="shared" ref="CI56:CI59" si="56">IF(AND($D56&gt;0,Y56="")," * No olvide digitar la variable "&amp;Y$53&amp;""&amp;". Digite Cero si no tiene.",IF(Y56&gt;$D56," * La variable "&amp;Y$53&amp;""&amp;" no  puede ser mayor al Total.",""))</f>
        <v xml:space="preserve"> * La variable Personas con Discpacidad no  puede ser mayor al Total.</v>
      </c>
      <c r="CP56" s="2917">
        <f t="shared" ref="CP56:CP59" si="57">IF(AND($D56&gt;0,R56=""),1,IF(R56&gt;$D56,1,0))</f>
        <v>1</v>
      </c>
      <c r="CQ56" s="2917">
        <f t="shared" ref="CQ56:CQ59" si="58">IF(AND($D56&gt;0,S56=""),1,IF(S56&gt;$D56,1,0))</f>
        <v>1</v>
      </c>
      <c r="CR56" s="2917" t="e">
        <f t="shared" ref="CR56:CR59" si="59">IF(AND($E56+$F56&gt;0,T56=""),1,IF(T56&gt;$E56+$F56,1,0))</f>
        <v>#VALUE!</v>
      </c>
      <c r="CS56" s="2917" t="e">
        <f t="shared" ref="CS56:CS59" si="60">IF(AND($G56+$H56+$I56+$J56+$K56+$L56+$M56+$N56+$O56+$P56+$Q56&gt;0,$U56=""),1,IF($U56&gt;$G56+$H56+$I56+$J56+$K56+$L56+$M56+$N56+$O56+$P56+$Q56,1,0))</f>
        <v>#VALUE!</v>
      </c>
      <c r="CT56" s="2917">
        <f t="shared" ref="CT56:CT59" si="61">IF(AND($D56&gt;0,V56=""),1,IF(V56&gt;$D56,1,0))</f>
        <v>1</v>
      </c>
      <c r="CU56" s="2917">
        <f t="shared" ref="CU56:CU59" si="62">IF(AND($D56&gt;0,W56=""),1,IF(W56&gt;$D56,1,0))</f>
        <v>1</v>
      </c>
      <c r="CV56" s="2917">
        <f t="shared" ref="CV56:CV59" si="63">IF(AND($D56&gt;0,X56=""),1,IF(X56&gt;$D56,1,0))</f>
        <v>1</v>
      </c>
      <c r="CW56" s="2917">
        <f t="shared" ref="CW56:CW59" si="64">IF(AND($D56&gt;0,Y56=""),1,IF(Y56&gt;$D56,1,0))</f>
        <v>1</v>
      </c>
    </row>
    <row r="57" spans="1:104" ht="15" customHeight="1" x14ac:dyDescent="0.25">
      <c r="A57" s="5640" t="s">
        <v>4970</v>
      </c>
      <c r="B57" s="6453" t="s">
        <v>757</v>
      </c>
      <c r="C57" s="542" t="s">
        <v>751</v>
      </c>
      <c r="D57" s="4779" t="s">
        <v>4567</v>
      </c>
      <c r="E57" s="1726" t="s">
        <v>4568</v>
      </c>
      <c r="F57" s="5562" t="s">
        <v>4569</v>
      </c>
      <c r="G57" s="5562" t="s">
        <v>4570</v>
      </c>
      <c r="H57" s="5562" t="s">
        <v>4571</v>
      </c>
      <c r="I57" s="5562" t="s">
        <v>4572</v>
      </c>
      <c r="J57" s="5562" t="s">
        <v>4573</v>
      </c>
      <c r="K57" s="5562" t="s">
        <v>4574</v>
      </c>
      <c r="L57" s="5562" t="s">
        <v>4575</v>
      </c>
      <c r="M57" s="5562" t="s">
        <v>4576</v>
      </c>
      <c r="N57" s="5562" t="s">
        <v>4577</v>
      </c>
      <c r="O57" s="5670" t="s">
        <v>4578</v>
      </c>
      <c r="P57" s="5562" t="s">
        <v>4579</v>
      </c>
      <c r="Q57" s="5555" t="s">
        <v>4580</v>
      </c>
      <c r="R57" s="3128" t="s">
        <v>4581</v>
      </c>
      <c r="S57" s="5651" t="s">
        <v>4582</v>
      </c>
      <c r="T57" s="1726" t="s">
        <v>4583</v>
      </c>
      <c r="U57" s="5651" t="s">
        <v>4584</v>
      </c>
      <c r="V57" s="1726" t="s">
        <v>4585</v>
      </c>
      <c r="W57" s="5562" t="s">
        <v>4586</v>
      </c>
      <c r="X57" s="5651" t="s">
        <v>4587</v>
      </c>
      <c r="Y57" s="5651" t="s">
        <v>4588</v>
      </c>
      <c r="Z57" t="e">
        <f t="shared" si="48"/>
        <v>#VALUE!</v>
      </c>
      <c r="CB57" s="135" t="str">
        <f t="shared" si="49"/>
        <v xml:space="preserve"> * La variable Espacios Amigables/ Adolescentes no  puede ser mayor al Total.</v>
      </c>
      <c r="CC57" s="135" t="str">
        <f t="shared" si="50"/>
        <v xml:space="preserve"> * La variable Pueblos Originarios no  puede ser mayor al Total.</v>
      </c>
      <c r="CD57" s="135" t="e">
        <f t="shared" si="51"/>
        <v>#VALUE!</v>
      </c>
      <c r="CE57" s="135" t="e">
        <f t="shared" si="52"/>
        <v>#VALUE!</v>
      </c>
      <c r="CF57" s="135" t="str">
        <f t="shared" si="53"/>
        <v xml:space="preserve"> * La variable Trans masculino no  puede ser mayor al Total.</v>
      </c>
      <c r="CG57" s="135" t="str">
        <f t="shared" si="54"/>
        <v xml:space="preserve"> * La variable Trans femenino no  puede ser mayor al Total.</v>
      </c>
      <c r="CH57" s="135" t="str">
        <f t="shared" si="55"/>
        <v xml:space="preserve"> * La variable No binarie no  puede ser mayor al Total.</v>
      </c>
      <c r="CI57" s="135" t="str">
        <f t="shared" si="56"/>
        <v xml:space="preserve"> * La variable Personas con Discpacidad no  puede ser mayor al Total.</v>
      </c>
      <c r="CP57" s="2917">
        <f t="shared" si="57"/>
        <v>1</v>
      </c>
      <c r="CQ57" s="2917">
        <f t="shared" si="58"/>
        <v>1</v>
      </c>
      <c r="CR57" s="2917" t="e">
        <f t="shared" si="59"/>
        <v>#VALUE!</v>
      </c>
      <c r="CS57" s="2917" t="e">
        <f t="shared" si="60"/>
        <v>#VALUE!</v>
      </c>
      <c r="CT57" s="2917">
        <f t="shared" si="61"/>
        <v>1</v>
      </c>
      <c r="CU57" s="2917">
        <f t="shared" si="62"/>
        <v>1</v>
      </c>
      <c r="CV57" s="2917">
        <f t="shared" si="63"/>
        <v>1</v>
      </c>
      <c r="CW57" s="2917">
        <f t="shared" si="64"/>
        <v>1</v>
      </c>
    </row>
    <row r="58" spans="1:104" ht="15" customHeight="1" x14ac:dyDescent="0.25">
      <c r="A58" s="5640" t="s">
        <v>4971</v>
      </c>
      <c r="B58" s="6059"/>
      <c r="C58" s="543" t="s">
        <v>58</v>
      </c>
      <c r="D58" s="5695" t="s">
        <v>4567</v>
      </c>
      <c r="E58" s="1737" t="s">
        <v>4568</v>
      </c>
      <c r="F58" s="262" t="s">
        <v>4569</v>
      </c>
      <c r="G58" s="262" t="s">
        <v>4570</v>
      </c>
      <c r="H58" s="262" t="s">
        <v>4571</v>
      </c>
      <c r="I58" s="262" t="s">
        <v>4572</v>
      </c>
      <c r="J58" s="262" t="s">
        <v>4573</v>
      </c>
      <c r="K58" s="262" t="s">
        <v>4574</v>
      </c>
      <c r="L58" s="262" t="s">
        <v>4575</v>
      </c>
      <c r="M58" s="262" t="s">
        <v>4576</v>
      </c>
      <c r="N58" s="262" t="s">
        <v>4577</v>
      </c>
      <c r="O58" s="5674" t="s">
        <v>4578</v>
      </c>
      <c r="P58" s="262" t="s">
        <v>4579</v>
      </c>
      <c r="Q58" s="297" t="s">
        <v>4580</v>
      </c>
      <c r="R58" s="266" t="s">
        <v>4581</v>
      </c>
      <c r="S58" s="5675" t="s">
        <v>4582</v>
      </c>
      <c r="T58" s="1737" t="s">
        <v>4583</v>
      </c>
      <c r="U58" s="5675" t="s">
        <v>4584</v>
      </c>
      <c r="V58" s="1737" t="s">
        <v>4585</v>
      </c>
      <c r="W58" s="262" t="s">
        <v>4586</v>
      </c>
      <c r="X58" s="5675" t="s">
        <v>4587</v>
      </c>
      <c r="Y58" s="5675" t="s">
        <v>4588</v>
      </c>
      <c r="Z58" t="e">
        <f t="shared" si="48"/>
        <v>#VALUE!</v>
      </c>
      <c r="CB58" s="135" t="str">
        <f t="shared" si="49"/>
        <v xml:space="preserve"> * La variable Espacios Amigables/ Adolescentes no  puede ser mayor al Total.</v>
      </c>
      <c r="CC58" s="135" t="str">
        <f t="shared" si="50"/>
        <v xml:space="preserve"> * La variable Pueblos Originarios no  puede ser mayor al Total.</v>
      </c>
      <c r="CD58" s="135" t="e">
        <f t="shared" si="51"/>
        <v>#VALUE!</v>
      </c>
      <c r="CE58" s="135" t="e">
        <f t="shared" si="52"/>
        <v>#VALUE!</v>
      </c>
      <c r="CF58" s="135" t="str">
        <f t="shared" si="53"/>
        <v xml:space="preserve"> * La variable Trans masculino no  puede ser mayor al Total.</v>
      </c>
      <c r="CG58" s="135" t="str">
        <f t="shared" si="54"/>
        <v xml:space="preserve"> * La variable Trans femenino no  puede ser mayor al Total.</v>
      </c>
      <c r="CH58" s="135" t="str">
        <f t="shared" si="55"/>
        <v xml:space="preserve"> * La variable No binarie no  puede ser mayor al Total.</v>
      </c>
      <c r="CI58" s="135" t="str">
        <f t="shared" si="56"/>
        <v xml:space="preserve"> * La variable Personas con Discpacidad no  puede ser mayor al Total.</v>
      </c>
      <c r="CP58" s="2917">
        <f t="shared" si="57"/>
        <v>1</v>
      </c>
      <c r="CQ58" s="2917">
        <f t="shared" si="58"/>
        <v>1</v>
      </c>
      <c r="CR58" s="2917" t="e">
        <f t="shared" si="59"/>
        <v>#VALUE!</v>
      </c>
      <c r="CS58" s="2917" t="e">
        <f t="shared" si="60"/>
        <v>#VALUE!</v>
      </c>
      <c r="CT58" s="2917">
        <f t="shared" si="61"/>
        <v>1</v>
      </c>
      <c r="CU58" s="2917">
        <f t="shared" si="62"/>
        <v>1</v>
      </c>
      <c r="CV58" s="2917">
        <f t="shared" si="63"/>
        <v>1</v>
      </c>
      <c r="CW58" s="2917">
        <f t="shared" si="64"/>
        <v>1</v>
      </c>
    </row>
    <row r="59" spans="1:104" ht="15" customHeight="1" x14ac:dyDescent="0.25">
      <c r="A59" s="5677" t="s">
        <v>4972</v>
      </c>
      <c r="B59" s="6571" t="s">
        <v>758</v>
      </c>
      <c r="C59" s="6572"/>
      <c r="D59" s="5695" t="s">
        <v>4567</v>
      </c>
      <c r="E59" s="1737" t="s">
        <v>4568</v>
      </c>
      <c r="F59" s="262" t="s">
        <v>4569</v>
      </c>
      <c r="G59" s="262" t="s">
        <v>4570</v>
      </c>
      <c r="H59" s="262" t="s">
        <v>4571</v>
      </c>
      <c r="I59" s="262" t="s">
        <v>4572</v>
      </c>
      <c r="J59" s="262" t="s">
        <v>4573</v>
      </c>
      <c r="K59" s="262" t="s">
        <v>4574</v>
      </c>
      <c r="L59" s="262" t="s">
        <v>4575</v>
      </c>
      <c r="M59" s="262" t="s">
        <v>4576</v>
      </c>
      <c r="N59" s="262" t="s">
        <v>4577</v>
      </c>
      <c r="O59" s="5674" t="s">
        <v>4578</v>
      </c>
      <c r="P59" s="262" t="s">
        <v>4579</v>
      </c>
      <c r="Q59" s="297" t="s">
        <v>4580</v>
      </c>
      <c r="R59" s="266" t="s">
        <v>4581</v>
      </c>
      <c r="S59" s="5675" t="s">
        <v>4582</v>
      </c>
      <c r="T59" s="1737" t="s">
        <v>4583</v>
      </c>
      <c r="U59" s="5675" t="s">
        <v>4584</v>
      </c>
      <c r="V59" s="1737" t="s">
        <v>4585</v>
      </c>
      <c r="W59" s="262" t="s">
        <v>4586</v>
      </c>
      <c r="X59" s="5675" t="s">
        <v>4587</v>
      </c>
      <c r="Y59" s="5675" t="s">
        <v>4588</v>
      </c>
      <c r="Z59" t="e">
        <f t="shared" si="48"/>
        <v>#VALUE!</v>
      </c>
      <c r="CB59" s="135" t="str">
        <f t="shared" si="49"/>
        <v xml:space="preserve"> * La variable Espacios Amigables/ Adolescentes no  puede ser mayor al Total.</v>
      </c>
      <c r="CC59" s="135" t="str">
        <f t="shared" si="50"/>
        <v xml:space="preserve"> * La variable Pueblos Originarios no  puede ser mayor al Total.</v>
      </c>
      <c r="CD59" s="135" t="e">
        <f t="shared" si="51"/>
        <v>#VALUE!</v>
      </c>
      <c r="CE59" s="135" t="e">
        <f t="shared" si="52"/>
        <v>#VALUE!</v>
      </c>
      <c r="CF59" s="135" t="str">
        <f t="shared" si="53"/>
        <v xml:space="preserve"> * La variable Trans masculino no  puede ser mayor al Total.</v>
      </c>
      <c r="CG59" s="135" t="str">
        <f t="shared" si="54"/>
        <v xml:space="preserve"> * La variable Trans femenino no  puede ser mayor al Total.</v>
      </c>
      <c r="CH59" s="135" t="str">
        <f t="shared" si="55"/>
        <v xml:space="preserve"> * La variable No binarie no  puede ser mayor al Total.</v>
      </c>
      <c r="CI59" s="135" t="str">
        <f t="shared" si="56"/>
        <v xml:space="preserve"> * La variable Personas con Discpacidad no  puede ser mayor al Total.</v>
      </c>
      <c r="CP59" s="2917">
        <f t="shared" si="57"/>
        <v>1</v>
      </c>
      <c r="CQ59" s="2917">
        <f t="shared" si="58"/>
        <v>1</v>
      </c>
      <c r="CR59" s="2917" t="e">
        <f t="shared" si="59"/>
        <v>#VALUE!</v>
      </c>
      <c r="CS59" s="2917" t="e">
        <f t="shared" si="60"/>
        <v>#VALUE!</v>
      </c>
      <c r="CT59" s="2917">
        <f t="shared" si="61"/>
        <v>1</v>
      </c>
      <c r="CU59" s="2917">
        <f t="shared" si="62"/>
        <v>1</v>
      </c>
      <c r="CV59" s="2917">
        <f t="shared" si="63"/>
        <v>1</v>
      </c>
      <c r="CW59" s="2917">
        <f t="shared" si="64"/>
        <v>1</v>
      </c>
    </row>
    <row r="60" spans="1:104" s="6" customFormat="1" ht="18" customHeight="1" x14ac:dyDescent="0.2">
      <c r="A60" s="5603"/>
      <c r="B60" s="3" t="s">
        <v>759</v>
      </c>
      <c r="C60" s="194"/>
      <c r="D60" s="291"/>
      <c r="E60" s="4"/>
      <c r="F60" s="4"/>
      <c r="G60" s="3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1:104" x14ac:dyDescent="0.25">
      <c r="A61" s="5548"/>
      <c r="B61" s="6212" t="s">
        <v>730</v>
      </c>
      <c r="C61" s="6511"/>
      <c r="D61" s="6458" t="s">
        <v>28</v>
      </c>
      <c r="E61" s="6411" t="s">
        <v>29</v>
      </c>
      <c r="F61" s="6446"/>
      <c r="G61" s="6446"/>
      <c r="H61" s="6446"/>
      <c r="I61" s="6446"/>
      <c r="J61" s="6446"/>
      <c r="K61" s="6446"/>
      <c r="L61" s="6446"/>
      <c r="M61" s="6446"/>
      <c r="N61" s="6446"/>
      <c r="O61" s="6446"/>
      <c r="P61" s="6446"/>
      <c r="Q61" s="6447"/>
      <c r="R61" s="6517" t="s">
        <v>36</v>
      </c>
      <c r="S61" s="6511" t="s">
        <v>37</v>
      </c>
    </row>
    <row r="62" spans="1:104" ht="21" x14ac:dyDescent="0.25">
      <c r="A62" s="5548"/>
      <c r="B62" s="6064"/>
      <c r="C62" s="6028"/>
      <c r="D62" s="6024"/>
      <c r="E62" s="467" t="s">
        <v>736</v>
      </c>
      <c r="F62" s="490" t="s">
        <v>44</v>
      </c>
      <c r="G62" s="490" t="s">
        <v>45</v>
      </c>
      <c r="H62" s="490" t="s">
        <v>46</v>
      </c>
      <c r="I62" s="490" t="s">
        <v>47</v>
      </c>
      <c r="J62" s="490" t="s">
        <v>48</v>
      </c>
      <c r="K62" s="490" t="s">
        <v>49</v>
      </c>
      <c r="L62" s="490" t="s">
        <v>50</v>
      </c>
      <c r="M62" s="490" t="s">
        <v>51</v>
      </c>
      <c r="N62" s="490" t="s">
        <v>52</v>
      </c>
      <c r="O62" s="508" t="s">
        <v>53</v>
      </c>
      <c r="P62" s="490" t="s">
        <v>54</v>
      </c>
      <c r="Q62" s="469" t="s">
        <v>737</v>
      </c>
      <c r="R62" s="6035"/>
      <c r="S62" s="6028"/>
    </row>
    <row r="63" spans="1:104" ht="15" customHeight="1" x14ac:dyDescent="0.25">
      <c r="A63" s="5678"/>
      <c r="B63" s="6573" t="s">
        <v>739</v>
      </c>
      <c r="C63" s="6574"/>
      <c r="D63" s="509">
        <f>SUM(E63:Q63)</f>
        <v>0</v>
      </c>
      <c r="E63" s="510">
        <f>SUM(E64:E76)</f>
        <v>0</v>
      </c>
      <c r="F63" s="511">
        <f t="shared" ref="F63:N63" si="65">SUM(F64:F76)</f>
        <v>0</v>
      </c>
      <c r="G63" s="511">
        <f>SUM(G64:G76)</f>
        <v>0</v>
      </c>
      <c r="H63" s="511">
        <f t="shared" si="65"/>
        <v>0</v>
      </c>
      <c r="I63" s="511">
        <f t="shared" si="65"/>
        <v>0</v>
      </c>
      <c r="J63" s="511">
        <f t="shared" si="65"/>
        <v>0</v>
      </c>
      <c r="K63" s="511">
        <f t="shared" si="65"/>
        <v>0</v>
      </c>
      <c r="L63" s="511">
        <f t="shared" si="65"/>
        <v>0</v>
      </c>
      <c r="M63" s="511">
        <f t="shared" si="65"/>
        <v>0</v>
      </c>
      <c r="N63" s="511">
        <f t="shared" si="65"/>
        <v>0</v>
      </c>
      <c r="O63" s="511">
        <f>SUM(O79:O83)</f>
        <v>0</v>
      </c>
      <c r="P63" s="511">
        <f t="shared" ref="P63:Q63" si="66">SUM(P79:P83)</f>
        <v>0</v>
      </c>
      <c r="Q63" s="535">
        <f t="shared" si="66"/>
        <v>0</v>
      </c>
      <c r="R63" s="513">
        <f>SUM(R64:R76)</f>
        <v>0</v>
      </c>
      <c r="S63" s="514">
        <f>SUM(S64:S76)</f>
        <v>0</v>
      </c>
    </row>
    <row r="64" spans="1:104" ht="15" customHeight="1" x14ac:dyDescent="0.25">
      <c r="A64" s="5640" t="s">
        <v>4973</v>
      </c>
      <c r="B64" s="6567" t="s">
        <v>740</v>
      </c>
      <c r="C64" s="6568"/>
      <c r="D64" s="4779" t="s">
        <v>4567</v>
      </c>
      <c r="E64" s="1726" t="s">
        <v>4568</v>
      </c>
      <c r="F64" s="5562" t="s">
        <v>4569</v>
      </c>
      <c r="G64" s="5562" t="s">
        <v>4570</v>
      </c>
      <c r="H64" s="5562" t="s">
        <v>4571</v>
      </c>
      <c r="I64" s="5562" t="s">
        <v>4572</v>
      </c>
      <c r="J64" s="5562" t="s">
        <v>4573</v>
      </c>
      <c r="K64" s="5562" t="s">
        <v>4574</v>
      </c>
      <c r="L64" s="5562" t="s">
        <v>4575</v>
      </c>
      <c r="M64" s="5562" t="s">
        <v>4576</v>
      </c>
      <c r="N64" s="5562" t="s">
        <v>4577</v>
      </c>
      <c r="O64" s="5699" t="s">
        <v>4578</v>
      </c>
      <c r="P64" s="5689" t="s">
        <v>4579</v>
      </c>
      <c r="Q64" s="5690" t="s">
        <v>4580</v>
      </c>
      <c r="R64" s="3128" t="s">
        <v>4581</v>
      </c>
      <c r="S64" s="5651" t="s">
        <v>4582</v>
      </c>
      <c r="T64" t="str">
        <f t="shared" ref="T64:T83" si="67">CB64&amp;CC64</f>
        <v xml:space="preserve"> * La variable  Pueblos Originarios No puede ser mayor al Total.  * La variable  Migrantes No puede ser mayor al Total.</v>
      </c>
      <c r="CB64" s="135" t="str">
        <f>IF(AND($D64&gt;0,R64="")," * No olvide digitar la variable "&amp;$R$61&amp;""&amp;". Digite Cero si no tiene.",IF(R64&gt;$D64," * La variable  "&amp;$R$61&amp;""&amp;" No puede ser mayor al Total.",""))</f>
        <v xml:space="preserve"> * La variable  Pueblos Originarios No puede ser mayor al Total.</v>
      </c>
      <c r="CC64" s="135" t="str">
        <f>IF(AND($D64&gt;0,S64="")," * No olvide digitar la variable  "&amp;$S$61&amp;""&amp;". Digite Cero si no tiene.",IF(S64&gt;$D64,"  * La variable  "&amp;$S$61&amp;""&amp;" No puede ser mayor al Total.",""))</f>
        <v xml:space="preserve">  * La variable  Migrantes No puede ser mayor al Total.</v>
      </c>
      <c r="CP64" s="1867">
        <f>IF(AND($D64&gt;0,R64=""),1,IF(R64&gt;$D64,1,0))</f>
        <v>1</v>
      </c>
      <c r="CQ64" s="1867">
        <f t="shared" ref="CQ64:CQ83" si="68">IF(AND(D64&gt;0,S64=""),1,IF(S64&gt;D64,1,0))</f>
        <v>1</v>
      </c>
    </row>
    <row r="65" spans="1:95" ht="15" customHeight="1" x14ac:dyDescent="0.25">
      <c r="A65" s="5640" t="s">
        <v>4974</v>
      </c>
      <c r="B65" s="6569" t="s">
        <v>741</v>
      </c>
      <c r="C65" s="6570"/>
      <c r="D65" s="2829" t="s">
        <v>4567</v>
      </c>
      <c r="E65" s="1114" t="s">
        <v>4568</v>
      </c>
      <c r="F65" s="1258" t="s">
        <v>4569</v>
      </c>
      <c r="G65" s="1258" t="s">
        <v>4570</v>
      </c>
      <c r="H65" s="1258" t="s">
        <v>4571</v>
      </c>
      <c r="I65" s="1258" t="s">
        <v>4572</v>
      </c>
      <c r="J65" s="1258" t="s">
        <v>4573</v>
      </c>
      <c r="K65" s="1258" t="s">
        <v>4574</v>
      </c>
      <c r="L65" s="1258" t="s">
        <v>4575</v>
      </c>
      <c r="M65" s="1258" t="s">
        <v>4576</v>
      </c>
      <c r="N65" s="1258" t="s">
        <v>4577</v>
      </c>
      <c r="O65" s="5700" t="s">
        <v>4578</v>
      </c>
      <c r="P65" s="4556" t="s">
        <v>4579</v>
      </c>
      <c r="Q65" s="5691" t="s">
        <v>4580</v>
      </c>
      <c r="R65" s="296" t="s">
        <v>4581</v>
      </c>
      <c r="S65" s="3004" t="s">
        <v>4582</v>
      </c>
      <c r="T65" t="str">
        <f t="shared" si="67"/>
        <v xml:space="preserve"> * La variable  Pueblos Originarios No puede ser mayor al Total.  * La variable  Migrantes No puede ser mayor al Total.</v>
      </c>
      <c r="CB65" s="135" t="str">
        <f t="shared" ref="CB65:CB83" si="69">IF(AND($D65&gt;0,R65="")," * No olvide digitar la variable "&amp;$R$61&amp;""&amp;". Digite Cero si no tiene.",IF(R65&gt;$D65," * La variable  "&amp;$R$61&amp;""&amp;" No puede ser mayor al Total.",""))</f>
        <v xml:space="preserve"> * La variable  Pueblos Originarios No puede ser mayor al Total.</v>
      </c>
      <c r="CC65" s="135" t="str">
        <f t="shared" ref="CC65:CC83" si="70">IF(AND($D65&gt;0,S65="")," * No olvide digitar la variable  "&amp;$S$61&amp;""&amp;". Digite Cero si no tiene.",IF(S65&gt;$D65,"  * La variable  "&amp;$S$61&amp;""&amp;" No puede ser mayor al Total.",""))</f>
        <v xml:space="preserve">  * La variable  Migrantes No puede ser mayor al Total.</v>
      </c>
      <c r="CP65" s="1867">
        <f t="shared" ref="CP65:CP83" si="71">IF(AND(D65&gt;0,R65=""),1,IF(R65&gt;D65,1,0))</f>
        <v>1</v>
      </c>
      <c r="CQ65" s="1867">
        <f t="shared" si="68"/>
        <v>1</v>
      </c>
    </row>
    <row r="66" spans="1:95" ht="15" customHeight="1" x14ac:dyDescent="0.25">
      <c r="A66" s="5640" t="s">
        <v>4975</v>
      </c>
      <c r="B66" s="6453" t="s">
        <v>742</v>
      </c>
      <c r="C66" s="519" t="s">
        <v>743</v>
      </c>
      <c r="D66" s="4779" t="s">
        <v>4567</v>
      </c>
      <c r="E66" s="1726" t="s">
        <v>4568</v>
      </c>
      <c r="F66" s="5562" t="s">
        <v>4569</v>
      </c>
      <c r="G66" s="5562" t="s">
        <v>4570</v>
      </c>
      <c r="H66" s="5562" t="s">
        <v>4571</v>
      </c>
      <c r="I66" s="5562" t="s">
        <v>4572</v>
      </c>
      <c r="J66" s="5562" t="s">
        <v>4573</v>
      </c>
      <c r="K66" s="5562" t="s">
        <v>4574</v>
      </c>
      <c r="L66" s="5562" t="s">
        <v>4575</v>
      </c>
      <c r="M66" s="5562" t="s">
        <v>4576</v>
      </c>
      <c r="N66" s="5562" t="s">
        <v>4577</v>
      </c>
      <c r="O66" s="5699" t="s">
        <v>4578</v>
      </c>
      <c r="P66" s="5689" t="s">
        <v>4579</v>
      </c>
      <c r="Q66" s="5690" t="s">
        <v>4580</v>
      </c>
      <c r="R66" s="3128" t="s">
        <v>4581</v>
      </c>
      <c r="S66" s="5651" t="s">
        <v>4582</v>
      </c>
      <c r="T66" t="str">
        <f t="shared" si="67"/>
        <v xml:space="preserve"> * La variable  Pueblos Originarios No puede ser mayor al Total.  * La variable  Migrantes No puede ser mayor al Total.</v>
      </c>
      <c r="CB66" s="135" t="str">
        <f t="shared" si="69"/>
        <v xml:space="preserve"> * La variable  Pueblos Originarios No puede ser mayor al Total.</v>
      </c>
      <c r="CC66" s="135" t="str">
        <f t="shared" si="70"/>
        <v xml:space="preserve">  * La variable  Migrantes No puede ser mayor al Total.</v>
      </c>
      <c r="CP66" s="1867">
        <f t="shared" si="71"/>
        <v>1</v>
      </c>
      <c r="CQ66" s="1867">
        <f t="shared" si="68"/>
        <v>1</v>
      </c>
    </row>
    <row r="67" spans="1:95" ht="15" customHeight="1" x14ac:dyDescent="0.25">
      <c r="A67" s="5677" t="s">
        <v>4976</v>
      </c>
      <c r="B67" s="6112"/>
      <c r="C67" s="520" t="s">
        <v>744</v>
      </c>
      <c r="D67" s="2825" t="s">
        <v>4567</v>
      </c>
      <c r="E67" s="1089" t="s">
        <v>4568</v>
      </c>
      <c r="F67" s="368" t="s">
        <v>4569</v>
      </c>
      <c r="G67" s="368" t="s">
        <v>4570</v>
      </c>
      <c r="H67" s="368" t="s">
        <v>4571</v>
      </c>
      <c r="I67" s="368" t="s">
        <v>4572</v>
      </c>
      <c r="J67" s="368" t="s">
        <v>4573</v>
      </c>
      <c r="K67" s="368" t="s">
        <v>4574</v>
      </c>
      <c r="L67" s="368" t="s">
        <v>4575</v>
      </c>
      <c r="M67" s="368" t="s">
        <v>4576</v>
      </c>
      <c r="N67" s="368" t="s">
        <v>4577</v>
      </c>
      <c r="O67" s="5701" t="s">
        <v>4578</v>
      </c>
      <c r="P67" s="521" t="s">
        <v>4579</v>
      </c>
      <c r="Q67" s="5692" t="s">
        <v>4580</v>
      </c>
      <c r="R67" s="4065" t="s">
        <v>4581</v>
      </c>
      <c r="S67" s="1090" t="s">
        <v>4582</v>
      </c>
      <c r="T67" t="str">
        <f t="shared" si="67"/>
        <v xml:space="preserve"> * La variable  Pueblos Originarios No puede ser mayor al Total.  * La variable  Migrantes No puede ser mayor al Total.</v>
      </c>
      <c r="CB67" s="135" t="str">
        <f t="shared" si="69"/>
        <v xml:space="preserve"> * La variable  Pueblos Originarios No puede ser mayor al Total.</v>
      </c>
      <c r="CC67" s="135" t="str">
        <f t="shared" si="70"/>
        <v xml:space="preserve">  * La variable  Migrantes No puede ser mayor al Total.</v>
      </c>
      <c r="CP67" s="1867">
        <f t="shared" si="71"/>
        <v>1</v>
      </c>
      <c r="CQ67" s="1867">
        <f t="shared" si="68"/>
        <v>1</v>
      </c>
    </row>
    <row r="68" spans="1:95" ht="15" customHeight="1" x14ac:dyDescent="0.25">
      <c r="A68" s="5640" t="s">
        <v>4977</v>
      </c>
      <c r="B68" s="6112"/>
      <c r="C68" s="520" t="s">
        <v>745</v>
      </c>
      <c r="D68" s="2825" t="s">
        <v>4567</v>
      </c>
      <c r="E68" s="1089" t="s">
        <v>4568</v>
      </c>
      <c r="F68" s="368" t="s">
        <v>4569</v>
      </c>
      <c r="G68" s="368" t="s">
        <v>4570</v>
      </c>
      <c r="H68" s="368" t="s">
        <v>4571</v>
      </c>
      <c r="I68" s="368" t="s">
        <v>4572</v>
      </c>
      <c r="J68" s="368" t="s">
        <v>4573</v>
      </c>
      <c r="K68" s="368" t="s">
        <v>4574</v>
      </c>
      <c r="L68" s="368" t="s">
        <v>4575</v>
      </c>
      <c r="M68" s="368" t="s">
        <v>4576</v>
      </c>
      <c r="N68" s="368" t="s">
        <v>4577</v>
      </c>
      <c r="O68" s="5701" t="s">
        <v>4578</v>
      </c>
      <c r="P68" s="521" t="s">
        <v>4579</v>
      </c>
      <c r="Q68" s="5692" t="s">
        <v>4580</v>
      </c>
      <c r="R68" s="4065" t="s">
        <v>4581</v>
      </c>
      <c r="S68" s="1090" t="s">
        <v>4582</v>
      </c>
      <c r="T68" t="str">
        <f t="shared" si="67"/>
        <v xml:space="preserve"> * La variable  Pueblos Originarios No puede ser mayor al Total.  * La variable  Migrantes No puede ser mayor al Total.</v>
      </c>
      <c r="CB68" s="135" t="str">
        <f t="shared" si="69"/>
        <v xml:space="preserve"> * La variable  Pueblos Originarios No puede ser mayor al Total.</v>
      </c>
      <c r="CC68" s="135" t="str">
        <f t="shared" si="70"/>
        <v xml:space="preserve">  * La variable  Migrantes No puede ser mayor al Total.</v>
      </c>
      <c r="CP68" s="1867">
        <f t="shared" si="71"/>
        <v>1</v>
      </c>
      <c r="CQ68" s="1867">
        <f t="shared" si="68"/>
        <v>1</v>
      </c>
    </row>
    <row r="69" spans="1:95" ht="15" customHeight="1" x14ac:dyDescent="0.25">
      <c r="A69" s="5640" t="s">
        <v>4978</v>
      </c>
      <c r="B69" s="6112"/>
      <c r="C69" s="520" t="s">
        <v>746</v>
      </c>
      <c r="D69" s="2825" t="s">
        <v>4567</v>
      </c>
      <c r="E69" s="1089" t="s">
        <v>4568</v>
      </c>
      <c r="F69" s="368" t="s">
        <v>4569</v>
      </c>
      <c r="G69" s="368" t="s">
        <v>4570</v>
      </c>
      <c r="H69" s="368" t="s">
        <v>4571</v>
      </c>
      <c r="I69" s="368" t="s">
        <v>4572</v>
      </c>
      <c r="J69" s="368" t="s">
        <v>4573</v>
      </c>
      <c r="K69" s="368" t="s">
        <v>4574</v>
      </c>
      <c r="L69" s="368" t="s">
        <v>4575</v>
      </c>
      <c r="M69" s="368" t="s">
        <v>4576</v>
      </c>
      <c r="N69" s="368" t="s">
        <v>4577</v>
      </c>
      <c r="O69" s="5701" t="s">
        <v>4578</v>
      </c>
      <c r="P69" s="521" t="s">
        <v>4579</v>
      </c>
      <c r="Q69" s="5692" t="s">
        <v>4580</v>
      </c>
      <c r="R69" s="4065" t="s">
        <v>4581</v>
      </c>
      <c r="S69" s="1090" t="s">
        <v>4582</v>
      </c>
      <c r="T69" t="str">
        <f t="shared" si="67"/>
        <v xml:space="preserve"> * La variable  Pueblos Originarios No puede ser mayor al Total.  * La variable  Migrantes No puede ser mayor al Total.</v>
      </c>
      <c r="CB69" s="135" t="str">
        <f t="shared" si="69"/>
        <v xml:space="preserve"> * La variable  Pueblos Originarios No puede ser mayor al Total.</v>
      </c>
      <c r="CC69" s="135" t="str">
        <f t="shared" si="70"/>
        <v xml:space="preserve">  * La variable  Migrantes No puede ser mayor al Total.</v>
      </c>
      <c r="CP69" s="1867">
        <f t="shared" si="71"/>
        <v>1</v>
      </c>
      <c r="CQ69" s="1867">
        <f t="shared" si="68"/>
        <v>1</v>
      </c>
    </row>
    <row r="70" spans="1:95" ht="15" customHeight="1" x14ac:dyDescent="0.25">
      <c r="A70" s="5640" t="s">
        <v>4979</v>
      </c>
      <c r="B70" s="6112"/>
      <c r="C70" s="520" t="s">
        <v>747</v>
      </c>
      <c r="D70" s="2825" t="s">
        <v>4567</v>
      </c>
      <c r="E70" s="1089" t="s">
        <v>4568</v>
      </c>
      <c r="F70" s="368" t="s">
        <v>4569</v>
      </c>
      <c r="G70" s="368" t="s">
        <v>4570</v>
      </c>
      <c r="H70" s="368" t="s">
        <v>4571</v>
      </c>
      <c r="I70" s="368" t="s">
        <v>4572</v>
      </c>
      <c r="J70" s="368" t="s">
        <v>4573</v>
      </c>
      <c r="K70" s="368" t="s">
        <v>4574</v>
      </c>
      <c r="L70" s="368" t="s">
        <v>4575</v>
      </c>
      <c r="M70" s="368" t="s">
        <v>4576</v>
      </c>
      <c r="N70" s="368" t="s">
        <v>4577</v>
      </c>
      <c r="O70" s="5701" t="s">
        <v>4578</v>
      </c>
      <c r="P70" s="521" t="s">
        <v>4579</v>
      </c>
      <c r="Q70" s="5692" t="s">
        <v>4580</v>
      </c>
      <c r="R70" s="4065" t="s">
        <v>4581</v>
      </c>
      <c r="S70" s="1090" t="s">
        <v>4582</v>
      </c>
      <c r="T70" t="str">
        <f t="shared" si="67"/>
        <v xml:space="preserve"> * La variable  Pueblos Originarios No puede ser mayor al Total.  * La variable  Migrantes No puede ser mayor al Total.</v>
      </c>
      <c r="CB70" s="135" t="str">
        <f t="shared" si="69"/>
        <v xml:space="preserve"> * La variable  Pueblos Originarios No puede ser mayor al Total.</v>
      </c>
      <c r="CC70" s="135" t="str">
        <f t="shared" si="70"/>
        <v xml:space="preserve">  * La variable  Migrantes No puede ser mayor al Total.</v>
      </c>
      <c r="CP70" s="1867">
        <f t="shared" si="71"/>
        <v>1</v>
      </c>
      <c r="CQ70" s="1867">
        <f t="shared" si="68"/>
        <v>1</v>
      </c>
    </row>
    <row r="71" spans="1:95" ht="15" customHeight="1" x14ac:dyDescent="0.25">
      <c r="A71" s="5640" t="s">
        <v>4980</v>
      </c>
      <c r="B71" s="6112"/>
      <c r="C71" s="110" t="s">
        <v>748</v>
      </c>
      <c r="D71" s="352" t="s">
        <v>4567</v>
      </c>
      <c r="E71" s="4776" t="s">
        <v>4568</v>
      </c>
      <c r="F71" s="242" t="s">
        <v>4569</v>
      </c>
      <c r="G71" s="242" t="s">
        <v>4570</v>
      </c>
      <c r="H71" s="242" t="s">
        <v>4571</v>
      </c>
      <c r="I71" s="242" t="s">
        <v>4572</v>
      </c>
      <c r="J71" s="242" t="s">
        <v>4573</v>
      </c>
      <c r="K71" s="242" t="s">
        <v>4574</v>
      </c>
      <c r="L71" s="242" t="s">
        <v>4575</v>
      </c>
      <c r="M71" s="242" t="s">
        <v>4576</v>
      </c>
      <c r="N71" s="242" t="s">
        <v>4577</v>
      </c>
      <c r="O71" s="538" t="s">
        <v>4578</v>
      </c>
      <c r="P71" s="244" t="s">
        <v>4579</v>
      </c>
      <c r="Q71" s="292" t="s">
        <v>4580</v>
      </c>
      <c r="R71" s="74" t="s">
        <v>4581</v>
      </c>
      <c r="S71" s="5693" t="s">
        <v>4582</v>
      </c>
      <c r="T71" t="str">
        <f t="shared" si="67"/>
        <v xml:space="preserve"> * La variable  Pueblos Originarios No puede ser mayor al Total.  * La variable  Migrantes No puede ser mayor al Total.</v>
      </c>
      <c r="CB71" s="135" t="str">
        <f t="shared" si="69"/>
        <v xml:space="preserve"> * La variable  Pueblos Originarios No puede ser mayor al Total.</v>
      </c>
      <c r="CC71" s="135" t="str">
        <f t="shared" si="70"/>
        <v xml:space="preserve">  * La variable  Migrantes No puede ser mayor al Total.</v>
      </c>
      <c r="CP71" s="1867">
        <f t="shared" si="71"/>
        <v>1</v>
      </c>
      <c r="CQ71" s="1867">
        <f t="shared" si="68"/>
        <v>1</v>
      </c>
    </row>
    <row r="72" spans="1:95" ht="15" customHeight="1" x14ac:dyDescent="0.25">
      <c r="A72" s="5640" t="s">
        <v>4981</v>
      </c>
      <c r="B72" s="6059"/>
      <c r="C72" s="523" t="s">
        <v>749</v>
      </c>
      <c r="D72" s="2829" t="s">
        <v>4567</v>
      </c>
      <c r="E72" s="1114" t="s">
        <v>4568</v>
      </c>
      <c r="F72" s="1258" t="s">
        <v>4569</v>
      </c>
      <c r="G72" s="1258" t="s">
        <v>4570</v>
      </c>
      <c r="H72" s="1258" t="s">
        <v>4571</v>
      </c>
      <c r="I72" s="1258" t="s">
        <v>4572</v>
      </c>
      <c r="J72" s="1258" t="s">
        <v>4573</v>
      </c>
      <c r="K72" s="1258" t="s">
        <v>4574</v>
      </c>
      <c r="L72" s="1258" t="s">
        <v>4575</v>
      </c>
      <c r="M72" s="1258" t="s">
        <v>4576</v>
      </c>
      <c r="N72" s="1258" t="s">
        <v>4577</v>
      </c>
      <c r="O72" s="5700" t="s">
        <v>4578</v>
      </c>
      <c r="P72" s="4556" t="s">
        <v>4579</v>
      </c>
      <c r="Q72" s="5691" t="s">
        <v>4580</v>
      </c>
      <c r="R72" s="1303" t="s">
        <v>4581</v>
      </c>
      <c r="S72" s="5645" t="s">
        <v>4582</v>
      </c>
      <c r="T72" t="str">
        <f t="shared" si="67"/>
        <v xml:space="preserve"> * La variable  Pueblos Originarios No puede ser mayor al Total.  * La variable  Migrantes No puede ser mayor al Total.</v>
      </c>
      <c r="CB72" s="135" t="str">
        <f t="shared" si="69"/>
        <v xml:space="preserve"> * La variable  Pueblos Originarios No puede ser mayor al Total.</v>
      </c>
      <c r="CC72" s="135" t="str">
        <f t="shared" si="70"/>
        <v xml:space="preserve">  * La variable  Migrantes No puede ser mayor al Total.</v>
      </c>
      <c r="CP72" s="1867">
        <f t="shared" si="71"/>
        <v>1</v>
      </c>
      <c r="CQ72" s="1867">
        <f t="shared" si="68"/>
        <v>1</v>
      </c>
    </row>
    <row r="73" spans="1:95" ht="15" customHeight="1" x14ac:dyDescent="0.25">
      <c r="A73" s="5640" t="s">
        <v>4982</v>
      </c>
      <c r="B73" s="6453" t="s">
        <v>750</v>
      </c>
      <c r="C73" s="519" t="s">
        <v>751</v>
      </c>
      <c r="D73" s="4779" t="s">
        <v>4567</v>
      </c>
      <c r="E73" s="1726" t="s">
        <v>4568</v>
      </c>
      <c r="F73" s="5562" t="s">
        <v>4569</v>
      </c>
      <c r="G73" s="5562" t="s">
        <v>4570</v>
      </c>
      <c r="H73" s="5562" t="s">
        <v>4571</v>
      </c>
      <c r="I73" s="5562" t="s">
        <v>4572</v>
      </c>
      <c r="J73" s="5562" t="s">
        <v>4573</v>
      </c>
      <c r="K73" s="5562" t="s">
        <v>4574</v>
      </c>
      <c r="L73" s="5562" t="s">
        <v>4575</v>
      </c>
      <c r="M73" s="5562" t="s">
        <v>4576</v>
      </c>
      <c r="N73" s="5562" t="s">
        <v>4577</v>
      </c>
      <c r="O73" s="5694" t="s">
        <v>4578</v>
      </c>
      <c r="P73" s="5694" t="s">
        <v>4579</v>
      </c>
      <c r="Q73" s="5694" t="s">
        <v>4580</v>
      </c>
      <c r="R73" s="3128" t="s">
        <v>4581</v>
      </c>
      <c r="S73" s="5651" t="s">
        <v>4582</v>
      </c>
      <c r="T73" t="str">
        <f t="shared" si="67"/>
        <v xml:space="preserve"> * La variable  Pueblos Originarios No puede ser mayor al Total.  * La variable  Migrantes No puede ser mayor al Total.</v>
      </c>
      <c r="CB73" s="135" t="str">
        <f t="shared" si="69"/>
        <v xml:space="preserve"> * La variable  Pueblos Originarios No puede ser mayor al Total.</v>
      </c>
      <c r="CC73" s="135" t="str">
        <f t="shared" si="70"/>
        <v xml:space="preserve">  * La variable  Migrantes No puede ser mayor al Total.</v>
      </c>
      <c r="CP73" s="1867">
        <f t="shared" si="71"/>
        <v>1</v>
      </c>
      <c r="CQ73" s="1867">
        <f t="shared" si="68"/>
        <v>1</v>
      </c>
    </row>
    <row r="74" spans="1:95" ht="15" customHeight="1" x14ac:dyDescent="0.25">
      <c r="A74" s="5640" t="s">
        <v>4983</v>
      </c>
      <c r="B74" s="6059"/>
      <c r="C74" s="524" t="s">
        <v>58</v>
      </c>
      <c r="D74" s="2829" t="s">
        <v>4567</v>
      </c>
      <c r="E74" s="1114" t="s">
        <v>4568</v>
      </c>
      <c r="F74" s="1258" t="s">
        <v>4569</v>
      </c>
      <c r="G74" s="1258" t="s">
        <v>4570</v>
      </c>
      <c r="H74" s="1258" t="s">
        <v>4571</v>
      </c>
      <c r="I74" s="1258" t="s">
        <v>4572</v>
      </c>
      <c r="J74" s="1258" t="s">
        <v>4573</v>
      </c>
      <c r="K74" s="1258" t="s">
        <v>4574</v>
      </c>
      <c r="L74" s="1258" t="s">
        <v>4575</v>
      </c>
      <c r="M74" s="1258" t="s">
        <v>4576</v>
      </c>
      <c r="N74" s="1258" t="s">
        <v>4577</v>
      </c>
      <c r="O74" s="1258" t="s">
        <v>4578</v>
      </c>
      <c r="P74" s="1258" t="s">
        <v>4579</v>
      </c>
      <c r="Q74" s="1258" t="s">
        <v>4580</v>
      </c>
      <c r="R74" s="1303" t="s">
        <v>4581</v>
      </c>
      <c r="S74" s="5645" t="s">
        <v>4582</v>
      </c>
      <c r="T74" t="str">
        <f t="shared" si="67"/>
        <v xml:space="preserve"> * La variable  Pueblos Originarios No puede ser mayor al Total.  * La variable  Migrantes No puede ser mayor al Total.</v>
      </c>
      <c r="CB74" s="135" t="str">
        <f t="shared" si="69"/>
        <v xml:space="preserve"> * La variable  Pueblos Originarios No puede ser mayor al Total.</v>
      </c>
      <c r="CC74" s="135" t="str">
        <f t="shared" si="70"/>
        <v xml:space="preserve">  * La variable  Migrantes No puede ser mayor al Total.</v>
      </c>
      <c r="CP74" s="1867">
        <f t="shared" si="71"/>
        <v>1</v>
      </c>
      <c r="CQ74" s="1867">
        <f t="shared" si="68"/>
        <v>1</v>
      </c>
    </row>
    <row r="75" spans="1:95" ht="15" customHeight="1" x14ac:dyDescent="0.25">
      <c r="A75" s="5640" t="s">
        <v>4984</v>
      </c>
      <c r="B75" s="6453" t="s">
        <v>752</v>
      </c>
      <c r="C75" s="519" t="s">
        <v>751</v>
      </c>
      <c r="D75" s="4779" t="s">
        <v>4567</v>
      </c>
      <c r="E75" s="5562" t="s">
        <v>4568</v>
      </c>
      <c r="F75" s="5562" t="s">
        <v>4569</v>
      </c>
      <c r="G75" s="5562" t="s">
        <v>4570</v>
      </c>
      <c r="H75" s="5562" t="s">
        <v>4571</v>
      </c>
      <c r="I75" s="5562" t="s">
        <v>4572</v>
      </c>
      <c r="J75" s="5562" t="s">
        <v>4573</v>
      </c>
      <c r="K75" s="5562" t="s">
        <v>4574</v>
      </c>
      <c r="L75" s="5562" t="s">
        <v>4575</v>
      </c>
      <c r="M75" s="5562" t="s">
        <v>4576</v>
      </c>
      <c r="N75" s="5562" t="s">
        <v>4577</v>
      </c>
      <c r="O75" s="5699" t="s">
        <v>4578</v>
      </c>
      <c r="P75" s="5689" t="s">
        <v>4579</v>
      </c>
      <c r="Q75" s="5690" t="s">
        <v>4580</v>
      </c>
      <c r="R75" s="3128" t="s">
        <v>4581</v>
      </c>
      <c r="S75" s="5651" t="s">
        <v>4582</v>
      </c>
      <c r="T75" t="str">
        <f t="shared" si="67"/>
        <v xml:space="preserve"> * La variable  Pueblos Originarios No puede ser mayor al Total.  * La variable  Migrantes No puede ser mayor al Total.</v>
      </c>
      <c r="CB75" s="135" t="str">
        <f t="shared" si="69"/>
        <v xml:space="preserve"> * La variable  Pueblos Originarios No puede ser mayor al Total.</v>
      </c>
      <c r="CC75" s="135" t="str">
        <f t="shared" si="70"/>
        <v xml:space="preserve">  * La variable  Migrantes No puede ser mayor al Total.</v>
      </c>
      <c r="CP75" s="1867">
        <f t="shared" si="71"/>
        <v>1</v>
      </c>
      <c r="CQ75" s="1867">
        <f t="shared" si="68"/>
        <v>1</v>
      </c>
    </row>
    <row r="76" spans="1:95" ht="15" customHeight="1" thickBot="1" x14ac:dyDescent="0.3">
      <c r="A76" s="5640" t="s">
        <v>4985</v>
      </c>
      <c r="B76" s="6539"/>
      <c r="C76" s="152" t="s">
        <v>58</v>
      </c>
      <c r="D76" s="153" t="s">
        <v>4567</v>
      </c>
      <c r="E76" s="154" t="s">
        <v>4568</v>
      </c>
      <c r="F76" s="154" t="s">
        <v>4569</v>
      </c>
      <c r="G76" s="154" t="s">
        <v>4570</v>
      </c>
      <c r="H76" s="154" t="s">
        <v>4571</v>
      </c>
      <c r="I76" s="154" t="s">
        <v>4572</v>
      </c>
      <c r="J76" s="154" t="s">
        <v>4573</v>
      </c>
      <c r="K76" s="154" t="s">
        <v>4574</v>
      </c>
      <c r="L76" s="154" t="s">
        <v>4575</v>
      </c>
      <c r="M76" s="154" t="s">
        <v>4576</v>
      </c>
      <c r="N76" s="154" t="s">
        <v>4577</v>
      </c>
      <c r="O76" s="155" t="s">
        <v>4578</v>
      </c>
      <c r="P76" s="156" t="s">
        <v>4579</v>
      </c>
      <c r="Q76" s="157" t="s">
        <v>4580</v>
      </c>
      <c r="R76" s="5702" t="s">
        <v>4581</v>
      </c>
      <c r="S76" s="5703" t="s">
        <v>4582</v>
      </c>
      <c r="T76" t="str">
        <f t="shared" si="67"/>
        <v xml:space="preserve"> * La variable  Pueblos Originarios No puede ser mayor al Total.  * La variable  Migrantes No puede ser mayor al Total.</v>
      </c>
      <c r="CB76" s="135" t="str">
        <f t="shared" si="69"/>
        <v xml:space="preserve"> * La variable  Pueblos Originarios No puede ser mayor al Total.</v>
      </c>
      <c r="CC76" s="135" t="str">
        <f t="shared" si="70"/>
        <v xml:space="preserve">  * La variable  Migrantes No puede ser mayor al Total.</v>
      </c>
      <c r="CP76" s="1867">
        <f t="shared" si="71"/>
        <v>1</v>
      </c>
      <c r="CQ76" s="1867">
        <f t="shared" si="68"/>
        <v>1</v>
      </c>
    </row>
    <row r="77" spans="1:95" ht="15" customHeight="1" thickTop="1" x14ac:dyDescent="0.25">
      <c r="A77" s="5640" t="s">
        <v>4986</v>
      </c>
      <c r="B77" s="6537" t="s">
        <v>753</v>
      </c>
      <c r="C77" s="6538"/>
      <c r="D77" s="295" t="s">
        <v>4567</v>
      </c>
      <c r="E77" s="531" t="s">
        <v>4568</v>
      </c>
      <c r="F77" s="531" t="s">
        <v>4569</v>
      </c>
      <c r="G77" s="531" t="s">
        <v>4570</v>
      </c>
      <c r="H77" s="531" t="s">
        <v>4571</v>
      </c>
      <c r="I77" s="531" t="s">
        <v>4572</v>
      </c>
      <c r="J77" s="531" t="s">
        <v>4573</v>
      </c>
      <c r="K77" s="531" t="s">
        <v>4574</v>
      </c>
      <c r="L77" s="531" t="s">
        <v>4575</v>
      </c>
      <c r="M77" s="531" t="s">
        <v>4576</v>
      </c>
      <c r="N77" s="531" t="s">
        <v>4577</v>
      </c>
      <c r="O77" s="5704" t="s">
        <v>4578</v>
      </c>
      <c r="P77" s="532" t="s">
        <v>4579</v>
      </c>
      <c r="Q77" s="533" t="s">
        <v>4580</v>
      </c>
      <c r="R77" s="296" t="s">
        <v>4581</v>
      </c>
      <c r="S77" s="3004" t="s">
        <v>4582</v>
      </c>
      <c r="T77" t="str">
        <f t="shared" si="67"/>
        <v xml:space="preserve"> * La variable  Pueblos Originarios No puede ser mayor al Total.  * La variable  Migrantes No puede ser mayor al Total.</v>
      </c>
      <c r="CB77" s="135" t="str">
        <f t="shared" si="69"/>
        <v xml:space="preserve"> * La variable  Pueblos Originarios No puede ser mayor al Total.</v>
      </c>
      <c r="CC77" s="135" t="str">
        <f t="shared" si="70"/>
        <v xml:space="preserve">  * La variable  Migrantes No puede ser mayor al Total.</v>
      </c>
      <c r="CP77" s="1867">
        <f t="shared" si="71"/>
        <v>1</v>
      </c>
      <c r="CQ77" s="1867">
        <f t="shared" si="68"/>
        <v>1</v>
      </c>
    </row>
    <row r="78" spans="1:95" ht="15" customHeight="1" x14ac:dyDescent="0.25">
      <c r="A78" s="5640" t="s">
        <v>4987</v>
      </c>
      <c r="B78" s="6536" t="s">
        <v>754</v>
      </c>
      <c r="C78" s="6325"/>
      <c r="D78" s="5695" t="s">
        <v>4567</v>
      </c>
      <c r="E78" s="262" t="s">
        <v>4568</v>
      </c>
      <c r="F78" s="262" t="s">
        <v>4569</v>
      </c>
      <c r="G78" s="262" t="s">
        <v>4570</v>
      </c>
      <c r="H78" s="262" t="s">
        <v>4571</v>
      </c>
      <c r="I78" s="262" t="s">
        <v>4572</v>
      </c>
      <c r="J78" s="262" t="s">
        <v>4573</v>
      </c>
      <c r="K78" s="262" t="s">
        <v>4574</v>
      </c>
      <c r="L78" s="262" t="s">
        <v>4575</v>
      </c>
      <c r="M78" s="262" t="s">
        <v>4576</v>
      </c>
      <c r="N78" s="262" t="s">
        <v>4577</v>
      </c>
      <c r="O78" s="5705" t="s">
        <v>4578</v>
      </c>
      <c r="P78" s="293" t="s">
        <v>4579</v>
      </c>
      <c r="Q78" s="294" t="s">
        <v>4580</v>
      </c>
      <c r="R78" s="1303" t="s">
        <v>4581</v>
      </c>
      <c r="S78" s="5645" t="s">
        <v>4582</v>
      </c>
      <c r="T78" t="str">
        <f t="shared" si="67"/>
        <v xml:space="preserve"> * La variable  Pueblos Originarios No puede ser mayor al Total.  * La variable  Migrantes No puede ser mayor al Total.</v>
      </c>
      <c r="CB78" s="135" t="str">
        <f t="shared" si="69"/>
        <v xml:space="preserve"> * La variable  Pueblos Originarios No puede ser mayor al Total.</v>
      </c>
      <c r="CC78" s="135" t="str">
        <f t="shared" si="70"/>
        <v xml:space="preserve">  * La variable  Migrantes No puede ser mayor al Total.</v>
      </c>
      <c r="CP78" s="1867">
        <f t="shared" si="71"/>
        <v>1</v>
      </c>
      <c r="CQ78" s="1867">
        <f t="shared" si="68"/>
        <v>1</v>
      </c>
    </row>
    <row r="79" spans="1:95" ht="15" customHeight="1" x14ac:dyDescent="0.25">
      <c r="A79" s="5640" t="s">
        <v>4988</v>
      </c>
      <c r="B79" s="6453" t="s">
        <v>756</v>
      </c>
      <c r="C79" s="542" t="s">
        <v>751</v>
      </c>
      <c r="D79" s="4779" t="s">
        <v>4567</v>
      </c>
      <c r="E79" s="1726" t="s">
        <v>4568</v>
      </c>
      <c r="F79" s="5562" t="s">
        <v>4569</v>
      </c>
      <c r="G79" s="5562" t="s">
        <v>4570</v>
      </c>
      <c r="H79" s="5562" t="s">
        <v>4571</v>
      </c>
      <c r="I79" s="5562" t="s">
        <v>4572</v>
      </c>
      <c r="J79" s="5562" t="s">
        <v>4573</v>
      </c>
      <c r="K79" s="5562" t="s">
        <v>4574</v>
      </c>
      <c r="L79" s="5562" t="s">
        <v>4575</v>
      </c>
      <c r="M79" s="5562" t="s">
        <v>4576</v>
      </c>
      <c r="N79" s="5562" t="s">
        <v>4577</v>
      </c>
      <c r="O79" s="5670" t="s">
        <v>4578</v>
      </c>
      <c r="P79" s="5562" t="s">
        <v>4579</v>
      </c>
      <c r="Q79" s="5555" t="s">
        <v>4580</v>
      </c>
      <c r="R79" s="3128" t="s">
        <v>4581</v>
      </c>
      <c r="S79" s="5651" t="s">
        <v>4582</v>
      </c>
      <c r="T79" t="str">
        <f t="shared" si="67"/>
        <v xml:space="preserve"> * La variable  Pueblos Originarios No puede ser mayor al Total.  * La variable  Migrantes No puede ser mayor al Total.</v>
      </c>
      <c r="CB79" s="135" t="str">
        <f t="shared" si="69"/>
        <v xml:space="preserve"> * La variable  Pueblos Originarios No puede ser mayor al Total.</v>
      </c>
      <c r="CC79" s="135" t="str">
        <f t="shared" si="70"/>
        <v xml:space="preserve">  * La variable  Migrantes No puede ser mayor al Total.</v>
      </c>
      <c r="CP79" s="1867">
        <f t="shared" si="71"/>
        <v>1</v>
      </c>
      <c r="CQ79" s="1867">
        <f t="shared" si="68"/>
        <v>1</v>
      </c>
    </row>
    <row r="80" spans="1:95" ht="15" customHeight="1" x14ac:dyDescent="0.25">
      <c r="A80" s="5640" t="s">
        <v>4989</v>
      </c>
      <c r="B80" s="6059"/>
      <c r="C80" s="2919" t="s">
        <v>58</v>
      </c>
      <c r="D80" s="5695" t="s">
        <v>4567</v>
      </c>
      <c r="E80" s="1737" t="s">
        <v>4568</v>
      </c>
      <c r="F80" s="262" t="s">
        <v>4569</v>
      </c>
      <c r="G80" s="262" t="s">
        <v>4570</v>
      </c>
      <c r="H80" s="262" t="s">
        <v>4571</v>
      </c>
      <c r="I80" s="262" t="s">
        <v>4572</v>
      </c>
      <c r="J80" s="262" t="s">
        <v>4573</v>
      </c>
      <c r="K80" s="262" t="s">
        <v>4574</v>
      </c>
      <c r="L80" s="262" t="s">
        <v>4575</v>
      </c>
      <c r="M80" s="262" t="s">
        <v>4576</v>
      </c>
      <c r="N80" s="262" t="s">
        <v>4577</v>
      </c>
      <c r="O80" s="5674" t="s">
        <v>4578</v>
      </c>
      <c r="P80" s="262" t="s">
        <v>4579</v>
      </c>
      <c r="Q80" s="297" t="s">
        <v>4580</v>
      </c>
      <c r="R80" s="266" t="s">
        <v>4581</v>
      </c>
      <c r="S80" s="5675" t="s">
        <v>4582</v>
      </c>
      <c r="T80" t="str">
        <f t="shared" si="67"/>
        <v xml:space="preserve"> * La variable  Pueblos Originarios No puede ser mayor al Total.  * La variable  Migrantes No puede ser mayor al Total.</v>
      </c>
      <c r="CB80" s="135" t="str">
        <f t="shared" si="69"/>
        <v xml:space="preserve"> * La variable  Pueblos Originarios No puede ser mayor al Total.</v>
      </c>
      <c r="CC80" s="135" t="str">
        <f t="shared" si="70"/>
        <v xml:space="preserve">  * La variable  Migrantes No puede ser mayor al Total.</v>
      </c>
      <c r="CP80" s="1867">
        <f t="shared" si="71"/>
        <v>1</v>
      </c>
      <c r="CQ80" s="1867">
        <f t="shared" si="68"/>
        <v>1</v>
      </c>
    </row>
    <row r="81" spans="1:96" ht="15" customHeight="1" x14ac:dyDescent="0.25">
      <c r="A81" s="5640" t="s">
        <v>4990</v>
      </c>
      <c r="B81" s="6453" t="s">
        <v>757</v>
      </c>
      <c r="C81" s="542" t="s">
        <v>751</v>
      </c>
      <c r="D81" s="4779" t="s">
        <v>4567</v>
      </c>
      <c r="E81" s="5562" t="s">
        <v>4568</v>
      </c>
      <c r="F81" s="5562" t="s">
        <v>4569</v>
      </c>
      <c r="G81" s="5562" t="s">
        <v>4570</v>
      </c>
      <c r="H81" s="5562" t="s">
        <v>4571</v>
      </c>
      <c r="I81" s="5562" t="s">
        <v>4572</v>
      </c>
      <c r="J81" s="5562" t="s">
        <v>4573</v>
      </c>
      <c r="K81" s="5562" t="s">
        <v>4574</v>
      </c>
      <c r="L81" s="5562" t="s">
        <v>4575</v>
      </c>
      <c r="M81" s="5562" t="s">
        <v>4576</v>
      </c>
      <c r="N81" s="5562" t="s">
        <v>4577</v>
      </c>
      <c r="O81" s="5670" t="s">
        <v>4578</v>
      </c>
      <c r="P81" s="5562" t="s">
        <v>4579</v>
      </c>
      <c r="Q81" s="5555" t="s">
        <v>4580</v>
      </c>
      <c r="R81" s="296" t="s">
        <v>4581</v>
      </c>
      <c r="S81" s="3004" t="s">
        <v>4582</v>
      </c>
      <c r="T81" t="str">
        <f t="shared" si="67"/>
        <v xml:space="preserve"> * La variable  Pueblos Originarios No puede ser mayor al Total.  * La variable  Migrantes No puede ser mayor al Total.</v>
      </c>
      <c r="CB81" s="135" t="str">
        <f t="shared" si="69"/>
        <v xml:space="preserve"> * La variable  Pueblos Originarios No puede ser mayor al Total.</v>
      </c>
      <c r="CC81" s="135" t="str">
        <f t="shared" si="70"/>
        <v xml:space="preserve">  * La variable  Migrantes No puede ser mayor al Total.</v>
      </c>
      <c r="CP81" s="1867">
        <f t="shared" si="71"/>
        <v>1</v>
      </c>
      <c r="CQ81" s="1867">
        <f t="shared" si="68"/>
        <v>1</v>
      </c>
    </row>
    <row r="82" spans="1:96" ht="15" customHeight="1" x14ac:dyDescent="0.25">
      <c r="A82" s="5640" t="s">
        <v>4991</v>
      </c>
      <c r="B82" s="6059"/>
      <c r="C82" s="543" t="s">
        <v>58</v>
      </c>
      <c r="D82" s="5695" t="s">
        <v>4567</v>
      </c>
      <c r="E82" s="262" t="s">
        <v>4568</v>
      </c>
      <c r="F82" s="262" t="s">
        <v>4569</v>
      </c>
      <c r="G82" s="262" t="s">
        <v>4570</v>
      </c>
      <c r="H82" s="262" t="s">
        <v>4571</v>
      </c>
      <c r="I82" s="262" t="s">
        <v>4572</v>
      </c>
      <c r="J82" s="262" t="s">
        <v>4573</v>
      </c>
      <c r="K82" s="262" t="s">
        <v>4574</v>
      </c>
      <c r="L82" s="262" t="s">
        <v>4575</v>
      </c>
      <c r="M82" s="262" t="s">
        <v>4576</v>
      </c>
      <c r="N82" s="262" t="s">
        <v>4577</v>
      </c>
      <c r="O82" s="5674" t="s">
        <v>4578</v>
      </c>
      <c r="P82" s="262" t="s">
        <v>4579</v>
      </c>
      <c r="Q82" s="297" t="s">
        <v>4580</v>
      </c>
      <c r="R82" s="266" t="s">
        <v>4581</v>
      </c>
      <c r="S82" s="5675" t="s">
        <v>4582</v>
      </c>
      <c r="T82" t="str">
        <f>CB82&amp;CC82</f>
        <v xml:space="preserve"> * La variable  Pueblos Originarios No puede ser mayor al Total.  * La variable  Migrantes No puede ser mayor al Total.</v>
      </c>
      <c r="CB82" s="135" t="str">
        <f t="shared" si="69"/>
        <v xml:space="preserve"> * La variable  Pueblos Originarios No puede ser mayor al Total.</v>
      </c>
      <c r="CC82" s="135" t="str">
        <f t="shared" si="70"/>
        <v xml:space="preserve">  * La variable  Migrantes No puede ser mayor al Total.</v>
      </c>
      <c r="CP82" s="1867">
        <f t="shared" si="71"/>
        <v>1</v>
      </c>
      <c r="CQ82" s="1867">
        <f t="shared" si="68"/>
        <v>1</v>
      </c>
    </row>
    <row r="83" spans="1:96" ht="15" customHeight="1" x14ac:dyDescent="0.25">
      <c r="A83" s="5677" t="s">
        <v>4992</v>
      </c>
      <c r="B83" s="6596" t="s">
        <v>758</v>
      </c>
      <c r="C83" s="6597"/>
      <c r="D83" s="5695" t="s">
        <v>4567</v>
      </c>
      <c r="E83" s="1737" t="s">
        <v>4568</v>
      </c>
      <c r="F83" s="262" t="s">
        <v>4569</v>
      </c>
      <c r="G83" s="262" t="s">
        <v>4570</v>
      </c>
      <c r="H83" s="262" t="s">
        <v>4571</v>
      </c>
      <c r="I83" s="262" t="s">
        <v>4572</v>
      </c>
      <c r="J83" s="262" t="s">
        <v>4573</v>
      </c>
      <c r="K83" s="262" t="s">
        <v>4574</v>
      </c>
      <c r="L83" s="262" t="s">
        <v>4575</v>
      </c>
      <c r="M83" s="262" t="s">
        <v>4576</v>
      </c>
      <c r="N83" s="262" t="s">
        <v>4577</v>
      </c>
      <c r="O83" s="5674" t="s">
        <v>4578</v>
      </c>
      <c r="P83" s="262" t="s">
        <v>4579</v>
      </c>
      <c r="Q83" s="297" t="s">
        <v>4580</v>
      </c>
      <c r="R83" s="266" t="s">
        <v>4581</v>
      </c>
      <c r="S83" s="5675" t="s">
        <v>4582</v>
      </c>
      <c r="T83" t="str">
        <f t="shared" si="67"/>
        <v xml:space="preserve"> * La variable  Pueblos Originarios No puede ser mayor al Total.  * La variable  Migrantes No puede ser mayor al Total.</v>
      </c>
      <c r="CB83" s="135" t="str">
        <f t="shared" si="69"/>
        <v xml:space="preserve"> * La variable  Pueblos Originarios No puede ser mayor al Total.</v>
      </c>
      <c r="CC83" s="135" t="str">
        <f t="shared" si="70"/>
        <v xml:space="preserve">  * La variable  Migrantes No puede ser mayor al Total.</v>
      </c>
      <c r="CP83" s="1867">
        <f t="shared" si="71"/>
        <v>1</v>
      </c>
      <c r="CQ83" s="1867">
        <f t="shared" si="68"/>
        <v>1</v>
      </c>
    </row>
    <row r="84" spans="1:96" ht="18" customHeight="1" x14ac:dyDescent="0.25">
      <c r="B84" s="3" t="s">
        <v>760</v>
      </c>
      <c r="C84" s="4"/>
      <c r="D84" s="92"/>
    </row>
    <row r="85" spans="1:96" ht="33.6" customHeight="1" x14ac:dyDescent="0.25">
      <c r="B85" s="544" t="s">
        <v>285</v>
      </c>
      <c r="C85" s="545" t="s">
        <v>77</v>
      </c>
      <c r="D85" s="2868" t="s">
        <v>60</v>
      </c>
      <c r="E85" s="2920" t="s">
        <v>38</v>
      </c>
    </row>
    <row r="86" spans="1:96" ht="18" customHeight="1" x14ac:dyDescent="0.25">
      <c r="A86" s="5640" t="s">
        <v>4993</v>
      </c>
      <c r="B86" s="534" t="s">
        <v>761</v>
      </c>
      <c r="C86" s="5706" t="s">
        <v>4567</v>
      </c>
      <c r="D86" s="5707" t="s">
        <v>4568</v>
      </c>
      <c r="E86" s="5708" t="s">
        <v>4569</v>
      </c>
      <c r="F86" t="str">
        <f>CB86&amp;CC86</f>
        <v xml:space="preserve"> * La variable  Trans masculino No puede ser mayor al Total. * La variable  Personas con discapacidad No puede ser mayor al Total.</v>
      </c>
      <c r="CB86" s="135" t="str">
        <f>IF(AND($C86&gt;0,D86="")," * No olvide digitar la variable "&amp;$D$85&amp;""&amp;". Digite Cero si no tiene.",IF(D86&gt;$C86," * La variable  "&amp;$D$85&amp;""&amp;" No puede ser mayor al Total.",""))</f>
        <v xml:space="preserve"> * La variable  Trans masculino No puede ser mayor al Total.</v>
      </c>
      <c r="CC86" s="135" t="str">
        <f>IF(AND($C86&gt;0,E86="")," * No olvide digitar la variable "&amp;$E$85&amp;""&amp;". Digite Cero si no tiene.",IF(E86&gt;$C86," * La variable  "&amp;$E$85&amp;""&amp;" No puede ser mayor al Total.",""))</f>
        <v xml:space="preserve"> * La variable  Personas con discapacidad No puede ser mayor al Total.</v>
      </c>
      <c r="CP86" s="1867">
        <f>IF(AND(C86&gt;0,D86=""),1,IF(D86&gt;C86,1,0))</f>
        <v>1</v>
      </c>
      <c r="CQ86" s="1867">
        <f>IF(AND(C86&gt;0,E86=""),1,IF(E86&gt;C86,1,0))</f>
        <v>1</v>
      </c>
    </row>
    <row r="87" spans="1:96" ht="18" customHeight="1" x14ac:dyDescent="0.25">
      <c r="A87" s="5548"/>
      <c r="B87" s="298" t="s">
        <v>762</v>
      </c>
      <c r="C87" s="4"/>
      <c r="D87" s="8"/>
      <c r="E87" s="8"/>
      <c r="F87" s="546"/>
    </row>
    <row r="88" spans="1:96" x14ac:dyDescent="0.25">
      <c r="A88" s="5548"/>
      <c r="B88" s="6212" t="s">
        <v>763</v>
      </c>
      <c r="C88" s="6511"/>
      <c r="D88" s="467" t="s">
        <v>77</v>
      </c>
      <c r="E88" s="547" t="s">
        <v>764</v>
      </c>
      <c r="F88" s="468" t="s">
        <v>765</v>
      </c>
    </row>
    <row r="89" spans="1:96" ht="18" customHeight="1" x14ac:dyDescent="0.25">
      <c r="A89" s="5640" t="s">
        <v>4994</v>
      </c>
      <c r="B89" s="6573" t="s">
        <v>766</v>
      </c>
      <c r="C89" s="6574"/>
      <c r="D89" s="2995" t="s">
        <v>4567</v>
      </c>
      <c r="E89" s="5685" t="s">
        <v>4568</v>
      </c>
      <c r="F89" s="5686" t="s">
        <v>4569</v>
      </c>
      <c r="CB89" s="135" t="str">
        <f>IF(AND($D89&gt;0,E89="")," * No olvide digitar la variable "&amp;$E$88&amp;""&amp;". Digite Cero si no tiene.",IF(E89&gt;$D89," * La variable  "&amp;$E$88&amp;""&amp;" No puede ser mayor al Total.",""))</f>
        <v xml:space="preserve"> * La variable  Niños No puede ser mayor al Total.</v>
      </c>
      <c r="CC89" s="135" t="str">
        <f>IF(AND($D89&gt;0,F89="")," * No olvide digitar la variable "&amp;$F$88&amp;""&amp;". Digite Cero si no tiene.",IF(F89&gt;$D89," * La variable  "&amp;$F$88&amp;""&amp;" No puede ser mayor al Total.",""))</f>
        <v xml:space="preserve"> * La variable  Niñas No puede ser mayor al Total.</v>
      </c>
      <c r="CP89" s="1867">
        <f>IF(AND(D89&gt;0,E89=""),1,IF(E89&gt;D89,1,0))</f>
        <v>1</v>
      </c>
      <c r="CQ89" s="1867">
        <f>IF(AND(D89&gt;0,F89=""),1,IF(F89&gt;D89,1,0))</f>
        <v>1</v>
      </c>
    </row>
    <row r="90" spans="1:96" s="6" customFormat="1" ht="18" customHeight="1" x14ac:dyDescent="0.25">
      <c r="A90" s="5603"/>
      <c r="B90" s="2921" t="s">
        <v>767</v>
      </c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  <c r="AX90" s="189"/>
    </row>
    <row r="91" spans="1:96" s="6" customFormat="1" ht="18" customHeight="1" x14ac:dyDescent="0.2">
      <c r="A91" s="5603"/>
      <c r="B91" s="6163" t="s">
        <v>768</v>
      </c>
      <c r="C91" s="6598"/>
      <c r="D91" s="6163" t="s">
        <v>221</v>
      </c>
      <c r="E91" s="6665"/>
      <c r="F91" s="6598"/>
      <c r="G91" s="6666" t="s">
        <v>769</v>
      </c>
      <c r="H91" s="6667"/>
      <c r="I91" s="6667"/>
      <c r="J91" s="6667"/>
      <c r="K91" s="6667"/>
      <c r="L91" s="6667"/>
      <c r="M91" s="6667"/>
      <c r="N91" s="6667"/>
      <c r="O91" s="6667"/>
      <c r="P91" s="6667"/>
      <c r="Q91" s="6667"/>
      <c r="R91" s="6667"/>
      <c r="S91" s="6667"/>
      <c r="T91" s="6667"/>
      <c r="U91" s="6667"/>
      <c r="V91" s="6667"/>
      <c r="W91" s="6667"/>
      <c r="X91" s="6667"/>
      <c r="Y91" s="6667"/>
      <c r="Z91" s="6667"/>
      <c r="AA91" s="6667"/>
      <c r="AB91" s="6667"/>
      <c r="AC91" s="6667"/>
      <c r="AD91" s="6668"/>
      <c r="AE91" s="6684" t="s">
        <v>770</v>
      </c>
      <c r="AF91" s="6684"/>
      <c r="AG91" s="6684"/>
      <c r="AH91" s="6684"/>
      <c r="AI91" s="6684"/>
      <c r="AJ91" s="6684"/>
      <c r="AK91" s="6684"/>
      <c r="AL91" s="6684"/>
      <c r="AM91" s="6684"/>
      <c r="AN91" s="6684"/>
      <c r="AO91" s="6684"/>
      <c r="AP91" s="6684"/>
      <c r="AQ91" s="6684"/>
      <c r="AR91" s="6684"/>
      <c r="AS91" s="6684"/>
      <c r="AT91" s="6684"/>
      <c r="AU91" s="6701"/>
      <c r="AV91" s="6658" t="s">
        <v>36</v>
      </c>
      <c r="AW91" s="6670" t="s">
        <v>37</v>
      </c>
      <c r="AX91" s="6673" t="s">
        <v>771</v>
      </c>
    </row>
    <row r="92" spans="1:96" s="6" customFormat="1" ht="18" customHeight="1" x14ac:dyDescent="0.2">
      <c r="A92" s="5603"/>
      <c r="B92" s="6599"/>
      <c r="C92" s="6391"/>
      <c r="D92" s="6599"/>
      <c r="E92" s="6469"/>
      <c r="F92" s="6391"/>
      <c r="G92" s="6676" t="s">
        <v>772</v>
      </c>
      <c r="H92" s="6677"/>
      <c r="I92" s="6677"/>
      <c r="J92" s="6677"/>
      <c r="K92" s="6677"/>
      <c r="L92" s="6677"/>
      <c r="M92" s="6677"/>
      <c r="N92" s="6677"/>
      <c r="O92" s="6677"/>
      <c r="P92" s="6677"/>
      <c r="Q92" s="6677"/>
      <c r="R92" s="6678"/>
      <c r="S92" s="6679" t="s">
        <v>773</v>
      </c>
      <c r="T92" s="6680"/>
      <c r="U92" s="6680"/>
      <c r="V92" s="6680"/>
      <c r="W92" s="6680"/>
      <c r="X92" s="6681"/>
      <c r="Y92" s="6682" t="s">
        <v>636</v>
      </c>
      <c r="Z92" s="6682"/>
      <c r="AA92" s="6682"/>
      <c r="AB92" s="6682"/>
      <c r="AC92" s="6682"/>
      <c r="AD92" s="6683"/>
      <c r="AE92" s="6684" t="s">
        <v>774</v>
      </c>
      <c r="AF92" s="6684"/>
      <c r="AG92" s="6684"/>
      <c r="AH92" s="6684"/>
      <c r="AI92" s="6684"/>
      <c r="AJ92" s="6684"/>
      <c r="AK92" s="6684"/>
      <c r="AL92" s="6684"/>
      <c r="AM92" s="6684"/>
      <c r="AN92" s="6684"/>
      <c r="AO92" s="6684"/>
      <c r="AP92" s="6685"/>
      <c r="AQ92" s="6686" t="s">
        <v>637</v>
      </c>
      <c r="AR92" s="6689" t="s">
        <v>636</v>
      </c>
      <c r="AS92" s="6689" t="s">
        <v>775</v>
      </c>
      <c r="AT92" s="6689" t="s">
        <v>591</v>
      </c>
      <c r="AU92" s="6692" t="s">
        <v>776</v>
      </c>
      <c r="AV92" s="6659"/>
      <c r="AW92" s="6671"/>
      <c r="AX92" s="6674"/>
    </row>
    <row r="93" spans="1:96" s="6" customFormat="1" ht="15" customHeight="1" x14ac:dyDescent="0.2">
      <c r="A93" s="5603"/>
      <c r="B93" s="6599"/>
      <c r="C93" s="6391"/>
      <c r="D93" s="6600"/>
      <c r="E93" s="6167"/>
      <c r="F93" s="6168"/>
      <c r="G93" s="6695" t="s">
        <v>222</v>
      </c>
      <c r="H93" s="6554"/>
      <c r="I93" s="6553" t="s">
        <v>223</v>
      </c>
      <c r="J93" s="6554"/>
      <c r="K93" s="6553" t="s">
        <v>88</v>
      </c>
      <c r="L93" s="6554"/>
      <c r="M93" s="6553" t="s">
        <v>224</v>
      </c>
      <c r="N93" s="6554"/>
      <c r="O93" s="6553" t="s">
        <v>225</v>
      </c>
      <c r="P93" s="6554"/>
      <c r="Q93" s="6553" t="s">
        <v>226</v>
      </c>
      <c r="R93" s="6457"/>
      <c r="S93" s="6695" t="s">
        <v>638</v>
      </c>
      <c r="T93" s="6554"/>
      <c r="U93" s="6553" t="s">
        <v>639</v>
      </c>
      <c r="V93" s="6554"/>
      <c r="W93" s="6553" t="s">
        <v>640</v>
      </c>
      <c r="X93" s="6457"/>
      <c r="Y93" s="6702" t="s">
        <v>638</v>
      </c>
      <c r="Z93" s="6554"/>
      <c r="AA93" s="6553" t="s">
        <v>639</v>
      </c>
      <c r="AB93" s="6554"/>
      <c r="AC93" s="6553" t="s">
        <v>640</v>
      </c>
      <c r="AD93" s="6669"/>
      <c r="AE93" s="6702" t="s">
        <v>222</v>
      </c>
      <c r="AF93" s="6554"/>
      <c r="AG93" s="6553" t="s">
        <v>223</v>
      </c>
      <c r="AH93" s="6554"/>
      <c r="AI93" s="6553" t="s">
        <v>88</v>
      </c>
      <c r="AJ93" s="6554"/>
      <c r="AK93" s="6553" t="s">
        <v>224</v>
      </c>
      <c r="AL93" s="6554"/>
      <c r="AM93" s="6553" t="s">
        <v>225</v>
      </c>
      <c r="AN93" s="6554"/>
      <c r="AO93" s="6553" t="s">
        <v>226</v>
      </c>
      <c r="AP93" s="6554"/>
      <c r="AQ93" s="6687"/>
      <c r="AR93" s="6690"/>
      <c r="AS93" s="6690"/>
      <c r="AT93" s="6690"/>
      <c r="AU93" s="6693"/>
      <c r="AV93" s="6659"/>
      <c r="AW93" s="6671"/>
      <c r="AX93" s="6674"/>
    </row>
    <row r="94" spans="1:96" s="6" customFormat="1" ht="18" customHeight="1" x14ac:dyDescent="0.2">
      <c r="A94" s="5603"/>
      <c r="B94" s="6600"/>
      <c r="C94" s="6168"/>
      <c r="D94" s="2924" t="s">
        <v>79</v>
      </c>
      <c r="E94" s="2925" t="s">
        <v>58</v>
      </c>
      <c r="F94" s="2926" t="s">
        <v>59</v>
      </c>
      <c r="G94" s="2912" t="s">
        <v>58</v>
      </c>
      <c r="H94" s="2927" t="s">
        <v>59</v>
      </c>
      <c r="I94" s="2912" t="s">
        <v>58</v>
      </c>
      <c r="J94" s="2927" t="s">
        <v>59</v>
      </c>
      <c r="K94" s="2912" t="s">
        <v>58</v>
      </c>
      <c r="L94" s="2927" t="s">
        <v>59</v>
      </c>
      <c r="M94" s="2912" t="s">
        <v>58</v>
      </c>
      <c r="N94" s="2927" t="s">
        <v>59</v>
      </c>
      <c r="O94" s="2912" t="s">
        <v>58</v>
      </c>
      <c r="P94" s="2927" t="s">
        <v>59</v>
      </c>
      <c r="Q94" s="2912" t="s">
        <v>58</v>
      </c>
      <c r="R94" s="2928" t="s">
        <v>59</v>
      </c>
      <c r="S94" s="2912" t="s">
        <v>58</v>
      </c>
      <c r="T94" s="2927" t="s">
        <v>59</v>
      </c>
      <c r="U94" s="2912" t="s">
        <v>58</v>
      </c>
      <c r="V94" s="2927" t="s">
        <v>59</v>
      </c>
      <c r="W94" s="2929" t="s">
        <v>58</v>
      </c>
      <c r="X94" s="2926" t="s">
        <v>59</v>
      </c>
      <c r="Y94" s="2930" t="s">
        <v>58</v>
      </c>
      <c r="Z94" s="2927" t="s">
        <v>59</v>
      </c>
      <c r="AA94" s="2912" t="s">
        <v>58</v>
      </c>
      <c r="AB94" s="2927" t="s">
        <v>59</v>
      </c>
      <c r="AC94" s="2912" t="s">
        <v>58</v>
      </c>
      <c r="AD94" s="2931" t="s">
        <v>59</v>
      </c>
      <c r="AE94" s="2930" t="s">
        <v>58</v>
      </c>
      <c r="AF94" s="2927" t="s">
        <v>59</v>
      </c>
      <c r="AG94" s="2912" t="s">
        <v>58</v>
      </c>
      <c r="AH94" s="2927" t="s">
        <v>59</v>
      </c>
      <c r="AI94" s="2912" t="s">
        <v>58</v>
      </c>
      <c r="AJ94" s="2927" t="s">
        <v>59</v>
      </c>
      <c r="AK94" s="2912" t="s">
        <v>58</v>
      </c>
      <c r="AL94" s="2927" t="s">
        <v>59</v>
      </c>
      <c r="AM94" s="2912" t="s">
        <v>58</v>
      </c>
      <c r="AN94" s="2927" t="s">
        <v>59</v>
      </c>
      <c r="AO94" s="2912" t="s">
        <v>58</v>
      </c>
      <c r="AP94" s="2927" t="s">
        <v>59</v>
      </c>
      <c r="AQ94" s="6688"/>
      <c r="AR94" s="6691"/>
      <c r="AS94" s="6691"/>
      <c r="AT94" s="6691"/>
      <c r="AU94" s="6694"/>
      <c r="AV94" s="6660"/>
      <c r="AW94" s="6672"/>
      <c r="AX94" s="6675"/>
      <c r="CB94" s="19"/>
      <c r="CC94" s="19"/>
    </row>
    <row r="95" spans="1:96" s="6" customFormat="1" ht="15" customHeight="1" x14ac:dyDescent="0.25">
      <c r="A95" s="5640" t="s">
        <v>4995</v>
      </c>
      <c r="B95" s="6661" t="s">
        <v>229</v>
      </c>
      <c r="C95" s="6662"/>
      <c r="D95" s="5649" t="s">
        <v>4567</v>
      </c>
      <c r="E95" s="5709" t="s">
        <v>4568</v>
      </c>
      <c r="F95" s="5710" t="s">
        <v>4569</v>
      </c>
      <c r="G95" s="5447" t="s">
        <v>4570</v>
      </c>
      <c r="H95" s="5711" t="s">
        <v>4571</v>
      </c>
      <c r="I95" s="5712" t="s">
        <v>4572</v>
      </c>
      <c r="J95" s="5711" t="s">
        <v>4573</v>
      </c>
      <c r="K95" s="5712" t="s">
        <v>4574</v>
      </c>
      <c r="L95" s="5711" t="s">
        <v>4575</v>
      </c>
      <c r="M95" s="5712" t="s">
        <v>4576</v>
      </c>
      <c r="N95" s="5711" t="s">
        <v>4577</v>
      </c>
      <c r="O95" s="5712" t="s">
        <v>4578</v>
      </c>
      <c r="P95" s="5711" t="s">
        <v>4579</v>
      </c>
      <c r="Q95" s="5712" t="s">
        <v>4580</v>
      </c>
      <c r="R95" s="5552" t="s">
        <v>4581</v>
      </c>
      <c r="S95" s="5447" t="s">
        <v>4582</v>
      </c>
      <c r="T95" s="5711" t="s">
        <v>4583</v>
      </c>
      <c r="U95" s="5712" t="s">
        <v>4584</v>
      </c>
      <c r="V95" s="5711" t="s">
        <v>4585</v>
      </c>
      <c r="W95" s="5712" t="s">
        <v>4586</v>
      </c>
      <c r="X95" s="5552" t="s">
        <v>4587</v>
      </c>
      <c r="Y95" s="5713" t="s">
        <v>4588</v>
      </c>
      <c r="Z95" s="5711" t="s">
        <v>4589</v>
      </c>
      <c r="AA95" s="5712" t="s">
        <v>4590</v>
      </c>
      <c r="AB95" s="5714" t="s">
        <v>4591</v>
      </c>
      <c r="AC95" s="5713" t="s">
        <v>4592</v>
      </c>
      <c r="AD95" s="5715" t="s">
        <v>4593</v>
      </c>
      <c r="AE95" s="5713" t="s">
        <v>4594</v>
      </c>
      <c r="AF95" s="5714" t="s">
        <v>4595</v>
      </c>
      <c r="AG95" s="5712" t="s">
        <v>4596</v>
      </c>
      <c r="AH95" s="5711" t="s">
        <v>4597</v>
      </c>
      <c r="AI95" s="5712" t="s">
        <v>4598</v>
      </c>
      <c r="AJ95" s="5714" t="s">
        <v>4599</v>
      </c>
      <c r="AK95" s="5712" t="s">
        <v>4600</v>
      </c>
      <c r="AL95" s="5711" t="s">
        <v>4601</v>
      </c>
      <c r="AM95" s="5712" t="s">
        <v>4602</v>
      </c>
      <c r="AN95" s="5714" t="s">
        <v>4603</v>
      </c>
      <c r="AO95" s="5713" t="s">
        <v>4604</v>
      </c>
      <c r="AP95" s="5711" t="s">
        <v>4605</v>
      </c>
      <c r="AQ95" s="5716" t="s">
        <v>4606</v>
      </c>
      <c r="AR95" s="5717" t="s">
        <v>4934</v>
      </c>
      <c r="AS95" s="2933" t="s">
        <v>4935</v>
      </c>
      <c r="AT95" s="2933" t="s">
        <v>4936</v>
      </c>
      <c r="AU95" s="5715" t="s">
        <v>4937</v>
      </c>
      <c r="AV95" s="5718" t="s">
        <v>5234</v>
      </c>
      <c r="AW95" s="5711" t="s">
        <v>5235</v>
      </c>
      <c r="AX95" s="2934" t="s">
        <v>5236</v>
      </c>
      <c r="AY95" t="str">
        <f>CB95&amp;CC95&amp;CD95</f>
        <v xml:space="preserve"> * La variable Pueblos originarios No puede ser mayor al Total.  * La variable Migrantes No puede ser mayor al Total. * La variable Niños y niñas Mejor Niñez No puede ser mayor al Total.</v>
      </c>
      <c r="BA95" t="str">
        <f>CB95&amp;CC95</f>
        <v xml:space="preserve"> * La variable Pueblos originarios No puede ser mayor al Total.  * La variable Migrantes No puede ser mayor al Total.</v>
      </c>
      <c r="CB95" s="135" t="str">
        <f>IF(AND($D95&gt;0,AV95="")," * No olvide digitar la variable Pueblos originarios. Digite Cero si no tiene.",IF(AV95&gt;$D95," * La variable Pueblos originarios No puede ser mayor al Total.",""))</f>
        <v xml:space="preserve"> * La variable Pueblos originarios No puede ser mayor al Total.</v>
      </c>
      <c r="CC95" s="135" t="str">
        <f>IF(AND($D95&gt;0,AW95=""),"  * No olvide digitar la variable Migrantes. Digite Cero si no tiene.",IF(AW95&gt;$D95,"  * La variable Migrantes No puede ser mayor al Total.",""))</f>
        <v xml:space="preserve">  * La variable Migrantes No puede ser mayor al Total.</v>
      </c>
      <c r="CD95" s="135" t="str">
        <f>IF(AND($D95&gt;0,AX95="")," * No olvide digitar la variable Niños y niñas Mejor Niñez. Digite Cero si no tiene.",IF(AX95&gt;$D95," * La variable Niños y niñas Mejor Niñez No puede ser mayor al Total.",""))</f>
        <v xml:space="preserve"> * La variable Niños y niñas Mejor Niñez No puede ser mayor al Total.</v>
      </c>
      <c r="CP95" s="54">
        <f>IF(AND($D95&gt;0,AV95=""),1,IF(AV95&gt;$D95,1,0))</f>
        <v>1</v>
      </c>
      <c r="CQ95" s="54">
        <f>IF(AND($D95&gt;0,AW95=""),1,IF(AW95&gt;$D95,1,0))</f>
        <v>1</v>
      </c>
      <c r="CR95" s="54">
        <f>IF(AND($D95&gt;0,AX95=""),1,IF(AX95&gt;$D95,1,0))</f>
        <v>1</v>
      </c>
    </row>
    <row r="96" spans="1:96" s="6" customFormat="1" ht="15" customHeight="1" x14ac:dyDescent="0.25">
      <c r="A96" s="5640" t="s">
        <v>4996</v>
      </c>
      <c r="B96" s="6663" t="s">
        <v>230</v>
      </c>
      <c r="C96" s="6664"/>
      <c r="D96" s="5719" t="s">
        <v>4567</v>
      </c>
      <c r="E96" s="5720" t="s">
        <v>4568</v>
      </c>
      <c r="F96" s="5721" t="s">
        <v>4569</v>
      </c>
      <c r="G96" s="2670" t="s">
        <v>4570</v>
      </c>
      <c r="H96" s="5722" t="s">
        <v>4571</v>
      </c>
      <c r="I96" s="2936" t="s">
        <v>4572</v>
      </c>
      <c r="J96" s="5722" t="s">
        <v>4573</v>
      </c>
      <c r="K96" s="2936" t="s">
        <v>4574</v>
      </c>
      <c r="L96" s="5722" t="s">
        <v>4575</v>
      </c>
      <c r="M96" s="2936" t="s">
        <v>4576</v>
      </c>
      <c r="N96" s="5722" t="s">
        <v>4577</v>
      </c>
      <c r="O96" s="2936" t="s">
        <v>4578</v>
      </c>
      <c r="P96" s="5722" t="s">
        <v>4579</v>
      </c>
      <c r="Q96" s="2936" t="s">
        <v>4580</v>
      </c>
      <c r="R96" s="5449" t="s">
        <v>4581</v>
      </c>
      <c r="S96" s="2670" t="s">
        <v>4582</v>
      </c>
      <c r="T96" s="5722" t="s">
        <v>4583</v>
      </c>
      <c r="U96" s="2936" t="s">
        <v>4584</v>
      </c>
      <c r="V96" s="5722" t="s">
        <v>4585</v>
      </c>
      <c r="W96" s="2936" t="s">
        <v>4586</v>
      </c>
      <c r="X96" s="5449" t="s">
        <v>4587</v>
      </c>
      <c r="Y96" s="5718" t="s">
        <v>4588</v>
      </c>
      <c r="Z96" s="5722" t="s">
        <v>4589</v>
      </c>
      <c r="AA96" s="2936" t="s">
        <v>4590</v>
      </c>
      <c r="AB96" s="5711" t="s">
        <v>4591</v>
      </c>
      <c r="AC96" s="5718" t="s">
        <v>4592</v>
      </c>
      <c r="AD96" s="5715" t="s">
        <v>4593</v>
      </c>
      <c r="AE96" s="5718" t="s">
        <v>4594</v>
      </c>
      <c r="AF96" s="5711" t="s">
        <v>4595</v>
      </c>
      <c r="AG96" s="2936" t="s">
        <v>4596</v>
      </c>
      <c r="AH96" s="5711" t="s">
        <v>4597</v>
      </c>
      <c r="AI96" s="2936" t="s">
        <v>4598</v>
      </c>
      <c r="AJ96" s="5711" t="s">
        <v>4599</v>
      </c>
      <c r="AK96" s="2936" t="s">
        <v>4600</v>
      </c>
      <c r="AL96" s="5711" t="s">
        <v>4601</v>
      </c>
      <c r="AM96" s="2936" t="s">
        <v>4602</v>
      </c>
      <c r="AN96" s="5711" t="s">
        <v>4603</v>
      </c>
      <c r="AO96" s="5718" t="s">
        <v>4604</v>
      </c>
      <c r="AP96" s="5711" t="s">
        <v>4605</v>
      </c>
      <c r="AQ96" s="2937" t="s">
        <v>4606</v>
      </c>
      <c r="AR96" s="2933" t="s">
        <v>4934</v>
      </c>
      <c r="AS96" s="2933" t="s">
        <v>4935</v>
      </c>
      <c r="AT96" s="2933" t="s">
        <v>4936</v>
      </c>
      <c r="AU96" s="5715" t="s">
        <v>4937</v>
      </c>
      <c r="AV96" s="5718" t="s">
        <v>5234</v>
      </c>
      <c r="AW96" s="5711" t="s">
        <v>5235</v>
      </c>
      <c r="AX96" s="2934" t="s">
        <v>5236</v>
      </c>
      <c r="AY96" t="str">
        <f t="shared" ref="AY96:AY97" si="72">CB96&amp;CC96&amp;CD96</f>
        <v xml:space="preserve"> * La variable Pueblos originarios No puede ser mayor al Total.  * La variable Migrantes No puede ser mayor al Total. * La variable Niños y niñas Mejor Niñez No puede ser mayor al Total.</v>
      </c>
      <c r="BA96" t="str">
        <f>CB96&amp;CC96</f>
        <v xml:space="preserve"> * La variable Pueblos originarios No puede ser mayor al Total.  * La variable Migrantes No puede ser mayor al Total.</v>
      </c>
      <c r="CB96" s="135" t="str">
        <f>IF(AND($D96&gt;0,AV96="")," * No olvide digitar la variable Pueblos originarios. Digite Cero si no tiene.",IF(AV96&gt;$D96," * La variable Pueblos originarios No puede ser mayor al Total.",""))</f>
        <v xml:space="preserve"> * La variable Pueblos originarios No puede ser mayor al Total.</v>
      </c>
      <c r="CC96" s="135" t="str">
        <f t="shared" ref="CC96:CC98" si="73">IF(AND($D96&gt;0,AW96=""),"  * No olvide digitar la variable Migrantes. Digite Cero si no tiene.",IF(AW96&gt;$D96,"  * La variable Migrantes No puede ser mayor al Total.",""))</f>
        <v xml:space="preserve">  * La variable Migrantes No puede ser mayor al Total.</v>
      </c>
      <c r="CD96" s="135" t="str">
        <f t="shared" ref="CD96:CD97" si="74">IF(AND($D96&gt;0,AX96="")," * No olvide digitar la variable Niños y niñas Mejor Niñez. Digite Cero si no tiene.",IF(AX96&gt;$D96," * La variable Niños y niñas Mejor Niñez No puede ser mayor al Total.",""))</f>
        <v xml:space="preserve"> * La variable Niños y niñas Mejor Niñez No puede ser mayor al Total.</v>
      </c>
      <c r="CP96" s="54">
        <f t="shared" ref="CP96:CP98" si="75">IF(AND($D96&gt;0,AV96=""),1,IF(AV96&gt;$D96,1,0))</f>
        <v>1</v>
      </c>
      <c r="CQ96" s="54">
        <f t="shared" ref="CQ96:CQ98" si="76">IF(AND($D96&gt;0,AW96=""),1,IF(AW96&gt;$D96,1,0))</f>
        <v>1</v>
      </c>
      <c r="CR96" s="54">
        <f t="shared" ref="CR96:CR98" si="77">IF(AND($D96&gt;0,AX96=""),1,IF(AX96&gt;$D96,1,0))</f>
        <v>1</v>
      </c>
    </row>
    <row r="97" spans="1:102" s="6" customFormat="1" ht="15" customHeight="1" x14ac:dyDescent="0.25">
      <c r="A97" s="5640" t="s">
        <v>4997</v>
      </c>
      <c r="B97" s="6663" t="s">
        <v>231</v>
      </c>
      <c r="C97" s="6664"/>
      <c r="D97" s="2938" t="s">
        <v>4567</v>
      </c>
      <c r="E97" s="5720" t="s">
        <v>4568</v>
      </c>
      <c r="F97" s="5721" t="s">
        <v>4569</v>
      </c>
      <c r="G97" s="2670" t="s">
        <v>4570</v>
      </c>
      <c r="H97" s="5711" t="s">
        <v>4571</v>
      </c>
      <c r="I97" s="2936" t="s">
        <v>4572</v>
      </c>
      <c r="J97" s="5711" t="s">
        <v>4573</v>
      </c>
      <c r="K97" s="2936" t="s">
        <v>4574</v>
      </c>
      <c r="L97" s="5711" t="s">
        <v>4575</v>
      </c>
      <c r="M97" s="2936" t="s">
        <v>4576</v>
      </c>
      <c r="N97" s="5711" t="s">
        <v>4577</v>
      </c>
      <c r="O97" s="2936" t="s">
        <v>4578</v>
      </c>
      <c r="P97" s="5711" t="s">
        <v>4579</v>
      </c>
      <c r="Q97" s="2936" t="s">
        <v>4580</v>
      </c>
      <c r="R97" s="5552" t="s">
        <v>4581</v>
      </c>
      <c r="S97" s="2670" t="s">
        <v>4582</v>
      </c>
      <c r="T97" s="5711" t="s">
        <v>4583</v>
      </c>
      <c r="U97" s="2936" t="s">
        <v>4584</v>
      </c>
      <c r="V97" s="5711" t="s">
        <v>4585</v>
      </c>
      <c r="W97" s="2936" t="s">
        <v>4586</v>
      </c>
      <c r="X97" s="5552" t="s">
        <v>4587</v>
      </c>
      <c r="Y97" s="5718" t="s">
        <v>4588</v>
      </c>
      <c r="Z97" s="5711" t="s">
        <v>4589</v>
      </c>
      <c r="AA97" s="2936" t="s">
        <v>4590</v>
      </c>
      <c r="AB97" s="5711" t="s">
        <v>4591</v>
      </c>
      <c r="AC97" s="5718" t="s">
        <v>4592</v>
      </c>
      <c r="AD97" s="5715" t="s">
        <v>4593</v>
      </c>
      <c r="AE97" s="5718" t="s">
        <v>4594</v>
      </c>
      <c r="AF97" s="5711" t="s">
        <v>4595</v>
      </c>
      <c r="AG97" s="2936" t="s">
        <v>4596</v>
      </c>
      <c r="AH97" s="5711" t="s">
        <v>4597</v>
      </c>
      <c r="AI97" s="2936" t="s">
        <v>4598</v>
      </c>
      <c r="AJ97" s="5711" t="s">
        <v>4599</v>
      </c>
      <c r="AK97" s="2936" t="s">
        <v>4600</v>
      </c>
      <c r="AL97" s="5711" t="s">
        <v>4601</v>
      </c>
      <c r="AM97" s="2936" t="s">
        <v>4602</v>
      </c>
      <c r="AN97" s="5711" t="s">
        <v>4603</v>
      </c>
      <c r="AO97" s="5718" t="s">
        <v>4604</v>
      </c>
      <c r="AP97" s="5711" t="s">
        <v>4605</v>
      </c>
      <c r="AQ97" s="2937" t="s">
        <v>4606</v>
      </c>
      <c r="AR97" s="2933" t="s">
        <v>4934</v>
      </c>
      <c r="AS97" s="2933" t="s">
        <v>4935</v>
      </c>
      <c r="AT97" s="2933" t="s">
        <v>4936</v>
      </c>
      <c r="AU97" s="5715" t="s">
        <v>4937</v>
      </c>
      <c r="AV97" s="5718" t="s">
        <v>5234</v>
      </c>
      <c r="AW97" s="5711" t="s">
        <v>5235</v>
      </c>
      <c r="AX97" s="2934" t="s">
        <v>5236</v>
      </c>
      <c r="AY97" t="str">
        <f t="shared" si="72"/>
        <v xml:space="preserve"> * La variable Pueblos originarios No puede ser mayor al Total.  * La variable Migrantes No puede ser mayor al Total. * La variable Niños y niñas Mejor Niñez No puede ser mayor al Total.</v>
      </c>
      <c r="BA97" t="str">
        <f>CB97&amp;CC97</f>
        <v xml:space="preserve"> * La variable Pueblos originarios No puede ser mayor al Total.  * La variable Migrantes No puede ser mayor al Total.</v>
      </c>
      <c r="CB97" s="135" t="str">
        <f t="shared" ref="CB97:CB98" si="78">IF(AND($D97&gt;0,AV97="")," * No olvide digitar la variable Pueblos originarios. Digite Cero si no tiene.",IF(AV97&gt;$D97," * La variable Pueblos originarios No puede ser mayor al Total.",""))</f>
        <v xml:space="preserve"> * La variable Pueblos originarios No puede ser mayor al Total.</v>
      </c>
      <c r="CC97" s="135" t="str">
        <f t="shared" si="73"/>
        <v xml:space="preserve">  * La variable Migrantes No puede ser mayor al Total.</v>
      </c>
      <c r="CD97" s="135" t="str">
        <f t="shared" si="74"/>
        <v xml:space="preserve"> * La variable Niños y niñas Mejor Niñez No puede ser mayor al Total.</v>
      </c>
      <c r="CP97" s="54">
        <f t="shared" si="75"/>
        <v>1</v>
      </c>
      <c r="CQ97" s="54">
        <f t="shared" si="76"/>
        <v>1</v>
      </c>
      <c r="CR97" s="54">
        <f t="shared" si="77"/>
        <v>1</v>
      </c>
    </row>
    <row r="98" spans="1:102" s="6" customFormat="1" ht="15" customHeight="1" x14ac:dyDescent="0.25">
      <c r="A98" s="5640" t="s">
        <v>4998</v>
      </c>
      <c r="B98" s="6699" t="s">
        <v>249</v>
      </c>
      <c r="C98" s="6700"/>
      <c r="D98" s="5723" t="s">
        <v>4567</v>
      </c>
      <c r="E98" s="5724" t="s">
        <v>4568</v>
      </c>
      <c r="F98" s="5725" t="s">
        <v>4569</v>
      </c>
      <c r="G98" s="5726" t="s">
        <v>4570</v>
      </c>
      <c r="H98" s="5727" t="s">
        <v>4571</v>
      </c>
      <c r="I98" s="2940" t="s">
        <v>4572</v>
      </c>
      <c r="J98" s="5727" t="s">
        <v>4573</v>
      </c>
      <c r="K98" s="2940" t="s">
        <v>4574</v>
      </c>
      <c r="L98" s="5727" t="s">
        <v>4575</v>
      </c>
      <c r="M98" s="2940" t="s">
        <v>4576</v>
      </c>
      <c r="N98" s="5727" t="s">
        <v>4577</v>
      </c>
      <c r="O98" s="2940" t="s">
        <v>4578</v>
      </c>
      <c r="P98" s="5727" t="s">
        <v>4579</v>
      </c>
      <c r="Q98" s="2940" t="s">
        <v>4580</v>
      </c>
      <c r="R98" s="5728" t="s">
        <v>4581</v>
      </c>
      <c r="S98" s="5726" t="s">
        <v>4582</v>
      </c>
      <c r="T98" s="5727" t="s">
        <v>4583</v>
      </c>
      <c r="U98" s="2940" t="s">
        <v>4584</v>
      </c>
      <c r="V98" s="5727" t="s">
        <v>4585</v>
      </c>
      <c r="W98" s="2940" t="s">
        <v>4586</v>
      </c>
      <c r="X98" s="5728" t="s">
        <v>4587</v>
      </c>
      <c r="Y98" s="5729" t="s">
        <v>4588</v>
      </c>
      <c r="Z98" s="5730" t="s">
        <v>4589</v>
      </c>
      <c r="AA98" s="5731" t="s">
        <v>4590</v>
      </c>
      <c r="AB98" s="5730" t="s">
        <v>4591</v>
      </c>
      <c r="AC98" s="5729" t="s">
        <v>4592</v>
      </c>
      <c r="AD98" s="5732" t="s">
        <v>4593</v>
      </c>
      <c r="AE98" s="5733" t="s">
        <v>4594</v>
      </c>
      <c r="AF98" s="5727" t="s">
        <v>4595</v>
      </c>
      <c r="AG98" s="2940" t="s">
        <v>4596</v>
      </c>
      <c r="AH98" s="5727" t="s">
        <v>4597</v>
      </c>
      <c r="AI98" s="2940" t="s">
        <v>4598</v>
      </c>
      <c r="AJ98" s="5727" t="s">
        <v>4599</v>
      </c>
      <c r="AK98" s="2940" t="s">
        <v>4600</v>
      </c>
      <c r="AL98" s="5727" t="s">
        <v>4601</v>
      </c>
      <c r="AM98" s="2940" t="s">
        <v>4602</v>
      </c>
      <c r="AN98" s="5727" t="s">
        <v>4603</v>
      </c>
      <c r="AO98" s="5733" t="s">
        <v>4604</v>
      </c>
      <c r="AP98" s="5727" t="s">
        <v>4605</v>
      </c>
      <c r="AQ98" s="2941" t="s">
        <v>4606</v>
      </c>
      <c r="AR98" s="2942" t="s">
        <v>4934</v>
      </c>
      <c r="AS98" s="2942" t="s">
        <v>4935</v>
      </c>
      <c r="AT98" s="2942" t="s">
        <v>4936</v>
      </c>
      <c r="AU98" s="5734" t="s">
        <v>4937</v>
      </c>
      <c r="AV98" s="5733" t="s">
        <v>5234</v>
      </c>
      <c r="AW98" s="5727" t="s">
        <v>5235</v>
      </c>
      <c r="AX98" s="2943" t="s">
        <v>5236</v>
      </c>
      <c r="AY98" t="str">
        <f>CB98&amp;CC98&amp;CD98</f>
        <v xml:space="preserve"> * La variable Pueblos originarios No puede ser mayor al Total.  * La variable Migrantes No puede ser mayor al Total. * La variable Niños y niñas Mejor Niñez No puede ser mayor al Total.</v>
      </c>
      <c r="BA98"/>
      <c r="CB98" s="135" t="str">
        <f t="shared" si="78"/>
        <v xml:space="preserve"> * La variable Pueblos originarios No puede ser mayor al Total.</v>
      </c>
      <c r="CC98" s="135" t="str">
        <f t="shared" si="73"/>
        <v xml:space="preserve">  * La variable Migrantes No puede ser mayor al Total.</v>
      </c>
      <c r="CD98" s="135" t="str">
        <f>IF(AND($D98&gt;0,AX98="")," * No olvide digitar la variable Niños y niñas Mejor Niñez. Digite Cero si no tiene.",IF(AX98&gt;$D98," * La variable Niños y niñas Mejor Niñez No puede ser mayor al Total.",""))</f>
        <v xml:space="preserve"> * La variable Niños y niñas Mejor Niñez No puede ser mayor al Total.</v>
      </c>
      <c r="CP98" s="54">
        <f t="shared" si="75"/>
        <v>1</v>
      </c>
      <c r="CQ98" s="54">
        <f t="shared" si="76"/>
        <v>1</v>
      </c>
      <c r="CR98" s="54">
        <f t="shared" si="77"/>
        <v>1</v>
      </c>
    </row>
    <row r="99" spans="1:102" s="6" customFormat="1" ht="18" customHeight="1" x14ac:dyDescent="0.2">
      <c r="B99" s="298" t="s">
        <v>777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</row>
    <row r="100" spans="1:102" s="6" customFormat="1" ht="18" customHeight="1" x14ac:dyDescent="0.2">
      <c r="B100" s="6212" t="s">
        <v>768</v>
      </c>
      <c r="C100" s="6511"/>
      <c r="D100" s="6212" t="s">
        <v>221</v>
      </c>
      <c r="E100" s="6510"/>
      <c r="F100" s="6511"/>
      <c r="G100" s="6696" t="s">
        <v>778</v>
      </c>
      <c r="H100" s="6697"/>
      <c r="I100" s="6697"/>
      <c r="J100" s="6697"/>
      <c r="K100" s="6697"/>
      <c r="L100" s="6697"/>
      <c r="M100" s="6697"/>
      <c r="N100" s="6697"/>
      <c r="O100" s="6697"/>
      <c r="P100" s="6697"/>
      <c r="Q100" s="6697"/>
      <c r="R100" s="6698"/>
      <c r="S100" s="6476" t="s">
        <v>779</v>
      </c>
      <c r="T100" s="6476"/>
      <c r="U100" s="6476"/>
      <c r="V100" s="6476"/>
      <c r="W100" s="6476"/>
      <c r="X100" s="6477"/>
      <c r="Y100" s="6477" t="s">
        <v>780</v>
      </c>
      <c r="Z100" s="6479"/>
      <c r="AA100" s="6479"/>
      <c r="AB100" s="6479"/>
      <c r="AC100" s="6479"/>
      <c r="AD100" s="6480"/>
      <c r="AE100" s="6580" t="s">
        <v>781</v>
      </c>
      <c r="AF100" s="6580"/>
      <c r="AG100" s="6580"/>
      <c r="AH100" s="6580"/>
      <c r="AI100" s="6580"/>
      <c r="AJ100" s="6581"/>
      <c r="AK100" s="6510" t="s">
        <v>36</v>
      </c>
      <c r="AL100" s="6585" t="s">
        <v>37</v>
      </c>
      <c r="AM100" s="6533" t="s">
        <v>771</v>
      </c>
    </row>
    <row r="101" spans="1:102" s="6" customFormat="1" ht="21.95" customHeight="1" x14ac:dyDescent="0.2">
      <c r="B101" s="6044"/>
      <c r="C101" s="6027"/>
      <c r="D101" s="6064"/>
      <c r="E101" s="6150"/>
      <c r="F101" s="6028"/>
      <c r="G101" s="6695" t="s">
        <v>222</v>
      </c>
      <c r="H101" s="6554"/>
      <c r="I101" s="6553" t="s">
        <v>223</v>
      </c>
      <c r="J101" s="6554"/>
      <c r="K101" s="6553" t="s">
        <v>88</v>
      </c>
      <c r="L101" s="6554"/>
      <c r="M101" s="6553" t="s">
        <v>224</v>
      </c>
      <c r="N101" s="6554"/>
      <c r="O101" s="6553" t="s">
        <v>225</v>
      </c>
      <c r="P101" s="6554"/>
      <c r="Q101" s="6553" t="s">
        <v>226</v>
      </c>
      <c r="R101" s="6457"/>
      <c r="S101" s="6405" t="s">
        <v>638</v>
      </c>
      <c r="T101" s="6451"/>
      <c r="U101" s="6405" t="s">
        <v>639</v>
      </c>
      <c r="V101" s="6451"/>
      <c r="W101" s="6405" t="s">
        <v>782</v>
      </c>
      <c r="X101" s="6451"/>
      <c r="Y101" s="6456" t="s">
        <v>638</v>
      </c>
      <c r="Z101" s="6451"/>
      <c r="AA101" s="6405" t="s">
        <v>639</v>
      </c>
      <c r="AB101" s="6451"/>
      <c r="AC101" s="6419" t="s">
        <v>782</v>
      </c>
      <c r="AD101" s="6420"/>
      <c r="AE101" s="6456" t="s">
        <v>783</v>
      </c>
      <c r="AF101" s="6456"/>
      <c r="AG101" s="6456"/>
      <c r="AH101" s="6451"/>
      <c r="AI101" s="6405" t="s">
        <v>784</v>
      </c>
      <c r="AJ101" s="6451"/>
      <c r="AK101" s="6045"/>
      <c r="AL101" s="6586"/>
      <c r="AM101" s="6066"/>
    </row>
    <row r="102" spans="1:102" s="6" customFormat="1" ht="35.25" customHeight="1" x14ac:dyDescent="0.2">
      <c r="B102" s="6064"/>
      <c r="C102" s="6028"/>
      <c r="D102" s="467" t="s">
        <v>79</v>
      </c>
      <c r="E102" s="548" t="s">
        <v>58</v>
      </c>
      <c r="F102" s="549" t="s">
        <v>59</v>
      </c>
      <c r="G102" s="463" t="s">
        <v>58</v>
      </c>
      <c r="H102" s="464" t="s">
        <v>59</v>
      </c>
      <c r="I102" s="463" t="s">
        <v>58</v>
      </c>
      <c r="J102" s="464" t="s">
        <v>59</v>
      </c>
      <c r="K102" s="463" t="s">
        <v>58</v>
      </c>
      <c r="L102" s="464" t="s">
        <v>59</v>
      </c>
      <c r="M102" s="463" t="s">
        <v>58</v>
      </c>
      <c r="N102" s="464" t="s">
        <v>59</v>
      </c>
      <c r="O102" s="463" t="s">
        <v>58</v>
      </c>
      <c r="P102" s="464" t="s">
        <v>59</v>
      </c>
      <c r="Q102" s="463" t="s">
        <v>58</v>
      </c>
      <c r="R102" s="464" t="s">
        <v>59</v>
      </c>
      <c r="S102" s="463" t="s">
        <v>58</v>
      </c>
      <c r="T102" s="464" t="s">
        <v>59</v>
      </c>
      <c r="U102" s="463" t="s">
        <v>58</v>
      </c>
      <c r="V102" s="464" t="s">
        <v>59</v>
      </c>
      <c r="W102" s="463" t="s">
        <v>58</v>
      </c>
      <c r="X102" s="464" t="s">
        <v>59</v>
      </c>
      <c r="Y102" s="503" t="s">
        <v>58</v>
      </c>
      <c r="Z102" s="464" t="s">
        <v>59</v>
      </c>
      <c r="AA102" s="463" t="s">
        <v>58</v>
      </c>
      <c r="AB102" s="464" t="s">
        <v>59</v>
      </c>
      <c r="AC102" s="467" t="s">
        <v>58</v>
      </c>
      <c r="AD102" s="465" t="s">
        <v>59</v>
      </c>
      <c r="AE102" s="5486" t="s">
        <v>785</v>
      </c>
      <c r="AF102" s="1723" t="s">
        <v>775</v>
      </c>
      <c r="AG102" s="5485" t="s">
        <v>591</v>
      </c>
      <c r="AH102" s="486" t="s">
        <v>776</v>
      </c>
      <c r="AI102" s="467" t="s">
        <v>786</v>
      </c>
      <c r="AJ102" s="464" t="s">
        <v>787</v>
      </c>
      <c r="AK102" s="6150"/>
      <c r="AL102" s="6587"/>
      <c r="AM102" s="6067"/>
    </row>
    <row r="103" spans="1:102" s="6" customFormat="1" ht="15" customHeight="1" x14ac:dyDescent="0.25">
      <c r="A103" s="5640" t="s">
        <v>4999</v>
      </c>
      <c r="B103" s="6565" t="s">
        <v>229</v>
      </c>
      <c r="C103" s="6566"/>
      <c r="D103" s="470" t="s">
        <v>4567</v>
      </c>
      <c r="E103" s="471" t="s">
        <v>4568</v>
      </c>
      <c r="F103" s="551" t="s">
        <v>4569</v>
      </c>
      <c r="G103" s="473" t="s">
        <v>4570</v>
      </c>
      <c r="H103" s="474" t="s">
        <v>4571</v>
      </c>
      <c r="I103" s="473" t="s">
        <v>4572</v>
      </c>
      <c r="J103" s="474" t="s">
        <v>4573</v>
      </c>
      <c r="K103" s="473" t="s">
        <v>4574</v>
      </c>
      <c r="L103" s="474" t="s">
        <v>4575</v>
      </c>
      <c r="M103" s="473" t="s">
        <v>4576</v>
      </c>
      <c r="N103" s="474" t="s">
        <v>4577</v>
      </c>
      <c r="O103" s="473" t="s">
        <v>4578</v>
      </c>
      <c r="P103" s="474" t="s">
        <v>4579</v>
      </c>
      <c r="Q103" s="473" t="s">
        <v>4580</v>
      </c>
      <c r="R103" s="474" t="s">
        <v>4581</v>
      </c>
      <c r="S103" s="473" t="s">
        <v>4582</v>
      </c>
      <c r="T103" s="474" t="s">
        <v>4583</v>
      </c>
      <c r="U103" s="473" t="s">
        <v>4584</v>
      </c>
      <c r="V103" s="474" t="s">
        <v>4585</v>
      </c>
      <c r="W103" s="473" t="s">
        <v>4586</v>
      </c>
      <c r="X103" s="474" t="s">
        <v>4587</v>
      </c>
      <c r="Y103" s="476" t="s">
        <v>4588</v>
      </c>
      <c r="Z103" s="474" t="s">
        <v>4589</v>
      </c>
      <c r="AA103" s="473" t="s">
        <v>4590</v>
      </c>
      <c r="AB103" s="474" t="s">
        <v>4591</v>
      </c>
      <c r="AC103" s="473" t="s">
        <v>4592</v>
      </c>
      <c r="AD103" s="475" t="s">
        <v>4593</v>
      </c>
      <c r="AE103" s="4774" t="s">
        <v>4594</v>
      </c>
      <c r="AF103" s="5487" t="s">
        <v>4595</v>
      </c>
      <c r="AG103" s="5487" t="s">
        <v>4596</v>
      </c>
      <c r="AH103" s="552" t="s">
        <v>4597</v>
      </c>
      <c r="AI103" s="473" t="s">
        <v>4598</v>
      </c>
      <c r="AJ103" s="474" t="s">
        <v>4599</v>
      </c>
      <c r="AK103" s="473" t="s">
        <v>4600</v>
      </c>
      <c r="AL103" s="493" t="s">
        <v>4601</v>
      </c>
      <c r="AM103" s="474" t="s">
        <v>4602</v>
      </c>
      <c r="AN103" t="str">
        <f>CH103&amp;CI103</f>
        <v xml:space="preserve">  * La variable Pueblos Originarios No puede ser mayor al Total.  * La variable Migrantes No puede ser mayor al Total.</v>
      </c>
      <c r="CH103" s="135" t="str">
        <f>IF(AND($D103&gt;0,AK103="")," * No olvide digitar la variable Pueblos Originarios. Digite Cero si no tiene.",IF(AK103&gt;$D103,"  * La variable Pueblos Originarios No puede ser mayor al Total.",""))</f>
        <v xml:space="preserve">  * La variable Pueblos Originarios No puede ser mayor al Total.</v>
      </c>
      <c r="CI103" s="135" t="str">
        <f>IF(AND($D103&gt;0,AL103="")," * No olvide digitar la variable Migrantes. Digite Cero si no tiene.",IF(AL103&gt;$D103,"  * La variable Migrantes No puede ser mayor al Total.",""))</f>
        <v xml:space="preserve">  * La variable Migrantes No puede ser mayor al Total.</v>
      </c>
      <c r="CJ103" s="135" t="str">
        <f>IF(AND($D103&gt;0,AM103="")," * No olvide digitar la variable Niños y niñas Mejor Niñez. Digite Cero si no tiene.",IF(AM103&gt;$D103,"  * La variable Niños y niñas Mejor Niñez No puede ser mayor al Total.",""))</f>
        <v xml:space="preserve">  * La variable Niños y niñas Mejor Niñez No puede ser mayor al Total.</v>
      </c>
      <c r="CV103" s="54">
        <f>IF(AND($D103&gt;0,AK103=""),1,IF(AK103&gt;$D103,1,0))</f>
        <v>1</v>
      </c>
      <c r="CW103" s="54">
        <f>IF(AND($D103&gt;0,AL103=""),1,IF(AL103&gt;$D103,1,0))</f>
        <v>1</v>
      </c>
      <c r="CX103" s="54">
        <f>IF(AND($D103&gt;0,AM103=""),1,IF(AM103&gt;$D103,1,0))</f>
        <v>1</v>
      </c>
    </row>
    <row r="104" spans="1:102" s="6" customFormat="1" ht="15" customHeight="1" x14ac:dyDescent="0.25">
      <c r="A104" s="5640" t="s">
        <v>5000</v>
      </c>
      <c r="B104" s="6237" t="s">
        <v>230</v>
      </c>
      <c r="C104" s="6238"/>
      <c r="D104" s="477" t="s">
        <v>4567</v>
      </c>
      <c r="E104" s="478" t="s">
        <v>4568</v>
      </c>
      <c r="F104" s="553" t="s">
        <v>4569</v>
      </c>
      <c r="G104" s="345" t="s">
        <v>4570</v>
      </c>
      <c r="H104" s="346" t="s">
        <v>4571</v>
      </c>
      <c r="I104" s="345" t="s">
        <v>4572</v>
      </c>
      <c r="J104" s="346" t="s">
        <v>4573</v>
      </c>
      <c r="K104" s="345" t="s">
        <v>4574</v>
      </c>
      <c r="L104" s="346" t="s">
        <v>4575</v>
      </c>
      <c r="M104" s="345" t="s">
        <v>4576</v>
      </c>
      <c r="N104" s="346" t="s">
        <v>4577</v>
      </c>
      <c r="O104" s="345" t="s">
        <v>4578</v>
      </c>
      <c r="P104" s="346" t="s">
        <v>4579</v>
      </c>
      <c r="Q104" s="345" t="s">
        <v>4580</v>
      </c>
      <c r="R104" s="346" t="s">
        <v>4581</v>
      </c>
      <c r="S104" s="345" t="s">
        <v>4582</v>
      </c>
      <c r="T104" s="346" t="s">
        <v>4583</v>
      </c>
      <c r="U104" s="345" t="s">
        <v>4584</v>
      </c>
      <c r="V104" s="346" t="s">
        <v>4585</v>
      </c>
      <c r="W104" s="345" t="s">
        <v>4586</v>
      </c>
      <c r="X104" s="346" t="s">
        <v>4587</v>
      </c>
      <c r="Y104" s="347" t="s">
        <v>4588</v>
      </c>
      <c r="Z104" s="346" t="s">
        <v>4589</v>
      </c>
      <c r="AA104" s="345" t="s">
        <v>4590</v>
      </c>
      <c r="AB104" s="346" t="s">
        <v>4591</v>
      </c>
      <c r="AC104" s="345" t="s">
        <v>4592</v>
      </c>
      <c r="AD104" s="480" t="s">
        <v>4593</v>
      </c>
      <c r="AE104" s="5488" t="s">
        <v>4594</v>
      </c>
      <c r="AF104" s="5489" t="s">
        <v>4595</v>
      </c>
      <c r="AG104" s="5489" t="s">
        <v>4596</v>
      </c>
      <c r="AH104" s="554" t="s">
        <v>4597</v>
      </c>
      <c r="AI104" s="345" t="s">
        <v>4598</v>
      </c>
      <c r="AJ104" s="346" t="s">
        <v>4599</v>
      </c>
      <c r="AK104" s="345" t="s">
        <v>4600</v>
      </c>
      <c r="AL104" s="368" t="s">
        <v>4601</v>
      </c>
      <c r="AM104" s="346" t="s">
        <v>4602</v>
      </c>
      <c r="AN104" t="str">
        <f>CH104&amp;CI104</f>
        <v xml:space="preserve">  * La variable Pueblos Originarios No puede ser mayor al Total.  * La variable Migrantes No puede ser mayor al Total.</v>
      </c>
      <c r="CH104" s="135" t="str">
        <f t="shared" ref="CH104:CH106" si="79">IF(AND($D104&gt;0,AK104="")," * No olvide digitar la variable Pueblos Originarios. Digite Cero si no tiene.",IF(AK104&gt;$D104,"  * La variable Pueblos Originarios No puede ser mayor al Total.",""))</f>
        <v xml:space="preserve">  * La variable Pueblos Originarios No puede ser mayor al Total.</v>
      </c>
      <c r="CI104" s="135" t="str">
        <f t="shared" ref="CI104:CI106" si="80">IF(AND($D104&gt;0,AL104="")," * No olvide digitar la variable Migrantes. Digite Cero si no tiene.",IF(AL104&gt;$D104,"  * La variable Migrantes No puede ser mayor al Total.",""))</f>
        <v xml:space="preserve">  * La variable Migrantes No puede ser mayor al Total.</v>
      </c>
      <c r="CJ104" s="135" t="str">
        <f t="shared" ref="CJ104:CJ106" si="81">IF(AND($D104&gt;0,AM104="")," * No olvide digitar la variable Niños y niñas Mejor Niñez. Digite Cero si no tiene.",IF(AM104&gt;$D104,"  * La variable Niños y niñas Mejor Niñez No puede ser mayor al Total.",""))</f>
        <v xml:space="preserve">  * La variable Niños y niñas Mejor Niñez No puede ser mayor al Total.</v>
      </c>
      <c r="CV104" s="54">
        <f t="shared" ref="CV104:CV106" si="82">IF(AND($D104&gt;0,AK104=""),1,IF(AK104&gt;$D104,1,0))</f>
        <v>1</v>
      </c>
      <c r="CW104" s="54">
        <f t="shared" ref="CW104:CW105" si="83">IF(AND($D104&gt;0,AL104=""),1,IF(AL104&gt;$D104,1,0))</f>
        <v>1</v>
      </c>
      <c r="CX104" s="54">
        <f t="shared" ref="CX104:CX106" si="84">IF(AND($D104&gt;0,AM104=""),1,IF(AM104&gt;$D104,1,0))</f>
        <v>1</v>
      </c>
    </row>
    <row r="105" spans="1:102" s="6" customFormat="1" ht="15" customHeight="1" x14ac:dyDescent="0.25">
      <c r="A105" s="5640" t="s">
        <v>5001</v>
      </c>
      <c r="B105" s="6237" t="s">
        <v>231</v>
      </c>
      <c r="C105" s="6238"/>
      <c r="D105" s="477" t="s">
        <v>4567</v>
      </c>
      <c r="E105" s="478" t="s">
        <v>4568</v>
      </c>
      <c r="F105" s="553" t="s">
        <v>4569</v>
      </c>
      <c r="G105" s="345" t="s">
        <v>4570</v>
      </c>
      <c r="H105" s="346" t="s">
        <v>4571</v>
      </c>
      <c r="I105" s="345" t="s">
        <v>4572</v>
      </c>
      <c r="J105" s="346" t="s">
        <v>4573</v>
      </c>
      <c r="K105" s="345" t="s">
        <v>4574</v>
      </c>
      <c r="L105" s="346" t="s">
        <v>4575</v>
      </c>
      <c r="M105" s="345" t="s">
        <v>4576</v>
      </c>
      <c r="N105" s="346" t="s">
        <v>4577</v>
      </c>
      <c r="O105" s="345" t="s">
        <v>4578</v>
      </c>
      <c r="P105" s="346" t="s">
        <v>4579</v>
      </c>
      <c r="Q105" s="345" t="s">
        <v>4580</v>
      </c>
      <c r="R105" s="346" t="s">
        <v>4581</v>
      </c>
      <c r="S105" s="345" t="s">
        <v>4582</v>
      </c>
      <c r="T105" s="346" t="s">
        <v>4583</v>
      </c>
      <c r="U105" s="345" t="s">
        <v>4584</v>
      </c>
      <c r="V105" s="346" t="s">
        <v>4585</v>
      </c>
      <c r="W105" s="345" t="s">
        <v>4586</v>
      </c>
      <c r="X105" s="346" t="s">
        <v>4587</v>
      </c>
      <c r="Y105" s="347" t="s">
        <v>4588</v>
      </c>
      <c r="Z105" s="346" t="s">
        <v>4589</v>
      </c>
      <c r="AA105" s="345" t="s">
        <v>4590</v>
      </c>
      <c r="AB105" s="346" t="s">
        <v>4591</v>
      </c>
      <c r="AC105" s="345" t="s">
        <v>4592</v>
      </c>
      <c r="AD105" s="480" t="s">
        <v>4593</v>
      </c>
      <c r="AE105" s="5488" t="s">
        <v>4594</v>
      </c>
      <c r="AF105" s="5489" t="s">
        <v>4595</v>
      </c>
      <c r="AG105" s="5489" t="s">
        <v>4596</v>
      </c>
      <c r="AH105" s="554" t="s">
        <v>4597</v>
      </c>
      <c r="AI105" s="345" t="s">
        <v>4598</v>
      </c>
      <c r="AJ105" s="346" t="s">
        <v>4599</v>
      </c>
      <c r="AK105" s="345" t="s">
        <v>4600</v>
      </c>
      <c r="AL105" s="368" t="s">
        <v>4601</v>
      </c>
      <c r="AM105" s="346" t="s">
        <v>4602</v>
      </c>
      <c r="AN105" t="str">
        <f>CH105&amp;CI105</f>
        <v xml:space="preserve">  * La variable Pueblos Originarios No puede ser mayor al Total.  * La variable Migrantes No puede ser mayor al Total.</v>
      </c>
      <c r="CH105" s="135" t="str">
        <f t="shared" si="79"/>
        <v xml:space="preserve">  * La variable Pueblos Originarios No puede ser mayor al Total.</v>
      </c>
      <c r="CI105" s="135" t="str">
        <f t="shared" si="80"/>
        <v xml:space="preserve">  * La variable Migrantes No puede ser mayor al Total.</v>
      </c>
      <c r="CJ105" s="135" t="str">
        <f t="shared" si="81"/>
        <v xml:space="preserve">  * La variable Niños y niñas Mejor Niñez No puede ser mayor al Total.</v>
      </c>
      <c r="CV105" s="54">
        <f t="shared" si="82"/>
        <v>1</v>
      </c>
      <c r="CW105" s="54">
        <f t="shared" si="83"/>
        <v>1</v>
      </c>
      <c r="CX105" s="54">
        <f t="shared" si="84"/>
        <v>1</v>
      </c>
    </row>
    <row r="106" spans="1:102" s="6" customFormat="1" ht="15" customHeight="1" x14ac:dyDescent="0.25">
      <c r="A106" s="5640" t="s">
        <v>5002</v>
      </c>
      <c r="B106" s="6563" t="s">
        <v>249</v>
      </c>
      <c r="C106" s="6564"/>
      <c r="D106" s="555" t="s">
        <v>4567</v>
      </c>
      <c r="E106" s="483" t="s">
        <v>4568</v>
      </c>
      <c r="F106" s="556" t="s">
        <v>4569</v>
      </c>
      <c r="G106" s="379" t="s">
        <v>4570</v>
      </c>
      <c r="H106" s="387" t="s">
        <v>4571</v>
      </c>
      <c r="I106" s="379" t="s">
        <v>4572</v>
      </c>
      <c r="J106" s="387" t="s">
        <v>4573</v>
      </c>
      <c r="K106" s="379" t="s">
        <v>4574</v>
      </c>
      <c r="L106" s="387" t="s">
        <v>4575</v>
      </c>
      <c r="M106" s="379" t="s">
        <v>4576</v>
      </c>
      <c r="N106" s="387" t="s">
        <v>4577</v>
      </c>
      <c r="O106" s="379" t="s">
        <v>4578</v>
      </c>
      <c r="P106" s="387" t="s">
        <v>4579</v>
      </c>
      <c r="Q106" s="379" t="s">
        <v>4580</v>
      </c>
      <c r="R106" s="387" t="s">
        <v>4581</v>
      </c>
      <c r="S106" s="379" t="s">
        <v>4582</v>
      </c>
      <c r="T106" s="387" t="s">
        <v>4583</v>
      </c>
      <c r="U106" s="379" t="s">
        <v>4584</v>
      </c>
      <c r="V106" s="387" t="s">
        <v>4585</v>
      </c>
      <c r="W106" s="379" t="s">
        <v>4586</v>
      </c>
      <c r="X106" s="387" t="s">
        <v>4587</v>
      </c>
      <c r="Y106" s="428" t="s">
        <v>4588</v>
      </c>
      <c r="Z106" s="387" t="s">
        <v>4589</v>
      </c>
      <c r="AA106" s="379" t="s">
        <v>4590</v>
      </c>
      <c r="AB106" s="387" t="s">
        <v>4591</v>
      </c>
      <c r="AC106" s="379" t="s">
        <v>4592</v>
      </c>
      <c r="AD106" s="391" t="s">
        <v>4593</v>
      </c>
      <c r="AE106" s="1255" t="s">
        <v>4594</v>
      </c>
      <c r="AF106" s="5490" t="s">
        <v>4595</v>
      </c>
      <c r="AG106" s="5490" t="s">
        <v>4596</v>
      </c>
      <c r="AH106" s="557" t="s">
        <v>4597</v>
      </c>
      <c r="AI106" s="558" t="s">
        <v>4598</v>
      </c>
      <c r="AJ106" s="559" t="s">
        <v>4599</v>
      </c>
      <c r="AK106" s="379" t="s">
        <v>4600</v>
      </c>
      <c r="AL106" s="371" t="s">
        <v>4601</v>
      </c>
      <c r="AM106" s="387" t="s">
        <v>4602</v>
      </c>
      <c r="AN106" t="str">
        <f>CH106&amp;CI106</f>
        <v xml:space="preserve">  * La variable Pueblos Originarios No puede ser mayor al Total.  * La variable Migrantes No puede ser mayor al Total.</v>
      </c>
      <c r="CH106" s="135" t="str">
        <f t="shared" si="79"/>
        <v xml:space="preserve">  * La variable Pueblos Originarios No puede ser mayor al Total.</v>
      </c>
      <c r="CI106" s="135" t="str">
        <f t="shared" si="80"/>
        <v xml:space="preserve">  * La variable Migrantes No puede ser mayor al Total.</v>
      </c>
      <c r="CJ106" s="135" t="str">
        <f t="shared" si="81"/>
        <v xml:space="preserve">  * La variable Niños y niñas Mejor Niñez No puede ser mayor al Total.</v>
      </c>
      <c r="CV106" s="54">
        <f t="shared" si="82"/>
        <v>1</v>
      </c>
      <c r="CW106" s="54">
        <f>IF(AND($D106&gt;0,AL106=""),1,IF(AL106&gt;$D106,1,0))</f>
        <v>1</v>
      </c>
      <c r="CX106" s="54">
        <f t="shared" si="84"/>
        <v>1</v>
      </c>
    </row>
    <row r="107" spans="1:102" s="6" customFormat="1" ht="18" customHeight="1" x14ac:dyDescent="0.2">
      <c r="B107" s="298" t="s">
        <v>788</v>
      </c>
      <c r="C107" s="93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</row>
    <row r="108" spans="1:102" x14ac:dyDescent="0.25">
      <c r="B108" s="6212" t="s">
        <v>789</v>
      </c>
      <c r="C108" s="6511"/>
      <c r="D108" s="6212" t="s">
        <v>77</v>
      </c>
      <c r="E108" s="6510"/>
      <c r="F108" s="6511"/>
      <c r="G108" s="6405" t="s">
        <v>101</v>
      </c>
      <c r="H108" s="6456"/>
      <c r="I108" s="6456"/>
      <c r="J108" s="6456"/>
      <c r="K108" s="6456"/>
      <c r="L108" s="6456"/>
      <c r="M108" s="6456"/>
      <c r="N108" s="6451"/>
    </row>
    <row r="109" spans="1:102" x14ac:dyDescent="0.25">
      <c r="B109" s="6044"/>
      <c r="C109" s="6027"/>
      <c r="D109" s="6044"/>
      <c r="E109" s="6045"/>
      <c r="F109" s="6027"/>
      <c r="G109" s="6405" t="s">
        <v>790</v>
      </c>
      <c r="H109" s="6451"/>
      <c r="I109" s="6405" t="s">
        <v>791</v>
      </c>
      <c r="J109" s="6451"/>
      <c r="K109" s="6405" t="s">
        <v>792</v>
      </c>
      <c r="L109" s="6451"/>
      <c r="M109" s="6405" t="s">
        <v>44</v>
      </c>
      <c r="N109" s="6451"/>
    </row>
    <row r="110" spans="1:102" x14ac:dyDescent="0.25">
      <c r="B110" s="6064"/>
      <c r="C110" s="6028"/>
      <c r="D110" s="560" t="s">
        <v>79</v>
      </c>
      <c r="E110" s="548" t="s">
        <v>58</v>
      </c>
      <c r="F110" s="464" t="s">
        <v>59</v>
      </c>
      <c r="G110" s="467" t="s">
        <v>58</v>
      </c>
      <c r="H110" s="464" t="s">
        <v>59</v>
      </c>
      <c r="I110" s="467" t="s">
        <v>58</v>
      </c>
      <c r="J110" s="464" t="s">
        <v>59</v>
      </c>
      <c r="K110" s="467" t="s">
        <v>58</v>
      </c>
      <c r="L110" s="464" t="s">
        <v>59</v>
      </c>
      <c r="M110" s="467" t="s">
        <v>58</v>
      </c>
      <c r="N110" s="464" t="s">
        <v>59</v>
      </c>
    </row>
    <row r="111" spans="1:102" ht="15" customHeight="1" x14ac:dyDescent="0.25">
      <c r="A111" s="5616"/>
      <c r="B111" s="6601" t="s">
        <v>793</v>
      </c>
      <c r="C111" s="6602"/>
      <c r="D111" s="562">
        <f>SUM(E111:F111)</f>
        <v>0</v>
      </c>
      <c r="E111" s="563">
        <f>+G111+I111+K111+M111</f>
        <v>0</v>
      </c>
      <c r="F111" s="564">
        <f>+H111+J111+L111+N111</f>
        <v>0</v>
      </c>
      <c r="G111" s="510">
        <f>SUM(G112:G114)</f>
        <v>0</v>
      </c>
      <c r="H111" s="565">
        <f t="shared" ref="H111:N111" si="85">SUM(H112:H114)</f>
        <v>0</v>
      </c>
      <c r="I111" s="510">
        <f t="shared" si="85"/>
        <v>0</v>
      </c>
      <c r="J111" s="565">
        <f t="shared" si="85"/>
        <v>0</v>
      </c>
      <c r="K111" s="510">
        <f t="shared" si="85"/>
        <v>0</v>
      </c>
      <c r="L111" s="565">
        <f t="shared" si="85"/>
        <v>0</v>
      </c>
      <c r="M111" s="510">
        <f t="shared" si="85"/>
        <v>0</v>
      </c>
      <c r="N111" s="514">
        <f t="shared" si="85"/>
        <v>0</v>
      </c>
    </row>
    <row r="112" spans="1:102" ht="15" customHeight="1" x14ac:dyDescent="0.25">
      <c r="A112" s="5640" t="s">
        <v>5003</v>
      </c>
      <c r="B112" s="6588" t="s">
        <v>794</v>
      </c>
      <c r="C112" s="6589"/>
      <c r="D112" s="5735" t="s">
        <v>4567</v>
      </c>
      <c r="E112" s="5736" t="s">
        <v>4568</v>
      </c>
      <c r="F112" s="5737" t="s">
        <v>4569</v>
      </c>
      <c r="G112" s="1726" t="s">
        <v>4570</v>
      </c>
      <c r="H112" s="3000" t="s">
        <v>4571</v>
      </c>
      <c r="I112" s="1726" t="s">
        <v>4572</v>
      </c>
      <c r="J112" s="3000" t="s">
        <v>4573</v>
      </c>
      <c r="K112" s="1726" t="s">
        <v>4574</v>
      </c>
      <c r="L112" s="3129" t="s">
        <v>4575</v>
      </c>
      <c r="M112" s="1726" t="s">
        <v>4576</v>
      </c>
      <c r="N112" s="3129" t="s">
        <v>4577</v>
      </c>
    </row>
    <row r="113" spans="1:95" ht="15" customHeight="1" x14ac:dyDescent="0.25">
      <c r="A113" s="5640" t="s">
        <v>5004</v>
      </c>
      <c r="B113" s="6557" t="s">
        <v>795</v>
      </c>
      <c r="C113" s="6558"/>
      <c r="D113" s="5738" t="s">
        <v>4567</v>
      </c>
      <c r="E113" s="568" t="s">
        <v>4568</v>
      </c>
      <c r="F113" s="5739" t="s">
        <v>4569</v>
      </c>
      <c r="G113" s="1089" t="s">
        <v>4570</v>
      </c>
      <c r="H113" s="1090" t="s">
        <v>4571</v>
      </c>
      <c r="I113" s="1089" t="s">
        <v>4572</v>
      </c>
      <c r="J113" s="1090" t="s">
        <v>4573</v>
      </c>
      <c r="K113" s="1089" t="s">
        <v>4574</v>
      </c>
      <c r="L113" s="3876" t="s">
        <v>4575</v>
      </c>
      <c r="M113" s="1089" t="s">
        <v>4576</v>
      </c>
      <c r="N113" s="3876" t="s">
        <v>4577</v>
      </c>
    </row>
    <row r="114" spans="1:95" ht="15" customHeight="1" x14ac:dyDescent="0.25">
      <c r="A114" s="5640" t="s">
        <v>5005</v>
      </c>
      <c r="B114" s="6559" t="s">
        <v>796</v>
      </c>
      <c r="C114" s="6560"/>
      <c r="D114" s="5740" t="s">
        <v>4567</v>
      </c>
      <c r="E114" s="5741" t="s">
        <v>4568</v>
      </c>
      <c r="F114" s="5742" t="s">
        <v>4569</v>
      </c>
      <c r="G114" s="1114" t="s">
        <v>4570</v>
      </c>
      <c r="H114" s="5743" t="s">
        <v>4571</v>
      </c>
      <c r="I114" s="1114" t="s">
        <v>4572</v>
      </c>
      <c r="J114" s="5743" t="s">
        <v>4573</v>
      </c>
      <c r="K114" s="1114" t="s">
        <v>4574</v>
      </c>
      <c r="L114" s="3134" t="s">
        <v>4575</v>
      </c>
      <c r="M114" s="1114" t="s">
        <v>4576</v>
      </c>
      <c r="N114" s="3134" t="s">
        <v>4577</v>
      </c>
    </row>
    <row r="115" spans="1:95" s="6" customFormat="1" ht="18" customHeight="1" x14ac:dyDescent="0.2">
      <c r="A115" s="5603"/>
      <c r="B115" s="2945" t="s">
        <v>797</v>
      </c>
      <c r="C115" s="569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</row>
    <row r="116" spans="1:95" x14ac:dyDescent="0.25">
      <c r="A116" s="5548"/>
      <c r="B116" s="6212" t="s">
        <v>285</v>
      </c>
      <c r="C116" s="6511"/>
      <c r="D116" s="6212" t="s">
        <v>77</v>
      </c>
      <c r="E116" s="6510"/>
      <c r="F116" s="6511"/>
      <c r="G116" s="6405" t="s">
        <v>101</v>
      </c>
      <c r="H116" s="6456"/>
      <c r="I116" s="6456"/>
      <c r="J116" s="6456"/>
      <c r="K116" s="6456"/>
      <c r="L116" s="6456"/>
      <c r="M116" s="6456"/>
      <c r="N116" s="6456"/>
      <c r="O116" s="6456"/>
      <c r="P116" s="6456"/>
      <c r="Q116" s="6456"/>
      <c r="R116" s="6456"/>
      <c r="S116" s="6456"/>
      <c r="T116" s="6456"/>
      <c r="U116" s="6456"/>
      <c r="V116" s="6456"/>
      <c r="W116" s="6456"/>
      <c r="X116" s="6456"/>
      <c r="Y116" s="6456"/>
      <c r="Z116" s="6456"/>
      <c r="AA116" s="6456"/>
      <c r="AB116" s="6456"/>
      <c r="AC116" s="6456"/>
      <c r="AD116" s="6456"/>
      <c r="AE116" s="6456"/>
      <c r="AF116" s="6456"/>
      <c r="AG116" s="6456"/>
      <c r="AH116" s="6455"/>
      <c r="AI116" s="6517" t="s">
        <v>36</v>
      </c>
      <c r="AJ116" s="6511" t="s">
        <v>37</v>
      </c>
    </row>
    <row r="117" spans="1:95" x14ac:dyDescent="0.25">
      <c r="A117" s="5548"/>
      <c r="B117" s="6044"/>
      <c r="C117" s="6027"/>
      <c r="D117" s="6044"/>
      <c r="E117" s="6045"/>
      <c r="F117" s="6027"/>
      <c r="G117" s="6411" t="s">
        <v>44</v>
      </c>
      <c r="H117" s="6448"/>
      <c r="I117" s="6417" t="s">
        <v>45</v>
      </c>
      <c r="J117" s="6417"/>
      <c r="K117" s="6417" t="s">
        <v>46</v>
      </c>
      <c r="L117" s="6417"/>
      <c r="M117" s="6417" t="s">
        <v>47</v>
      </c>
      <c r="N117" s="6417"/>
      <c r="O117" s="6417" t="s">
        <v>48</v>
      </c>
      <c r="P117" s="6417"/>
      <c r="Q117" s="6417" t="s">
        <v>49</v>
      </c>
      <c r="R117" s="6417"/>
      <c r="S117" s="6417" t="s">
        <v>50</v>
      </c>
      <c r="T117" s="6417"/>
      <c r="U117" s="6417" t="s">
        <v>51</v>
      </c>
      <c r="V117" s="6417"/>
      <c r="W117" s="6417" t="s">
        <v>52</v>
      </c>
      <c r="X117" s="6417"/>
      <c r="Y117" s="6417" t="s">
        <v>53</v>
      </c>
      <c r="Z117" s="6417"/>
      <c r="AA117" s="6405" t="s">
        <v>54</v>
      </c>
      <c r="AB117" s="6451"/>
      <c r="AC117" s="6405" t="s">
        <v>55</v>
      </c>
      <c r="AD117" s="6451"/>
      <c r="AE117" s="6405" t="s">
        <v>56</v>
      </c>
      <c r="AF117" s="6451"/>
      <c r="AG117" s="6405" t="s">
        <v>57</v>
      </c>
      <c r="AH117" s="6455"/>
      <c r="AI117" s="6034"/>
      <c r="AJ117" s="6027"/>
    </row>
    <row r="118" spans="1:95" x14ac:dyDescent="0.25">
      <c r="A118" s="5548"/>
      <c r="B118" s="6064"/>
      <c r="C118" s="6028"/>
      <c r="D118" s="467" t="s">
        <v>79</v>
      </c>
      <c r="E118" s="548" t="s">
        <v>58</v>
      </c>
      <c r="F118" s="464" t="s">
        <v>59</v>
      </c>
      <c r="G118" s="463" t="s">
        <v>58</v>
      </c>
      <c r="H118" s="571" t="s">
        <v>59</v>
      </c>
      <c r="I118" s="463" t="s">
        <v>58</v>
      </c>
      <c r="J118" s="571" t="s">
        <v>59</v>
      </c>
      <c r="K118" s="463" t="s">
        <v>58</v>
      </c>
      <c r="L118" s="571" t="s">
        <v>59</v>
      </c>
      <c r="M118" s="463" t="s">
        <v>58</v>
      </c>
      <c r="N118" s="571" t="s">
        <v>59</v>
      </c>
      <c r="O118" s="463" t="s">
        <v>58</v>
      </c>
      <c r="P118" s="571" t="s">
        <v>59</v>
      </c>
      <c r="Q118" s="463" t="s">
        <v>58</v>
      </c>
      <c r="R118" s="571" t="s">
        <v>59</v>
      </c>
      <c r="S118" s="463" t="s">
        <v>58</v>
      </c>
      <c r="T118" s="571" t="s">
        <v>59</v>
      </c>
      <c r="U118" s="463" t="s">
        <v>58</v>
      </c>
      <c r="V118" s="571" t="s">
        <v>59</v>
      </c>
      <c r="W118" s="463" t="s">
        <v>58</v>
      </c>
      <c r="X118" s="571" t="s">
        <v>59</v>
      </c>
      <c r="Y118" s="463" t="s">
        <v>58</v>
      </c>
      <c r="Z118" s="571" t="s">
        <v>59</v>
      </c>
      <c r="AA118" s="463" t="s">
        <v>58</v>
      </c>
      <c r="AB118" s="571" t="s">
        <v>59</v>
      </c>
      <c r="AC118" s="463" t="s">
        <v>58</v>
      </c>
      <c r="AD118" s="571" t="s">
        <v>59</v>
      </c>
      <c r="AE118" s="463" t="s">
        <v>58</v>
      </c>
      <c r="AF118" s="571" t="s">
        <v>59</v>
      </c>
      <c r="AG118" s="463" t="s">
        <v>58</v>
      </c>
      <c r="AH118" s="502" t="s">
        <v>59</v>
      </c>
      <c r="AI118" s="6035"/>
      <c r="AJ118" s="6028"/>
    </row>
    <row r="119" spans="1:95" ht="15" customHeight="1" x14ac:dyDescent="0.25">
      <c r="A119" s="5677" t="s">
        <v>5006</v>
      </c>
      <c r="B119" s="6573" t="s">
        <v>798</v>
      </c>
      <c r="C119" s="6574"/>
      <c r="D119" s="2995" t="s">
        <v>4567</v>
      </c>
      <c r="E119" s="5344" t="s">
        <v>4568</v>
      </c>
      <c r="F119" s="5331" t="s">
        <v>4569</v>
      </c>
      <c r="G119" s="1726" t="s">
        <v>4570</v>
      </c>
      <c r="H119" s="5670" t="s">
        <v>4571</v>
      </c>
      <c r="I119" s="1726" t="s">
        <v>4572</v>
      </c>
      <c r="J119" s="5670" t="s">
        <v>4573</v>
      </c>
      <c r="K119" s="1726" t="s">
        <v>4574</v>
      </c>
      <c r="L119" s="5670" t="s">
        <v>4575</v>
      </c>
      <c r="M119" s="1726" t="s">
        <v>4576</v>
      </c>
      <c r="N119" s="5670" t="s">
        <v>4577</v>
      </c>
      <c r="O119" s="1726" t="s">
        <v>4578</v>
      </c>
      <c r="P119" s="5670" t="s">
        <v>4579</v>
      </c>
      <c r="Q119" s="1726" t="s">
        <v>4580</v>
      </c>
      <c r="R119" s="5670" t="s">
        <v>4581</v>
      </c>
      <c r="S119" s="1726" t="s">
        <v>4582</v>
      </c>
      <c r="T119" s="5670" t="s">
        <v>4583</v>
      </c>
      <c r="U119" s="1726" t="s">
        <v>4584</v>
      </c>
      <c r="V119" s="5670" t="s">
        <v>4585</v>
      </c>
      <c r="W119" s="1726" t="s">
        <v>4586</v>
      </c>
      <c r="X119" s="5670" t="s">
        <v>4587</v>
      </c>
      <c r="Y119" s="1726" t="s">
        <v>4588</v>
      </c>
      <c r="Z119" s="5670" t="s">
        <v>4589</v>
      </c>
      <c r="AA119" s="1726" t="s">
        <v>4590</v>
      </c>
      <c r="AB119" s="5670" t="s">
        <v>4591</v>
      </c>
      <c r="AC119" s="1726" t="s">
        <v>4592</v>
      </c>
      <c r="AD119" s="5670" t="s">
        <v>4593</v>
      </c>
      <c r="AE119" s="1726" t="s">
        <v>4594</v>
      </c>
      <c r="AF119" s="5670" t="s">
        <v>4595</v>
      </c>
      <c r="AG119" s="1726" t="s">
        <v>4596</v>
      </c>
      <c r="AH119" s="5555" t="s">
        <v>4597</v>
      </c>
      <c r="AI119" s="3128" t="s">
        <v>4598</v>
      </c>
      <c r="AJ119" s="5744" t="s">
        <v>4599</v>
      </c>
      <c r="AK119" t="str">
        <f>CB119&amp;CC119</f>
        <v>* La variable Pueblos originarios No puede ser mayor al Total.* La variable Migrantes No puede ser mayor al Total.</v>
      </c>
      <c r="CB119" s="135" t="str">
        <f>IF(AND(D119&gt;0,AI119="")," * No olvide digitar la variable Pueblos originarios. Digite Cero si no tiene.",IF(AI119&gt;D119,"* La variable Pueblos originarios No puede ser mayor al Total.",""))</f>
        <v>* La variable Pueblos originarios No puede ser mayor al Total.</v>
      </c>
      <c r="CC119" s="135" t="str">
        <f>IF(AND(D119&gt;0,AJ119="")," * No olvide digitar la variable Migrantes. Digite Cero si no tiene.",IF(AJ119&gt;D119,"* La variable Migrantes No puede ser mayor al Total.",""))</f>
        <v>* La variable Migrantes No puede ser mayor al Total.</v>
      </c>
      <c r="CP119" s="1867">
        <f>IF(AND($D119&gt;0,AI119=""),1,IF(AI119&gt;$D119,1,0))</f>
        <v>1</v>
      </c>
      <c r="CQ119" s="1867">
        <f>IF(AND($D119&gt;0,AJ119=""),1,IF(AJ119&gt;$D119,1,0))</f>
        <v>1</v>
      </c>
    </row>
    <row r="120" spans="1:95" ht="15" customHeight="1" x14ac:dyDescent="0.25">
      <c r="A120" s="5677" t="s">
        <v>5007</v>
      </c>
      <c r="B120" s="6453" t="s">
        <v>799</v>
      </c>
      <c r="C120" s="491" t="s">
        <v>800</v>
      </c>
      <c r="D120" s="299" t="s">
        <v>4567</v>
      </c>
      <c r="E120" s="573" t="s">
        <v>4568</v>
      </c>
      <c r="F120" s="574" t="s">
        <v>4569</v>
      </c>
      <c r="G120" s="1726" t="s">
        <v>4570</v>
      </c>
      <c r="H120" s="3000" t="s">
        <v>4571</v>
      </c>
      <c r="I120" s="1726" t="s">
        <v>4572</v>
      </c>
      <c r="J120" s="3000" t="s">
        <v>4573</v>
      </c>
      <c r="K120" s="1726" t="s">
        <v>4574</v>
      </c>
      <c r="L120" s="3000" t="s">
        <v>4575</v>
      </c>
      <c r="M120" s="1726" t="s">
        <v>4576</v>
      </c>
      <c r="N120" s="3000" t="s">
        <v>4577</v>
      </c>
      <c r="O120" s="1726" t="s">
        <v>4578</v>
      </c>
      <c r="P120" s="3000" t="s">
        <v>4579</v>
      </c>
      <c r="Q120" s="1726" t="s">
        <v>4580</v>
      </c>
      <c r="R120" s="3000" t="s">
        <v>4581</v>
      </c>
      <c r="S120" s="1726" t="s">
        <v>4582</v>
      </c>
      <c r="T120" s="3000" t="s">
        <v>4583</v>
      </c>
      <c r="U120" s="1726" t="s">
        <v>4584</v>
      </c>
      <c r="V120" s="3000" t="s">
        <v>4585</v>
      </c>
      <c r="W120" s="1726" t="s">
        <v>4586</v>
      </c>
      <c r="X120" s="3000" t="s">
        <v>4587</v>
      </c>
      <c r="Y120" s="1726" t="s">
        <v>4588</v>
      </c>
      <c r="Z120" s="3000" t="s">
        <v>4589</v>
      </c>
      <c r="AA120" s="1726" t="s">
        <v>4590</v>
      </c>
      <c r="AB120" s="3000" t="s">
        <v>4591</v>
      </c>
      <c r="AC120" s="1726" t="s">
        <v>4592</v>
      </c>
      <c r="AD120" s="3000" t="s">
        <v>4593</v>
      </c>
      <c r="AE120" s="1726" t="s">
        <v>4594</v>
      </c>
      <c r="AF120" s="3000" t="s">
        <v>4595</v>
      </c>
      <c r="AG120" s="1726" t="s">
        <v>4596</v>
      </c>
      <c r="AH120" s="5555" t="s">
        <v>4597</v>
      </c>
      <c r="AI120" s="3128" t="s">
        <v>4598</v>
      </c>
      <c r="AJ120" s="3000" t="s">
        <v>4599</v>
      </c>
      <c r="AK120" t="str">
        <f>CB120&amp;CC120</f>
        <v>* La variable Pueblos originarios No puede ser mayor al Total.* La variable Migrantes No puede ser mayor al Total.</v>
      </c>
      <c r="CB120" s="135" t="str">
        <f t="shared" ref="CB120:CB126" si="86">IF(AND(D120&gt;0,AI120="")," * No olvide digitar la variable Pueblos originarios. Digite Cero si no tiene.",IF(AI120&gt;D120,"* La variable Pueblos originarios No puede ser mayor al Total.",""))</f>
        <v>* La variable Pueblos originarios No puede ser mayor al Total.</v>
      </c>
      <c r="CC120" s="135" t="str">
        <f t="shared" ref="CC120:CC128" si="87">IF(AND(D120&gt;0,AJ120="")," * No olvide digitar la variable Migrantes. Digite Cero si no tiene.",IF(AJ120&gt;D120,"* La variable Migrantes No puede ser mayor al Total.",""))</f>
        <v>* La variable Migrantes No puede ser mayor al Total.</v>
      </c>
      <c r="CP120" s="1867">
        <f t="shared" ref="CP120:CP128" si="88">IF(AND($D120&gt;0,AI120=""),1,IF(AI120&gt;$D120,1,0))</f>
        <v>1</v>
      </c>
      <c r="CQ120" s="1867">
        <f t="shared" ref="CQ120:CQ128" si="89">IF(AND($D120&gt;0,AJ120=""),1,IF(AJ120&gt;$D120,1,0))</f>
        <v>1</v>
      </c>
    </row>
    <row r="121" spans="1:95" ht="15" customHeight="1" x14ac:dyDescent="0.25">
      <c r="A121" s="5677" t="s">
        <v>5008</v>
      </c>
      <c r="B121" s="6112"/>
      <c r="C121" s="357" t="s">
        <v>801</v>
      </c>
      <c r="D121" s="5033" t="s">
        <v>4567</v>
      </c>
      <c r="E121" s="575" t="s">
        <v>4568</v>
      </c>
      <c r="F121" s="5745" t="s">
        <v>4569</v>
      </c>
      <c r="G121" s="1089" t="s">
        <v>4570</v>
      </c>
      <c r="H121" s="1090" t="s">
        <v>4571</v>
      </c>
      <c r="I121" s="1089" t="s">
        <v>4572</v>
      </c>
      <c r="J121" s="1090" t="s">
        <v>4573</v>
      </c>
      <c r="K121" s="1089" t="s">
        <v>4574</v>
      </c>
      <c r="L121" s="1090" t="s">
        <v>4575</v>
      </c>
      <c r="M121" s="1089" t="s">
        <v>4576</v>
      </c>
      <c r="N121" s="1090" t="s">
        <v>4577</v>
      </c>
      <c r="O121" s="1089" t="s">
        <v>4578</v>
      </c>
      <c r="P121" s="1090" t="s">
        <v>4579</v>
      </c>
      <c r="Q121" s="1089" t="s">
        <v>4580</v>
      </c>
      <c r="R121" s="1090" t="s">
        <v>4581</v>
      </c>
      <c r="S121" s="1089" t="s">
        <v>4582</v>
      </c>
      <c r="T121" s="1090" t="s">
        <v>4583</v>
      </c>
      <c r="U121" s="1089" t="s">
        <v>4584</v>
      </c>
      <c r="V121" s="1090" t="s">
        <v>4585</v>
      </c>
      <c r="W121" s="1089" t="s">
        <v>4586</v>
      </c>
      <c r="X121" s="1090" t="s">
        <v>4587</v>
      </c>
      <c r="Y121" s="1089" t="s">
        <v>4588</v>
      </c>
      <c r="Z121" s="1090" t="s">
        <v>4589</v>
      </c>
      <c r="AA121" s="1089" t="s">
        <v>4590</v>
      </c>
      <c r="AB121" s="1090" t="s">
        <v>4591</v>
      </c>
      <c r="AC121" s="1089" t="s">
        <v>4592</v>
      </c>
      <c r="AD121" s="1090" t="s">
        <v>4593</v>
      </c>
      <c r="AE121" s="1089" t="s">
        <v>4594</v>
      </c>
      <c r="AF121" s="1090" t="s">
        <v>4595</v>
      </c>
      <c r="AG121" s="1089" t="s">
        <v>4596</v>
      </c>
      <c r="AH121" s="5672" t="s">
        <v>4597</v>
      </c>
      <c r="AI121" s="4065" t="s">
        <v>4598</v>
      </c>
      <c r="AJ121" s="1090" t="s">
        <v>4599</v>
      </c>
      <c r="AK121" t="str">
        <f>CB121&amp;CC121</f>
        <v>* La variable Pueblos originarios No puede ser mayor al Total.* La variable Migrantes No puede ser mayor al Total.</v>
      </c>
      <c r="CB121" s="135" t="str">
        <f t="shared" si="86"/>
        <v>* La variable Pueblos originarios No puede ser mayor al Total.</v>
      </c>
      <c r="CC121" s="135" t="str">
        <f t="shared" si="87"/>
        <v>* La variable Migrantes No puede ser mayor al Total.</v>
      </c>
      <c r="CP121" s="1867">
        <f t="shared" si="88"/>
        <v>1</v>
      </c>
      <c r="CQ121" s="1867">
        <f t="shared" si="89"/>
        <v>1</v>
      </c>
    </row>
    <row r="122" spans="1:95" ht="15" customHeight="1" x14ac:dyDescent="0.25">
      <c r="A122" s="5677" t="s">
        <v>5009</v>
      </c>
      <c r="B122" s="6112"/>
      <c r="C122" s="357" t="s">
        <v>802</v>
      </c>
      <c r="D122" s="5033" t="s">
        <v>4567</v>
      </c>
      <c r="E122" s="575" t="s">
        <v>4568</v>
      </c>
      <c r="F122" s="5745" t="s">
        <v>4569</v>
      </c>
      <c r="G122" s="1089" t="s">
        <v>4570</v>
      </c>
      <c r="H122" s="1090" t="s">
        <v>4571</v>
      </c>
      <c r="I122" s="1089" t="s">
        <v>4572</v>
      </c>
      <c r="J122" s="1090" t="s">
        <v>4573</v>
      </c>
      <c r="K122" s="1089" t="s">
        <v>4574</v>
      </c>
      <c r="L122" s="1090" t="s">
        <v>4575</v>
      </c>
      <c r="M122" s="1089" t="s">
        <v>4576</v>
      </c>
      <c r="N122" s="1090" t="s">
        <v>4577</v>
      </c>
      <c r="O122" s="1089" t="s">
        <v>4578</v>
      </c>
      <c r="P122" s="1090" t="s">
        <v>4579</v>
      </c>
      <c r="Q122" s="1089" t="s">
        <v>4580</v>
      </c>
      <c r="R122" s="1090" t="s">
        <v>4581</v>
      </c>
      <c r="S122" s="1089" t="s">
        <v>4582</v>
      </c>
      <c r="T122" s="1090" t="s">
        <v>4583</v>
      </c>
      <c r="U122" s="1089" t="s">
        <v>4584</v>
      </c>
      <c r="V122" s="1090" t="s">
        <v>4585</v>
      </c>
      <c r="W122" s="1089" t="s">
        <v>4586</v>
      </c>
      <c r="X122" s="1090" t="s">
        <v>4587</v>
      </c>
      <c r="Y122" s="1089" t="s">
        <v>4588</v>
      </c>
      <c r="Z122" s="1090" t="s">
        <v>4589</v>
      </c>
      <c r="AA122" s="1089" t="s">
        <v>4590</v>
      </c>
      <c r="AB122" s="1090" t="s">
        <v>4591</v>
      </c>
      <c r="AC122" s="1089" t="s">
        <v>4592</v>
      </c>
      <c r="AD122" s="1090" t="s">
        <v>4593</v>
      </c>
      <c r="AE122" s="1089" t="s">
        <v>4594</v>
      </c>
      <c r="AF122" s="1090" t="s">
        <v>4595</v>
      </c>
      <c r="AG122" s="1089" t="s">
        <v>4596</v>
      </c>
      <c r="AH122" s="5672" t="s">
        <v>4597</v>
      </c>
      <c r="AI122" s="4065" t="s">
        <v>4598</v>
      </c>
      <c r="AJ122" s="1090" t="s">
        <v>4599</v>
      </c>
      <c r="AK122" t="str">
        <f>CB122&amp;CC122</f>
        <v>* La variable Pueblos originarios No puede ser mayor al Total.* La variable Migrantes No puede ser mayor al Total.</v>
      </c>
      <c r="CB122" s="135" t="str">
        <f t="shared" si="86"/>
        <v>* La variable Pueblos originarios No puede ser mayor al Total.</v>
      </c>
      <c r="CC122" s="135" t="str">
        <f t="shared" si="87"/>
        <v>* La variable Migrantes No puede ser mayor al Total.</v>
      </c>
      <c r="CP122" s="1867">
        <f t="shared" si="88"/>
        <v>1</v>
      </c>
      <c r="CQ122" s="1867">
        <f t="shared" si="89"/>
        <v>1</v>
      </c>
    </row>
    <row r="123" spans="1:95" ht="22.5" customHeight="1" x14ac:dyDescent="0.25">
      <c r="A123" s="5637" t="s">
        <v>5010</v>
      </c>
      <c r="B123" s="6112"/>
      <c r="C123" s="356" t="s">
        <v>803</v>
      </c>
      <c r="D123" s="5033" t="s">
        <v>4567</v>
      </c>
      <c r="E123" s="575" t="s">
        <v>4568</v>
      </c>
      <c r="F123" s="5745" t="s">
        <v>4569</v>
      </c>
      <c r="G123" s="1089" t="s">
        <v>4570</v>
      </c>
      <c r="H123" s="1090" t="s">
        <v>4571</v>
      </c>
      <c r="I123" s="1089" t="s">
        <v>4572</v>
      </c>
      <c r="J123" s="1090" t="s">
        <v>4573</v>
      </c>
      <c r="K123" s="1089" t="s">
        <v>4574</v>
      </c>
      <c r="L123" s="1090" t="s">
        <v>4575</v>
      </c>
      <c r="M123" s="1089" t="s">
        <v>4576</v>
      </c>
      <c r="N123" s="1090" t="s">
        <v>4577</v>
      </c>
      <c r="O123" s="1089" t="s">
        <v>4578</v>
      </c>
      <c r="P123" s="1090" t="s">
        <v>4579</v>
      </c>
      <c r="Q123" s="1089" t="s">
        <v>4580</v>
      </c>
      <c r="R123" s="1090" t="s">
        <v>4581</v>
      </c>
      <c r="S123" s="1089" t="s">
        <v>4582</v>
      </c>
      <c r="T123" s="1090" t="s">
        <v>4583</v>
      </c>
      <c r="U123" s="1089" t="s">
        <v>4584</v>
      </c>
      <c r="V123" s="1090" t="s">
        <v>4585</v>
      </c>
      <c r="W123" s="1089" t="s">
        <v>4586</v>
      </c>
      <c r="X123" s="1090" t="s">
        <v>4587</v>
      </c>
      <c r="Y123" s="1089" t="s">
        <v>4588</v>
      </c>
      <c r="Z123" s="1090" t="s">
        <v>4589</v>
      </c>
      <c r="AA123" s="1089" t="s">
        <v>4590</v>
      </c>
      <c r="AB123" s="1090" t="s">
        <v>4591</v>
      </c>
      <c r="AC123" s="1089" t="s">
        <v>4592</v>
      </c>
      <c r="AD123" s="1090" t="s">
        <v>4593</v>
      </c>
      <c r="AE123" s="1089" t="s">
        <v>4594</v>
      </c>
      <c r="AF123" s="1090" t="s">
        <v>4595</v>
      </c>
      <c r="AG123" s="1089" t="s">
        <v>4596</v>
      </c>
      <c r="AH123" s="5672" t="s">
        <v>4597</v>
      </c>
      <c r="AI123" s="4065" t="s">
        <v>4598</v>
      </c>
      <c r="AJ123" s="1090" t="s">
        <v>4599</v>
      </c>
      <c r="AK123" t="str">
        <f>CB123&amp;CC123</f>
        <v>* La variable Pueblos originarios No puede ser mayor al Total.* La variable Migrantes No puede ser mayor al Total.</v>
      </c>
      <c r="CB123" s="135" t="str">
        <f>IF(AND(D123&gt;0,AI123="")," * No olvide digitar la variable Pueblos originarios. Digite Cero si no tiene.",IF(AI123&gt;D123,"* La variable Pueblos originarios No puede ser mayor al Total.",""))</f>
        <v>* La variable Pueblos originarios No puede ser mayor al Total.</v>
      </c>
      <c r="CC123" s="135" t="str">
        <f t="shared" si="87"/>
        <v>* La variable Migrantes No puede ser mayor al Total.</v>
      </c>
      <c r="CP123" s="1867">
        <f t="shared" si="88"/>
        <v>1</v>
      </c>
      <c r="CQ123" s="1867">
        <f t="shared" si="89"/>
        <v>1</v>
      </c>
    </row>
    <row r="124" spans="1:95" ht="26.25" customHeight="1" x14ac:dyDescent="0.25">
      <c r="A124" s="5637" t="s">
        <v>5011</v>
      </c>
      <c r="B124" s="6112"/>
      <c r="C124" s="356" t="s">
        <v>804</v>
      </c>
      <c r="D124" s="5033" t="s">
        <v>4567</v>
      </c>
      <c r="E124" s="575" t="s">
        <v>4568</v>
      </c>
      <c r="F124" s="5745" t="s">
        <v>4569</v>
      </c>
      <c r="G124" s="5687" t="s">
        <v>4570</v>
      </c>
      <c r="H124" s="2" t="s">
        <v>4571</v>
      </c>
      <c r="I124" s="5687" t="s">
        <v>4572</v>
      </c>
      <c r="J124" s="2" t="s">
        <v>4573</v>
      </c>
      <c r="K124" s="5687" t="s">
        <v>4574</v>
      </c>
      <c r="L124" s="2" t="s">
        <v>4575</v>
      </c>
      <c r="M124" s="5687" t="s">
        <v>4576</v>
      </c>
      <c r="N124" s="2" t="s">
        <v>4577</v>
      </c>
      <c r="O124" s="5687" t="s">
        <v>4578</v>
      </c>
      <c r="P124" s="2" t="s">
        <v>4579</v>
      </c>
      <c r="Q124" s="5687" t="s">
        <v>4580</v>
      </c>
      <c r="R124" s="2" t="s">
        <v>4581</v>
      </c>
      <c r="S124" s="5687" t="s">
        <v>4582</v>
      </c>
      <c r="T124" s="2" t="s">
        <v>4583</v>
      </c>
      <c r="U124" s="5687" t="s">
        <v>4584</v>
      </c>
      <c r="V124" s="2" t="s">
        <v>4585</v>
      </c>
      <c r="W124" s="5687" t="s">
        <v>4586</v>
      </c>
      <c r="X124" s="2" t="s">
        <v>4587</v>
      </c>
      <c r="Y124" s="5687" t="s">
        <v>4588</v>
      </c>
      <c r="Z124" s="2" t="s">
        <v>4589</v>
      </c>
      <c r="AA124" s="5687" t="s">
        <v>4590</v>
      </c>
      <c r="AB124" s="2" t="s">
        <v>4591</v>
      </c>
      <c r="AC124" s="5687" t="s">
        <v>4592</v>
      </c>
      <c r="AD124" s="2" t="s">
        <v>4593</v>
      </c>
      <c r="AE124" s="5687" t="s">
        <v>4594</v>
      </c>
      <c r="AF124" s="2" t="s">
        <v>4595</v>
      </c>
      <c r="AG124" s="5687" t="s">
        <v>4596</v>
      </c>
      <c r="AH124" s="5688" t="s">
        <v>4597</v>
      </c>
      <c r="AI124" s="5746" t="s">
        <v>4598</v>
      </c>
      <c r="AJ124" s="2" t="s">
        <v>4599</v>
      </c>
      <c r="AK124" t="str">
        <f t="shared" ref="AK124:AK128" si="90">CB124&amp;CC124</f>
        <v>* La variable Pueblos originarios No puede ser mayor al Total.* La variable Migrantes No puede ser mayor al Total.</v>
      </c>
      <c r="CB124" s="135" t="str">
        <f t="shared" si="86"/>
        <v>* La variable Pueblos originarios No puede ser mayor al Total.</v>
      </c>
      <c r="CC124" s="135" t="str">
        <f t="shared" si="87"/>
        <v>* La variable Migrantes No puede ser mayor al Total.</v>
      </c>
      <c r="CP124" s="1867">
        <f t="shared" si="88"/>
        <v>1</v>
      </c>
      <c r="CQ124" s="1867">
        <f t="shared" si="89"/>
        <v>1</v>
      </c>
    </row>
    <row r="125" spans="1:95" ht="15" customHeight="1" x14ac:dyDescent="0.25">
      <c r="A125" s="5677" t="s">
        <v>5012</v>
      </c>
      <c r="B125" s="6112"/>
      <c r="C125" s="356" t="s">
        <v>805</v>
      </c>
      <c r="D125" s="5033" t="s">
        <v>4567</v>
      </c>
      <c r="E125" s="575" t="s">
        <v>4568</v>
      </c>
      <c r="F125" s="5745" t="s">
        <v>4569</v>
      </c>
      <c r="G125" s="5687" t="s">
        <v>4570</v>
      </c>
      <c r="H125" s="2" t="s">
        <v>4571</v>
      </c>
      <c r="I125" s="5687" t="s">
        <v>4572</v>
      </c>
      <c r="J125" s="2" t="s">
        <v>4573</v>
      </c>
      <c r="K125" s="5687" t="s">
        <v>4574</v>
      </c>
      <c r="L125" s="2" t="s">
        <v>4575</v>
      </c>
      <c r="M125" s="5687" t="s">
        <v>4576</v>
      </c>
      <c r="N125" s="2" t="s">
        <v>4577</v>
      </c>
      <c r="O125" s="5687" t="s">
        <v>4578</v>
      </c>
      <c r="P125" s="2" t="s">
        <v>4579</v>
      </c>
      <c r="Q125" s="5687" t="s">
        <v>4580</v>
      </c>
      <c r="R125" s="2" t="s">
        <v>4581</v>
      </c>
      <c r="S125" s="5687" t="s">
        <v>4582</v>
      </c>
      <c r="T125" s="2" t="s">
        <v>4583</v>
      </c>
      <c r="U125" s="5687" t="s">
        <v>4584</v>
      </c>
      <c r="V125" s="2" t="s">
        <v>4585</v>
      </c>
      <c r="W125" s="5687" t="s">
        <v>4586</v>
      </c>
      <c r="X125" s="2" t="s">
        <v>4587</v>
      </c>
      <c r="Y125" s="5687" t="s">
        <v>4588</v>
      </c>
      <c r="Z125" s="2" t="s">
        <v>4589</v>
      </c>
      <c r="AA125" s="5687" t="s">
        <v>4590</v>
      </c>
      <c r="AB125" s="2" t="s">
        <v>4591</v>
      </c>
      <c r="AC125" s="5687" t="s">
        <v>4592</v>
      </c>
      <c r="AD125" s="2" t="s">
        <v>4593</v>
      </c>
      <c r="AE125" s="5687" t="s">
        <v>4594</v>
      </c>
      <c r="AF125" s="2" t="s">
        <v>4595</v>
      </c>
      <c r="AG125" s="5687" t="s">
        <v>4596</v>
      </c>
      <c r="AH125" s="5688" t="s">
        <v>4597</v>
      </c>
      <c r="AI125" s="5746" t="s">
        <v>4598</v>
      </c>
      <c r="AJ125" s="2" t="s">
        <v>4599</v>
      </c>
      <c r="AK125" t="str">
        <f t="shared" si="90"/>
        <v>* La variable Pueblos originarios No puede ser mayor al Total.* La variable Migrantes No puede ser mayor al Total.</v>
      </c>
      <c r="CB125" s="135" t="str">
        <f t="shared" si="86"/>
        <v>* La variable Pueblos originarios No puede ser mayor al Total.</v>
      </c>
      <c r="CC125" s="135" t="str">
        <f t="shared" si="87"/>
        <v>* La variable Migrantes No puede ser mayor al Total.</v>
      </c>
      <c r="CP125" s="1867">
        <f t="shared" si="88"/>
        <v>1</v>
      </c>
      <c r="CQ125" s="1867">
        <f t="shared" si="89"/>
        <v>1</v>
      </c>
    </row>
    <row r="126" spans="1:95" ht="15" customHeight="1" x14ac:dyDescent="0.25">
      <c r="A126" s="5677" t="s">
        <v>5013</v>
      </c>
      <c r="B126" s="6112"/>
      <c r="C126" s="196" t="s">
        <v>806</v>
      </c>
      <c r="D126" s="5033" t="s">
        <v>4567</v>
      </c>
      <c r="E126" s="575" t="s">
        <v>4568</v>
      </c>
      <c r="F126" s="5745" t="s">
        <v>4569</v>
      </c>
      <c r="G126" s="5687" t="s">
        <v>4570</v>
      </c>
      <c r="H126" s="2" t="s">
        <v>4571</v>
      </c>
      <c r="I126" s="5687" t="s">
        <v>4572</v>
      </c>
      <c r="J126" s="2" t="s">
        <v>4573</v>
      </c>
      <c r="K126" s="5687" t="s">
        <v>4574</v>
      </c>
      <c r="L126" s="2" t="s">
        <v>4575</v>
      </c>
      <c r="M126" s="5687" t="s">
        <v>4576</v>
      </c>
      <c r="N126" s="2" t="s">
        <v>4577</v>
      </c>
      <c r="O126" s="5687" t="s">
        <v>4578</v>
      </c>
      <c r="P126" s="2" t="s">
        <v>4579</v>
      </c>
      <c r="Q126" s="5687" t="s">
        <v>4580</v>
      </c>
      <c r="R126" s="2" t="s">
        <v>4581</v>
      </c>
      <c r="S126" s="5687" t="s">
        <v>4582</v>
      </c>
      <c r="T126" s="2" t="s">
        <v>4583</v>
      </c>
      <c r="U126" s="5687" t="s">
        <v>4584</v>
      </c>
      <c r="V126" s="2" t="s">
        <v>4585</v>
      </c>
      <c r="W126" s="5687" t="s">
        <v>4586</v>
      </c>
      <c r="X126" s="2" t="s">
        <v>4587</v>
      </c>
      <c r="Y126" s="5687" t="s">
        <v>4588</v>
      </c>
      <c r="Z126" s="2" t="s">
        <v>4589</v>
      </c>
      <c r="AA126" s="5687" t="s">
        <v>4590</v>
      </c>
      <c r="AB126" s="2" t="s">
        <v>4591</v>
      </c>
      <c r="AC126" s="5687" t="s">
        <v>4592</v>
      </c>
      <c r="AD126" s="2" t="s">
        <v>4593</v>
      </c>
      <c r="AE126" s="5687" t="s">
        <v>4594</v>
      </c>
      <c r="AF126" s="2" t="s">
        <v>4595</v>
      </c>
      <c r="AG126" s="5687" t="s">
        <v>4596</v>
      </c>
      <c r="AH126" s="5688" t="s">
        <v>4597</v>
      </c>
      <c r="AI126" s="5746" t="s">
        <v>4598</v>
      </c>
      <c r="AJ126" s="2" t="s">
        <v>4599</v>
      </c>
      <c r="AK126" t="str">
        <f t="shared" si="90"/>
        <v>* La variable Pueblos originarios No puede ser mayor al Total.* La variable Migrantes No puede ser mayor al Total.</v>
      </c>
      <c r="CB126" s="135" t="str">
        <f t="shared" si="86"/>
        <v>* La variable Pueblos originarios No puede ser mayor al Total.</v>
      </c>
      <c r="CC126" s="135" t="str">
        <f t="shared" si="87"/>
        <v>* La variable Migrantes No puede ser mayor al Total.</v>
      </c>
      <c r="CP126" s="1867">
        <f t="shared" si="88"/>
        <v>1</v>
      </c>
      <c r="CQ126" s="1867">
        <f t="shared" si="89"/>
        <v>1</v>
      </c>
    </row>
    <row r="127" spans="1:95" ht="15" customHeight="1" x14ac:dyDescent="0.25">
      <c r="A127" s="5677" t="s">
        <v>5014</v>
      </c>
      <c r="B127" s="6059"/>
      <c r="C127" s="517" t="s">
        <v>807</v>
      </c>
      <c r="D127" s="5747" t="s">
        <v>4567</v>
      </c>
      <c r="E127" s="5748" t="s">
        <v>4568</v>
      </c>
      <c r="F127" s="5749" t="s">
        <v>4569</v>
      </c>
      <c r="G127" s="5750" t="s">
        <v>4570</v>
      </c>
      <c r="H127" s="5751" t="s">
        <v>4571</v>
      </c>
      <c r="I127" s="5750" t="s">
        <v>4572</v>
      </c>
      <c r="J127" s="5751" t="s">
        <v>4573</v>
      </c>
      <c r="K127" s="5750" t="s">
        <v>4574</v>
      </c>
      <c r="L127" s="5751" t="s">
        <v>4575</v>
      </c>
      <c r="M127" s="5750" t="s">
        <v>4576</v>
      </c>
      <c r="N127" s="5751" t="s">
        <v>4577</v>
      </c>
      <c r="O127" s="5750" t="s">
        <v>4578</v>
      </c>
      <c r="P127" s="5751" t="s">
        <v>4579</v>
      </c>
      <c r="Q127" s="5750" t="s">
        <v>4580</v>
      </c>
      <c r="R127" s="5751" t="s">
        <v>4581</v>
      </c>
      <c r="S127" s="5750" t="s">
        <v>4582</v>
      </c>
      <c r="T127" s="5751" t="s">
        <v>4583</v>
      </c>
      <c r="U127" s="5750" t="s">
        <v>4584</v>
      </c>
      <c r="V127" s="5751" t="s">
        <v>4585</v>
      </c>
      <c r="W127" s="1114" t="s">
        <v>4586</v>
      </c>
      <c r="X127" s="5743" t="s">
        <v>4587</v>
      </c>
      <c r="Y127" s="1114" t="s">
        <v>4588</v>
      </c>
      <c r="Z127" s="5743" t="s">
        <v>4589</v>
      </c>
      <c r="AA127" s="1114" t="s">
        <v>4590</v>
      </c>
      <c r="AB127" s="5743" t="s">
        <v>4591</v>
      </c>
      <c r="AC127" s="1114" t="s">
        <v>4592</v>
      </c>
      <c r="AD127" s="5743" t="s">
        <v>4593</v>
      </c>
      <c r="AE127" s="1114" t="s">
        <v>4594</v>
      </c>
      <c r="AF127" s="5743" t="s">
        <v>4595</v>
      </c>
      <c r="AG127" s="1114" t="s">
        <v>4596</v>
      </c>
      <c r="AH127" s="1324" t="s">
        <v>4597</v>
      </c>
      <c r="AI127" s="1303" t="s">
        <v>4598</v>
      </c>
      <c r="AJ127" s="5743" t="s">
        <v>4599</v>
      </c>
      <c r="AK127" t="str">
        <f t="shared" si="90"/>
        <v>* La variable Pueblos originarios No puede ser mayor al Total.* La variable Migrantes No puede ser mayor al Total.</v>
      </c>
      <c r="CB127" s="135" t="str">
        <f>IF(AND(D127&gt;0,AI127="")," * No olvide digitar la variable Pueblos originarios. Digite Cero si no tiene.",IF(AI127&gt;D127,"* La variable Pueblos originarios No puede ser mayor al Total.",""))</f>
        <v>* La variable Pueblos originarios No puede ser mayor al Total.</v>
      </c>
      <c r="CC127" s="135" t="str">
        <f t="shared" si="87"/>
        <v>* La variable Migrantes No puede ser mayor al Total.</v>
      </c>
      <c r="CP127" s="1867">
        <f t="shared" si="88"/>
        <v>1</v>
      </c>
      <c r="CQ127" s="1867">
        <f t="shared" si="89"/>
        <v>1</v>
      </c>
    </row>
    <row r="128" spans="1:95" ht="15" customHeight="1" x14ac:dyDescent="0.25">
      <c r="A128" s="5677" t="s">
        <v>5015</v>
      </c>
      <c r="B128" s="6535" t="s">
        <v>808</v>
      </c>
      <c r="C128" s="6535"/>
      <c r="D128" s="2995" t="s">
        <v>4567</v>
      </c>
      <c r="E128" s="5344" t="s">
        <v>4568</v>
      </c>
      <c r="F128" s="5331" t="s">
        <v>4569</v>
      </c>
      <c r="G128" s="5683" t="s">
        <v>4570</v>
      </c>
      <c r="H128" s="5686" t="s">
        <v>4571</v>
      </c>
      <c r="I128" s="5683" t="s">
        <v>4572</v>
      </c>
      <c r="J128" s="5686" t="s">
        <v>4573</v>
      </c>
      <c r="K128" s="5683" t="s">
        <v>4574</v>
      </c>
      <c r="L128" s="5686" t="s">
        <v>4575</v>
      </c>
      <c r="M128" s="5683" t="s">
        <v>4576</v>
      </c>
      <c r="N128" s="5686" t="s">
        <v>4577</v>
      </c>
      <c r="O128" s="5683" t="s">
        <v>4578</v>
      </c>
      <c r="P128" s="5686" t="s">
        <v>4579</v>
      </c>
      <c r="Q128" s="5683" t="s">
        <v>4580</v>
      </c>
      <c r="R128" s="5686" t="s">
        <v>4581</v>
      </c>
      <c r="S128" s="5683" t="s">
        <v>4582</v>
      </c>
      <c r="T128" s="5686" t="s">
        <v>4583</v>
      </c>
      <c r="U128" s="5683" t="s">
        <v>4584</v>
      </c>
      <c r="V128" s="5686" t="s">
        <v>4585</v>
      </c>
      <c r="W128" s="5683" t="s">
        <v>4586</v>
      </c>
      <c r="X128" s="5686" t="s">
        <v>4587</v>
      </c>
      <c r="Y128" s="5683" t="s">
        <v>4588</v>
      </c>
      <c r="Z128" s="5686" t="s">
        <v>4589</v>
      </c>
      <c r="AA128" s="5683" t="s">
        <v>4590</v>
      </c>
      <c r="AB128" s="5686" t="s">
        <v>4591</v>
      </c>
      <c r="AC128" s="5683" t="s">
        <v>4592</v>
      </c>
      <c r="AD128" s="5686" t="s">
        <v>4593</v>
      </c>
      <c r="AE128" s="5683" t="s">
        <v>4594</v>
      </c>
      <c r="AF128" s="5686" t="s">
        <v>4595</v>
      </c>
      <c r="AG128" s="5683" t="s">
        <v>4596</v>
      </c>
      <c r="AH128" s="5684" t="s">
        <v>4597</v>
      </c>
      <c r="AI128" s="5698" t="s">
        <v>4598</v>
      </c>
      <c r="AJ128" s="5686" t="s">
        <v>4599</v>
      </c>
      <c r="AK128" t="str">
        <f t="shared" si="90"/>
        <v>* La variable Pueblos originarios No puede ser mayor al Total.* La variable Migrantes No puede ser mayor al Total.</v>
      </c>
      <c r="CB128" s="135" t="str">
        <f>IF(AND(D128&gt;0,AI128="")," * No olvide digitar la variable Pueblos originarios. Digite Cero si no tiene.",IF(AI128&gt;D128,"* La variable Pueblos originarios No puede ser mayor al Total.",""))</f>
        <v>* La variable Pueblos originarios No puede ser mayor al Total.</v>
      </c>
      <c r="CC128" s="135" t="str">
        <f t="shared" si="87"/>
        <v>* La variable Migrantes No puede ser mayor al Total.</v>
      </c>
      <c r="CP128" s="1867">
        <f t="shared" si="88"/>
        <v>1</v>
      </c>
      <c r="CQ128" s="1867">
        <f t="shared" si="89"/>
        <v>1</v>
      </c>
    </row>
    <row r="129" spans="1:96" s="6" customFormat="1" ht="18" customHeight="1" x14ac:dyDescent="0.2">
      <c r="B129" s="298" t="s">
        <v>809</v>
      </c>
      <c r="C129" s="298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578"/>
      <c r="AN129" s="578"/>
    </row>
    <row r="130" spans="1:96" x14ac:dyDescent="0.25">
      <c r="B130" s="6212" t="s">
        <v>285</v>
      </c>
      <c r="C130" s="6511"/>
      <c r="D130" s="6458" t="s">
        <v>77</v>
      </c>
      <c r="E130" s="6458"/>
      <c r="F130" s="6458"/>
      <c r="G130" s="6405" t="s">
        <v>101</v>
      </c>
      <c r="H130" s="6456"/>
      <c r="I130" s="6456"/>
      <c r="J130" s="6456"/>
      <c r="K130" s="6456"/>
      <c r="L130" s="6456"/>
      <c r="M130" s="6456"/>
      <c r="N130" s="6456"/>
      <c r="O130" s="6456"/>
      <c r="P130" s="6456"/>
      <c r="Q130" s="6456"/>
      <c r="R130" s="6456"/>
      <c r="S130" s="6456"/>
      <c r="T130" s="6456"/>
      <c r="U130" s="6456"/>
      <c r="V130" s="6456"/>
      <c r="W130" s="6456"/>
      <c r="X130" s="6456"/>
      <c r="Y130" s="6456"/>
      <c r="Z130" s="6456"/>
      <c r="AA130" s="6456"/>
      <c r="AB130" s="6456"/>
      <c r="AC130" s="6456"/>
      <c r="AD130" s="6456"/>
      <c r="AE130" s="6456"/>
      <c r="AF130" s="6456"/>
      <c r="AG130" s="6456"/>
      <c r="AH130" s="6455"/>
      <c r="AI130" s="6582" t="s">
        <v>810</v>
      </c>
      <c r="AJ130" s="6583"/>
      <c r="AK130" s="6583"/>
      <c r="AL130" s="6584"/>
      <c r="AM130" s="6517" t="s">
        <v>36</v>
      </c>
      <c r="AN130" s="6511" t="s">
        <v>37</v>
      </c>
    </row>
    <row r="131" spans="1:96" x14ac:dyDescent="0.25">
      <c r="B131" s="6044"/>
      <c r="C131" s="6027"/>
      <c r="D131" s="6119"/>
      <c r="E131" s="6119"/>
      <c r="F131" s="6119"/>
      <c r="G131" s="6417" t="s">
        <v>44</v>
      </c>
      <c r="H131" s="6417"/>
      <c r="I131" s="6417" t="s">
        <v>45</v>
      </c>
      <c r="J131" s="6417"/>
      <c r="K131" s="6417" t="s">
        <v>46</v>
      </c>
      <c r="L131" s="6417"/>
      <c r="M131" s="6417" t="s">
        <v>47</v>
      </c>
      <c r="N131" s="6417"/>
      <c r="O131" s="6417" t="s">
        <v>48</v>
      </c>
      <c r="P131" s="6417"/>
      <c r="Q131" s="6417" t="s">
        <v>49</v>
      </c>
      <c r="R131" s="6417"/>
      <c r="S131" s="6417" t="s">
        <v>50</v>
      </c>
      <c r="T131" s="6417"/>
      <c r="U131" s="6417" t="s">
        <v>51</v>
      </c>
      <c r="V131" s="6417"/>
      <c r="W131" s="6417" t="s">
        <v>52</v>
      </c>
      <c r="X131" s="6417"/>
      <c r="Y131" s="6417" t="s">
        <v>53</v>
      </c>
      <c r="Z131" s="6417"/>
      <c r="AA131" s="6405" t="s">
        <v>54</v>
      </c>
      <c r="AB131" s="6451"/>
      <c r="AC131" s="6405" t="s">
        <v>55</v>
      </c>
      <c r="AD131" s="6451"/>
      <c r="AE131" s="6405" t="s">
        <v>56</v>
      </c>
      <c r="AF131" s="6451"/>
      <c r="AG131" s="6405" t="s">
        <v>57</v>
      </c>
      <c r="AH131" s="6455"/>
      <c r="AI131" s="6517" t="s">
        <v>811</v>
      </c>
      <c r="AJ131" s="6481" t="s">
        <v>812</v>
      </c>
      <c r="AK131" s="6481" t="s">
        <v>813</v>
      </c>
      <c r="AL131" s="6518" t="s">
        <v>814</v>
      </c>
      <c r="AM131" s="6034"/>
      <c r="AN131" s="6027"/>
    </row>
    <row r="132" spans="1:96" ht="18.75" customHeight="1" x14ac:dyDescent="0.25">
      <c r="B132" s="6064"/>
      <c r="C132" s="6028"/>
      <c r="D132" s="467" t="s">
        <v>79</v>
      </c>
      <c r="E132" s="548" t="s">
        <v>58</v>
      </c>
      <c r="F132" s="464" t="s">
        <v>59</v>
      </c>
      <c r="G132" s="463" t="s">
        <v>58</v>
      </c>
      <c r="H132" s="486" t="s">
        <v>59</v>
      </c>
      <c r="I132" s="463" t="s">
        <v>58</v>
      </c>
      <c r="J132" s="486" t="s">
        <v>59</v>
      </c>
      <c r="K132" s="463" t="s">
        <v>58</v>
      </c>
      <c r="L132" s="486" t="s">
        <v>59</v>
      </c>
      <c r="M132" s="463" t="s">
        <v>58</v>
      </c>
      <c r="N132" s="486" t="s">
        <v>59</v>
      </c>
      <c r="O132" s="463" t="s">
        <v>58</v>
      </c>
      <c r="P132" s="486" t="s">
        <v>59</v>
      </c>
      <c r="Q132" s="463" t="s">
        <v>58</v>
      </c>
      <c r="R132" s="486" t="s">
        <v>59</v>
      </c>
      <c r="S132" s="463" t="s">
        <v>58</v>
      </c>
      <c r="T132" s="486" t="s">
        <v>59</v>
      </c>
      <c r="U132" s="463" t="s">
        <v>58</v>
      </c>
      <c r="V132" s="486" t="s">
        <v>59</v>
      </c>
      <c r="W132" s="463" t="s">
        <v>58</v>
      </c>
      <c r="X132" s="486" t="s">
        <v>59</v>
      </c>
      <c r="Y132" s="463" t="s">
        <v>58</v>
      </c>
      <c r="Z132" s="486" t="s">
        <v>59</v>
      </c>
      <c r="AA132" s="463" t="s">
        <v>58</v>
      </c>
      <c r="AB132" s="486" t="s">
        <v>59</v>
      </c>
      <c r="AC132" s="463" t="s">
        <v>58</v>
      </c>
      <c r="AD132" s="486" t="s">
        <v>59</v>
      </c>
      <c r="AE132" s="463" t="s">
        <v>58</v>
      </c>
      <c r="AF132" s="486" t="s">
        <v>59</v>
      </c>
      <c r="AG132" s="463" t="s">
        <v>58</v>
      </c>
      <c r="AH132" s="579" t="s">
        <v>59</v>
      </c>
      <c r="AI132" s="6035"/>
      <c r="AJ132" s="6086"/>
      <c r="AK132" s="6086"/>
      <c r="AL132" s="6519"/>
      <c r="AM132" s="6035"/>
      <c r="AN132" s="6028"/>
    </row>
    <row r="133" spans="1:96" x14ac:dyDescent="0.25">
      <c r="A133" s="5677" t="s">
        <v>5016</v>
      </c>
      <c r="B133" s="6573" t="s">
        <v>815</v>
      </c>
      <c r="C133" s="6574"/>
      <c r="D133" s="510" t="s">
        <v>4567</v>
      </c>
      <c r="E133" s="511" t="s">
        <v>4568</v>
      </c>
      <c r="F133" s="572" t="s">
        <v>4569</v>
      </c>
      <c r="G133" s="473" t="s">
        <v>4570</v>
      </c>
      <c r="H133" s="566" t="s">
        <v>4571</v>
      </c>
      <c r="I133" s="473" t="s">
        <v>4572</v>
      </c>
      <c r="J133" s="566" t="s">
        <v>4573</v>
      </c>
      <c r="K133" s="473" t="s">
        <v>4574</v>
      </c>
      <c r="L133" s="566" t="s">
        <v>4575</v>
      </c>
      <c r="M133" s="473" t="s">
        <v>4576</v>
      </c>
      <c r="N133" s="566" t="s">
        <v>4577</v>
      </c>
      <c r="O133" s="473" t="s">
        <v>4578</v>
      </c>
      <c r="P133" s="566" t="s">
        <v>4579</v>
      </c>
      <c r="Q133" s="473" t="s">
        <v>4580</v>
      </c>
      <c r="R133" s="566" t="s">
        <v>4581</v>
      </c>
      <c r="S133" s="473" t="s">
        <v>4582</v>
      </c>
      <c r="T133" s="566" t="s">
        <v>4583</v>
      </c>
      <c r="U133" s="473" t="s">
        <v>4584</v>
      </c>
      <c r="V133" s="566" t="s">
        <v>4585</v>
      </c>
      <c r="W133" s="473" t="s">
        <v>4586</v>
      </c>
      <c r="X133" s="566" t="s">
        <v>4587</v>
      </c>
      <c r="Y133" s="473" t="s">
        <v>4588</v>
      </c>
      <c r="Z133" s="566" t="s">
        <v>4589</v>
      </c>
      <c r="AA133" s="473" t="s">
        <v>4590</v>
      </c>
      <c r="AB133" s="566" t="s">
        <v>4591</v>
      </c>
      <c r="AC133" s="473" t="s">
        <v>4592</v>
      </c>
      <c r="AD133" s="566" t="s">
        <v>4593</v>
      </c>
      <c r="AE133" s="473" t="s">
        <v>4594</v>
      </c>
      <c r="AF133" s="566" t="s">
        <v>4595</v>
      </c>
      <c r="AG133" s="473" t="s">
        <v>4596</v>
      </c>
      <c r="AH133" s="475" t="s">
        <v>4597</v>
      </c>
      <c r="AI133" s="496" t="s">
        <v>4598</v>
      </c>
      <c r="AJ133" s="493" t="s">
        <v>4599</v>
      </c>
      <c r="AK133" s="493" t="s">
        <v>4600</v>
      </c>
      <c r="AL133" s="475" t="s">
        <v>4601</v>
      </c>
      <c r="AM133" s="496" t="s">
        <v>4602</v>
      </c>
      <c r="AN133" s="474" t="s">
        <v>4603</v>
      </c>
      <c r="AO133" t="e">
        <f>CC133&amp;CD133&amp;CB133</f>
        <v>#VALUE!</v>
      </c>
      <c r="CB133" s="2946" t="e">
        <f>IF(OR(AI133+AJ133+AK133+AL133&gt;D133,)," ** La suma de Causal de Egresos no deben ser mayor que el Total Ambos Sexos","")</f>
        <v>#VALUE!</v>
      </c>
      <c r="CC133" s="135" t="str">
        <f>IF(AND($D133&gt;0,AM133=""),"  * No olvide digitar la variable Pueblos originarios. Digite Cero si no tiene.",IF(AM133&gt;$D133,"  * La variable Pueblos originarios No puede ser mayor al Total.",""))</f>
        <v xml:space="preserve">  * La variable Pueblos originarios No puede ser mayor al Total.</v>
      </c>
      <c r="CD133" s="135" t="str">
        <f>IF(AND($D133&gt;0,AN133="")," * No olvide digitar la variable Migrantes. Digite Cero si no tiene.",IF(AN133&gt;$D133," * La variable Migrantes No puede ser mayor al Total.",""))</f>
        <v xml:space="preserve"> * La variable Migrantes No puede ser mayor al Total.</v>
      </c>
      <c r="CP133" s="1867" t="e">
        <f>IF((AI133+AJ133+AK133+AL133)&gt;$D133,1,0)</f>
        <v>#VALUE!</v>
      </c>
      <c r="CQ133" s="1867">
        <f t="shared" ref="CQ133:CQ141" si="91">IF(AND($D133&gt;0,AM133=""),1,IF(AM133&gt;$D133,1,0))</f>
        <v>1</v>
      </c>
      <c r="CR133" s="1867">
        <f t="shared" ref="CR133:CR141" si="92">IF(AND($D133&gt;0,AN133=""),1,IF(AN133&gt;$D133,1,0))</f>
        <v>1</v>
      </c>
    </row>
    <row r="134" spans="1:96" x14ac:dyDescent="0.25">
      <c r="A134" s="5677" t="s">
        <v>5017</v>
      </c>
      <c r="B134" s="6453" t="s">
        <v>799</v>
      </c>
      <c r="C134" s="491" t="s">
        <v>800</v>
      </c>
      <c r="D134" s="299" t="s">
        <v>4567</v>
      </c>
      <c r="E134" s="573" t="s">
        <v>4568</v>
      </c>
      <c r="F134" s="574" t="s">
        <v>4569</v>
      </c>
      <c r="G134" s="473" t="s">
        <v>4570</v>
      </c>
      <c r="H134" s="566" t="s">
        <v>4571</v>
      </c>
      <c r="I134" s="473" t="s">
        <v>4572</v>
      </c>
      <c r="J134" s="566" t="s">
        <v>4573</v>
      </c>
      <c r="K134" s="473" t="s">
        <v>4574</v>
      </c>
      <c r="L134" s="566" t="s">
        <v>4575</v>
      </c>
      <c r="M134" s="473" t="s">
        <v>4576</v>
      </c>
      <c r="N134" s="566" t="s">
        <v>4577</v>
      </c>
      <c r="O134" s="473" t="s">
        <v>4578</v>
      </c>
      <c r="P134" s="566" t="s">
        <v>4579</v>
      </c>
      <c r="Q134" s="473" t="s">
        <v>4580</v>
      </c>
      <c r="R134" s="566" t="s">
        <v>4581</v>
      </c>
      <c r="S134" s="473" t="s">
        <v>4582</v>
      </c>
      <c r="T134" s="566" t="s">
        <v>4583</v>
      </c>
      <c r="U134" s="473" t="s">
        <v>4584</v>
      </c>
      <c r="V134" s="566" t="s">
        <v>4585</v>
      </c>
      <c r="W134" s="473" t="s">
        <v>4586</v>
      </c>
      <c r="X134" s="566" t="s">
        <v>4587</v>
      </c>
      <c r="Y134" s="473" t="s">
        <v>4588</v>
      </c>
      <c r="Z134" s="566" t="s">
        <v>4589</v>
      </c>
      <c r="AA134" s="473" t="s">
        <v>4590</v>
      </c>
      <c r="AB134" s="566" t="s">
        <v>4591</v>
      </c>
      <c r="AC134" s="473" t="s">
        <v>4592</v>
      </c>
      <c r="AD134" s="566" t="s">
        <v>4593</v>
      </c>
      <c r="AE134" s="473" t="s">
        <v>4594</v>
      </c>
      <c r="AF134" s="566" t="s">
        <v>4595</v>
      </c>
      <c r="AG134" s="473" t="s">
        <v>4596</v>
      </c>
      <c r="AH134" s="475" t="s">
        <v>4597</v>
      </c>
      <c r="AI134" s="496" t="s">
        <v>4598</v>
      </c>
      <c r="AJ134" s="493" t="s">
        <v>4599</v>
      </c>
      <c r="AK134" s="493" t="s">
        <v>4600</v>
      </c>
      <c r="AL134" s="475" t="s">
        <v>4601</v>
      </c>
      <c r="AM134" s="496" t="s">
        <v>4602</v>
      </c>
      <c r="AN134" s="474" t="s">
        <v>4603</v>
      </c>
      <c r="AO134" t="e">
        <f>CC134&amp;CD134&amp;CB134</f>
        <v>#VALUE!</v>
      </c>
      <c r="CB134" s="2946" t="e">
        <f t="shared" ref="CB134:CB141" si="93">IF(OR(AI134+AJ134+AK134+AL134&gt;D134,)," ** La suma de Causal de Egresos no deben ser mayor que el Total Ambos Sexos","")</f>
        <v>#VALUE!</v>
      </c>
      <c r="CC134" s="135" t="str">
        <f t="shared" ref="CC134:CC141" si="94">IF(AND($D134&gt;0,AM134=""),"  * No olvide digitar la variable Pueblos originarios. Digite Cero si no tiene.",IF(AM134&gt;$D134,"  * La variable Pueblos originarios No puede ser mayor al Total.",""))</f>
        <v xml:space="preserve">  * La variable Pueblos originarios No puede ser mayor al Total.</v>
      </c>
      <c r="CD134" s="135" t="str">
        <f t="shared" ref="CD134:CD141" si="95">IF(AND($D134&gt;0,AN134="")," * No olvide digitar la variable Migrantes. Digite Cero si no tiene.",IF(AN134&gt;$D134," * La variable Migrantes No puede ser mayor al Total.",""))</f>
        <v xml:space="preserve"> * La variable Migrantes No puede ser mayor al Total.</v>
      </c>
      <c r="CP134" s="1867" t="e">
        <f t="shared" ref="CP134:CP141" si="96">IF((AI134+AJ134+AK134+AL134)&gt;$D134,1,0)</f>
        <v>#VALUE!</v>
      </c>
      <c r="CQ134" s="1867">
        <f t="shared" si="91"/>
        <v>1</v>
      </c>
      <c r="CR134" s="1867">
        <f t="shared" si="92"/>
        <v>1</v>
      </c>
    </row>
    <row r="135" spans="1:96" x14ac:dyDescent="0.25">
      <c r="A135" s="5677" t="s">
        <v>5018</v>
      </c>
      <c r="B135" s="6112"/>
      <c r="C135" s="357" t="s">
        <v>801</v>
      </c>
      <c r="D135" s="477" t="s">
        <v>4567</v>
      </c>
      <c r="E135" s="575" t="s">
        <v>4568</v>
      </c>
      <c r="F135" s="553" t="s">
        <v>4569</v>
      </c>
      <c r="G135" s="345" t="s">
        <v>4570</v>
      </c>
      <c r="H135" s="346" t="s">
        <v>4571</v>
      </c>
      <c r="I135" s="345" t="s">
        <v>4572</v>
      </c>
      <c r="J135" s="346" t="s">
        <v>4573</v>
      </c>
      <c r="K135" s="345" t="s">
        <v>4574</v>
      </c>
      <c r="L135" s="346" t="s">
        <v>4575</v>
      </c>
      <c r="M135" s="345" t="s">
        <v>4576</v>
      </c>
      <c r="N135" s="346" t="s">
        <v>4577</v>
      </c>
      <c r="O135" s="345" t="s">
        <v>4578</v>
      </c>
      <c r="P135" s="346" t="s">
        <v>4579</v>
      </c>
      <c r="Q135" s="345" t="s">
        <v>4580</v>
      </c>
      <c r="R135" s="346" t="s">
        <v>4581</v>
      </c>
      <c r="S135" s="345" t="s">
        <v>4582</v>
      </c>
      <c r="T135" s="346" t="s">
        <v>4583</v>
      </c>
      <c r="U135" s="345" t="s">
        <v>4584</v>
      </c>
      <c r="V135" s="346" t="s">
        <v>4585</v>
      </c>
      <c r="W135" s="345" t="s">
        <v>4586</v>
      </c>
      <c r="X135" s="346" t="s">
        <v>4587</v>
      </c>
      <c r="Y135" s="345" t="s">
        <v>4588</v>
      </c>
      <c r="Z135" s="346" t="s">
        <v>4589</v>
      </c>
      <c r="AA135" s="345" t="s">
        <v>4590</v>
      </c>
      <c r="AB135" s="346" t="s">
        <v>4591</v>
      </c>
      <c r="AC135" s="345" t="s">
        <v>4592</v>
      </c>
      <c r="AD135" s="346" t="s">
        <v>4593</v>
      </c>
      <c r="AE135" s="345" t="s">
        <v>4594</v>
      </c>
      <c r="AF135" s="346" t="s">
        <v>4595</v>
      </c>
      <c r="AG135" s="345" t="s">
        <v>4596</v>
      </c>
      <c r="AH135" s="480" t="s">
        <v>4597</v>
      </c>
      <c r="AI135" s="429" t="s">
        <v>4598</v>
      </c>
      <c r="AJ135" s="368" t="s">
        <v>4599</v>
      </c>
      <c r="AK135" s="368" t="s">
        <v>4600</v>
      </c>
      <c r="AL135" s="480" t="s">
        <v>4601</v>
      </c>
      <c r="AM135" s="429" t="s">
        <v>4602</v>
      </c>
      <c r="AN135" s="346" t="s">
        <v>4603</v>
      </c>
      <c r="AO135" t="e">
        <f>CC135&amp;CD135&amp;CB135</f>
        <v>#VALUE!</v>
      </c>
      <c r="CB135" s="2946" t="e">
        <f t="shared" si="93"/>
        <v>#VALUE!</v>
      </c>
      <c r="CC135" s="135" t="str">
        <f t="shared" si="94"/>
        <v xml:space="preserve">  * La variable Pueblos originarios No puede ser mayor al Total.</v>
      </c>
      <c r="CD135" s="135" t="str">
        <f t="shared" si="95"/>
        <v xml:space="preserve"> * La variable Migrantes No puede ser mayor al Total.</v>
      </c>
      <c r="CP135" s="1867" t="e">
        <f t="shared" si="96"/>
        <v>#VALUE!</v>
      </c>
      <c r="CQ135" s="1867">
        <f t="shared" si="91"/>
        <v>1</v>
      </c>
      <c r="CR135" s="1867">
        <f t="shared" si="92"/>
        <v>1</v>
      </c>
    </row>
    <row r="136" spans="1:96" x14ac:dyDescent="0.25">
      <c r="A136" s="5677" t="s">
        <v>5019</v>
      </c>
      <c r="B136" s="6112"/>
      <c r="C136" s="357" t="s">
        <v>802</v>
      </c>
      <c r="D136" s="477" t="s">
        <v>4567</v>
      </c>
      <c r="E136" s="575" t="s">
        <v>4568</v>
      </c>
      <c r="F136" s="553" t="s">
        <v>4569</v>
      </c>
      <c r="G136" s="345" t="s">
        <v>4570</v>
      </c>
      <c r="H136" s="346" t="s">
        <v>4571</v>
      </c>
      <c r="I136" s="345" t="s">
        <v>4572</v>
      </c>
      <c r="J136" s="346" t="s">
        <v>4573</v>
      </c>
      <c r="K136" s="345" t="s">
        <v>4574</v>
      </c>
      <c r="L136" s="346" t="s">
        <v>4575</v>
      </c>
      <c r="M136" s="345" t="s">
        <v>4576</v>
      </c>
      <c r="N136" s="346" t="s">
        <v>4577</v>
      </c>
      <c r="O136" s="345" t="s">
        <v>4578</v>
      </c>
      <c r="P136" s="346" t="s">
        <v>4579</v>
      </c>
      <c r="Q136" s="345" t="s">
        <v>4580</v>
      </c>
      <c r="R136" s="346" t="s">
        <v>4581</v>
      </c>
      <c r="S136" s="345" t="s">
        <v>4582</v>
      </c>
      <c r="T136" s="346" t="s">
        <v>4583</v>
      </c>
      <c r="U136" s="345" t="s">
        <v>4584</v>
      </c>
      <c r="V136" s="346" t="s">
        <v>4585</v>
      </c>
      <c r="W136" s="345" t="s">
        <v>4586</v>
      </c>
      <c r="X136" s="346" t="s">
        <v>4587</v>
      </c>
      <c r="Y136" s="345" t="s">
        <v>4588</v>
      </c>
      <c r="Z136" s="346" t="s">
        <v>4589</v>
      </c>
      <c r="AA136" s="345" t="s">
        <v>4590</v>
      </c>
      <c r="AB136" s="346" t="s">
        <v>4591</v>
      </c>
      <c r="AC136" s="345" t="s">
        <v>4592</v>
      </c>
      <c r="AD136" s="346" t="s">
        <v>4593</v>
      </c>
      <c r="AE136" s="345" t="s">
        <v>4594</v>
      </c>
      <c r="AF136" s="346" t="s">
        <v>4595</v>
      </c>
      <c r="AG136" s="345" t="s">
        <v>4596</v>
      </c>
      <c r="AH136" s="480" t="s">
        <v>4597</v>
      </c>
      <c r="AI136" s="429" t="s">
        <v>4598</v>
      </c>
      <c r="AJ136" s="368" t="s">
        <v>4599</v>
      </c>
      <c r="AK136" s="368" t="s">
        <v>4600</v>
      </c>
      <c r="AL136" s="480" t="s">
        <v>4601</v>
      </c>
      <c r="AM136" s="429" t="s">
        <v>4602</v>
      </c>
      <c r="AN136" s="346" t="s">
        <v>4603</v>
      </c>
      <c r="AO136" t="e">
        <f>CC136&amp;CD136&amp;CB136</f>
        <v>#VALUE!</v>
      </c>
      <c r="CB136" s="2946" t="e">
        <f t="shared" si="93"/>
        <v>#VALUE!</v>
      </c>
      <c r="CC136" s="135" t="str">
        <f t="shared" si="94"/>
        <v xml:space="preserve">  * La variable Pueblos originarios No puede ser mayor al Total.</v>
      </c>
      <c r="CD136" s="135" t="str">
        <f t="shared" si="95"/>
        <v xml:space="preserve"> * La variable Migrantes No puede ser mayor al Total.</v>
      </c>
      <c r="CP136" s="1867" t="e">
        <f t="shared" si="96"/>
        <v>#VALUE!</v>
      </c>
      <c r="CQ136" s="1867">
        <f t="shared" si="91"/>
        <v>1</v>
      </c>
      <c r="CR136" s="1867">
        <f t="shared" si="92"/>
        <v>1</v>
      </c>
    </row>
    <row r="137" spans="1:96" ht="22.5" customHeight="1" x14ac:dyDescent="0.25">
      <c r="A137" s="5637" t="s">
        <v>5020</v>
      </c>
      <c r="B137" s="6112"/>
      <c r="C137" s="356" t="s">
        <v>816</v>
      </c>
      <c r="D137" s="477" t="s">
        <v>4567</v>
      </c>
      <c r="E137" s="575" t="s">
        <v>4568</v>
      </c>
      <c r="F137" s="553" t="s">
        <v>4569</v>
      </c>
      <c r="G137" s="345" t="s">
        <v>4570</v>
      </c>
      <c r="H137" s="346" t="s">
        <v>4571</v>
      </c>
      <c r="I137" s="345" t="s">
        <v>4572</v>
      </c>
      <c r="J137" s="346" t="s">
        <v>4573</v>
      </c>
      <c r="K137" s="345" t="s">
        <v>4574</v>
      </c>
      <c r="L137" s="346" t="s">
        <v>4575</v>
      </c>
      <c r="M137" s="345" t="s">
        <v>4576</v>
      </c>
      <c r="N137" s="346" t="s">
        <v>4577</v>
      </c>
      <c r="O137" s="345" t="s">
        <v>4578</v>
      </c>
      <c r="P137" s="346" t="s">
        <v>4579</v>
      </c>
      <c r="Q137" s="345" t="s">
        <v>4580</v>
      </c>
      <c r="R137" s="346" t="s">
        <v>4581</v>
      </c>
      <c r="S137" s="345" t="s">
        <v>4582</v>
      </c>
      <c r="T137" s="346" t="s">
        <v>4583</v>
      </c>
      <c r="U137" s="345" t="s">
        <v>4584</v>
      </c>
      <c r="V137" s="346" t="s">
        <v>4585</v>
      </c>
      <c r="W137" s="345" t="s">
        <v>4586</v>
      </c>
      <c r="X137" s="346" t="s">
        <v>4587</v>
      </c>
      <c r="Y137" s="345" t="s">
        <v>4588</v>
      </c>
      <c r="Z137" s="346" t="s">
        <v>4589</v>
      </c>
      <c r="AA137" s="345" t="s">
        <v>4590</v>
      </c>
      <c r="AB137" s="346" t="s">
        <v>4591</v>
      </c>
      <c r="AC137" s="345" t="s">
        <v>4592</v>
      </c>
      <c r="AD137" s="346" t="s">
        <v>4593</v>
      </c>
      <c r="AE137" s="345" t="s">
        <v>4594</v>
      </c>
      <c r="AF137" s="346" t="s">
        <v>4595</v>
      </c>
      <c r="AG137" s="345" t="s">
        <v>4596</v>
      </c>
      <c r="AH137" s="480" t="s">
        <v>4597</v>
      </c>
      <c r="AI137" s="429" t="s">
        <v>4598</v>
      </c>
      <c r="AJ137" s="368" t="s">
        <v>4599</v>
      </c>
      <c r="AK137" s="368" t="s">
        <v>4600</v>
      </c>
      <c r="AL137" s="480" t="s">
        <v>4601</v>
      </c>
      <c r="AM137" s="429" t="s">
        <v>4602</v>
      </c>
      <c r="AN137" s="346" t="s">
        <v>4603</v>
      </c>
      <c r="AO137" t="e">
        <f>CC137&amp;CD137&amp;CB137</f>
        <v>#VALUE!</v>
      </c>
      <c r="CB137" s="2946" t="e">
        <f t="shared" si="93"/>
        <v>#VALUE!</v>
      </c>
      <c r="CC137" s="135" t="str">
        <f t="shared" si="94"/>
        <v xml:space="preserve">  * La variable Pueblos originarios No puede ser mayor al Total.</v>
      </c>
      <c r="CD137" s="135" t="str">
        <f t="shared" si="95"/>
        <v xml:space="preserve"> * La variable Migrantes No puede ser mayor al Total.</v>
      </c>
      <c r="CP137" s="1867" t="e">
        <f t="shared" si="96"/>
        <v>#VALUE!</v>
      </c>
      <c r="CQ137" s="1867">
        <f t="shared" si="91"/>
        <v>1</v>
      </c>
      <c r="CR137" s="1867">
        <f t="shared" si="92"/>
        <v>1</v>
      </c>
    </row>
    <row r="138" spans="1:96" ht="24.6" customHeight="1" x14ac:dyDescent="0.25">
      <c r="A138" s="5637" t="s">
        <v>5021</v>
      </c>
      <c r="B138" s="6112"/>
      <c r="C138" s="356" t="s">
        <v>804</v>
      </c>
      <c r="D138" s="477" t="s">
        <v>4567</v>
      </c>
      <c r="E138" s="575" t="s">
        <v>4568</v>
      </c>
      <c r="F138" s="553" t="s">
        <v>4569</v>
      </c>
      <c r="G138" s="192" t="s">
        <v>4570</v>
      </c>
      <c r="H138" s="2" t="s">
        <v>4571</v>
      </c>
      <c r="I138" s="192" t="s">
        <v>4572</v>
      </c>
      <c r="J138" s="2" t="s">
        <v>4573</v>
      </c>
      <c r="K138" s="192" t="s">
        <v>4574</v>
      </c>
      <c r="L138" s="2" t="s">
        <v>4575</v>
      </c>
      <c r="M138" s="192" t="s">
        <v>4576</v>
      </c>
      <c r="N138" s="2" t="s">
        <v>4577</v>
      </c>
      <c r="O138" s="192" t="s">
        <v>4578</v>
      </c>
      <c r="P138" s="2" t="s">
        <v>4579</v>
      </c>
      <c r="Q138" s="192" t="s">
        <v>4580</v>
      </c>
      <c r="R138" s="2" t="s">
        <v>4581</v>
      </c>
      <c r="S138" s="192" t="s">
        <v>4582</v>
      </c>
      <c r="T138" s="2" t="s">
        <v>4583</v>
      </c>
      <c r="U138" s="192" t="s">
        <v>4584</v>
      </c>
      <c r="V138" s="2" t="s">
        <v>4585</v>
      </c>
      <c r="W138" s="192" t="s">
        <v>4586</v>
      </c>
      <c r="X138" s="2" t="s">
        <v>4587</v>
      </c>
      <c r="Y138" s="192" t="s">
        <v>4588</v>
      </c>
      <c r="Z138" s="2" t="s">
        <v>4589</v>
      </c>
      <c r="AA138" s="192" t="s">
        <v>4590</v>
      </c>
      <c r="AB138" s="2" t="s">
        <v>4591</v>
      </c>
      <c r="AC138" s="192" t="s">
        <v>4592</v>
      </c>
      <c r="AD138" s="2" t="s">
        <v>4593</v>
      </c>
      <c r="AE138" s="192" t="s">
        <v>4594</v>
      </c>
      <c r="AF138" s="2" t="s">
        <v>4595</v>
      </c>
      <c r="AG138" s="192" t="s">
        <v>4596</v>
      </c>
      <c r="AH138" s="375" t="s">
        <v>4597</v>
      </c>
      <c r="AI138" s="376" t="s">
        <v>4598</v>
      </c>
      <c r="AJ138" s="580" t="s">
        <v>4599</v>
      </c>
      <c r="AK138" s="580" t="s">
        <v>4600</v>
      </c>
      <c r="AL138" s="375" t="s">
        <v>4601</v>
      </c>
      <c r="AM138" s="376" t="s">
        <v>4602</v>
      </c>
      <c r="AN138" s="2" t="s">
        <v>4603</v>
      </c>
      <c r="CB138" s="2946" t="e">
        <f t="shared" si="93"/>
        <v>#VALUE!</v>
      </c>
      <c r="CC138" s="135" t="str">
        <f t="shared" si="94"/>
        <v xml:space="preserve">  * La variable Pueblos originarios No puede ser mayor al Total.</v>
      </c>
      <c r="CD138" s="135" t="str">
        <f t="shared" si="95"/>
        <v xml:space="preserve"> * La variable Migrantes No puede ser mayor al Total.</v>
      </c>
      <c r="CP138" s="1867" t="e">
        <f t="shared" si="96"/>
        <v>#VALUE!</v>
      </c>
      <c r="CQ138" s="1867">
        <f t="shared" si="91"/>
        <v>1</v>
      </c>
      <c r="CR138" s="1867">
        <f t="shared" si="92"/>
        <v>1</v>
      </c>
    </row>
    <row r="139" spans="1:96" x14ac:dyDescent="0.25">
      <c r="A139" s="5677" t="s">
        <v>5022</v>
      </c>
      <c r="B139" s="6112"/>
      <c r="C139" s="356" t="s">
        <v>805</v>
      </c>
      <c r="D139" s="477" t="s">
        <v>4567</v>
      </c>
      <c r="E139" s="575" t="s">
        <v>4568</v>
      </c>
      <c r="F139" s="553" t="s">
        <v>4569</v>
      </c>
      <c r="G139" s="192" t="s">
        <v>4570</v>
      </c>
      <c r="H139" s="2" t="s">
        <v>4571</v>
      </c>
      <c r="I139" s="192" t="s">
        <v>4572</v>
      </c>
      <c r="J139" s="2" t="s">
        <v>4573</v>
      </c>
      <c r="K139" s="192" t="s">
        <v>4574</v>
      </c>
      <c r="L139" s="2" t="s">
        <v>4575</v>
      </c>
      <c r="M139" s="192" t="s">
        <v>4576</v>
      </c>
      <c r="N139" s="2" t="s">
        <v>4577</v>
      </c>
      <c r="O139" s="192" t="s">
        <v>4578</v>
      </c>
      <c r="P139" s="2" t="s">
        <v>4579</v>
      </c>
      <c r="Q139" s="192" t="s">
        <v>4580</v>
      </c>
      <c r="R139" s="2" t="s">
        <v>4581</v>
      </c>
      <c r="S139" s="192" t="s">
        <v>4582</v>
      </c>
      <c r="T139" s="2" t="s">
        <v>4583</v>
      </c>
      <c r="U139" s="192" t="s">
        <v>4584</v>
      </c>
      <c r="V139" s="2" t="s">
        <v>4585</v>
      </c>
      <c r="W139" s="192" t="s">
        <v>4586</v>
      </c>
      <c r="X139" s="2" t="s">
        <v>4587</v>
      </c>
      <c r="Y139" s="192" t="s">
        <v>4588</v>
      </c>
      <c r="Z139" s="2" t="s">
        <v>4589</v>
      </c>
      <c r="AA139" s="192" t="s">
        <v>4590</v>
      </c>
      <c r="AB139" s="2" t="s">
        <v>4591</v>
      </c>
      <c r="AC139" s="192" t="s">
        <v>4592</v>
      </c>
      <c r="AD139" s="2" t="s">
        <v>4593</v>
      </c>
      <c r="AE139" s="192" t="s">
        <v>4594</v>
      </c>
      <c r="AF139" s="2" t="s">
        <v>4595</v>
      </c>
      <c r="AG139" s="192" t="s">
        <v>4596</v>
      </c>
      <c r="AH139" s="375" t="s">
        <v>4597</v>
      </c>
      <c r="AI139" s="376" t="s">
        <v>4598</v>
      </c>
      <c r="AJ139" s="580" t="s">
        <v>4599</v>
      </c>
      <c r="AK139" s="580" t="s">
        <v>4600</v>
      </c>
      <c r="AL139" s="375" t="s">
        <v>4601</v>
      </c>
      <c r="AM139" s="376" t="s">
        <v>4602</v>
      </c>
      <c r="AN139" s="2" t="s">
        <v>4603</v>
      </c>
      <c r="AO139" t="e">
        <f>CC139&amp;CD139&amp;CB139</f>
        <v>#VALUE!</v>
      </c>
      <c r="CB139" s="2946" t="e">
        <f t="shared" si="93"/>
        <v>#VALUE!</v>
      </c>
      <c r="CC139" s="135" t="str">
        <f t="shared" si="94"/>
        <v xml:space="preserve">  * La variable Pueblos originarios No puede ser mayor al Total.</v>
      </c>
      <c r="CD139" s="135" t="str">
        <f t="shared" si="95"/>
        <v xml:space="preserve"> * La variable Migrantes No puede ser mayor al Total.</v>
      </c>
      <c r="CP139" s="1867" t="e">
        <f t="shared" si="96"/>
        <v>#VALUE!</v>
      </c>
      <c r="CQ139" s="1867">
        <f t="shared" si="91"/>
        <v>1</v>
      </c>
      <c r="CR139" s="1867">
        <f t="shared" si="92"/>
        <v>1</v>
      </c>
    </row>
    <row r="140" spans="1:96" x14ac:dyDescent="0.25">
      <c r="A140" s="5677" t="s">
        <v>5023</v>
      </c>
      <c r="B140" s="6112"/>
      <c r="C140" s="196" t="s">
        <v>806</v>
      </c>
      <c r="D140" s="477" t="s">
        <v>4567</v>
      </c>
      <c r="E140" s="575" t="s">
        <v>4568</v>
      </c>
      <c r="F140" s="553" t="s">
        <v>4569</v>
      </c>
      <c r="G140" s="192" t="s">
        <v>4570</v>
      </c>
      <c r="H140" s="2" t="s">
        <v>4571</v>
      </c>
      <c r="I140" s="192" t="s">
        <v>4572</v>
      </c>
      <c r="J140" s="2" t="s">
        <v>4573</v>
      </c>
      <c r="K140" s="192" t="s">
        <v>4574</v>
      </c>
      <c r="L140" s="2" t="s">
        <v>4575</v>
      </c>
      <c r="M140" s="192" t="s">
        <v>4576</v>
      </c>
      <c r="N140" s="2" t="s">
        <v>4577</v>
      </c>
      <c r="O140" s="192" t="s">
        <v>4578</v>
      </c>
      <c r="P140" s="2" t="s">
        <v>4579</v>
      </c>
      <c r="Q140" s="192" t="s">
        <v>4580</v>
      </c>
      <c r="R140" s="2" t="s">
        <v>4581</v>
      </c>
      <c r="S140" s="192" t="s">
        <v>4582</v>
      </c>
      <c r="T140" s="2" t="s">
        <v>4583</v>
      </c>
      <c r="U140" s="192" t="s">
        <v>4584</v>
      </c>
      <c r="V140" s="2" t="s">
        <v>4585</v>
      </c>
      <c r="W140" s="192" t="s">
        <v>4586</v>
      </c>
      <c r="X140" s="2" t="s">
        <v>4587</v>
      </c>
      <c r="Y140" s="192" t="s">
        <v>4588</v>
      </c>
      <c r="Z140" s="2" t="s">
        <v>4589</v>
      </c>
      <c r="AA140" s="192" t="s">
        <v>4590</v>
      </c>
      <c r="AB140" s="2" t="s">
        <v>4591</v>
      </c>
      <c r="AC140" s="192" t="s">
        <v>4592</v>
      </c>
      <c r="AD140" s="2" t="s">
        <v>4593</v>
      </c>
      <c r="AE140" s="192" t="s">
        <v>4594</v>
      </c>
      <c r="AF140" s="2" t="s">
        <v>4595</v>
      </c>
      <c r="AG140" s="192" t="s">
        <v>4596</v>
      </c>
      <c r="AH140" s="375" t="s">
        <v>4597</v>
      </c>
      <c r="AI140" s="376" t="s">
        <v>4598</v>
      </c>
      <c r="AJ140" s="580" t="s">
        <v>4599</v>
      </c>
      <c r="AK140" s="580" t="s">
        <v>4600</v>
      </c>
      <c r="AL140" s="375" t="s">
        <v>4601</v>
      </c>
      <c r="AM140" s="376" t="s">
        <v>4602</v>
      </c>
      <c r="AN140" s="2" t="s">
        <v>4603</v>
      </c>
      <c r="AO140" t="e">
        <f>CC140&amp;CD140&amp;CB140</f>
        <v>#VALUE!</v>
      </c>
      <c r="CB140" s="2946" t="e">
        <f t="shared" si="93"/>
        <v>#VALUE!</v>
      </c>
      <c r="CC140" s="135" t="str">
        <f t="shared" si="94"/>
        <v xml:space="preserve">  * La variable Pueblos originarios No puede ser mayor al Total.</v>
      </c>
      <c r="CD140" s="135" t="str">
        <f t="shared" si="95"/>
        <v xml:space="preserve"> * La variable Migrantes No puede ser mayor al Total.</v>
      </c>
      <c r="CP140" s="1867" t="e">
        <f t="shared" si="96"/>
        <v>#VALUE!</v>
      </c>
      <c r="CQ140" s="1867">
        <f t="shared" si="91"/>
        <v>1</v>
      </c>
      <c r="CR140" s="1867">
        <f t="shared" si="92"/>
        <v>1</v>
      </c>
    </row>
    <row r="141" spans="1:96" x14ac:dyDescent="0.25">
      <c r="A141" s="5677" t="s">
        <v>5024</v>
      </c>
      <c r="B141" s="6059"/>
      <c r="C141" s="517" t="s">
        <v>807</v>
      </c>
      <c r="D141" s="482" t="s">
        <v>4567</v>
      </c>
      <c r="E141" s="581" t="s">
        <v>4568</v>
      </c>
      <c r="F141" s="556" t="s">
        <v>4569</v>
      </c>
      <c r="G141" s="1707" t="s">
        <v>4570</v>
      </c>
      <c r="H141" s="1708" t="s">
        <v>4571</v>
      </c>
      <c r="I141" s="1707" t="s">
        <v>4572</v>
      </c>
      <c r="J141" s="1708" t="s">
        <v>4573</v>
      </c>
      <c r="K141" s="1707" t="s">
        <v>4574</v>
      </c>
      <c r="L141" s="1708" t="s">
        <v>4575</v>
      </c>
      <c r="M141" s="1707" t="s">
        <v>4576</v>
      </c>
      <c r="N141" s="1708" t="s">
        <v>4577</v>
      </c>
      <c r="O141" s="1707" t="s">
        <v>4578</v>
      </c>
      <c r="P141" s="1708" t="s">
        <v>4579</v>
      </c>
      <c r="Q141" s="1707" t="s">
        <v>4580</v>
      </c>
      <c r="R141" s="1708" t="s">
        <v>4581</v>
      </c>
      <c r="S141" s="1707" t="s">
        <v>4582</v>
      </c>
      <c r="T141" s="1708" t="s">
        <v>4583</v>
      </c>
      <c r="U141" s="1707" t="s">
        <v>4584</v>
      </c>
      <c r="V141" s="1708" t="s">
        <v>4585</v>
      </c>
      <c r="W141" s="379" t="s">
        <v>4586</v>
      </c>
      <c r="X141" s="387" t="s">
        <v>4587</v>
      </c>
      <c r="Y141" s="379" t="s">
        <v>4588</v>
      </c>
      <c r="Z141" s="387" t="s">
        <v>4589</v>
      </c>
      <c r="AA141" s="379" t="s">
        <v>4590</v>
      </c>
      <c r="AB141" s="387" t="s">
        <v>4591</v>
      </c>
      <c r="AC141" s="379" t="s">
        <v>4592</v>
      </c>
      <c r="AD141" s="387" t="s">
        <v>4593</v>
      </c>
      <c r="AE141" s="379" t="s">
        <v>4594</v>
      </c>
      <c r="AF141" s="387" t="s">
        <v>4595</v>
      </c>
      <c r="AG141" s="379" t="s">
        <v>4596</v>
      </c>
      <c r="AH141" s="391" t="s">
        <v>4597</v>
      </c>
      <c r="AI141" s="378" t="s">
        <v>4598</v>
      </c>
      <c r="AJ141" s="371" t="s">
        <v>4599</v>
      </c>
      <c r="AK141" s="371" t="s">
        <v>4600</v>
      </c>
      <c r="AL141" s="391" t="s">
        <v>4601</v>
      </c>
      <c r="AM141" s="378" t="s">
        <v>4602</v>
      </c>
      <c r="AN141" s="387" t="s">
        <v>4603</v>
      </c>
      <c r="AO141" t="e">
        <f>CC141&amp;CD141&amp;CB141</f>
        <v>#VALUE!</v>
      </c>
      <c r="CB141" s="2946" t="e">
        <f t="shared" si="93"/>
        <v>#VALUE!</v>
      </c>
      <c r="CC141" s="135" t="str">
        <f t="shared" si="94"/>
        <v xml:space="preserve">  * La variable Pueblos originarios No puede ser mayor al Total.</v>
      </c>
      <c r="CD141" s="135" t="str">
        <f t="shared" si="95"/>
        <v xml:space="preserve"> * La variable Migrantes No puede ser mayor al Total.</v>
      </c>
      <c r="CP141" s="1867" t="e">
        <f t="shared" si="96"/>
        <v>#VALUE!</v>
      </c>
      <c r="CQ141" s="1867">
        <f t="shared" si="91"/>
        <v>1</v>
      </c>
      <c r="CR141" s="1867">
        <f t="shared" si="92"/>
        <v>1</v>
      </c>
    </row>
    <row r="142" spans="1:96" s="6" customFormat="1" ht="18" customHeight="1" x14ac:dyDescent="0.2">
      <c r="B142" s="298" t="s">
        <v>817</v>
      </c>
      <c r="C142" s="298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</row>
    <row r="143" spans="1:96" ht="15" customHeight="1" x14ac:dyDescent="0.25">
      <c r="B143" s="6212" t="s">
        <v>285</v>
      </c>
      <c r="C143" s="6511"/>
      <c r="D143" s="6212" t="s">
        <v>839</v>
      </c>
      <c r="E143" s="6510"/>
      <c r="F143" s="6511"/>
      <c r="G143" s="6405" t="s">
        <v>101</v>
      </c>
      <c r="H143" s="6456"/>
      <c r="I143" s="6456"/>
      <c r="J143" s="6456"/>
      <c r="K143" s="6456"/>
      <c r="L143" s="6456"/>
      <c r="M143" s="6456"/>
      <c r="N143" s="6456"/>
      <c r="O143" s="6456"/>
      <c r="P143" s="6456"/>
      <c r="Q143" s="6456"/>
      <c r="R143" s="6456"/>
      <c r="S143" s="6456"/>
      <c r="T143" s="6456"/>
      <c r="U143" s="6456"/>
      <c r="V143" s="6456"/>
      <c r="W143" s="6456"/>
      <c r="X143" s="6456"/>
      <c r="Y143" s="6456"/>
      <c r="Z143" s="6456"/>
      <c r="AA143" s="6456"/>
      <c r="AB143" s="6456"/>
      <c r="AC143" s="6456"/>
      <c r="AD143" s="6456"/>
      <c r="AE143" s="6456"/>
      <c r="AF143" s="6456"/>
      <c r="AG143" s="6456"/>
      <c r="AH143" s="6456"/>
      <c r="AI143" s="6456"/>
      <c r="AJ143" s="6456"/>
      <c r="AK143" s="6456"/>
      <c r="AL143" s="6456"/>
      <c r="AM143" s="6456"/>
      <c r="AN143" s="6455"/>
      <c r="AO143" s="6541" t="s">
        <v>810</v>
      </c>
      <c r="AP143" s="6542"/>
      <c r="AQ143" s="6543"/>
      <c r="AR143" s="6517" t="s">
        <v>36</v>
      </c>
      <c r="AS143" s="6511" t="s">
        <v>37</v>
      </c>
    </row>
    <row r="144" spans="1:96" ht="15" customHeight="1" x14ac:dyDescent="0.25">
      <c r="B144" s="6044"/>
      <c r="C144" s="6027"/>
      <c r="D144" s="6044"/>
      <c r="E144" s="6045"/>
      <c r="F144" s="6027"/>
      <c r="G144" s="6405" t="s">
        <v>790</v>
      </c>
      <c r="H144" s="6451"/>
      <c r="I144" s="6405" t="s">
        <v>791</v>
      </c>
      <c r="J144" s="6451"/>
      <c r="K144" s="6405" t="s">
        <v>43</v>
      </c>
      <c r="L144" s="6451"/>
      <c r="M144" s="6405" t="s">
        <v>44</v>
      </c>
      <c r="N144" s="6451"/>
      <c r="O144" s="6417" t="s">
        <v>45</v>
      </c>
      <c r="P144" s="6417"/>
      <c r="Q144" s="6417" t="s">
        <v>46</v>
      </c>
      <c r="R144" s="6417"/>
      <c r="S144" s="6417" t="s">
        <v>47</v>
      </c>
      <c r="T144" s="6417"/>
      <c r="U144" s="6417" t="s">
        <v>48</v>
      </c>
      <c r="V144" s="6417"/>
      <c r="W144" s="6417" t="s">
        <v>49</v>
      </c>
      <c r="X144" s="6417"/>
      <c r="Y144" s="6417" t="s">
        <v>50</v>
      </c>
      <c r="Z144" s="6417"/>
      <c r="AA144" s="6417" t="s">
        <v>51</v>
      </c>
      <c r="AB144" s="6417"/>
      <c r="AC144" s="6417" t="s">
        <v>52</v>
      </c>
      <c r="AD144" s="6417"/>
      <c r="AE144" s="6417" t="s">
        <v>53</v>
      </c>
      <c r="AF144" s="6417"/>
      <c r="AG144" s="6405" t="s">
        <v>54</v>
      </c>
      <c r="AH144" s="6451"/>
      <c r="AI144" s="6405" t="s">
        <v>55</v>
      </c>
      <c r="AJ144" s="6451"/>
      <c r="AK144" s="6405" t="s">
        <v>56</v>
      </c>
      <c r="AL144" s="6451"/>
      <c r="AM144" s="6405" t="s">
        <v>57</v>
      </c>
      <c r="AN144" s="6455"/>
      <c r="AO144" s="6517" t="s">
        <v>818</v>
      </c>
      <c r="AP144" s="6481" t="s">
        <v>819</v>
      </c>
      <c r="AQ144" s="6518" t="s">
        <v>813</v>
      </c>
      <c r="AR144" s="6034"/>
      <c r="AS144" s="6027"/>
    </row>
    <row r="145" spans="1:96" ht="15" customHeight="1" x14ac:dyDescent="0.25">
      <c r="B145" s="6064"/>
      <c r="C145" s="6028"/>
      <c r="D145" s="467" t="s">
        <v>79</v>
      </c>
      <c r="E145" s="548" t="s">
        <v>58</v>
      </c>
      <c r="F145" s="464" t="s">
        <v>59</v>
      </c>
      <c r="G145" s="463" t="s">
        <v>58</v>
      </c>
      <c r="H145" s="486" t="s">
        <v>59</v>
      </c>
      <c r="I145" s="463" t="s">
        <v>58</v>
      </c>
      <c r="J145" s="486" t="s">
        <v>59</v>
      </c>
      <c r="K145" s="463" t="s">
        <v>58</v>
      </c>
      <c r="L145" s="486" t="s">
        <v>59</v>
      </c>
      <c r="M145" s="463" t="s">
        <v>58</v>
      </c>
      <c r="N145" s="486" t="s">
        <v>59</v>
      </c>
      <c r="O145" s="463" t="s">
        <v>58</v>
      </c>
      <c r="P145" s="486" t="s">
        <v>59</v>
      </c>
      <c r="Q145" s="463" t="s">
        <v>58</v>
      </c>
      <c r="R145" s="486" t="s">
        <v>59</v>
      </c>
      <c r="S145" s="463" t="s">
        <v>58</v>
      </c>
      <c r="T145" s="486" t="s">
        <v>59</v>
      </c>
      <c r="U145" s="463" t="s">
        <v>58</v>
      </c>
      <c r="V145" s="486" t="s">
        <v>59</v>
      </c>
      <c r="W145" s="463" t="s">
        <v>58</v>
      </c>
      <c r="X145" s="486" t="s">
        <v>59</v>
      </c>
      <c r="Y145" s="463" t="s">
        <v>58</v>
      </c>
      <c r="Z145" s="486" t="s">
        <v>59</v>
      </c>
      <c r="AA145" s="463" t="s">
        <v>58</v>
      </c>
      <c r="AB145" s="486" t="s">
        <v>59</v>
      </c>
      <c r="AC145" s="463" t="s">
        <v>58</v>
      </c>
      <c r="AD145" s="486" t="s">
        <v>59</v>
      </c>
      <c r="AE145" s="463" t="s">
        <v>58</v>
      </c>
      <c r="AF145" s="486" t="s">
        <v>59</v>
      </c>
      <c r="AG145" s="463" t="s">
        <v>58</v>
      </c>
      <c r="AH145" s="486" t="s">
        <v>59</v>
      </c>
      <c r="AI145" s="463" t="s">
        <v>58</v>
      </c>
      <c r="AJ145" s="486" t="s">
        <v>59</v>
      </c>
      <c r="AK145" s="463" t="s">
        <v>58</v>
      </c>
      <c r="AL145" s="486" t="s">
        <v>59</v>
      </c>
      <c r="AM145" s="463" t="s">
        <v>58</v>
      </c>
      <c r="AN145" s="579" t="s">
        <v>59</v>
      </c>
      <c r="AO145" s="6035"/>
      <c r="AP145" s="6086"/>
      <c r="AQ145" s="6519"/>
      <c r="AR145" s="6035"/>
      <c r="AS145" s="6028"/>
    </row>
    <row r="146" spans="1:96" ht="15" customHeight="1" x14ac:dyDescent="0.25">
      <c r="A146" s="5640" t="s">
        <v>5025</v>
      </c>
      <c r="B146" s="6565" t="s">
        <v>820</v>
      </c>
      <c r="C146" s="6603"/>
      <c r="D146" s="5652" t="s">
        <v>4567</v>
      </c>
      <c r="E146" s="5752" t="s">
        <v>4568</v>
      </c>
      <c r="F146" s="3060" t="s">
        <v>4569</v>
      </c>
      <c r="G146" s="1726" t="s">
        <v>4570</v>
      </c>
      <c r="H146" s="3000" t="s">
        <v>4571</v>
      </c>
      <c r="I146" s="1726" t="s">
        <v>4572</v>
      </c>
      <c r="J146" s="3000" t="s">
        <v>4573</v>
      </c>
      <c r="K146" s="1726" t="s">
        <v>4574</v>
      </c>
      <c r="L146" s="3000" t="s">
        <v>4575</v>
      </c>
      <c r="M146" s="1726" t="s">
        <v>4576</v>
      </c>
      <c r="N146" s="3000" t="s">
        <v>4577</v>
      </c>
      <c r="O146" s="1726" t="s">
        <v>4578</v>
      </c>
      <c r="P146" s="3000" t="s">
        <v>4579</v>
      </c>
      <c r="Q146" s="1726" t="s">
        <v>4580</v>
      </c>
      <c r="R146" s="3000" t="s">
        <v>4581</v>
      </c>
      <c r="S146" s="1726" t="s">
        <v>4582</v>
      </c>
      <c r="T146" s="3000" t="s">
        <v>4583</v>
      </c>
      <c r="U146" s="1726" t="s">
        <v>4584</v>
      </c>
      <c r="V146" s="3000" t="s">
        <v>4585</v>
      </c>
      <c r="W146" s="1726" t="s">
        <v>4586</v>
      </c>
      <c r="X146" s="3000" t="s">
        <v>4587</v>
      </c>
      <c r="Y146" s="1726" t="s">
        <v>4588</v>
      </c>
      <c r="Z146" s="3000" t="s">
        <v>4589</v>
      </c>
      <c r="AA146" s="1726" t="s">
        <v>4590</v>
      </c>
      <c r="AB146" s="3000" t="s">
        <v>4591</v>
      </c>
      <c r="AC146" s="1726" t="s">
        <v>4592</v>
      </c>
      <c r="AD146" s="3000" t="s">
        <v>4593</v>
      </c>
      <c r="AE146" s="1726" t="s">
        <v>4594</v>
      </c>
      <c r="AF146" s="3000" t="s">
        <v>4595</v>
      </c>
      <c r="AG146" s="1726" t="s">
        <v>4596</v>
      </c>
      <c r="AH146" s="3000" t="s">
        <v>4597</v>
      </c>
      <c r="AI146" s="1726" t="s">
        <v>4598</v>
      </c>
      <c r="AJ146" s="3000" t="s">
        <v>4599</v>
      </c>
      <c r="AK146" s="1726" t="s">
        <v>4600</v>
      </c>
      <c r="AL146" s="3000" t="s">
        <v>4601</v>
      </c>
      <c r="AM146" s="1726" t="s">
        <v>4602</v>
      </c>
      <c r="AN146" s="1728" t="s">
        <v>4603</v>
      </c>
      <c r="AO146" s="3128" t="s">
        <v>4604</v>
      </c>
      <c r="AP146" s="5562" t="s">
        <v>4605</v>
      </c>
      <c r="AQ146" s="1728" t="s">
        <v>4606</v>
      </c>
      <c r="AR146" s="3128" t="s">
        <v>4934</v>
      </c>
      <c r="AS146" s="5744" t="s">
        <v>4935</v>
      </c>
      <c r="AT146" t="str">
        <f>CB146&amp;CC146</f>
        <v xml:space="preserve"> * La variable Pueblos originarios No puede ser mayor al Total.</v>
      </c>
      <c r="CB146" s="2946"/>
      <c r="CC146" s="135" t="str">
        <f>IF(AND($D146&gt;0,AR146="")," * No olvide digitar la variable Pueblos originarios. Digite Cero si no tiene.",IF(AR146&gt;$D146," * La variable Pueblos originarios No puede ser mayor al Total.",""))</f>
        <v xml:space="preserve"> * La variable Pueblos originarios No puede ser mayor al Total.</v>
      </c>
      <c r="CD146" s="135" t="str">
        <f>IF(AND($D146&gt;0,AS146="")," * No olvide digitar la variable Migrantes. Digite Cero si no tiene.",IF(AS146&gt;$D146," * La variable Migrantes No puede ser mayor al Total.",""))</f>
        <v xml:space="preserve"> * La variable Migrantes No puede ser mayor al Total.</v>
      </c>
      <c r="CP146" s="1867"/>
      <c r="CQ146" s="1867">
        <f>IF(AND($D146&gt;0,AR146=""),1,IF(AR146&gt;$D146,1,0))</f>
        <v>1</v>
      </c>
      <c r="CR146" s="1867">
        <f>IF(AND($D146&gt;0,AS146=""),1,IF(AS146&gt;$D146,1,0))</f>
        <v>1</v>
      </c>
    </row>
    <row r="147" spans="1:96" ht="15" customHeight="1" x14ac:dyDescent="0.25">
      <c r="A147" s="5640" t="s">
        <v>5026</v>
      </c>
      <c r="B147" s="6563" t="s">
        <v>821</v>
      </c>
      <c r="C147" s="6564"/>
      <c r="D147" s="5747" t="s">
        <v>4567</v>
      </c>
      <c r="E147" s="5748" t="s">
        <v>4568</v>
      </c>
      <c r="F147" s="62" t="s">
        <v>4569</v>
      </c>
      <c r="G147" s="5687" t="s">
        <v>4570</v>
      </c>
      <c r="H147" s="2" t="s">
        <v>4571</v>
      </c>
      <c r="I147" s="5687" t="s">
        <v>4572</v>
      </c>
      <c r="J147" s="2" t="s">
        <v>4573</v>
      </c>
      <c r="K147" s="5687" t="s">
        <v>4574</v>
      </c>
      <c r="L147" s="2" t="s">
        <v>4575</v>
      </c>
      <c r="M147" s="5687" t="s">
        <v>4576</v>
      </c>
      <c r="N147" s="2" t="s">
        <v>4577</v>
      </c>
      <c r="O147" s="5687" t="s">
        <v>4578</v>
      </c>
      <c r="P147" s="2" t="s">
        <v>4579</v>
      </c>
      <c r="Q147" s="5687" t="s">
        <v>4580</v>
      </c>
      <c r="R147" s="2" t="s">
        <v>4581</v>
      </c>
      <c r="S147" s="5687" t="s">
        <v>4582</v>
      </c>
      <c r="T147" s="2" t="s">
        <v>4583</v>
      </c>
      <c r="U147" s="5687" t="s">
        <v>4584</v>
      </c>
      <c r="V147" s="2" t="s">
        <v>4585</v>
      </c>
      <c r="W147" s="5687" t="s">
        <v>4586</v>
      </c>
      <c r="X147" s="2" t="s">
        <v>4587</v>
      </c>
      <c r="Y147" s="5687" t="s">
        <v>4588</v>
      </c>
      <c r="Z147" s="2" t="s">
        <v>4589</v>
      </c>
      <c r="AA147" s="5687" t="s">
        <v>4590</v>
      </c>
      <c r="AB147" s="2" t="s">
        <v>4591</v>
      </c>
      <c r="AC147" s="5687" t="s">
        <v>4592</v>
      </c>
      <c r="AD147" s="2" t="s">
        <v>4593</v>
      </c>
      <c r="AE147" s="5687" t="s">
        <v>4594</v>
      </c>
      <c r="AF147" s="2" t="s">
        <v>4595</v>
      </c>
      <c r="AG147" s="5687" t="s">
        <v>4596</v>
      </c>
      <c r="AH147" s="2" t="s">
        <v>4597</v>
      </c>
      <c r="AI147" s="5687" t="s">
        <v>4598</v>
      </c>
      <c r="AJ147" s="2" t="s">
        <v>4599</v>
      </c>
      <c r="AK147" s="5687" t="s">
        <v>4600</v>
      </c>
      <c r="AL147" s="2" t="s">
        <v>4601</v>
      </c>
      <c r="AM147" s="5687" t="s">
        <v>4602</v>
      </c>
      <c r="AN147" s="375" t="s">
        <v>4603</v>
      </c>
      <c r="AO147" s="5746" t="s">
        <v>4604</v>
      </c>
      <c r="AP147" s="5753" t="s">
        <v>4605</v>
      </c>
      <c r="AQ147" s="375" t="s">
        <v>4606</v>
      </c>
      <c r="AR147" s="5746" t="s">
        <v>4934</v>
      </c>
      <c r="AS147" s="2" t="s">
        <v>4935</v>
      </c>
      <c r="AT147" t="str">
        <f>CB147&amp;CC147</f>
        <v xml:space="preserve"> * La variable Pueblos originarios No puede ser mayor al Total.</v>
      </c>
      <c r="CB147" s="2946"/>
      <c r="CC147" s="135" t="str">
        <f t="shared" ref="CC147:CC150" si="97">IF(AND($D147&gt;0,AR147="")," * No olvide digitar la variable Pueblos originarios. Digite Cero si no tiene.",IF(AR147&gt;$D147," * La variable Pueblos originarios No puede ser mayor al Total.",""))</f>
        <v xml:space="preserve"> * La variable Pueblos originarios No puede ser mayor al Total.</v>
      </c>
      <c r="CD147" s="135" t="str">
        <f t="shared" ref="CD147:CD150" si="98">IF(AND($D147&gt;0,AS147="")," * No olvide digitar la variable Migrantes. Digite Cero si no tiene.",IF(AS147&gt;$D147," * La variable Migrantes No puede ser mayor al Total.",""))</f>
        <v xml:space="preserve"> * La variable Migrantes No puede ser mayor al Total.</v>
      </c>
      <c r="CP147" s="1867"/>
      <c r="CQ147" s="1867">
        <f t="shared" ref="CQ147:CQ150" si="99">IF(AND($D147&gt;0,AR147=""),1,IF(AR147&gt;$D147,1,0))</f>
        <v>1</v>
      </c>
      <c r="CR147" s="1867">
        <f t="shared" ref="CR147:CR150" si="100">IF(AND($D147&gt;0,AS147=""),1,IF(AS147&gt;$D147,1,0))</f>
        <v>1</v>
      </c>
    </row>
    <row r="148" spans="1:96" ht="15" customHeight="1" x14ac:dyDescent="0.25">
      <c r="A148" s="5640" t="s">
        <v>5027</v>
      </c>
      <c r="B148" s="6453" t="s">
        <v>822</v>
      </c>
      <c r="C148" s="491" t="s">
        <v>823</v>
      </c>
      <c r="D148" s="5652" t="s">
        <v>4567</v>
      </c>
      <c r="E148" s="5752" t="s">
        <v>4568</v>
      </c>
      <c r="F148" s="5754" t="s">
        <v>4569</v>
      </c>
      <c r="G148" s="1726" t="s">
        <v>4570</v>
      </c>
      <c r="H148" s="5744" t="s">
        <v>4571</v>
      </c>
      <c r="I148" s="1726" t="s">
        <v>4572</v>
      </c>
      <c r="J148" s="5744" t="s">
        <v>4573</v>
      </c>
      <c r="K148" s="1726" t="s">
        <v>4574</v>
      </c>
      <c r="L148" s="5744" t="s">
        <v>4575</v>
      </c>
      <c r="M148" s="1726" t="s">
        <v>4576</v>
      </c>
      <c r="N148" s="5744" t="s">
        <v>4577</v>
      </c>
      <c r="O148" s="1726" t="s">
        <v>4578</v>
      </c>
      <c r="P148" s="5744" t="s">
        <v>4579</v>
      </c>
      <c r="Q148" s="1726" t="s">
        <v>4580</v>
      </c>
      <c r="R148" s="5744" t="s">
        <v>4581</v>
      </c>
      <c r="S148" s="1726" t="s">
        <v>4582</v>
      </c>
      <c r="T148" s="5744" t="s">
        <v>4583</v>
      </c>
      <c r="U148" s="1726" t="s">
        <v>4584</v>
      </c>
      <c r="V148" s="5744" t="s">
        <v>4585</v>
      </c>
      <c r="W148" s="1726" t="s">
        <v>4586</v>
      </c>
      <c r="X148" s="5744" t="s">
        <v>4587</v>
      </c>
      <c r="Y148" s="1726" t="s">
        <v>4588</v>
      </c>
      <c r="Z148" s="5744" t="s">
        <v>4589</v>
      </c>
      <c r="AA148" s="1726" t="s">
        <v>4590</v>
      </c>
      <c r="AB148" s="5744" t="s">
        <v>4591</v>
      </c>
      <c r="AC148" s="1726" t="s">
        <v>4592</v>
      </c>
      <c r="AD148" s="5744" t="s">
        <v>4593</v>
      </c>
      <c r="AE148" s="1726" t="s">
        <v>4594</v>
      </c>
      <c r="AF148" s="5744" t="s">
        <v>4595</v>
      </c>
      <c r="AG148" s="1726" t="s">
        <v>4596</v>
      </c>
      <c r="AH148" s="5744" t="s">
        <v>4597</v>
      </c>
      <c r="AI148" s="1726" t="s">
        <v>4598</v>
      </c>
      <c r="AJ148" s="5744" t="s">
        <v>4599</v>
      </c>
      <c r="AK148" s="1726" t="s">
        <v>4600</v>
      </c>
      <c r="AL148" s="5744" t="s">
        <v>4601</v>
      </c>
      <c r="AM148" s="1726" t="s">
        <v>4602</v>
      </c>
      <c r="AN148" s="1728" t="s">
        <v>4603</v>
      </c>
      <c r="AO148" s="3128" t="s">
        <v>4604</v>
      </c>
      <c r="AP148" s="5562" t="s">
        <v>4605</v>
      </c>
      <c r="AQ148" s="1728" t="s">
        <v>4606</v>
      </c>
      <c r="AR148" s="3128" t="s">
        <v>4934</v>
      </c>
      <c r="AS148" s="5744" t="s">
        <v>4935</v>
      </c>
      <c r="AT148" t="str">
        <f>CB148&amp;CC148</f>
        <v xml:space="preserve"> * La variable Pueblos originarios No puede ser mayor al Total.</v>
      </c>
      <c r="CB148" s="2946"/>
      <c r="CC148" s="135" t="str">
        <f t="shared" si="97"/>
        <v xml:space="preserve"> * La variable Pueblos originarios No puede ser mayor al Total.</v>
      </c>
      <c r="CD148" s="135" t="str">
        <f t="shared" si="98"/>
        <v xml:space="preserve"> * La variable Migrantes No puede ser mayor al Total.</v>
      </c>
      <c r="CP148" s="1867"/>
      <c r="CQ148" s="1867">
        <f t="shared" si="99"/>
        <v>1</v>
      </c>
      <c r="CR148" s="1867">
        <f t="shared" si="100"/>
        <v>1</v>
      </c>
    </row>
    <row r="149" spans="1:96" ht="15" customHeight="1" x14ac:dyDescent="0.25">
      <c r="A149" s="5640" t="s">
        <v>5028</v>
      </c>
      <c r="B149" s="6059"/>
      <c r="C149" s="517" t="s">
        <v>824</v>
      </c>
      <c r="D149" s="4989" t="s">
        <v>4567</v>
      </c>
      <c r="E149" s="4987" t="s">
        <v>4568</v>
      </c>
      <c r="F149" s="5755" t="s">
        <v>4569</v>
      </c>
      <c r="G149" s="1114" t="s">
        <v>4570</v>
      </c>
      <c r="H149" s="5743" t="s">
        <v>4571</v>
      </c>
      <c r="I149" s="1114" t="s">
        <v>4572</v>
      </c>
      <c r="J149" s="5743" t="s">
        <v>4573</v>
      </c>
      <c r="K149" s="1114" t="s">
        <v>4574</v>
      </c>
      <c r="L149" s="5743" t="s">
        <v>4575</v>
      </c>
      <c r="M149" s="1114" t="s">
        <v>4576</v>
      </c>
      <c r="N149" s="5743" t="s">
        <v>4577</v>
      </c>
      <c r="O149" s="1114" t="s">
        <v>4578</v>
      </c>
      <c r="P149" s="5743" t="s">
        <v>4579</v>
      </c>
      <c r="Q149" s="1114" t="s">
        <v>4580</v>
      </c>
      <c r="R149" s="5743" t="s">
        <v>4581</v>
      </c>
      <c r="S149" s="1114" t="s">
        <v>4582</v>
      </c>
      <c r="T149" s="5743" t="s">
        <v>4583</v>
      </c>
      <c r="U149" s="1114" t="s">
        <v>4584</v>
      </c>
      <c r="V149" s="5743" t="s">
        <v>4585</v>
      </c>
      <c r="W149" s="1114" t="s">
        <v>4586</v>
      </c>
      <c r="X149" s="5743" t="s">
        <v>4587</v>
      </c>
      <c r="Y149" s="1114" t="s">
        <v>4588</v>
      </c>
      <c r="Z149" s="5743" t="s">
        <v>4589</v>
      </c>
      <c r="AA149" s="1114" t="s">
        <v>4590</v>
      </c>
      <c r="AB149" s="5743" t="s">
        <v>4591</v>
      </c>
      <c r="AC149" s="1114" t="s">
        <v>4592</v>
      </c>
      <c r="AD149" s="5743" t="s">
        <v>4593</v>
      </c>
      <c r="AE149" s="1114" t="s">
        <v>4594</v>
      </c>
      <c r="AF149" s="5743" t="s">
        <v>4595</v>
      </c>
      <c r="AG149" s="1114" t="s">
        <v>4596</v>
      </c>
      <c r="AH149" s="5743" t="s">
        <v>4597</v>
      </c>
      <c r="AI149" s="1114" t="s">
        <v>4598</v>
      </c>
      <c r="AJ149" s="5743" t="s">
        <v>4599</v>
      </c>
      <c r="AK149" s="1114" t="s">
        <v>4600</v>
      </c>
      <c r="AL149" s="5743" t="s">
        <v>4601</v>
      </c>
      <c r="AM149" s="1114" t="s">
        <v>4602</v>
      </c>
      <c r="AN149" s="5644" t="s">
        <v>4603</v>
      </c>
      <c r="AO149" s="1303" t="s">
        <v>4604</v>
      </c>
      <c r="AP149" s="1258" t="s">
        <v>4605</v>
      </c>
      <c r="AQ149" s="5644" t="s">
        <v>4606</v>
      </c>
      <c r="AR149" s="1303" t="s">
        <v>4934</v>
      </c>
      <c r="AS149" s="5743" t="s">
        <v>4935</v>
      </c>
      <c r="AT149" t="str">
        <f>CB149&amp;CC149</f>
        <v xml:space="preserve"> * La variable Pueblos originarios No puede ser mayor al Total.</v>
      </c>
      <c r="CB149" s="2946"/>
      <c r="CC149" s="135" t="str">
        <f t="shared" si="97"/>
        <v xml:space="preserve"> * La variable Pueblos originarios No puede ser mayor al Total.</v>
      </c>
      <c r="CD149" s="135" t="str">
        <f t="shared" si="98"/>
        <v xml:space="preserve"> * La variable Migrantes No puede ser mayor al Total.</v>
      </c>
      <c r="CP149" s="1867"/>
      <c r="CQ149" s="1867">
        <f t="shared" si="99"/>
        <v>1</v>
      </c>
      <c r="CR149" s="1867">
        <f t="shared" si="100"/>
        <v>1</v>
      </c>
    </row>
    <row r="150" spans="1:96" ht="15" customHeight="1" x14ac:dyDescent="0.25">
      <c r="A150" s="5640" t="s">
        <v>5029</v>
      </c>
      <c r="B150" s="6605" t="s">
        <v>4335</v>
      </c>
      <c r="C150" s="6606"/>
      <c r="D150" s="3077" t="s">
        <v>4567</v>
      </c>
      <c r="E150" s="300" t="s">
        <v>4568</v>
      </c>
      <c r="F150" s="5756" t="s">
        <v>4569</v>
      </c>
      <c r="G150" s="1737" t="s">
        <v>4570</v>
      </c>
      <c r="H150" s="5675" t="s">
        <v>4571</v>
      </c>
      <c r="I150" s="1737" t="s">
        <v>4572</v>
      </c>
      <c r="J150" s="5675" t="s">
        <v>4573</v>
      </c>
      <c r="K150" s="1737" t="s">
        <v>4574</v>
      </c>
      <c r="L150" s="5675" t="s">
        <v>4575</v>
      </c>
      <c r="M150" s="1737" t="s">
        <v>4576</v>
      </c>
      <c r="N150" s="5675" t="s">
        <v>4577</v>
      </c>
      <c r="O150" s="1737" t="s">
        <v>4578</v>
      </c>
      <c r="P150" s="5675" t="s">
        <v>4579</v>
      </c>
      <c r="Q150" s="1737" t="s">
        <v>4580</v>
      </c>
      <c r="R150" s="5675" t="s">
        <v>4581</v>
      </c>
      <c r="S150" s="1737" t="s">
        <v>4582</v>
      </c>
      <c r="T150" s="5675" t="s">
        <v>4583</v>
      </c>
      <c r="U150" s="1737" t="s">
        <v>4584</v>
      </c>
      <c r="V150" s="5675" t="s">
        <v>4585</v>
      </c>
      <c r="W150" s="1737" t="s">
        <v>4586</v>
      </c>
      <c r="X150" s="5675" t="s">
        <v>4587</v>
      </c>
      <c r="Y150" s="1737" t="s">
        <v>4588</v>
      </c>
      <c r="Z150" s="5675" t="s">
        <v>4589</v>
      </c>
      <c r="AA150" s="1737" t="s">
        <v>4590</v>
      </c>
      <c r="AB150" s="5675" t="s">
        <v>4591</v>
      </c>
      <c r="AC150" s="1737" t="s">
        <v>4592</v>
      </c>
      <c r="AD150" s="5675" t="s">
        <v>4593</v>
      </c>
      <c r="AE150" s="1737" t="s">
        <v>4594</v>
      </c>
      <c r="AF150" s="5675" t="s">
        <v>4595</v>
      </c>
      <c r="AG150" s="1737" t="s">
        <v>4596</v>
      </c>
      <c r="AH150" s="5675" t="s">
        <v>4597</v>
      </c>
      <c r="AI150" s="1737" t="s">
        <v>4598</v>
      </c>
      <c r="AJ150" s="5675" t="s">
        <v>4599</v>
      </c>
      <c r="AK150" s="1737" t="s">
        <v>4600</v>
      </c>
      <c r="AL150" s="5675" t="s">
        <v>4601</v>
      </c>
      <c r="AM150" s="1737" t="s">
        <v>4602</v>
      </c>
      <c r="AN150" s="1738" t="s">
        <v>4603</v>
      </c>
      <c r="AO150" s="266" t="s">
        <v>4604</v>
      </c>
      <c r="AP150" s="262" t="s">
        <v>4605</v>
      </c>
      <c r="AQ150" s="1738" t="s">
        <v>4606</v>
      </c>
      <c r="AR150" s="266" t="s">
        <v>4934</v>
      </c>
      <c r="AS150" s="5675" t="s">
        <v>4935</v>
      </c>
      <c r="AT150" t="str">
        <f>CB150&amp;CC150</f>
        <v xml:space="preserve"> * La variable Pueblos originarios No puede ser mayor al Total.</v>
      </c>
      <c r="CB150" s="2946"/>
      <c r="CC150" s="135" t="str">
        <f t="shared" si="97"/>
        <v xml:space="preserve"> * La variable Pueblos originarios No puede ser mayor al Total.</v>
      </c>
      <c r="CD150" s="135" t="str">
        <f t="shared" si="98"/>
        <v xml:space="preserve"> * La variable Migrantes No puede ser mayor al Total.</v>
      </c>
      <c r="CP150" s="1867"/>
      <c r="CQ150" s="1867">
        <f t="shared" si="99"/>
        <v>1</v>
      </c>
      <c r="CR150" s="1867">
        <f t="shared" si="100"/>
        <v>1</v>
      </c>
    </row>
    <row r="151" spans="1:96" s="6" customFormat="1" ht="18" customHeight="1" x14ac:dyDescent="0.2">
      <c r="A151" s="5603"/>
      <c r="B151" s="298" t="s">
        <v>825</v>
      </c>
      <c r="C151" s="298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587"/>
      <c r="O151" s="588"/>
      <c r="P151" s="589"/>
    </row>
    <row r="152" spans="1:96" ht="15" customHeight="1" x14ac:dyDescent="0.25">
      <c r="A152" s="5548"/>
      <c r="B152" s="6212" t="s">
        <v>697</v>
      </c>
      <c r="C152" s="6511"/>
      <c r="D152" s="6544" t="s">
        <v>77</v>
      </c>
      <c r="E152" s="6515"/>
      <c r="F152" s="6545"/>
      <c r="G152" s="6544" t="s">
        <v>54</v>
      </c>
      <c r="H152" s="6545"/>
      <c r="I152" s="6544" t="s">
        <v>55</v>
      </c>
      <c r="J152" s="6545"/>
      <c r="K152" s="6544" t="s">
        <v>56</v>
      </c>
      <c r="L152" s="6545"/>
      <c r="M152" s="6544" t="s">
        <v>57</v>
      </c>
      <c r="N152" s="6546"/>
      <c r="O152" s="6517" t="s">
        <v>36</v>
      </c>
      <c r="P152" s="6511" t="s">
        <v>37</v>
      </c>
    </row>
    <row r="153" spans="1:96" ht="15" customHeight="1" x14ac:dyDescent="0.25">
      <c r="A153" s="5548"/>
      <c r="B153" s="6064"/>
      <c r="C153" s="6028"/>
      <c r="D153" s="593" t="s">
        <v>79</v>
      </c>
      <c r="E153" s="594" t="s">
        <v>58</v>
      </c>
      <c r="F153" s="591" t="s">
        <v>59</v>
      </c>
      <c r="G153" s="593" t="s">
        <v>58</v>
      </c>
      <c r="H153" s="591" t="s">
        <v>59</v>
      </c>
      <c r="I153" s="593" t="s">
        <v>58</v>
      </c>
      <c r="J153" s="591" t="s">
        <v>59</v>
      </c>
      <c r="K153" s="593" t="s">
        <v>58</v>
      </c>
      <c r="L153" s="591" t="s">
        <v>59</v>
      </c>
      <c r="M153" s="593" t="s">
        <v>58</v>
      </c>
      <c r="N153" s="592" t="s">
        <v>59</v>
      </c>
      <c r="O153" s="6035"/>
      <c r="P153" s="6028"/>
    </row>
    <row r="154" spans="1:96" ht="15" customHeight="1" x14ac:dyDescent="0.25">
      <c r="A154" s="5677" t="s">
        <v>5030</v>
      </c>
      <c r="B154" s="6453" t="s">
        <v>826</v>
      </c>
      <c r="C154" s="595" t="s">
        <v>827</v>
      </c>
      <c r="D154" s="5652" t="s">
        <v>4567</v>
      </c>
      <c r="E154" s="5752" t="s">
        <v>4568</v>
      </c>
      <c r="F154" s="5754" t="s">
        <v>4569</v>
      </c>
      <c r="G154" s="290" t="s">
        <v>4570</v>
      </c>
      <c r="H154" s="3004" t="s">
        <v>4571</v>
      </c>
      <c r="I154" s="290" t="s">
        <v>4572</v>
      </c>
      <c r="J154" s="3004" t="s">
        <v>4573</v>
      </c>
      <c r="K154" s="290" t="s">
        <v>4574</v>
      </c>
      <c r="L154" s="3004" t="s">
        <v>4575</v>
      </c>
      <c r="M154" s="290" t="s">
        <v>4576</v>
      </c>
      <c r="N154" s="1734" t="s">
        <v>4577</v>
      </c>
      <c r="O154" s="296" t="s">
        <v>4578</v>
      </c>
      <c r="P154" s="3004" t="s">
        <v>4579</v>
      </c>
      <c r="Q154" t="str">
        <f>CB154&amp;CC154</f>
        <v xml:space="preserve"> * La variable Pueblos originarios No puede ser mayor al Total. * La variable Pueblos Migrantes No puede ser mayor al Total.</v>
      </c>
      <c r="CB154" s="135" t="str">
        <f>IF(AND(D154&gt;0,O154="")," * No olvide digitar la variable Pueblos originarios. Digite Cero si no tiene.",IF(O154&gt;D154," * La variable Pueblos originarios No puede ser mayor al Total.",""))</f>
        <v xml:space="preserve"> * La variable Pueblos originarios No puede ser mayor al Total.</v>
      </c>
      <c r="CC154" s="135" t="str">
        <f>IF(AND(D154&gt;0,P154="")," * No olvide digitar la variable Migrantes. Digite Cero si no tiene.",IF(P154&gt;D154," * La variable Pueblos Migrantes No puede ser mayor al Total.",""))</f>
        <v xml:space="preserve"> * La variable Pueblos Migrantes No puede ser mayor al Total.</v>
      </c>
      <c r="CP154" s="1867">
        <f>IF(AND($D154&gt;0,O154=""),1,IF(O154&gt;$D154,1,0))</f>
        <v>1</v>
      </c>
      <c r="CQ154" s="1867">
        <f>IF(AND($D154&gt;0,P154=""),1,IF(P154&gt;$D154,1,0))</f>
        <v>1</v>
      </c>
    </row>
    <row r="155" spans="1:96" ht="15" customHeight="1" x14ac:dyDescent="0.25">
      <c r="A155" s="5677" t="s">
        <v>5031</v>
      </c>
      <c r="B155" s="6112"/>
      <c r="C155" s="357" t="s">
        <v>828</v>
      </c>
      <c r="D155" s="5652" t="s">
        <v>4567</v>
      </c>
      <c r="E155" s="5752" t="s">
        <v>4568</v>
      </c>
      <c r="F155" s="5754" t="s">
        <v>4569</v>
      </c>
      <c r="G155" s="290" t="s">
        <v>4570</v>
      </c>
      <c r="H155" s="3004" t="s">
        <v>4571</v>
      </c>
      <c r="I155" s="290" t="s">
        <v>4572</v>
      </c>
      <c r="J155" s="3004" t="s">
        <v>4573</v>
      </c>
      <c r="K155" s="290" t="s">
        <v>4574</v>
      </c>
      <c r="L155" s="3004" t="s">
        <v>4575</v>
      </c>
      <c r="M155" s="290" t="s">
        <v>4576</v>
      </c>
      <c r="N155" s="1734" t="s">
        <v>4577</v>
      </c>
      <c r="O155" s="296" t="s">
        <v>4578</v>
      </c>
      <c r="P155" s="3004" t="s">
        <v>4579</v>
      </c>
      <c r="Q155" t="str">
        <f>CB155&amp;CC155</f>
        <v xml:space="preserve"> * La variable Pueblos originarios No puede ser mayor al Total. * La variable Pueblos Migrantes No puede ser mayor al Total.</v>
      </c>
      <c r="CB155" s="135" t="str">
        <f t="shared" ref="CB155:CB156" si="101">IF(AND(D155&gt;0,O155="")," * No olvide digitar la variable Pueblos originarios. Digite Cero si no tiene.",IF(O155&gt;D155," * La variable Pueblos originarios No puede ser mayor al Total.",""))</f>
        <v xml:space="preserve"> * La variable Pueblos originarios No puede ser mayor al Total.</v>
      </c>
      <c r="CC155" s="135" t="str">
        <f t="shared" ref="CC155:CC156" si="102">IF(AND(D155&gt;0,P155="")," * No olvide digitar la variable Migrantes. Digite Cero si no tiene.",IF(P155&gt;D155," * La variable Pueblos Migrantes No puede ser mayor al Total.",""))</f>
        <v xml:space="preserve"> * La variable Pueblos Migrantes No puede ser mayor al Total.</v>
      </c>
      <c r="CP155" s="1867">
        <f t="shared" ref="CP155:CP156" si="103">IF(AND($D155&gt;0,O155=""),1,IF(O155&gt;$D155,1,0))</f>
        <v>1</v>
      </c>
      <c r="CQ155" s="1867">
        <f t="shared" ref="CQ155:CQ156" si="104">IF(AND($D155&gt;0,P155=""),1,IF(P155&gt;$D155,1,0))</f>
        <v>1</v>
      </c>
    </row>
    <row r="156" spans="1:96" ht="15" customHeight="1" x14ac:dyDescent="0.25">
      <c r="A156" s="5677" t="s">
        <v>5032</v>
      </c>
      <c r="B156" s="6112"/>
      <c r="C156" s="198" t="s">
        <v>829</v>
      </c>
      <c r="D156" s="5652" t="s">
        <v>4567</v>
      </c>
      <c r="E156" s="5752" t="s">
        <v>4568</v>
      </c>
      <c r="F156" s="5754" t="s">
        <v>4569</v>
      </c>
      <c r="G156" s="290" t="s">
        <v>4570</v>
      </c>
      <c r="H156" s="3004" t="s">
        <v>4571</v>
      </c>
      <c r="I156" s="290" t="s">
        <v>4572</v>
      </c>
      <c r="J156" s="3004" t="s">
        <v>4573</v>
      </c>
      <c r="K156" s="290" t="s">
        <v>4574</v>
      </c>
      <c r="L156" s="3004" t="s">
        <v>4575</v>
      </c>
      <c r="M156" s="290" t="s">
        <v>4576</v>
      </c>
      <c r="N156" s="1734" t="s">
        <v>4577</v>
      </c>
      <c r="O156" s="296" t="s">
        <v>4578</v>
      </c>
      <c r="P156" s="3004" t="s">
        <v>4579</v>
      </c>
      <c r="Q156" t="str">
        <f>CB156&amp;CC156</f>
        <v xml:space="preserve"> * La variable Pueblos originarios No puede ser mayor al Total. * La variable Pueblos Migrantes No puede ser mayor al Total.</v>
      </c>
      <c r="CB156" s="135" t="str">
        <f t="shared" si="101"/>
        <v xml:space="preserve"> * La variable Pueblos originarios No puede ser mayor al Total.</v>
      </c>
      <c r="CC156" s="135" t="str">
        <f t="shared" si="102"/>
        <v xml:space="preserve"> * La variable Pueblos Migrantes No puede ser mayor al Total.</v>
      </c>
      <c r="CP156" s="1867">
        <f t="shared" si="103"/>
        <v>1</v>
      </c>
      <c r="CQ156" s="1867">
        <f t="shared" si="104"/>
        <v>1</v>
      </c>
    </row>
    <row r="157" spans="1:96" s="49" customFormat="1" ht="15" customHeight="1" x14ac:dyDescent="0.2">
      <c r="A157" s="5676"/>
      <c r="B157" s="6604" t="s">
        <v>830</v>
      </c>
      <c r="C157" s="6604"/>
      <c r="D157" s="599">
        <f>SUM(D154:D156)</f>
        <v>0</v>
      </c>
      <c r="E157" s="600">
        <f>SUM(E154:E156)</f>
        <v>0</v>
      </c>
      <c r="F157" s="601">
        <f>SUM(F154:F156)</f>
        <v>0</v>
      </c>
      <c r="G157" s="599">
        <f>SUM(G154:G156)</f>
        <v>0</v>
      </c>
      <c r="H157" s="601">
        <f t="shared" ref="H157:N157" si="105">SUM(H154:H156)</f>
        <v>0</v>
      </c>
      <c r="I157" s="599">
        <f t="shared" si="105"/>
        <v>0</v>
      </c>
      <c r="J157" s="601">
        <f t="shared" si="105"/>
        <v>0</v>
      </c>
      <c r="K157" s="599">
        <f t="shared" si="105"/>
        <v>0</v>
      </c>
      <c r="L157" s="601">
        <f t="shared" si="105"/>
        <v>0</v>
      </c>
      <c r="M157" s="599">
        <f t="shared" si="105"/>
        <v>0</v>
      </c>
      <c r="N157" s="602">
        <f t="shared" si="105"/>
        <v>0</v>
      </c>
      <c r="O157" s="513">
        <f>SUM(O154:O156)</f>
        <v>0</v>
      </c>
      <c r="P157" s="601">
        <f>SUM(P154:P156)</f>
        <v>0</v>
      </c>
    </row>
    <row r="158" spans="1:96" x14ac:dyDescent="0.25">
      <c r="A158" s="5677" t="s">
        <v>5033</v>
      </c>
      <c r="B158" s="6453" t="s">
        <v>831</v>
      </c>
      <c r="C158" s="295" t="s">
        <v>832</v>
      </c>
      <c r="D158" s="5652" t="s">
        <v>4567</v>
      </c>
      <c r="E158" s="5752" t="s">
        <v>4568</v>
      </c>
      <c r="F158" s="5754" t="s">
        <v>4569</v>
      </c>
      <c r="G158" s="290" t="s">
        <v>4570</v>
      </c>
      <c r="H158" s="3004" t="s">
        <v>4571</v>
      </c>
      <c r="I158" s="290" t="s">
        <v>4572</v>
      </c>
      <c r="J158" s="3004" t="s">
        <v>4573</v>
      </c>
      <c r="K158" s="290" t="s">
        <v>4574</v>
      </c>
      <c r="L158" s="3004" t="s">
        <v>4575</v>
      </c>
      <c r="M158" s="290" t="s">
        <v>4576</v>
      </c>
      <c r="N158" s="1734" t="s">
        <v>4577</v>
      </c>
      <c r="O158" s="296" t="s">
        <v>4578</v>
      </c>
      <c r="P158" s="3004" t="s">
        <v>4579</v>
      </c>
      <c r="Q158" t="str">
        <f>CB158&amp;CC158</f>
        <v xml:space="preserve"> * La variable Pueblos originarios No puede ser mayor al Total.  * La variable Pueblos Migrantes No puede ser mayor al Total.</v>
      </c>
      <c r="CB158" s="135" t="str">
        <f>IF(AND(D158&gt;0,O158="")," * No olvide digitar la variable Pueblos originarios. Digite Cero si no tiene.",IF(O158&gt;D158," * La variable Pueblos originarios No puede ser mayor al Total.",""))</f>
        <v xml:space="preserve"> * La variable Pueblos originarios No puede ser mayor al Total.</v>
      </c>
      <c r="CC158" s="135" t="str">
        <f>IF(AND(D158&gt;0,P158=""),"  * No olvide digitar la variable Migrantes. Digite Cero si no tiene.",IF(P158&gt;D158,"  * La variable Pueblos Migrantes No puede ser mayor al Total.",""))</f>
        <v xml:space="preserve">  * La variable Pueblos Migrantes No puede ser mayor al Total.</v>
      </c>
      <c r="CP158" s="1867">
        <f t="shared" ref="CP158:CP161" si="106">IF(AND($D158&gt;0,O158=""),1,IF(O158&gt;$D158,1,0))</f>
        <v>1</v>
      </c>
      <c r="CQ158" s="1867">
        <f t="shared" ref="CQ158:CQ161" si="107">IF(AND($D158&gt;0,P158=""),1,IF(P158&gt;$D158,1,0))</f>
        <v>1</v>
      </c>
    </row>
    <row r="159" spans="1:96" x14ac:dyDescent="0.25">
      <c r="A159" s="5677" t="s">
        <v>5034</v>
      </c>
      <c r="B159" s="6112"/>
      <c r="C159" s="357" t="s">
        <v>833</v>
      </c>
      <c r="D159" s="5652" t="s">
        <v>4567</v>
      </c>
      <c r="E159" s="5752" t="s">
        <v>4568</v>
      </c>
      <c r="F159" s="5754" t="s">
        <v>4569</v>
      </c>
      <c r="G159" s="290" t="s">
        <v>4570</v>
      </c>
      <c r="H159" s="3004" t="s">
        <v>4571</v>
      </c>
      <c r="I159" s="290" t="s">
        <v>4572</v>
      </c>
      <c r="J159" s="3004" t="s">
        <v>4573</v>
      </c>
      <c r="K159" s="290" t="s">
        <v>4574</v>
      </c>
      <c r="L159" s="3004" t="s">
        <v>4575</v>
      </c>
      <c r="M159" s="290" t="s">
        <v>4576</v>
      </c>
      <c r="N159" s="1734" t="s">
        <v>4577</v>
      </c>
      <c r="O159" s="296" t="s">
        <v>4578</v>
      </c>
      <c r="P159" s="3004" t="s">
        <v>4579</v>
      </c>
      <c r="Q159" t="str">
        <f>CB159&amp;CC159</f>
        <v xml:space="preserve">  * La variable Pueblos originarios No puede ser mayor al Total.  * La variable Pueblos Migrantes No puede ser mayor al Total.</v>
      </c>
      <c r="CB159" s="135" t="str">
        <f>IF(AND(D159&gt;0,O159=""),"  * No olvide digitar la variable Pueblos originarios. Digite Cero si no tiene.",IF(O159&gt;D159,"  * La variable Pueblos originarios No puede ser mayor al Total.",""))</f>
        <v xml:space="preserve">  * La variable Pueblos originarios No puede ser mayor al Total.</v>
      </c>
      <c r="CC159" s="135" t="str">
        <f>IF(AND(D159&gt;0,P159=""),"  * No olvide digitar la variable Migrantes. Digite Cero si no tiene.",IF(P159&gt;D159,"  * La variable Pueblos Migrantes No puede ser mayor al Total.",""))</f>
        <v xml:space="preserve">  * La variable Pueblos Migrantes No puede ser mayor al Total.</v>
      </c>
      <c r="CP159" s="1867">
        <f t="shared" si="106"/>
        <v>1</v>
      </c>
      <c r="CQ159" s="1867">
        <f t="shared" si="107"/>
        <v>1</v>
      </c>
    </row>
    <row r="160" spans="1:96" x14ac:dyDescent="0.25">
      <c r="A160" s="5677" t="s">
        <v>5035</v>
      </c>
      <c r="B160" s="6112"/>
      <c r="C160" s="357" t="s">
        <v>834</v>
      </c>
      <c r="D160" s="5652" t="s">
        <v>4567</v>
      </c>
      <c r="E160" s="5752" t="s">
        <v>4568</v>
      </c>
      <c r="F160" s="5754" t="s">
        <v>4569</v>
      </c>
      <c r="G160" s="290" t="s">
        <v>4570</v>
      </c>
      <c r="H160" s="3004" t="s">
        <v>4571</v>
      </c>
      <c r="I160" s="290" t="s">
        <v>4572</v>
      </c>
      <c r="J160" s="3004" t="s">
        <v>4573</v>
      </c>
      <c r="K160" s="290" t="s">
        <v>4574</v>
      </c>
      <c r="L160" s="3004" t="s">
        <v>4575</v>
      </c>
      <c r="M160" s="290" t="s">
        <v>4576</v>
      </c>
      <c r="N160" s="1734" t="s">
        <v>4577</v>
      </c>
      <c r="O160" s="296" t="s">
        <v>4578</v>
      </c>
      <c r="P160" s="3004" t="s">
        <v>4579</v>
      </c>
      <c r="Q160" t="str">
        <f>CB160&amp;CC160</f>
        <v xml:space="preserve">  * La variable Pueblos originarios No puede ser mayor al Total.  * La variable Pueblos Migrantes No puede ser mayor al Total.</v>
      </c>
      <c r="CB160" s="135" t="str">
        <f>IF(AND(D160&gt;0,O160=""),"  * No olvide digitar la variable Pueblos originarios. Digite Cero si no tiene.",IF(O160&gt;D160,"  * La variable Pueblos originarios No puede ser mayor al Total.",""))</f>
        <v xml:space="preserve">  * La variable Pueblos originarios No puede ser mayor al Total.</v>
      </c>
      <c r="CC160" s="135" t="str">
        <f>IF(AND(D160&gt;0,P160=""),"  * No olvide digitar la variable Migrantes. Digite Cero si no tiene.",IF(P160&gt;D160,"  * La variable Pueblos Migrantes No puede ser mayor al Total.",""))</f>
        <v xml:space="preserve">  * La variable Pueblos Migrantes No puede ser mayor al Total.</v>
      </c>
      <c r="CP160" s="1867">
        <f t="shared" si="106"/>
        <v>1</v>
      </c>
      <c r="CQ160" s="1867">
        <f t="shared" si="107"/>
        <v>1</v>
      </c>
    </row>
    <row r="161" spans="1:95" x14ac:dyDescent="0.25">
      <c r="A161" s="5677" t="s">
        <v>5036</v>
      </c>
      <c r="B161" s="6059"/>
      <c r="C161" s="193" t="s">
        <v>835</v>
      </c>
      <c r="D161" s="5652" t="s">
        <v>4567</v>
      </c>
      <c r="E161" s="5752" t="s">
        <v>4568</v>
      </c>
      <c r="F161" s="5754" t="s">
        <v>4569</v>
      </c>
      <c r="G161" s="290" t="s">
        <v>4570</v>
      </c>
      <c r="H161" s="3004" t="s">
        <v>4571</v>
      </c>
      <c r="I161" s="290" t="s">
        <v>4572</v>
      </c>
      <c r="J161" s="3004" t="s">
        <v>4573</v>
      </c>
      <c r="K161" s="290" t="s">
        <v>4574</v>
      </c>
      <c r="L161" s="3004" t="s">
        <v>4575</v>
      </c>
      <c r="M161" s="290" t="s">
        <v>4576</v>
      </c>
      <c r="N161" s="1734" t="s">
        <v>4577</v>
      </c>
      <c r="O161" s="296" t="s">
        <v>4578</v>
      </c>
      <c r="P161" s="3004" t="s">
        <v>4579</v>
      </c>
      <c r="Q161" t="str">
        <f>CB161&amp;CC161</f>
        <v xml:space="preserve">  * La variable Pueblos originarios No puede ser mayor al Total.  * La variable Pueblos Migrantes No puede ser mayor al Total.</v>
      </c>
      <c r="CB161" s="135" t="str">
        <f>IF(AND(D161&gt;0,O161=""),"  * No olvide digitar la variable Pueblos originarios. Digite Cero si no tiene.",IF(O161&gt;D161,"  * La variable Pueblos originarios No puede ser mayor al Total.",""))</f>
        <v xml:space="preserve">  * La variable Pueblos originarios No puede ser mayor al Total.</v>
      </c>
      <c r="CC161" s="135" t="str">
        <f>IF(AND(D161&gt;0,P161=""),"  * No olvide digitar la variable Migrantes. Digite Cero si no tiene.",IF(P161&gt;D161,"  * La variable Pueblos Migrantes No puede ser mayor al Total.",""))</f>
        <v xml:space="preserve">  * La variable Pueblos Migrantes No puede ser mayor al Total.</v>
      </c>
      <c r="CP161" s="1867">
        <f t="shared" si="106"/>
        <v>1</v>
      </c>
      <c r="CQ161" s="1867">
        <f t="shared" si="107"/>
        <v>1</v>
      </c>
    </row>
    <row r="162" spans="1:95" s="49" customFormat="1" ht="15" customHeight="1" x14ac:dyDescent="0.2">
      <c r="A162" s="5676"/>
      <c r="B162" s="6608" t="s">
        <v>830</v>
      </c>
      <c r="C162" s="6604"/>
      <c r="D162" s="599">
        <f>SUM(D158:D161)</f>
        <v>0</v>
      </c>
      <c r="E162" s="600">
        <f>SUM(E158:E161)</f>
        <v>0</v>
      </c>
      <c r="F162" s="601">
        <f>SUM(F158:F161)</f>
        <v>0</v>
      </c>
      <c r="G162" s="599">
        <f>SUM(G158:G161)</f>
        <v>0</v>
      </c>
      <c r="H162" s="601">
        <f t="shared" ref="H162:N162" si="108">SUM(H158:H161)</f>
        <v>0</v>
      </c>
      <c r="I162" s="599">
        <f t="shared" si="108"/>
        <v>0</v>
      </c>
      <c r="J162" s="601">
        <f t="shared" si="108"/>
        <v>0</v>
      </c>
      <c r="K162" s="599">
        <f t="shared" si="108"/>
        <v>0</v>
      </c>
      <c r="L162" s="601">
        <f t="shared" si="108"/>
        <v>0</v>
      </c>
      <c r="M162" s="599">
        <f t="shared" si="108"/>
        <v>0</v>
      </c>
      <c r="N162" s="602">
        <f t="shared" si="108"/>
        <v>0</v>
      </c>
      <c r="O162" s="513">
        <f>SUM(O158:O161)</f>
        <v>0</v>
      </c>
      <c r="P162" s="601">
        <f>SUM(P158:P161)</f>
        <v>0</v>
      </c>
    </row>
    <row r="163" spans="1:95" x14ac:dyDescent="0.25">
      <c r="A163" s="5676"/>
      <c r="B163" s="6608" t="s">
        <v>212</v>
      </c>
      <c r="C163" s="6608"/>
      <c r="D163" s="555">
        <f>SUM(D157+D162)</f>
        <v>0</v>
      </c>
      <c r="E163" s="300">
        <f>SUM(E157+E162)</f>
        <v>0</v>
      </c>
      <c r="F163" s="585">
        <f>SUM(F157+F162)</f>
        <v>0</v>
      </c>
      <c r="G163" s="555">
        <f>SUM(G157+G162)</f>
        <v>0</v>
      </c>
      <c r="H163" s="585">
        <f>SUM(H157+H162)</f>
        <v>0</v>
      </c>
      <c r="I163" s="555">
        <f t="shared" ref="I163:N163" si="109">SUM(I157+I162)</f>
        <v>0</v>
      </c>
      <c r="J163" s="585">
        <f t="shared" si="109"/>
        <v>0</v>
      </c>
      <c r="K163" s="555">
        <f t="shared" si="109"/>
        <v>0</v>
      </c>
      <c r="L163" s="585">
        <f t="shared" si="109"/>
        <v>0</v>
      </c>
      <c r="M163" s="555">
        <f t="shared" si="109"/>
        <v>0</v>
      </c>
      <c r="N163" s="603">
        <f t="shared" si="109"/>
        <v>0</v>
      </c>
      <c r="O163" s="301">
        <f>SUM(O157+O162)</f>
        <v>0</v>
      </c>
      <c r="P163" s="585">
        <f>SUM(P157+P162)</f>
        <v>0</v>
      </c>
    </row>
    <row r="164" spans="1:95" s="6" customFormat="1" ht="18" customHeight="1" x14ac:dyDescent="0.2">
      <c r="B164" s="298" t="s">
        <v>836</v>
      </c>
      <c r="C164" s="298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588"/>
      <c r="S164" s="589"/>
    </row>
    <row r="165" spans="1:95" x14ac:dyDescent="0.25">
      <c r="B165" s="6212" t="s">
        <v>697</v>
      </c>
      <c r="C165" s="6511"/>
      <c r="D165" s="6544" t="s">
        <v>77</v>
      </c>
      <c r="E165" s="6515"/>
      <c r="F165" s="6545"/>
      <c r="G165" s="6544" t="s">
        <v>54</v>
      </c>
      <c r="H165" s="6545"/>
      <c r="I165" s="6544" t="s">
        <v>55</v>
      </c>
      <c r="J165" s="6545"/>
      <c r="K165" s="6544" t="s">
        <v>56</v>
      </c>
      <c r="L165" s="6545"/>
      <c r="M165" s="6544" t="s">
        <v>57</v>
      </c>
      <c r="N165" s="6546"/>
      <c r="O165" s="6607" t="s">
        <v>810</v>
      </c>
      <c r="P165" s="6515"/>
      <c r="Q165" s="6546"/>
      <c r="R165" s="6517" t="s">
        <v>36</v>
      </c>
      <c r="S165" s="6511" t="s">
        <v>37</v>
      </c>
    </row>
    <row r="166" spans="1:95" x14ac:dyDescent="0.25">
      <c r="B166" s="6064"/>
      <c r="C166" s="6028"/>
      <c r="D166" s="593" t="s">
        <v>79</v>
      </c>
      <c r="E166" s="594" t="s">
        <v>58</v>
      </c>
      <c r="F166" s="591" t="s">
        <v>59</v>
      </c>
      <c r="G166" s="593" t="s">
        <v>58</v>
      </c>
      <c r="H166" s="591" t="s">
        <v>59</v>
      </c>
      <c r="I166" s="593" t="s">
        <v>58</v>
      </c>
      <c r="J166" s="591" t="s">
        <v>59</v>
      </c>
      <c r="K166" s="593" t="s">
        <v>58</v>
      </c>
      <c r="L166" s="591" t="s">
        <v>59</v>
      </c>
      <c r="M166" s="593" t="s">
        <v>58</v>
      </c>
      <c r="N166" s="590" t="s">
        <v>59</v>
      </c>
      <c r="O166" s="604" t="s">
        <v>811</v>
      </c>
      <c r="P166" s="594" t="s">
        <v>812</v>
      </c>
      <c r="Q166" s="592" t="s">
        <v>813</v>
      </c>
      <c r="R166" s="6035"/>
      <c r="S166" s="6028"/>
    </row>
    <row r="167" spans="1:95" x14ac:dyDescent="0.25">
      <c r="A167" s="5677" t="s">
        <v>5037</v>
      </c>
      <c r="B167" s="6453" t="s">
        <v>826</v>
      </c>
      <c r="C167" s="491" t="s">
        <v>827</v>
      </c>
      <c r="D167" s="5757" t="s">
        <v>4567</v>
      </c>
      <c r="E167" s="5620" t="s">
        <v>4568</v>
      </c>
      <c r="F167" s="5758" t="s">
        <v>4569</v>
      </c>
      <c r="G167" s="1726" t="s">
        <v>4570</v>
      </c>
      <c r="H167" s="5744" t="s">
        <v>4571</v>
      </c>
      <c r="I167" s="1726" t="s">
        <v>4572</v>
      </c>
      <c r="J167" s="5744" t="s">
        <v>4573</v>
      </c>
      <c r="K167" s="1726" t="s">
        <v>4574</v>
      </c>
      <c r="L167" s="5744" t="s">
        <v>4575</v>
      </c>
      <c r="M167" s="1726" t="s">
        <v>4576</v>
      </c>
      <c r="N167" s="4782" t="s">
        <v>4577</v>
      </c>
      <c r="O167" s="3128" t="s">
        <v>4578</v>
      </c>
      <c r="P167" s="5562" t="s">
        <v>4579</v>
      </c>
      <c r="Q167" s="1728" t="s">
        <v>4580</v>
      </c>
      <c r="R167" s="3128" t="s">
        <v>4581</v>
      </c>
      <c r="S167" s="5744" t="s">
        <v>4582</v>
      </c>
      <c r="T167" t="str">
        <f>CB167&amp;CC167&amp;CD167</f>
        <v xml:space="preserve"> * La variable Pueblos originarios No puede ser mayor al Total. *  La variable Migrantes No puede ser mayor al Total.</v>
      </c>
      <c r="CB167" s="135" t="str">
        <f>IF(AND(D167&gt;0,R167=""),"  * No olvide digitar la variable Pueblos originarios. Digite Cero si no tiene.",IF(R167&gt;D167," * La variable Pueblos originarios No puede ser mayor al Total.",""))</f>
        <v xml:space="preserve"> * La variable Pueblos originarios No puede ser mayor al Total.</v>
      </c>
      <c r="CC167" s="135" t="str">
        <f>IF(AND(D167&gt;0,S167=""),"   * No olvide digitar la variable Migrantes. Digite Cero si no tiene.",IF(S167&gt;D167," *  La variable Migrantes No puede ser mayor al Total.",""))</f>
        <v xml:space="preserve"> *  La variable Migrantes No puede ser mayor al Total.</v>
      </c>
      <c r="CP167" s="1867">
        <f>IF(AND(D167&gt;0,R167=""),1,IF(R167&gt;D167,1,0))</f>
        <v>1</v>
      </c>
      <c r="CQ167" s="1867">
        <f>IF(AND(D167&gt;0,S167=""),1,IF(S167&gt;D167,1,0))</f>
        <v>1</v>
      </c>
    </row>
    <row r="168" spans="1:95" x14ac:dyDescent="0.25">
      <c r="A168" s="5677" t="s">
        <v>5038</v>
      </c>
      <c r="B168" s="6112"/>
      <c r="C168" s="357" t="s">
        <v>828</v>
      </c>
      <c r="D168" s="5757" t="s">
        <v>4567</v>
      </c>
      <c r="E168" s="5620" t="s">
        <v>4568</v>
      </c>
      <c r="F168" s="5758" t="s">
        <v>4569</v>
      </c>
      <c r="G168" s="1726" t="s">
        <v>4570</v>
      </c>
      <c r="H168" s="5744" t="s">
        <v>4571</v>
      </c>
      <c r="I168" s="1726" t="s">
        <v>4572</v>
      </c>
      <c r="J168" s="5744" t="s">
        <v>4573</v>
      </c>
      <c r="K168" s="1726" t="s">
        <v>4574</v>
      </c>
      <c r="L168" s="5744" t="s">
        <v>4575</v>
      </c>
      <c r="M168" s="1726" t="s">
        <v>4576</v>
      </c>
      <c r="N168" s="4782" t="s">
        <v>4577</v>
      </c>
      <c r="O168" s="3128" t="s">
        <v>4578</v>
      </c>
      <c r="P168" s="5562" t="s">
        <v>4579</v>
      </c>
      <c r="Q168" s="1728" t="s">
        <v>4580</v>
      </c>
      <c r="R168" s="3128" t="s">
        <v>4581</v>
      </c>
      <c r="S168" s="5744" t="s">
        <v>4582</v>
      </c>
      <c r="T168" t="str">
        <f>CB168&amp;CC168&amp;CD168</f>
        <v xml:space="preserve"> *  La variable Pueblos originarios No puede ser mayor al Total. *  La variable Migrantes No puede ser mayor al Total.</v>
      </c>
      <c r="CB168" s="135" t="str">
        <f>IF(AND(D168&gt;0,R168=""),"   * No olvide digitar la variable Pueblos originarios. Digite Cero si no tiene.",IF(R168&gt;D168," *  La variable Pueblos originarios No puede ser mayor al Total.",""))</f>
        <v xml:space="preserve"> *  La variable Pueblos originarios No puede ser mayor al Total.</v>
      </c>
      <c r="CC168" s="135" t="str">
        <f>IF(AND(D168&gt;0,S168=""),"   * No olvide digitar la variable Migrantes. Digite Cero si no tiene.",IF(S168&gt;D168," *  La variable Migrantes No puede ser mayor al Total.",""))</f>
        <v xml:space="preserve"> *  La variable Migrantes No puede ser mayor al Total.</v>
      </c>
      <c r="CP168" s="1867">
        <f>IF(AND(D168&gt;0,R168=""),1,IF(R168&gt;D168,1,0))</f>
        <v>1</v>
      </c>
      <c r="CQ168" s="1867">
        <f>IF(AND(D168&gt;0,S168=""),1,IF(S168&gt;D168,1,0))</f>
        <v>1</v>
      </c>
    </row>
    <row r="169" spans="1:95" x14ac:dyDescent="0.25">
      <c r="A169" s="5677" t="s">
        <v>5039</v>
      </c>
      <c r="B169" s="6112"/>
      <c r="C169" s="198" t="s">
        <v>829</v>
      </c>
      <c r="D169" s="5757" t="s">
        <v>4567</v>
      </c>
      <c r="E169" s="5620" t="s">
        <v>4568</v>
      </c>
      <c r="F169" s="5758" t="s">
        <v>4569</v>
      </c>
      <c r="G169" s="1726" t="s">
        <v>4570</v>
      </c>
      <c r="H169" s="5744" t="s">
        <v>4571</v>
      </c>
      <c r="I169" s="1726" t="s">
        <v>4572</v>
      </c>
      <c r="J169" s="5744" t="s">
        <v>4573</v>
      </c>
      <c r="K169" s="1726" t="s">
        <v>4574</v>
      </c>
      <c r="L169" s="5744" t="s">
        <v>4575</v>
      </c>
      <c r="M169" s="1726" t="s">
        <v>4576</v>
      </c>
      <c r="N169" s="4782" t="s">
        <v>4577</v>
      </c>
      <c r="O169" s="3128" t="s">
        <v>4578</v>
      </c>
      <c r="P169" s="5562" t="s">
        <v>4579</v>
      </c>
      <c r="Q169" s="1728" t="s">
        <v>4580</v>
      </c>
      <c r="R169" s="3128" t="s">
        <v>4581</v>
      </c>
      <c r="S169" s="5744" t="s">
        <v>4582</v>
      </c>
      <c r="T169" t="str">
        <f>CB169&amp;CC169&amp;CD169</f>
        <v xml:space="preserve"> *  La variable Pueblos originarios No puede ser mayor al Total. *  La variable Migrantes No puede ser mayor al Total.</v>
      </c>
      <c r="CB169" s="135" t="str">
        <f>IF(AND(D169&gt;0,R169=""),"   * No olvide digitar la variable Pueblos originarios. Digite Cero si no tiene.",IF(R169&gt;D169," *  La variable Pueblos originarios No puede ser mayor al Total.",""))</f>
        <v xml:space="preserve"> *  La variable Pueblos originarios No puede ser mayor al Total.</v>
      </c>
      <c r="CC169" s="135" t="str">
        <f>IF(AND(D169&gt;0,S169=""),"   * No olvide digitar la variable Migrantes. Digite Cero si no tiene.",IF(S169&gt;D169," *  La variable Migrantes No puede ser mayor al Total.",""))</f>
        <v xml:space="preserve"> *  La variable Migrantes No puede ser mayor al Total.</v>
      </c>
      <c r="CP169" s="1867">
        <f>IF(AND(D169&gt;0,R169=""),1,IF(R169&gt;D169,1,0))</f>
        <v>1</v>
      </c>
      <c r="CQ169" s="1867">
        <f>IF(AND(D169&gt;0,S169=""),1,IF(S169&gt;D169,1,0))</f>
        <v>1</v>
      </c>
    </row>
    <row r="170" spans="1:95" ht="15" customHeight="1" x14ac:dyDescent="0.25">
      <c r="A170" s="5676"/>
      <c r="B170" s="6604" t="s">
        <v>830</v>
      </c>
      <c r="C170" s="6604"/>
      <c r="D170" s="609">
        <f>SUM(D167:D169)</f>
        <v>0</v>
      </c>
      <c r="E170" s="610">
        <f>SUM(E167:E169)</f>
        <v>0</v>
      </c>
      <c r="F170" s="611">
        <f>SUM(F167:F169)</f>
        <v>0</v>
      </c>
      <c r="G170" s="609">
        <f>SUM(G167:G169)</f>
        <v>0</v>
      </c>
      <c r="H170" s="611">
        <f t="shared" ref="H170:Q170" si="110">SUM(H167:H169)</f>
        <v>0</v>
      </c>
      <c r="I170" s="609">
        <f t="shared" si="110"/>
        <v>0</v>
      </c>
      <c r="J170" s="611">
        <f t="shared" si="110"/>
        <v>0</v>
      </c>
      <c r="K170" s="609">
        <f t="shared" si="110"/>
        <v>0</v>
      </c>
      <c r="L170" s="611">
        <f t="shared" si="110"/>
        <v>0</v>
      </c>
      <c r="M170" s="609">
        <f t="shared" si="110"/>
        <v>0</v>
      </c>
      <c r="N170" s="612">
        <f t="shared" si="110"/>
        <v>0</v>
      </c>
      <c r="O170" s="613">
        <f t="shared" si="110"/>
        <v>0</v>
      </c>
      <c r="P170" s="610">
        <f t="shared" si="110"/>
        <v>0</v>
      </c>
      <c r="Q170" s="614">
        <f t="shared" si="110"/>
        <v>0</v>
      </c>
      <c r="R170" s="613">
        <f>SUM(R167:R169)</f>
        <v>0</v>
      </c>
      <c r="S170" s="611">
        <f>SUM(S167:S169)</f>
        <v>0</v>
      </c>
    </row>
    <row r="171" spans="1:95" x14ac:dyDescent="0.25">
      <c r="A171" s="5677" t="s">
        <v>5040</v>
      </c>
      <c r="B171" s="6453" t="s">
        <v>831</v>
      </c>
      <c r="C171" s="295" t="s">
        <v>832</v>
      </c>
      <c r="D171" s="5757" t="s">
        <v>4567</v>
      </c>
      <c r="E171" s="5620" t="s">
        <v>4568</v>
      </c>
      <c r="F171" s="5758" t="s">
        <v>4569</v>
      </c>
      <c r="G171" s="1726" t="s">
        <v>4570</v>
      </c>
      <c r="H171" s="5744" t="s">
        <v>4571</v>
      </c>
      <c r="I171" s="1726" t="s">
        <v>4572</v>
      </c>
      <c r="J171" s="5744" t="s">
        <v>4573</v>
      </c>
      <c r="K171" s="1726" t="s">
        <v>4574</v>
      </c>
      <c r="L171" s="5744" t="s">
        <v>4575</v>
      </c>
      <c r="M171" s="1726" t="s">
        <v>4576</v>
      </c>
      <c r="N171" s="4782" t="s">
        <v>4577</v>
      </c>
      <c r="O171" s="3128" t="s">
        <v>4578</v>
      </c>
      <c r="P171" s="5562" t="s">
        <v>4579</v>
      </c>
      <c r="Q171" s="1728" t="s">
        <v>4580</v>
      </c>
      <c r="R171" s="3128" t="s">
        <v>4581</v>
      </c>
      <c r="S171" s="5744" t="s">
        <v>4582</v>
      </c>
      <c r="T171" t="str">
        <f>CB171&amp;CC171&amp;CD171</f>
        <v xml:space="preserve"> *  La variable Pueblos originarios No puede ser mayor al Total. *  La variable Migrantes No puede ser mayor al Total.</v>
      </c>
      <c r="CB171" s="135" t="str">
        <f>IF(AND(D171&gt;0,R171=""),"   * No olvide digitar la variable Pueblos originarios. Digite Cero si no tiene.",IF(R171&gt;D171," *  La variable Pueblos originarios No puede ser mayor al Total.",""))</f>
        <v xml:space="preserve"> *  La variable Pueblos originarios No puede ser mayor al Total.</v>
      </c>
      <c r="CC171" s="135" t="str">
        <f>IF(AND(D171&gt;0,S171=""),"   * No olvide digitar la variable Migrantes. Digite Cero si no tiene.",IF(S171&gt;D171," *  La variable Migrantes No puede ser mayor al Total.",""))</f>
        <v xml:space="preserve"> *  La variable Migrantes No puede ser mayor al Total.</v>
      </c>
      <c r="CP171" s="1867">
        <f>IF(AND(D171&gt;0,R171=""),1,IF(R171&gt;D171,1,0))</f>
        <v>1</v>
      </c>
      <c r="CQ171" s="1867">
        <f>IF(AND(D171&gt;0,S171=""),1,IF(S171&gt;D171,1,0))</f>
        <v>1</v>
      </c>
    </row>
    <row r="172" spans="1:95" x14ac:dyDescent="0.25">
      <c r="A172" s="5677" t="s">
        <v>5041</v>
      </c>
      <c r="B172" s="6112"/>
      <c r="C172" s="357" t="s">
        <v>833</v>
      </c>
      <c r="D172" s="5757" t="s">
        <v>4567</v>
      </c>
      <c r="E172" s="5620" t="s">
        <v>4568</v>
      </c>
      <c r="F172" s="5758" t="s">
        <v>4569</v>
      </c>
      <c r="G172" s="1726" t="s">
        <v>4570</v>
      </c>
      <c r="H172" s="5744" t="s">
        <v>4571</v>
      </c>
      <c r="I172" s="1726" t="s">
        <v>4572</v>
      </c>
      <c r="J172" s="5744" t="s">
        <v>4573</v>
      </c>
      <c r="K172" s="1726" t="s">
        <v>4574</v>
      </c>
      <c r="L172" s="5744" t="s">
        <v>4575</v>
      </c>
      <c r="M172" s="1726" t="s">
        <v>4576</v>
      </c>
      <c r="N172" s="4782" t="s">
        <v>4577</v>
      </c>
      <c r="O172" s="3128" t="s">
        <v>4578</v>
      </c>
      <c r="P172" s="5562" t="s">
        <v>4579</v>
      </c>
      <c r="Q172" s="1728" t="s">
        <v>4580</v>
      </c>
      <c r="R172" s="3128" t="s">
        <v>4581</v>
      </c>
      <c r="S172" s="5744" t="s">
        <v>4582</v>
      </c>
      <c r="T172" t="str">
        <f>CB172&amp;CC172&amp;CD172</f>
        <v xml:space="preserve"> *  La variable Pueblos originarios No puede ser mayor al Total. *  La variable Migrantes No puede ser mayor al Total.</v>
      </c>
      <c r="CB172" s="135" t="str">
        <f>IF(AND(D172&gt;0,R172=""),"   * No olvide digitar la variable Pueblos originarios. Digite Cero si no tiene.",IF(R172&gt;D172," *  La variable Pueblos originarios No puede ser mayor al Total.",""))</f>
        <v xml:space="preserve"> *  La variable Pueblos originarios No puede ser mayor al Total.</v>
      </c>
      <c r="CC172" s="135" t="str">
        <f>IF(AND(D172&gt;0,S172=""),"   * No olvide digitar la variable Migrantes. Digite Cero si no tiene.",IF(S172&gt;D172," *  La variable Migrantes No puede ser mayor al Total.",""))</f>
        <v xml:space="preserve"> *  La variable Migrantes No puede ser mayor al Total.</v>
      </c>
      <c r="CP172" s="1867">
        <f>IF(AND(D172&gt;0,R172=""),1,IF(R172&gt;D172,1,0))</f>
        <v>1</v>
      </c>
      <c r="CQ172" s="1867">
        <f>IF(AND(D172&gt;0,S172=""),1,IF(S172&gt;D172,1,0))</f>
        <v>1</v>
      </c>
    </row>
    <row r="173" spans="1:95" x14ac:dyDescent="0.25">
      <c r="A173" s="5677" t="s">
        <v>5042</v>
      </c>
      <c r="B173" s="6112"/>
      <c r="C173" s="357" t="s">
        <v>834</v>
      </c>
      <c r="D173" s="5757" t="s">
        <v>4567</v>
      </c>
      <c r="E173" s="5620" t="s">
        <v>4568</v>
      </c>
      <c r="F173" s="5758" t="s">
        <v>4569</v>
      </c>
      <c r="G173" s="1726" t="s">
        <v>4570</v>
      </c>
      <c r="H173" s="5744" t="s">
        <v>4571</v>
      </c>
      <c r="I173" s="1726" t="s">
        <v>4572</v>
      </c>
      <c r="J173" s="5744" t="s">
        <v>4573</v>
      </c>
      <c r="K173" s="1726" t="s">
        <v>4574</v>
      </c>
      <c r="L173" s="5744" t="s">
        <v>4575</v>
      </c>
      <c r="M173" s="1726" t="s">
        <v>4576</v>
      </c>
      <c r="N173" s="4782" t="s">
        <v>4577</v>
      </c>
      <c r="O173" s="3128" t="s">
        <v>4578</v>
      </c>
      <c r="P173" s="5562" t="s">
        <v>4579</v>
      </c>
      <c r="Q173" s="1728" t="s">
        <v>4580</v>
      </c>
      <c r="R173" s="3128" t="s">
        <v>4581</v>
      </c>
      <c r="S173" s="5744" t="s">
        <v>4582</v>
      </c>
      <c r="T173" t="str">
        <f>CB173&amp;CC173&amp;CD173</f>
        <v xml:space="preserve"> *  La variable Pueblos originarios No puede ser mayor al Total. *  La variable Migrantes No puede ser mayor al Total.</v>
      </c>
      <c r="CB173" s="135" t="str">
        <f>IF(AND(D173&gt;0,R173=""),"   * No olvide digitar la variable Pueblos originarios. Digite Cero si no tiene.",IF(R173&gt;D173," *  La variable Pueblos originarios No puede ser mayor al Total.",""))</f>
        <v xml:space="preserve"> *  La variable Pueblos originarios No puede ser mayor al Total.</v>
      </c>
      <c r="CC173" s="135" t="str">
        <f>IF(AND(D173&gt;0,S173=""),"   * No olvide digitar la variable Migrantes. Digite Cero si no tiene.",IF(S173&gt;D173," *  La variable Migrantes No puede ser mayor al Total.",""))</f>
        <v xml:space="preserve"> *  La variable Migrantes No puede ser mayor al Total.</v>
      </c>
      <c r="CP173" s="1867">
        <f>IF(AND(D173&gt;0,R173=""),1,IF(R173&gt;D173,1,0))</f>
        <v>1</v>
      </c>
      <c r="CQ173" s="1867">
        <f>IF(AND(D173&gt;0,S173=""),1,IF(S173&gt;D173,1,0))</f>
        <v>1</v>
      </c>
    </row>
    <row r="174" spans="1:95" x14ac:dyDescent="0.25">
      <c r="A174" s="5677" t="s">
        <v>5043</v>
      </c>
      <c r="B174" s="6059"/>
      <c r="C174" s="193" t="s">
        <v>835</v>
      </c>
      <c r="D174" s="5757" t="s">
        <v>4567</v>
      </c>
      <c r="E174" s="5620" t="s">
        <v>4568</v>
      </c>
      <c r="F174" s="5758" t="s">
        <v>4569</v>
      </c>
      <c r="G174" s="1726" t="s">
        <v>4570</v>
      </c>
      <c r="H174" s="5744" t="s">
        <v>4571</v>
      </c>
      <c r="I174" s="1726" t="s">
        <v>4572</v>
      </c>
      <c r="J174" s="5744" t="s">
        <v>4573</v>
      </c>
      <c r="K174" s="1726" t="s">
        <v>4574</v>
      </c>
      <c r="L174" s="5744" t="s">
        <v>4575</v>
      </c>
      <c r="M174" s="1726" t="s">
        <v>4576</v>
      </c>
      <c r="N174" s="4782" t="s">
        <v>4577</v>
      </c>
      <c r="O174" s="3128" t="s">
        <v>4578</v>
      </c>
      <c r="P174" s="5562" t="s">
        <v>4579</v>
      </c>
      <c r="Q174" s="1728" t="s">
        <v>4580</v>
      </c>
      <c r="R174" s="3128" t="s">
        <v>4581</v>
      </c>
      <c r="S174" s="5744" t="s">
        <v>4582</v>
      </c>
      <c r="T174" t="str">
        <f>CB174&amp;CC174&amp;CD174</f>
        <v xml:space="preserve"> *  La variable Pueblos originarios No puede ser mayor al Total. *  La variable Migrantes No puede ser mayor al Total.</v>
      </c>
      <c r="CB174" s="135" t="str">
        <f>IF(AND(D174&gt;0,R174=""),"   * No olvide digitar la variable Pueblos originarios. Digite Cero si no tiene.",IF(R174&gt;D174," *  La variable Pueblos originarios No puede ser mayor al Total.",""))</f>
        <v xml:space="preserve"> *  La variable Pueblos originarios No puede ser mayor al Total.</v>
      </c>
      <c r="CC174" s="135" t="str">
        <f>IF(AND(D174&gt;0,S174=""),"   * No olvide digitar la variable Migrantes. Digite Cero si no tiene.",IF(S174&gt;D174," *  La variable Migrantes No puede ser mayor al Total.",""))</f>
        <v xml:space="preserve"> *  La variable Migrantes No puede ser mayor al Total.</v>
      </c>
      <c r="CP174" s="1867">
        <f>IF(AND(D174&gt;0,R174=""),1,IF(R174&gt;D174,1,0))</f>
        <v>1</v>
      </c>
      <c r="CQ174" s="1867">
        <f>IF(AND(D174&gt;0,S174=""),1,IF(S174&gt;D174,1,0))</f>
        <v>1</v>
      </c>
    </row>
    <row r="175" spans="1:95" ht="15" customHeight="1" x14ac:dyDescent="0.25">
      <c r="A175" s="5676"/>
      <c r="B175" s="6608" t="s">
        <v>830</v>
      </c>
      <c r="C175" s="6604"/>
      <c r="D175" s="609">
        <f>SUM(D171:D174)</f>
        <v>0</v>
      </c>
      <c r="E175" s="610">
        <f>SUM(E171:E174)</f>
        <v>0</v>
      </c>
      <c r="F175" s="611">
        <f>SUM(F171:F174)</f>
        <v>0</v>
      </c>
      <c r="G175" s="609">
        <f>SUM(G171:G174)</f>
        <v>0</v>
      </c>
      <c r="H175" s="611">
        <f t="shared" ref="H175:Q175" si="111">SUM(H171:H174)</f>
        <v>0</v>
      </c>
      <c r="I175" s="609">
        <f t="shared" si="111"/>
        <v>0</v>
      </c>
      <c r="J175" s="611">
        <f t="shared" si="111"/>
        <v>0</v>
      </c>
      <c r="K175" s="609">
        <f t="shared" si="111"/>
        <v>0</v>
      </c>
      <c r="L175" s="611">
        <f t="shared" si="111"/>
        <v>0</v>
      </c>
      <c r="M175" s="609">
        <f t="shared" si="111"/>
        <v>0</v>
      </c>
      <c r="N175" s="612">
        <f t="shared" si="111"/>
        <v>0</v>
      </c>
      <c r="O175" s="613">
        <f t="shared" si="111"/>
        <v>0</v>
      </c>
      <c r="P175" s="610">
        <f t="shared" si="111"/>
        <v>0</v>
      </c>
      <c r="Q175" s="614">
        <f t="shared" si="111"/>
        <v>0</v>
      </c>
      <c r="R175" s="613">
        <f>SUM(R171:R174)</f>
        <v>0</v>
      </c>
      <c r="S175" s="611">
        <f>SUM(S171:S174)</f>
        <v>0</v>
      </c>
    </row>
    <row r="176" spans="1:95" x14ac:dyDescent="0.25">
      <c r="A176" s="5676"/>
      <c r="B176" s="6608" t="s">
        <v>212</v>
      </c>
      <c r="C176" s="6608"/>
      <c r="D176" s="342">
        <f>SUM(D170+D175)</f>
        <v>0</v>
      </c>
      <c r="E176" s="303">
        <f t="shared" ref="E176:Q176" si="112">SUM(E170+E175)</f>
        <v>0</v>
      </c>
      <c r="F176" s="616">
        <f t="shared" si="112"/>
        <v>0</v>
      </c>
      <c r="G176" s="342">
        <f t="shared" si="112"/>
        <v>0</v>
      </c>
      <c r="H176" s="616">
        <f t="shared" si="112"/>
        <v>0</v>
      </c>
      <c r="I176" s="342">
        <f t="shared" si="112"/>
        <v>0</v>
      </c>
      <c r="J176" s="616">
        <f t="shared" si="112"/>
        <v>0</v>
      </c>
      <c r="K176" s="342">
        <f t="shared" si="112"/>
        <v>0</v>
      </c>
      <c r="L176" s="616">
        <f t="shared" si="112"/>
        <v>0</v>
      </c>
      <c r="M176" s="342">
        <f t="shared" si="112"/>
        <v>0</v>
      </c>
      <c r="N176" s="617">
        <f t="shared" si="112"/>
        <v>0</v>
      </c>
      <c r="O176" s="304">
        <f t="shared" si="112"/>
        <v>0</v>
      </c>
      <c r="P176" s="303">
        <f t="shared" si="112"/>
        <v>0</v>
      </c>
      <c r="Q176" s="618">
        <f t="shared" si="112"/>
        <v>0</v>
      </c>
      <c r="R176" s="304">
        <f>SUM(R170+R175)</f>
        <v>0</v>
      </c>
      <c r="S176" s="616">
        <f>SUM(S170+S175)</f>
        <v>0</v>
      </c>
    </row>
    <row r="177" spans="1:95" s="6" customFormat="1" ht="18" customHeight="1" x14ac:dyDescent="0.2">
      <c r="A177" s="5603"/>
      <c r="B177" s="298" t="s">
        <v>837</v>
      </c>
      <c r="C177" s="298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95" ht="15" customHeight="1" x14ac:dyDescent="0.25">
      <c r="A178" s="5548"/>
      <c r="B178" s="6212" t="s">
        <v>697</v>
      </c>
      <c r="C178" s="6511"/>
      <c r="D178" s="6515" t="s">
        <v>77</v>
      </c>
      <c r="E178" s="6515"/>
      <c r="F178" s="6545"/>
      <c r="G178" s="6544" t="s">
        <v>53</v>
      </c>
      <c r="H178" s="6545"/>
      <c r="I178" s="6544" t="s">
        <v>54</v>
      </c>
      <c r="J178" s="6545"/>
      <c r="K178" s="6544" t="s">
        <v>55</v>
      </c>
      <c r="L178" s="6545"/>
      <c r="M178" s="6544" t="s">
        <v>56</v>
      </c>
      <c r="N178" s="6545"/>
      <c r="O178" s="6544" t="s">
        <v>57</v>
      </c>
      <c r="P178" s="6546"/>
      <c r="Q178" s="6517" t="s">
        <v>36</v>
      </c>
      <c r="R178" s="6511" t="s">
        <v>37</v>
      </c>
    </row>
    <row r="179" spans="1:95" ht="15" customHeight="1" x14ac:dyDescent="0.25">
      <c r="A179" s="5548"/>
      <c r="B179" s="6064"/>
      <c r="C179" s="6028"/>
      <c r="D179" s="593" t="s">
        <v>79</v>
      </c>
      <c r="E179" s="594" t="s">
        <v>58</v>
      </c>
      <c r="F179" s="591" t="s">
        <v>59</v>
      </c>
      <c r="G179" s="593" t="s">
        <v>58</v>
      </c>
      <c r="H179" s="591" t="s">
        <v>59</v>
      </c>
      <c r="I179" s="593" t="s">
        <v>58</v>
      </c>
      <c r="J179" s="591" t="s">
        <v>59</v>
      </c>
      <c r="K179" s="593" t="s">
        <v>58</v>
      </c>
      <c r="L179" s="591" t="s">
        <v>59</v>
      </c>
      <c r="M179" s="593" t="s">
        <v>58</v>
      </c>
      <c r="N179" s="591" t="s">
        <v>59</v>
      </c>
      <c r="O179" s="593" t="s">
        <v>58</v>
      </c>
      <c r="P179" s="469" t="s">
        <v>59</v>
      </c>
      <c r="Q179" s="6035"/>
      <c r="R179" s="6028"/>
    </row>
    <row r="180" spans="1:95" ht="15" customHeight="1" x14ac:dyDescent="0.25">
      <c r="A180" s="5677" t="s">
        <v>5044</v>
      </c>
      <c r="B180" s="6453" t="s">
        <v>838</v>
      </c>
      <c r="C180" s="595" t="s">
        <v>827</v>
      </c>
      <c r="D180" s="596" t="s">
        <v>4567</v>
      </c>
      <c r="E180" s="597" t="s">
        <v>4568</v>
      </c>
      <c r="F180" s="598" t="s">
        <v>4569</v>
      </c>
      <c r="G180" s="473" t="s">
        <v>4570</v>
      </c>
      <c r="H180" s="566" t="s">
        <v>4571</v>
      </c>
      <c r="I180" s="473" t="s">
        <v>4572</v>
      </c>
      <c r="J180" s="566" t="s">
        <v>4573</v>
      </c>
      <c r="K180" s="473" t="s">
        <v>4574</v>
      </c>
      <c r="L180" s="566" t="s">
        <v>4575</v>
      </c>
      <c r="M180" s="473" t="s">
        <v>4576</v>
      </c>
      <c r="N180" s="566" t="s">
        <v>4577</v>
      </c>
      <c r="O180" s="473" t="s">
        <v>4578</v>
      </c>
      <c r="P180" s="495" t="s">
        <v>4579</v>
      </c>
      <c r="Q180" s="496" t="s">
        <v>4580</v>
      </c>
      <c r="R180" s="566" t="s">
        <v>4581</v>
      </c>
      <c r="S180" t="str">
        <f>CB180&amp;CC180</f>
        <v xml:space="preserve"> * La variable Pueblos originarios No puede ser mayor al Total. * La variable Migrantes No puede ser mayor al Total.</v>
      </c>
      <c r="CB180" s="135" t="str">
        <f>IF(AND(D180&gt;0,Q180="")," * No olvide digitar la variable Pueblos originarios. Digite Cero si no tiene.",IF(Q180&gt;D180," * La variable Pueblos originarios No puede ser mayor al Total.",""))</f>
        <v xml:space="preserve"> * La variable Pueblos originarios No puede ser mayor al Total.</v>
      </c>
      <c r="CC180" s="135" t="str">
        <f>IF(AND(D180&gt;0,R180="")," * No olvide digitar la variable Migrantes. Digite Cero si no tiene.",IF(R180&gt;D180," * La variable Migrantes No puede ser mayor al Total.",""))</f>
        <v xml:space="preserve"> * La variable Migrantes No puede ser mayor al Total.</v>
      </c>
      <c r="CP180" s="1867">
        <f>IF(AND(D180&gt;0,Q180=""),1,IF(Q180&gt;D180,1,0))</f>
        <v>1</v>
      </c>
      <c r="CQ180" s="1867">
        <f>IF(AND(D180&gt;0,R180=""),1,IF(R180&gt;D180,1,0))</f>
        <v>1</v>
      </c>
    </row>
    <row r="181" spans="1:95" ht="15" customHeight="1" x14ac:dyDescent="0.25">
      <c r="A181" s="5677" t="s">
        <v>5045</v>
      </c>
      <c r="B181" s="6112"/>
      <c r="C181" s="357" t="s">
        <v>828</v>
      </c>
      <c r="D181" s="477" t="s">
        <v>4567</v>
      </c>
      <c r="E181" s="575" t="s">
        <v>4568</v>
      </c>
      <c r="F181" s="479" t="s">
        <v>4569</v>
      </c>
      <c r="G181" s="619" t="s">
        <v>4570</v>
      </c>
      <c r="H181" s="367" t="s">
        <v>4571</v>
      </c>
      <c r="I181" s="290" t="s">
        <v>4572</v>
      </c>
      <c r="J181" s="107" t="s">
        <v>4573</v>
      </c>
      <c r="K181" s="290" t="s">
        <v>4574</v>
      </c>
      <c r="L181" s="107" t="s">
        <v>4575</v>
      </c>
      <c r="M181" s="290" t="s">
        <v>4576</v>
      </c>
      <c r="N181" s="107" t="s">
        <v>4577</v>
      </c>
      <c r="O181" s="290" t="s">
        <v>4578</v>
      </c>
      <c r="P181" s="430" t="s">
        <v>4579</v>
      </c>
      <c r="Q181" s="296" t="s">
        <v>4580</v>
      </c>
      <c r="R181" s="107" t="s">
        <v>4581</v>
      </c>
      <c r="S181" t="str">
        <f>CB181&amp;CC181</f>
        <v xml:space="preserve"> *  La variable Pueblos originarios No puede ser mayor al Total. * La variable Migrantes No puede ser mayor al Total.</v>
      </c>
      <c r="CB181" s="135" t="str">
        <f>IF(AND(D181&gt;0,Q181=""),"   * No olvide digitar la variable Pueblos originarios. Digite Cero si no tiene.",IF(Q181&gt;D181," *  La variable Pueblos originarios No puede ser mayor al Total.",""))</f>
        <v xml:space="preserve"> *  La variable Pueblos originarios No puede ser mayor al Total.</v>
      </c>
      <c r="CC181" s="135" t="str">
        <f t="shared" ref="CC181:CC182" si="113">IF(AND(D181&gt;0,R181="")," * No olvide digitar la variable Migrantes. Digite Cero si no tiene.",IF(R181&gt;D181," * La variable Migrantes No puede ser mayor al Total.",""))</f>
        <v xml:space="preserve"> * La variable Migrantes No puede ser mayor al Total.</v>
      </c>
      <c r="CP181" s="1867">
        <f>IF(AND(D181&gt;0,Q181=""),1,IF(Q181&gt;D181,1,0))</f>
        <v>1</v>
      </c>
      <c r="CQ181" s="1867">
        <f>IF(AND(D181&gt;0,R181=""),1,IF(R181&gt;D181,1,0))</f>
        <v>1</v>
      </c>
    </row>
    <row r="182" spans="1:95" ht="15" customHeight="1" x14ac:dyDescent="0.25">
      <c r="A182" s="5677" t="s">
        <v>5046</v>
      </c>
      <c r="B182" s="6112"/>
      <c r="C182" s="193" t="s">
        <v>829</v>
      </c>
      <c r="D182" s="482" t="s">
        <v>4567</v>
      </c>
      <c r="E182" s="581" t="s">
        <v>4568</v>
      </c>
      <c r="F182" s="484" t="s">
        <v>4569</v>
      </c>
      <c r="G182" s="620" t="s">
        <v>4570</v>
      </c>
      <c r="H182" s="621" t="s">
        <v>4571</v>
      </c>
      <c r="I182" s="379" t="s">
        <v>4572</v>
      </c>
      <c r="J182" s="387" t="s">
        <v>4573</v>
      </c>
      <c r="K182" s="379" t="s">
        <v>4574</v>
      </c>
      <c r="L182" s="387" t="s">
        <v>4575</v>
      </c>
      <c r="M182" s="379" t="s">
        <v>4576</v>
      </c>
      <c r="N182" s="387" t="s">
        <v>4577</v>
      </c>
      <c r="O182" s="379" t="s">
        <v>4578</v>
      </c>
      <c r="P182" s="389" t="s">
        <v>4579</v>
      </c>
      <c r="Q182" s="378" t="s">
        <v>4580</v>
      </c>
      <c r="R182" s="387" t="s">
        <v>4581</v>
      </c>
      <c r="S182" t="str">
        <f>CB182&amp;CC182</f>
        <v xml:space="preserve"> *  La variable Pueblos originarios No puede ser mayor al Total. * La variable Migrantes No puede ser mayor al Total.</v>
      </c>
      <c r="CB182" s="135" t="str">
        <f>IF(AND(D182&gt;0,Q182=""),"   * No olvide digitar la variable Pueblos originarios. Digite Cero si no tiene.",IF(Q182&gt;D182," *  La variable Pueblos originarios No puede ser mayor al Total.",""))</f>
        <v xml:space="preserve"> *  La variable Pueblos originarios No puede ser mayor al Total.</v>
      </c>
      <c r="CC182" s="135" t="str">
        <f t="shared" si="113"/>
        <v xml:space="preserve"> * La variable Migrantes No puede ser mayor al Total.</v>
      </c>
      <c r="CP182" s="1867">
        <f>IF(AND(D182&gt;0,Q182=""),1,IF(Q182&gt;D182,1,0))</f>
        <v>1</v>
      </c>
      <c r="CQ182" s="1867">
        <f>IF(AND(D182&gt;0,R182=""),1,IF(R182&gt;D182,1,0))</f>
        <v>1</v>
      </c>
    </row>
    <row r="183" spans="1:95" ht="15" customHeight="1" x14ac:dyDescent="0.25">
      <c r="A183" s="5679"/>
      <c r="B183" s="6059"/>
      <c r="C183" s="582" t="s">
        <v>839</v>
      </c>
      <c r="D183" s="555">
        <f>SUM(D180:D182)</f>
        <v>0</v>
      </c>
      <c r="E183" s="300">
        <f>SUM(E180:E182)</f>
        <v>0</v>
      </c>
      <c r="F183" s="585">
        <f>SUM(F180:F182)</f>
        <v>0</v>
      </c>
      <c r="G183" s="555">
        <f>SUM(G180:G182)</f>
        <v>0</v>
      </c>
      <c r="H183" s="585">
        <f t="shared" ref="H183:P183" si="114">SUM(H180:H182)</f>
        <v>0</v>
      </c>
      <c r="I183" s="555">
        <f t="shared" si="114"/>
        <v>0</v>
      </c>
      <c r="J183" s="585">
        <f t="shared" si="114"/>
        <v>0</v>
      </c>
      <c r="K183" s="555">
        <f t="shared" si="114"/>
        <v>0</v>
      </c>
      <c r="L183" s="585">
        <f t="shared" si="114"/>
        <v>0</v>
      </c>
      <c r="M183" s="555">
        <f t="shared" si="114"/>
        <v>0</v>
      </c>
      <c r="N183" s="585">
        <f t="shared" si="114"/>
        <v>0</v>
      </c>
      <c r="O183" s="555">
        <f t="shared" si="114"/>
        <v>0</v>
      </c>
      <c r="P183" s="305">
        <f t="shared" si="114"/>
        <v>0</v>
      </c>
      <c r="Q183" s="301">
        <f>SUM(Q180:Q182)</f>
        <v>0</v>
      </c>
      <c r="R183" s="585">
        <f>SUM(R180:R182)</f>
        <v>0</v>
      </c>
    </row>
    <row r="184" spans="1:95" ht="15" customHeight="1" x14ac:dyDescent="0.25">
      <c r="A184" s="5677" t="s">
        <v>5047</v>
      </c>
      <c r="B184" s="6112" t="s">
        <v>840</v>
      </c>
      <c r="C184" s="295" t="s">
        <v>841</v>
      </c>
      <c r="D184" s="299" t="s">
        <v>4567</v>
      </c>
      <c r="E184" s="573" t="s">
        <v>4568</v>
      </c>
      <c r="F184" s="146" t="s">
        <v>4569</v>
      </c>
      <c r="G184" s="245" t="s">
        <v>4570</v>
      </c>
      <c r="H184" s="622" t="s">
        <v>4571</v>
      </c>
      <c r="I184" s="66" t="s">
        <v>4572</v>
      </c>
      <c r="J184" s="622" t="s">
        <v>4573</v>
      </c>
      <c r="K184" s="290" t="s">
        <v>4574</v>
      </c>
      <c r="L184" s="107" t="s">
        <v>4575</v>
      </c>
      <c r="M184" s="290" t="s">
        <v>4576</v>
      </c>
      <c r="N184" s="107" t="s">
        <v>4577</v>
      </c>
      <c r="O184" s="306" t="s">
        <v>4578</v>
      </c>
      <c r="P184" s="430" t="s">
        <v>4579</v>
      </c>
      <c r="Q184" s="74" t="s">
        <v>4580</v>
      </c>
      <c r="R184" s="107" t="s">
        <v>4581</v>
      </c>
      <c r="S184" t="str">
        <f>CB184&amp;CC184</f>
        <v xml:space="preserve"> * La variable Pueblos originarios No puede ser mayor al Total. * La variable Migrantes No puede ser mayor al Total.</v>
      </c>
      <c r="CB184" s="135" t="str">
        <f>IF(AND(D184&gt;0,Q184="")," * No olvide digitar la variable Pueblos originarios. Digite Cero si no tiene.",IF(Q184&gt;D184," * La variable Pueblos originarios No puede ser mayor al Total.",""))</f>
        <v xml:space="preserve"> * La variable Pueblos originarios No puede ser mayor al Total.</v>
      </c>
      <c r="CC184" s="135" t="str">
        <f>IF(AND(D184&gt;0,R184=""),"   No olvide digitar la variable Migrantes. Digite Cero si no tiene.",IF(R184&gt;D184," * La variable Migrantes No puede ser mayor al Total.",""))</f>
        <v xml:space="preserve"> * La variable Migrantes No puede ser mayor al Total.</v>
      </c>
      <c r="CP184" s="1867">
        <f>IF(AND(D184&gt;0,Q184=""),1,IF(Q184&gt;D184,1,0))</f>
        <v>1</v>
      </c>
      <c r="CQ184" s="1867">
        <f>IF(AND(D184&gt;0,R184=""),1,IF(R184&gt;D184,1,0))</f>
        <v>1</v>
      </c>
    </row>
    <row r="185" spans="1:95" ht="15" customHeight="1" x14ac:dyDescent="0.25">
      <c r="A185" s="5677" t="s">
        <v>5048</v>
      </c>
      <c r="B185" s="6112"/>
      <c r="C185" s="357" t="s">
        <v>811</v>
      </c>
      <c r="D185" s="307" t="s">
        <v>4567</v>
      </c>
      <c r="E185" s="615" t="s">
        <v>4568</v>
      </c>
      <c r="F185" s="141" t="s">
        <v>4569</v>
      </c>
      <c r="G185" s="290" t="s">
        <v>4570</v>
      </c>
      <c r="H185" s="107" t="s">
        <v>4571</v>
      </c>
      <c r="I185" s="345" t="s">
        <v>4572</v>
      </c>
      <c r="J185" s="107" t="s">
        <v>4573</v>
      </c>
      <c r="K185" s="345" t="s">
        <v>4574</v>
      </c>
      <c r="L185" s="107" t="s">
        <v>4575</v>
      </c>
      <c r="M185" s="290" t="s">
        <v>4576</v>
      </c>
      <c r="N185" s="107" t="s">
        <v>4577</v>
      </c>
      <c r="O185" s="345" t="s">
        <v>4578</v>
      </c>
      <c r="P185" s="430" t="s">
        <v>4579</v>
      </c>
      <c r="Q185" s="429" t="s">
        <v>4580</v>
      </c>
      <c r="R185" s="107" t="s">
        <v>4581</v>
      </c>
      <c r="S185" t="str">
        <f>CB185&amp;CC185</f>
        <v xml:space="preserve"> * La variable Pueblos originarios No puede ser mayor al Total. * La variable Migrantes No puede ser mayor al Total.</v>
      </c>
      <c r="CB185" s="135" t="str">
        <f t="shared" ref="CB185:CB187" si="115">IF(AND(D185&gt;0,Q185="")," * No olvide digitar la variable Pueblos originarios. Digite Cero si no tiene.",IF(Q185&gt;D185," * La variable Pueblos originarios No puede ser mayor al Total.",""))</f>
        <v xml:space="preserve"> * La variable Pueblos originarios No puede ser mayor al Total.</v>
      </c>
      <c r="CC185" s="135" t="str">
        <f t="shared" ref="CC185:CC187" si="116">IF(AND(D185&gt;0,R185=""),"   No olvide digitar la variable Migrantes. Digite Cero si no tiene.",IF(R185&gt;D185," * La variable Migrantes No puede ser mayor al Total.",""))</f>
        <v xml:space="preserve"> * La variable Migrantes No puede ser mayor al Total.</v>
      </c>
      <c r="CP185" s="1867">
        <f>IF(AND(D185&gt;0,Q185=""),1,IF(Q185&gt;D185,1,0))</f>
        <v>1</v>
      </c>
      <c r="CQ185" s="1867">
        <f>IF(AND(D185&gt;0,R185=""),1,IF(R185&gt;D185,1,0))</f>
        <v>1</v>
      </c>
    </row>
    <row r="186" spans="1:95" ht="15" customHeight="1" x14ac:dyDescent="0.25">
      <c r="A186" s="5677" t="s">
        <v>5049</v>
      </c>
      <c r="B186" s="6112"/>
      <c r="C186" s="357" t="s">
        <v>812</v>
      </c>
      <c r="D186" s="341" t="s">
        <v>4567</v>
      </c>
      <c r="E186" s="607" t="s">
        <v>4568</v>
      </c>
      <c r="F186" s="344" t="s">
        <v>4569</v>
      </c>
      <c r="G186" s="345" t="s">
        <v>4570</v>
      </c>
      <c r="H186" s="346" t="s">
        <v>4571</v>
      </c>
      <c r="I186" s="345" t="s">
        <v>4572</v>
      </c>
      <c r="J186" s="346" t="s">
        <v>4573</v>
      </c>
      <c r="K186" s="345" t="s">
        <v>4574</v>
      </c>
      <c r="L186" s="346" t="s">
        <v>4575</v>
      </c>
      <c r="M186" s="345" t="s">
        <v>4576</v>
      </c>
      <c r="N186" s="346" t="s">
        <v>4577</v>
      </c>
      <c r="O186" s="345" t="s">
        <v>4578</v>
      </c>
      <c r="P186" s="351" t="s">
        <v>4579</v>
      </c>
      <c r="Q186" s="429" t="s">
        <v>4580</v>
      </c>
      <c r="R186" s="346" t="s">
        <v>4581</v>
      </c>
      <c r="S186" t="str">
        <f>CB186&amp;CC186</f>
        <v xml:space="preserve"> * La variable Pueblos originarios No puede ser mayor al Total. * La variable Migrantes No puede ser mayor al Total.</v>
      </c>
      <c r="CB186" s="135" t="str">
        <f t="shared" si="115"/>
        <v xml:space="preserve"> * La variable Pueblos originarios No puede ser mayor al Total.</v>
      </c>
      <c r="CC186" s="135" t="str">
        <f t="shared" si="116"/>
        <v xml:space="preserve"> * La variable Migrantes No puede ser mayor al Total.</v>
      </c>
      <c r="CP186" s="1867">
        <f>IF(AND(D186&gt;0,Q186=""),1,IF(Q186&gt;D186,1,0))</f>
        <v>1</v>
      </c>
      <c r="CQ186" s="1867">
        <f>IF(AND(D186&gt;0,R186=""),1,IF(R186&gt;D186,1,0))</f>
        <v>1</v>
      </c>
    </row>
    <row r="187" spans="1:95" ht="15" customHeight="1" x14ac:dyDescent="0.25">
      <c r="A187" s="5677" t="s">
        <v>5050</v>
      </c>
      <c r="B187" s="6059"/>
      <c r="C187" s="517" t="s">
        <v>813</v>
      </c>
      <c r="D187" s="623" t="s">
        <v>4567</v>
      </c>
      <c r="E187" s="624" t="s">
        <v>4568</v>
      </c>
      <c r="F187" s="625" t="s">
        <v>4569</v>
      </c>
      <c r="G187" s="379" t="s">
        <v>4570</v>
      </c>
      <c r="H187" s="387" t="s">
        <v>4571</v>
      </c>
      <c r="I187" s="379" t="s">
        <v>4572</v>
      </c>
      <c r="J187" s="387" t="s">
        <v>4573</v>
      </c>
      <c r="K187" s="379" t="s">
        <v>4574</v>
      </c>
      <c r="L187" s="387" t="s">
        <v>4575</v>
      </c>
      <c r="M187" s="379" t="s">
        <v>4576</v>
      </c>
      <c r="N187" s="387" t="s">
        <v>4577</v>
      </c>
      <c r="O187" s="379" t="s">
        <v>4578</v>
      </c>
      <c r="P187" s="389" t="s">
        <v>4579</v>
      </c>
      <c r="Q187" s="378" t="s">
        <v>4580</v>
      </c>
      <c r="R187" s="387" t="s">
        <v>4581</v>
      </c>
      <c r="S187" t="str">
        <f>CB187&amp;CC187</f>
        <v xml:space="preserve"> * La variable Pueblos originarios No puede ser mayor al Total. * La variable Migrantes No puede ser mayor al Total.</v>
      </c>
      <c r="CB187" s="135" t="str">
        <f t="shared" si="115"/>
        <v xml:space="preserve"> * La variable Pueblos originarios No puede ser mayor al Total.</v>
      </c>
      <c r="CC187" s="135" t="str">
        <f t="shared" si="116"/>
        <v xml:space="preserve"> * La variable Migrantes No puede ser mayor al Total.</v>
      </c>
      <c r="CP187" s="1867">
        <f>IF(AND(D187&gt;0,Q187=""),1,IF(Q187&gt;D187,1,0))</f>
        <v>1</v>
      </c>
      <c r="CQ187" s="1867">
        <f>IF(AND(D187&gt;0,R187=""),1,IF(R187&gt;D187,1,0))</f>
        <v>1</v>
      </c>
    </row>
    <row r="188" spans="1:95" x14ac:dyDescent="0.25">
      <c r="A188" s="5548"/>
      <c r="B188" s="24" t="s">
        <v>842</v>
      </c>
      <c r="C188" s="24"/>
      <c r="D188" s="88"/>
      <c r="E188" s="88"/>
      <c r="F188" s="88"/>
      <c r="G188" s="88"/>
      <c r="H188" s="88"/>
      <c r="I188" s="88"/>
    </row>
    <row r="189" spans="1:95" x14ac:dyDescent="0.25">
      <c r="A189" s="5548"/>
      <c r="B189" s="24" t="s">
        <v>843</v>
      </c>
      <c r="C189" s="24"/>
      <c r="D189" s="88"/>
      <c r="E189" s="88"/>
      <c r="F189" s="88"/>
      <c r="G189" s="88"/>
      <c r="H189" s="88"/>
      <c r="I189" s="88"/>
    </row>
    <row r="190" spans="1:95" s="6" customFormat="1" ht="18" customHeight="1" x14ac:dyDescent="0.2">
      <c r="A190" s="5603"/>
      <c r="B190" s="298" t="s">
        <v>844</v>
      </c>
      <c r="C190" s="298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94"/>
      <c r="AW190" s="94"/>
      <c r="AX190" s="94"/>
    </row>
    <row r="191" spans="1:95" ht="30" customHeight="1" x14ac:dyDescent="0.25">
      <c r="A191" s="5548"/>
      <c r="B191" s="6212" t="s">
        <v>845</v>
      </c>
      <c r="C191" s="6511"/>
      <c r="D191" s="6417" t="s">
        <v>77</v>
      </c>
      <c r="E191" s="6417"/>
      <c r="F191" s="6417"/>
      <c r="G191" s="6417" t="s">
        <v>343</v>
      </c>
      <c r="H191" s="6417"/>
      <c r="I191" s="6417" t="s">
        <v>326</v>
      </c>
      <c r="J191" s="6417"/>
      <c r="K191" s="6417" t="s">
        <v>94</v>
      </c>
      <c r="L191" s="6417"/>
      <c r="M191" s="6417" t="s">
        <v>44</v>
      </c>
      <c r="N191" s="6417"/>
      <c r="O191" s="6411" t="s">
        <v>45</v>
      </c>
      <c r="P191" s="6448"/>
      <c r="Q191" s="6419" t="s">
        <v>46</v>
      </c>
      <c r="R191" s="6419"/>
      <c r="S191" s="6419" t="s">
        <v>47</v>
      </c>
      <c r="T191" s="6419"/>
      <c r="U191" s="6419" t="s">
        <v>48</v>
      </c>
      <c r="V191" s="6419"/>
      <c r="W191" s="6419" t="s">
        <v>49</v>
      </c>
      <c r="X191" s="6419"/>
      <c r="Y191" s="6419" t="s">
        <v>50</v>
      </c>
      <c r="Z191" s="6419"/>
      <c r="AA191" s="6419" t="s">
        <v>51</v>
      </c>
      <c r="AB191" s="6419"/>
      <c r="AC191" s="6419" t="s">
        <v>52</v>
      </c>
      <c r="AD191" s="6419"/>
      <c r="AE191" s="6419" t="s">
        <v>53</v>
      </c>
      <c r="AF191" s="6419"/>
      <c r="AG191" s="6419" t="s">
        <v>54</v>
      </c>
      <c r="AH191" s="6419"/>
      <c r="AI191" s="6419" t="s">
        <v>55</v>
      </c>
      <c r="AJ191" s="6419"/>
      <c r="AK191" s="6419" t="s">
        <v>56</v>
      </c>
      <c r="AL191" s="6419"/>
      <c r="AM191" s="6419" t="s">
        <v>57</v>
      </c>
      <c r="AN191" s="6544"/>
      <c r="AO191" s="6613" t="s">
        <v>453</v>
      </c>
      <c r="AP191" s="6615" t="s">
        <v>454</v>
      </c>
      <c r="AQ191" s="6544" t="s">
        <v>36</v>
      </c>
      <c r="AR191" s="6545"/>
      <c r="AS191" s="6454" t="s">
        <v>455</v>
      </c>
      <c r="AT191" s="6511" t="s">
        <v>456</v>
      </c>
      <c r="AU191" s="6544" t="s">
        <v>37</v>
      </c>
      <c r="AV191" s="6545"/>
      <c r="AW191" s="6411" t="s">
        <v>457</v>
      </c>
      <c r="AX191" s="6448" t="s">
        <v>846</v>
      </c>
      <c r="AY191" s="6458" t="s">
        <v>847</v>
      </c>
    </row>
    <row r="192" spans="1:95" ht="30" customHeight="1" x14ac:dyDescent="0.25">
      <c r="A192" s="5548"/>
      <c r="B192" s="6064"/>
      <c r="C192" s="6028"/>
      <c r="D192" s="626" t="s">
        <v>79</v>
      </c>
      <c r="E192" s="490" t="s">
        <v>58</v>
      </c>
      <c r="F192" s="627" t="s">
        <v>59</v>
      </c>
      <c r="G192" s="626" t="s">
        <v>58</v>
      </c>
      <c r="H192" s="627" t="s">
        <v>59</v>
      </c>
      <c r="I192" s="626" t="s">
        <v>58</v>
      </c>
      <c r="J192" s="627" t="s">
        <v>59</v>
      </c>
      <c r="K192" s="626" t="s">
        <v>58</v>
      </c>
      <c r="L192" s="627" t="s">
        <v>59</v>
      </c>
      <c r="M192" s="626" t="s">
        <v>58</v>
      </c>
      <c r="N192" s="627" t="s">
        <v>59</v>
      </c>
      <c r="O192" s="626" t="s">
        <v>58</v>
      </c>
      <c r="P192" s="627" t="s">
        <v>59</v>
      </c>
      <c r="Q192" s="626" t="s">
        <v>58</v>
      </c>
      <c r="R192" s="627" t="s">
        <v>59</v>
      </c>
      <c r="S192" s="626" t="s">
        <v>58</v>
      </c>
      <c r="T192" s="627" t="s">
        <v>59</v>
      </c>
      <c r="U192" s="626" t="s">
        <v>58</v>
      </c>
      <c r="V192" s="627" t="s">
        <v>59</v>
      </c>
      <c r="W192" s="626" t="s">
        <v>58</v>
      </c>
      <c r="X192" s="627" t="s">
        <v>59</v>
      </c>
      <c r="Y192" s="626" t="s">
        <v>58</v>
      </c>
      <c r="Z192" s="627" t="s">
        <v>59</v>
      </c>
      <c r="AA192" s="626" t="s">
        <v>58</v>
      </c>
      <c r="AB192" s="627" t="s">
        <v>59</v>
      </c>
      <c r="AC192" s="626" t="s">
        <v>58</v>
      </c>
      <c r="AD192" s="627" t="s">
        <v>59</v>
      </c>
      <c r="AE192" s="626" t="s">
        <v>58</v>
      </c>
      <c r="AF192" s="627" t="s">
        <v>59</v>
      </c>
      <c r="AG192" s="626" t="s">
        <v>58</v>
      </c>
      <c r="AH192" s="627" t="s">
        <v>59</v>
      </c>
      <c r="AI192" s="626" t="s">
        <v>58</v>
      </c>
      <c r="AJ192" s="627" t="s">
        <v>59</v>
      </c>
      <c r="AK192" s="626" t="s">
        <v>58</v>
      </c>
      <c r="AL192" s="627" t="s">
        <v>59</v>
      </c>
      <c r="AM192" s="626" t="s">
        <v>58</v>
      </c>
      <c r="AN192" s="628" t="s">
        <v>59</v>
      </c>
      <c r="AO192" s="6614"/>
      <c r="AP192" s="6616"/>
      <c r="AQ192" s="626" t="s">
        <v>58</v>
      </c>
      <c r="AR192" s="627" t="s">
        <v>59</v>
      </c>
      <c r="AS192" s="6103"/>
      <c r="AT192" s="6028"/>
      <c r="AU192" s="626" t="s">
        <v>58</v>
      </c>
      <c r="AV192" s="627" t="s">
        <v>59</v>
      </c>
      <c r="AW192" s="466" t="s">
        <v>462</v>
      </c>
      <c r="AX192" s="549" t="s">
        <v>463</v>
      </c>
      <c r="AY192" s="6024"/>
    </row>
    <row r="193" spans="1:104" s="6" customFormat="1" ht="18" customHeight="1" x14ac:dyDescent="0.2">
      <c r="A193" s="5677" t="s">
        <v>5051</v>
      </c>
      <c r="B193" s="6609" t="s">
        <v>848</v>
      </c>
      <c r="C193" s="6610"/>
      <c r="D193" s="5759" t="s">
        <v>4567</v>
      </c>
      <c r="E193" s="5760" t="s">
        <v>4568</v>
      </c>
      <c r="F193" s="5761" t="s">
        <v>4569</v>
      </c>
      <c r="G193" s="5683" t="s">
        <v>4570</v>
      </c>
      <c r="H193" s="5693" t="s">
        <v>4571</v>
      </c>
      <c r="I193" s="5683" t="s">
        <v>4572</v>
      </c>
      <c r="J193" s="5693" t="s">
        <v>4573</v>
      </c>
      <c r="K193" s="5683" t="s">
        <v>4574</v>
      </c>
      <c r="L193" s="5693" t="s">
        <v>4575</v>
      </c>
      <c r="M193" s="5683" t="s">
        <v>4576</v>
      </c>
      <c r="N193" s="5693" t="s">
        <v>4577</v>
      </c>
      <c r="O193" s="5683" t="s">
        <v>4578</v>
      </c>
      <c r="P193" s="5693" t="s">
        <v>4579</v>
      </c>
      <c r="Q193" s="5683" t="s">
        <v>4580</v>
      </c>
      <c r="R193" s="5693" t="s">
        <v>4581</v>
      </c>
      <c r="S193" s="5683" t="s">
        <v>4582</v>
      </c>
      <c r="T193" s="5693" t="s">
        <v>4583</v>
      </c>
      <c r="U193" s="5683" t="s">
        <v>4584</v>
      </c>
      <c r="V193" s="5693" t="s">
        <v>4585</v>
      </c>
      <c r="W193" s="5683" t="s">
        <v>4586</v>
      </c>
      <c r="X193" s="5693" t="s">
        <v>4587</v>
      </c>
      <c r="Y193" s="5683" t="s">
        <v>4588</v>
      </c>
      <c r="Z193" s="5693" t="s">
        <v>4589</v>
      </c>
      <c r="AA193" s="5683" t="s">
        <v>4590</v>
      </c>
      <c r="AB193" s="5693" t="s">
        <v>4591</v>
      </c>
      <c r="AC193" s="5683" t="s">
        <v>4592</v>
      </c>
      <c r="AD193" s="5693" t="s">
        <v>4593</v>
      </c>
      <c r="AE193" s="1737" t="s">
        <v>4594</v>
      </c>
      <c r="AF193" s="5693" t="s">
        <v>4595</v>
      </c>
      <c r="AG193" s="1737" t="s">
        <v>4596</v>
      </c>
      <c r="AH193" s="5693" t="s">
        <v>4597</v>
      </c>
      <c r="AI193" s="1737" t="s">
        <v>4598</v>
      </c>
      <c r="AJ193" s="5693" t="s">
        <v>4599</v>
      </c>
      <c r="AK193" s="1737" t="s">
        <v>4600</v>
      </c>
      <c r="AL193" s="5693" t="s">
        <v>4601</v>
      </c>
      <c r="AM193" s="1737" t="s">
        <v>4602</v>
      </c>
      <c r="AN193" s="66" t="s">
        <v>4603</v>
      </c>
      <c r="AO193" s="5698" t="s">
        <v>4604</v>
      </c>
      <c r="AP193" s="5693" t="s">
        <v>4605</v>
      </c>
      <c r="AQ193" s="1737" t="s">
        <v>4606</v>
      </c>
      <c r="AR193" s="5693" t="s">
        <v>4934</v>
      </c>
      <c r="AS193" s="5683" t="s">
        <v>4935</v>
      </c>
      <c r="AT193" s="5686" t="s">
        <v>4936</v>
      </c>
      <c r="AU193" s="5762" t="s">
        <v>4937</v>
      </c>
      <c r="AV193" s="5763" t="s">
        <v>5234</v>
      </c>
      <c r="AW193" s="5762" t="s">
        <v>5235</v>
      </c>
      <c r="AX193" s="5763" t="s">
        <v>5236</v>
      </c>
      <c r="AY193" s="5764" t="s">
        <v>5237</v>
      </c>
      <c r="AZ193" s="6" t="str">
        <f>CB193&amp;CC193&amp;CD193&amp;CE193&amp;CF193&amp;CG193&amp;CH193&amp;CI193&amp;CJ193&amp;CK193&amp;CL193</f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Mujeres.  * La variable Adolescentes derivados de Espacios Amigables No puede ser mayor al Total.</v>
      </c>
      <c r="CB193" s="135" t="str">
        <f>IF(AND(F193&gt;0,AO193=""), "* No olvide digitar la variable Gestantes. Digite Cero si no tiene.",IF(AO193&gt;F193,"  * La variable Gestantes No puede ser mayor al Total Mujeres.",""))</f>
        <v xml:space="preserve">  * La variable Gestantes No puede ser mayor al Total Mujeres.</v>
      </c>
      <c r="CC193" s="135" t="str">
        <f>IF(AND(F193&gt;0,AP193=""), "* No olvide digitar la variable Madre de hijo menor de 5 años. Digite Cero si no tiene.",IF(AP193&gt;F193,"  * La variable Madre de hijo menor de 5 años No puede ser mayor al Total de Mujeres.",""))</f>
        <v xml:space="preserve">  * La variable Madre de hijo menor de 5 años No puede ser mayor al Total de Mujeres.</v>
      </c>
      <c r="CD193" s="135" t="str">
        <f>IF(AND(E193&gt;0,OR(AQ193="")), "* No olvide digitar la variable Pueblos originarios - Hombres. Digite Cero si no tiene.",IF((AQ193)&gt;E193,"  * La variable Pueblos originarios - Hombres No puede ser mayor al Total Hombres.",""))</f>
        <v xml:space="preserve">  * La variable Pueblos originarios - Hombres No puede ser mayor al Total Hombres.</v>
      </c>
      <c r="CE193" s="135" t="str">
        <f>IF(AND(F193&gt;0,OR(AR193="")), "* No olvide digitar la variable Pueblos originarios - Mujeres. Digite Cero si no tiene.",IF((AR193)&gt;F193,"  * La variable Pueblos originarios - Mujeres No puede ser mayor al Total Mujeres.",""))</f>
        <v xml:space="preserve">  * La variable Pueblos originarios - Mujeres No puede ser mayor al Total Mujeres.</v>
      </c>
      <c r="CF193" s="135" t="str">
        <f>IF(AND($D193&gt;0,AS193=""), "* No olvide digitar la variable Niños, niñas, adolescentes y jóvenes SENAME. Digite Cero si no tiene.",IF(AS193&gt;$D193,"  * La variable Niños, niñas, adolescentes y jóvenes SENAME No puede ser mayor al Total.",""))</f>
        <v xml:space="preserve">  * La variable Niños, niñas, adolescentes y jóvenes SENAME No puede ser mayor al Total.</v>
      </c>
      <c r="CG193" s="135" t="str">
        <f>IF(AND(D193&gt;0,AT193=""), "* No olvide digitar la variable Niños, niñas, adolescentes y jóvenes Mejor Niñez. Digite Cero si no tiene.",IF(AT193&gt;D193,"  * La variable Niños, niñas, adolescentes y jóvenes Mejor Niñez No puede ser mayor al Total.",""))</f>
        <v xml:space="preserve">  * La variable Niños, niñas, adolescentes y jóvenes Mejor Niñez No puede ser mayor al Total.</v>
      </c>
      <c r="CH193" s="135" t="str">
        <f>IF(AND(E193&gt;0,OR(AU193="")), "* No olvide digitar la variable Migrantes - Hombres. Digite Cero si no tiene.",IF((AU193)&gt;E193,"  * La variable Migrantes - Hombres No puede ser mayor al Total Hombres.",""))</f>
        <v xml:space="preserve">  * La variable Migrantes - Hombres No puede ser mayor al Total Hombres.</v>
      </c>
      <c r="CI193" s="135" t="str">
        <f>IF(AND(F193&gt;0,OR(AV193="")), "* No olvide digitar la variable Migrantes - Mujeres. Digite Cero si no tiene.",IF((AV193)&gt;F193,"  * La variable Migrantes - Mujeres No puede ser mayor al Total Mujeres.",""))</f>
        <v xml:space="preserve">  * La variable Migrantes - Mujeres No puede ser mayor al Total Mujeres.</v>
      </c>
      <c r="CJ193" s="135" t="str">
        <f>IF(AND(F193&gt;0,OR(AW193="")), "* No olvide digitar la variable Trans Masculino. Digite Cero si no tiene.",IF((AW193)&gt;F193,"  * La variable Trans Masculino No puede ser mayor al Total Mujeres.",""))</f>
        <v xml:space="preserve">  * La variable Trans Masculino No puede ser mayor al Total Mujeres.</v>
      </c>
      <c r="CK193" s="135" t="str">
        <f>IF(AND(E193&gt;0,OR(AX193="")), "* No olvide digitar la variable Trans Femenino. Digite Cero si no tiene.",IF((AX193)&gt;E193,"  * La variable Trans Femenino No puede ser mayor al Total Mujeres.",""))</f>
        <v xml:space="preserve">  * La variable Trans Femenino No puede ser mayor al Total Mujeres.</v>
      </c>
      <c r="CL193" s="135" t="str">
        <f>IF(AND($D193&gt;0,AY193=""), "* No olvide digitar la variable Adolescentes derivados de Espacios Amigables. Digite Cero si no tiene.",IF(AY193&gt;$D193,"  * La variable Adolescentes derivados de Espacios Amigables No puede ser mayor al Total.",""))</f>
        <v xml:space="preserve">  * La variable Adolescentes derivados de Espacios Amigables No puede ser mayor al Total.</v>
      </c>
      <c r="CP193" s="55">
        <f>IF(AND(F193&gt;0,AO193=""),1,IF(AO193&gt;F193,1,0))</f>
        <v>1</v>
      </c>
      <c r="CQ193" s="55">
        <f>IF(AND(F193&gt;0,AP193=""),1,IF(AP193&gt;F193,1,0))</f>
        <v>1</v>
      </c>
      <c r="CR193" s="55">
        <f>IF(AND(E193&gt;0,OR(AQ193="")),1,IF((AQ193)&gt;E193,1,0))</f>
        <v>1</v>
      </c>
      <c r="CS193" s="55">
        <f>IF(AND(F193&gt;0,OR(AR193="")),1,IF((AR193)&gt;F193,1,0))</f>
        <v>1</v>
      </c>
      <c r="CT193" s="55">
        <f>IF(AND(D193&gt;0,AS193=""),1,IF(AS193&gt;D193,1,0))</f>
        <v>1</v>
      </c>
      <c r="CU193" s="55">
        <f>IF(AND(D193&gt;0,AT193=""),1,IF(AT193&gt;D193,1,0))</f>
        <v>1</v>
      </c>
      <c r="CV193" s="55">
        <f>IF(AND(E193&gt;0,OR(AU193="")),1,IF((AU193)&gt;E193,1,0))</f>
        <v>1</v>
      </c>
      <c r="CW193" s="55">
        <f>IF(AND(F193&gt;0,OR(AV193="")),1,IF((AV193)&gt;F193,1,0))</f>
        <v>1</v>
      </c>
      <c r="CX193" s="55">
        <f>IF(AND(F193&gt;0,OR(AW193="")),1,IF((AW193)&gt;F193,1,0))</f>
        <v>1</v>
      </c>
      <c r="CY193" s="55">
        <f>IF(AND(E193&gt;0,OR(AX193="")),1,IF((AX193)&gt;E193,1,0))</f>
        <v>1</v>
      </c>
      <c r="CZ193" s="55">
        <f>IF(AND(D193&gt;0,AY193=""),1,IF(AY193&gt;D193,1,0))</f>
        <v>1</v>
      </c>
    </row>
    <row r="194" spans="1:104" s="6" customFormat="1" ht="18" customHeight="1" x14ac:dyDescent="0.2">
      <c r="A194" s="5604"/>
      <c r="B194" s="6611" t="s">
        <v>849</v>
      </c>
      <c r="C194" s="6612"/>
      <c r="D194" s="634"/>
      <c r="E194" s="635"/>
      <c r="F194" s="635"/>
      <c r="G194" s="635"/>
      <c r="H194" s="635"/>
      <c r="I194" s="635"/>
      <c r="J194" s="635"/>
      <c r="K194" s="635"/>
      <c r="L194" s="635"/>
      <c r="M194" s="635"/>
      <c r="N194" s="635"/>
      <c r="O194" s="635"/>
      <c r="P194" s="635"/>
      <c r="Q194" s="635"/>
      <c r="R194" s="635"/>
      <c r="S194" s="635"/>
      <c r="T194" s="635"/>
      <c r="U194" s="635"/>
      <c r="V194" s="635"/>
      <c r="W194" s="635"/>
      <c r="X194" s="635"/>
      <c r="Y194" s="635"/>
      <c r="Z194" s="635"/>
      <c r="AA194" s="635"/>
      <c r="AB194" s="635"/>
      <c r="AC194" s="635"/>
      <c r="AD194" s="635"/>
      <c r="AE194" s="635"/>
      <c r="AF194" s="635"/>
      <c r="AG194" s="635"/>
      <c r="AH194" s="635"/>
      <c r="AI194" s="635"/>
      <c r="AJ194" s="635"/>
      <c r="AK194" s="635"/>
      <c r="AL194" s="635"/>
      <c r="AM194" s="635"/>
      <c r="AN194" s="635"/>
      <c r="AO194" s="635"/>
      <c r="AP194" s="635"/>
      <c r="AQ194" s="635"/>
      <c r="AR194" s="635"/>
      <c r="AS194" s="635"/>
      <c r="AT194" s="635"/>
      <c r="AU194" s="635"/>
      <c r="AV194" s="635"/>
      <c r="AW194" s="635"/>
      <c r="AX194" s="636"/>
      <c r="AY194" s="637"/>
    </row>
    <row r="195" spans="1:104" s="6" customFormat="1" ht="15" customHeight="1" x14ac:dyDescent="0.2">
      <c r="A195" s="5637" t="s">
        <v>5052</v>
      </c>
      <c r="B195" s="6453" t="s">
        <v>850</v>
      </c>
      <c r="C195" s="640" t="s">
        <v>851</v>
      </c>
      <c r="D195" s="638" t="s">
        <v>4567</v>
      </c>
      <c r="E195" s="639" t="s">
        <v>4568</v>
      </c>
      <c r="F195" s="640" t="s">
        <v>4569</v>
      </c>
      <c r="G195" s="473" t="s">
        <v>4570</v>
      </c>
      <c r="H195" s="566" t="s">
        <v>4571</v>
      </c>
      <c r="I195" s="473" t="s">
        <v>4572</v>
      </c>
      <c r="J195" s="566" t="s">
        <v>4573</v>
      </c>
      <c r="K195" s="473" t="s">
        <v>4574</v>
      </c>
      <c r="L195" s="566" t="s">
        <v>4575</v>
      </c>
      <c r="M195" s="473" t="s">
        <v>4576</v>
      </c>
      <c r="N195" s="566" t="s">
        <v>4577</v>
      </c>
      <c r="O195" s="473" t="s">
        <v>4578</v>
      </c>
      <c r="P195" s="566" t="s">
        <v>4579</v>
      </c>
      <c r="Q195" s="473" t="s">
        <v>4580</v>
      </c>
      <c r="R195" s="566" t="s">
        <v>4581</v>
      </c>
      <c r="S195" s="473" t="s">
        <v>4582</v>
      </c>
      <c r="T195" s="566" t="s">
        <v>4583</v>
      </c>
      <c r="U195" s="473" t="s">
        <v>4584</v>
      </c>
      <c r="V195" s="566" t="s">
        <v>4585</v>
      </c>
      <c r="W195" s="473" t="s">
        <v>4586</v>
      </c>
      <c r="X195" s="566" t="s">
        <v>4587</v>
      </c>
      <c r="Y195" s="473" t="s">
        <v>4588</v>
      </c>
      <c r="Z195" s="566" t="s">
        <v>4589</v>
      </c>
      <c r="AA195" s="473" t="s">
        <v>4590</v>
      </c>
      <c r="AB195" s="566" t="s">
        <v>4591</v>
      </c>
      <c r="AC195" s="473" t="s">
        <v>4592</v>
      </c>
      <c r="AD195" s="566" t="s">
        <v>4593</v>
      </c>
      <c r="AE195" s="473" t="s">
        <v>4594</v>
      </c>
      <c r="AF195" s="566" t="s">
        <v>4595</v>
      </c>
      <c r="AG195" s="473" t="s">
        <v>4596</v>
      </c>
      <c r="AH195" s="566" t="s">
        <v>4597</v>
      </c>
      <c r="AI195" s="473" t="s">
        <v>4598</v>
      </c>
      <c r="AJ195" s="566" t="s">
        <v>4599</v>
      </c>
      <c r="AK195" s="473" t="s">
        <v>4600</v>
      </c>
      <c r="AL195" s="566" t="s">
        <v>4601</v>
      </c>
      <c r="AM195" s="473" t="s">
        <v>4602</v>
      </c>
      <c r="AN195" s="552" t="s">
        <v>4603</v>
      </c>
      <c r="AO195" s="496" t="s">
        <v>4604</v>
      </c>
      <c r="AP195" s="474" t="s">
        <v>4605</v>
      </c>
      <c r="AQ195" s="473" t="s">
        <v>4606</v>
      </c>
      <c r="AR195" s="566" t="s">
        <v>4934</v>
      </c>
      <c r="AS195" s="473" t="s">
        <v>4935</v>
      </c>
      <c r="AT195" s="474" t="s">
        <v>4936</v>
      </c>
      <c r="AU195" s="552" t="s">
        <v>4937</v>
      </c>
      <c r="AV195" s="567" t="s">
        <v>5234</v>
      </c>
      <c r="AW195" s="552" t="s">
        <v>5235</v>
      </c>
      <c r="AX195" s="567" t="s">
        <v>5236</v>
      </c>
      <c r="AY195" s="566" t="s">
        <v>5237</v>
      </c>
      <c r="AZ195" s="6" t="str">
        <f t="shared" ref="AZ195:AZ241" si="117">CB195&amp;CC195&amp;CD195&amp;CE195&amp;CF195&amp;CG195&amp;CH195&amp;CI195&amp;CJ195&amp;CK195&amp;CL195</f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5" s="135" t="str">
        <f t="shared" ref="CB195:CB207" si="118">IF(AND(F195&gt;0,AO195=""), "* No olvide digitar la variable Gestantes. Digite Cero si no tiene.",IF(AO195&gt;F195,"  * La variable Gestantes No puede ser mayor al Total Mujeres.",""))</f>
        <v xml:space="preserve">  * La variable Gestantes No puede ser mayor al Total Mujeres.</v>
      </c>
      <c r="CC195" s="135" t="str">
        <f t="shared" ref="CC195:CC207" si="119">IF(AND(F195&gt;0,AP195=""), "* No olvide digitar la variable Madre de hijo menor de 5 años. Digite Cero si no tiene.",IF(AP195&gt;F195,"  * La variable Madre de hijo menor de 5 años No puede ser mayor al Total de Mujeres.",""))</f>
        <v xml:space="preserve">  * La variable Madre de hijo menor de 5 años No puede ser mayor al Total de Mujeres.</v>
      </c>
      <c r="CD195" s="135" t="str">
        <f t="shared" ref="CD195:CD207" si="120">IF(AND(E195&gt;0,OR(AQ195="")), "* No olvide digitar la variable Pueblos originarios - Hombres. Digite Cero si no tiene.",IF((AQ195)&gt;E195,"  * La variable Pueblos originarios - Hombres No puede ser mayor al Total Hombres.",""))</f>
        <v xml:space="preserve">  * La variable Pueblos originarios - Hombres No puede ser mayor al Total Hombres.</v>
      </c>
      <c r="CE195" s="135" t="str">
        <f t="shared" ref="CE195:CE207" si="121">IF(AND(F195&gt;0,OR(AR195="")), "* No olvide digitar la variable Pueblos originarios - Mujeres. Digite Cero si no tiene.",IF((AR195)&gt;F195,"  * La variable Pueblos originarios - Mujeres No puede ser mayor al Total Mujeres.",""))</f>
        <v xml:space="preserve">  * La variable Pueblos originarios - Mujeres No puede ser mayor al Total Mujeres.</v>
      </c>
      <c r="CF195" s="135" t="str">
        <f t="shared" ref="CF195:CF207" si="122">IF(AND($D195&gt;0,AS195=""), "* No olvide digitar la variable Niños, niñas, adolescentes y jóvenes SENAME. Digite Cero si no tiene.",IF(AS195&gt;$D195,"  * La variable Niños, niñas, adolescentes y jóvenes SENAME No puede ser mayor al Total.",""))</f>
        <v xml:space="preserve">  * La variable Niños, niñas, adolescentes y jóvenes SENAME No puede ser mayor al Total.</v>
      </c>
      <c r="CG195" s="135" t="str">
        <f t="shared" ref="CG195:CG207" si="123">IF(AND(D195&gt;0,AT195=""), "* No olvide digitar la variable Niños, niñas, adolescentes y jóvenes Mejor Niñez. Digite Cero si no tiene.",IF(AT195&gt;D195,"  * La variable Niños, niñas, adolescentes y jóvenes Mejor Niñez No puede ser mayor al Total.",""))</f>
        <v xml:space="preserve">  * La variable Niños, niñas, adolescentes y jóvenes Mejor Niñez No puede ser mayor al Total.</v>
      </c>
      <c r="CH195" s="135" t="str">
        <f>IF(AND(E195&gt;0,OR(AU195="")), "* No olvide digitar la variable Migrantes - Hombres. Digite Cero si no tiene.",IF((AU195)&gt;E195,"  * La variable Migrantes - Hombres No puede ser mayor al Total Hombres.",""))</f>
        <v xml:space="preserve">  * La variable Migrantes - Hombres No puede ser mayor al Total Hombres.</v>
      </c>
      <c r="CI195" s="135" t="str">
        <f t="shared" ref="CI195:CI207" si="124">IF(AND(F195&gt;0,OR(AV195="")), "* No olvide digitar la variable Migrantes - Mujeres. Digite Cero si no tiene.",IF((AV195)&gt;F195,"  * La variable Migrantes - Mujeres No puede ser mayor al Total Mujeres.",""))</f>
        <v xml:space="preserve">  * La variable Migrantes - Mujeres No puede ser mayor al Total Mujeres.</v>
      </c>
      <c r="CJ195" s="135" t="str">
        <f>IF(AND(F195&gt;0,OR(AW195="")), "* No olvide digitar la variable Trans Masculino. Digite Cero si no tiene.",IF((AW195)&gt;F195,"  * La variable Trans Masculino No puede ser mayor al Total Mujeres.",""))</f>
        <v xml:space="preserve">  * La variable Trans Masculino No puede ser mayor al Total Mujeres.</v>
      </c>
      <c r="CK195" s="135" t="str">
        <f>IF(AND(E195&gt;0,OR(AX195="")), "* No olvide digitar la variable Trans Femenino. Digite Cero si no tiene.",IF((AX195)&gt;E195,"  * La variable Trans Femenino No puede ser mayor al Total Hombres.",""))</f>
        <v xml:space="preserve">  * La variable Trans Femenino No puede ser mayor al Total Hombres.</v>
      </c>
      <c r="CL195" s="135" t="str">
        <f t="shared" ref="CL195:CL207" si="125">IF(AND($D195&gt;0,AY195=""), "* No olvide digitar la variable Adolescentes derivados de Espacios Amigables. Digite Cero si no tiene.",IF(AY195&gt;$D195,"  * La variable Adolescentes derivados de Espacios Amigables No puede ser mayor al Total.",""))</f>
        <v xml:space="preserve">  * La variable Adolescentes derivados de Espacios Amigables No puede ser mayor al Total.</v>
      </c>
      <c r="CP195" s="55">
        <f t="shared" ref="CP195:CP207" si="126">IF(AND(F195&gt;0,AO195=""),1,IF(AO195&gt;F195,1,0))</f>
        <v>1</v>
      </c>
      <c r="CQ195" s="55">
        <f t="shared" ref="CQ195:CQ207" si="127">IF(AND(F195&gt;0,AP195=""),1,IF(AP195&gt;F195,1,0))</f>
        <v>1</v>
      </c>
      <c r="CR195" s="55">
        <f t="shared" ref="CR195:CR207" si="128">IF(AND(E195&gt;0,OR(AQ195="")),1,IF((AQ195)&gt;E195,1,0))</f>
        <v>1</v>
      </c>
      <c r="CS195" s="55">
        <f t="shared" ref="CS195:CS207" si="129">IF(AND(F195&gt;0,OR(AR195="")),1,IF((AR195)&gt;F195,1,0))</f>
        <v>1</v>
      </c>
      <c r="CT195" s="55">
        <f t="shared" ref="CT195:CT207" si="130">IF(AND(D195&gt;0,AS195=""),1,IF(AS195&gt;D195,1,0))</f>
        <v>1</v>
      </c>
      <c r="CU195" s="55">
        <f t="shared" ref="CU195:CU207" si="131">IF(AND(D195&gt;0,AT195=""),1,IF(AT195&gt;D195,1,0))</f>
        <v>1</v>
      </c>
      <c r="CV195" s="55">
        <f t="shared" ref="CV195:CV207" si="132">IF(AND(E195&gt;0,OR(AU195="")),1,IF((AU195)&gt;E195,1,0))</f>
        <v>1</v>
      </c>
      <c r="CW195" s="55">
        <f t="shared" ref="CW195:CW207" si="133">IF(AND(F195&gt;0,OR(AV195="")),1,IF((AV195)&gt;F195,1,0))</f>
        <v>1</v>
      </c>
      <c r="CX195" s="55">
        <f t="shared" ref="CX195:CX207" si="134">IF(AND(F195&gt;0,OR(AW195="")),1,IF((AW195)&gt;F195,1,0))</f>
        <v>1</v>
      </c>
      <c r="CY195" s="55">
        <f t="shared" ref="CY195:CY207" si="135">IF(AND(E195&gt;0,OR(AX195="")),1,IF((AX195)&gt;E195,1,0))</f>
        <v>1</v>
      </c>
      <c r="CZ195" s="55">
        <f t="shared" ref="CZ195:CZ241" si="136">IF(AND(D195&gt;0,AY195=""),1,IF(AY195&gt;D195,1,0))</f>
        <v>1</v>
      </c>
    </row>
    <row r="196" spans="1:104" s="6" customFormat="1" ht="15" customHeight="1" x14ac:dyDescent="0.2">
      <c r="A196" s="5637" t="s">
        <v>5053</v>
      </c>
      <c r="B196" s="6059"/>
      <c r="C196" s="386" t="s">
        <v>852</v>
      </c>
      <c r="D196" s="308" t="s">
        <v>4567</v>
      </c>
      <c r="E196" s="641" t="s">
        <v>4568</v>
      </c>
      <c r="F196" s="108" t="s">
        <v>4569</v>
      </c>
      <c r="G196" s="290" t="s">
        <v>4570</v>
      </c>
      <c r="H196" s="107" t="s">
        <v>4571</v>
      </c>
      <c r="I196" s="290" t="s">
        <v>4572</v>
      </c>
      <c r="J196" s="107" t="s">
        <v>4573</v>
      </c>
      <c r="K196" s="290" t="s">
        <v>4574</v>
      </c>
      <c r="L196" s="107" t="s">
        <v>4575</v>
      </c>
      <c r="M196" s="290" t="s">
        <v>4576</v>
      </c>
      <c r="N196" s="107" t="s">
        <v>4577</v>
      </c>
      <c r="O196" s="290" t="s">
        <v>4578</v>
      </c>
      <c r="P196" s="107" t="s">
        <v>4579</v>
      </c>
      <c r="Q196" s="290" t="s">
        <v>4580</v>
      </c>
      <c r="R196" s="107" t="s">
        <v>4581</v>
      </c>
      <c r="S196" s="290" t="s">
        <v>4582</v>
      </c>
      <c r="T196" s="107" t="s">
        <v>4583</v>
      </c>
      <c r="U196" s="290" t="s">
        <v>4584</v>
      </c>
      <c r="V196" s="107" t="s">
        <v>4585</v>
      </c>
      <c r="W196" s="290" t="s">
        <v>4586</v>
      </c>
      <c r="X196" s="107" t="s">
        <v>4587</v>
      </c>
      <c r="Y196" s="290" t="s">
        <v>4588</v>
      </c>
      <c r="Z196" s="107" t="s">
        <v>4589</v>
      </c>
      <c r="AA196" s="290" t="s">
        <v>4590</v>
      </c>
      <c r="AB196" s="107" t="s">
        <v>4591</v>
      </c>
      <c r="AC196" s="290" t="s">
        <v>4592</v>
      </c>
      <c r="AD196" s="107" t="s">
        <v>4593</v>
      </c>
      <c r="AE196" s="290" t="s">
        <v>4594</v>
      </c>
      <c r="AF196" s="107" t="s">
        <v>4595</v>
      </c>
      <c r="AG196" s="290" t="s">
        <v>4596</v>
      </c>
      <c r="AH196" s="107" t="s">
        <v>4597</v>
      </c>
      <c r="AI196" s="290" t="s">
        <v>4598</v>
      </c>
      <c r="AJ196" s="107" t="s">
        <v>4599</v>
      </c>
      <c r="AK196" s="290" t="s">
        <v>4600</v>
      </c>
      <c r="AL196" s="107" t="s">
        <v>4601</v>
      </c>
      <c r="AM196" s="290" t="s">
        <v>4602</v>
      </c>
      <c r="AN196" s="65" t="s">
        <v>4603</v>
      </c>
      <c r="AO196" s="296" t="s">
        <v>4604</v>
      </c>
      <c r="AP196" s="107" t="s">
        <v>4605</v>
      </c>
      <c r="AQ196" s="290" t="s">
        <v>4606</v>
      </c>
      <c r="AR196" s="107" t="s">
        <v>4934</v>
      </c>
      <c r="AS196" s="290" t="s">
        <v>4935</v>
      </c>
      <c r="AT196" s="107" t="s">
        <v>4936</v>
      </c>
      <c r="AU196" s="65" t="s">
        <v>4937</v>
      </c>
      <c r="AV196" s="622" t="s">
        <v>5234</v>
      </c>
      <c r="AW196" s="65" t="s">
        <v>5235</v>
      </c>
      <c r="AX196" s="622" t="s">
        <v>5236</v>
      </c>
      <c r="AY196" s="107" t="s">
        <v>5237</v>
      </c>
      <c r="AZ196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6" s="135" t="str">
        <f t="shared" si="118"/>
        <v xml:space="preserve">  * La variable Gestantes No puede ser mayor al Total Mujeres.</v>
      </c>
      <c r="CC196" s="135" t="str">
        <f t="shared" si="119"/>
        <v xml:space="preserve">  * La variable Madre de hijo menor de 5 años No puede ser mayor al Total de Mujeres.</v>
      </c>
      <c r="CD196" s="135" t="str">
        <f t="shared" si="120"/>
        <v xml:space="preserve">  * La variable Pueblos originarios - Hombres No puede ser mayor al Total Hombres.</v>
      </c>
      <c r="CE196" s="135" t="str">
        <f t="shared" si="121"/>
        <v xml:space="preserve">  * La variable Pueblos originarios - Mujeres No puede ser mayor al Total Mujeres.</v>
      </c>
      <c r="CF196" s="135" t="str">
        <f t="shared" si="122"/>
        <v xml:space="preserve">  * La variable Niños, niñas, adolescentes y jóvenes SENAME No puede ser mayor al Total.</v>
      </c>
      <c r="CG196" s="135" t="str">
        <f t="shared" si="123"/>
        <v xml:space="preserve">  * La variable Niños, niñas, adolescentes y jóvenes Mejor Niñez No puede ser mayor al Total.</v>
      </c>
      <c r="CH196" s="135" t="str">
        <f t="shared" ref="CH196:CH241" si="137">IF(AND(E196&gt;0,OR(AU196="")), "* No olvide digitar la variable Migrantes - Hombres. Digite Cero si no tiene.",IF((AU196)&gt;E196,"  * La variable Migrantes - Hombres No puede ser mayor al Total Hombres.",""))</f>
        <v xml:space="preserve">  * La variable Migrantes - Hombres No puede ser mayor al Total Hombres.</v>
      </c>
      <c r="CI196" s="135" t="str">
        <f t="shared" si="124"/>
        <v xml:space="preserve">  * La variable Migrantes - Mujeres No puede ser mayor al Total Mujeres.</v>
      </c>
      <c r="CJ196" s="135" t="str">
        <f t="shared" ref="CJ196:CJ208" si="138">IF(AND(F196&gt;0,OR(AW196="")), "* No olvide digitar la variable Trans Masculino. Digite Cero si no tiene.",IF((AW196)&gt;F196,"  * La variable Trans Masculino No puede ser mayor al Total Mujeres.",""))</f>
        <v xml:space="preserve">  * La variable Trans Masculino No puede ser mayor al Total Mujeres.</v>
      </c>
      <c r="CK196" s="135" t="str">
        <f t="shared" ref="CK196:CK207" si="139">IF(AND(E196&gt;0,OR(AX196="")), "* No olvide digitar la variable Trans Femenino. Digite Cero si no tiene.",IF((AX196)&gt;E196,"  * La variable Trans Femenino No puede ser mayor al Total Hombres.",""))</f>
        <v xml:space="preserve">  * La variable Trans Femenino No puede ser mayor al Total Hombres.</v>
      </c>
      <c r="CL196" s="135" t="str">
        <f t="shared" si="125"/>
        <v xml:space="preserve">  * La variable Adolescentes derivados de Espacios Amigables No puede ser mayor al Total.</v>
      </c>
      <c r="CP196" s="55">
        <f t="shared" si="126"/>
        <v>1</v>
      </c>
      <c r="CQ196" s="55">
        <f t="shared" si="127"/>
        <v>1</v>
      </c>
      <c r="CR196" s="55">
        <f t="shared" si="128"/>
        <v>1</v>
      </c>
      <c r="CS196" s="55">
        <f t="shared" si="129"/>
        <v>1</v>
      </c>
      <c r="CT196" s="55">
        <f t="shared" si="130"/>
        <v>1</v>
      </c>
      <c r="CU196" s="55">
        <f t="shared" si="131"/>
        <v>1</v>
      </c>
      <c r="CV196" s="55">
        <f t="shared" si="132"/>
        <v>1</v>
      </c>
      <c r="CW196" s="55">
        <f t="shared" si="133"/>
        <v>1</v>
      </c>
      <c r="CX196" s="55">
        <f t="shared" si="134"/>
        <v>1</v>
      </c>
      <c r="CY196" s="55">
        <f t="shared" si="135"/>
        <v>1</v>
      </c>
      <c r="CZ196" s="55">
        <f t="shared" si="136"/>
        <v>1</v>
      </c>
    </row>
    <row r="197" spans="1:104" s="6" customFormat="1" ht="15" customHeight="1" x14ac:dyDescent="0.2">
      <c r="A197" s="5637" t="s">
        <v>5054</v>
      </c>
      <c r="B197" s="6453" t="s">
        <v>853</v>
      </c>
      <c r="C197" s="640" t="s">
        <v>851</v>
      </c>
      <c r="D197" s="638" t="s">
        <v>4567</v>
      </c>
      <c r="E197" s="639" t="s">
        <v>4568</v>
      </c>
      <c r="F197" s="640" t="s">
        <v>4569</v>
      </c>
      <c r="G197" s="473" t="s">
        <v>4570</v>
      </c>
      <c r="H197" s="566" t="s">
        <v>4571</v>
      </c>
      <c r="I197" s="473" t="s">
        <v>4572</v>
      </c>
      <c r="J197" s="566" t="s">
        <v>4573</v>
      </c>
      <c r="K197" s="473" t="s">
        <v>4574</v>
      </c>
      <c r="L197" s="566" t="s">
        <v>4575</v>
      </c>
      <c r="M197" s="473" t="s">
        <v>4576</v>
      </c>
      <c r="N197" s="566" t="s">
        <v>4577</v>
      </c>
      <c r="O197" s="473" t="s">
        <v>4578</v>
      </c>
      <c r="P197" s="566" t="s">
        <v>4579</v>
      </c>
      <c r="Q197" s="473" t="s">
        <v>4580</v>
      </c>
      <c r="R197" s="566" t="s">
        <v>4581</v>
      </c>
      <c r="S197" s="473" t="s">
        <v>4582</v>
      </c>
      <c r="T197" s="566" t="s">
        <v>4583</v>
      </c>
      <c r="U197" s="473" t="s">
        <v>4584</v>
      </c>
      <c r="V197" s="566" t="s">
        <v>4585</v>
      </c>
      <c r="W197" s="473" t="s">
        <v>4586</v>
      </c>
      <c r="X197" s="566" t="s">
        <v>4587</v>
      </c>
      <c r="Y197" s="473" t="s">
        <v>4588</v>
      </c>
      <c r="Z197" s="566" t="s">
        <v>4589</v>
      </c>
      <c r="AA197" s="473" t="s">
        <v>4590</v>
      </c>
      <c r="AB197" s="566" t="s">
        <v>4591</v>
      </c>
      <c r="AC197" s="473" t="s">
        <v>4592</v>
      </c>
      <c r="AD197" s="566" t="s">
        <v>4593</v>
      </c>
      <c r="AE197" s="473" t="s">
        <v>4594</v>
      </c>
      <c r="AF197" s="566" t="s">
        <v>4595</v>
      </c>
      <c r="AG197" s="473" t="s">
        <v>4596</v>
      </c>
      <c r="AH197" s="566" t="s">
        <v>4597</v>
      </c>
      <c r="AI197" s="473" t="s">
        <v>4598</v>
      </c>
      <c r="AJ197" s="566" t="s">
        <v>4599</v>
      </c>
      <c r="AK197" s="473" t="s">
        <v>4600</v>
      </c>
      <c r="AL197" s="566" t="s">
        <v>4601</v>
      </c>
      <c r="AM197" s="473" t="s">
        <v>4602</v>
      </c>
      <c r="AN197" s="552" t="s">
        <v>4603</v>
      </c>
      <c r="AO197" s="496" t="s">
        <v>4604</v>
      </c>
      <c r="AP197" s="474" t="s">
        <v>4605</v>
      </c>
      <c r="AQ197" s="473" t="s">
        <v>4606</v>
      </c>
      <c r="AR197" s="566" t="s">
        <v>4934</v>
      </c>
      <c r="AS197" s="473" t="s">
        <v>4935</v>
      </c>
      <c r="AT197" s="474" t="s">
        <v>4936</v>
      </c>
      <c r="AU197" s="552" t="s">
        <v>4937</v>
      </c>
      <c r="AV197" s="567" t="s">
        <v>5234</v>
      </c>
      <c r="AW197" s="552" t="s">
        <v>5235</v>
      </c>
      <c r="AX197" s="567" t="s">
        <v>5236</v>
      </c>
      <c r="AY197" s="566" t="s">
        <v>5237</v>
      </c>
      <c r="AZ197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7" s="135" t="str">
        <f t="shared" si="118"/>
        <v xml:space="preserve">  * La variable Gestantes No puede ser mayor al Total Mujeres.</v>
      </c>
      <c r="CC197" s="135" t="str">
        <f t="shared" si="119"/>
        <v xml:space="preserve">  * La variable Madre de hijo menor de 5 años No puede ser mayor al Total de Mujeres.</v>
      </c>
      <c r="CD197" s="135" t="str">
        <f t="shared" si="120"/>
        <v xml:space="preserve">  * La variable Pueblos originarios - Hombres No puede ser mayor al Total Hombres.</v>
      </c>
      <c r="CE197" s="135" t="str">
        <f t="shared" si="121"/>
        <v xml:space="preserve">  * La variable Pueblos originarios - Mujeres No puede ser mayor al Total Mujeres.</v>
      </c>
      <c r="CF197" s="135" t="str">
        <f t="shared" si="122"/>
        <v xml:space="preserve">  * La variable Niños, niñas, adolescentes y jóvenes SENAME No puede ser mayor al Total.</v>
      </c>
      <c r="CG197" s="135" t="str">
        <f t="shared" si="123"/>
        <v xml:space="preserve">  * La variable Niños, niñas, adolescentes y jóvenes Mejor Niñez No puede ser mayor al Total.</v>
      </c>
      <c r="CH197" s="135" t="str">
        <f t="shared" si="137"/>
        <v xml:space="preserve">  * La variable Migrantes - Hombres No puede ser mayor al Total Hombres.</v>
      </c>
      <c r="CI197" s="135" t="str">
        <f t="shared" si="124"/>
        <v xml:space="preserve">  * La variable Migrantes - Mujeres No puede ser mayor al Total Mujeres.</v>
      </c>
      <c r="CJ197" s="135" t="str">
        <f t="shared" si="138"/>
        <v xml:space="preserve">  * La variable Trans Masculino No puede ser mayor al Total Mujeres.</v>
      </c>
      <c r="CK197" s="135" t="str">
        <f t="shared" si="139"/>
        <v xml:space="preserve">  * La variable Trans Femenino No puede ser mayor al Total Hombres.</v>
      </c>
      <c r="CL197" s="135" t="str">
        <f t="shared" si="125"/>
        <v xml:space="preserve">  * La variable Adolescentes derivados de Espacios Amigables No puede ser mayor al Total.</v>
      </c>
      <c r="CP197" s="55">
        <f t="shared" si="126"/>
        <v>1</v>
      </c>
      <c r="CQ197" s="55">
        <f t="shared" si="127"/>
        <v>1</v>
      </c>
      <c r="CR197" s="55">
        <f t="shared" si="128"/>
        <v>1</v>
      </c>
      <c r="CS197" s="55">
        <f t="shared" si="129"/>
        <v>1</v>
      </c>
      <c r="CT197" s="55">
        <f t="shared" si="130"/>
        <v>1</v>
      </c>
      <c r="CU197" s="55">
        <f t="shared" si="131"/>
        <v>1</v>
      </c>
      <c r="CV197" s="55">
        <f t="shared" si="132"/>
        <v>1</v>
      </c>
      <c r="CW197" s="55">
        <f t="shared" si="133"/>
        <v>1</v>
      </c>
      <c r="CX197" s="55">
        <f t="shared" si="134"/>
        <v>1</v>
      </c>
      <c r="CY197" s="55">
        <f t="shared" si="135"/>
        <v>1</v>
      </c>
      <c r="CZ197" s="55">
        <f t="shared" si="136"/>
        <v>1</v>
      </c>
    </row>
    <row r="198" spans="1:104" s="6" customFormat="1" ht="15" customHeight="1" x14ac:dyDescent="0.2">
      <c r="A198" s="5637" t="s">
        <v>5055</v>
      </c>
      <c r="B198" s="6059"/>
      <c r="C198" s="386" t="s">
        <v>852</v>
      </c>
      <c r="D198" s="308" t="s">
        <v>4567</v>
      </c>
      <c r="E198" s="641" t="s">
        <v>4568</v>
      </c>
      <c r="F198" s="108" t="s">
        <v>4569</v>
      </c>
      <c r="G198" s="290" t="s">
        <v>4570</v>
      </c>
      <c r="H198" s="107" t="s">
        <v>4571</v>
      </c>
      <c r="I198" s="290" t="s">
        <v>4572</v>
      </c>
      <c r="J198" s="107" t="s">
        <v>4573</v>
      </c>
      <c r="K198" s="290" t="s">
        <v>4574</v>
      </c>
      <c r="L198" s="107" t="s">
        <v>4575</v>
      </c>
      <c r="M198" s="290" t="s">
        <v>4576</v>
      </c>
      <c r="N198" s="107" t="s">
        <v>4577</v>
      </c>
      <c r="O198" s="290" t="s">
        <v>4578</v>
      </c>
      <c r="P198" s="107" t="s">
        <v>4579</v>
      </c>
      <c r="Q198" s="290" t="s">
        <v>4580</v>
      </c>
      <c r="R198" s="107" t="s">
        <v>4581</v>
      </c>
      <c r="S198" s="290" t="s">
        <v>4582</v>
      </c>
      <c r="T198" s="107" t="s">
        <v>4583</v>
      </c>
      <c r="U198" s="290" t="s">
        <v>4584</v>
      </c>
      <c r="V198" s="107" t="s">
        <v>4585</v>
      </c>
      <c r="W198" s="290" t="s">
        <v>4586</v>
      </c>
      <c r="X198" s="107" t="s">
        <v>4587</v>
      </c>
      <c r="Y198" s="290" t="s">
        <v>4588</v>
      </c>
      <c r="Z198" s="107" t="s">
        <v>4589</v>
      </c>
      <c r="AA198" s="290" t="s">
        <v>4590</v>
      </c>
      <c r="AB198" s="107" t="s">
        <v>4591</v>
      </c>
      <c r="AC198" s="290" t="s">
        <v>4592</v>
      </c>
      <c r="AD198" s="107" t="s">
        <v>4593</v>
      </c>
      <c r="AE198" s="290" t="s">
        <v>4594</v>
      </c>
      <c r="AF198" s="107" t="s">
        <v>4595</v>
      </c>
      <c r="AG198" s="290" t="s">
        <v>4596</v>
      </c>
      <c r="AH198" s="107" t="s">
        <v>4597</v>
      </c>
      <c r="AI198" s="290" t="s">
        <v>4598</v>
      </c>
      <c r="AJ198" s="107" t="s">
        <v>4599</v>
      </c>
      <c r="AK198" s="290" t="s">
        <v>4600</v>
      </c>
      <c r="AL198" s="107" t="s">
        <v>4601</v>
      </c>
      <c r="AM198" s="290" t="s">
        <v>4602</v>
      </c>
      <c r="AN198" s="65" t="s">
        <v>4603</v>
      </c>
      <c r="AO198" s="296" t="s">
        <v>4604</v>
      </c>
      <c r="AP198" s="107" t="s">
        <v>4605</v>
      </c>
      <c r="AQ198" s="290" t="s">
        <v>4606</v>
      </c>
      <c r="AR198" s="107" t="s">
        <v>4934</v>
      </c>
      <c r="AS198" s="290" t="s">
        <v>4935</v>
      </c>
      <c r="AT198" s="107" t="s">
        <v>4936</v>
      </c>
      <c r="AU198" s="65" t="s">
        <v>4937</v>
      </c>
      <c r="AV198" s="622" t="s">
        <v>5234</v>
      </c>
      <c r="AW198" s="65" t="s">
        <v>5235</v>
      </c>
      <c r="AX198" s="622" t="s">
        <v>5236</v>
      </c>
      <c r="AY198" s="107" t="s">
        <v>5237</v>
      </c>
      <c r="AZ198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8" s="135" t="str">
        <f t="shared" si="118"/>
        <v xml:space="preserve">  * La variable Gestantes No puede ser mayor al Total Mujeres.</v>
      </c>
      <c r="CC198" s="135" t="str">
        <f t="shared" si="119"/>
        <v xml:space="preserve">  * La variable Madre de hijo menor de 5 años No puede ser mayor al Total de Mujeres.</v>
      </c>
      <c r="CD198" s="135" t="str">
        <f t="shared" si="120"/>
        <v xml:space="preserve">  * La variable Pueblos originarios - Hombres No puede ser mayor al Total Hombres.</v>
      </c>
      <c r="CE198" s="135" t="str">
        <f t="shared" si="121"/>
        <v xml:space="preserve">  * La variable Pueblos originarios - Mujeres No puede ser mayor al Total Mujeres.</v>
      </c>
      <c r="CF198" s="135" t="str">
        <f t="shared" si="122"/>
        <v xml:space="preserve">  * La variable Niños, niñas, adolescentes y jóvenes SENAME No puede ser mayor al Total.</v>
      </c>
      <c r="CG198" s="135" t="str">
        <f t="shared" si="123"/>
        <v xml:space="preserve">  * La variable Niños, niñas, adolescentes y jóvenes Mejor Niñez No puede ser mayor al Total.</v>
      </c>
      <c r="CH198" s="135" t="str">
        <f t="shared" si="137"/>
        <v xml:space="preserve">  * La variable Migrantes - Hombres No puede ser mayor al Total Hombres.</v>
      </c>
      <c r="CI198" s="135" t="str">
        <f t="shared" si="124"/>
        <v xml:space="preserve">  * La variable Migrantes - Mujeres No puede ser mayor al Total Mujeres.</v>
      </c>
      <c r="CJ198" s="135" t="str">
        <f t="shared" si="138"/>
        <v xml:space="preserve">  * La variable Trans Masculino No puede ser mayor al Total Mujeres.</v>
      </c>
      <c r="CK198" s="135" t="str">
        <f t="shared" si="139"/>
        <v xml:space="preserve">  * La variable Trans Femenino No puede ser mayor al Total Hombres.</v>
      </c>
      <c r="CL198" s="135" t="str">
        <f t="shared" si="125"/>
        <v xml:space="preserve">  * La variable Adolescentes derivados de Espacios Amigables No puede ser mayor al Total.</v>
      </c>
      <c r="CP198" s="55">
        <f t="shared" si="126"/>
        <v>1</v>
      </c>
      <c r="CQ198" s="55">
        <f t="shared" si="127"/>
        <v>1</v>
      </c>
      <c r="CR198" s="55">
        <f t="shared" si="128"/>
        <v>1</v>
      </c>
      <c r="CS198" s="55">
        <f t="shared" si="129"/>
        <v>1</v>
      </c>
      <c r="CT198" s="55">
        <f t="shared" si="130"/>
        <v>1</v>
      </c>
      <c r="CU198" s="55">
        <f t="shared" si="131"/>
        <v>1</v>
      </c>
      <c r="CV198" s="55">
        <f t="shared" si="132"/>
        <v>1</v>
      </c>
      <c r="CW198" s="55">
        <f t="shared" si="133"/>
        <v>1</v>
      </c>
      <c r="CX198" s="55">
        <f t="shared" si="134"/>
        <v>1</v>
      </c>
      <c r="CY198" s="55">
        <f t="shared" si="135"/>
        <v>1</v>
      </c>
      <c r="CZ198" s="55">
        <f t="shared" si="136"/>
        <v>1</v>
      </c>
    </row>
    <row r="199" spans="1:104" ht="15" customHeight="1" x14ac:dyDescent="0.25">
      <c r="A199" s="5637" t="s">
        <v>5056</v>
      </c>
      <c r="B199" s="6453" t="s">
        <v>854</v>
      </c>
      <c r="C199" s="640" t="s">
        <v>851</v>
      </c>
      <c r="D199" s="638" t="s">
        <v>4567</v>
      </c>
      <c r="E199" s="639" t="s">
        <v>4568</v>
      </c>
      <c r="F199" s="640" t="s">
        <v>4569</v>
      </c>
      <c r="G199" s="473" t="s">
        <v>4570</v>
      </c>
      <c r="H199" s="566" t="s">
        <v>4571</v>
      </c>
      <c r="I199" s="473" t="s">
        <v>4572</v>
      </c>
      <c r="J199" s="566" t="s">
        <v>4573</v>
      </c>
      <c r="K199" s="473" t="s">
        <v>4574</v>
      </c>
      <c r="L199" s="566" t="s">
        <v>4575</v>
      </c>
      <c r="M199" s="473" t="s">
        <v>4576</v>
      </c>
      <c r="N199" s="566" t="s">
        <v>4577</v>
      </c>
      <c r="O199" s="473" t="s">
        <v>4578</v>
      </c>
      <c r="P199" s="566" t="s">
        <v>4579</v>
      </c>
      <c r="Q199" s="473" t="s">
        <v>4580</v>
      </c>
      <c r="R199" s="566" t="s">
        <v>4581</v>
      </c>
      <c r="S199" s="473" t="s">
        <v>4582</v>
      </c>
      <c r="T199" s="566" t="s">
        <v>4583</v>
      </c>
      <c r="U199" s="473" t="s">
        <v>4584</v>
      </c>
      <c r="V199" s="566" t="s">
        <v>4585</v>
      </c>
      <c r="W199" s="473" t="s">
        <v>4586</v>
      </c>
      <c r="X199" s="566" t="s">
        <v>4587</v>
      </c>
      <c r="Y199" s="473" t="s">
        <v>4588</v>
      </c>
      <c r="Z199" s="566" t="s">
        <v>4589</v>
      </c>
      <c r="AA199" s="473" t="s">
        <v>4590</v>
      </c>
      <c r="AB199" s="566" t="s">
        <v>4591</v>
      </c>
      <c r="AC199" s="473" t="s">
        <v>4592</v>
      </c>
      <c r="AD199" s="566" t="s">
        <v>4593</v>
      </c>
      <c r="AE199" s="473" t="s">
        <v>4594</v>
      </c>
      <c r="AF199" s="566" t="s">
        <v>4595</v>
      </c>
      <c r="AG199" s="473" t="s">
        <v>4596</v>
      </c>
      <c r="AH199" s="566" t="s">
        <v>4597</v>
      </c>
      <c r="AI199" s="473" t="s">
        <v>4598</v>
      </c>
      <c r="AJ199" s="566" t="s">
        <v>4599</v>
      </c>
      <c r="AK199" s="473" t="s">
        <v>4600</v>
      </c>
      <c r="AL199" s="566" t="s">
        <v>4601</v>
      </c>
      <c r="AM199" s="473" t="s">
        <v>4602</v>
      </c>
      <c r="AN199" s="552" t="s">
        <v>4603</v>
      </c>
      <c r="AO199" s="496" t="s">
        <v>4604</v>
      </c>
      <c r="AP199" s="474" t="s">
        <v>4605</v>
      </c>
      <c r="AQ199" s="473" t="s">
        <v>4606</v>
      </c>
      <c r="AR199" s="566" t="s">
        <v>4934</v>
      </c>
      <c r="AS199" s="473" t="s">
        <v>4935</v>
      </c>
      <c r="AT199" s="474" t="s">
        <v>4936</v>
      </c>
      <c r="AU199" s="552" t="s">
        <v>4937</v>
      </c>
      <c r="AV199" s="567" t="s">
        <v>5234</v>
      </c>
      <c r="AW199" s="552" t="s">
        <v>5235</v>
      </c>
      <c r="AX199" s="567" t="s">
        <v>5236</v>
      </c>
      <c r="AY199" s="566" t="s">
        <v>5237</v>
      </c>
      <c r="AZ199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9" s="135" t="str">
        <f t="shared" si="118"/>
        <v xml:space="preserve">  * La variable Gestantes No puede ser mayor al Total Mujeres.</v>
      </c>
      <c r="CC199" s="135" t="str">
        <f t="shared" si="119"/>
        <v xml:space="preserve">  * La variable Madre de hijo menor de 5 años No puede ser mayor al Total de Mujeres.</v>
      </c>
      <c r="CD199" s="135" t="str">
        <f t="shared" si="120"/>
        <v xml:space="preserve">  * La variable Pueblos originarios - Hombres No puede ser mayor al Total Hombres.</v>
      </c>
      <c r="CE199" s="135" t="str">
        <f t="shared" si="121"/>
        <v xml:space="preserve">  * La variable Pueblos originarios - Mujeres No puede ser mayor al Total Mujeres.</v>
      </c>
      <c r="CF199" s="135" t="str">
        <f t="shared" si="122"/>
        <v xml:space="preserve">  * La variable Niños, niñas, adolescentes y jóvenes SENAME No puede ser mayor al Total.</v>
      </c>
      <c r="CG199" s="135" t="str">
        <f t="shared" si="123"/>
        <v xml:space="preserve">  * La variable Niños, niñas, adolescentes y jóvenes Mejor Niñez No puede ser mayor al Total.</v>
      </c>
      <c r="CH199" s="135" t="str">
        <f t="shared" si="137"/>
        <v xml:space="preserve">  * La variable Migrantes - Hombres No puede ser mayor al Total Hombres.</v>
      </c>
      <c r="CI199" s="135" t="str">
        <f t="shared" si="124"/>
        <v xml:space="preserve">  * La variable Migrantes - Mujeres No puede ser mayor al Total Mujeres.</v>
      </c>
      <c r="CJ199" s="135" t="str">
        <f t="shared" si="138"/>
        <v xml:space="preserve">  * La variable Trans Masculino No puede ser mayor al Total Mujeres.</v>
      </c>
      <c r="CK199" s="135" t="str">
        <f t="shared" si="139"/>
        <v xml:space="preserve">  * La variable Trans Femenino No puede ser mayor al Total Hombres.</v>
      </c>
      <c r="CL199" s="135" t="str">
        <f t="shared" si="125"/>
        <v xml:space="preserve">  * La variable Adolescentes derivados de Espacios Amigables No puede ser mayor al Total.</v>
      </c>
      <c r="CM199" s="6"/>
      <c r="CN199" s="6"/>
      <c r="CO199" s="6"/>
      <c r="CP199" s="55">
        <f t="shared" si="126"/>
        <v>1</v>
      </c>
      <c r="CQ199" s="55">
        <f t="shared" si="127"/>
        <v>1</v>
      </c>
      <c r="CR199" s="55">
        <f t="shared" si="128"/>
        <v>1</v>
      </c>
      <c r="CS199" s="55">
        <f t="shared" si="129"/>
        <v>1</v>
      </c>
      <c r="CT199" s="55">
        <f t="shared" si="130"/>
        <v>1</v>
      </c>
      <c r="CU199" s="55">
        <f t="shared" si="131"/>
        <v>1</v>
      </c>
      <c r="CV199" s="55">
        <f t="shared" si="132"/>
        <v>1</v>
      </c>
      <c r="CW199" s="55">
        <f t="shared" si="133"/>
        <v>1</v>
      </c>
      <c r="CX199" s="55">
        <f t="shared" si="134"/>
        <v>1</v>
      </c>
      <c r="CY199" s="55">
        <f t="shared" si="135"/>
        <v>1</v>
      </c>
      <c r="CZ199" s="55">
        <f t="shared" si="136"/>
        <v>1</v>
      </c>
    </row>
    <row r="200" spans="1:104" ht="15" customHeight="1" x14ac:dyDescent="0.25">
      <c r="A200" s="5637" t="s">
        <v>5057</v>
      </c>
      <c r="B200" s="6059"/>
      <c r="C200" s="386" t="s">
        <v>852</v>
      </c>
      <c r="D200" s="385" t="s">
        <v>4567</v>
      </c>
      <c r="E200" s="309" t="s">
        <v>4568</v>
      </c>
      <c r="F200" s="642" t="s">
        <v>4569</v>
      </c>
      <c r="G200" s="372" t="s">
        <v>4570</v>
      </c>
      <c r="H200" s="527" t="s">
        <v>4571</v>
      </c>
      <c r="I200" s="372" t="s">
        <v>4572</v>
      </c>
      <c r="J200" s="527" t="s">
        <v>4573</v>
      </c>
      <c r="K200" s="372" t="s">
        <v>4574</v>
      </c>
      <c r="L200" s="527" t="s">
        <v>4575</v>
      </c>
      <c r="M200" s="372" t="s">
        <v>4576</v>
      </c>
      <c r="N200" s="527" t="s">
        <v>4577</v>
      </c>
      <c r="O200" s="372" t="s">
        <v>4578</v>
      </c>
      <c r="P200" s="527" t="s">
        <v>4579</v>
      </c>
      <c r="Q200" s="372" t="s">
        <v>4580</v>
      </c>
      <c r="R200" s="527" t="s">
        <v>4581</v>
      </c>
      <c r="S200" s="372" t="s">
        <v>4582</v>
      </c>
      <c r="T200" s="527" t="s">
        <v>4583</v>
      </c>
      <c r="U200" s="372" t="s">
        <v>4584</v>
      </c>
      <c r="V200" s="527" t="s">
        <v>4585</v>
      </c>
      <c r="W200" s="372" t="s">
        <v>4586</v>
      </c>
      <c r="X200" s="527" t="s">
        <v>4587</v>
      </c>
      <c r="Y200" s="372" t="s">
        <v>4588</v>
      </c>
      <c r="Z200" s="527" t="s">
        <v>4589</v>
      </c>
      <c r="AA200" s="372" t="s">
        <v>4590</v>
      </c>
      <c r="AB200" s="527" t="s">
        <v>4591</v>
      </c>
      <c r="AC200" s="372" t="s">
        <v>4592</v>
      </c>
      <c r="AD200" s="527" t="s">
        <v>4593</v>
      </c>
      <c r="AE200" s="372" t="s">
        <v>4594</v>
      </c>
      <c r="AF200" s="527" t="s">
        <v>4595</v>
      </c>
      <c r="AG200" s="372" t="s">
        <v>4596</v>
      </c>
      <c r="AH200" s="527" t="s">
        <v>4597</v>
      </c>
      <c r="AI200" s="372" t="s">
        <v>4598</v>
      </c>
      <c r="AJ200" s="527" t="s">
        <v>4599</v>
      </c>
      <c r="AK200" s="372" t="s">
        <v>4600</v>
      </c>
      <c r="AL200" s="527" t="s">
        <v>4601</v>
      </c>
      <c r="AM200" s="372" t="s">
        <v>4602</v>
      </c>
      <c r="AN200" s="643" t="s">
        <v>4603</v>
      </c>
      <c r="AO200" s="266" t="s">
        <v>4604</v>
      </c>
      <c r="AP200" s="527" t="s">
        <v>4605</v>
      </c>
      <c r="AQ200" s="372" t="s">
        <v>4606</v>
      </c>
      <c r="AR200" s="527" t="s">
        <v>4934</v>
      </c>
      <c r="AS200" s="372" t="s">
        <v>4935</v>
      </c>
      <c r="AT200" s="527" t="s">
        <v>4936</v>
      </c>
      <c r="AU200" s="643" t="s">
        <v>4937</v>
      </c>
      <c r="AV200" s="310" t="s">
        <v>5234</v>
      </c>
      <c r="AW200" s="643" t="s">
        <v>5235</v>
      </c>
      <c r="AX200" s="310" t="s">
        <v>5236</v>
      </c>
      <c r="AY200" s="527" t="s">
        <v>5237</v>
      </c>
      <c r="AZ200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0" s="135" t="str">
        <f t="shared" si="118"/>
        <v xml:space="preserve">  * La variable Gestantes No puede ser mayor al Total Mujeres.</v>
      </c>
      <c r="CC200" s="135" t="str">
        <f t="shared" si="119"/>
        <v xml:space="preserve">  * La variable Madre de hijo menor de 5 años No puede ser mayor al Total de Mujeres.</v>
      </c>
      <c r="CD200" s="135" t="str">
        <f t="shared" si="120"/>
        <v xml:space="preserve">  * La variable Pueblos originarios - Hombres No puede ser mayor al Total Hombres.</v>
      </c>
      <c r="CE200" s="135" t="str">
        <f t="shared" si="121"/>
        <v xml:space="preserve">  * La variable Pueblos originarios - Mujeres No puede ser mayor al Total Mujeres.</v>
      </c>
      <c r="CF200" s="135" t="str">
        <f t="shared" si="122"/>
        <v xml:space="preserve">  * La variable Niños, niñas, adolescentes y jóvenes SENAME No puede ser mayor al Total.</v>
      </c>
      <c r="CG200" s="135" t="str">
        <f t="shared" si="123"/>
        <v xml:space="preserve">  * La variable Niños, niñas, adolescentes y jóvenes Mejor Niñez No puede ser mayor al Total.</v>
      </c>
      <c r="CH200" s="135" t="str">
        <f t="shared" si="137"/>
        <v xml:space="preserve">  * La variable Migrantes - Hombres No puede ser mayor al Total Hombres.</v>
      </c>
      <c r="CI200" s="135" t="str">
        <f t="shared" si="124"/>
        <v xml:space="preserve">  * La variable Migrantes - Mujeres No puede ser mayor al Total Mujeres.</v>
      </c>
      <c r="CJ200" s="135" t="str">
        <f t="shared" si="138"/>
        <v xml:space="preserve">  * La variable Trans Masculino No puede ser mayor al Total Mujeres.</v>
      </c>
      <c r="CK200" s="135" t="str">
        <f t="shared" si="139"/>
        <v xml:space="preserve">  * La variable Trans Femenino No puede ser mayor al Total Hombres.</v>
      </c>
      <c r="CL200" s="135" t="str">
        <f t="shared" si="125"/>
        <v xml:space="preserve">  * La variable Adolescentes derivados de Espacios Amigables No puede ser mayor al Total.</v>
      </c>
      <c r="CM200" s="6"/>
      <c r="CN200" s="6"/>
      <c r="CO200" s="6"/>
      <c r="CP200" s="55">
        <f t="shared" si="126"/>
        <v>1</v>
      </c>
      <c r="CQ200" s="55">
        <f t="shared" si="127"/>
        <v>1</v>
      </c>
      <c r="CR200" s="55">
        <f t="shared" si="128"/>
        <v>1</v>
      </c>
      <c r="CS200" s="55">
        <f t="shared" si="129"/>
        <v>1</v>
      </c>
      <c r="CT200" s="55">
        <f t="shared" si="130"/>
        <v>1</v>
      </c>
      <c r="CU200" s="55">
        <f t="shared" si="131"/>
        <v>1</v>
      </c>
      <c r="CV200" s="55">
        <f t="shared" si="132"/>
        <v>1</v>
      </c>
      <c r="CW200" s="55">
        <f t="shared" si="133"/>
        <v>1</v>
      </c>
      <c r="CX200" s="55">
        <f t="shared" si="134"/>
        <v>1</v>
      </c>
      <c r="CY200" s="55">
        <f t="shared" si="135"/>
        <v>1</v>
      </c>
      <c r="CZ200" s="55">
        <f t="shared" si="136"/>
        <v>1</v>
      </c>
    </row>
    <row r="201" spans="1:104" x14ac:dyDescent="0.25">
      <c r="A201" s="5677" t="s">
        <v>5058</v>
      </c>
      <c r="B201" s="6601" t="s">
        <v>855</v>
      </c>
      <c r="C201" s="6602"/>
      <c r="D201" s="630" t="s">
        <v>4567</v>
      </c>
      <c r="E201" s="631" t="s">
        <v>4568</v>
      </c>
      <c r="F201" s="561" t="s">
        <v>4569</v>
      </c>
      <c r="G201" s="504" t="s">
        <v>4570</v>
      </c>
      <c r="H201" s="507" t="s">
        <v>4571</v>
      </c>
      <c r="I201" s="504" t="s">
        <v>4572</v>
      </c>
      <c r="J201" s="507" t="s">
        <v>4573</v>
      </c>
      <c r="K201" s="504" t="s">
        <v>4574</v>
      </c>
      <c r="L201" s="507" t="s">
        <v>4575</v>
      </c>
      <c r="M201" s="504" t="s">
        <v>4576</v>
      </c>
      <c r="N201" s="507" t="s">
        <v>4577</v>
      </c>
      <c r="O201" s="504" t="s">
        <v>4578</v>
      </c>
      <c r="P201" s="507" t="s">
        <v>4579</v>
      </c>
      <c r="Q201" s="504" t="s">
        <v>4580</v>
      </c>
      <c r="R201" s="507" t="s">
        <v>4581</v>
      </c>
      <c r="S201" s="504" t="s">
        <v>4582</v>
      </c>
      <c r="T201" s="507" t="s">
        <v>4583</v>
      </c>
      <c r="U201" s="504" t="s">
        <v>4584</v>
      </c>
      <c r="V201" s="507" t="s">
        <v>4585</v>
      </c>
      <c r="W201" s="504" t="s">
        <v>4586</v>
      </c>
      <c r="X201" s="507" t="s">
        <v>4587</v>
      </c>
      <c r="Y201" s="504" t="s">
        <v>4588</v>
      </c>
      <c r="Z201" s="507" t="s">
        <v>4589</v>
      </c>
      <c r="AA201" s="504" t="s">
        <v>4590</v>
      </c>
      <c r="AB201" s="507" t="s">
        <v>4591</v>
      </c>
      <c r="AC201" s="504" t="s">
        <v>4592</v>
      </c>
      <c r="AD201" s="507" t="s">
        <v>4593</v>
      </c>
      <c r="AE201" s="504" t="s">
        <v>4594</v>
      </c>
      <c r="AF201" s="507" t="s">
        <v>4595</v>
      </c>
      <c r="AG201" s="504" t="s">
        <v>4596</v>
      </c>
      <c r="AH201" s="507" t="s">
        <v>4597</v>
      </c>
      <c r="AI201" s="504" t="s">
        <v>4598</v>
      </c>
      <c r="AJ201" s="507" t="s">
        <v>4599</v>
      </c>
      <c r="AK201" s="504" t="s">
        <v>4600</v>
      </c>
      <c r="AL201" s="507" t="s">
        <v>4601</v>
      </c>
      <c r="AM201" s="504" t="s">
        <v>4602</v>
      </c>
      <c r="AN201" s="632" t="s">
        <v>4603</v>
      </c>
      <c r="AO201" s="530" t="s">
        <v>4604</v>
      </c>
      <c r="AP201" s="507" t="s">
        <v>4605</v>
      </c>
      <c r="AQ201" s="504" t="s">
        <v>4606</v>
      </c>
      <c r="AR201" s="507" t="s">
        <v>4934</v>
      </c>
      <c r="AS201" s="504" t="s">
        <v>4935</v>
      </c>
      <c r="AT201" s="507" t="s">
        <v>4936</v>
      </c>
      <c r="AU201" s="632" t="s">
        <v>4937</v>
      </c>
      <c r="AV201" s="633" t="s">
        <v>5234</v>
      </c>
      <c r="AW201" s="632" t="s">
        <v>5235</v>
      </c>
      <c r="AX201" s="633" t="s">
        <v>5236</v>
      </c>
      <c r="AY201" s="507" t="s">
        <v>5237</v>
      </c>
      <c r="AZ201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1" s="135" t="str">
        <f t="shared" si="118"/>
        <v xml:space="preserve">  * La variable Gestantes No puede ser mayor al Total Mujeres.</v>
      </c>
      <c r="CC201" s="135" t="str">
        <f t="shared" si="119"/>
        <v xml:space="preserve">  * La variable Madre de hijo menor de 5 años No puede ser mayor al Total de Mujeres.</v>
      </c>
      <c r="CD201" s="135" t="str">
        <f t="shared" si="120"/>
        <v xml:space="preserve">  * La variable Pueblos originarios - Hombres No puede ser mayor al Total Hombres.</v>
      </c>
      <c r="CE201" s="135" t="str">
        <f t="shared" si="121"/>
        <v xml:space="preserve">  * La variable Pueblos originarios - Mujeres No puede ser mayor al Total Mujeres.</v>
      </c>
      <c r="CF201" s="135" t="str">
        <f t="shared" si="122"/>
        <v xml:space="preserve">  * La variable Niños, niñas, adolescentes y jóvenes SENAME No puede ser mayor al Total.</v>
      </c>
      <c r="CG201" s="135" t="str">
        <f t="shared" si="123"/>
        <v xml:space="preserve">  * La variable Niños, niñas, adolescentes y jóvenes Mejor Niñez No puede ser mayor al Total.</v>
      </c>
      <c r="CH201" s="135" t="str">
        <f t="shared" si="137"/>
        <v xml:space="preserve">  * La variable Migrantes - Hombres No puede ser mayor al Total Hombres.</v>
      </c>
      <c r="CI201" s="135" t="str">
        <f t="shared" si="124"/>
        <v xml:space="preserve">  * La variable Migrantes - Mujeres No puede ser mayor al Total Mujeres.</v>
      </c>
      <c r="CJ201" s="135" t="str">
        <f t="shared" si="138"/>
        <v xml:space="preserve">  * La variable Trans Masculino No puede ser mayor al Total Mujeres.</v>
      </c>
      <c r="CK201" s="135" t="str">
        <f t="shared" si="139"/>
        <v xml:space="preserve">  * La variable Trans Femenino No puede ser mayor al Total Hombres.</v>
      </c>
      <c r="CL201" s="135" t="str">
        <f t="shared" si="125"/>
        <v xml:space="preserve">  * La variable Adolescentes derivados de Espacios Amigables No puede ser mayor al Total.</v>
      </c>
      <c r="CM201" s="6"/>
      <c r="CN201" s="6"/>
      <c r="CO201" s="6"/>
      <c r="CP201" s="55">
        <f t="shared" si="126"/>
        <v>1</v>
      </c>
      <c r="CQ201" s="55">
        <f t="shared" si="127"/>
        <v>1</v>
      </c>
      <c r="CR201" s="55">
        <f t="shared" si="128"/>
        <v>1</v>
      </c>
      <c r="CS201" s="55">
        <f t="shared" si="129"/>
        <v>1</v>
      </c>
      <c r="CT201" s="55">
        <f t="shared" si="130"/>
        <v>1</v>
      </c>
      <c r="CU201" s="55">
        <f t="shared" si="131"/>
        <v>1</v>
      </c>
      <c r="CV201" s="55">
        <f t="shared" si="132"/>
        <v>1</v>
      </c>
      <c r="CW201" s="55">
        <f t="shared" si="133"/>
        <v>1</v>
      </c>
      <c r="CX201" s="55">
        <f t="shared" si="134"/>
        <v>1</v>
      </c>
      <c r="CY201" s="55">
        <f t="shared" si="135"/>
        <v>1</v>
      </c>
      <c r="CZ201" s="55">
        <f t="shared" si="136"/>
        <v>1</v>
      </c>
    </row>
    <row r="202" spans="1:104" x14ac:dyDescent="0.25">
      <c r="A202" s="5677" t="s">
        <v>5059</v>
      </c>
      <c r="B202" s="6453" t="s">
        <v>856</v>
      </c>
      <c r="C202" s="640" t="s">
        <v>857</v>
      </c>
      <c r="D202" s="638" t="s">
        <v>4567</v>
      </c>
      <c r="E202" s="639" t="s">
        <v>4568</v>
      </c>
      <c r="F202" s="640" t="s">
        <v>4569</v>
      </c>
      <c r="G202" s="644" t="s">
        <v>4570</v>
      </c>
      <c r="H202" s="645" t="s">
        <v>4571</v>
      </c>
      <c r="I202" s="473" t="s">
        <v>4572</v>
      </c>
      <c r="J202" s="566" t="s">
        <v>4573</v>
      </c>
      <c r="K202" s="473" t="s">
        <v>4574</v>
      </c>
      <c r="L202" s="566" t="s">
        <v>4575</v>
      </c>
      <c r="M202" s="473" t="s">
        <v>4576</v>
      </c>
      <c r="N202" s="566" t="s">
        <v>4577</v>
      </c>
      <c r="O202" s="473" t="s">
        <v>4578</v>
      </c>
      <c r="P202" s="566" t="s">
        <v>4579</v>
      </c>
      <c r="Q202" s="473" t="s">
        <v>4580</v>
      </c>
      <c r="R202" s="566" t="s">
        <v>4581</v>
      </c>
      <c r="S202" s="473" t="s">
        <v>4582</v>
      </c>
      <c r="T202" s="566" t="s">
        <v>4583</v>
      </c>
      <c r="U202" s="473" t="s">
        <v>4584</v>
      </c>
      <c r="V202" s="566" t="s">
        <v>4585</v>
      </c>
      <c r="W202" s="473" t="s">
        <v>4586</v>
      </c>
      <c r="X202" s="566" t="s">
        <v>4587</v>
      </c>
      <c r="Y202" s="473" t="s">
        <v>4588</v>
      </c>
      <c r="Z202" s="566" t="s">
        <v>4589</v>
      </c>
      <c r="AA202" s="473" t="s">
        <v>4590</v>
      </c>
      <c r="AB202" s="566" t="s">
        <v>4591</v>
      </c>
      <c r="AC202" s="473" t="s">
        <v>4592</v>
      </c>
      <c r="AD202" s="566" t="s">
        <v>4593</v>
      </c>
      <c r="AE202" s="473" t="s">
        <v>4594</v>
      </c>
      <c r="AF202" s="566" t="s">
        <v>4595</v>
      </c>
      <c r="AG202" s="473" t="s">
        <v>4596</v>
      </c>
      <c r="AH202" s="566" t="s">
        <v>4597</v>
      </c>
      <c r="AI202" s="473" t="s">
        <v>4598</v>
      </c>
      <c r="AJ202" s="566" t="s">
        <v>4599</v>
      </c>
      <c r="AK202" s="473" t="s">
        <v>4600</v>
      </c>
      <c r="AL202" s="566" t="s">
        <v>4601</v>
      </c>
      <c r="AM202" s="473" t="s">
        <v>4602</v>
      </c>
      <c r="AN202" s="552" t="s">
        <v>4603</v>
      </c>
      <c r="AO202" s="496" t="s">
        <v>4604</v>
      </c>
      <c r="AP202" s="474" t="s">
        <v>4605</v>
      </c>
      <c r="AQ202" s="473" t="s">
        <v>4606</v>
      </c>
      <c r="AR202" s="566" t="s">
        <v>4934</v>
      </c>
      <c r="AS202" s="473" t="s">
        <v>4935</v>
      </c>
      <c r="AT202" s="474" t="s">
        <v>4936</v>
      </c>
      <c r="AU202" s="552" t="s">
        <v>4937</v>
      </c>
      <c r="AV202" s="567" t="s">
        <v>5234</v>
      </c>
      <c r="AW202" s="552" t="s">
        <v>5235</v>
      </c>
      <c r="AX202" s="567" t="s">
        <v>5236</v>
      </c>
      <c r="AY202" s="566" t="s">
        <v>5237</v>
      </c>
      <c r="AZ202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2" s="135" t="str">
        <f t="shared" si="118"/>
        <v xml:space="preserve">  * La variable Gestantes No puede ser mayor al Total Mujeres.</v>
      </c>
      <c r="CC202" s="135" t="str">
        <f t="shared" si="119"/>
        <v xml:space="preserve">  * La variable Madre de hijo menor de 5 años No puede ser mayor al Total de Mujeres.</v>
      </c>
      <c r="CD202" s="135" t="str">
        <f t="shared" si="120"/>
        <v xml:space="preserve">  * La variable Pueblos originarios - Hombres No puede ser mayor al Total Hombres.</v>
      </c>
      <c r="CE202" s="135" t="str">
        <f t="shared" si="121"/>
        <v xml:space="preserve">  * La variable Pueblos originarios - Mujeres No puede ser mayor al Total Mujeres.</v>
      </c>
      <c r="CF202" s="135" t="str">
        <f t="shared" si="122"/>
        <v xml:space="preserve">  * La variable Niños, niñas, adolescentes y jóvenes SENAME No puede ser mayor al Total.</v>
      </c>
      <c r="CG202" s="135" t="str">
        <f t="shared" si="123"/>
        <v xml:space="preserve">  * La variable Niños, niñas, adolescentes y jóvenes Mejor Niñez No puede ser mayor al Total.</v>
      </c>
      <c r="CH202" s="135" t="str">
        <f t="shared" si="137"/>
        <v xml:space="preserve">  * La variable Migrantes - Hombres No puede ser mayor al Total Hombres.</v>
      </c>
      <c r="CI202" s="135" t="str">
        <f t="shared" si="124"/>
        <v xml:space="preserve">  * La variable Migrantes - Mujeres No puede ser mayor al Total Mujeres.</v>
      </c>
      <c r="CJ202" s="135" t="str">
        <f t="shared" si="138"/>
        <v xml:space="preserve">  * La variable Trans Masculino No puede ser mayor al Total Mujeres.</v>
      </c>
      <c r="CK202" s="135" t="str">
        <f t="shared" si="139"/>
        <v xml:space="preserve">  * La variable Trans Femenino No puede ser mayor al Total Hombres.</v>
      </c>
      <c r="CL202" s="135" t="str">
        <f t="shared" si="125"/>
        <v xml:space="preserve">  * La variable Adolescentes derivados de Espacios Amigables No puede ser mayor al Total.</v>
      </c>
      <c r="CM202" s="6"/>
      <c r="CN202" s="6"/>
      <c r="CO202" s="6"/>
      <c r="CP202" s="55">
        <f t="shared" si="126"/>
        <v>1</v>
      </c>
      <c r="CQ202" s="55">
        <f t="shared" si="127"/>
        <v>1</v>
      </c>
      <c r="CR202" s="55">
        <f t="shared" si="128"/>
        <v>1</v>
      </c>
      <c r="CS202" s="55">
        <f t="shared" si="129"/>
        <v>1</v>
      </c>
      <c r="CT202" s="55">
        <f t="shared" si="130"/>
        <v>1</v>
      </c>
      <c r="CU202" s="55">
        <f t="shared" si="131"/>
        <v>1</v>
      </c>
      <c r="CV202" s="55">
        <f t="shared" si="132"/>
        <v>1</v>
      </c>
      <c r="CW202" s="55">
        <f t="shared" si="133"/>
        <v>1</v>
      </c>
      <c r="CX202" s="55">
        <f t="shared" si="134"/>
        <v>1</v>
      </c>
      <c r="CY202" s="55">
        <f t="shared" si="135"/>
        <v>1</v>
      </c>
      <c r="CZ202" s="55">
        <f t="shared" si="136"/>
        <v>1</v>
      </c>
    </row>
    <row r="203" spans="1:104" x14ac:dyDescent="0.25">
      <c r="A203" s="5677" t="s">
        <v>5060</v>
      </c>
      <c r="B203" s="6059"/>
      <c r="C203" s="386" t="s">
        <v>858</v>
      </c>
      <c r="D203" s="73" t="s">
        <v>4567</v>
      </c>
      <c r="E203" s="246" t="s">
        <v>4568</v>
      </c>
      <c r="F203" s="67" t="s">
        <v>4569</v>
      </c>
      <c r="G203" s="285" t="s">
        <v>4570</v>
      </c>
      <c r="H203" s="286" t="s">
        <v>4571</v>
      </c>
      <c r="I203" s="47" t="s">
        <v>4572</v>
      </c>
      <c r="J203" s="42" t="s">
        <v>4573</v>
      </c>
      <c r="K203" s="47" t="s">
        <v>4574</v>
      </c>
      <c r="L203" s="42" t="s">
        <v>4575</v>
      </c>
      <c r="M203" s="372" t="s">
        <v>4576</v>
      </c>
      <c r="N203" s="527" t="s">
        <v>4577</v>
      </c>
      <c r="O203" s="47" t="s">
        <v>4578</v>
      </c>
      <c r="P203" s="42" t="s">
        <v>4579</v>
      </c>
      <c r="Q203" s="47" t="s">
        <v>4580</v>
      </c>
      <c r="R203" s="42" t="s">
        <v>4581</v>
      </c>
      <c r="S203" s="47" t="s">
        <v>4582</v>
      </c>
      <c r="T203" s="42" t="s">
        <v>4583</v>
      </c>
      <c r="U203" s="47" t="s">
        <v>4584</v>
      </c>
      <c r="V203" s="42" t="s">
        <v>4585</v>
      </c>
      <c r="W203" s="47" t="s">
        <v>4586</v>
      </c>
      <c r="X203" s="42" t="s">
        <v>4587</v>
      </c>
      <c r="Y203" s="47" t="s">
        <v>4588</v>
      </c>
      <c r="Z203" s="42" t="s">
        <v>4589</v>
      </c>
      <c r="AA203" s="47" t="s">
        <v>4590</v>
      </c>
      <c r="AB203" s="42" t="s">
        <v>4591</v>
      </c>
      <c r="AC203" s="47" t="s">
        <v>4592</v>
      </c>
      <c r="AD203" s="42" t="s">
        <v>4593</v>
      </c>
      <c r="AE203" s="47" t="s">
        <v>4594</v>
      </c>
      <c r="AF203" s="42" t="s">
        <v>4595</v>
      </c>
      <c r="AG203" s="47" t="s">
        <v>4596</v>
      </c>
      <c r="AH203" s="42" t="s">
        <v>4597</v>
      </c>
      <c r="AI203" s="47" t="s">
        <v>4598</v>
      </c>
      <c r="AJ203" s="42" t="s">
        <v>4599</v>
      </c>
      <c r="AK203" s="47" t="s">
        <v>4600</v>
      </c>
      <c r="AL203" s="42" t="s">
        <v>4601</v>
      </c>
      <c r="AM203" s="47" t="s">
        <v>4602</v>
      </c>
      <c r="AN203" s="66" t="s">
        <v>4603</v>
      </c>
      <c r="AO203" s="266" t="s">
        <v>4604</v>
      </c>
      <c r="AP203" s="527" t="s">
        <v>4605</v>
      </c>
      <c r="AQ203" s="372" t="s">
        <v>4606</v>
      </c>
      <c r="AR203" s="527" t="s">
        <v>4934</v>
      </c>
      <c r="AS203" s="372" t="s">
        <v>4935</v>
      </c>
      <c r="AT203" s="527" t="s">
        <v>4936</v>
      </c>
      <c r="AU203" s="643" t="s">
        <v>4937</v>
      </c>
      <c r="AV203" s="310" t="s">
        <v>5234</v>
      </c>
      <c r="AW203" s="643" t="s">
        <v>5235</v>
      </c>
      <c r="AX203" s="310" t="s">
        <v>5236</v>
      </c>
      <c r="AY203" s="527" t="s">
        <v>5237</v>
      </c>
      <c r="AZ203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3" s="135" t="str">
        <f t="shared" si="118"/>
        <v xml:space="preserve">  * La variable Gestantes No puede ser mayor al Total Mujeres.</v>
      </c>
      <c r="CC203" s="135" t="str">
        <f t="shared" si="119"/>
        <v xml:space="preserve">  * La variable Madre de hijo menor de 5 años No puede ser mayor al Total de Mujeres.</v>
      </c>
      <c r="CD203" s="135" t="str">
        <f t="shared" si="120"/>
        <v xml:space="preserve">  * La variable Pueblos originarios - Hombres No puede ser mayor al Total Hombres.</v>
      </c>
      <c r="CE203" s="135" t="str">
        <f t="shared" si="121"/>
        <v xml:space="preserve">  * La variable Pueblos originarios - Mujeres No puede ser mayor al Total Mujeres.</v>
      </c>
      <c r="CF203" s="135" t="str">
        <f t="shared" si="122"/>
        <v xml:space="preserve">  * La variable Niños, niñas, adolescentes y jóvenes SENAME No puede ser mayor al Total.</v>
      </c>
      <c r="CG203" s="135" t="str">
        <f t="shared" si="123"/>
        <v xml:space="preserve">  * La variable Niños, niñas, adolescentes y jóvenes Mejor Niñez No puede ser mayor al Total.</v>
      </c>
      <c r="CH203" s="135" t="str">
        <f t="shared" si="137"/>
        <v xml:space="preserve">  * La variable Migrantes - Hombres No puede ser mayor al Total Hombres.</v>
      </c>
      <c r="CI203" s="135" t="str">
        <f t="shared" si="124"/>
        <v xml:space="preserve">  * La variable Migrantes - Mujeres No puede ser mayor al Total Mujeres.</v>
      </c>
      <c r="CJ203" s="135" t="str">
        <f t="shared" si="138"/>
        <v xml:space="preserve">  * La variable Trans Masculino No puede ser mayor al Total Mujeres.</v>
      </c>
      <c r="CK203" s="135" t="str">
        <f t="shared" si="139"/>
        <v xml:space="preserve">  * La variable Trans Femenino No puede ser mayor al Total Hombres.</v>
      </c>
      <c r="CL203" s="135" t="str">
        <f t="shared" si="125"/>
        <v xml:space="preserve">  * La variable Adolescentes derivados de Espacios Amigables No puede ser mayor al Total.</v>
      </c>
      <c r="CM203" s="6"/>
      <c r="CN203" s="6"/>
      <c r="CO203" s="6"/>
      <c r="CP203" s="55">
        <f t="shared" si="126"/>
        <v>1</v>
      </c>
      <c r="CQ203" s="55">
        <f t="shared" si="127"/>
        <v>1</v>
      </c>
      <c r="CR203" s="55">
        <f t="shared" si="128"/>
        <v>1</v>
      </c>
      <c r="CS203" s="55">
        <f t="shared" si="129"/>
        <v>1</v>
      </c>
      <c r="CT203" s="55">
        <f t="shared" si="130"/>
        <v>1</v>
      </c>
      <c r="CU203" s="55">
        <f t="shared" si="131"/>
        <v>1</v>
      </c>
      <c r="CV203" s="55">
        <f t="shared" si="132"/>
        <v>1</v>
      </c>
      <c r="CW203" s="55">
        <f t="shared" si="133"/>
        <v>1</v>
      </c>
      <c r="CX203" s="55">
        <f t="shared" si="134"/>
        <v>1</v>
      </c>
      <c r="CY203" s="55">
        <f t="shared" si="135"/>
        <v>1</v>
      </c>
      <c r="CZ203" s="55">
        <f t="shared" si="136"/>
        <v>1</v>
      </c>
    </row>
    <row r="204" spans="1:104" s="6" customFormat="1" ht="18" customHeight="1" x14ac:dyDescent="0.2">
      <c r="A204" s="5677" t="s">
        <v>5061</v>
      </c>
      <c r="B204" s="646" t="s">
        <v>859</v>
      </c>
      <c r="C204" s="629"/>
      <c r="D204" s="599" t="s">
        <v>4567</v>
      </c>
      <c r="E204" s="600" t="s">
        <v>4568</v>
      </c>
      <c r="F204" s="601" t="s">
        <v>4569</v>
      </c>
      <c r="G204" s="504" t="s">
        <v>4570</v>
      </c>
      <c r="H204" s="507" t="s">
        <v>4571</v>
      </c>
      <c r="I204" s="504" t="s">
        <v>4572</v>
      </c>
      <c r="J204" s="507" t="s">
        <v>4573</v>
      </c>
      <c r="K204" s="504" t="s">
        <v>4574</v>
      </c>
      <c r="L204" s="507" t="s">
        <v>4575</v>
      </c>
      <c r="M204" s="504" t="s">
        <v>4576</v>
      </c>
      <c r="N204" s="507" t="s">
        <v>4577</v>
      </c>
      <c r="O204" s="504" t="s">
        <v>4578</v>
      </c>
      <c r="P204" s="507" t="s">
        <v>4579</v>
      </c>
      <c r="Q204" s="504" t="s">
        <v>4580</v>
      </c>
      <c r="R204" s="507" t="s">
        <v>4581</v>
      </c>
      <c r="S204" s="504" t="s">
        <v>4582</v>
      </c>
      <c r="T204" s="507" t="s">
        <v>4583</v>
      </c>
      <c r="U204" s="504" t="s">
        <v>4584</v>
      </c>
      <c r="V204" s="507" t="s">
        <v>4585</v>
      </c>
      <c r="W204" s="504" t="s">
        <v>4586</v>
      </c>
      <c r="X204" s="507" t="s">
        <v>4587</v>
      </c>
      <c r="Y204" s="504" t="s">
        <v>4588</v>
      </c>
      <c r="Z204" s="507" t="s">
        <v>4589</v>
      </c>
      <c r="AA204" s="504" t="s">
        <v>4590</v>
      </c>
      <c r="AB204" s="507" t="s">
        <v>4591</v>
      </c>
      <c r="AC204" s="504" t="s">
        <v>4592</v>
      </c>
      <c r="AD204" s="507" t="s">
        <v>4593</v>
      </c>
      <c r="AE204" s="504" t="s">
        <v>4594</v>
      </c>
      <c r="AF204" s="507" t="s">
        <v>4595</v>
      </c>
      <c r="AG204" s="504" t="s">
        <v>4596</v>
      </c>
      <c r="AH204" s="507" t="s">
        <v>4597</v>
      </c>
      <c r="AI204" s="504" t="s">
        <v>4598</v>
      </c>
      <c r="AJ204" s="507" t="s">
        <v>4599</v>
      </c>
      <c r="AK204" s="504" t="s">
        <v>4600</v>
      </c>
      <c r="AL204" s="507" t="s">
        <v>4601</v>
      </c>
      <c r="AM204" s="504" t="s">
        <v>4602</v>
      </c>
      <c r="AN204" s="632" t="s">
        <v>4603</v>
      </c>
      <c r="AO204" s="530" t="s">
        <v>4604</v>
      </c>
      <c r="AP204" s="507" t="s">
        <v>4605</v>
      </c>
      <c r="AQ204" s="372" t="s">
        <v>4606</v>
      </c>
      <c r="AR204" s="507" t="s">
        <v>4934</v>
      </c>
      <c r="AS204" s="504" t="s">
        <v>4935</v>
      </c>
      <c r="AT204" s="507" t="s">
        <v>4936</v>
      </c>
      <c r="AU204" s="632" t="s">
        <v>4937</v>
      </c>
      <c r="AV204" s="633" t="s">
        <v>5234</v>
      </c>
      <c r="AW204" s="632" t="s">
        <v>5235</v>
      </c>
      <c r="AX204" s="633" t="s">
        <v>5236</v>
      </c>
      <c r="AY204" s="507" t="s">
        <v>5237</v>
      </c>
      <c r="AZ204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4" s="135" t="str">
        <f t="shared" si="118"/>
        <v xml:space="preserve">  * La variable Gestantes No puede ser mayor al Total Mujeres.</v>
      </c>
      <c r="CC204" s="135" t="str">
        <f t="shared" si="119"/>
        <v xml:space="preserve">  * La variable Madre de hijo menor de 5 años No puede ser mayor al Total de Mujeres.</v>
      </c>
      <c r="CD204" s="135" t="str">
        <f t="shared" si="120"/>
        <v xml:space="preserve">  * La variable Pueblos originarios - Hombres No puede ser mayor al Total Hombres.</v>
      </c>
      <c r="CE204" s="135" t="str">
        <f t="shared" si="121"/>
        <v xml:space="preserve">  * La variable Pueblos originarios - Mujeres No puede ser mayor al Total Mujeres.</v>
      </c>
      <c r="CF204" s="135" t="str">
        <f t="shared" si="122"/>
        <v xml:space="preserve">  * La variable Niños, niñas, adolescentes y jóvenes SENAME No puede ser mayor al Total.</v>
      </c>
      <c r="CG204" s="135" t="str">
        <f t="shared" si="123"/>
        <v xml:space="preserve">  * La variable Niños, niñas, adolescentes y jóvenes Mejor Niñez No puede ser mayor al Total.</v>
      </c>
      <c r="CH204" s="135" t="str">
        <f t="shared" si="137"/>
        <v xml:space="preserve">  * La variable Migrantes - Hombres No puede ser mayor al Total Hombres.</v>
      </c>
      <c r="CI204" s="135" t="str">
        <f t="shared" si="124"/>
        <v xml:space="preserve">  * La variable Migrantes - Mujeres No puede ser mayor al Total Mujeres.</v>
      </c>
      <c r="CJ204" s="135" t="str">
        <f t="shared" si="138"/>
        <v xml:space="preserve">  * La variable Trans Masculino No puede ser mayor al Total Mujeres.</v>
      </c>
      <c r="CK204" s="135" t="str">
        <f t="shared" si="139"/>
        <v xml:space="preserve">  * La variable Trans Femenino No puede ser mayor al Total Hombres.</v>
      </c>
      <c r="CL204" s="135" t="str">
        <f t="shared" si="125"/>
        <v xml:space="preserve">  * La variable Adolescentes derivados de Espacios Amigables No puede ser mayor al Total.</v>
      </c>
      <c r="CP204" s="55">
        <f t="shared" si="126"/>
        <v>1</v>
      </c>
      <c r="CQ204" s="55">
        <f t="shared" si="127"/>
        <v>1</v>
      </c>
      <c r="CR204" s="55">
        <f t="shared" si="128"/>
        <v>1</v>
      </c>
      <c r="CS204" s="55">
        <f t="shared" si="129"/>
        <v>1</v>
      </c>
      <c r="CT204" s="55">
        <f t="shared" si="130"/>
        <v>1</v>
      </c>
      <c r="CU204" s="55">
        <f t="shared" si="131"/>
        <v>1</v>
      </c>
      <c r="CV204" s="55">
        <f t="shared" si="132"/>
        <v>1</v>
      </c>
      <c r="CW204" s="55">
        <f t="shared" si="133"/>
        <v>1</v>
      </c>
      <c r="CX204" s="55">
        <f t="shared" si="134"/>
        <v>1</v>
      </c>
      <c r="CY204" s="55">
        <f t="shared" si="135"/>
        <v>1</v>
      </c>
      <c r="CZ204" s="55">
        <f t="shared" si="136"/>
        <v>1</v>
      </c>
    </row>
    <row r="205" spans="1:104" ht="15" customHeight="1" x14ac:dyDescent="0.25">
      <c r="A205" s="5677" t="s">
        <v>5062</v>
      </c>
      <c r="B205" s="6453" t="s">
        <v>860</v>
      </c>
      <c r="C205" s="108" t="s">
        <v>861</v>
      </c>
      <c r="D205" s="308" t="s">
        <v>4567</v>
      </c>
      <c r="E205" s="641" t="s">
        <v>4568</v>
      </c>
      <c r="F205" s="108" t="s">
        <v>4569</v>
      </c>
      <c r="G205" s="290" t="s">
        <v>4570</v>
      </c>
      <c r="H205" s="107" t="s">
        <v>4571</v>
      </c>
      <c r="I205" s="290" t="s">
        <v>4572</v>
      </c>
      <c r="J205" s="107" t="s">
        <v>4573</v>
      </c>
      <c r="K205" s="290" t="s">
        <v>4574</v>
      </c>
      <c r="L205" s="107" t="s">
        <v>4575</v>
      </c>
      <c r="M205" s="290" t="s">
        <v>4576</v>
      </c>
      <c r="N205" s="107" t="s">
        <v>4577</v>
      </c>
      <c r="O205" s="290" t="s">
        <v>4578</v>
      </c>
      <c r="P205" s="107" t="s">
        <v>4579</v>
      </c>
      <c r="Q205" s="290" t="s">
        <v>4580</v>
      </c>
      <c r="R205" s="107" t="s">
        <v>4581</v>
      </c>
      <c r="S205" s="290" t="s">
        <v>4582</v>
      </c>
      <c r="T205" s="107" t="s">
        <v>4583</v>
      </c>
      <c r="U205" s="290" t="s">
        <v>4584</v>
      </c>
      <c r="V205" s="107" t="s">
        <v>4585</v>
      </c>
      <c r="W205" s="290" t="s">
        <v>4586</v>
      </c>
      <c r="X205" s="107" t="s">
        <v>4587</v>
      </c>
      <c r="Y205" s="290" t="s">
        <v>4588</v>
      </c>
      <c r="Z205" s="107" t="s">
        <v>4589</v>
      </c>
      <c r="AA205" s="290" t="s">
        <v>4590</v>
      </c>
      <c r="AB205" s="107" t="s">
        <v>4591</v>
      </c>
      <c r="AC205" s="290" t="s">
        <v>4592</v>
      </c>
      <c r="AD205" s="107" t="s">
        <v>4593</v>
      </c>
      <c r="AE205" s="290" t="s">
        <v>4594</v>
      </c>
      <c r="AF205" s="107" t="s">
        <v>4595</v>
      </c>
      <c r="AG205" s="290" t="s">
        <v>4596</v>
      </c>
      <c r="AH205" s="107" t="s">
        <v>4597</v>
      </c>
      <c r="AI205" s="290" t="s">
        <v>4598</v>
      </c>
      <c r="AJ205" s="107" t="s">
        <v>4599</v>
      </c>
      <c r="AK205" s="290" t="s">
        <v>4600</v>
      </c>
      <c r="AL205" s="107" t="s">
        <v>4601</v>
      </c>
      <c r="AM205" s="290" t="s">
        <v>4602</v>
      </c>
      <c r="AN205" s="65" t="s">
        <v>4603</v>
      </c>
      <c r="AO205" s="296" t="s">
        <v>4604</v>
      </c>
      <c r="AP205" s="107" t="s">
        <v>4605</v>
      </c>
      <c r="AQ205" s="290" t="s">
        <v>4606</v>
      </c>
      <c r="AR205" s="42" t="s">
        <v>4934</v>
      </c>
      <c r="AS205" s="47" t="s">
        <v>4935</v>
      </c>
      <c r="AT205" s="42" t="s">
        <v>4936</v>
      </c>
      <c r="AU205" s="66" t="s">
        <v>4937</v>
      </c>
      <c r="AV205" s="95" t="s">
        <v>5234</v>
      </c>
      <c r="AW205" s="66" t="s">
        <v>5235</v>
      </c>
      <c r="AX205" s="95" t="s">
        <v>5236</v>
      </c>
      <c r="AY205" s="42" t="s">
        <v>5237</v>
      </c>
      <c r="AZ205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5" s="135" t="str">
        <f t="shared" si="118"/>
        <v xml:space="preserve">  * La variable Gestantes No puede ser mayor al Total Mujeres.</v>
      </c>
      <c r="CC205" s="135" t="str">
        <f t="shared" si="119"/>
        <v xml:space="preserve">  * La variable Madre de hijo menor de 5 años No puede ser mayor al Total de Mujeres.</v>
      </c>
      <c r="CD205" s="135" t="str">
        <f t="shared" si="120"/>
        <v xml:space="preserve">  * La variable Pueblos originarios - Hombres No puede ser mayor al Total Hombres.</v>
      </c>
      <c r="CE205" s="135" t="str">
        <f t="shared" si="121"/>
        <v xml:space="preserve">  * La variable Pueblos originarios - Mujeres No puede ser mayor al Total Mujeres.</v>
      </c>
      <c r="CF205" s="135" t="str">
        <f t="shared" si="122"/>
        <v xml:space="preserve">  * La variable Niños, niñas, adolescentes y jóvenes SENAME No puede ser mayor al Total.</v>
      </c>
      <c r="CG205" s="135" t="str">
        <f t="shared" si="123"/>
        <v xml:space="preserve">  * La variable Niños, niñas, adolescentes y jóvenes Mejor Niñez No puede ser mayor al Total.</v>
      </c>
      <c r="CH205" s="135" t="str">
        <f t="shared" si="137"/>
        <v xml:space="preserve">  * La variable Migrantes - Hombres No puede ser mayor al Total Hombres.</v>
      </c>
      <c r="CI205" s="135" t="str">
        <f t="shared" si="124"/>
        <v xml:space="preserve">  * La variable Migrantes - Mujeres No puede ser mayor al Total Mujeres.</v>
      </c>
      <c r="CJ205" s="135" t="str">
        <f t="shared" si="138"/>
        <v xml:space="preserve">  * La variable Trans Masculino No puede ser mayor al Total Mujeres.</v>
      </c>
      <c r="CK205" s="135" t="str">
        <f t="shared" si="139"/>
        <v xml:space="preserve">  * La variable Trans Femenino No puede ser mayor al Total Hombres.</v>
      </c>
      <c r="CL205" s="135" t="str">
        <f t="shared" si="125"/>
        <v xml:space="preserve">  * La variable Adolescentes derivados de Espacios Amigables No puede ser mayor al Total.</v>
      </c>
      <c r="CM205" s="6"/>
      <c r="CN205" s="6"/>
      <c r="CO205" s="6"/>
      <c r="CP205" s="55">
        <f t="shared" si="126"/>
        <v>1</v>
      </c>
      <c r="CQ205" s="55">
        <f t="shared" si="127"/>
        <v>1</v>
      </c>
      <c r="CR205" s="55">
        <f t="shared" si="128"/>
        <v>1</v>
      </c>
      <c r="CS205" s="55">
        <f t="shared" si="129"/>
        <v>1</v>
      </c>
      <c r="CT205" s="55">
        <f t="shared" si="130"/>
        <v>1</v>
      </c>
      <c r="CU205" s="55">
        <f t="shared" si="131"/>
        <v>1</v>
      </c>
      <c r="CV205" s="55">
        <f t="shared" si="132"/>
        <v>1</v>
      </c>
      <c r="CW205" s="55">
        <f t="shared" si="133"/>
        <v>1</v>
      </c>
      <c r="CX205" s="55">
        <f t="shared" si="134"/>
        <v>1</v>
      </c>
      <c r="CY205" s="55">
        <f t="shared" si="135"/>
        <v>1</v>
      </c>
      <c r="CZ205" s="55">
        <f t="shared" si="136"/>
        <v>1</v>
      </c>
    </row>
    <row r="206" spans="1:104" ht="15" customHeight="1" x14ac:dyDescent="0.25">
      <c r="A206" s="5677" t="s">
        <v>5063</v>
      </c>
      <c r="B206" s="6112"/>
      <c r="C206" s="499" t="s">
        <v>862</v>
      </c>
      <c r="D206" s="647" t="s">
        <v>4567</v>
      </c>
      <c r="E206" s="648" t="s">
        <v>4568</v>
      </c>
      <c r="F206" s="499" t="s">
        <v>4569</v>
      </c>
      <c r="G206" s="345" t="s">
        <v>4570</v>
      </c>
      <c r="H206" s="346" t="s">
        <v>4571</v>
      </c>
      <c r="I206" s="345" t="s">
        <v>4572</v>
      </c>
      <c r="J206" s="346" t="s">
        <v>4573</v>
      </c>
      <c r="K206" s="345" t="s">
        <v>4574</v>
      </c>
      <c r="L206" s="346" t="s">
        <v>4575</v>
      </c>
      <c r="M206" s="345" t="s">
        <v>4576</v>
      </c>
      <c r="N206" s="346" t="s">
        <v>4577</v>
      </c>
      <c r="O206" s="345" t="s">
        <v>4578</v>
      </c>
      <c r="P206" s="346" t="s">
        <v>4579</v>
      </c>
      <c r="Q206" s="345" t="s">
        <v>4580</v>
      </c>
      <c r="R206" s="346" t="s">
        <v>4581</v>
      </c>
      <c r="S206" s="345" t="s">
        <v>4582</v>
      </c>
      <c r="T206" s="346" t="s">
        <v>4583</v>
      </c>
      <c r="U206" s="345" t="s">
        <v>4584</v>
      </c>
      <c r="V206" s="346" t="s">
        <v>4585</v>
      </c>
      <c r="W206" s="345" t="s">
        <v>4586</v>
      </c>
      <c r="X206" s="346" t="s">
        <v>4587</v>
      </c>
      <c r="Y206" s="345" t="s">
        <v>4588</v>
      </c>
      <c r="Z206" s="346" t="s">
        <v>4589</v>
      </c>
      <c r="AA206" s="345" t="s">
        <v>4590</v>
      </c>
      <c r="AB206" s="346" t="s">
        <v>4591</v>
      </c>
      <c r="AC206" s="345" t="s">
        <v>4592</v>
      </c>
      <c r="AD206" s="346" t="s">
        <v>4593</v>
      </c>
      <c r="AE206" s="345" t="s">
        <v>4594</v>
      </c>
      <c r="AF206" s="346" t="s">
        <v>4595</v>
      </c>
      <c r="AG206" s="345" t="s">
        <v>4596</v>
      </c>
      <c r="AH206" s="346" t="s">
        <v>4597</v>
      </c>
      <c r="AI206" s="345" t="s">
        <v>4598</v>
      </c>
      <c r="AJ206" s="346" t="s">
        <v>4599</v>
      </c>
      <c r="AK206" s="345" t="s">
        <v>4600</v>
      </c>
      <c r="AL206" s="346" t="s">
        <v>4601</v>
      </c>
      <c r="AM206" s="345" t="s">
        <v>4602</v>
      </c>
      <c r="AN206" s="554" t="s">
        <v>4603</v>
      </c>
      <c r="AO206" s="429" t="s">
        <v>4604</v>
      </c>
      <c r="AP206" s="346" t="s">
        <v>4605</v>
      </c>
      <c r="AQ206" s="345" t="s">
        <v>4606</v>
      </c>
      <c r="AR206" s="2" t="s">
        <v>4934</v>
      </c>
      <c r="AS206" s="192" t="s">
        <v>4935</v>
      </c>
      <c r="AT206" s="2" t="s">
        <v>4936</v>
      </c>
      <c r="AU206" s="64" t="s">
        <v>4937</v>
      </c>
      <c r="AV206" s="382" t="s">
        <v>5234</v>
      </c>
      <c r="AW206" s="64" t="s">
        <v>5235</v>
      </c>
      <c r="AX206" s="382" t="s">
        <v>5236</v>
      </c>
      <c r="AY206" s="2" t="s">
        <v>5237</v>
      </c>
      <c r="AZ206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6" s="135" t="str">
        <f t="shared" si="118"/>
        <v xml:space="preserve">  * La variable Gestantes No puede ser mayor al Total Mujeres.</v>
      </c>
      <c r="CC206" s="135" t="str">
        <f t="shared" si="119"/>
        <v xml:space="preserve">  * La variable Madre de hijo menor de 5 años No puede ser mayor al Total de Mujeres.</v>
      </c>
      <c r="CD206" s="135" t="str">
        <f t="shared" si="120"/>
        <v xml:space="preserve">  * La variable Pueblos originarios - Hombres No puede ser mayor al Total Hombres.</v>
      </c>
      <c r="CE206" s="135" t="str">
        <f t="shared" si="121"/>
        <v xml:space="preserve">  * La variable Pueblos originarios - Mujeres No puede ser mayor al Total Mujeres.</v>
      </c>
      <c r="CF206" s="135" t="str">
        <f t="shared" si="122"/>
        <v xml:space="preserve">  * La variable Niños, niñas, adolescentes y jóvenes SENAME No puede ser mayor al Total.</v>
      </c>
      <c r="CG206" s="135" t="str">
        <f t="shared" si="123"/>
        <v xml:space="preserve">  * La variable Niños, niñas, adolescentes y jóvenes Mejor Niñez No puede ser mayor al Total.</v>
      </c>
      <c r="CH206" s="135" t="str">
        <f t="shared" si="137"/>
        <v xml:space="preserve">  * La variable Migrantes - Hombres No puede ser mayor al Total Hombres.</v>
      </c>
      <c r="CI206" s="135" t="str">
        <f t="shared" si="124"/>
        <v xml:space="preserve">  * La variable Migrantes - Mujeres No puede ser mayor al Total Mujeres.</v>
      </c>
      <c r="CJ206" s="135" t="str">
        <f t="shared" si="138"/>
        <v xml:space="preserve">  * La variable Trans Masculino No puede ser mayor al Total Mujeres.</v>
      </c>
      <c r="CK206" s="135" t="str">
        <f t="shared" si="139"/>
        <v xml:space="preserve">  * La variable Trans Femenino No puede ser mayor al Total Hombres.</v>
      </c>
      <c r="CL206" s="135" t="str">
        <f t="shared" si="125"/>
        <v xml:space="preserve">  * La variable Adolescentes derivados de Espacios Amigables No puede ser mayor al Total.</v>
      </c>
      <c r="CM206" s="6"/>
      <c r="CN206" s="6"/>
      <c r="CO206" s="6"/>
      <c r="CP206" s="55">
        <f t="shared" si="126"/>
        <v>1</v>
      </c>
      <c r="CQ206" s="55">
        <f t="shared" si="127"/>
        <v>1</v>
      </c>
      <c r="CR206" s="55">
        <f t="shared" si="128"/>
        <v>1</v>
      </c>
      <c r="CS206" s="55">
        <f t="shared" si="129"/>
        <v>1</v>
      </c>
      <c r="CT206" s="55">
        <f t="shared" si="130"/>
        <v>1</v>
      </c>
      <c r="CU206" s="55">
        <f t="shared" si="131"/>
        <v>1</v>
      </c>
      <c r="CV206" s="55">
        <f t="shared" si="132"/>
        <v>1</v>
      </c>
      <c r="CW206" s="55">
        <f t="shared" si="133"/>
        <v>1</v>
      </c>
      <c r="CX206" s="55">
        <f t="shared" si="134"/>
        <v>1</v>
      </c>
      <c r="CY206" s="55">
        <f t="shared" si="135"/>
        <v>1</v>
      </c>
      <c r="CZ206" s="55">
        <f t="shared" si="136"/>
        <v>1</v>
      </c>
    </row>
    <row r="207" spans="1:104" ht="15" customHeight="1" x14ac:dyDescent="0.25">
      <c r="A207" s="5677" t="s">
        <v>5064</v>
      </c>
      <c r="B207" s="6112"/>
      <c r="C207" s="499" t="s">
        <v>863</v>
      </c>
      <c r="D207" s="647" t="s">
        <v>4567</v>
      </c>
      <c r="E207" s="374" t="s">
        <v>4568</v>
      </c>
      <c r="F207" s="499" t="s">
        <v>4569</v>
      </c>
      <c r="G207" s="192" t="s">
        <v>4570</v>
      </c>
      <c r="H207" s="2" t="s">
        <v>4571</v>
      </c>
      <c r="I207" s="192" t="s">
        <v>4572</v>
      </c>
      <c r="J207" s="2" t="s">
        <v>4573</v>
      </c>
      <c r="K207" s="192" t="s">
        <v>4574</v>
      </c>
      <c r="L207" s="2" t="s">
        <v>4575</v>
      </c>
      <c r="M207" s="192" t="s">
        <v>4576</v>
      </c>
      <c r="N207" s="2" t="s">
        <v>4577</v>
      </c>
      <c r="O207" s="192" t="s">
        <v>4578</v>
      </c>
      <c r="P207" s="2" t="s">
        <v>4579</v>
      </c>
      <c r="Q207" s="192" t="s">
        <v>4580</v>
      </c>
      <c r="R207" s="2" t="s">
        <v>4581</v>
      </c>
      <c r="S207" s="192" t="s">
        <v>4582</v>
      </c>
      <c r="T207" s="2" t="s">
        <v>4583</v>
      </c>
      <c r="U207" s="192" t="s">
        <v>4584</v>
      </c>
      <c r="V207" s="2" t="s">
        <v>4585</v>
      </c>
      <c r="W207" s="192" t="s">
        <v>4586</v>
      </c>
      <c r="X207" s="2" t="s">
        <v>4587</v>
      </c>
      <c r="Y207" s="192" t="s">
        <v>4588</v>
      </c>
      <c r="Z207" s="2" t="s">
        <v>4589</v>
      </c>
      <c r="AA207" s="192" t="s">
        <v>4590</v>
      </c>
      <c r="AB207" s="2" t="s">
        <v>4591</v>
      </c>
      <c r="AC207" s="192" t="s">
        <v>4592</v>
      </c>
      <c r="AD207" s="2" t="s">
        <v>4593</v>
      </c>
      <c r="AE207" s="192" t="s">
        <v>4594</v>
      </c>
      <c r="AF207" s="2" t="s">
        <v>4595</v>
      </c>
      <c r="AG207" s="192" t="s">
        <v>4596</v>
      </c>
      <c r="AH207" s="2" t="s">
        <v>4597</v>
      </c>
      <c r="AI207" s="192" t="s">
        <v>4598</v>
      </c>
      <c r="AJ207" s="2" t="s">
        <v>4599</v>
      </c>
      <c r="AK207" s="192" t="s">
        <v>4600</v>
      </c>
      <c r="AL207" s="2" t="s">
        <v>4601</v>
      </c>
      <c r="AM207" s="192" t="s">
        <v>4602</v>
      </c>
      <c r="AN207" s="64" t="s">
        <v>4603</v>
      </c>
      <c r="AO207" s="376" t="s">
        <v>4604</v>
      </c>
      <c r="AP207" s="2" t="s">
        <v>4605</v>
      </c>
      <c r="AQ207" s="192" t="s">
        <v>4606</v>
      </c>
      <c r="AR207" s="2" t="s">
        <v>4934</v>
      </c>
      <c r="AS207" s="192" t="s">
        <v>4935</v>
      </c>
      <c r="AT207" s="2" t="s">
        <v>4936</v>
      </c>
      <c r="AU207" s="64" t="s">
        <v>4937</v>
      </c>
      <c r="AV207" s="382" t="s">
        <v>5234</v>
      </c>
      <c r="AW207" s="64" t="s">
        <v>5235</v>
      </c>
      <c r="AX207" s="382" t="s">
        <v>5236</v>
      </c>
      <c r="AY207" s="2" t="s">
        <v>5237</v>
      </c>
      <c r="AZ207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7" s="135" t="str">
        <f t="shared" si="118"/>
        <v xml:space="preserve">  * La variable Gestantes No puede ser mayor al Total Mujeres.</v>
      </c>
      <c r="CC207" s="135" t="str">
        <f t="shared" si="119"/>
        <v xml:space="preserve">  * La variable Madre de hijo menor de 5 años No puede ser mayor al Total de Mujeres.</v>
      </c>
      <c r="CD207" s="135" t="str">
        <f t="shared" si="120"/>
        <v xml:space="preserve">  * La variable Pueblos originarios - Hombres No puede ser mayor al Total Hombres.</v>
      </c>
      <c r="CE207" s="135" t="str">
        <f t="shared" si="121"/>
        <v xml:space="preserve">  * La variable Pueblos originarios - Mujeres No puede ser mayor al Total Mujeres.</v>
      </c>
      <c r="CF207" s="135" t="str">
        <f t="shared" si="122"/>
        <v xml:space="preserve">  * La variable Niños, niñas, adolescentes y jóvenes SENAME No puede ser mayor al Total.</v>
      </c>
      <c r="CG207" s="135" t="str">
        <f t="shared" si="123"/>
        <v xml:space="preserve">  * La variable Niños, niñas, adolescentes y jóvenes Mejor Niñez No puede ser mayor al Total.</v>
      </c>
      <c r="CH207" s="135" t="str">
        <f t="shared" si="137"/>
        <v xml:space="preserve">  * La variable Migrantes - Hombres No puede ser mayor al Total Hombres.</v>
      </c>
      <c r="CI207" s="135" t="str">
        <f t="shared" si="124"/>
        <v xml:space="preserve">  * La variable Migrantes - Mujeres No puede ser mayor al Total Mujeres.</v>
      </c>
      <c r="CJ207" s="135" t="str">
        <f t="shared" si="138"/>
        <v xml:space="preserve">  * La variable Trans Masculino No puede ser mayor al Total Mujeres.</v>
      </c>
      <c r="CK207" s="135" t="str">
        <f t="shared" si="139"/>
        <v xml:space="preserve">  * La variable Trans Femenino No puede ser mayor al Total Hombres.</v>
      </c>
      <c r="CL207" s="135" t="str">
        <f t="shared" si="125"/>
        <v xml:space="preserve">  * La variable Adolescentes derivados de Espacios Amigables No puede ser mayor al Total.</v>
      </c>
      <c r="CM207" s="6"/>
      <c r="CN207" s="6"/>
      <c r="CO207" s="6"/>
      <c r="CP207" s="55">
        <f t="shared" si="126"/>
        <v>1</v>
      </c>
      <c r="CQ207" s="55">
        <f t="shared" si="127"/>
        <v>1</v>
      </c>
      <c r="CR207" s="55">
        <f t="shared" si="128"/>
        <v>1</v>
      </c>
      <c r="CS207" s="55">
        <f t="shared" si="129"/>
        <v>1</v>
      </c>
      <c r="CT207" s="55">
        <f t="shared" si="130"/>
        <v>1</v>
      </c>
      <c r="CU207" s="55">
        <f t="shared" si="131"/>
        <v>1</v>
      </c>
      <c r="CV207" s="55">
        <f t="shared" si="132"/>
        <v>1</v>
      </c>
      <c r="CW207" s="55">
        <f t="shared" si="133"/>
        <v>1</v>
      </c>
      <c r="CX207" s="55">
        <f t="shared" si="134"/>
        <v>1</v>
      </c>
      <c r="CY207" s="55">
        <f t="shared" si="135"/>
        <v>1</v>
      </c>
      <c r="CZ207" s="55">
        <f t="shared" si="136"/>
        <v>1</v>
      </c>
    </row>
    <row r="208" spans="1:104" ht="15" customHeight="1" x14ac:dyDescent="0.25">
      <c r="A208" s="5677" t="s">
        <v>5065</v>
      </c>
      <c r="B208" s="6112"/>
      <c r="C208" s="649" t="s">
        <v>864</v>
      </c>
      <c r="D208" s="647" t="s">
        <v>4567</v>
      </c>
      <c r="E208" s="287" t="s">
        <v>4568</v>
      </c>
      <c r="F208" s="499" t="s">
        <v>4569</v>
      </c>
      <c r="G208" s="619" t="s">
        <v>4570</v>
      </c>
      <c r="H208" s="367" t="s">
        <v>4571</v>
      </c>
      <c r="I208" s="619" t="s">
        <v>4572</v>
      </c>
      <c r="J208" s="367" t="s">
        <v>4573</v>
      </c>
      <c r="K208" s="619" t="s">
        <v>4574</v>
      </c>
      <c r="L208" s="346" t="s">
        <v>4575</v>
      </c>
      <c r="M208" s="619" t="s">
        <v>4576</v>
      </c>
      <c r="N208" s="346" t="s">
        <v>4577</v>
      </c>
      <c r="O208" s="619" t="s">
        <v>4578</v>
      </c>
      <c r="P208" s="346" t="s">
        <v>4579</v>
      </c>
      <c r="Q208" s="619" t="s">
        <v>4580</v>
      </c>
      <c r="R208" s="346" t="s">
        <v>4581</v>
      </c>
      <c r="S208" s="619" t="s">
        <v>4582</v>
      </c>
      <c r="T208" s="346" t="s">
        <v>4583</v>
      </c>
      <c r="U208" s="619" t="s">
        <v>4584</v>
      </c>
      <c r="V208" s="346" t="s">
        <v>4585</v>
      </c>
      <c r="W208" s="619" t="s">
        <v>4586</v>
      </c>
      <c r="X208" s="346" t="s">
        <v>4587</v>
      </c>
      <c r="Y208" s="619" t="s">
        <v>4588</v>
      </c>
      <c r="Z208" s="346" t="s">
        <v>4589</v>
      </c>
      <c r="AA208" s="619" t="s">
        <v>4590</v>
      </c>
      <c r="AB208" s="346" t="s">
        <v>4591</v>
      </c>
      <c r="AC208" s="619" t="s">
        <v>4592</v>
      </c>
      <c r="AD208" s="346" t="s">
        <v>4593</v>
      </c>
      <c r="AE208" s="619" t="s">
        <v>4594</v>
      </c>
      <c r="AF208" s="346" t="s">
        <v>4595</v>
      </c>
      <c r="AG208" s="619" t="s">
        <v>4596</v>
      </c>
      <c r="AH208" s="346" t="s">
        <v>4597</v>
      </c>
      <c r="AI208" s="619" t="s">
        <v>4598</v>
      </c>
      <c r="AJ208" s="346" t="s">
        <v>4599</v>
      </c>
      <c r="AK208" s="619" t="s">
        <v>4600</v>
      </c>
      <c r="AL208" s="346" t="s">
        <v>4601</v>
      </c>
      <c r="AM208" s="619" t="s">
        <v>4602</v>
      </c>
      <c r="AN208" s="554" t="s">
        <v>4603</v>
      </c>
      <c r="AO208" s="429" t="s">
        <v>4604</v>
      </c>
      <c r="AP208" s="346" t="s">
        <v>4605</v>
      </c>
      <c r="AQ208" s="619" t="s">
        <v>4606</v>
      </c>
      <c r="AR208" s="346" t="s">
        <v>4934</v>
      </c>
      <c r="AS208" s="345" t="s">
        <v>4935</v>
      </c>
      <c r="AT208" s="346" t="s">
        <v>4936</v>
      </c>
      <c r="AU208" s="619" t="s">
        <v>4937</v>
      </c>
      <c r="AV208" s="349" t="s">
        <v>5234</v>
      </c>
      <c r="AW208" s="554" t="s">
        <v>5235</v>
      </c>
      <c r="AX208" s="619" t="s">
        <v>5236</v>
      </c>
      <c r="AY208" s="346" t="s">
        <v>5237</v>
      </c>
      <c r="AZ208" s="6" t="str">
        <f>CB208&amp;CC208&amp;CE208&amp;CF208&amp;CG208&amp;CI208&amp;CJ208&amp;CL208</f>
        <v xml:space="preserve">  * La  variable Gestantes No puede ser mayor al Total Mujeres.  * La variable Madre de hijo menor de 5 años No puede ser mayor al Total Mujeres.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Mujeres No puede ser mayor al Total.  * La variable Trans Masculino No puede ser mayor al Total Mujeres.  * La variable Adolescentes derivados de Espacios Amigables No puede ser mayor al Total.</v>
      </c>
      <c r="CB208" s="135" t="str">
        <f t="shared" ref="CB208:CB226" si="140">IF(AND(F208&gt;0,AO208=""), "* No olvide digitar la variable Gestantes. Digite Cero si no tiene.",IF(AO208&gt;F208,"  * La  variable Gestantes No puede ser mayor al Total Mujeres.",""))</f>
        <v xml:space="preserve">  * La  variable Gestantes No puede ser mayor al Total Mujeres.</v>
      </c>
      <c r="CC208" s="135" t="str">
        <f>IF(AND(F208&gt;0,AP208=""), "* No olvide digitar la variable Madre de hijo menor de 5 años. Digite Cero si no tiene.",IF(AP208&gt;F208,"  * La variable Madre de hijo menor de 5 años No puede ser mayor al Total Mujeres.",""))</f>
        <v xml:space="preserve">  * La variable Madre de hijo menor de 5 años No puede ser mayor al Total Mujeres.</v>
      </c>
      <c r="CD208" s="178"/>
      <c r="CE208" s="135" t="str">
        <f t="shared" ref="CE208:CE241" si="141">IF(AND(F208&gt;0,OR(AR208="")), "* No olvide digitar la variable Pueblos originarios - Mujeres. Digite Cero si no tiene.",IF((AR208)&gt;F208,"  * La variable Pueblos originarios - Mujeres No puede ser mayor al Total.",""))</f>
        <v xml:space="preserve">  * La variable Pueblos originarios - Mujeres No puede ser mayor al Total.</v>
      </c>
      <c r="CF208" s="135" t="str">
        <f t="shared" ref="CF208:CF241" si="142">IF(AND(D208&gt;0,AS208=""), "* No olvide digitar la variable Niños, niñas, adolescentes y jóvenes SENAME. Digite Cero si no tiene.",IF(AS208&gt;D208,"  * La variable Niños, niñas, adolescentes y jóvenes SENAME No puede ser mayor al Total.",""))</f>
        <v xml:space="preserve">  * La variable Niños, niñas, adolescentes y jóvenes SENAME No puede ser mayor al Total.</v>
      </c>
      <c r="CG208" s="135" t="str">
        <f>IF(AND(D208&gt;0,AT208=""), "* No olvide digitar la variable Niños, niñas, adolescentes y jóvenes Mejor Niñez. Digite Cero si no tiene.",IF(AT208&gt;D208,"  * La variable Niños, niñas, adolescentes y jóvenes Mejor Niñez No puede ser mayor al Total.",""))</f>
        <v xml:space="preserve">  * La variable Niños, niñas, adolescentes y jóvenes Mejor Niñez No puede ser mayor al Total.</v>
      </c>
      <c r="CH208" s="178"/>
      <c r="CI208" s="135" t="str">
        <f>IF(AND(F208&gt;0,OR(AV208="")), "* No olvide digitar la variable Migrantes - Mujeres. Digite Cero si no tiene.",IF((AV208)&gt;F208,"  * La variable Migrantes - Mujeres No puede ser mayor al Total.",""))</f>
        <v xml:space="preserve">  * La variable Migrantes - Mujeres No puede ser mayor al Total.</v>
      </c>
      <c r="CJ208" s="135" t="str">
        <f t="shared" si="138"/>
        <v xml:space="preserve">  * La variable Trans Masculino No puede ser mayor al Total Mujeres.</v>
      </c>
      <c r="CK208" s="427"/>
      <c r="CL208" s="135" t="str">
        <f>IF(AND($D208&gt;0,AY208=""), "* No olvide digitar la variable Adolescentes derivados de Espacios Amigables. Digite Cero si no tiene.",IF(AY208&gt;$D208,"  * La variable Adolescentes derivados de Espacios Amigables No puede ser mayor al Total.",""))</f>
        <v xml:space="preserve">  * La variable Adolescentes derivados de Espacios Amigables No puede ser mayor al Total.</v>
      </c>
      <c r="CM208" s="6"/>
      <c r="CP208" s="55">
        <f t="shared" ref="CP208:CP226" si="143">IF(AND(F208&gt;0,AO208=""),1,IF(AO208&gt;F208,1,0))</f>
        <v>1</v>
      </c>
      <c r="CQ208" s="55">
        <f t="shared" ref="CQ208:CQ217" si="144">IF(AND(F208&gt;0,AP208=""),1,IF(AP208&gt;F208,1,0))</f>
        <v>1</v>
      </c>
      <c r="CR208" s="432"/>
      <c r="CS208" s="55">
        <f t="shared" ref="CS208:CS241" si="145">IF(AND(F208&gt;0,OR(AR208="")),1,IF((AR208)&gt;F208,1,0))</f>
        <v>1</v>
      </c>
      <c r="CT208" s="55">
        <f t="shared" ref="CT208:CT241" si="146">IF(AND(D208&gt;0,AS208=""),1,IF(AS208&gt;D208,1,0))</f>
        <v>1</v>
      </c>
      <c r="CU208" s="55">
        <f t="shared" ref="CU208:CU241" si="147">IF(AND(D208&gt;0,AT208=""),1,IF(AT208&gt;D208,1,0))</f>
        <v>1</v>
      </c>
      <c r="CV208" s="432"/>
      <c r="CW208" s="55">
        <f t="shared" ref="CW208:CW241" si="148">IF(AND(F208&gt;0,OR(AV208="")),1,IF((AV208)&gt;F208,1,0))</f>
        <v>1</v>
      </c>
      <c r="CX208" s="55">
        <f>IF(AND(F208&gt;0,OR(AW208="")),1,IF((AW208)&gt;F208,1,0))</f>
        <v>1</v>
      </c>
      <c r="CY208" s="432"/>
      <c r="CZ208" s="55">
        <f t="shared" si="136"/>
        <v>1</v>
      </c>
    </row>
    <row r="209" spans="1:104" ht="15" customHeight="1" x14ac:dyDescent="0.25">
      <c r="A209" s="5677" t="s">
        <v>5066</v>
      </c>
      <c r="B209" s="6112"/>
      <c r="C209" s="499" t="s">
        <v>865</v>
      </c>
      <c r="D209" s="647" t="s">
        <v>4567</v>
      </c>
      <c r="E209" s="641" t="s">
        <v>4568</v>
      </c>
      <c r="F209" s="499" t="s">
        <v>4569</v>
      </c>
      <c r="G209" s="290" t="s">
        <v>4570</v>
      </c>
      <c r="H209" s="107" t="s">
        <v>4571</v>
      </c>
      <c r="I209" s="290" t="s">
        <v>4572</v>
      </c>
      <c r="J209" s="107" t="s">
        <v>4573</v>
      </c>
      <c r="K209" s="290" t="s">
        <v>4574</v>
      </c>
      <c r="L209" s="107" t="s">
        <v>4575</v>
      </c>
      <c r="M209" s="290" t="s">
        <v>4576</v>
      </c>
      <c r="N209" s="107" t="s">
        <v>4577</v>
      </c>
      <c r="O209" s="290" t="s">
        <v>4578</v>
      </c>
      <c r="P209" s="107" t="s">
        <v>4579</v>
      </c>
      <c r="Q209" s="290" t="s">
        <v>4580</v>
      </c>
      <c r="R209" s="107" t="s">
        <v>4581</v>
      </c>
      <c r="S209" s="290" t="s">
        <v>4582</v>
      </c>
      <c r="T209" s="107" t="s">
        <v>4583</v>
      </c>
      <c r="U209" s="290" t="s">
        <v>4584</v>
      </c>
      <c r="V209" s="107" t="s">
        <v>4585</v>
      </c>
      <c r="W209" s="290" t="s">
        <v>4586</v>
      </c>
      <c r="X209" s="107" t="s">
        <v>4587</v>
      </c>
      <c r="Y209" s="290" t="s">
        <v>4588</v>
      </c>
      <c r="Z209" s="107" t="s">
        <v>4589</v>
      </c>
      <c r="AA209" s="290" t="s">
        <v>4590</v>
      </c>
      <c r="AB209" s="107" t="s">
        <v>4591</v>
      </c>
      <c r="AC209" s="290" t="s">
        <v>4592</v>
      </c>
      <c r="AD209" s="107" t="s">
        <v>4593</v>
      </c>
      <c r="AE209" s="290" t="s">
        <v>4594</v>
      </c>
      <c r="AF209" s="107" t="s">
        <v>4595</v>
      </c>
      <c r="AG209" s="290" t="s">
        <v>4596</v>
      </c>
      <c r="AH209" s="107" t="s">
        <v>4597</v>
      </c>
      <c r="AI209" s="290" t="s">
        <v>4598</v>
      </c>
      <c r="AJ209" s="107" t="s">
        <v>4599</v>
      </c>
      <c r="AK209" s="290" t="s">
        <v>4600</v>
      </c>
      <c r="AL209" s="107" t="s">
        <v>4601</v>
      </c>
      <c r="AM209" s="290" t="s">
        <v>4602</v>
      </c>
      <c r="AN209" s="65" t="s">
        <v>4603</v>
      </c>
      <c r="AO209" s="296" t="s">
        <v>4604</v>
      </c>
      <c r="AP209" s="107" t="s">
        <v>4605</v>
      </c>
      <c r="AQ209" s="290" t="s">
        <v>4606</v>
      </c>
      <c r="AR209" s="107" t="s">
        <v>4934</v>
      </c>
      <c r="AS209" s="290" t="s">
        <v>4935</v>
      </c>
      <c r="AT209" s="107" t="s">
        <v>4936</v>
      </c>
      <c r="AU209" s="65" t="s">
        <v>4937</v>
      </c>
      <c r="AV209" s="622" t="s">
        <v>5234</v>
      </c>
      <c r="AW209" s="65" t="s">
        <v>5235</v>
      </c>
      <c r="AX209" s="622" t="s">
        <v>5236</v>
      </c>
      <c r="AY209" s="107" t="s">
        <v>5237</v>
      </c>
      <c r="AZ209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9" s="135" t="str">
        <f t="shared" ref="CB209:CB217" si="149">IF(AND(F209&gt;0,AO209=""), "* No olvide digitar la variable Gestantes. Digite Cero si no tiene.",IF(AO209&gt;F209,"  * La variable Gestantes No puede ser mayor al Total Mujeres.",""))</f>
        <v xml:space="preserve">  * La variable Gestantes No puede ser mayor al Total Mujeres.</v>
      </c>
      <c r="CC209" s="135" t="str">
        <f t="shared" ref="CC209:CC217" si="150">IF(AND(F209&gt;0,AP209=""), "* No olvide digitar la variable Madre de hijo menor de 5 años. Digite Cero si no tiene.",IF(AP209&gt;F209,"  * La variable Madre de hijo menor de 5 años No puede ser mayor al Total de Mujeres.",""))</f>
        <v xml:space="preserve">  * La variable Madre de hijo menor de 5 años No puede ser mayor al Total de Mujeres.</v>
      </c>
      <c r="CD209" s="135" t="str">
        <f t="shared" ref="CD209:CD217" si="151">IF(AND(E209&gt;0,OR(AQ209="")), "* No olvide digitar la variable Pueblos originarios - Hombres. Digite Cero si no tiene.",IF((AQ209)&gt;E209,"  * La variable Pueblos originarios - Hombres No puede ser mayor al Total Hombres.",""))</f>
        <v xml:space="preserve">  * La variable Pueblos originarios - Hombres No puede ser mayor al Total Hombres.</v>
      </c>
      <c r="CE209" s="135" t="str">
        <f t="shared" ref="CE209:CE217" si="152">IF(AND(F209&gt;0,OR(AR209="")), "* No olvide digitar la variable Pueblos originarios - Mujeres. Digite Cero si no tiene.",IF((AR209)&gt;F209,"  * La variable Pueblos originarios - Mujeres No puede ser mayor al Total Mujeres.",""))</f>
        <v xml:space="preserve">  * La variable Pueblos originarios - Mujeres No puede ser mayor al Total Mujeres.</v>
      </c>
      <c r="CF209" s="135" t="str">
        <f t="shared" ref="CF209:CF217" si="153">IF(AND($D209&gt;0,AS209=""), "* No olvide digitar la variable Niños, niñas, adolescentes y jóvenes SENAME. Digite Cero si no tiene.",IF(AS209&gt;$D209,"  * La variable Niños, niñas, adolescentes y jóvenes SENAME No puede ser mayor al Total.",""))</f>
        <v xml:space="preserve">  * La variable Niños, niñas, adolescentes y jóvenes SENAME No puede ser mayor al Total.</v>
      </c>
      <c r="CG209" s="135" t="str">
        <f t="shared" ref="CG209:CG217" si="154">IF(AND(D209&gt;0,AT209=""), "* No olvide digitar la variable Niños, niñas, adolescentes y jóvenes Mejor Niñez. Digite Cero si no tiene.",IF(AT209&gt;D209,"  * La variable Niños, niñas, adolescentes y jóvenes Mejor Niñez No puede ser mayor al Total.",""))</f>
        <v xml:space="preserve">  * La variable Niños, niñas, adolescentes y jóvenes Mejor Niñez No puede ser mayor al Total.</v>
      </c>
      <c r="CH209" s="135" t="str">
        <f t="shared" si="137"/>
        <v xml:space="preserve">  * La variable Migrantes - Hombres No puede ser mayor al Total Hombres.</v>
      </c>
      <c r="CI209" s="135" t="str">
        <f t="shared" ref="CI209:CI217" si="155">IF(AND(F209&gt;0,OR(AV209="")), "* No olvide digitar la variable Migrantes - Mujeres. Digite Cero si no tiene.",IF((AV209)&gt;F209,"  * La variable Migrantes - Mujeres No puede ser mayor al Total Mujeres.",""))</f>
        <v xml:space="preserve">  * La variable Migrantes - Mujeres No puede ser mayor al Total Mujeres.</v>
      </c>
      <c r="CJ209" s="135" t="str">
        <f t="shared" ref="CJ209:CJ241" si="156">IF(AND(F209&gt;0,OR(AW209="")), "* No olvide digitar la variable Trans Masculino. Digite Cero si no tiene.",IF((AW209)&gt;F209,"  * La variable Trans Masculino No puede ser mayor al Total Mujeres.",""))</f>
        <v xml:space="preserve">  * La variable Trans Masculino No puede ser mayor al Total Mujeres.</v>
      </c>
      <c r="CK209" s="135" t="str">
        <f t="shared" ref="CK209:CK241" si="157">IF(AND(E209&gt;0,OR(AX209="")), "* No olvide digitar la variable Trans Femenino. Digite Cero si no tiene.",IF((AX209)&gt;E209,"  * La variable Trans Femenino No puede ser mayor al Total Hombres.",""))</f>
        <v xml:space="preserve">  * La variable Trans Femenino No puede ser mayor al Total Hombres.</v>
      </c>
      <c r="CL209" s="135" t="str">
        <f t="shared" ref="CL209:CL217" si="158">IF(AND($D209&gt;0,AY209=""), "* No olvide digitar la variable Adolescentes derivados de Espacios Amigables. Digite Cero si no tiene.",IF(AY209&gt;$D209,"  * La variable Adolescentes derivados de Espacios Amigables No puede ser mayor al Total.",""))</f>
        <v xml:space="preserve">  * La variable Adolescentes derivados de Espacios Amigables No puede ser mayor al Total.</v>
      </c>
      <c r="CM209" s="6"/>
      <c r="CP209" s="55">
        <f t="shared" si="143"/>
        <v>1</v>
      </c>
      <c r="CQ209" s="55">
        <f t="shared" si="144"/>
        <v>1</v>
      </c>
      <c r="CR209" s="55">
        <f t="shared" ref="CR209:CR241" si="159">IF(AND(E209&gt;0,OR(AQ209="")),1,IF((AQ209)&gt;E209,1,0))</f>
        <v>1</v>
      </c>
      <c r="CS209" s="55">
        <f t="shared" si="145"/>
        <v>1</v>
      </c>
      <c r="CT209" s="55">
        <f t="shared" si="146"/>
        <v>1</v>
      </c>
      <c r="CU209" s="55">
        <f t="shared" si="147"/>
        <v>1</v>
      </c>
      <c r="CV209" s="55">
        <f t="shared" ref="CV209:CV241" si="160">IF(AND(E209&gt;0,OR(AU209="")),1,IF((AU209)&gt;E209,1,0))</f>
        <v>1</v>
      </c>
      <c r="CW209" s="55">
        <f t="shared" si="148"/>
        <v>1</v>
      </c>
      <c r="CX209" s="55">
        <f t="shared" ref="CX209:CX241" si="161">IF(AND(F209&gt;0,OR(AW209="")),1,IF((AW209)&gt;F209,1,0))</f>
        <v>1</v>
      </c>
      <c r="CY209" s="55">
        <f t="shared" ref="CY209:CY241" si="162">IF(AND(E209&gt;0,OR(AX209="")),1,IF((AX209)&gt;E209,1,0))</f>
        <v>1</v>
      </c>
      <c r="CZ209" s="55">
        <f t="shared" si="136"/>
        <v>1</v>
      </c>
    </row>
    <row r="210" spans="1:104" ht="15" customHeight="1" x14ac:dyDescent="0.25">
      <c r="A210" s="5677" t="s">
        <v>5067</v>
      </c>
      <c r="B210" s="6112"/>
      <c r="C210" s="68" t="s">
        <v>866</v>
      </c>
      <c r="D210" s="647" t="s">
        <v>4567</v>
      </c>
      <c r="E210" s="648" t="s">
        <v>4568</v>
      </c>
      <c r="F210" s="499" t="s">
        <v>4569</v>
      </c>
      <c r="G210" s="345" t="s">
        <v>4570</v>
      </c>
      <c r="H210" s="346" t="s">
        <v>4571</v>
      </c>
      <c r="I210" s="345" t="s">
        <v>4572</v>
      </c>
      <c r="J210" s="346" t="s">
        <v>4573</v>
      </c>
      <c r="K210" s="345" t="s">
        <v>4574</v>
      </c>
      <c r="L210" s="346" t="s">
        <v>4575</v>
      </c>
      <c r="M210" s="345" t="s">
        <v>4576</v>
      </c>
      <c r="N210" s="346" t="s">
        <v>4577</v>
      </c>
      <c r="O210" s="345" t="s">
        <v>4578</v>
      </c>
      <c r="P210" s="346" t="s">
        <v>4579</v>
      </c>
      <c r="Q210" s="345" t="s">
        <v>4580</v>
      </c>
      <c r="R210" s="346" t="s">
        <v>4581</v>
      </c>
      <c r="S210" s="345" t="s">
        <v>4582</v>
      </c>
      <c r="T210" s="346" t="s">
        <v>4583</v>
      </c>
      <c r="U210" s="345" t="s">
        <v>4584</v>
      </c>
      <c r="V210" s="346" t="s">
        <v>4585</v>
      </c>
      <c r="W210" s="345" t="s">
        <v>4586</v>
      </c>
      <c r="X210" s="346" t="s">
        <v>4587</v>
      </c>
      <c r="Y210" s="345" t="s">
        <v>4588</v>
      </c>
      <c r="Z210" s="346" t="s">
        <v>4589</v>
      </c>
      <c r="AA210" s="345" t="s">
        <v>4590</v>
      </c>
      <c r="AB210" s="346" t="s">
        <v>4591</v>
      </c>
      <c r="AC210" s="345" t="s">
        <v>4592</v>
      </c>
      <c r="AD210" s="346" t="s">
        <v>4593</v>
      </c>
      <c r="AE210" s="345" t="s">
        <v>4594</v>
      </c>
      <c r="AF210" s="346" t="s">
        <v>4595</v>
      </c>
      <c r="AG210" s="345" t="s">
        <v>4596</v>
      </c>
      <c r="AH210" s="346" t="s">
        <v>4597</v>
      </c>
      <c r="AI210" s="345" t="s">
        <v>4598</v>
      </c>
      <c r="AJ210" s="346" t="s">
        <v>4599</v>
      </c>
      <c r="AK210" s="345" t="s">
        <v>4600</v>
      </c>
      <c r="AL210" s="346" t="s">
        <v>4601</v>
      </c>
      <c r="AM210" s="345" t="s">
        <v>4602</v>
      </c>
      <c r="AN210" s="554" t="s">
        <v>4603</v>
      </c>
      <c r="AO210" s="429" t="s">
        <v>4604</v>
      </c>
      <c r="AP210" s="346" t="s">
        <v>4605</v>
      </c>
      <c r="AQ210" s="345" t="s">
        <v>4606</v>
      </c>
      <c r="AR210" s="42" t="s">
        <v>4934</v>
      </c>
      <c r="AS210" s="47" t="s">
        <v>4935</v>
      </c>
      <c r="AT210" s="42" t="s">
        <v>4936</v>
      </c>
      <c r="AU210" s="66" t="s">
        <v>4937</v>
      </c>
      <c r="AV210" s="95" t="s">
        <v>5234</v>
      </c>
      <c r="AW210" s="66" t="s">
        <v>5235</v>
      </c>
      <c r="AX210" s="95" t="s">
        <v>5236</v>
      </c>
      <c r="AY210" s="42" t="s">
        <v>5237</v>
      </c>
      <c r="AZ210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0" s="135" t="str">
        <f t="shared" si="149"/>
        <v xml:space="preserve">  * La variable Gestantes No puede ser mayor al Total Mujeres.</v>
      </c>
      <c r="CC210" s="135" t="str">
        <f t="shared" si="150"/>
        <v xml:space="preserve">  * La variable Madre de hijo menor de 5 años No puede ser mayor al Total de Mujeres.</v>
      </c>
      <c r="CD210" s="135" t="str">
        <f t="shared" si="151"/>
        <v xml:space="preserve">  * La variable Pueblos originarios - Hombres No puede ser mayor al Total Hombres.</v>
      </c>
      <c r="CE210" s="135" t="str">
        <f t="shared" si="152"/>
        <v xml:space="preserve">  * La variable Pueblos originarios - Mujeres No puede ser mayor al Total Mujeres.</v>
      </c>
      <c r="CF210" s="135" t="str">
        <f t="shared" si="153"/>
        <v xml:space="preserve">  * La variable Niños, niñas, adolescentes y jóvenes SENAME No puede ser mayor al Total.</v>
      </c>
      <c r="CG210" s="135" t="str">
        <f t="shared" si="154"/>
        <v xml:space="preserve">  * La variable Niños, niñas, adolescentes y jóvenes Mejor Niñez No puede ser mayor al Total.</v>
      </c>
      <c r="CH210" s="135" t="str">
        <f t="shared" si="137"/>
        <v xml:space="preserve">  * La variable Migrantes - Hombres No puede ser mayor al Total Hombres.</v>
      </c>
      <c r="CI210" s="135" t="str">
        <f t="shared" si="155"/>
        <v xml:space="preserve">  * La variable Migrantes - Mujeres No puede ser mayor al Total Mujeres.</v>
      </c>
      <c r="CJ210" s="135" t="str">
        <f t="shared" si="156"/>
        <v xml:space="preserve">  * La variable Trans Masculino No puede ser mayor al Total Mujeres.</v>
      </c>
      <c r="CK210" s="135" t="str">
        <f t="shared" si="157"/>
        <v xml:space="preserve">  * La variable Trans Femenino No puede ser mayor al Total Hombres.</v>
      </c>
      <c r="CL210" s="135" t="str">
        <f t="shared" si="158"/>
        <v xml:space="preserve">  * La variable Adolescentes derivados de Espacios Amigables No puede ser mayor al Total.</v>
      </c>
      <c r="CM210" s="6"/>
      <c r="CP210" s="55">
        <f t="shared" si="143"/>
        <v>1</v>
      </c>
      <c r="CQ210" s="55">
        <f t="shared" si="144"/>
        <v>1</v>
      </c>
      <c r="CR210" s="55">
        <f t="shared" si="159"/>
        <v>1</v>
      </c>
      <c r="CS210" s="55">
        <f t="shared" si="145"/>
        <v>1</v>
      </c>
      <c r="CT210" s="55">
        <f t="shared" si="146"/>
        <v>1</v>
      </c>
      <c r="CU210" s="55">
        <f t="shared" si="147"/>
        <v>1</v>
      </c>
      <c r="CV210" s="55">
        <f t="shared" si="160"/>
        <v>1</v>
      </c>
      <c r="CW210" s="55">
        <f t="shared" si="148"/>
        <v>1</v>
      </c>
      <c r="CX210" s="55">
        <f t="shared" si="161"/>
        <v>1</v>
      </c>
      <c r="CY210" s="55">
        <f t="shared" si="162"/>
        <v>1</v>
      </c>
      <c r="CZ210" s="55">
        <f t="shared" si="136"/>
        <v>1</v>
      </c>
    </row>
    <row r="211" spans="1:104" ht="15" customHeight="1" x14ac:dyDescent="0.25">
      <c r="A211" s="5677" t="s">
        <v>5068</v>
      </c>
      <c r="B211" s="6112"/>
      <c r="C211" s="650" t="s">
        <v>867</v>
      </c>
      <c r="D211" s="647" t="s">
        <v>4567</v>
      </c>
      <c r="E211" s="648" t="s">
        <v>4568</v>
      </c>
      <c r="F211" s="499" t="s">
        <v>4569</v>
      </c>
      <c r="G211" s="345" t="s">
        <v>4570</v>
      </c>
      <c r="H211" s="346" t="s">
        <v>4571</v>
      </c>
      <c r="I211" s="345" t="s">
        <v>4572</v>
      </c>
      <c r="J211" s="346" t="s">
        <v>4573</v>
      </c>
      <c r="K211" s="345" t="s">
        <v>4574</v>
      </c>
      <c r="L211" s="346" t="s">
        <v>4575</v>
      </c>
      <c r="M211" s="345" t="s">
        <v>4576</v>
      </c>
      <c r="N211" s="346" t="s">
        <v>4577</v>
      </c>
      <c r="O211" s="345" t="s">
        <v>4578</v>
      </c>
      <c r="P211" s="346" t="s">
        <v>4579</v>
      </c>
      <c r="Q211" s="345" t="s">
        <v>4580</v>
      </c>
      <c r="R211" s="346" t="s">
        <v>4581</v>
      </c>
      <c r="S211" s="345" t="s">
        <v>4582</v>
      </c>
      <c r="T211" s="346" t="s">
        <v>4583</v>
      </c>
      <c r="U211" s="345" t="s">
        <v>4584</v>
      </c>
      <c r="V211" s="346" t="s">
        <v>4585</v>
      </c>
      <c r="W211" s="345" t="s">
        <v>4586</v>
      </c>
      <c r="X211" s="346" t="s">
        <v>4587</v>
      </c>
      <c r="Y211" s="345" t="s">
        <v>4588</v>
      </c>
      <c r="Z211" s="346" t="s">
        <v>4589</v>
      </c>
      <c r="AA211" s="345" t="s">
        <v>4590</v>
      </c>
      <c r="AB211" s="346" t="s">
        <v>4591</v>
      </c>
      <c r="AC211" s="345" t="s">
        <v>4592</v>
      </c>
      <c r="AD211" s="346" t="s">
        <v>4593</v>
      </c>
      <c r="AE211" s="345" t="s">
        <v>4594</v>
      </c>
      <c r="AF211" s="346" t="s">
        <v>4595</v>
      </c>
      <c r="AG211" s="345" t="s">
        <v>4596</v>
      </c>
      <c r="AH211" s="346" t="s">
        <v>4597</v>
      </c>
      <c r="AI211" s="345" t="s">
        <v>4598</v>
      </c>
      <c r="AJ211" s="346" t="s">
        <v>4599</v>
      </c>
      <c r="AK211" s="345" t="s">
        <v>4600</v>
      </c>
      <c r="AL211" s="346" t="s">
        <v>4601</v>
      </c>
      <c r="AM211" s="345" t="s">
        <v>4602</v>
      </c>
      <c r="AN211" s="554" t="s">
        <v>4603</v>
      </c>
      <c r="AO211" s="429" t="s">
        <v>4604</v>
      </c>
      <c r="AP211" s="346" t="s">
        <v>4605</v>
      </c>
      <c r="AQ211" s="345" t="s">
        <v>4606</v>
      </c>
      <c r="AR211" s="2" t="s">
        <v>4934</v>
      </c>
      <c r="AS211" s="192" t="s">
        <v>4935</v>
      </c>
      <c r="AT211" s="2" t="s">
        <v>4936</v>
      </c>
      <c r="AU211" s="64" t="s">
        <v>4937</v>
      </c>
      <c r="AV211" s="382" t="s">
        <v>5234</v>
      </c>
      <c r="AW211" s="64" t="s">
        <v>5235</v>
      </c>
      <c r="AX211" s="382" t="s">
        <v>5236</v>
      </c>
      <c r="AY211" s="2" t="s">
        <v>5237</v>
      </c>
      <c r="AZ211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1" s="135" t="str">
        <f t="shared" si="149"/>
        <v xml:space="preserve">  * La variable Gestantes No puede ser mayor al Total Mujeres.</v>
      </c>
      <c r="CC211" s="135" t="str">
        <f t="shared" si="150"/>
        <v xml:space="preserve">  * La variable Madre de hijo menor de 5 años No puede ser mayor al Total de Mujeres.</v>
      </c>
      <c r="CD211" s="135" t="str">
        <f t="shared" si="151"/>
        <v xml:space="preserve">  * La variable Pueblos originarios - Hombres No puede ser mayor al Total Hombres.</v>
      </c>
      <c r="CE211" s="135" t="str">
        <f t="shared" si="152"/>
        <v xml:space="preserve">  * La variable Pueblos originarios - Mujeres No puede ser mayor al Total Mujeres.</v>
      </c>
      <c r="CF211" s="135" t="str">
        <f t="shared" si="153"/>
        <v xml:space="preserve">  * La variable Niños, niñas, adolescentes y jóvenes SENAME No puede ser mayor al Total.</v>
      </c>
      <c r="CG211" s="135" t="str">
        <f t="shared" si="154"/>
        <v xml:space="preserve">  * La variable Niños, niñas, adolescentes y jóvenes Mejor Niñez No puede ser mayor al Total.</v>
      </c>
      <c r="CH211" s="135" t="str">
        <f t="shared" si="137"/>
        <v xml:space="preserve">  * La variable Migrantes - Hombres No puede ser mayor al Total Hombres.</v>
      </c>
      <c r="CI211" s="135" t="str">
        <f t="shared" si="155"/>
        <v xml:space="preserve">  * La variable Migrantes - Mujeres No puede ser mayor al Total Mujeres.</v>
      </c>
      <c r="CJ211" s="135" t="str">
        <f t="shared" si="156"/>
        <v xml:space="preserve">  * La variable Trans Masculino No puede ser mayor al Total Mujeres.</v>
      </c>
      <c r="CK211" s="135" t="str">
        <f t="shared" si="157"/>
        <v xml:space="preserve">  * La variable Trans Femenino No puede ser mayor al Total Hombres.</v>
      </c>
      <c r="CL211" s="135" t="str">
        <f t="shared" si="158"/>
        <v xml:space="preserve">  * La variable Adolescentes derivados de Espacios Amigables No puede ser mayor al Total.</v>
      </c>
      <c r="CM211" s="6"/>
      <c r="CP211" s="55">
        <f t="shared" si="143"/>
        <v>1</v>
      </c>
      <c r="CQ211" s="55">
        <f t="shared" si="144"/>
        <v>1</v>
      </c>
      <c r="CR211" s="55">
        <f t="shared" si="159"/>
        <v>1</v>
      </c>
      <c r="CS211" s="55">
        <f t="shared" si="145"/>
        <v>1</v>
      </c>
      <c r="CT211" s="55">
        <f t="shared" si="146"/>
        <v>1</v>
      </c>
      <c r="CU211" s="55">
        <f t="shared" si="147"/>
        <v>1</v>
      </c>
      <c r="CV211" s="55">
        <f t="shared" si="160"/>
        <v>1</v>
      </c>
      <c r="CW211" s="55">
        <f t="shared" si="148"/>
        <v>1</v>
      </c>
      <c r="CX211" s="55">
        <f t="shared" si="161"/>
        <v>1</v>
      </c>
      <c r="CY211" s="55">
        <f t="shared" si="162"/>
        <v>1</v>
      </c>
      <c r="CZ211" s="55">
        <f t="shared" si="136"/>
        <v>1</v>
      </c>
    </row>
    <row r="212" spans="1:104" ht="15" customHeight="1" x14ac:dyDescent="0.25">
      <c r="A212" s="5677" t="s">
        <v>5069</v>
      </c>
      <c r="B212" s="6059"/>
      <c r="C212" s="69" t="s">
        <v>868</v>
      </c>
      <c r="D212" s="200" t="s">
        <v>4567</v>
      </c>
      <c r="E212" s="374" t="s">
        <v>4568</v>
      </c>
      <c r="F212" s="52" t="s">
        <v>4569</v>
      </c>
      <c r="G212" s="1709" t="s">
        <v>4570</v>
      </c>
      <c r="H212" s="1710" t="s">
        <v>4571</v>
      </c>
      <c r="I212" s="192" t="s">
        <v>4572</v>
      </c>
      <c r="J212" s="2" t="s">
        <v>4573</v>
      </c>
      <c r="K212" s="192" t="s">
        <v>4574</v>
      </c>
      <c r="L212" s="2" t="s">
        <v>4575</v>
      </c>
      <c r="M212" s="192" t="s">
        <v>4576</v>
      </c>
      <c r="N212" s="2" t="s">
        <v>4577</v>
      </c>
      <c r="O212" s="192" t="s">
        <v>4578</v>
      </c>
      <c r="P212" s="2" t="s">
        <v>4579</v>
      </c>
      <c r="Q212" s="192" t="s">
        <v>4580</v>
      </c>
      <c r="R212" s="2" t="s">
        <v>4581</v>
      </c>
      <c r="S212" s="192" t="s">
        <v>4582</v>
      </c>
      <c r="T212" s="2" t="s">
        <v>4583</v>
      </c>
      <c r="U212" s="192" t="s">
        <v>4584</v>
      </c>
      <c r="V212" s="2" t="s">
        <v>4585</v>
      </c>
      <c r="W212" s="192" t="s">
        <v>4586</v>
      </c>
      <c r="X212" s="2" t="s">
        <v>4587</v>
      </c>
      <c r="Y212" s="192" t="s">
        <v>4588</v>
      </c>
      <c r="Z212" s="2" t="s">
        <v>4589</v>
      </c>
      <c r="AA212" s="192" t="s">
        <v>4590</v>
      </c>
      <c r="AB212" s="2" t="s">
        <v>4591</v>
      </c>
      <c r="AC212" s="192" t="s">
        <v>4592</v>
      </c>
      <c r="AD212" s="2" t="s">
        <v>4593</v>
      </c>
      <c r="AE212" s="192" t="s">
        <v>4594</v>
      </c>
      <c r="AF212" s="2" t="s">
        <v>4595</v>
      </c>
      <c r="AG212" s="192" t="s">
        <v>4596</v>
      </c>
      <c r="AH212" s="2" t="s">
        <v>4597</v>
      </c>
      <c r="AI212" s="192" t="s">
        <v>4598</v>
      </c>
      <c r="AJ212" s="2" t="s">
        <v>4599</v>
      </c>
      <c r="AK212" s="192" t="s">
        <v>4600</v>
      </c>
      <c r="AL212" s="2" t="s">
        <v>4601</v>
      </c>
      <c r="AM212" s="192" t="s">
        <v>4602</v>
      </c>
      <c r="AN212" s="64" t="s">
        <v>4603</v>
      </c>
      <c r="AO212" s="376" t="s">
        <v>4604</v>
      </c>
      <c r="AP212" s="2" t="s">
        <v>4605</v>
      </c>
      <c r="AQ212" s="192" t="s">
        <v>4606</v>
      </c>
      <c r="AR212" s="387" t="s">
        <v>4934</v>
      </c>
      <c r="AS212" s="379" t="s">
        <v>4935</v>
      </c>
      <c r="AT212" s="387" t="s">
        <v>4936</v>
      </c>
      <c r="AU212" s="557" t="s">
        <v>4937</v>
      </c>
      <c r="AV212" s="388" t="s">
        <v>5234</v>
      </c>
      <c r="AW212" s="557" t="s">
        <v>5235</v>
      </c>
      <c r="AX212" s="388" t="s">
        <v>5236</v>
      </c>
      <c r="AY212" s="387" t="s">
        <v>5237</v>
      </c>
      <c r="AZ212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2" s="135" t="str">
        <f t="shared" si="149"/>
        <v xml:space="preserve">  * La variable Gestantes No puede ser mayor al Total Mujeres.</v>
      </c>
      <c r="CC212" s="135" t="str">
        <f t="shared" si="150"/>
        <v xml:space="preserve">  * La variable Madre de hijo menor de 5 años No puede ser mayor al Total de Mujeres.</v>
      </c>
      <c r="CD212" s="135" t="str">
        <f t="shared" si="151"/>
        <v xml:space="preserve">  * La variable Pueblos originarios - Hombres No puede ser mayor al Total Hombres.</v>
      </c>
      <c r="CE212" s="135" t="str">
        <f t="shared" si="152"/>
        <v xml:space="preserve">  * La variable Pueblos originarios - Mujeres No puede ser mayor al Total Mujeres.</v>
      </c>
      <c r="CF212" s="135" t="str">
        <f t="shared" si="153"/>
        <v xml:space="preserve">  * La variable Niños, niñas, adolescentes y jóvenes SENAME No puede ser mayor al Total.</v>
      </c>
      <c r="CG212" s="135" t="str">
        <f t="shared" si="154"/>
        <v xml:space="preserve">  * La variable Niños, niñas, adolescentes y jóvenes Mejor Niñez No puede ser mayor al Total.</v>
      </c>
      <c r="CH212" s="135" t="str">
        <f t="shared" si="137"/>
        <v xml:space="preserve">  * La variable Migrantes - Hombres No puede ser mayor al Total Hombres.</v>
      </c>
      <c r="CI212" s="135" t="str">
        <f t="shared" si="155"/>
        <v xml:space="preserve">  * La variable Migrantes - Mujeres No puede ser mayor al Total Mujeres.</v>
      </c>
      <c r="CJ212" s="135" t="str">
        <f t="shared" si="156"/>
        <v xml:space="preserve">  * La variable Trans Masculino No puede ser mayor al Total Mujeres.</v>
      </c>
      <c r="CK212" s="135" t="str">
        <f t="shared" si="157"/>
        <v xml:space="preserve">  * La variable Trans Femenino No puede ser mayor al Total Hombres.</v>
      </c>
      <c r="CL212" s="135" t="str">
        <f t="shared" si="158"/>
        <v xml:space="preserve">  * La variable Adolescentes derivados de Espacios Amigables No puede ser mayor al Total.</v>
      </c>
      <c r="CM212" s="6"/>
      <c r="CP212" s="55">
        <f t="shared" si="143"/>
        <v>1</v>
      </c>
      <c r="CQ212" s="55">
        <f t="shared" si="144"/>
        <v>1</v>
      </c>
      <c r="CR212" s="55">
        <f t="shared" si="159"/>
        <v>1</v>
      </c>
      <c r="CS212" s="55">
        <f t="shared" si="145"/>
        <v>1</v>
      </c>
      <c r="CT212" s="55">
        <f t="shared" si="146"/>
        <v>1</v>
      </c>
      <c r="CU212" s="55">
        <f t="shared" si="147"/>
        <v>1</v>
      </c>
      <c r="CV212" s="55">
        <f t="shared" si="160"/>
        <v>1</v>
      </c>
      <c r="CW212" s="55">
        <f t="shared" si="148"/>
        <v>1</v>
      </c>
      <c r="CX212" s="55">
        <f t="shared" si="161"/>
        <v>1</v>
      </c>
      <c r="CY212" s="55">
        <f t="shared" si="162"/>
        <v>1</v>
      </c>
      <c r="CZ212" s="55">
        <f t="shared" si="136"/>
        <v>1</v>
      </c>
    </row>
    <row r="213" spans="1:104" ht="15" customHeight="1" x14ac:dyDescent="0.25">
      <c r="A213" s="5677" t="s">
        <v>5070</v>
      </c>
      <c r="B213" s="6453" t="s">
        <v>869</v>
      </c>
      <c r="C213" s="651" t="s">
        <v>870</v>
      </c>
      <c r="D213" s="638" t="s">
        <v>4567</v>
      </c>
      <c r="E213" s="639" t="s">
        <v>4568</v>
      </c>
      <c r="F213" s="640" t="s">
        <v>4569</v>
      </c>
      <c r="G213" s="473" t="s">
        <v>4570</v>
      </c>
      <c r="H213" s="566" t="s">
        <v>4571</v>
      </c>
      <c r="I213" s="473" t="s">
        <v>4572</v>
      </c>
      <c r="J213" s="566" t="s">
        <v>4573</v>
      </c>
      <c r="K213" s="473" t="s">
        <v>4574</v>
      </c>
      <c r="L213" s="566" t="s">
        <v>4575</v>
      </c>
      <c r="M213" s="473" t="s">
        <v>4576</v>
      </c>
      <c r="N213" s="566" t="s">
        <v>4577</v>
      </c>
      <c r="O213" s="473" t="s">
        <v>4578</v>
      </c>
      <c r="P213" s="566" t="s">
        <v>4579</v>
      </c>
      <c r="Q213" s="473" t="s">
        <v>4580</v>
      </c>
      <c r="R213" s="566" t="s">
        <v>4581</v>
      </c>
      <c r="S213" s="473" t="s">
        <v>4582</v>
      </c>
      <c r="T213" s="566" t="s">
        <v>4583</v>
      </c>
      <c r="U213" s="473" t="s">
        <v>4584</v>
      </c>
      <c r="V213" s="566" t="s">
        <v>4585</v>
      </c>
      <c r="W213" s="473" t="s">
        <v>4586</v>
      </c>
      <c r="X213" s="566" t="s">
        <v>4587</v>
      </c>
      <c r="Y213" s="473" t="s">
        <v>4588</v>
      </c>
      <c r="Z213" s="566" t="s">
        <v>4589</v>
      </c>
      <c r="AA213" s="473" t="s">
        <v>4590</v>
      </c>
      <c r="AB213" s="566" t="s">
        <v>4591</v>
      </c>
      <c r="AC213" s="473" t="s">
        <v>4592</v>
      </c>
      <c r="AD213" s="566" t="s">
        <v>4593</v>
      </c>
      <c r="AE213" s="473" t="s">
        <v>4594</v>
      </c>
      <c r="AF213" s="566" t="s">
        <v>4595</v>
      </c>
      <c r="AG213" s="473" t="s">
        <v>4596</v>
      </c>
      <c r="AH213" s="566" t="s">
        <v>4597</v>
      </c>
      <c r="AI213" s="473" t="s">
        <v>4598</v>
      </c>
      <c r="AJ213" s="566" t="s">
        <v>4599</v>
      </c>
      <c r="AK213" s="473" t="s">
        <v>4600</v>
      </c>
      <c r="AL213" s="566" t="s">
        <v>4601</v>
      </c>
      <c r="AM213" s="473" t="s">
        <v>4602</v>
      </c>
      <c r="AN213" s="552" t="s">
        <v>4603</v>
      </c>
      <c r="AO213" s="496" t="s">
        <v>4604</v>
      </c>
      <c r="AP213" s="474" t="s">
        <v>4605</v>
      </c>
      <c r="AQ213" s="473" t="s">
        <v>4606</v>
      </c>
      <c r="AR213" s="652" t="s">
        <v>4934</v>
      </c>
      <c r="AS213" s="653" t="s">
        <v>4935</v>
      </c>
      <c r="AT213" s="652" t="s">
        <v>4936</v>
      </c>
      <c r="AU213" s="654" t="s">
        <v>4937</v>
      </c>
      <c r="AV213" s="655" t="s">
        <v>5234</v>
      </c>
      <c r="AW213" s="654" t="s">
        <v>5235</v>
      </c>
      <c r="AX213" s="655" t="s">
        <v>5236</v>
      </c>
      <c r="AY213" s="652" t="s">
        <v>5237</v>
      </c>
      <c r="AZ213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3" s="135" t="str">
        <f t="shared" si="149"/>
        <v xml:space="preserve">  * La variable Gestantes No puede ser mayor al Total Mujeres.</v>
      </c>
      <c r="CC213" s="135" t="str">
        <f t="shared" si="150"/>
        <v xml:space="preserve">  * La variable Madre de hijo menor de 5 años No puede ser mayor al Total de Mujeres.</v>
      </c>
      <c r="CD213" s="135" t="str">
        <f t="shared" si="151"/>
        <v xml:space="preserve">  * La variable Pueblos originarios - Hombres No puede ser mayor al Total Hombres.</v>
      </c>
      <c r="CE213" s="135" t="str">
        <f t="shared" si="152"/>
        <v xml:space="preserve">  * La variable Pueblos originarios - Mujeres No puede ser mayor al Total Mujeres.</v>
      </c>
      <c r="CF213" s="135" t="str">
        <f t="shared" si="153"/>
        <v xml:space="preserve">  * La variable Niños, niñas, adolescentes y jóvenes SENAME No puede ser mayor al Total.</v>
      </c>
      <c r="CG213" s="135" t="str">
        <f t="shared" si="154"/>
        <v xml:space="preserve">  * La variable Niños, niñas, adolescentes y jóvenes Mejor Niñez No puede ser mayor al Total.</v>
      </c>
      <c r="CH213" s="135" t="str">
        <f t="shared" si="137"/>
        <v xml:space="preserve">  * La variable Migrantes - Hombres No puede ser mayor al Total Hombres.</v>
      </c>
      <c r="CI213" s="135" t="str">
        <f t="shared" si="155"/>
        <v xml:space="preserve">  * La variable Migrantes - Mujeres No puede ser mayor al Total Mujeres.</v>
      </c>
      <c r="CJ213" s="135" t="str">
        <f t="shared" si="156"/>
        <v xml:space="preserve">  * La variable Trans Masculino No puede ser mayor al Total Mujeres.</v>
      </c>
      <c r="CK213" s="135" t="str">
        <f t="shared" si="157"/>
        <v xml:space="preserve">  * La variable Trans Femenino No puede ser mayor al Total Hombres.</v>
      </c>
      <c r="CL213" s="135" t="str">
        <f t="shared" si="158"/>
        <v xml:space="preserve">  * La variable Adolescentes derivados de Espacios Amigables No puede ser mayor al Total.</v>
      </c>
      <c r="CM213" s="6"/>
      <c r="CP213" s="55">
        <f t="shared" si="143"/>
        <v>1</v>
      </c>
      <c r="CQ213" s="55">
        <f t="shared" si="144"/>
        <v>1</v>
      </c>
      <c r="CR213" s="55">
        <f t="shared" si="159"/>
        <v>1</v>
      </c>
      <c r="CS213" s="55">
        <f t="shared" si="145"/>
        <v>1</v>
      </c>
      <c r="CT213" s="55">
        <f t="shared" si="146"/>
        <v>1</v>
      </c>
      <c r="CU213" s="55">
        <f t="shared" si="147"/>
        <v>1</v>
      </c>
      <c r="CV213" s="55">
        <f t="shared" si="160"/>
        <v>1</v>
      </c>
      <c r="CW213" s="55">
        <f t="shared" si="148"/>
        <v>1</v>
      </c>
      <c r="CX213" s="55">
        <f t="shared" si="161"/>
        <v>1</v>
      </c>
      <c r="CY213" s="55">
        <f t="shared" si="162"/>
        <v>1</v>
      </c>
      <c r="CZ213" s="55">
        <f t="shared" si="136"/>
        <v>1</v>
      </c>
    </row>
    <row r="214" spans="1:104" ht="15" customHeight="1" x14ac:dyDescent="0.25">
      <c r="A214" s="5677" t="s">
        <v>5071</v>
      </c>
      <c r="B214" s="6112"/>
      <c r="C214" s="499" t="s">
        <v>871</v>
      </c>
      <c r="D214" s="647" t="s">
        <v>4567</v>
      </c>
      <c r="E214" s="648" t="s">
        <v>4568</v>
      </c>
      <c r="F214" s="499" t="s">
        <v>4569</v>
      </c>
      <c r="G214" s="345" t="s">
        <v>4570</v>
      </c>
      <c r="H214" s="346" t="s">
        <v>4571</v>
      </c>
      <c r="I214" s="345" t="s">
        <v>4572</v>
      </c>
      <c r="J214" s="346" t="s">
        <v>4573</v>
      </c>
      <c r="K214" s="345" t="s">
        <v>4574</v>
      </c>
      <c r="L214" s="346" t="s">
        <v>4575</v>
      </c>
      <c r="M214" s="345" t="s">
        <v>4576</v>
      </c>
      <c r="N214" s="346" t="s">
        <v>4577</v>
      </c>
      <c r="O214" s="345" t="s">
        <v>4578</v>
      </c>
      <c r="P214" s="346" t="s">
        <v>4579</v>
      </c>
      <c r="Q214" s="345" t="s">
        <v>4580</v>
      </c>
      <c r="R214" s="346" t="s">
        <v>4581</v>
      </c>
      <c r="S214" s="345" t="s">
        <v>4582</v>
      </c>
      <c r="T214" s="346" t="s">
        <v>4583</v>
      </c>
      <c r="U214" s="345" t="s">
        <v>4584</v>
      </c>
      <c r="V214" s="346" t="s">
        <v>4585</v>
      </c>
      <c r="W214" s="345" t="s">
        <v>4586</v>
      </c>
      <c r="X214" s="346" t="s">
        <v>4587</v>
      </c>
      <c r="Y214" s="345" t="s">
        <v>4588</v>
      </c>
      <c r="Z214" s="346" t="s">
        <v>4589</v>
      </c>
      <c r="AA214" s="345" t="s">
        <v>4590</v>
      </c>
      <c r="AB214" s="346" t="s">
        <v>4591</v>
      </c>
      <c r="AC214" s="345" t="s">
        <v>4592</v>
      </c>
      <c r="AD214" s="346" t="s">
        <v>4593</v>
      </c>
      <c r="AE214" s="345" t="s">
        <v>4594</v>
      </c>
      <c r="AF214" s="346" t="s">
        <v>4595</v>
      </c>
      <c r="AG214" s="345" t="s">
        <v>4596</v>
      </c>
      <c r="AH214" s="346" t="s">
        <v>4597</v>
      </c>
      <c r="AI214" s="345" t="s">
        <v>4598</v>
      </c>
      <c r="AJ214" s="346" t="s">
        <v>4599</v>
      </c>
      <c r="AK214" s="345" t="s">
        <v>4600</v>
      </c>
      <c r="AL214" s="346" t="s">
        <v>4601</v>
      </c>
      <c r="AM214" s="345" t="s">
        <v>4602</v>
      </c>
      <c r="AN214" s="554" t="s">
        <v>4603</v>
      </c>
      <c r="AO214" s="429" t="s">
        <v>4604</v>
      </c>
      <c r="AP214" s="346" t="s">
        <v>4605</v>
      </c>
      <c r="AQ214" s="345" t="s">
        <v>4606</v>
      </c>
      <c r="AR214" s="2" t="s">
        <v>4934</v>
      </c>
      <c r="AS214" s="192" t="s">
        <v>4935</v>
      </c>
      <c r="AT214" s="2" t="s">
        <v>4936</v>
      </c>
      <c r="AU214" s="64" t="s">
        <v>4937</v>
      </c>
      <c r="AV214" s="382" t="s">
        <v>5234</v>
      </c>
      <c r="AW214" s="64" t="s">
        <v>5235</v>
      </c>
      <c r="AX214" s="382" t="s">
        <v>5236</v>
      </c>
      <c r="AY214" s="2" t="s">
        <v>5237</v>
      </c>
      <c r="AZ214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4" s="135" t="str">
        <f t="shared" si="149"/>
        <v xml:space="preserve">  * La variable Gestantes No puede ser mayor al Total Mujeres.</v>
      </c>
      <c r="CC214" s="135" t="str">
        <f t="shared" si="150"/>
        <v xml:space="preserve">  * La variable Madre de hijo menor de 5 años No puede ser mayor al Total de Mujeres.</v>
      </c>
      <c r="CD214" s="135" t="str">
        <f t="shared" si="151"/>
        <v xml:space="preserve">  * La variable Pueblos originarios - Hombres No puede ser mayor al Total Hombres.</v>
      </c>
      <c r="CE214" s="135" t="str">
        <f t="shared" si="152"/>
        <v xml:space="preserve">  * La variable Pueblos originarios - Mujeres No puede ser mayor al Total Mujeres.</v>
      </c>
      <c r="CF214" s="135" t="str">
        <f t="shared" si="153"/>
        <v xml:space="preserve">  * La variable Niños, niñas, adolescentes y jóvenes SENAME No puede ser mayor al Total.</v>
      </c>
      <c r="CG214" s="135" t="str">
        <f t="shared" si="154"/>
        <v xml:space="preserve">  * La variable Niños, niñas, adolescentes y jóvenes Mejor Niñez No puede ser mayor al Total.</v>
      </c>
      <c r="CH214" s="135" t="str">
        <f t="shared" si="137"/>
        <v xml:space="preserve">  * La variable Migrantes - Hombres No puede ser mayor al Total Hombres.</v>
      </c>
      <c r="CI214" s="135" t="str">
        <f t="shared" si="155"/>
        <v xml:space="preserve">  * La variable Migrantes - Mujeres No puede ser mayor al Total Mujeres.</v>
      </c>
      <c r="CJ214" s="135" t="str">
        <f t="shared" si="156"/>
        <v xml:space="preserve">  * La variable Trans Masculino No puede ser mayor al Total Mujeres.</v>
      </c>
      <c r="CK214" s="135" t="str">
        <f t="shared" si="157"/>
        <v xml:space="preserve">  * La variable Trans Femenino No puede ser mayor al Total Hombres.</v>
      </c>
      <c r="CL214" s="135" t="str">
        <f t="shared" si="158"/>
        <v xml:space="preserve">  * La variable Adolescentes derivados de Espacios Amigables No puede ser mayor al Total.</v>
      </c>
      <c r="CM214" s="6"/>
      <c r="CP214" s="55">
        <f t="shared" si="143"/>
        <v>1</v>
      </c>
      <c r="CQ214" s="55">
        <f t="shared" si="144"/>
        <v>1</v>
      </c>
      <c r="CR214" s="55">
        <f t="shared" si="159"/>
        <v>1</v>
      </c>
      <c r="CS214" s="55">
        <f t="shared" si="145"/>
        <v>1</v>
      </c>
      <c r="CT214" s="55">
        <f t="shared" si="146"/>
        <v>1</v>
      </c>
      <c r="CU214" s="55">
        <f t="shared" si="147"/>
        <v>1</v>
      </c>
      <c r="CV214" s="55">
        <f t="shared" si="160"/>
        <v>1</v>
      </c>
      <c r="CW214" s="55">
        <f t="shared" si="148"/>
        <v>1</v>
      </c>
      <c r="CX214" s="55">
        <f t="shared" si="161"/>
        <v>1</v>
      </c>
      <c r="CY214" s="55">
        <f t="shared" si="162"/>
        <v>1</v>
      </c>
      <c r="CZ214" s="55">
        <f t="shared" si="136"/>
        <v>1</v>
      </c>
    </row>
    <row r="215" spans="1:104" ht="15" customHeight="1" x14ac:dyDescent="0.25">
      <c r="A215" s="5677" t="s">
        <v>5072</v>
      </c>
      <c r="B215" s="6112"/>
      <c r="C215" s="52" t="s">
        <v>872</v>
      </c>
      <c r="D215" s="200" t="s">
        <v>4567</v>
      </c>
      <c r="E215" s="374" t="s">
        <v>4568</v>
      </c>
      <c r="F215" s="52" t="s">
        <v>4569</v>
      </c>
      <c r="G215" s="192" t="s">
        <v>4570</v>
      </c>
      <c r="H215" s="2" t="s">
        <v>4571</v>
      </c>
      <c r="I215" s="192" t="s">
        <v>4572</v>
      </c>
      <c r="J215" s="2" t="s">
        <v>4573</v>
      </c>
      <c r="K215" s="192" t="s">
        <v>4574</v>
      </c>
      <c r="L215" s="2" t="s">
        <v>4575</v>
      </c>
      <c r="M215" s="192" t="s">
        <v>4576</v>
      </c>
      <c r="N215" s="2" t="s">
        <v>4577</v>
      </c>
      <c r="O215" s="192" t="s">
        <v>4578</v>
      </c>
      <c r="P215" s="2" t="s">
        <v>4579</v>
      </c>
      <c r="Q215" s="192" t="s">
        <v>4580</v>
      </c>
      <c r="R215" s="2" t="s">
        <v>4581</v>
      </c>
      <c r="S215" s="192" t="s">
        <v>4582</v>
      </c>
      <c r="T215" s="2" t="s">
        <v>4583</v>
      </c>
      <c r="U215" s="192" t="s">
        <v>4584</v>
      </c>
      <c r="V215" s="2" t="s">
        <v>4585</v>
      </c>
      <c r="W215" s="192" t="s">
        <v>4586</v>
      </c>
      <c r="X215" s="2" t="s">
        <v>4587</v>
      </c>
      <c r="Y215" s="192" t="s">
        <v>4588</v>
      </c>
      <c r="Z215" s="2" t="s">
        <v>4589</v>
      </c>
      <c r="AA215" s="192" t="s">
        <v>4590</v>
      </c>
      <c r="AB215" s="2" t="s">
        <v>4591</v>
      </c>
      <c r="AC215" s="192" t="s">
        <v>4592</v>
      </c>
      <c r="AD215" s="2" t="s">
        <v>4593</v>
      </c>
      <c r="AE215" s="192" t="s">
        <v>4594</v>
      </c>
      <c r="AF215" s="2" t="s">
        <v>4595</v>
      </c>
      <c r="AG215" s="192" t="s">
        <v>4596</v>
      </c>
      <c r="AH215" s="2" t="s">
        <v>4597</v>
      </c>
      <c r="AI215" s="192" t="s">
        <v>4598</v>
      </c>
      <c r="AJ215" s="2" t="s">
        <v>4599</v>
      </c>
      <c r="AK215" s="192" t="s">
        <v>4600</v>
      </c>
      <c r="AL215" s="2" t="s">
        <v>4601</v>
      </c>
      <c r="AM215" s="192" t="s">
        <v>4602</v>
      </c>
      <c r="AN215" s="64" t="s">
        <v>4603</v>
      </c>
      <c r="AO215" s="376" t="s">
        <v>4604</v>
      </c>
      <c r="AP215" s="2" t="s">
        <v>4605</v>
      </c>
      <c r="AQ215" s="192" t="s">
        <v>4606</v>
      </c>
      <c r="AR215" s="2" t="s">
        <v>4934</v>
      </c>
      <c r="AS215" s="192" t="s">
        <v>4935</v>
      </c>
      <c r="AT215" s="2" t="s">
        <v>4936</v>
      </c>
      <c r="AU215" s="64" t="s">
        <v>4937</v>
      </c>
      <c r="AV215" s="382" t="s">
        <v>5234</v>
      </c>
      <c r="AW215" s="64" t="s">
        <v>5235</v>
      </c>
      <c r="AX215" s="382" t="s">
        <v>5236</v>
      </c>
      <c r="AY215" s="2" t="s">
        <v>5237</v>
      </c>
      <c r="AZ215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5" s="135" t="str">
        <f t="shared" si="149"/>
        <v xml:space="preserve">  * La variable Gestantes No puede ser mayor al Total Mujeres.</v>
      </c>
      <c r="CC215" s="135" t="str">
        <f t="shared" si="150"/>
        <v xml:space="preserve">  * La variable Madre de hijo menor de 5 años No puede ser mayor al Total de Mujeres.</v>
      </c>
      <c r="CD215" s="135" t="str">
        <f t="shared" si="151"/>
        <v xml:space="preserve">  * La variable Pueblos originarios - Hombres No puede ser mayor al Total Hombres.</v>
      </c>
      <c r="CE215" s="135" t="str">
        <f t="shared" si="152"/>
        <v xml:space="preserve">  * La variable Pueblos originarios - Mujeres No puede ser mayor al Total Mujeres.</v>
      </c>
      <c r="CF215" s="135" t="str">
        <f t="shared" si="153"/>
        <v xml:space="preserve">  * La variable Niños, niñas, adolescentes y jóvenes SENAME No puede ser mayor al Total.</v>
      </c>
      <c r="CG215" s="135" t="str">
        <f t="shared" si="154"/>
        <v xml:space="preserve">  * La variable Niños, niñas, adolescentes y jóvenes Mejor Niñez No puede ser mayor al Total.</v>
      </c>
      <c r="CH215" s="135" t="str">
        <f t="shared" si="137"/>
        <v xml:space="preserve">  * La variable Migrantes - Hombres No puede ser mayor al Total Hombres.</v>
      </c>
      <c r="CI215" s="135" t="str">
        <f t="shared" si="155"/>
        <v xml:space="preserve">  * La variable Migrantes - Mujeres No puede ser mayor al Total Mujeres.</v>
      </c>
      <c r="CJ215" s="135" t="str">
        <f t="shared" si="156"/>
        <v xml:space="preserve">  * La variable Trans Masculino No puede ser mayor al Total Mujeres.</v>
      </c>
      <c r="CK215" s="135" t="str">
        <f t="shared" si="157"/>
        <v xml:space="preserve">  * La variable Trans Femenino No puede ser mayor al Total Hombres.</v>
      </c>
      <c r="CL215" s="135" t="str">
        <f t="shared" si="158"/>
        <v xml:space="preserve">  * La variable Adolescentes derivados de Espacios Amigables No puede ser mayor al Total.</v>
      </c>
      <c r="CM215" s="6"/>
      <c r="CP215" s="55">
        <f t="shared" si="143"/>
        <v>1</v>
      </c>
      <c r="CQ215" s="55">
        <f t="shared" si="144"/>
        <v>1</v>
      </c>
      <c r="CR215" s="55">
        <f t="shared" si="159"/>
        <v>1</v>
      </c>
      <c r="CS215" s="55">
        <f t="shared" si="145"/>
        <v>1</v>
      </c>
      <c r="CT215" s="55">
        <f t="shared" si="146"/>
        <v>1</v>
      </c>
      <c r="CU215" s="55">
        <f t="shared" si="147"/>
        <v>1</v>
      </c>
      <c r="CV215" s="55">
        <f t="shared" si="160"/>
        <v>1</v>
      </c>
      <c r="CW215" s="55">
        <f t="shared" si="148"/>
        <v>1</v>
      </c>
      <c r="CX215" s="55">
        <f t="shared" si="161"/>
        <v>1</v>
      </c>
      <c r="CY215" s="55">
        <f t="shared" si="162"/>
        <v>1</v>
      </c>
      <c r="CZ215" s="55">
        <f t="shared" si="136"/>
        <v>1</v>
      </c>
    </row>
    <row r="216" spans="1:104" ht="15" customHeight="1" x14ac:dyDescent="0.25">
      <c r="A216" s="5677" t="s">
        <v>5073</v>
      </c>
      <c r="B216" s="6112"/>
      <c r="C216" s="52" t="s">
        <v>873</v>
      </c>
      <c r="D216" s="200" t="s">
        <v>4567</v>
      </c>
      <c r="E216" s="374" t="s">
        <v>4568</v>
      </c>
      <c r="F216" s="52" t="s">
        <v>4569</v>
      </c>
      <c r="G216" s="192" t="s">
        <v>4570</v>
      </c>
      <c r="H216" s="2" t="s">
        <v>4571</v>
      </c>
      <c r="I216" s="192" t="s">
        <v>4572</v>
      </c>
      <c r="J216" s="2" t="s">
        <v>4573</v>
      </c>
      <c r="K216" s="192" t="s">
        <v>4574</v>
      </c>
      <c r="L216" s="2" t="s">
        <v>4575</v>
      </c>
      <c r="M216" s="192" t="s">
        <v>4576</v>
      </c>
      <c r="N216" s="2" t="s">
        <v>4577</v>
      </c>
      <c r="O216" s="192" t="s">
        <v>4578</v>
      </c>
      <c r="P216" s="2" t="s">
        <v>4579</v>
      </c>
      <c r="Q216" s="192" t="s">
        <v>4580</v>
      </c>
      <c r="R216" s="2" t="s">
        <v>4581</v>
      </c>
      <c r="S216" s="192" t="s">
        <v>4582</v>
      </c>
      <c r="T216" s="2" t="s">
        <v>4583</v>
      </c>
      <c r="U216" s="192" t="s">
        <v>4584</v>
      </c>
      <c r="V216" s="2" t="s">
        <v>4585</v>
      </c>
      <c r="W216" s="192" t="s">
        <v>4586</v>
      </c>
      <c r="X216" s="2" t="s">
        <v>4587</v>
      </c>
      <c r="Y216" s="192" t="s">
        <v>4588</v>
      </c>
      <c r="Z216" s="2" t="s">
        <v>4589</v>
      </c>
      <c r="AA216" s="192" t="s">
        <v>4590</v>
      </c>
      <c r="AB216" s="2" t="s">
        <v>4591</v>
      </c>
      <c r="AC216" s="192" t="s">
        <v>4592</v>
      </c>
      <c r="AD216" s="2" t="s">
        <v>4593</v>
      </c>
      <c r="AE216" s="192" t="s">
        <v>4594</v>
      </c>
      <c r="AF216" s="2" t="s">
        <v>4595</v>
      </c>
      <c r="AG216" s="192" t="s">
        <v>4596</v>
      </c>
      <c r="AH216" s="2" t="s">
        <v>4597</v>
      </c>
      <c r="AI216" s="192" t="s">
        <v>4598</v>
      </c>
      <c r="AJ216" s="2" t="s">
        <v>4599</v>
      </c>
      <c r="AK216" s="192" t="s">
        <v>4600</v>
      </c>
      <c r="AL216" s="2" t="s">
        <v>4601</v>
      </c>
      <c r="AM216" s="192" t="s">
        <v>4602</v>
      </c>
      <c r="AN216" s="64" t="s">
        <v>4603</v>
      </c>
      <c r="AO216" s="376" t="s">
        <v>4604</v>
      </c>
      <c r="AP216" s="2" t="s">
        <v>4605</v>
      </c>
      <c r="AQ216" s="192" t="s">
        <v>4606</v>
      </c>
      <c r="AR216" s="2" t="s">
        <v>4934</v>
      </c>
      <c r="AS216" s="192" t="s">
        <v>4935</v>
      </c>
      <c r="AT216" s="2" t="s">
        <v>4936</v>
      </c>
      <c r="AU216" s="64" t="s">
        <v>4937</v>
      </c>
      <c r="AV216" s="382" t="s">
        <v>5234</v>
      </c>
      <c r="AW216" s="64" t="s">
        <v>5235</v>
      </c>
      <c r="AX216" s="382" t="s">
        <v>5236</v>
      </c>
      <c r="AY216" s="2" t="s">
        <v>5237</v>
      </c>
      <c r="AZ216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6" s="135" t="str">
        <f t="shared" si="149"/>
        <v xml:space="preserve">  * La variable Gestantes No puede ser mayor al Total Mujeres.</v>
      </c>
      <c r="CC216" s="135" t="str">
        <f t="shared" si="150"/>
        <v xml:space="preserve">  * La variable Madre de hijo menor de 5 años No puede ser mayor al Total de Mujeres.</v>
      </c>
      <c r="CD216" s="135" t="str">
        <f t="shared" si="151"/>
        <v xml:space="preserve">  * La variable Pueblos originarios - Hombres No puede ser mayor al Total Hombres.</v>
      </c>
      <c r="CE216" s="135" t="str">
        <f t="shared" si="152"/>
        <v xml:space="preserve">  * La variable Pueblos originarios - Mujeres No puede ser mayor al Total Mujeres.</v>
      </c>
      <c r="CF216" s="135" t="str">
        <f t="shared" si="153"/>
        <v xml:space="preserve">  * La variable Niños, niñas, adolescentes y jóvenes SENAME No puede ser mayor al Total.</v>
      </c>
      <c r="CG216" s="135" t="str">
        <f t="shared" si="154"/>
        <v xml:space="preserve">  * La variable Niños, niñas, adolescentes y jóvenes Mejor Niñez No puede ser mayor al Total.</v>
      </c>
      <c r="CH216" s="135" t="str">
        <f t="shared" si="137"/>
        <v xml:space="preserve">  * La variable Migrantes - Hombres No puede ser mayor al Total Hombres.</v>
      </c>
      <c r="CI216" s="135" t="str">
        <f t="shared" si="155"/>
        <v xml:space="preserve">  * La variable Migrantes - Mujeres No puede ser mayor al Total Mujeres.</v>
      </c>
      <c r="CJ216" s="135" t="str">
        <f t="shared" si="156"/>
        <v xml:space="preserve">  * La variable Trans Masculino No puede ser mayor al Total Mujeres.</v>
      </c>
      <c r="CK216" s="135" t="str">
        <f t="shared" si="157"/>
        <v xml:space="preserve">  * La variable Trans Femenino No puede ser mayor al Total Hombres.</v>
      </c>
      <c r="CL216" s="135" t="str">
        <f t="shared" si="158"/>
        <v xml:space="preserve">  * La variable Adolescentes derivados de Espacios Amigables No puede ser mayor al Total.</v>
      </c>
      <c r="CM216" s="6"/>
      <c r="CP216" s="55">
        <f t="shared" si="143"/>
        <v>1</v>
      </c>
      <c r="CQ216" s="55">
        <f t="shared" si="144"/>
        <v>1</v>
      </c>
      <c r="CR216" s="55">
        <f t="shared" si="159"/>
        <v>1</v>
      </c>
      <c r="CS216" s="55">
        <f t="shared" si="145"/>
        <v>1</v>
      </c>
      <c r="CT216" s="55">
        <f t="shared" si="146"/>
        <v>1</v>
      </c>
      <c r="CU216" s="55">
        <f t="shared" si="147"/>
        <v>1</v>
      </c>
      <c r="CV216" s="55">
        <f t="shared" si="160"/>
        <v>1</v>
      </c>
      <c r="CW216" s="55">
        <f t="shared" si="148"/>
        <v>1</v>
      </c>
      <c r="CX216" s="55">
        <f t="shared" si="161"/>
        <v>1</v>
      </c>
      <c r="CY216" s="55">
        <f t="shared" si="162"/>
        <v>1</v>
      </c>
      <c r="CZ216" s="55">
        <f t="shared" si="136"/>
        <v>1</v>
      </c>
    </row>
    <row r="217" spans="1:104" ht="15" customHeight="1" x14ac:dyDescent="0.25">
      <c r="A217" s="5677" t="s">
        <v>5074</v>
      </c>
      <c r="B217" s="6059"/>
      <c r="C217" s="386" t="s">
        <v>874</v>
      </c>
      <c r="D217" s="377" t="s">
        <v>4567</v>
      </c>
      <c r="E217" s="656" t="s">
        <v>4568</v>
      </c>
      <c r="F217" s="386" t="s">
        <v>4569</v>
      </c>
      <c r="G217" s="379" t="s">
        <v>4570</v>
      </c>
      <c r="H217" s="387" t="s">
        <v>4571</v>
      </c>
      <c r="I217" s="379" t="s">
        <v>4572</v>
      </c>
      <c r="J217" s="387" t="s">
        <v>4573</v>
      </c>
      <c r="K217" s="379" t="s">
        <v>4574</v>
      </c>
      <c r="L217" s="387" t="s">
        <v>4575</v>
      </c>
      <c r="M217" s="379" t="s">
        <v>4576</v>
      </c>
      <c r="N217" s="387" t="s">
        <v>4577</v>
      </c>
      <c r="O217" s="379" t="s">
        <v>4578</v>
      </c>
      <c r="P217" s="387" t="s">
        <v>4579</v>
      </c>
      <c r="Q217" s="379" t="s">
        <v>4580</v>
      </c>
      <c r="R217" s="387" t="s">
        <v>4581</v>
      </c>
      <c r="S217" s="379" t="s">
        <v>4582</v>
      </c>
      <c r="T217" s="387" t="s">
        <v>4583</v>
      </c>
      <c r="U217" s="379" t="s">
        <v>4584</v>
      </c>
      <c r="V217" s="387" t="s">
        <v>4585</v>
      </c>
      <c r="W217" s="379" t="s">
        <v>4586</v>
      </c>
      <c r="X217" s="387" t="s">
        <v>4587</v>
      </c>
      <c r="Y217" s="379" t="s">
        <v>4588</v>
      </c>
      <c r="Z217" s="387" t="s">
        <v>4589</v>
      </c>
      <c r="AA217" s="379" t="s">
        <v>4590</v>
      </c>
      <c r="AB217" s="387" t="s">
        <v>4591</v>
      </c>
      <c r="AC217" s="379" t="s">
        <v>4592</v>
      </c>
      <c r="AD217" s="387" t="s">
        <v>4593</v>
      </c>
      <c r="AE217" s="379" t="s">
        <v>4594</v>
      </c>
      <c r="AF217" s="387" t="s">
        <v>4595</v>
      </c>
      <c r="AG217" s="379" t="s">
        <v>4596</v>
      </c>
      <c r="AH217" s="387" t="s">
        <v>4597</v>
      </c>
      <c r="AI217" s="379" t="s">
        <v>4598</v>
      </c>
      <c r="AJ217" s="387" t="s">
        <v>4599</v>
      </c>
      <c r="AK217" s="379" t="s">
        <v>4600</v>
      </c>
      <c r="AL217" s="387" t="s">
        <v>4601</v>
      </c>
      <c r="AM217" s="379" t="s">
        <v>4602</v>
      </c>
      <c r="AN217" s="557" t="s">
        <v>4603</v>
      </c>
      <c r="AO217" s="378" t="s">
        <v>4604</v>
      </c>
      <c r="AP217" s="387" t="s">
        <v>4605</v>
      </c>
      <c r="AQ217" s="379" t="s">
        <v>4606</v>
      </c>
      <c r="AR217" s="387" t="s">
        <v>4934</v>
      </c>
      <c r="AS217" s="379" t="s">
        <v>4935</v>
      </c>
      <c r="AT217" s="387" t="s">
        <v>4936</v>
      </c>
      <c r="AU217" s="557" t="s">
        <v>4937</v>
      </c>
      <c r="AV217" s="388" t="s">
        <v>5234</v>
      </c>
      <c r="AW217" s="557" t="s">
        <v>5235</v>
      </c>
      <c r="AX217" s="388" t="s">
        <v>5236</v>
      </c>
      <c r="AY217" s="387" t="s">
        <v>5237</v>
      </c>
      <c r="AZ217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7" s="135" t="str">
        <f t="shared" si="149"/>
        <v xml:space="preserve">  * La variable Gestantes No puede ser mayor al Total Mujeres.</v>
      </c>
      <c r="CC217" s="135" t="str">
        <f t="shared" si="150"/>
        <v xml:space="preserve">  * La variable Madre de hijo menor de 5 años No puede ser mayor al Total de Mujeres.</v>
      </c>
      <c r="CD217" s="135" t="str">
        <f t="shared" si="151"/>
        <v xml:space="preserve">  * La variable Pueblos originarios - Hombres No puede ser mayor al Total Hombres.</v>
      </c>
      <c r="CE217" s="135" t="str">
        <f t="shared" si="152"/>
        <v xml:space="preserve">  * La variable Pueblos originarios - Mujeres No puede ser mayor al Total Mujeres.</v>
      </c>
      <c r="CF217" s="135" t="str">
        <f t="shared" si="153"/>
        <v xml:space="preserve">  * La variable Niños, niñas, adolescentes y jóvenes SENAME No puede ser mayor al Total.</v>
      </c>
      <c r="CG217" s="135" t="str">
        <f t="shared" si="154"/>
        <v xml:space="preserve">  * La variable Niños, niñas, adolescentes y jóvenes Mejor Niñez No puede ser mayor al Total.</v>
      </c>
      <c r="CH217" s="135" t="str">
        <f t="shared" si="137"/>
        <v xml:space="preserve">  * La variable Migrantes - Hombres No puede ser mayor al Total Hombres.</v>
      </c>
      <c r="CI217" s="135" t="str">
        <f t="shared" si="155"/>
        <v xml:space="preserve">  * La variable Migrantes - Mujeres No puede ser mayor al Total Mujeres.</v>
      </c>
      <c r="CJ217" s="135" t="str">
        <f t="shared" si="156"/>
        <v xml:space="preserve">  * La variable Trans Masculino No puede ser mayor al Total Mujeres.</v>
      </c>
      <c r="CK217" s="135" t="str">
        <f t="shared" si="157"/>
        <v xml:space="preserve">  * La variable Trans Femenino No puede ser mayor al Total Hombres.</v>
      </c>
      <c r="CL217" s="135" t="str">
        <f t="shared" si="158"/>
        <v xml:space="preserve">  * La variable Adolescentes derivados de Espacios Amigables No puede ser mayor al Total.</v>
      </c>
      <c r="CM217" s="6"/>
      <c r="CP217" s="55">
        <f t="shared" si="143"/>
        <v>1</v>
      </c>
      <c r="CQ217" s="55">
        <f t="shared" si="144"/>
        <v>1</v>
      </c>
      <c r="CR217" s="55">
        <f t="shared" si="159"/>
        <v>1</v>
      </c>
      <c r="CS217" s="55">
        <f t="shared" si="145"/>
        <v>1</v>
      </c>
      <c r="CT217" s="55">
        <f t="shared" si="146"/>
        <v>1</v>
      </c>
      <c r="CU217" s="55">
        <f t="shared" si="147"/>
        <v>1</v>
      </c>
      <c r="CV217" s="55">
        <f t="shared" si="160"/>
        <v>1</v>
      </c>
      <c r="CW217" s="55">
        <f t="shared" si="148"/>
        <v>1</v>
      </c>
      <c r="CX217" s="55">
        <f t="shared" si="161"/>
        <v>1</v>
      </c>
      <c r="CY217" s="55">
        <f t="shared" si="162"/>
        <v>1</v>
      </c>
      <c r="CZ217" s="55">
        <f t="shared" si="136"/>
        <v>1</v>
      </c>
    </row>
    <row r="218" spans="1:104" ht="15" customHeight="1" x14ac:dyDescent="0.25">
      <c r="A218" s="5677" t="s">
        <v>5075</v>
      </c>
      <c r="B218" s="6453" t="s">
        <v>875</v>
      </c>
      <c r="C218" s="640" t="s">
        <v>876</v>
      </c>
      <c r="D218" s="638" t="s">
        <v>4567</v>
      </c>
      <c r="E218" s="639" t="s">
        <v>4568</v>
      </c>
      <c r="F218" s="640" t="s">
        <v>4569</v>
      </c>
      <c r="G218" s="473" t="s">
        <v>4570</v>
      </c>
      <c r="H218" s="566" t="s">
        <v>4571</v>
      </c>
      <c r="I218" s="473" t="s">
        <v>4572</v>
      </c>
      <c r="J218" s="566" t="s">
        <v>4573</v>
      </c>
      <c r="K218" s="473" t="s">
        <v>4574</v>
      </c>
      <c r="L218" s="566" t="s">
        <v>4575</v>
      </c>
      <c r="M218" s="473" t="s">
        <v>4576</v>
      </c>
      <c r="N218" s="566" t="s">
        <v>4577</v>
      </c>
      <c r="O218" s="473" t="s">
        <v>4578</v>
      </c>
      <c r="P218" s="566" t="s">
        <v>4579</v>
      </c>
      <c r="Q218" s="657" t="s">
        <v>4580</v>
      </c>
      <c r="R218" s="658" t="s">
        <v>4581</v>
      </c>
      <c r="S218" s="658" t="s">
        <v>4582</v>
      </c>
      <c r="T218" s="658" t="s">
        <v>4583</v>
      </c>
      <c r="U218" s="658" t="s">
        <v>4584</v>
      </c>
      <c r="V218" s="658" t="s">
        <v>4585</v>
      </c>
      <c r="W218" s="658" t="s">
        <v>4586</v>
      </c>
      <c r="X218" s="658" t="s">
        <v>4587</v>
      </c>
      <c r="Y218" s="658" t="s">
        <v>4588</v>
      </c>
      <c r="Z218" s="658" t="s">
        <v>4589</v>
      </c>
      <c r="AA218" s="658" t="s">
        <v>4590</v>
      </c>
      <c r="AB218" s="658" t="s">
        <v>4591</v>
      </c>
      <c r="AC218" s="658" t="s">
        <v>4592</v>
      </c>
      <c r="AD218" s="658" t="s">
        <v>4593</v>
      </c>
      <c r="AE218" s="658" t="s">
        <v>4594</v>
      </c>
      <c r="AF218" s="658" t="s">
        <v>4595</v>
      </c>
      <c r="AG218" s="658" t="s">
        <v>4596</v>
      </c>
      <c r="AH218" s="658" t="s">
        <v>4597</v>
      </c>
      <c r="AI218" s="658" t="s">
        <v>4598</v>
      </c>
      <c r="AJ218" s="658" t="s">
        <v>4599</v>
      </c>
      <c r="AK218" s="658" t="s">
        <v>4600</v>
      </c>
      <c r="AL218" s="658" t="s">
        <v>4601</v>
      </c>
      <c r="AM218" s="658" t="s">
        <v>4602</v>
      </c>
      <c r="AN218" s="659" t="s">
        <v>4603</v>
      </c>
      <c r="AO218" s="496" t="s">
        <v>4604</v>
      </c>
      <c r="AP218" s="660" t="s">
        <v>4605</v>
      </c>
      <c r="AQ218" s="473" t="s">
        <v>4606</v>
      </c>
      <c r="AR218" s="652" t="s">
        <v>4934</v>
      </c>
      <c r="AS218" s="653" t="s">
        <v>4935</v>
      </c>
      <c r="AT218" s="652" t="s">
        <v>4936</v>
      </c>
      <c r="AU218" s="654" t="s">
        <v>4937</v>
      </c>
      <c r="AV218" s="655" t="s">
        <v>5234</v>
      </c>
      <c r="AW218" s="654" t="s">
        <v>5235</v>
      </c>
      <c r="AX218" s="655" t="s">
        <v>5236</v>
      </c>
      <c r="AY218" s="652" t="s">
        <v>5237</v>
      </c>
      <c r="AZ218" s="6" t="str">
        <f>CB218&amp;CD218&amp;CE218&amp;CF218&amp;CG218&amp;CH218&amp;CI218&amp;CJ218&amp;CK218&amp;CL218</f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18" s="135" t="str">
        <f>IF(AND(F218&gt;0,AO218=""), "* No olvide digitar la variable Gestantes. Digite Cero si no tiene.",IF(AO218&gt;F218,"  * La  variable Gestantes No puede ser mayor al Total Mujeres.",""))</f>
        <v xml:space="preserve">  * La  variable Gestantes No puede ser mayor al Total Mujeres.</v>
      </c>
      <c r="CC218" s="179"/>
      <c r="CD218" s="135" t="str">
        <f t="shared" ref="CD218:CD241" si="163">IF(AND(E218&gt;0,OR(AQ218="")), "* No olvide digitar la variable Pueblos originarios - Hombres. Digite Cero si no tiene.",IF((AQ218)&gt;E218,"  * La variable Pueblos originarios - Hombres No puede ser mayor al Total.",""))</f>
        <v xml:space="preserve">  * La variable Pueblos originarios - Hombres No puede ser mayor al Total.</v>
      </c>
      <c r="CE218" s="135" t="str">
        <f t="shared" si="141"/>
        <v xml:space="preserve">  * La variable Pueblos originarios - Mujeres No puede ser mayor al Total.</v>
      </c>
      <c r="CF218" s="135" t="str">
        <f t="shared" si="142"/>
        <v xml:space="preserve">  * La variable Niños, niñas, adolescentes y jóvenes SENAME No puede ser mayor al Total.</v>
      </c>
      <c r="CG218" s="135" t="str">
        <f t="shared" ref="CG218:CG241" si="164">IF(AND(D218&gt;0,AT218=""), "* No olvide digitar la variable Niños, niñas, adolescentes y jóvenes Mejor Niñez. Digite Cero si no tiene.",IF(AT218&gt;D218,"  * La variable Niños, niñas, adolescentes y jóvenes Mejor Niñez No puede ser mayor al Total.",""))</f>
        <v xml:space="preserve">  * La variable Niños, niñas, adolescentes y jóvenes Mejor Niñez No puede ser mayor al Total.</v>
      </c>
      <c r="CH218" s="135" t="str">
        <f t="shared" si="137"/>
        <v xml:space="preserve">  * La variable Migrantes - Hombres No puede ser mayor al Total Hombres.</v>
      </c>
      <c r="CI218" s="135" t="str">
        <f t="shared" ref="CI218:CI241" si="165">IF(AND(F218&gt;0,OR(AV218="")), "* No olvide digitar la variable Migrantes - Mujeres. Digite Cero si no tiene.",IF((AV218)&gt;F218,"  * La variable Migrantes - Mujeres No puede ser mayor al Total.",""))</f>
        <v xml:space="preserve">  * La variable Migrantes - Mujeres No puede ser mayor al Total.</v>
      </c>
      <c r="CJ218" s="135" t="str">
        <f t="shared" si="156"/>
        <v xml:space="preserve">  * La variable Trans Masculino No puede ser mayor al Total Mujeres.</v>
      </c>
      <c r="CK218" s="135" t="str">
        <f t="shared" si="157"/>
        <v xml:space="preserve">  * La variable Trans Femenino No puede ser mayor al Total Hombres.</v>
      </c>
      <c r="CL218" s="135" t="str">
        <f t="shared" ref="CL218:CL240" si="166">IF(AND($D218&gt;0,AY218=""), "* No olvide digitar la variable Adolescentes derivados de Espacios Amigables. Digite Cero si no tiene.",IF(AY218&gt;$D218,"  * La variable Adolescentes derivados de Espacios Amigables No puede ser mayor al Total.",""))</f>
        <v xml:space="preserve">  * La variable Adolescentes derivados de Espacios Amigables No puede ser mayor al Total.</v>
      </c>
      <c r="CM218" s="6"/>
      <c r="CP218" s="55">
        <f t="shared" si="143"/>
        <v>1</v>
      </c>
      <c r="CQ218" s="432"/>
      <c r="CR218" s="55">
        <f t="shared" si="159"/>
        <v>1</v>
      </c>
      <c r="CS218" s="55">
        <f t="shared" si="145"/>
        <v>1</v>
      </c>
      <c r="CT218" s="55">
        <f t="shared" si="146"/>
        <v>1</v>
      </c>
      <c r="CU218" s="55">
        <f t="shared" si="147"/>
        <v>1</v>
      </c>
      <c r="CV218" s="55">
        <f t="shared" si="160"/>
        <v>1</v>
      </c>
      <c r="CW218" s="55">
        <f t="shared" si="148"/>
        <v>1</v>
      </c>
      <c r="CX218" s="55">
        <f t="shared" si="161"/>
        <v>1</v>
      </c>
      <c r="CY218" s="55">
        <f t="shared" si="162"/>
        <v>1</v>
      </c>
      <c r="CZ218" s="55">
        <f t="shared" si="136"/>
        <v>1</v>
      </c>
    </row>
    <row r="219" spans="1:104" ht="23.25" customHeight="1" x14ac:dyDescent="0.25">
      <c r="A219" s="5677" t="s">
        <v>5076</v>
      </c>
      <c r="B219" s="6112"/>
      <c r="C219" s="499" t="s">
        <v>877</v>
      </c>
      <c r="D219" s="647" t="s">
        <v>4567</v>
      </c>
      <c r="E219" s="648" t="s">
        <v>4568</v>
      </c>
      <c r="F219" s="499" t="s">
        <v>4569</v>
      </c>
      <c r="G219" s="345" t="s">
        <v>4570</v>
      </c>
      <c r="H219" s="346" t="s">
        <v>4571</v>
      </c>
      <c r="I219" s="345" t="s">
        <v>4572</v>
      </c>
      <c r="J219" s="346" t="s">
        <v>4573</v>
      </c>
      <c r="K219" s="345" t="s">
        <v>4574</v>
      </c>
      <c r="L219" s="346" t="s">
        <v>4575</v>
      </c>
      <c r="M219" s="345" t="s">
        <v>4576</v>
      </c>
      <c r="N219" s="346" t="s">
        <v>4577</v>
      </c>
      <c r="O219" s="345" t="s">
        <v>4578</v>
      </c>
      <c r="P219" s="346" t="s">
        <v>4579</v>
      </c>
      <c r="Q219" s="311" t="s">
        <v>4580</v>
      </c>
      <c r="R219" s="70" t="s">
        <v>4581</v>
      </c>
      <c r="S219" s="70" t="s">
        <v>4582</v>
      </c>
      <c r="T219" s="70" t="s">
        <v>4583</v>
      </c>
      <c r="U219" s="70" t="s">
        <v>4584</v>
      </c>
      <c r="V219" s="70" t="s">
        <v>4585</v>
      </c>
      <c r="W219" s="70" t="s">
        <v>4586</v>
      </c>
      <c r="X219" s="70" t="s">
        <v>4587</v>
      </c>
      <c r="Y219" s="70" t="s">
        <v>4588</v>
      </c>
      <c r="Z219" s="70" t="s">
        <v>4589</v>
      </c>
      <c r="AA219" s="70" t="s">
        <v>4590</v>
      </c>
      <c r="AB219" s="70" t="s">
        <v>4591</v>
      </c>
      <c r="AC219" s="70" t="s">
        <v>4592</v>
      </c>
      <c r="AD219" s="70" t="s">
        <v>4593</v>
      </c>
      <c r="AE219" s="70" t="s">
        <v>4594</v>
      </c>
      <c r="AF219" s="70" t="s">
        <v>4595</v>
      </c>
      <c r="AG219" s="70" t="s">
        <v>4596</v>
      </c>
      <c r="AH219" s="70" t="s">
        <v>4597</v>
      </c>
      <c r="AI219" s="70" t="s">
        <v>4598</v>
      </c>
      <c r="AJ219" s="70" t="s">
        <v>4599</v>
      </c>
      <c r="AK219" s="70" t="s">
        <v>4600</v>
      </c>
      <c r="AL219" s="70" t="s">
        <v>4601</v>
      </c>
      <c r="AM219" s="70" t="s">
        <v>4602</v>
      </c>
      <c r="AN219" s="71" t="s">
        <v>4603</v>
      </c>
      <c r="AO219" s="429" t="s">
        <v>4604</v>
      </c>
      <c r="AP219" s="72" t="s">
        <v>4605</v>
      </c>
      <c r="AQ219" s="345" t="s">
        <v>4606</v>
      </c>
      <c r="AR219" s="2" t="s">
        <v>4934</v>
      </c>
      <c r="AS219" s="192" t="s">
        <v>4935</v>
      </c>
      <c r="AT219" s="2" t="s">
        <v>4936</v>
      </c>
      <c r="AU219" s="64" t="s">
        <v>4937</v>
      </c>
      <c r="AV219" s="382" t="s">
        <v>5234</v>
      </c>
      <c r="AW219" s="64" t="s">
        <v>5235</v>
      </c>
      <c r="AX219" s="382" t="s">
        <v>5236</v>
      </c>
      <c r="AY219" s="2" t="s">
        <v>5237</v>
      </c>
      <c r="AZ219" s="6" t="str">
        <f t="shared" ref="AZ219:AZ221" si="167">CB219&amp;CD219&amp;CE219&amp;CF219&amp;CG219&amp;CH219&amp;CI219&amp;CJ219&amp;CK219&amp;CL219</f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19" s="135" t="str">
        <f t="shared" si="140"/>
        <v xml:space="preserve">  * La  variable Gestantes No puede ser mayor al Total Mujeres.</v>
      </c>
      <c r="CC219" s="179"/>
      <c r="CD219" s="135" t="str">
        <f t="shared" si="163"/>
        <v xml:space="preserve">  * La variable Pueblos originarios - Hombres No puede ser mayor al Total.</v>
      </c>
      <c r="CE219" s="135" t="str">
        <f t="shared" si="141"/>
        <v xml:space="preserve">  * La variable Pueblos originarios - Mujeres No puede ser mayor al Total.</v>
      </c>
      <c r="CF219" s="135" t="str">
        <f t="shared" si="142"/>
        <v xml:space="preserve">  * La variable Niños, niñas, adolescentes y jóvenes SENAME No puede ser mayor al Total.</v>
      </c>
      <c r="CG219" s="135" t="str">
        <f t="shared" si="164"/>
        <v xml:space="preserve">  * La variable Niños, niñas, adolescentes y jóvenes Mejor Niñez No puede ser mayor al Total.</v>
      </c>
      <c r="CH219" s="135" t="str">
        <f t="shared" si="137"/>
        <v xml:space="preserve">  * La variable Migrantes - Hombres No puede ser mayor al Total Hombres.</v>
      </c>
      <c r="CI219" s="135" t="str">
        <f t="shared" si="165"/>
        <v xml:space="preserve">  * La variable Migrantes - Mujeres No puede ser mayor al Total.</v>
      </c>
      <c r="CJ219" s="135" t="str">
        <f t="shared" si="156"/>
        <v xml:space="preserve">  * La variable Trans Masculino No puede ser mayor al Total Mujeres.</v>
      </c>
      <c r="CK219" s="135" t="str">
        <f t="shared" si="157"/>
        <v xml:space="preserve">  * La variable Trans Femenino No puede ser mayor al Total Hombres.</v>
      </c>
      <c r="CL219" s="135" t="str">
        <f t="shared" si="166"/>
        <v xml:space="preserve">  * La variable Adolescentes derivados de Espacios Amigables No puede ser mayor al Total.</v>
      </c>
      <c r="CM219" s="6"/>
      <c r="CP219" s="55">
        <f t="shared" si="143"/>
        <v>1</v>
      </c>
      <c r="CQ219" s="432"/>
      <c r="CR219" s="55">
        <f t="shared" si="159"/>
        <v>1</v>
      </c>
      <c r="CS219" s="55">
        <f t="shared" si="145"/>
        <v>1</v>
      </c>
      <c r="CT219" s="55">
        <f t="shared" si="146"/>
        <v>1</v>
      </c>
      <c r="CU219" s="55">
        <f t="shared" si="147"/>
        <v>1</v>
      </c>
      <c r="CV219" s="55">
        <f t="shared" si="160"/>
        <v>1</v>
      </c>
      <c r="CW219" s="55">
        <f t="shared" si="148"/>
        <v>1</v>
      </c>
      <c r="CX219" s="55">
        <f t="shared" si="161"/>
        <v>1</v>
      </c>
      <c r="CY219" s="55">
        <f t="shared" si="162"/>
        <v>1</v>
      </c>
      <c r="CZ219" s="55">
        <f t="shared" si="136"/>
        <v>1</v>
      </c>
    </row>
    <row r="220" spans="1:104" ht="23.25" customHeight="1" x14ac:dyDescent="0.25">
      <c r="A220" s="5677" t="s">
        <v>5077</v>
      </c>
      <c r="B220" s="6112"/>
      <c r="C220" s="499" t="s">
        <v>878</v>
      </c>
      <c r="D220" s="647" t="s">
        <v>4567</v>
      </c>
      <c r="E220" s="648" t="s">
        <v>4568</v>
      </c>
      <c r="F220" s="499" t="s">
        <v>4569</v>
      </c>
      <c r="G220" s="345" t="s">
        <v>4570</v>
      </c>
      <c r="H220" s="346" t="s">
        <v>4571</v>
      </c>
      <c r="I220" s="345" t="s">
        <v>4572</v>
      </c>
      <c r="J220" s="346" t="s">
        <v>4573</v>
      </c>
      <c r="K220" s="345" t="s">
        <v>4574</v>
      </c>
      <c r="L220" s="346" t="s">
        <v>4575</v>
      </c>
      <c r="M220" s="345" t="s">
        <v>4576</v>
      </c>
      <c r="N220" s="346" t="s">
        <v>4577</v>
      </c>
      <c r="O220" s="345" t="s">
        <v>4578</v>
      </c>
      <c r="P220" s="346" t="s">
        <v>4579</v>
      </c>
      <c r="Q220" s="311" t="s">
        <v>4580</v>
      </c>
      <c r="R220" s="70" t="s">
        <v>4581</v>
      </c>
      <c r="S220" s="70" t="s">
        <v>4582</v>
      </c>
      <c r="T220" s="70" t="s">
        <v>4583</v>
      </c>
      <c r="U220" s="70" t="s">
        <v>4584</v>
      </c>
      <c r="V220" s="70" t="s">
        <v>4585</v>
      </c>
      <c r="W220" s="70" t="s">
        <v>4586</v>
      </c>
      <c r="X220" s="70" t="s">
        <v>4587</v>
      </c>
      <c r="Y220" s="70" t="s">
        <v>4588</v>
      </c>
      <c r="Z220" s="70" t="s">
        <v>4589</v>
      </c>
      <c r="AA220" s="70" t="s">
        <v>4590</v>
      </c>
      <c r="AB220" s="70" t="s">
        <v>4591</v>
      </c>
      <c r="AC220" s="70" t="s">
        <v>4592</v>
      </c>
      <c r="AD220" s="70" t="s">
        <v>4593</v>
      </c>
      <c r="AE220" s="70" t="s">
        <v>4594</v>
      </c>
      <c r="AF220" s="70" t="s">
        <v>4595</v>
      </c>
      <c r="AG220" s="70" t="s">
        <v>4596</v>
      </c>
      <c r="AH220" s="70" t="s">
        <v>4597</v>
      </c>
      <c r="AI220" s="70" t="s">
        <v>4598</v>
      </c>
      <c r="AJ220" s="70" t="s">
        <v>4599</v>
      </c>
      <c r="AK220" s="70" t="s">
        <v>4600</v>
      </c>
      <c r="AL220" s="70" t="s">
        <v>4601</v>
      </c>
      <c r="AM220" s="70" t="s">
        <v>4602</v>
      </c>
      <c r="AN220" s="71" t="s">
        <v>4603</v>
      </c>
      <c r="AO220" s="429" t="s">
        <v>4604</v>
      </c>
      <c r="AP220" s="72" t="s">
        <v>4605</v>
      </c>
      <c r="AQ220" s="345" t="s">
        <v>4606</v>
      </c>
      <c r="AR220" s="2" t="s">
        <v>4934</v>
      </c>
      <c r="AS220" s="192" t="s">
        <v>4935</v>
      </c>
      <c r="AT220" s="2" t="s">
        <v>4936</v>
      </c>
      <c r="AU220" s="64" t="s">
        <v>4937</v>
      </c>
      <c r="AV220" s="382" t="s">
        <v>5234</v>
      </c>
      <c r="AW220" s="64" t="s">
        <v>5235</v>
      </c>
      <c r="AX220" s="382" t="s">
        <v>5236</v>
      </c>
      <c r="AY220" s="2" t="s">
        <v>5237</v>
      </c>
      <c r="AZ220" s="6" t="str">
        <f t="shared" si="167"/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0" s="135" t="str">
        <f t="shared" si="140"/>
        <v xml:space="preserve">  * La  variable Gestantes No puede ser mayor al Total Mujeres.</v>
      </c>
      <c r="CC220" s="179"/>
      <c r="CD220" s="135" t="str">
        <f t="shared" si="163"/>
        <v xml:space="preserve">  * La variable Pueblos originarios - Hombres No puede ser mayor al Total.</v>
      </c>
      <c r="CE220" s="135" t="str">
        <f t="shared" si="141"/>
        <v xml:space="preserve">  * La variable Pueblos originarios - Mujeres No puede ser mayor al Total.</v>
      </c>
      <c r="CF220" s="135" t="str">
        <f t="shared" si="142"/>
        <v xml:space="preserve">  * La variable Niños, niñas, adolescentes y jóvenes SENAME No puede ser mayor al Total.</v>
      </c>
      <c r="CG220" s="135" t="str">
        <f t="shared" si="164"/>
        <v xml:space="preserve">  * La variable Niños, niñas, adolescentes y jóvenes Mejor Niñez No puede ser mayor al Total.</v>
      </c>
      <c r="CH220" s="135" t="str">
        <f t="shared" si="137"/>
        <v xml:space="preserve">  * La variable Migrantes - Hombres No puede ser mayor al Total Hombres.</v>
      </c>
      <c r="CI220" s="135" t="str">
        <f t="shared" si="165"/>
        <v xml:space="preserve">  * La variable Migrantes - Mujeres No puede ser mayor al Total.</v>
      </c>
      <c r="CJ220" s="135" t="str">
        <f t="shared" si="156"/>
        <v xml:space="preserve">  * La variable Trans Masculino No puede ser mayor al Total Mujeres.</v>
      </c>
      <c r="CK220" s="135" t="str">
        <f t="shared" si="157"/>
        <v xml:space="preserve">  * La variable Trans Femenino No puede ser mayor al Total Hombres.</v>
      </c>
      <c r="CL220" s="135" t="str">
        <f t="shared" si="166"/>
        <v xml:space="preserve">  * La variable Adolescentes derivados de Espacios Amigables No puede ser mayor al Total.</v>
      </c>
      <c r="CM220" s="6"/>
      <c r="CP220" s="55">
        <f t="shared" si="143"/>
        <v>1</v>
      </c>
      <c r="CQ220" s="432"/>
      <c r="CR220" s="55">
        <f t="shared" si="159"/>
        <v>1</v>
      </c>
      <c r="CS220" s="55">
        <f t="shared" si="145"/>
        <v>1</v>
      </c>
      <c r="CT220" s="55">
        <f t="shared" si="146"/>
        <v>1</v>
      </c>
      <c r="CU220" s="55">
        <f t="shared" si="147"/>
        <v>1</v>
      </c>
      <c r="CV220" s="55">
        <f t="shared" si="160"/>
        <v>1</v>
      </c>
      <c r="CW220" s="55">
        <f t="shared" si="148"/>
        <v>1</v>
      </c>
      <c r="CX220" s="55">
        <f t="shared" si="161"/>
        <v>1</v>
      </c>
      <c r="CY220" s="55">
        <f t="shared" si="162"/>
        <v>1</v>
      </c>
      <c r="CZ220" s="55">
        <f t="shared" si="136"/>
        <v>1</v>
      </c>
    </row>
    <row r="221" spans="1:104" ht="36" customHeight="1" x14ac:dyDescent="0.25">
      <c r="A221" s="5677" t="s">
        <v>5078</v>
      </c>
      <c r="B221" s="6059"/>
      <c r="C221" s="386" t="s">
        <v>879</v>
      </c>
      <c r="D221" s="377" t="s">
        <v>4567</v>
      </c>
      <c r="E221" s="656" t="s">
        <v>4568</v>
      </c>
      <c r="F221" s="386" t="s">
        <v>4569</v>
      </c>
      <c r="G221" s="379" t="s">
        <v>4570</v>
      </c>
      <c r="H221" s="387" t="s">
        <v>4571</v>
      </c>
      <c r="I221" s="379" t="s">
        <v>4572</v>
      </c>
      <c r="J221" s="387" t="s">
        <v>4573</v>
      </c>
      <c r="K221" s="379" t="s">
        <v>4574</v>
      </c>
      <c r="L221" s="387" t="s">
        <v>4575</v>
      </c>
      <c r="M221" s="379" t="s">
        <v>4576</v>
      </c>
      <c r="N221" s="387" t="s">
        <v>4577</v>
      </c>
      <c r="O221" s="379" t="s">
        <v>4578</v>
      </c>
      <c r="P221" s="387" t="s">
        <v>4579</v>
      </c>
      <c r="Q221" s="661" t="s">
        <v>4580</v>
      </c>
      <c r="R221" s="662" t="s">
        <v>4581</v>
      </c>
      <c r="S221" s="662" t="s">
        <v>4582</v>
      </c>
      <c r="T221" s="662" t="s">
        <v>4583</v>
      </c>
      <c r="U221" s="662" t="s">
        <v>4584</v>
      </c>
      <c r="V221" s="662" t="s">
        <v>4585</v>
      </c>
      <c r="W221" s="662" t="s">
        <v>4586</v>
      </c>
      <c r="X221" s="662" t="s">
        <v>4587</v>
      </c>
      <c r="Y221" s="662" t="s">
        <v>4588</v>
      </c>
      <c r="Z221" s="662" t="s">
        <v>4589</v>
      </c>
      <c r="AA221" s="662" t="s">
        <v>4590</v>
      </c>
      <c r="AB221" s="662" t="s">
        <v>4591</v>
      </c>
      <c r="AC221" s="662" t="s">
        <v>4592</v>
      </c>
      <c r="AD221" s="662" t="s">
        <v>4593</v>
      </c>
      <c r="AE221" s="662" t="s">
        <v>4594</v>
      </c>
      <c r="AF221" s="662" t="s">
        <v>4595</v>
      </c>
      <c r="AG221" s="662" t="s">
        <v>4596</v>
      </c>
      <c r="AH221" s="662" t="s">
        <v>4597</v>
      </c>
      <c r="AI221" s="662" t="s">
        <v>4598</v>
      </c>
      <c r="AJ221" s="662" t="s">
        <v>4599</v>
      </c>
      <c r="AK221" s="662" t="s">
        <v>4600</v>
      </c>
      <c r="AL221" s="662" t="s">
        <v>4601</v>
      </c>
      <c r="AM221" s="662" t="s">
        <v>4602</v>
      </c>
      <c r="AN221" s="663" t="s">
        <v>4603</v>
      </c>
      <c r="AO221" s="378" t="s">
        <v>4604</v>
      </c>
      <c r="AP221" s="559" t="s">
        <v>4605</v>
      </c>
      <c r="AQ221" s="379" t="s">
        <v>4606</v>
      </c>
      <c r="AR221" s="387" t="s">
        <v>4934</v>
      </c>
      <c r="AS221" s="379" t="s">
        <v>4935</v>
      </c>
      <c r="AT221" s="387" t="s">
        <v>4936</v>
      </c>
      <c r="AU221" s="557" t="s">
        <v>4937</v>
      </c>
      <c r="AV221" s="388" t="s">
        <v>5234</v>
      </c>
      <c r="AW221" s="557" t="s">
        <v>5235</v>
      </c>
      <c r="AX221" s="388" t="s">
        <v>5236</v>
      </c>
      <c r="AY221" s="387" t="s">
        <v>5237</v>
      </c>
      <c r="AZ221" s="6" t="str">
        <f t="shared" si="167"/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1" s="135" t="str">
        <f t="shared" si="140"/>
        <v xml:space="preserve">  * La  variable Gestantes No puede ser mayor al Total Mujeres.</v>
      </c>
      <c r="CC221" s="179"/>
      <c r="CD221" s="135" t="str">
        <f t="shared" si="163"/>
        <v xml:space="preserve">  * La variable Pueblos originarios - Hombres No puede ser mayor al Total.</v>
      </c>
      <c r="CE221" s="135" t="str">
        <f t="shared" si="141"/>
        <v xml:space="preserve">  * La variable Pueblos originarios - Mujeres No puede ser mayor al Total.</v>
      </c>
      <c r="CF221" s="135" t="str">
        <f t="shared" si="142"/>
        <v xml:space="preserve">  * La variable Niños, niñas, adolescentes y jóvenes SENAME No puede ser mayor al Total.</v>
      </c>
      <c r="CG221" s="135" t="str">
        <f t="shared" si="164"/>
        <v xml:space="preserve">  * La variable Niños, niñas, adolescentes y jóvenes Mejor Niñez No puede ser mayor al Total.</v>
      </c>
      <c r="CH221" s="135" t="str">
        <f t="shared" si="137"/>
        <v xml:space="preserve">  * La variable Migrantes - Hombres No puede ser mayor al Total Hombres.</v>
      </c>
      <c r="CI221" s="135" t="str">
        <f t="shared" si="165"/>
        <v xml:space="preserve">  * La variable Migrantes - Mujeres No puede ser mayor al Total.</v>
      </c>
      <c r="CJ221" s="135" t="str">
        <f t="shared" si="156"/>
        <v xml:space="preserve">  * La variable Trans Masculino No puede ser mayor al Total Mujeres.</v>
      </c>
      <c r="CK221" s="135" t="str">
        <f t="shared" si="157"/>
        <v xml:space="preserve">  * La variable Trans Femenino No puede ser mayor al Total Hombres.</v>
      </c>
      <c r="CL221" s="135" t="str">
        <f t="shared" si="166"/>
        <v xml:space="preserve">  * La variable Adolescentes derivados de Espacios Amigables No puede ser mayor al Total.</v>
      </c>
      <c r="CM221" s="6"/>
      <c r="CP221" s="55">
        <f t="shared" si="143"/>
        <v>1</v>
      </c>
      <c r="CQ221" s="432"/>
      <c r="CR221" s="55">
        <f t="shared" si="159"/>
        <v>1</v>
      </c>
      <c r="CS221" s="55">
        <f t="shared" si="145"/>
        <v>1</v>
      </c>
      <c r="CT221" s="55">
        <f t="shared" si="146"/>
        <v>1</v>
      </c>
      <c r="CU221" s="55">
        <f t="shared" si="147"/>
        <v>1</v>
      </c>
      <c r="CV221" s="55">
        <f t="shared" si="160"/>
        <v>1</v>
      </c>
      <c r="CW221" s="55">
        <f t="shared" si="148"/>
        <v>1</v>
      </c>
      <c r="CX221" s="55">
        <f t="shared" si="161"/>
        <v>1</v>
      </c>
      <c r="CY221" s="55">
        <f t="shared" si="162"/>
        <v>1</v>
      </c>
      <c r="CZ221" s="55">
        <f t="shared" si="136"/>
        <v>1</v>
      </c>
    </row>
    <row r="222" spans="1:104" ht="15" customHeight="1" x14ac:dyDescent="0.25">
      <c r="A222" s="5677" t="s">
        <v>5079</v>
      </c>
      <c r="B222" s="6453" t="s">
        <v>880</v>
      </c>
      <c r="C222" s="664" t="s">
        <v>881</v>
      </c>
      <c r="D222" s="308" t="s">
        <v>4567</v>
      </c>
      <c r="E222" s="641" t="s">
        <v>4568</v>
      </c>
      <c r="F222" s="108" t="s">
        <v>4569</v>
      </c>
      <c r="G222" s="290" t="s">
        <v>4570</v>
      </c>
      <c r="H222" s="107" t="s">
        <v>4571</v>
      </c>
      <c r="I222" s="290" t="s">
        <v>4572</v>
      </c>
      <c r="J222" s="107" t="s">
        <v>4573</v>
      </c>
      <c r="K222" s="290" t="s">
        <v>4574</v>
      </c>
      <c r="L222" s="107" t="s">
        <v>4575</v>
      </c>
      <c r="M222" s="290" t="s">
        <v>4576</v>
      </c>
      <c r="N222" s="107" t="s">
        <v>4577</v>
      </c>
      <c r="O222" s="290" t="s">
        <v>4578</v>
      </c>
      <c r="P222" s="107" t="s">
        <v>4579</v>
      </c>
      <c r="Q222" s="290" t="s">
        <v>4580</v>
      </c>
      <c r="R222" s="107" t="s">
        <v>4581</v>
      </c>
      <c r="S222" s="290" t="s">
        <v>4582</v>
      </c>
      <c r="T222" s="107" t="s">
        <v>4583</v>
      </c>
      <c r="U222" s="290" t="s">
        <v>4584</v>
      </c>
      <c r="V222" s="107" t="s">
        <v>4585</v>
      </c>
      <c r="W222" s="290" t="s">
        <v>4586</v>
      </c>
      <c r="X222" s="107" t="s">
        <v>4587</v>
      </c>
      <c r="Y222" s="290" t="s">
        <v>4588</v>
      </c>
      <c r="Z222" s="107" t="s">
        <v>4589</v>
      </c>
      <c r="AA222" s="290" t="s">
        <v>4590</v>
      </c>
      <c r="AB222" s="107" t="s">
        <v>4591</v>
      </c>
      <c r="AC222" s="290" t="s">
        <v>4592</v>
      </c>
      <c r="AD222" s="107" t="s">
        <v>4593</v>
      </c>
      <c r="AE222" s="290" t="s">
        <v>4594</v>
      </c>
      <c r="AF222" s="107" t="s">
        <v>4595</v>
      </c>
      <c r="AG222" s="290" t="s">
        <v>4596</v>
      </c>
      <c r="AH222" s="107" t="s">
        <v>4597</v>
      </c>
      <c r="AI222" s="290" t="s">
        <v>4598</v>
      </c>
      <c r="AJ222" s="107" t="s">
        <v>4599</v>
      </c>
      <c r="AK222" s="290" t="s">
        <v>4600</v>
      </c>
      <c r="AL222" s="107" t="s">
        <v>4601</v>
      </c>
      <c r="AM222" s="290" t="s">
        <v>4602</v>
      </c>
      <c r="AN222" s="430" t="s">
        <v>4603</v>
      </c>
      <c r="AO222" s="296" t="s">
        <v>4604</v>
      </c>
      <c r="AP222" s="474" t="s">
        <v>4605</v>
      </c>
      <c r="AQ222" s="476" t="s">
        <v>4606</v>
      </c>
      <c r="AR222" s="107" t="s">
        <v>4934</v>
      </c>
      <c r="AS222" s="290" t="s">
        <v>4935</v>
      </c>
      <c r="AT222" s="107" t="s">
        <v>4936</v>
      </c>
      <c r="AU222" s="65" t="s">
        <v>4937</v>
      </c>
      <c r="AV222" s="622" t="s">
        <v>5234</v>
      </c>
      <c r="AW222" s="245" t="s">
        <v>5235</v>
      </c>
      <c r="AX222" s="622" t="s">
        <v>5236</v>
      </c>
      <c r="AY222" s="107" t="s">
        <v>5237</v>
      </c>
      <c r="AZ222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2" s="135" t="str">
        <f t="shared" si="140"/>
        <v xml:space="preserve">  * La  variable Gestantes No puede ser mayor al Total Mujeres.</v>
      </c>
      <c r="CC222" s="135" t="str">
        <f>IF(AND(F222&gt;0,AP222=""), "* No olvide digitar la variable Madre de hijo menor de 5 años. Digite Cero si no tiene.",IF(AP222&gt;F222,"  * La variable Madre de hijo menor de 5 años No puede ser mayor al Total Mujeres.",""))</f>
        <v xml:space="preserve">  * La variable Madre de hijo menor de 5 años No puede ser mayor al Total Mujeres.</v>
      </c>
      <c r="CD222" s="135" t="str">
        <f t="shared" si="163"/>
        <v xml:space="preserve">  * La variable Pueblos originarios - Hombres No puede ser mayor al Total.</v>
      </c>
      <c r="CE222" s="135" t="str">
        <f t="shared" si="141"/>
        <v xml:space="preserve">  * La variable Pueblos originarios - Mujeres No puede ser mayor al Total.</v>
      </c>
      <c r="CF222" s="135" t="str">
        <f t="shared" si="142"/>
        <v xml:space="preserve">  * La variable Niños, niñas, adolescentes y jóvenes SENAME No puede ser mayor al Total.</v>
      </c>
      <c r="CG222" s="135" t="str">
        <f t="shared" si="164"/>
        <v xml:space="preserve">  * La variable Niños, niñas, adolescentes y jóvenes Mejor Niñez No puede ser mayor al Total.</v>
      </c>
      <c r="CH222" s="135" t="str">
        <f t="shared" si="137"/>
        <v xml:space="preserve">  * La variable Migrantes - Hombres No puede ser mayor al Total Hombres.</v>
      </c>
      <c r="CI222" s="135" t="str">
        <f t="shared" si="165"/>
        <v xml:space="preserve">  * La variable Migrantes - Mujeres No puede ser mayor al Total.</v>
      </c>
      <c r="CJ222" s="135" t="str">
        <f t="shared" si="156"/>
        <v xml:space="preserve">  * La variable Trans Masculino No puede ser mayor al Total Mujeres.</v>
      </c>
      <c r="CK222" s="135" t="str">
        <f t="shared" si="157"/>
        <v xml:space="preserve">  * La variable Trans Femenino No puede ser mayor al Total Hombres.</v>
      </c>
      <c r="CL222" s="135" t="str">
        <f t="shared" si="166"/>
        <v xml:space="preserve">  * La variable Adolescentes derivados de Espacios Amigables No puede ser mayor al Total.</v>
      </c>
      <c r="CM222" s="6"/>
      <c r="CP222" s="55">
        <f t="shared" si="143"/>
        <v>1</v>
      </c>
      <c r="CQ222" s="55">
        <f>IF(AND(F222&gt;0,AP222=""),1,IF(AP222&gt;F222,1,0))</f>
        <v>1</v>
      </c>
      <c r="CR222" s="55">
        <f t="shared" si="159"/>
        <v>1</v>
      </c>
      <c r="CS222" s="55">
        <f t="shared" si="145"/>
        <v>1</v>
      </c>
      <c r="CT222" s="55">
        <f t="shared" si="146"/>
        <v>1</v>
      </c>
      <c r="CU222" s="55">
        <f t="shared" si="147"/>
        <v>1</v>
      </c>
      <c r="CV222" s="55">
        <f t="shared" si="160"/>
        <v>1</v>
      </c>
      <c r="CW222" s="55">
        <f t="shared" si="148"/>
        <v>1</v>
      </c>
      <c r="CX222" s="55">
        <f t="shared" si="161"/>
        <v>1</v>
      </c>
      <c r="CY222" s="55">
        <f t="shared" si="162"/>
        <v>1</v>
      </c>
      <c r="CZ222" s="55">
        <f t="shared" si="136"/>
        <v>1</v>
      </c>
    </row>
    <row r="223" spans="1:104" ht="15" customHeight="1" x14ac:dyDescent="0.25">
      <c r="A223" s="5677" t="s">
        <v>5080</v>
      </c>
      <c r="B223" s="6112"/>
      <c r="C223" s="247" t="s">
        <v>882</v>
      </c>
      <c r="D223" s="647" t="s">
        <v>4567</v>
      </c>
      <c r="E223" s="648" t="s">
        <v>4568</v>
      </c>
      <c r="F223" s="499" t="s">
        <v>4569</v>
      </c>
      <c r="G223" s="345" t="s">
        <v>4570</v>
      </c>
      <c r="H223" s="346" t="s">
        <v>4571</v>
      </c>
      <c r="I223" s="345" t="s">
        <v>4572</v>
      </c>
      <c r="J223" s="346" t="s">
        <v>4573</v>
      </c>
      <c r="K223" s="345" t="s">
        <v>4574</v>
      </c>
      <c r="L223" s="346" t="s">
        <v>4575</v>
      </c>
      <c r="M223" s="345" t="s">
        <v>4576</v>
      </c>
      <c r="N223" s="346" t="s">
        <v>4577</v>
      </c>
      <c r="O223" s="345" t="s">
        <v>4578</v>
      </c>
      <c r="P223" s="346" t="s">
        <v>4579</v>
      </c>
      <c r="Q223" s="345" t="s">
        <v>4580</v>
      </c>
      <c r="R223" s="346" t="s">
        <v>4581</v>
      </c>
      <c r="S223" s="345" t="s">
        <v>4582</v>
      </c>
      <c r="T223" s="346" t="s">
        <v>4583</v>
      </c>
      <c r="U223" s="345" t="s">
        <v>4584</v>
      </c>
      <c r="V223" s="346" t="s">
        <v>4585</v>
      </c>
      <c r="W223" s="345" t="s">
        <v>4586</v>
      </c>
      <c r="X223" s="346" t="s">
        <v>4587</v>
      </c>
      <c r="Y223" s="345" t="s">
        <v>4588</v>
      </c>
      <c r="Z223" s="346" t="s">
        <v>4589</v>
      </c>
      <c r="AA223" s="345" t="s">
        <v>4590</v>
      </c>
      <c r="AB223" s="346" t="s">
        <v>4591</v>
      </c>
      <c r="AC223" s="345" t="s">
        <v>4592</v>
      </c>
      <c r="AD223" s="346" t="s">
        <v>4593</v>
      </c>
      <c r="AE223" s="345" t="s">
        <v>4594</v>
      </c>
      <c r="AF223" s="346" t="s">
        <v>4595</v>
      </c>
      <c r="AG223" s="345" t="s">
        <v>4596</v>
      </c>
      <c r="AH223" s="346" t="s">
        <v>4597</v>
      </c>
      <c r="AI223" s="345" t="s">
        <v>4598</v>
      </c>
      <c r="AJ223" s="346" t="s">
        <v>4599</v>
      </c>
      <c r="AK223" s="345" t="s">
        <v>4600</v>
      </c>
      <c r="AL223" s="346" t="s">
        <v>4601</v>
      </c>
      <c r="AM223" s="345" t="s">
        <v>4602</v>
      </c>
      <c r="AN223" s="351" t="s">
        <v>4603</v>
      </c>
      <c r="AO223" s="429" t="s">
        <v>4604</v>
      </c>
      <c r="AP223" s="346" t="s">
        <v>4605</v>
      </c>
      <c r="AQ223" s="347" t="s">
        <v>4606</v>
      </c>
      <c r="AR223" s="346" t="s">
        <v>4934</v>
      </c>
      <c r="AS223" s="345" t="s">
        <v>4935</v>
      </c>
      <c r="AT223" s="346" t="s">
        <v>4936</v>
      </c>
      <c r="AU223" s="554" t="s">
        <v>4937</v>
      </c>
      <c r="AV223" s="349" t="s">
        <v>5234</v>
      </c>
      <c r="AW223" s="350" t="s">
        <v>5235</v>
      </c>
      <c r="AX223" s="349" t="s">
        <v>5236</v>
      </c>
      <c r="AY223" s="346" t="s">
        <v>5237</v>
      </c>
      <c r="AZ223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3" s="135" t="str">
        <f t="shared" si="140"/>
        <v xml:space="preserve">  * La  variable Gestantes No puede ser mayor al Total Mujeres.</v>
      </c>
      <c r="CC223" s="135" t="str">
        <f>IF(AND(F223&gt;0,AP223=""), "* No olvide digitar la variable Madre de hijo menor de 5 años. Digite Cero si no tiene.",IF(AP223&gt;F223,"  * La variable Madre de hijo menor de 5 años No puede ser mayor al Total Mujeres.",""))</f>
        <v xml:space="preserve">  * La variable Madre de hijo menor de 5 años No puede ser mayor al Total Mujeres.</v>
      </c>
      <c r="CD223" s="135" t="str">
        <f t="shared" si="163"/>
        <v xml:space="preserve">  * La variable Pueblos originarios - Hombres No puede ser mayor al Total.</v>
      </c>
      <c r="CE223" s="135" t="str">
        <f t="shared" si="141"/>
        <v xml:space="preserve">  * La variable Pueblos originarios - Mujeres No puede ser mayor al Total.</v>
      </c>
      <c r="CF223" s="135" t="str">
        <f t="shared" si="142"/>
        <v xml:space="preserve">  * La variable Niños, niñas, adolescentes y jóvenes SENAME No puede ser mayor al Total.</v>
      </c>
      <c r="CG223" s="135" t="str">
        <f t="shared" si="164"/>
        <v xml:space="preserve">  * La variable Niños, niñas, adolescentes y jóvenes Mejor Niñez No puede ser mayor al Total.</v>
      </c>
      <c r="CH223" s="135" t="str">
        <f t="shared" si="137"/>
        <v xml:space="preserve">  * La variable Migrantes - Hombres No puede ser mayor al Total Hombres.</v>
      </c>
      <c r="CI223" s="135" t="str">
        <f t="shared" si="165"/>
        <v xml:space="preserve">  * La variable Migrantes - Mujeres No puede ser mayor al Total.</v>
      </c>
      <c r="CJ223" s="135" t="str">
        <f t="shared" si="156"/>
        <v xml:space="preserve">  * La variable Trans Masculino No puede ser mayor al Total Mujeres.</v>
      </c>
      <c r="CK223" s="135" t="str">
        <f t="shared" si="157"/>
        <v xml:space="preserve">  * La variable Trans Femenino No puede ser mayor al Total Hombres.</v>
      </c>
      <c r="CL223" s="135" t="str">
        <f t="shared" si="166"/>
        <v xml:space="preserve">  * La variable Adolescentes derivados de Espacios Amigables No puede ser mayor al Total.</v>
      </c>
      <c r="CM223" s="6"/>
      <c r="CP223" s="55">
        <f t="shared" si="143"/>
        <v>1</v>
      </c>
      <c r="CQ223" s="55">
        <f>IF(AND(F223&gt;0,AP223=""),1,IF(AP223&gt;F223,1,0))</f>
        <v>1</v>
      </c>
      <c r="CR223" s="55">
        <f t="shared" si="159"/>
        <v>1</v>
      </c>
      <c r="CS223" s="55">
        <f t="shared" si="145"/>
        <v>1</v>
      </c>
      <c r="CT223" s="55">
        <f t="shared" si="146"/>
        <v>1</v>
      </c>
      <c r="CU223" s="55">
        <f t="shared" si="147"/>
        <v>1</v>
      </c>
      <c r="CV223" s="55">
        <f t="shared" si="160"/>
        <v>1</v>
      </c>
      <c r="CW223" s="55">
        <f t="shared" si="148"/>
        <v>1</v>
      </c>
      <c r="CX223" s="55">
        <f t="shared" si="161"/>
        <v>1</v>
      </c>
      <c r="CY223" s="55">
        <f t="shared" si="162"/>
        <v>1</v>
      </c>
      <c r="CZ223" s="55">
        <f t="shared" si="136"/>
        <v>1</v>
      </c>
    </row>
    <row r="224" spans="1:104" ht="15" customHeight="1" x14ac:dyDescent="0.25">
      <c r="A224" s="5677" t="s">
        <v>5081</v>
      </c>
      <c r="B224" s="6112"/>
      <c r="C224" s="649" t="s">
        <v>883</v>
      </c>
      <c r="D224" s="647" t="s">
        <v>4567</v>
      </c>
      <c r="E224" s="648" t="s">
        <v>4568</v>
      </c>
      <c r="F224" s="499" t="s">
        <v>4569</v>
      </c>
      <c r="G224" s="345" t="s">
        <v>4570</v>
      </c>
      <c r="H224" s="346" t="s">
        <v>4571</v>
      </c>
      <c r="I224" s="345" t="s">
        <v>4572</v>
      </c>
      <c r="J224" s="346" t="s">
        <v>4573</v>
      </c>
      <c r="K224" s="345" t="s">
        <v>4574</v>
      </c>
      <c r="L224" s="346" t="s">
        <v>4575</v>
      </c>
      <c r="M224" s="345" t="s">
        <v>4576</v>
      </c>
      <c r="N224" s="346" t="s">
        <v>4577</v>
      </c>
      <c r="O224" s="345" t="s">
        <v>4578</v>
      </c>
      <c r="P224" s="346" t="s">
        <v>4579</v>
      </c>
      <c r="Q224" s="345" t="s">
        <v>4580</v>
      </c>
      <c r="R224" s="346" t="s">
        <v>4581</v>
      </c>
      <c r="S224" s="345" t="s">
        <v>4582</v>
      </c>
      <c r="T224" s="346" t="s">
        <v>4583</v>
      </c>
      <c r="U224" s="345" t="s">
        <v>4584</v>
      </c>
      <c r="V224" s="346" t="s">
        <v>4585</v>
      </c>
      <c r="W224" s="345" t="s">
        <v>4586</v>
      </c>
      <c r="X224" s="346" t="s">
        <v>4587</v>
      </c>
      <c r="Y224" s="345" t="s">
        <v>4588</v>
      </c>
      <c r="Z224" s="346" t="s">
        <v>4589</v>
      </c>
      <c r="AA224" s="345" t="s">
        <v>4590</v>
      </c>
      <c r="AB224" s="346" t="s">
        <v>4591</v>
      </c>
      <c r="AC224" s="345" t="s">
        <v>4592</v>
      </c>
      <c r="AD224" s="346" t="s">
        <v>4593</v>
      </c>
      <c r="AE224" s="345" t="s">
        <v>4594</v>
      </c>
      <c r="AF224" s="346" t="s">
        <v>4595</v>
      </c>
      <c r="AG224" s="345" t="s">
        <v>4596</v>
      </c>
      <c r="AH224" s="346" t="s">
        <v>4597</v>
      </c>
      <c r="AI224" s="345" t="s">
        <v>4598</v>
      </c>
      <c r="AJ224" s="346" t="s">
        <v>4599</v>
      </c>
      <c r="AK224" s="345" t="s">
        <v>4600</v>
      </c>
      <c r="AL224" s="346" t="s">
        <v>4601</v>
      </c>
      <c r="AM224" s="345" t="s">
        <v>4602</v>
      </c>
      <c r="AN224" s="351" t="s">
        <v>4603</v>
      </c>
      <c r="AO224" s="429" t="s">
        <v>4604</v>
      </c>
      <c r="AP224" s="346" t="s">
        <v>4605</v>
      </c>
      <c r="AQ224" s="347" t="s">
        <v>4606</v>
      </c>
      <c r="AR224" s="346" t="s">
        <v>4934</v>
      </c>
      <c r="AS224" s="345" t="s">
        <v>4935</v>
      </c>
      <c r="AT224" s="346" t="s">
        <v>4936</v>
      </c>
      <c r="AU224" s="554" t="s">
        <v>4937</v>
      </c>
      <c r="AV224" s="349" t="s">
        <v>5234</v>
      </c>
      <c r="AW224" s="350" t="s">
        <v>5235</v>
      </c>
      <c r="AX224" s="349" t="s">
        <v>5236</v>
      </c>
      <c r="AY224" s="346" t="s">
        <v>5237</v>
      </c>
      <c r="AZ224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4" s="135" t="str">
        <f t="shared" si="140"/>
        <v xml:space="preserve">  * La  variable Gestantes No puede ser mayor al Total Mujeres.</v>
      </c>
      <c r="CC224" s="135" t="str">
        <f>IF(AND(F224&gt;0,AP224=""), "* No olvide digitar la variable Madre de hijo menor de 5 años. Digite Cero si no tiene.",IF(AP224&gt;F224,"  * La variable Madre de hijo menor de 5 años No puede ser mayor al Total Mujeres.",""))</f>
        <v xml:space="preserve">  * La variable Madre de hijo menor de 5 años No puede ser mayor al Total Mujeres.</v>
      </c>
      <c r="CD224" s="135" t="str">
        <f t="shared" si="163"/>
        <v xml:space="preserve">  * La variable Pueblos originarios - Hombres No puede ser mayor al Total.</v>
      </c>
      <c r="CE224" s="135" t="str">
        <f t="shared" si="141"/>
        <v xml:space="preserve">  * La variable Pueblos originarios - Mujeres No puede ser mayor al Total.</v>
      </c>
      <c r="CF224" s="135" t="str">
        <f t="shared" si="142"/>
        <v xml:space="preserve">  * La variable Niños, niñas, adolescentes y jóvenes SENAME No puede ser mayor al Total.</v>
      </c>
      <c r="CG224" s="135" t="str">
        <f t="shared" si="164"/>
        <v xml:space="preserve">  * La variable Niños, niñas, adolescentes y jóvenes Mejor Niñez No puede ser mayor al Total.</v>
      </c>
      <c r="CH224" s="135" t="str">
        <f t="shared" si="137"/>
        <v xml:space="preserve">  * La variable Migrantes - Hombres No puede ser mayor al Total Hombres.</v>
      </c>
      <c r="CI224" s="135" t="str">
        <f t="shared" si="165"/>
        <v xml:space="preserve">  * La variable Migrantes - Mujeres No puede ser mayor al Total.</v>
      </c>
      <c r="CJ224" s="135" t="str">
        <f t="shared" si="156"/>
        <v xml:space="preserve">  * La variable Trans Masculino No puede ser mayor al Total Mujeres.</v>
      </c>
      <c r="CK224" s="135" t="str">
        <f t="shared" si="157"/>
        <v xml:space="preserve">  * La variable Trans Femenino No puede ser mayor al Total Hombres.</v>
      </c>
      <c r="CL224" s="135" t="str">
        <f t="shared" si="166"/>
        <v xml:space="preserve">  * La variable Adolescentes derivados de Espacios Amigables No puede ser mayor al Total.</v>
      </c>
      <c r="CM224" s="6"/>
      <c r="CP224" s="55">
        <f t="shared" si="143"/>
        <v>1</v>
      </c>
      <c r="CQ224" s="55">
        <f>IF(AND(F224&gt;0,AP224=""),1,IF(AP224&gt;F224,1,0))</f>
        <v>1</v>
      </c>
      <c r="CR224" s="55">
        <f t="shared" si="159"/>
        <v>1</v>
      </c>
      <c r="CS224" s="55">
        <f t="shared" si="145"/>
        <v>1</v>
      </c>
      <c r="CT224" s="55">
        <f t="shared" si="146"/>
        <v>1</v>
      </c>
      <c r="CU224" s="55">
        <f t="shared" si="147"/>
        <v>1</v>
      </c>
      <c r="CV224" s="55">
        <f t="shared" si="160"/>
        <v>1</v>
      </c>
      <c r="CW224" s="55">
        <f t="shared" si="148"/>
        <v>1</v>
      </c>
      <c r="CX224" s="55">
        <f t="shared" si="161"/>
        <v>1</v>
      </c>
      <c r="CY224" s="55">
        <f t="shared" si="162"/>
        <v>1</v>
      </c>
      <c r="CZ224" s="55">
        <f t="shared" si="136"/>
        <v>1</v>
      </c>
    </row>
    <row r="225" spans="1:104" ht="15" customHeight="1" x14ac:dyDescent="0.25">
      <c r="A225" s="5677" t="s">
        <v>5082</v>
      </c>
      <c r="B225" s="6112"/>
      <c r="C225" s="649" t="s">
        <v>884</v>
      </c>
      <c r="D225" s="647" t="s">
        <v>4567</v>
      </c>
      <c r="E225" s="648" t="s">
        <v>4568</v>
      </c>
      <c r="F225" s="499" t="s">
        <v>4569</v>
      </c>
      <c r="G225" s="345" t="s">
        <v>4570</v>
      </c>
      <c r="H225" s="346" t="s">
        <v>4571</v>
      </c>
      <c r="I225" s="345" t="s">
        <v>4572</v>
      </c>
      <c r="J225" s="346" t="s">
        <v>4573</v>
      </c>
      <c r="K225" s="345" t="s">
        <v>4574</v>
      </c>
      <c r="L225" s="346" t="s">
        <v>4575</v>
      </c>
      <c r="M225" s="345" t="s">
        <v>4576</v>
      </c>
      <c r="N225" s="346" t="s">
        <v>4577</v>
      </c>
      <c r="O225" s="345" t="s">
        <v>4578</v>
      </c>
      <c r="P225" s="346" t="s">
        <v>4579</v>
      </c>
      <c r="Q225" s="345" t="s">
        <v>4580</v>
      </c>
      <c r="R225" s="346" t="s">
        <v>4581</v>
      </c>
      <c r="S225" s="345" t="s">
        <v>4582</v>
      </c>
      <c r="T225" s="346" t="s">
        <v>4583</v>
      </c>
      <c r="U225" s="345" t="s">
        <v>4584</v>
      </c>
      <c r="V225" s="346" t="s">
        <v>4585</v>
      </c>
      <c r="W225" s="345" t="s">
        <v>4586</v>
      </c>
      <c r="X225" s="346" t="s">
        <v>4587</v>
      </c>
      <c r="Y225" s="345" t="s">
        <v>4588</v>
      </c>
      <c r="Z225" s="346" t="s">
        <v>4589</v>
      </c>
      <c r="AA225" s="345" t="s">
        <v>4590</v>
      </c>
      <c r="AB225" s="346" t="s">
        <v>4591</v>
      </c>
      <c r="AC225" s="345" t="s">
        <v>4592</v>
      </c>
      <c r="AD225" s="346" t="s">
        <v>4593</v>
      </c>
      <c r="AE225" s="345" t="s">
        <v>4594</v>
      </c>
      <c r="AF225" s="346" t="s">
        <v>4595</v>
      </c>
      <c r="AG225" s="345" t="s">
        <v>4596</v>
      </c>
      <c r="AH225" s="346" t="s">
        <v>4597</v>
      </c>
      <c r="AI225" s="345" t="s">
        <v>4598</v>
      </c>
      <c r="AJ225" s="346" t="s">
        <v>4599</v>
      </c>
      <c r="AK225" s="345" t="s">
        <v>4600</v>
      </c>
      <c r="AL225" s="346" t="s">
        <v>4601</v>
      </c>
      <c r="AM225" s="345" t="s">
        <v>4602</v>
      </c>
      <c r="AN225" s="351" t="s">
        <v>4603</v>
      </c>
      <c r="AO225" s="429" t="s">
        <v>4604</v>
      </c>
      <c r="AP225" s="346" t="s">
        <v>4605</v>
      </c>
      <c r="AQ225" s="347" t="s">
        <v>4606</v>
      </c>
      <c r="AR225" s="346" t="s">
        <v>4934</v>
      </c>
      <c r="AS225" s="345" t="s">
        <v>4935</v>
      </c>
      <c r="AT225" s="346" t="s">
        <v>4936</v>
      </c>
      <c r="AU225" s="554" t="s">
        <v>4937</v>
      </c>
      <c r="AV225" s="349" t="s">
        <v>5234</v>
      </c>
      <c r="AW225" s="350" t="s">
        <v>5235</v>
      </c>
      <c r="AX225" s="349" t="s">
        <v>5236</v>
      </c>
      <c r="AY225" s="346" t="s">
        <v>5237</v>
      </c>
      <c r="AZ225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5" s="135" t="str">
        <f t="shared" si="140"/>
        <v xml:space="preserve">  * La  variable Gestantes No puede ser mayor al Total Mujeres.</v>
      </c>
      <c r="CC225" s="135" t="str">
        <f>IF(AND(F225&gt;0,AP225=""), "* No olvide digitar la variable Madre de hijo menor de 5 años. Digite Cero si no tiene.",IF(AP225&gt;F225,"  * La variable Madre de hijo menor de 5 años No puede ser mayor al Total Mujeres.",""))</f>
        <v xml:space="preserve">  * La variable Madre de hijo menor de 5 años No puede ser mayor al Total Mujeres.</v>
      </c>
      <c r="CD225" s="135" t="str">
        <f t="shared" si="163"/>
        <v xml:space="preserve">  * La variable Pueblos originarios - Hombres No puede ser mayor al Total.</v>
      </c>
      <c r="CE225" s="135" t="str">
        <f t="shared" si="141"/>
        <v xml:space="preserve">  * La variable Pueblos originarios - Mujeres No puede ser mayor al Total.</v>
      </c>
      <c r="CF225" s="135" t="str">
        <f t="shared" si="142"/>
        <v xml:space="preserve">  * La variable Niños, niñas, adolescentes y jóvenes SENAME No puede ser mayor al Total.</v>
      </c>
      <c r="CG225" s="135" t="str">
        <f t="shared" si="164"/>
        <v xml:space="preserve">  * La variable Niños, niñas, adolescentes y jóvenes Mejor Niñez No puede ser mayor al Total.</v>
      </c>
      <c r="CH225" s="135" t="str">
        <f t="shared" si="137"/>
        <v xml:space="preserve">  * La variable Migrantes - Hombres No puede ser mayor al Total Hombres.</v>
      </c>
      <c r="CI225" s="135" t="str">
        <f t="shared" si="165"/>
        <v xml:space="preserve">  * La variable Migrantes - Mujeres No puede ser mayor al Total.</v>
      </c>
      <c r="CJ225" s="135" t="str">
        <f t="shared" si="156"/>
        <v xml:space="preserve">  * La variable Trans Masculino No puede ser mayor al Total Mujeres.</v>
      </c>
      <c r="CK225" s="135" t="str">
        <f t="shared" si="157"/>
        <v xml:space="preserve">  * La variable Trans Femenino No puede ser mayor al Total Hombres.</v>
      </c>
      <c r="CL225" s="135" t="str">
        <f t="shared" si="166"/>
        <v xml:space="preserve">  * La variable Adolescentes derivados de Espacios Amigables No puede ser mayor al Total.</v>
      </c>
      <c r="CM225" s="6"/>
      <c r="CP225" s="55">
        <f t="shared" si="143"/>
        <v>1</v>
      </c>
      <c r="CQ225" s="55">
        <f>IF(AND(F225&gt;0,AP225=""),1,IF(AP225&gt;F225,1,0))</f>
        <v>1</v>
      </c>
      <c r="CR225" s="55">
        <f t="shared" si="159"/>
        <v>1</v>
      </c>
      <c r="CS225" s="55">
        <f t="shared" si="145"/>
        <v>1</v>
      </c>
      <c r="CT225" s="55">
        <f t="shared" si="146"/>
        <v>1</v>
      </c>
      <c r="CU225" s="55">
        <f t="shared" si="147"/>
        <v>1</v>
      </c>
      <c r="CV225" s="55">
        <f t="shared" si="160"/>
        <v>1</v>
      </c>
      <c r="CW225" s="55">
        <f t="shared" si="148"/>
        <v>1</v>
      </c>
      <c r="CX225" s="55">
        <f t="shared" si="161"/>
        <v>1</v>
      </c>
      <c r="CY225" s="55">
        <f t="shared" si="162"/>
        <v>1</v>
      </c>
      <c r="CZ225" s="55">
        <f t="shared" si="136"/>
        <v>1</v>
      </c>
    </row>
    <row r="226" spans="1:104" ht="15" customHeight="1" x14ac:dyDescent="0.25">
      <c r="A226" s="5677" t="s">
        <v>5083</v>
      </c>
      <c r="B226" s="6059"/>
      <c r="C226" s="665" t="s">
        <v>885</v>
      </c>
      <c r="D226" s="73" t="s">
        <v>4567</v>
      </c>
      <c r="E226" s="246" t="s">
        <v>4568</v>
      </c>
      <c r="F226" s="67" t="s">
        <v>4569</v>
      </c>
      <c r="G226" s="345" t="s">
        <v>4570</v>
      </c>
      <c r="H226" s="346" t="s">
        <v>4571</v>
      </c>
      <c r="I226" s="345" t="s">
        <v>4572</v>
      </c>
      <c r="J226" s="346" t="s">
        <v>4573</v>
      </c>
      <c r="K226" s="345" t="s">
        <v>4574</v>
      </c>
      <c r="L226" s="346" t="s">
        <v>4575</v>
      </c>
      <c r="M226" s="345" t="s">
        <v>4576</v>
      </c>
      <c r="N226" s="346" t="s">
        <v>4577</v>
      </c>
      <c r="O226" s="345" t="s">
        <v>4578</v>
      </c>
      <c r="P226" s="346" t="s">
        <v>4579</v>
      </c>
      <c r="Q226" s="345" t="s">
        <v>4580</v>
      </c>
      <c r="R226" s="346" t="s">
        <v>4581</v>
      </c>
      <c r="S226" s="345" t="s">
        <v>4582</v>
      </c>
      <c r="T226" s="346" t="s">
        <v>4583</v>
      </c>
      <c r="U226" s="345" t="s">
        <v>4584</v>
      </c>
      <c r="V226" s="346" t="s">
        <v>4585</v>
      </c>
      <c r="W226" s="345" t="s">
        <v>4586</v>
      </c>
      <c r="X226" s="346" t="s">
        <v>4587</v>
      </c>
      <c r="Y226" s="345" t="s">
        <v>4588</v>
      </c>
      <c r="Z226" s="346" t="s">
        <v>4589</v>
      </c>
      <c r="AA226" s="345" t="s">
        <v>4590</v>
      </c>
      <c r="AB226" s="346" t="s">
        <v>4591</v>
      </c>
      <c r="AC226" s="345" t="s">
        <v>4592</v>
      </c>
      <c r="AD226" s="346" t="s">
        <v>4593</v>
      </c>
      <c r="AE226" s="345" t="s">
        <v>4594</v>
      </c>
      <c r="AF226" s="346" t="s">
        <v>4595</v>
      </c>
      <c r="AG226" s="345" t="s">
        <v>4596</v>
      </c>
      <c r="AH226" s="346" t="s">
        <v>4597</v>
      </c>
      <c r="AI226" s="345" t="s">
        <v>4598</v>
      </c>
      <c r="AJ226" s="346" t="s">
        <v>4599</v>
      </c>
      <c r="AK226" s="345" t="s">
        <v>4600</v>
      </c>
      <c r="AL226" s="346" t="s">
        <v>4601</v>
      </c>
      <c r="AM226" s="379" t="s">
        <v>4602</v>
      </c>
      <c r="AN226" s="389" t="s">
        <v>4603</v>
      </c>
      <c r="AO226" s="378" t="s">
        <v>4604</v>
      </c>
      <c r="AP226" s="387" t="s">
        <v>4605</v>
      </c>
      <c r="AQ226" s="428" t="s">
        <v>4606</v>
      </c>
      <c r="AR226" s="387" t="s">
        <v>4934</v>
      </c>
      <c r="AS226" s="379" t="s">
        <v>4935</v>
      </c>
      <c r="AT226" s="387" t="s">
        <v>4936</v>
      </c>
      <c r="AU226" s="557" t="s">
        <v>4937</v>
      </c>
      <c r="AV226" s="388" t="s">
        <v>5234</v>
      </c>
      <c r="AW226" s="666" t="s">
        <v>5235</v>
      </c>
      <c r="AX226" s="388" t="s">
        <v>5236</v>
      </c>
      <c r="AY226" s="387" t="s">
        <v>5237</v>
      </c>
      <c r="AZ226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6" s="135" t="str">
        <f t="shared" si="140"/>
        <v xml:space="preserve">  * La  variable Gestantes No puede ser mayor al Total Mujeres.</v>
      </c>
      <c r="CC226" s="135" t="str">
        <f>IF(AND(F226&gt;0,AP226=""), "* No olvide digitar la variable Madre de hijo menor de 5 años. Digite Cero si no tiene.",IF(AP226&gt;F226,"  * La variable Madre de hijo menor de 5 años No puede ser mayor al Total Mujeres.",""))</f>
        <v xml:space="preserve">  * La variable Madre de hijo menor de 5 años No puede ser mayor al Total Mujeres.</v>
      </c>
      <c r="CD226" s="135" t="str">
        <f t="shared" si="163"/>
        <v xml:space="preserve">  * La variable Pueblos originarios - Hombres No puede ser mayor al Total.</v>
      </c>
      <c r="CE226" s="135" t="str">
        <f t="shared" si="141"/>
        <v xml:space="preserve">  * La variable Pueblos originarios - Mujeres No puede ser mayor al Total.</v>
      </c>
      <c r="CF226" s="135" t="str">
        <f t="shared" si="142"/>
        <v xml:space="preserve">  * La variable Niños, niñas, adolescentes y jóvenes SENAME No puede ser mayor al Total.</v>
      </c>
      <c r="CG226" s="135" t="str">
        <f t="shared" si="164"/>
        <v xml:space="preserve">  * La variable Niños, niñas, adolescentes y jóvenes Mejor Niñez No puede ser mayor al Total.</v>
      </c>
      <c r="CH226" s="135" t="str">
        <f t="shared" si="137"/>
        <v xml:space="preserve">  * La variable Migrantes - Hombres No puede ser mayor al Total Hombres.</v>
      </c>
      <c r="CI226" s="135" t="str">
        <f t="shared" si="165"/>
        <v xml:space="preserve">  * La variable Migrantes - Mujeres No puede ser mayor al Total.</v>
      </c>
      <c r="CJ226" s="135" t="str">
        <f t="shared" si="156"/>
        <v xml:space="preserve">  * La variable Trans Masculino No puede ser mayor al Total Mujeres.</v>
      </c>
      <c r="CK226" s="135" t="str">
        <f t="shared" si="157"/>
        <v xml:space="preserve">  * La variable Trans Femenino No puede ser mayor al Total Hombres.</v>
      </c>
      <c r="CL226" s="135" t="str">
        <f t="shared" si="166"/>
        <v xml:space="preserve">  * La variable Adolescentes derivados de Espacios Amigables No puede ser mayor al Total.</v>
      </c>
      <c r="CM226" s="6"/>
      <c r="CP226" s="55">
        <f t="shared" si="143"/>
        <v>1</v>
      </c>
      <c r="CQ226" s="55">
        <f>IF(AND(F226&gt;0,AP226=""),1,IF(AP226&gt;F226,1,0))</f>
        <v>1</v>
      </c>
      <c r="CR226" s="55">
        <f t="shared" si="159"/>
        <v>1</v>
      </c>
      <c r="CS226" s="55">
        <f t="shared" si="145"/>
        <v>1</v>
      </c>
      <c r="CT226" s="55">
        <f t="shared" si="146"/>
        <v>1</v>
      </c>
      <c r="CU226" s="55">
        <f t="shared" si="147"/>
        <v>1</v>
      </c>
      <c r="CV226" s="55">
        <f t="shared" si="160"/>
        <v>1</v>
      </c>
      <c r="CW226" s="55">
        <f t="shared" si="148"/>
        <v>1</v>
      </c>
      <c r="CX226" s="55">
        <f t="shared" si="161"/>
        <v>1</v>
      </c>
      <c r="CY226" s="55">
        <f t="shared" si="162"/>
        <v>1</v>
      </c>
      <c r="CZ226" s="55">
        <f t="shared" si="136"/>
        <v>1</v>
      </c>
    </row>
    <row r="227" spans="1:104" ht="15" customHeight="1" x14ac:dyDescent="0.25">
      <c r="A227" s="5677" t="s">
        <v>5084</v>
      </c>
      <c r="B227" s="6453" t="s">
        <v>886</v>
      </c>
      <c r="C227" s="651" t="s">
        <v>887</v>
      </c>
      <c r="D227" s="638" t="s">
        <v>4567</v>
      </c>
      <c r="E227" s="639" t="s">
        <v>4568</v>
      </c>
      <c r="F227" s="640" t="s">
        <v>4569</v>
      </c>
      <c r="G227" s="644" t="s">
        <v>4570</v>
      </c>
      <c r="H227" s="645" t="s">
        <v>4571</v>
      </c>
      <c r="I227" s="644" t="s">
        <v>4572</v>
      </c>
      <c r="J227" s="645" t="s">
        <v>4573</v>
      </c>
      <c r="K227" s="644" t="s">
        <v>4574</v>
      </c>
      <c r="L227" s="645" t="s">
        <v>4575</v>
      </c>
      <c r="M227" s="644" t="s">
        <v>4576</v>
      </c>
      <c r="N227" s="645" t="s">
        <v>4577</v>
      </c>
      <c r="O227" s="644" t="s">
        <v>4578</v>
      </c>
      <c r="P227" s="645" t="s">
        <v>4579</v>
      </c>
      <c r="Q227" s="644" t="s">
        <v>4580</v>
      </c>
      <c r="R227" s="645" t="s">
        <v>4581</v>
      </c>
      <c r="S227" s="473" t="s">
        <v>4582</v>
      </c>
      <c r="T227" s="566" t="s">
        <v>4583</v>
      </c>
      <c r="U227" s="473" t="s">
        <v>4584</v>
      </c>
      <c r="V227" s="566" t="s">
        <v>4585</v>
      </c>
      <c r="W227" s="473" t="s">
        <v>4586</v>
      </c>
      <c r="X227" s="566" t="s">
        <v>4587</v>
      </c>
      <c r="Y227" s="473" t="s">
        <v>4588</v>
      </c>
      <c r="Z227" s="566" t="s">
        <v>4589</v>
      </c>
      <c r="AA227" s="473" t="s">
        <v>4590</v>
      </c>
      <c r="AB227" s="566" t="s">
        <v>4591</v>
      </c>
      <c r="AC227" s="473" t="s">
        <v>4592</v>
      </c>
      <c r="AD227" s="566" t="s">
        <v>4593</v>
      </c>
      <c r="AE227" s="473" t="s">
        <v>4594</v>
      </c>
      <c r="AF227" s="566" t="s">
        <v>4595</v>
      </c>
      <c r="AG227" s="473" t="s">
        <v>4596</v>
      </c>
      <c r="AH227" s="566" t="s">
        <v>4597</v>
      </c>
      <c r="AI227" s="473" t="s">
        <v>4598</v>
      </c>
      <c r="AJ227" s="566" t="s">
        <v>4599</v>
      </c>
      <c r="AK227" s="473" t="s">
        <v>4600</v>
      </c>
      <c r="AL227" s="566" t="s">
        <v>4601</v>
      </c>
      <c r="AM227" s="473" t="s">
        <v>4602</v>
      </c>
      <c r="AN227" s="495" t="s">
        <v>4603</v>
      </c>
      <c r="AO227" s="667" t="s">
        <v>4604</v>
      </c>
      <c r="AP227" s="660" t="s">
        <v>4605</v>
      </c>
      <c r="AQ227" s="476" t="s">
        <v>4606</v>
      </c>
      <c r="AR227" s="652" t="s">
        <v>4934</v>
      </c>
      <c r="AS227" s="668" t="s">
        <v>4935</v>
      </c>
      <c r="AT227" s="669" t="s">
        <v>4936</v>
      </c>
      <c r="AU227" s="654" t="s">
        <v>4937</v>
      </c>
      <c r="AV227" s="655" t="s">
        <v>5234</v>
      </c>
      <c r="AW227" s="654" t="s">
        <v>5235</v>
      </c>
      <c r="AX227" s="655" t="s">
        <v>5236</v>
      </c>
      <c r="AY227" s="669" t="s">
        <v>5237</v>
      </c>
      <c r="AZ227" s="6" t="str">
        <f>CD227&amp;CE227&amp;CF227&amp;CG227&amp;CH227&amp;CI227&amp;CJ227&amp;CK227</f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7" s="179"/>
      <c r="CC227" s="179"/>
      <c r="CD227" s="135" t="str">
        <f t="shared" si="163"/>
        <v xml:space="preserve">  * La variable Pueblos originarios - Hombres No puede ser mayor al Total.</v>
      </c>
      <c r="CE227" s="135" t="str">
        <f t="shared" si="141"/>
        <v xml:space="preserve">  * La variable Pueblos originarios - Mujeres No puede ser mayor al Total.</v>
      </c>
      <c r="CF227" s="181"/>
      <c r="CG227" s="181"/>
      <c r="CH227" s="135" t="str">
        <f t="shared" si="137"/>
        <v xml:space="preserve">  * La variable Migrantes - Hombres No puede ser mayor al Total Hombres.</v>
      </c>
      <c r="CI227" s="135" t="str">
        <f>IF(AND(F227&gt;0,OR(AV227="")), "* No olvide digitar la variable Migrantes - Mujeres. Digite Cero si no tiene.",IF((AV227)&gt;F227,"  * La variable Migrantes - Mujeres No puede ser mayor al Total.",""))</f>
        <v xml:space="preserve">  * La variable Migrantes - Mujeres No puede ser mayor al Total.</v>
      </c>
      <c r="CJ227" s="135" t="str">
        <f t="shared" si="156"/>
        <v xml:space="preserve">  * La variable Trans Masculino No puede ser mayor al Total Mujeres.</v>
      </c>
      <c r="CK227" s="135" t="str">
        <f t="shared" si="157"/>
        <v xml:space="preserve">  * La variable Trans Femenino No puede ser mayor al Total Hombres.</v>
      </c>
      <c r="CL227" s="179"/>
      <c r="CM227" s="6"/>
      <c r="CP227" s="432"/>
      <c r="CQ227" s="432"/>
      <c r="CR227" s="55">
        <f t="shared" si="159"/>
        <v>1</v>
      </c>
      <c r="CS227" s="55">
        <f>IF(AND(F227&gt;0,OR(AR227="")),1,IF((AR227)&gt;F227,1,0))</f>
        <v>1</v>
      </c>
      <c r="CT227" s="432"/>
      <c r="CU227" s="432"/>
      <c r="CV227" s="55">
        <f>IF(AND(E227&gt;0,OR(AU227="")),1,IF((AU227)&gt;E227,1,0))</f>
        <v>1</v>
      </c>
      <c r="CW227" s="55">
        <f t="shared" si="148"/>
        <v>1</v>
      </c>
      <c r="CX227" s="55">
        <f t="shared" si="161"/>
        <v>1</v>
      </c>
      <c r="CY227" s="55">
        <f t="shared" si="162"/>
        <v>1</v>
      </c>
      <c r="CZ227" s="432"/>
    </row>
    <row r="228" spans="1:104" ht="15" customHeight="1" x14ac:dyDescent="0.25">
      <c r="A228" s="5677" t="s">
        <v>5085</v>
      </c>
      <c r="B228" s="6112"/>
      <c r="C228" s="649" t="s">
        <v>888</v>
      </c>
      <c r="D228" s="647" t="s">
        <v>4567</v>
      </c>
      <c r="E228" s="648" t="s">
        <v>4568</v>
      </c>
      <c r="F228" s="499" t="s">
        <v>4569</v>
      </c>
      <c r="G228" s="670" t="s">
        <v>4570</v>
      </c>
      <c r="H228" s="671" t="s">
        <v>4571</v>
      </c>
      <c r="I228" s="670" t="s">
        <v>4572</v>
      </c>
      <c r="J228" s="671" t="s">
        <v>4573</v>
      </c>
      <c r="K228" s="670" t="s">
        <v>4574</v>
      </c>
      <c r="L228" s="671" t="s">
        <v>4575</v>
      </c>
      <c r="M228" s="670" t="s">
        <v>4576</v>
      </c>
      <c r="N228" s="671" t="s">
        <v>4577</v>
      </c>
      <c r="O228" s="670" t="s">
        <v>4578</v>
      </c>
      <c r="P228" s="671" t="s">
        <v>4579</v>
      </c>
      <c r="Q228" s="670" t="s">
        <v>4580</v>
      </c>
      <c r="R228" s="671" t="s">
        <v>4581</v>
      </c>
      <c r="S228" s="345" t="s">
        <v>4582</v>
      </c>
      <c r="T228" s="346" t="s">
        <v>4583</v>
      </c>
      <c r="U228" s="345" t="s">
        <v>4584</v>
      </c>
      <c r="V228" s="346" t="s">
        <v>4585</v>
      </c>
      <c r="W228" s="345" t="s">
        <v>4586</v>
      </c>
      <c r="X228" s="346" t="s">
        <v>4587</v>
      </c>
      <c r="Y228" s="345" t="s">
        <v>4588</v>
      </c>
      <c r="Z228" s="346" t="s">
        <v>4589</v>
      </c>
      <c r="AA228" s="345" t="s">
        <v>4590</v>
      </c>
      <c r="AB228" s="346" t="s">
        <v>4591</v>
      </c>
      <c r="AC228" s="345" t="s">
        <v>4592</v>
      </c>
      <c r="AD228" s="346" t="s">
        <v>4593</v>
      </c>
      <c r="AE228" s="345" t="s">
        <v>4594</v>
      </c>
      <c r="AF228" s="346" t="s">
        <v>4595</v>
      </c>
      <c r="AG228" s="345" t="s">
        <v>4596</v>
      </c>
      <c r="AH228" s="346" t="s">
        <v>4597</v>
      </c>
      <c r="AI228" s="345" t="s">
        <v>4598</v>
      </c>
      <c r="AJ228" s="346" t="s">
        <v>4599</v>
      </c>
      <c r="AK228" s="345" t="s">
        <v>4600</v>
      </c>
      <c r="AL228" s="346" t="s">
        <v>4601</v>
      </c>
      <c r="AM228" s="345" t="s">
        <v>4602</v>
      </c>
      <c r="AN228" s="351" t="s">
        <v>4603</v>
      </c>
      <c r="AO228" s="243" t="s">
        <v>4604</v>
      </c>
      <c r="AP228" s="72" t="s">
        <v>4605</v>
      </c>
      <c r="AQ228" s="345" t="s">
        <v>4606</v>
      </c>
      <c r="AR228" s="2" t="s">
        <v>4934</v>
      </c>
      <c r="AS228" s="288" t="s">
        <v>4935</v>
      </c>
      <c r="AT228" s="131" t="s">
        <v>4936</v>
      </c>
      <c r="AU228" s="64" t="s">
        <v>4937</v>
      </c>
      <c r="AV228" s="382" t="s">
        <v>5234</v>
      </c>
      <c r="AW228" s="64" t="s">
        <v>5235</v>
      </c>
      <c r="AX228" s="382" t="s">
        <v>5236</v>
      </c>
      <c r="AY228" s="131" t="s">
        <v>5237</v>
      </c>
      <c r="AZ228" s="6" t="str">
        <f t="shared" ref="AZ228:AZ229" si="168">CD228&amp;CE228&amp;CF228&amp;CG228&amp;CH228&amp;CI228&amp;CJ228&amp;CK228</f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8" s="179"/>
      <c r="CC228" s="179"/>
      <c r="CD228" s="135" t="str">
        <f t="shared" si="163"/>
        <v xml:space="preserve">  * La variable Pueblos originarios - Hombres No puede ser mayor al Total.</v>
      </c>
      <c r="CE228" s="135" t="str">
        <f t="shared" si="141"/>
        <v xml:space="preserve">  * La variable Pueblos originarios - Mujeres No puede ser mayor al Total.</v>
      </c>
      <c r="CF228" s="181"/>
      <c r="CG228" s="181"/>
      <c r="CH228" s="135" t="str">
        <f t="shared" si="137"/>
        <v xml:space="preserve">  * La variable Migrantes - Hombres No puede ser mayor al Total Hombres.</v>
      </c>
      <c r="CI228" s="135" t="str">
        <f t="shared" si="165"/>
        <v xml:space="preserve">  * La variable Migrantes - Mujeres No puede ser mayor al Total.</v>
      </c>
      <c r="CJ228" s="135" t="str">
        <f t="shared" si="156"/>
        <v xml:space="preserve">  * La variable Trans Masculino No puede ser mayor al Total Mujeres.</v>
      </c>
      <c r="CK228" s="135" t="str">
        <f t="shared" si="157"/>
        <v xml:space="preserve">  * La variable Trans Femenino No puede ser mayor al Total Hombres.</v>
      </c>
      <c r="CL228" s="179"/>
      <c r="CM228" s="6"/>
      <c r="CP228" s="432"/>
      <c r="CQ228" s="432"/>
      <c r="CR228" s="55">
        <f t="shared" si="159"/>
        <v>1</v>
      </c>
      <c r="CS228" s="55">
        <f t="shared" si="145"/>
        <v>1</v>
      </c>
      <c r="CT228" s="432"/>
      <c r="CU228" s="432"/>
      <c r="CV228" s="55">
        <f t="shared" si="160"/>
        <v>1</v>
      </c>
      <c r="CW228" s="55">
        <f t="shared" si="148"/>
        <v>1</v>
      </c>
      <c r="CX228" s="55">
        <f t="shared" si="161"/>
        <v>1</v>
      </c>
      <c r="CY228" s="55">
        <f t="shared" si="162"/>
        <v>1</v>
      </c>
      <c r="CZ228" s="432"/>
    </row>
    <row r="229" spans="1:104" ht="15" customHeight="1" x14ac:dyDescent="0.25">
      <c r="A229" s="5677" t="s">
        <v>5086</v>
      </c>
      <c r="B229" s="6059"/>
      <c r="C229" s="2947" t="s">
        <v>889</v>
      </c>
      <c r="D229" s="377" t="s">
        <v>4567</v>
      </c>
      <c r="E229" s="656" t="s">
        <v>4568</v>
      </c>
      <c r="F229" s="386" t="s">
        <v>4569</v>
      </c>
      <c r="G229" s="384" t="s">
        <v>4570</v>
      </c>
      <c r="H229" s="390" t="s">
        <v>4571</v>
      </c>
      <c r="I229" s="384" t="s">
        <v>4572</v>
      </c>
      <c r="J229" s="390" t="s">
        <v>4573</v>
      </c>
      <c r="K229" s="384" t="s">
        <v>4574</v>
      </c>
      <c r="L229" s="390" t="s">
        <v>4575</v>
      </c>
      <c r="M229" s="384" t="s">
        <v>4576</v>
      </c>
      <c r="N229" s="390" t="s">
        <v>4577</v>
      </c>
      <c r="O229" s="384" t="s">
        <v>4578</v>
      </c>
      <c r="P229" s="390" t="s">
        <v>4579</v>
      </c>
      <c r="Q229" s="384" t="s">
        <v>4580</v>
      </c>
      <c r="R229" s="390" t="s">
        <v>4581</v>
      </c>
      <c r="S229" s="379" t="s">
        <v>4582</v>
      </c>
      <c r="T229" s="387" t="s">
        <v>4583</v>
      </c>
      <c r="U229" s="379" t="s">
        <v>4584</v>
      </c>
      <c r="V229" s="387" t="s">
        <v>4585</v>
      </c>
      <c r="W229" s="379" t="s">
        <v>4586</v>
      </c>
      <c r="X229" s="387" t="s">
        <v>4587</v>
      </c>
      <c r="Y229" s="379" t="s">
        <v>4588</v>
      </c>
      <c r="Z229" s="387" t="s">
        <v>4589</v>
      </c>
      <c r="AA229" s="379" t="s">
        <v>4590</v>
      </c>
      <c r="AB229" s="387" t="s">
        <v>4591</v>
      </c>
      <c r="AC229" s="379" t="s">
        <v>4592</v>
      </c>
      <c r="AD229" s="387" t="s">
        <v>4593</v>
      </c>
      <c r="AE229" s="379" t="s">
        <v>4594</v>
      </c>
      <c r="AF229" s="387" t="s">
        <v>4595</v>
      </c>
      <c r="AG229" s="379" t="s">
        <v>4596</v>
      </c>
      <c r="AH229" s="387" t="s">
        <v>4597</v>
      </c>
      <c r="AI229" s="379" t="s">
        <v>4598</v>
      </c>
      <c r="AJ229" s="387" t="s">
        <v>4599</v>
      </c>
      <c r="AK229" s="379" t="s">
        <v>4600</v>
      </c>
      <c r="AL229" s="387" t="s">
        <v>4601</v>
      </c>
      <c r="AM229" s="379" t="s">
        <v>4602</v>
      </c>
      <c r="AN229" s="389" t="s">
        <v>4603</v>
      </c>
      <c r="AO229" s="312" t="s">
        <v>4604</v>
      </c>
      <c r="AP229" s="559" t="s">
        <v>4605</v>
      </c>
      <c r="AQ229" s="379" t="s">
        <v>4606</v>
      </c>
      <c r="AR229" s="387" t="s">
        <v>4934</v>
      </c>
      <c r="AS229" s="384" t="s">
        <v>4935</v>
      </c>
      <c r="AT229" s="390" t="s">
        <v>4936</v>
      </c>
      <c r="AU229" s="557" t="s">
        <v>4937</v>
      </c>
      <c r="AV229" s="388" t="s">
        <v>5234</v>
      </c>
      <c r="AW229" s="557" t="s">
        <v>5235</v>
      </c>
      <c r="AX229" s="388" t="s">
        <v>5236</v>
      </c>
      <c r="AY229" s="390" t="s">
        <v>5237</v>
      </c>
      <c r="AZ229" s="6" t="str">
        <f t="shared" si="168"/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9" s="179"/>
      <c r="CC229" s="179"/>
      <c r="CD229" s="135" t="str">
        <f t="shared" si="163"/>
        <v xml:space="preserve">  * La variable Pueblos originarios - Hombres No puede ser mayor al Total.</v>
      </c>
      <c r="CE229" s="135" t="str">
        <f t="shared" si="141"/>
        <v xml:space="preserve">  * La variable Pueblos originarios - Mujeres No puede ser mayor al Total.</v>
      </c>
      <c r="CF229" s="181"/>
      <c r="CG229" s="181"/>
      <c r="CH229" s="135" t="str">
        <f t="shared" si="137"/>
        <v xml:space="preserve">  * La variable Migrantes - Hombres No puede ser mayor al Total Hombres.</v>
      </c>
      <c r="CI229" s="135" t="str">
        <f t="shared" si="165"/>
        <v xml:space="preserve">  * La variable Migrantes - Mujeres No puede ser mayor al Total.</v>
      </c>
      <c r="CJ229" s="135" t="str">
        <f t="shared" si="156"/>
        <v xml:space="preserve">  * La variable Trans Masculino No puede ser mayor al Total Mujeres.</v>
      </c>
      <c r="CK229" s="135" t="str">
        <f t="shared" si="157"/>
        <v xml:space="preserve">  * La variable Trans Femenino No puede ser mayor al Total Hombres.</v>
      </c>
      <c r="CL229" s="179"/>
      <c r="CM229" s="6"/>
      <c r="CP229" s="432"/>
      <c r="CQ229" s="432"/>
      <c r="CR229" s="55">
        <f t="shared" si="159"/>
        <v>1</v>
      </c>
      <c r="CS229" s="55">
        <f>IF(AND(F229&gt;0,OR(AR229="")),1,IF((AR229)&gt;F229,1,0))</f>
        <v>1</v>
      </c>
      <c r="CT229" s="432"/>
      <c r="CU229" s="432"/>
      <c r="CV229" s="55">
        <f t="shared" si="160"/>
        <v>1</v>
      </c>
      <c r="CW229" s="55">
        <f t="shared" si="148"/>
        <v>1</v>
      </c>
      <c r="CX229" s="55">
        <f t="shared" si="161"/>
        <v>1</v>
      </c>
      <c r="CY229" s="55">
        <f t="shared" si="162"/>
        <v>1</v>
      </c>
      <c r="CZ229" s="432"/>
    </row>
    <row r="230" spans="1:104" ht="15" customHeight="1" x14ac:dyDescent="0.25">
      <c r="A230" s="5677" t="s">
        <v>5087</v>
      </c>
      <c r="B230" s="6565" t="s">
        <v>890</v>
      </c>
      <c r="C230" s="6603"/>
      <c r="D230" s="638" t="s">
        <v>4567</v>
      </c>
      <c r="E230" s="639" t="s">
        <v>4568</v>
      </c>
      <c r="F230" s="640" t="s">
        <v>4569</v>
      </c>
      <c r="G230" s="473" t="s">
        <v>4570</v>
      </c>
      <c r="H230" s="566" t="s">
        <v>4571</v>
      </c>
      <c r="I230" s="473" t="s">
        <v>4572</v>
      </c>
      <c r="J230" s="566" t="s">
        <v>4573</v>
      </c>
      <c r="K230" s="473" t="s">
        <v>4574</v>
      </c>
      <c r="L230" s="566" t="s">
        <v>4575</v>
      </c>
      <c r="M230" s="473" t="s">
        <v>4576</v>
      </c>
      <c r="N230" s="566" t="s">
        <v>4577</v>
      </c>
      <c r="O230" s="473" t="s">
        <v>4578</v>
      </c>
      <c r="P230" s="566" t="s">
        <v>4579</v>
      </c>
      <c r="Q230" s="473" t="s">
        <v>4580</v>
      </c>
      <c r="R230" s="566" t="s">
        <v>4581</v>
      </c>
      <c r="S230" s="473" t="s">
        <v>4582</v>
      </c>
      <c r="T230" s="566" t="s">
        <v>4583</v>
      </c>
      <c r="U230" s="473" t="s">
        <v>4584</v>
      </c>
      <c r="V230" s="566" t="s">
        <v>4585</v>
      </c>
      <c r="W230" s="473" t="s">
        <v>4586</v>
      </c>
      <c r="X230" s="566" t="s">
        <v>4587</v>
      </c>
      <c r="Y230" s="473" t="s">
        <v>4588</v>
      </c>
      <c r="Z230" s="566" t="s">
        <v>4589</v>
      </c>
      <c r="AA230" s="473" t="s">
        <v>4590</v>
      </c>
      <c r="AB230" s="566" t="s">
        <v>4591</v>
      </c>
      <c r="AC230" s="473" t="s">
        <v>4592</v>
      </c>
      <c r="AD230" s="566" t="s">
        <v>4593</v>
      </c>
      <c r="AE230" s="473" t="s">
        <v>4594</v>
      </c>
      <c r="AF230" s="566" t="s">
        <v>4595</v>
      </c>
      <c r="AG230" s="473" t="s">
        <v>4596</v>
      </c>
      <c r="AH230" s="566" t="s">
        <v>4597</v>
      </c>
      <c r="AI230" s="473" t="s">
        <v>4598</v>
      </c>
      <c r="AJ230" s="566" t="s">
        <v>4599</v>
      </c>
      <c r="AK230" s="473" t="s">
        <v>4600</v>
      </c>
      <c r="AL230" s="566" t="s">
        <v>4601</v>
      </c>
      <c r="AM230" s="473" t="s">
        <v>4602</v>
      </c>
      <c r="AN230" s="495" t="s">
        <v>4603</v>
      </c>
      <c r="AO230" s="429" t="s">
        <v>4604</v>
      </c>
      <c r="AP230" s="346" t="s">
        <v>4605</v>
      </c>
      <c r="AQ230" s="473" t="s">
        <v>4606</v>
      </c>
      <c r="AR230" s="566" t="s">
        <v>4934</v>
      </c>
      <c r="AS230" s="473" t="s">
        <v>4935</v>
      </c>
      <c r="AT230" s="474" t="s">
        <v>4936</v>
      </c>
      <c r="AU230" s="552" t="s">
        <v>4937</v>
      </c>
      <c r="AV230" s="567" t="s">
        <v>5234</v>
      </c>
      <c r="AW230" s="552" t="s">
        <v>5235</v>
      </c>
      <c r="AX230" s="567" t="s">
        <v>5236</v>
      </c>
      <c r="AY230" s="566" t="s">
        <v>5237</v>
      </c>
      <c r="AZ230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0" s="135" t="str">
        <f t="shared" ref="CB230:CB241" si="169">IF(AND(F230&gt;0,AO230=""), "* No olvide digitar la variable Gestantes. Digite Cero si no tiene.",IF(AO230&gt;F230,"  * La  variable Gestantes No puede ser mayor al Total Mujeres.",""))</f>
        <v xml:space="preserve">  * La  variable Gestantes No puede ser mayor al Total Mujeres.</v>
      </c>
      <c r="CC230" s="135" t="str">
        <f t="shared" ref="CC230:CC241" si="170">IF(AND(F230&gt;0,AP230=""), "* No olvide digitar la variable Madre de hijo menor de 5 años. Digite Cero si no tiene.",IF(AP230&gt;F230,"  * La variable Madre de hijo menor de 5 años No puede ser mayor al Total Mujeres.",""))</f>
        <v xml:space="preserve">  * La variable Madre de hijo menor de 5 años No puede ser mayor al Total Mujeres.</v>
      </c>
      <c r="CD230" s="135" t="str">
        <f t="shared" si="163"/>
        <v xml:space="preserve">  * La variable Pueblos originarios - Hombres No puede ser mayor al Total.</v>
      </c>
      <c r="CE230" s="135" t="str">
        <f t="shared" si="141"/>
        <v xml:space="preserve">  * La variable Pueblos originarios - Mujeres No puede ser mayor al Total.</v>
      </c>
      <c r="CF230" s="135" t="str">
        <f t="shared" si="142"/>
        <v xml:space="preserve">  * La variable Niños, niñas, adolescentes y jóvenes SENAME No puede ser mayor al Total.</v>
      </c>
      <c r="CG230" s="135" t="str">
        <f t="shared" si="164"/>
        <v xml:space="preserve">  * La variable Niños, niñas, adolescentes y jóvenes Mejor Niñez No puede ser mayor al Total.</v>
      </c>
      <c r="CH230" s="135" t="str">
        <f t="shared" si="137"/>
        <v xml:space="preserve">  * La variable Migrantes - Hombres No puede ser mayor al Total Hombres.</v>
      </c>
      <c r="CI230" s="135" t="str">
        <f t="shared" si="165"/>
        <v xml:space="preserve">  * La variable Migrantes - Mujeres No puede ser mayor al Total.</v>
      </c>
      <c r="CJ230" s="135" t="str">
        <f t="shared" si="156"/>
        <v xml:space="preserve">  * La variable Trans Masculino No puede ser mayor al Total Mujeres.</v>
      </c>
      <c r="CK230" s="135" t="str">
        <f t="shared" si="157"/>
        <v xml:space="preserve">  * La variable Trans Femenino No puede ser mayor al Total Hombres.</v>
      </c>
      <c r="CL230" s="135" t="str">
        <f t="shared" si="166"/>
        <v xml:space="preserve">  * La variable Adolescentes derivados de Espacios Amigables No puede ser mayor al Total.</v>
      </c>
      <c r="CM230" s="6"/>
      <c r="CP230" s="55">
        <f t="shared" ref="CP230:CP241" si="171">IF(AND(F230&gt;0,AO230=""),1,IF(AO230&gt;F230,1,0))</f>
        <v>1</v>
      </c>
      <c r="CQ230" s="55">
        <f t="shared" ref="CQ230:CQ241" si="172">IF(AND(F230&gt;0,AP230=""),1,IF(AP230&gt;F230,1,0))</f>
        <v>1</v>
      </c>
      <c r="CR230" s="55">
        <f t="shared" si="159"/>
        <v>1</v>
      </c>
      <c r="CS230" s="55">
        <f t="shared" si="145"/>
        <v>1</v>
      </c>
      <c r="CT230" s="55">
        <f t="shared" si="146"/>
        <v>1</v>
      </c>
      <c r="CU230" s="55">
        <f t="shared" si="147"/>
        <v>1</v>
      </c>
      <c r="CV230" s="55">
        <f t="shared" si="160"/>
        <v>1</v>
      </c>
      <c r="CW230" s="55">
        <f t="shared" si="148"/>
        <v>1</v>
      </c>
      <c r="CX230" s="55">
        <f t="shared" si="161"/>
        <v>1</v>
      </c>
      <c r="CY230" s="55">
        <f t="shared" si="162"/>
        <v>1</v>
      </c>
      <c r="CZ230" s="55">
        <f t="shared" si="136"/>
        <v>1</v>
      </c>
    </row>
    <row r="231" spans="1:104" ht="15" customHeight="1" x14ac:dyDescent="0.25">
      <c r="A231" s="5677" t="s">
        <v>5088</v>
      </c>
      <c r="B231" s="6617" t="s">
        <v>891</v>
      </c>
      <c r="C231" s="6618"/>
      <c r="D231" s="308" t="s">
        <v>4567</v>
      </c>
      <c r="E231" s="641" t="s">
        <v>4568</v>
      </c>
      <c r="F231" s="108" t="s">
        <v>4569</v>
      </c>
      <c r="G231" s="290" t="s">
        <v>4570</v>
      </c>
      <c r="H231" s="107" t="s">
        <v>4571</v>
      </c>
      <c r="I231" s="290" t="s">
        <v>4572</v>
      </c>
      <c r="J231" s="107" t="s">
        <v>4573</v>
      </c>
      <c r="K231" s="290" t="s">
        <v>4574</v>
      </c>
      <c r="L231" s="107" t="s">
        <v>4575</v>
      </c>
      <c r="M231" s="290" t="s">
        <v>4576</v>
      </c>
      <c r="N231" s="107" t="s">
        <v>4577</v>
      </c>
      <c r="O231" s="290" t="s">
        <v>4578</v>
      </c>
      <c r="P231" s="107" t="s">
        <v>4579</v>
      </c>
      <c r="Q231" s="290" t="s">
        <v>4580</v>
      </c>
      <c r="R231" s="107" t="s">
        <v>4581</v>
      </c>
      <c r="S231" s="290" t="s">
        <v>4582</v>
      </c>
      <c r="T231" s="107" t="s">
        <v>4583</v>
      </c>
      <c r="U231" s="290" t="s">
        <v>4584</v>
      </c>
      <c r="V231" s="107" t="s">
        <v>4585</v>
      </c>
      <c r="W231" s="290" t="s">
        <v>4586</v>
      </c>
      <c r="X231" s="107" t="s">
        <v>4587</v>
      </c>
      <c r="Y231" s="290" t="s">
        <v>4588</v>
      </c>
      <c r="Z231" s="107" t="s">
        <v>4589</v>
      </c>
      <c r="AA231" s="290" t="s">
        <v>4590</v>
      </c>
      <c r="AB231" s="107" t="s">
        <v>4591</v>
      </c>
      <c r="AC231" s="290" t="s">
        <v>4592</v>
      </c>
      <c r="AD231" s="107" t="s">
        <v>4593</v>
      </c>
      <c r="AE231" s="290" t="s">
        <v>4594</v>
      </c>
      <c r="AF231" s="107" t="s">
        <v>4595</v>
      </c>
      <c r="AG231" s="290" t="s">
        <v>4596</v>
      </c>
      <c r="AH231" s="107" t="s">
        <v>4597</v>
      </c>
      <c r="AI231" s="290" t="s">
        <v>4598</v>
      </c>
      <c r="AJ231" s="107" t="s">
        <v>4599</v>
      </c>
      <c r="AK231" s="290" t="s">
        <v>4600</v>
      </c>
      <c r="AL231" s="107" t="s">
        <v>4601</v>
      </c>
      <c r="AM231" s="290" t="s">
        <v>4602</v>
      </c>
      <c r="AN231" s="65" t="s">
        <v>4603</v>
      </c>
      <c r="AO231" s="429" t="s">
        <v>4604</v>
      </c>
      <c r="AP231" s="346" t="s">
        <v>4605</v>
      </c>
      <c r="AQ231" s="345" t="s">
        <v>4606</v>
      </c>
      <c r="AR231" s="346" t="s">
        <v>4934</v>
      </c>
      <c r="AS231" s="345" t="s">
        <v>4935</v>
      </c>
      <c r="AT231" s="346" t="s">
        <v>4936</v>
      </c>
      <c r="AU231" s="554" t="s">
        <v>4937</v>
      </c>
      <c r="AV231" s="349" t="s">
        <v>5234</v>
      </c>
      <c r="AW231" s="554" t="s">
        <v>5235</v>
      </c>
      <c r="AX231" s="349" t="s">
        <v>5236</v>
      </c>
      <c r="AY231" s="346" t="s">
        <v>5237</v>
      </c>
      <c r="AZ231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1" s="135" t="str">
        <f t="shared" si="169"/>
        <v xml:space="preserve">  * La  variable Gestantes No puede ser mayor al Total Mujeres.</v>
      </c>
      <c r="CC231" s="135" t="str">
        <f t="shared" si="170"/>
        <v xml:space="preserve">  * La variable Madre de hijo menor de 5 años No puede ser mayor al Total Mujeres.</v>
      </c>
      <c r="CD231" s="135" t="str">
        <f t="shared" si="163"/>
        <v xml:space="preserve">  * La variable Pueblos originarios - Hombres No puede ser mayor al Total.</v>
      </c>
      <c r="CE231" s="135" t="str">
        <f t="shared" si="141"/>
        <v xml:space="preserve">  * La variable Pueblos originarios - Mujeres No puede ser mayor al Total.</v>
      </c>
      <c r="CF231" s="135" t="str">
        <f t="shared" si="142"/>
        <v xml:space="preserve">  * La variable Niños, niñas, adolescentes y jóvenes SENAME No puede ser mayor al Total.</v>
      </c>
      <c r="CG231" s="135" t="str">
        <f t="shared" si="164"/>
        <v xml:space="preserve">  * La variable Niños, niñas, adolescentes y jóvenes Mejor Niñez No puede ser mayor al Total.</v>
      </c>
      <c r="CH231" s="135" t="str">
        <f t="shared" si="137"/>
        <v xml:space="preserve">  * La variable Migrantes - Hombres No puede ser mayor al Total Hombres.</v>
      </c>
      <c r="CI231" s="135" t="str">
        <f t="shared" si="165"/>
        <v xml:space="preserve">  * La variable Migrantes - Mujeres No puede ser mayor al Total.</v>
      </c>
      <c r="CJ231" s="135" t="str">
        <f t="shared" si="156"/>
        <v xml:space="preserve">  * La variable Trans Masculino No puede ser mayor al Total Mujeres.</v>
      </c>
      <c r="CK231" s="135" t="str">
        <f t="shared" si="157"/>
        <v xml:space="preserve">  * La variable Trans Femenino No puede ser mayor al Total Hombres.</v>
      </c>
      <c r="CL231" s="135" t="str">
        <f t="shared" si="166"/>
        <v xml:space="preserve">  * La variable Adolescentes derivados de Espacios Amigables No puede ser mayor al Total.</v>
      </c>
      <c r="CM231" s="6"/>
      <c r="CP231" s="55">
        <f t="shared" si="171"/>
        <v>1</v>
      </c>
      <c r="CQ231" s="55">
        <f t="shared" si="172"/>
        <v>1</v>
      </c>
      <c r="CR231" s="55">
        <f t="shared" si="159"/>
        <v>1</v>
      </c>
      <c r="CS231" s="55">
        <f t="shared" si="145"/>
        <v>1</v>
      </c>
      <c r="CT231" s="55">
        <f t="shared" si="146"/>
        <v>1</v>
      </c>
      <c r="CU231" s="55">
        <f t="shared" si="147"/>
        <v>1</v>
      </c>
      <c r="CV231" s="55">
        <f t="shared" si="160"/>
        <v>1</v>
      </c>
      <c r="CW231" s="55">
        <f t="shared" si="148"/>
        <v>1</v>
      </c>
      <c r="CX231" s="55">
        <f t="shared" si="161"/>
        <v>1</v>
      </c>
      <c r="CY231" s="55">
        <f t="shared" si="162"/>
        <v>1</v>
      </c>
      <c r="CZ231" s="55">
        <f t="shared" si="136"/>
        <v>1</v>
      </c>
    </row>
    <row r="232" spans="1:104" ht="15" customHeight="1" x14ac:dyDescent="0.25">
      <c r="A232" s="5677" t="s">
        <v>5089</v>
      </c>
      <c r="B232" s="6237" t="s">
        <v>892</v>
      </c>
      <c r="C232" s="6238"/>
      <c r="D232" s="647" t="s">
        <v>4567</v>
      </c>
      <c r="E232" s="648" t="s">
        <v>4568</v>
      </c>
      <c r="F232" s="499" t="s">
        <v>4569</v>
      </c>
      <c r="G232" s="345" t="s">
        <v>4570</v>
      </c>
      <c r="H232" s="346" t="s">
        <v>4571</v>
      </c>
      <c r="I232" s="345" t="s">
        <v>4572</v>
      </c>
      <c r="J232" s="346" t="s">
        <v>4573</v>
      </c>
      <c r="K232" s="345" t="s">
        <v>4574</v>
      </c>
      <c r="L232" s="346" t="s">
        <v>4575</v>
      </c>
      <c r="M232" s="345" t="s">
        <v>4576</v>
      </c>
      <c r="N232" s="346" t="s">
        <v>4577</v>
      </c>
      <c r="O232" s="345" t="s">
        <v>4578</v>
      </c>
      <c r="P232" s="346" t="s">
        <v>4579</v>
      </c>
      <c r="Q232" s="345" t="s">
        <v>4580</v>
      </c>
      <c r="R232" s="346" t="s">
        <v>4581</v>
      </c>
      <c r="S232" s="345" t="s">
        <v>4582</v>
      </c>
      <c r="T232" s="346" t="s">
        <v>4583</v>
      </c>
      <c r="U232" s="345" t="s">
        <v>4584</v>
      </c>
      <c r="V232" s="346" t="s">
        <v>4585</v>
      </c>
      <c r="W232" s="345" t="s">
        <v>4586</v>
      </c>
      <c r="X232" s="346" t="s">
        <v>4587</v>
      </c>
      <c r="Y232" s="345" t="s">
        <v>4588</v>
      </c>
      <c r="Z232" s="346" t="s">
        <v>4589</v>
      </c>
      <c r="AA232" s="345" t="s">
        <v>4590</v>
      </c>
      <c r="AB232" s="346" t="s">
        <v>4591</v>
      </c>
      <c r="AC232" s="345" t="s">
        <v>4592</v>
      </c>
      <c r="AD232" s="346" t="s">
        <v>4593</v>
      </c>
      <c r="AE232" s="345" t="s">
        <v>4594</v>
      </c>
      <c r="AF232" s="346" t="s">
        <v>4595</v>
      </c>
      <c r="AG232" s="345" t="s">
        <v>4596</v>
      </c>
      <c r="AH232" s="346" t="s">
        <v>4597</v>
      </c>
      <c r="AI232" s="345" t="s">
        <v>4598</v>
      </c>
      <c r="AJ232" s="346" t="s">
        <v>4599</v>
      </c>
      <c r="AK232" s="345" t="s">
        <v>4600</v>
      </c>
      <c r="AL232" s="346" t="s">
        <v>4601</v>
      </c>
      <c r="AM232" s="345" t="s">
        <v>4602</v>
      </c>
      <c r="AN232" s="554" t="s">
        <v>4603</v>
      </c>
      <c r="AO232" s="429" t="s">
        <v>4604</v>
      </c>
      <c r="AP232" s="346" t="s">
        <v>4605</v>
      </c>
      <c r="AQ232" s="345" t="s">
        <v>4606</v>
      </c>
      <c r="AR232" s="346" t="s">
        <v>4934</v>
      </c>
      <c r="AS232" s="345" t="s">
        <v>4935</v>
      </c>
      <c r="AT232" s="346" t="s">
        <v>4936</v>
      </c>
      <c r="AU232" s="554" t="s">
        <v>4937</v>
      </c>
      <c r="AV232" s="349" t="s">
        <v>5234</v>
      </c>
      <c r="AW232" s="554" t="s">
        <v>5235</v>
      </c>
      <c r="AX232" s="349" t="s">
        <v>5236</v>
      </c>
      <c r="AY232" s="346" t="s">
        <v>5237</v>
      </c>
      <c r="AZ232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2" s="135" t="str">
        <f t="shared" si="169"/>
        <v xml:space="preserve">  * La  variable Gestantes No puede ser mayor al Total Mujeres.</v>
      </c>
      <c r="CC232" s="135" t="str">
        <f t="shared" si="170"/>
        <v xml:space="preserve">  * La variable Madre de hijo menor de 5 años No puede ser mayor al Total Mujeres.</v>
      </c>
      <c r="CD232" s="135" t="str">
        <f t="shared" si="163"/>
        <v xml:space="preserve">  * La variable Pueblos originarios - Hombres No puede ser mayor al Total.</v>
      </c>
      <c r="CE232" s="135" t="str">
        <f t="shared" si="141"/>
        <v xml:space="preserve">  * La variable Pueblos originarios - Mujeres No puede ser mayor al Total.</v>
      </c>
      <c r="CF232" s="135" t="str">
        <f t="shared" si="142"/>
        <v xml:space="preserve">  * La variable Niños, niñas, adolescentes y jóvenes SENAME No puede ser mayor al Total.</v>
      </c>
      <c r="CG232" s="135" t="str">
        <f t="shared" si="164"/>
        <v xml:space="preserve">  * La variable Niños, niñas, adolescentes y jóvenes Mejor Niñez No puede ser mayor al Total.</v>
      </c>
      <c r="CH232" s="135" t="str">
        <f t="shared" si="137"/>
        <v xml:space="preserve">  * La variable Migrantes - Hombres No puede ser mayor al Total Hombres.</v>
      </c>
      <c r="CI232" s="135" t="str">
        <f t="shared" si="165"/>
        <v xml:space="preserve">  * La variable Migrantes - Mujeres No puede ser mayor al Total.</v>
      </c>
      <c r="CJ232" s="135" t="str">
        <f t="shared" si="156"/>
        <v xml:space="preserve">  * La variable Trans Masculino No puede ser mayor al Total Mujeres.</v>
      </c>
      <c r="CK232" s="135" t="str">
        <f t="shared" si="157"/>
        <v xml:space="preserve">  * La variable Trans Femenino No puede ser mayor al Total Hombres.</v>
      </c>
      <c r="CL232" s="135" t="str">
        <f t="shared" si="166"/>
        <v xml:space="preserve">  * La variable Adolescentes derivados de Espacios Amigables No puede ser mayor al Total.</v>
      </c>
      <c r="CM232" s="6"/>
      <c r="CP232" s="55">
        <f t="shared" si="171"/>
        <v>1</v>
      </c>
      <c r="CQ232" s="55">
        <f t="shared" si="172"/>
        <v>1</v>
      </c>
      <c r="CR232" s="55">
        <f t="shared" si="159"/>
        <v>1</v>
      </c>
      <c r="CS232" s="55">
        <f t="shared" si="145"/>
        <v>1</v>
      </c>
      <c r="CT232" s="55">
        <f t="shared" si="146"/>
        <v>1</v>
      </c>
      <c r="CU232" s="55">
        <f t="shared" si="147"/>
        <v>1</v>
      </c>
      <c r="CV232" s="55">
        <f t="shared" si="160"/>
        <v>1</v>
      </c>
      <c r="CW232" s="55">
        <f t="shared" si="148"/>
        <v>1</v>
      </c>
      <c r="CX232" s="55">
        <f t="shared" si="161"/>
        <v>1</v>
      </c>
      <c r="CY232" s="55">
        <f t="shared" si="162"/>
        <v>1</v>
      </c>
      <c r="CZ232" s="55">
        <f t="shared" si="136"/>
        <v>1</v>
      </c>
    </row>
    <row r="233" spans="1:104" ht="15" customHeight="1" x14ac:dyDescent="0.25">
      <c r="A233" s="5677" t="s">
        <v>5090</v>
      </c>
      <c r="B233" s="6237" t="s">
        <v>893</v>
      </c>
      <c r="C233" s="6238"/>
      <c r="D233" s="647" t="s">
        <v>4567</v>
      </c>
      <c r="E233" s="648" t="s">
        <v>4568</v>
      </c>
      <c r="F233" s="499" t="s">
        <v>4569</v>
      </c>
      <c r="G233" s="345" t="s">
        <v>4570</v>
      </c>
      <c r="H233" s="346" t="s">
        <v>4571</v>
      </c>
      <c r="I233" s="345" t="s">
        <v>4572</v>
      </c>
      <c r="J233" s="346" t="s">
        <v>4573</v>
      </c>
      <c r="K233" s="345" t="s">
        <v>4574</v>
      </c>
      <c r="L233" s="346" t="s">
        <v>4575</v>
      </c>
      <c r="M233" s="345" t="s">
        <v>4576</v>
      </c>
      <c r="N233" s="346" t="s">
        <v>4577</v>
      </c>
      <c r="O233" s="345" t="s">
        <v>4578</v>
      </c>
      <c r="P233" s="346" t="s">
        <v>4579</v>
      </c>
      <c r="Q233" s="345" t="s">
        <v>4580</v>
      </c>
      <c r="R233" s="346" t="s">
        <v>4581</v>
      </c>
      <c r="S233" s="345" t="s">
        <v>4582</v>
      </c>
      <c r="T233" s="346" t="s">
        <v>4583</v>
      </c>
      <c r="U233" s="345" t="s">
        <v>4584</v>
      </c>
      <c r="V233" s="346" t="s">
        <v>4585</v>
      </c>
      <c r="W233" s="345" t="s">
        <v>4586</v>
      </c>
      <c r="X233" s="346" t="s">
        <v>4587</v>
      </c>
      <c r="Y233" s="345" t="s">
        <v>4588</v>
      </c>
      <c r="Z233" s="346" t="s">
        <v>4589</v>
      </c>
      <c r="AA233" s="345" t="s">
        <v>4590</v>
      </c>
      <c r="AB233" s="346" t="s">
        <v>4591</v>
      </c>
      <c r="AC233" s="345" t="s">
        <v>4592</v>
      </c>
      <c r="AD233" s="346" t="s">
        <v>4593</v>
      </c>
      <c r="AE233" s="345" t="s">
        <v>4594</v>
      </c>
      <c r="AF233" s="346" t="s">
        <v>4595</v>
      </c>
      <c r="AG233" s="345" t="s">
        <v>4596</v>
      </c>
      <c r="AH233" s="346" t="s">
        <v>4597</v>
      </c>
      <c r="AI233" s="345" t="s">
        <v>4598</v>
      </c>
      <c r="AJ233" s="346" t="s">
        <v>4599</v>
      </c>
      <c r="AK233" s="345" t="s">
        <v>4600</v>
      </c>
      <c r="AL233" s="346" t="s">
        <v>4601</v>
      </c>
      <c r="AM233" s="345" t="s">
        <v>4602</v>
      </c>
      <c r="AN233" s="554" t="s">
        <v>4603</v>
      </c>
      <c r="AO233" s="429" t="s">
        <v>4604</v>
      </c>
      <c r="AP233" s="346" t="s">
        <v>4605</v>
      </c>
      <c r="AQ233" s="345" t="s">
        <v>4606</v>
      </c>
      <c r="AR233" s="346" t="s">
        <v>4934</v>
      </c>
      <c r="AS233" s="345" t="s">
        <v>4935</v>
      </c>
      <c r="AT233" s="346" t="s">
        <v>4936</v>
      </c>
      <c r="AU233" s="554" t="s">
        <v>4937</v>
      </c>
      <c r="AV233" s="349" t="s">
        <v>5234</v>
      </c>
      <c r="AW233" s="554" t="s">
        <v>5235</v>
      </c>
      <c r="AX233" s="349" t="s">
        <v>5236</v>
      </c>
      <c r="AY233" s="346" t="s">
        <v>5237</v>
      </c>
      <c r="AZ233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3" s="135" t="str">
        <f t="shared" si="169"/>
        <v xml:space="preserve">  * La  variable Gestantes No puede ser mayor al Total Mujeres.</v>
      </c>
      <c r="CC233" s="135" t="str">
        <f t="shared" si="170"/>
        <v xml:space="preserve">  * La variable Madre de hijo menor de 5 años No puede ser mayor al Total Mujeres.</v>
      </c>
      <c r="CD233" s="135" t="str">
        <f t="shared" si="163"/>
        <v xml:space="preserve">  * La variable Pueblos originarios - Hombres No puede ser mayor al Total.</v>
      </c>
      <c r="CE233" s="135" t="str">
        <f t="shared" si="141"/>
        <v xml:space="preserve">  * La variable Pueblos originarios - Mujeres No puede ser mayor al Total.</v>
      </c>
      <c r="CF233" s="135" t="str">
        <f t="shared" si="142"/>
        <v xml:space="preserve">  * La variable Niños, niñas, adolescentes y jóvenes SENAME No puede ser mayor al Total.</v>
      </c>
      <c r="CG233" s="135" t="str">
        <f t="shared" si="164"/>
        <v xml:space="preserve">  * La variable Niños, niñas, adolescentes y jóvenes Mejor Niñez No puede ser mayor al Total.</v>
      </c>
      <c r="CH233" s="135" t="str">
        <f t="shared" si="137"/>
        <v xml:space="preserve">  * La variable Migrantes - Hombres No puede ser mayor al Total Hombres.</v>
      </c>
      <c r="CI233" s="135" t="str">
        <f t="shared" si="165"/>
        <v xml:space="preserve">  * La variable Migrantes - Mujeres No puede ser mayor al Total.</v>
      </c>
      <c r="CJ233" s="135" t="str">
        <f t="shared" si="156"/>
        <v xml:space="preserve">  * La variable Trans Masculino No puede ser mayor al Total Mujeres.</v>
      </c>
      <c r="CK233" s="135" t="str">
        <f t="shared" si="157"/>
        <v xml:space="preserve">  * La variable Trans Femenino No puede ser mayor al Total Hombres.</v>
      </c>
      <c r="CL233" s="135" t="str">
        <f t="shared" si="166"/>
        <v xml:space="preserve">  * La variable Adolescentes derivados de Espacios Amigables No puede ser mayor al Total.</v>
      </c>
      <c r="CM233" s="6"/>
      <c r="CP233" s="55">
        <f t="shared" si="171"/>
        <v>1</v>
      </c>
      <c r="CQ233" s="55">
        <f t="shared" si="172"/>
        <v>1</v>
      </c>
      <c r="CR233" s="55">
        <f t="shared" si="159"/>
        <v>1</v>
      </c>
      <c r="CS233" s="55">
        <f t="shared" si="145"/>
        <v>1</v>
      </c>
      <c r="CT233" s="55">
        <f t="shared" si="146"/>
        <v>1</v>
      </c>
      <c r="CU233" s="55">
        <f t="shared" si="147"/>
        <v>1</v>
      </c>
      <c r="CV233" s="55">
        <f t="shared" si="160"/>
        <v>1</v>
      </c>
      <c r="CW233" s="55">
        <f t="shared" si="148"/>
        <v>1</v>
      </c>
      <c r="CX233" s="55">
        <f t="shared" si="161"/>
        <v>1</v>
      </c>
      <c r="CY233" s="55">
        <f t="shared" si="162"/>
        <v>1</v>
      </c>
      <c r="CZ233" s="55">
        <f t="shared" si="136"/>
        <v>1</v>
      </c>
    </row>
    <row r="234" spans="1:104" ht="15" customHeight="1" x14ac:dyDescent="0.25">
      <c r="A234" s="5677" t="s">
        <v>5091</v>
      </c>
      <c r="B234" s="6563" t="s">
        <v>894</v>
      </c>
      <c r="C234" s="6564"/>
      <c r="D234" s="200" t="s">
        <v>4567</v>
      </c>
      <c r="E234" s="374" t="s">
        <v>4568</v>
      </c>
      <c r="F234" s="52" t="s">
        <v>4569</v>
      </c>
      <c r="G234" s="379" t="s">
        <v>4570</v>
      </c>
      <c r="H234" s="387" t="s">
        <v>4571</v>
      </c>
      <c r="I234" s="379" t="s">
        <v>4572</v>
      </c>
      <c r="J234" s="387" t="s">
        <v>4573</v>
      </c>
      <c r="K234" s="379" t="s">
        <v>4574</v>
      </c>
      <c r="L234" s="387" t="s">
        <v>4575</v>
      </c>
      <c r="M234" s="379" t="s">
        <v>4576</v>
      </c>
      <c r="N234" s="387" t="s">
        <v>4577</v>
      </c>
      <c r="O234" s="379" t="s">
        <v>4578</v>
      </c>
      <c r="P234" s="387" t="s">
        <v>4579</v>
      </c>
      <c r="Q234" s="379" t="s">
        <v>4580</v>
      </c>
      <c r="R234" s="387" t="s">
        <v>4581</v>
      </c>
      <c r="S234" s="379" t="s">
        <v>4582</v>
      </c>
      <c r="T234" s="387" t="s">
        <v>4583</v>
      </c>
      <c r="U234" s="379" t="s">
        <v>4584</v>
      </c>
      <c r="V234" s="387" t="s">
        <v>4585</v>
      </c>
      <c r="W234" s="379" t="s">
        <v>4586</v>
      </c>
      <c r="X234" s="387" t="s">
        <v>4587</v>
      </c>
      <c r="Y234" s="379" t="s">
        <v>4588</v>
      </c>
      <c r="Z234" s="387" t="s">
        <v>4589</v>
      </c>
      <c r="AA234" s="379" t="s">
        <v>4590</v>
      </c>
      <c r="AB234" s="387" t="s">
        <v>4591</v>
      </c>
      <c r="AC234" s="379" t="s">
        <v>4592</v>
      </c>
      <c r="AD234" s="387" t="s">
        <v>4593</v>
      </c>
      <c r="AE234" s="379" t="s">
        <v>4594</v>
      </c>
      <c r="AF234" s="387" t="s">
        <v>4595</v>
      </c>
      <c r="AG234" s="379" t="s">
        <v>4596</v>
      </c>
      <c r="AH234" s="387" t="s">
        <v>4597</v>
      </c>
      <c r="AI234" s="379" t="s">
        <v>4598</v>
      </c>
      <c r="AJ234" s="387" t="s">
        <v>4599</v>
      </c>
      <c r="AK234" s="379" t="s">
        <v>4600</v>
      </c>
      <c r="AL234" s="387" t="s">
        <v>4601</v>
      </c>
      <c r="AM234" s="379" t="s">
        <v>4602</v>
      </c>
      <c r="AN234" s="557" t="s">
        <v>4603</v>
      </c>
      <c r="AO234" s="378" t="s">
        <v>4604</v>
      </c>
      <c r="AP234" s="387" t="s">
        <v>4605</v>
      </c>
      <c r="AQ234" s="379" t="s">
        <v>4606</v>
      </c>
      <c r="AR234" s="387" t="s">
        <v>4934</v>
      </c>
      <c r="AS234" s="379" t="s">
        <v>4935</v>
      </c>
      <c r="AT234" s="387" t="s">
        <v>4936</v>
      </c>
      <c r="AU234" s="557" t="s">
        <v>4937</v>
      </c>
      <c r="AV234" s="388" t="s">
        <v>5234</v>
      </c>
      <c r="AW234" s="557" t="s">
        <v>5235</v>
      </c>
      <c r="AX234" s="388" t="s">
        <v>5236</v>
      </c>
      <c r="AY234" s="387" t="s">
        <v>5237</v>
      </c>
      <c r="AZ234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4" s="135" t="str">
        <f t="shared" si="169"/>
        <v xml:space="preserve">  * La  variable Gestantes No puede ser mayor al Total Mujeres.</v>
      </c>
      <c r="CC234" s="135" t="str">
        <f t="shared" si="170"/>
        <v xml:space="preserve">  * La variable Madre de hijo menor de 5 años No puede ser mayor al Total Mujeres.</v>
      </c>
      <c r="CD234" s="135" t="str">
        <f t="shared" si="163"/>
        <v xml:space="preserve">  * La variable Pueblos originarios - Hombres No puede ser mayor al Total.</v>
      </c>
      <c r="CE234" s="135" t="str">
        <f t="shared" si="141"/>
        <v xml:space="preserve">  * La variable Pueblos originarios - Mujeres No puede ser mayor al Total.</v>
      </c>
      <c r="CF234" s="135" t="str">
        <f t="shared" si="142"/>
        <v xml:space="preserve">  * La variable Niños, niñas, adolescentes y jóvenes SENAME No puede ser mayor al Total.</v>
      </c>
      <c r="CG234" s="135" t="str">
        <f t="shared" si="164"/>
        <v xml:space="preserve">  * La variable Niños, niñas, adolescentes y jóvenes Mejor Niñez No puede ser mayor al Total.</v>
      </c>
      <c r="CH234" s="135" t="str">
        <f t="shared" si="137"/>
        <v xml:space="preserve">  * La variable Migrantes - Hombres No puede ser mayor al Total Hombres.</v>
      </c>
      <c r="CI234" s="135" t="str">
        <f t="shared" si="165"/>
        <v xml:space="preserve">  * La variable Migrantes - Mujeres No puede ser mayor al Total.</v>
      </c>
      <c r="CJ234" s="135" t="str">
        <f t="shared" si="156"/>
        <v xml:space="preserve">  * La variable Trans Masculino No puede ser mayor al Total Mujeres.</v>
      </c>
      <c r="CK234" s="135" t="str">
        <f t="shared" si="157"/>
        <v xml:space="preserve">  * La variable Trans Femenino No puede ser mayor al Total Hombres.</v>
      </c>
      <c r="CL234" s="135" t="str">
        <f t="shared" si="166"/>
        <v xml:space="preserve">  * La variable Adolescentes derivados de Espacios Amigables No puede ser mayor al Total.</v>
      </c>
      <c r="CM234" s="6"/>
      <c r="CP234" s="55">
        <f t="shared" si="171"/>
        <v>1</v>
      </c>
      <c r="CQ234" s="55">
        <f t="shared" si="172"/>
        <v>1</v>
      </c>
      <c r="CR234" s="55">
        <f t="shared" si="159"/>
        <v>1</v>
      </c>
      <c r="CS234" s="55">
        <f t="shared" si="145"/>
        <v>1</v>
      </c>
      <c r="CT234" s="55">
        <f t="shared" si="146"/>
        <v>1</v>
      </c>
      <c r="CU234" s="55">
        <f t="shared" si="147"/>
        <v>1</v>
      </c>
      <c r="CV234" s="55">
        <f t="shared" si="160"/>
        <v>1</v>
      </c>
      <c r="CW234" s="55">
        <f t="shared" si="148"/>
        <v>1</v>
      </c>
      <c r="CX234" s="55">
        <f t="shared" si="161"/>
        <v>1</v>
      </c>
      <c r="CY234" s="55">
        <f t="shared" si="162"/>
        <v>1</v>
      </c>
      <c r="CZ234" s="55">
        <f t="shared" si="136"/>
        <v>1</v>
      </c>
    </row>
    <row r="235" spans="1:104" ht="15" customHeight="1" x14ac:dyDescent="0.25">
      <c r="A235" s="5677" t="s">
        <v>5092</v>
      </c>
      <c r="B235" s="6453" t="s">
        <v>895</v>
      </c>
      <c r="C235" s="664" t="s">
        <v>896</v>
      </c>
      <c r="D235" s="638" t="s">
        <v>4567</v>
      </c>
      <c r="E235" s="639" t="s">
        <v>4568</v>
      </c>
      <c r="F235" s="672" t="s">
        <v>4569</v>
      </c>
      <c r="G235" s="47" t="s">
        <v>4570</v>
      </c>
      <c r="H235" s="42" t="s">
        <v>4571</v>
      </c>
      <c r="I235" s="47" t="s">
        <v>4572</v>
      </c>
      <c r="J235" s="42" t="s">
        <v>4573</v>
      </c>
      <c r="K235" s="47" t="s">
        <v>4574</v>
      </c>
      <c r="L235" s="42" t="s">
        <v>4575</v>
      </c>
      <c r="M235" s="47" t="s">
        <v>4576</v>
      </c>
      <c r="N235" s="42" t="s">
        <v>4577</v>
      </c>
      <c r="O235" s="47" t="s">
        <v>4578</v>
      </c>
      <c r="P235" s="42" t="s">
        <v>4579</v>
      </c>
      <c r="Q235" s="47" t="s">
        <v>4580</v>
      </c>
      <c r="R235" s="42" t="s">
        <v>4581</v>
      </c>
      <c r="S235" s="47" t="s">
        <v>4582</v>
      </c>
      <c r="T235" s="42" t="s">
        <v>4583</v>
      </c>
      <c r="U235" s="47" t="s">
        <v>4584</v>
      </c>
      <c r="V235" s="42" t="s">
        <v>4585</v>
      </c>
      <c r="W235" s="47" t="s">
        <v>4586</v>
      </c>
      <c r="X235" s="42" t="s">
        <v>4587</v>
      </c>
      <c r="Y235" s="47" t="s">
        <v>4588</v>
      </c>
      <c r="Z235" s="42" t="s">
        <v>4589</v>
      </c>
      <c r="AA235" s="47" t="s">
        <v>4590</v>
      </c>
      <c r="AB235" s="42" t="s">
        <v>4591</v>
      </c>
      <c r="AC235" s="47" t="s">
        <v>4592</v>
      </c>
      <c r="AD235" s="42" t="s">
        <v>4593</v>
      </c>
      <c r="AE235" s="47" t="s">
        <v>4594</v>
      </c>
      <c r="AF235" s="42" t="s">
        <v>4595</v>
      </c>
      <c r="AG235" s="47" t="s">
        <v>4596</v>
      </c>
      <c r="AH235" s="42" t="s">
        <v>4597</v>
      </c>
      <c r="AI235" s="47" t="s">
        <v>4598</v>
      </c>
      <c r="AJ235" s="42" t="s">
        <v>4599</v>
      </c>
      <c r="AK235" s="47" t="s">
        <v>4600</v>
      </c>
      <c r="AL235" s="42" t="s">
        <v>4601</v>
      </c>
      <c r="AM235" s="47" t="s">
        <v>4602</v>
      </c>
      <c r="AN235" s="66" t="s">
        <v>4603</v>
      </c>
      <c r="AO235" s="74" t="s">
        <v>4604</v>
      </c>
      <c r="AP235" s="42" t="s">
        <v>4605</v>
      </c>
      <c r="AQ235" s="47" t="s">
        <v>4606</v>
      </c>
      <c r="AR235" s="42" t="s">
        <v>4934</v>
      </c>
      <c r="AS235" s="47" t="s">
        <v>4935</v>
      </c>
      <c r="AT235" s="42" t="s">
        <v>4936</v>
      </c>
      <c r="AU235" s="66" t="s">
        <v>4937</v>
      </c>
      <c r="AV235" s="95" t="s">
        <v>5234</v>
      </c>
      <c r="AW235" s="66" t="s">
        <v>5235</v>
      </c>
      <c r="AX235" s="95" t="s">
        <v>5236</v>
      </c>
      <c r="AY235" s="42" t="s">
        <v>5237</v>
      </c>
      <c r="AZ235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5" s="135" t="str">
        <f t="shared" si="169"/>
        <v xml:space="preserve">  * La  variable Gestantes No puede ser mayor al Total Mujeres.</v>
      </c>
      <c r="CC235" s="135" t="str">
        <f t="shared" si="170"/>
        <v xml:space="preserve">  * La variable Madre de hijo menor de 5 años No puede ser mayor al Total Mujeres.</v>
      </c>
      <c r="CD235" s="135" t="str">
        <f t="shared" si="163"/>
        <v xml:space="preserve">  * La variable Pueblos originarios - Hombres No puede ser mayor al Total.</v>
      </c>
      <c r="CE235" s="135" t="str">
        <f t="shared" si="141"/>
        <v xml:space="preserve">  * La variable Pueblos originarios - Mujeres No puede ser mayor al Total.</v>
      </c>
      <c r="CF235" s="135" t="str">
        <f t="shared" si="142"/>
        <v xml:space="preserve">  * La variable Niños, niñas, adolescentes y jóvenes SENAME No puede ser mayor al Total.</v>
      </c>
      <c r="CG235" s="135" t="str">
        <f t="shared" si="164"/>
        <v xml:space="preserve">  * La variable Niños, niñas, adolescentes y jóvenes Mejor Niñez No puede ser mayor al Total.</v>
      </c>
      <c r="CH235" s="135" t="str">
        <f t="shared" si="137"/>
        <v xml:space="preserve">  * La variable Migrantes - Hombres No puede ser mayor al Total Hombres.</v>
      </c>
      <c r="CI235" s="135" t="str">
        <f t="shared" si="165"/>
        <v xml:space="preserve">  * La variable Migrantes - Mujeres No puede ser mayor al Total.</v>
      </c>
      <c r="CJ235" s="135" t="str">
        <f t="shared" si="156"/>
        <v xml:space="preserve">  * La variable Trans Masculino No puede ser mayor al Total Mujeres.</v>
      </c>
      <c r="CK235" s="135" t="str">
        <f t="shared" si="157"/>
        <v xml:space="preserve">  * La variable Trans Femenino No puede ser mayor al Total Hombres.</v>
      </c>
      <c r="CL235" s="135" t="str">
        <f t="shared" si="166"/>
        <v xml:space="preserve">  * La variable Adolescentes derivados de Espacios Amigables No puede ser mayor al Total.</v>
      </c>
      <c r="CM235" s="6"/>
      <c r="CP235" s="55">
        <f t="shared" si="171"/>
        <v>1</v>
      </c>
      <c r="CQ235" s="55">
        <f t="shared" si="172"/>
        <v>1</v>
      </c>
      <c r="CR235" s="55">
        <f t="shared" si="159"/>
        <v>1</v>
      </c>
      <c r="CS235" s="55">
        <f t="shared" si="145"/>
        <v>1</v>
      </c>
      <c r="CT235" s="55">
        <f t="shared" si="146"/>
        <v>1</v>
      </c>
      <c r="CU235" s="55">
        <f t="shared" si="147"/>
        <v>1</v>
      </c>
      <c r="CV235" s="55">
        <f t="shared" si="160"/>
        <v>1</v>
      </c>
      <c r="CW235" s="55">
        <f t="shared" si="148"/>
        <v>1</v>
      </c>
      <c r="CX235" s="55">
        <f t="shared" si="161"/>
        <v>1</v>
      </c>
      <c r="CY235" s="55">
        <f t="shared" si="162"/>
        <v>1</v>
      </c>
      <c r="CZ235" s="55">
        <f t="shared" si="136"/>
        <v>1</v>
      </c>
    </row>
    <row r="236" spans="1:104" ht="15" customHeight="1" x14ac:dyDescent="0.25">
      <c r="A236" s="5677" t="s">
        <v>5093</v>
      </c>
      <c r="B236" s="6112"/>
      <c r="C236" s="356" t="s">
        <v>897</v>
      </c>
      <c r="D236" s="647" t="s">
        <v>4567</v>
      </c>
      <c r="E236" s="648" t="s">
        <v>4568</v>
      </c>
      <c r="F236" s="673" t="s">
        <v>4569</v>
      </c>
      <c r="G236" s="192" t="s">
        <v>4570</v>
      </c>
      <c r="H236" s="2" t="s">
        <v>4571</v>
      </c>
      <c r="I236" s="192" t="s">
        <v>4572</v>
      </c>
      <c r="J236" s="2" t="s">
        <v>4573</v>
      </c>
      <c r="K236" s="192" t="s">
        <v>4574</v>
      </c>
      <c r="L236" s="2" t="s">
        <v>4575</v>
      </c>
      <c r="M236" s="192" t="s">
        <v>4576</v>
      </c>
      <c r="N236" s="2" t="s">
        <v>4577</v>
      </c>
      <c r="O236" s="192" t="s">
        <v>4578</v>
      </c>
      <c r="P236" s="2" t="s">
        <v>4579</v>
      </c>
      <c r="Q236" s="192" t="s">
        <v>4580</v>
      </c>
      <c r="R236" s="2" t="s">
        <v>4581</v>
      </c>
      <c r="S236" s="192" t="s">
        <v>4582</v>
      </c>
      <c r="T236" s="2" t="s">
        <v>4583</v>
      </c>
      <c r="U236" s="192" t="s">
        <v>4584</v>
      </c>
      <c r="V236" s="2" t="s">
        <v>4585</v>
      </c>
      <c r="W236" s="192" t="s">
        <v>4586</v>
      </c>
      <c r="X236" s="2" t="s">
        <v>4587</v>
      </c>
      <c r="Y236" s="192" t="s">
        <v>4588</v>
      </c>
      <c r="Z236" s="2" t="s">
        <v>4589</v>
      </c>
      <c r="AA236" s="192" t="s">
        <v>4590</v>
      </c>
      <c r="AB236" s="2" t="s">
        <v>4591</v>
      </c>
      <c r="AC236" s="192" t="s">
        <v>4592</v>
      </c>
      <c r="AD236" s="2" t="s">
        <v>4593</v>
      </c>
      <c r="AE236" s="192" t="s">
        <v>4594</v>
      </c>
      <c r="AF236" s="2" t="s">
        <v>4595</v>
      </c>
      <c r="AG236" s="192" t="s">
        <v>4596</v>
      </c>
      <c r="AH236" s="2" t="s">
        <v>4597</v>
      </c>
      <c r="AI236" s="192" t="s">
        <v>4598</v>
      </c>
      <c r="AJ236" s="2" t="s">
        <v>4599</v>
      </c>
      <c r="AK236" s="192" t="s">
        <v>4600</v>
      </c>
      <c r="AL236" s="2" t="s">
        <v>4601</v>
      </c>
      <c r="AM236" s="192" t="s">
        <v>4602</v>
      </c>
      <c r="AN236" s="64" t="s">
        <v>4603</v>
      </c>
      <c r="AO236" s="376" t="s">
        <v>4604</v>
      </c>
      <c r="AP236" s="2" t="s">
        <v>4605</v>
      </c>
      <c r="AQ236" s="192" t="s">
        <v>4606</v>
      </c>
      <c r="AR236" s="2" t="s">
        <v>4934</v>
      </c>
      <c r="AS236" s="192" t="s">
        <v>4935</v>
      </c>
      <c r="AT236" s="2" t="s">
        <v>4936</v>
      </c>
      <c r="AU236" s="64" t="s">
        <v>4937</v>
      </c>
      <c r="AV236" s="382" t="s">
        <v>5234</v>
      </c>
      <c r="AW236" s="64" t="s">
        <v>5235</v>
      </c>
      <c r="AX236" s="382" t="s">
        <v>5236</v>
      </c>
      <c r="AY236" s="2" t="s">
        <v>5237</v>
      </c>
      <c r="AZ236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6" s="135" t="str">
        <f t="shared" si="169"/>
        <v xml:space="preserve">  * La  variable Gestantes No puede ser mayor al Total Mujeres.</v>
      </c>
      <c r="CC236" s="135" t="str">
        <f t="shared" si="170"/>
        <v xml:space="preserve">  * La variable Madre de hijo menor de 5 años No puede ser mayor al Total Mujeres.</v>
      </c>
      <c r="CD236" s="135" t="str">
        <f t="shared" si="163"/>
        <v xml:space="preserve">  * La variable Pueblos originarios - Hombres No puede ser mayor al Total.</v>
      </c>
      <c r="CE236" s="135" t="str">
        <f t="shared" si="141"/>
        <v xml:space="preserve">  * La variable Pueblos originarios - Mujeres No puede ser mayor al Total.</v>
      </c>
      <c r="CF236" s="135" t="str">
        <f t="shared" si="142"/>
        <v xml:space="preserve">  * La variable Niños, niñas, adolescentes y jóvenes SENAME No puede ser mayor al Total.</v>
      </c>
      <c r="CG236" s="135" t="str">
        <f t="shared" si="164"/>
        <v xml:space="preserve">  * La variable Niños, niñas, adolescentes y jóvenes Mejor Niñez No puede ser mayor al Total.</v>
      </c>
      <c r="CH236" s="135" t="str">
        <f t="shared" si="137"/>
        <v xml:space="preserve">  * La variable Migrantes - Hombres No puede ser mayor al Total Hombres.</v>
      </c>
      <c r="CI236" s="135" t="str">
        <f t="shared" si="165"/>
        <v xml:space="preserve">  * La variable Migrantes - Mujeres No puede ser mayor al Total.</v>
      </c>
      <c r="CJ236" s="135" t="str">
        <f t="shared" si="156"/>
        <v xml:space="preserve">  * La variable Trans Masculino No puede ser mayor al Total Mujeres.</v>
      </c>
      <c r="CK236" s="135" t="str">
        <f t="shared" si="157"/>
        <v xml:space="preserve">  * La variable Trans Femenino No puede ser mayor al Total Hombres.</v>
      </c>
      <c r="CL236" s="135" t="str">
        <f t="shared" si="166"/>
        <v xml:space="preserve">  * La variable Adolescentes derivados de Espacios Amigables No puede ser mayor al Total.</v>
      </c>
      <c r="CM236" s="6"/>
      <c r="CP236" s="55">
        <f t="shared" si="171"/>
        <v>1</v>
      </c>
      <c r="CQ236" s="55">
        <f t="shared" si="172"/>
        <v>1</v>
      </c>
      <c r="CR236" s="55">
        <f t="shared" si="159"/>
        <v>1</v>
      </c>
      <c r="CS236" s="55">
        <f t="shared" si="145"/>
        <v>1</v>
      </c>
      <c r="CT236" s="55">
        <f t="shared" si="146"/>
        <v>1</v>
      </c>
      <c r="CU236" s="55">
        <f t="shared" si="147"/>
        <v>1</v>
      </c>
      <c r="CV236" s="55">
        <f t="shared" si="160"/>
        <v>1</v>
      </c>
      <c r="CW236" s="55">
        <f t="shared" si="148"/>
        <v>1</v>
      </c>
      <c r="CX236" s="55">
        <f t="shared" si="161"/>
        <v>1</v>
      </c>
      <c r="CY236" s="55">
        <f t="shared" si="162"/>
        <v>1</v>
      </c>
      <c r="CZ236" s="55">
        <f t="shared" si="136"/>
        <v>1</v>
      </c>
    </row>
    <row r="237" spans="1:104" ht="15" customHeight="1" x14ac:dyDescent="0.25">
      <c r="A237" s="5677" t="s">
        <v>5094</v>
      </c>
      <c r="B237" s="6112"/>
      <c r="C237" s="356" t="s">
        <v>898</v>
      </c>
      <c r="D237" s="647" t="s">
        <v>4567</v>
      </c>
      <c r="E237" s="648" t="s">
        <v>4568</v>
      </c>
      <c r="F237" s="673" t="s">
        <v>4569</v>
      </c>
      <c r="G237" s="192" t="s">
        <v>4570</v>
      </c>
      <c r="H237" s="2" t="s">
        <v>4571</v>
      </c>
      <c r="I237" s="192" t="s">
        <v>4572</v>
      </c>
      <c r="J237" s="2" t="s">
        <v>4573</v>
      </c>
      <c r="K237" s="192" t="s">
        <v>4574</v>
      </c>
      <c r="L237" s="2" t="s">
        <v>4575</v>
      </c>
      <c r="M237" s="192" t="s">
        <v>4576</v>
      </c>
      <c r="N237" s="2" t="s">
        <v>4577</v>
      </c>
      <c r="O237" s="192" t="s">
        <v>4578</v>
      </c>
      <c r="P237" s="2" t="s">
        <v>4579</v>
      </c>
      <c r="Q237" s="192" t="s">
        <v>4580</v>
      </c>
      <c r="R237" s="2" t="s">
        <v>4581</v>
      </c>
      <c r="S237" s="192" t="s">
        <v>4582</v>
      </c>
      <c r="T237" s="2" t="s">
        <v>4583</v>
      </c>
      <c r="U237" s="192" t="s">
        <v>4584</v>
      </c>
      <c r="V237" s="2" t="s">
        <v>4585</v>
      </c>
      <c r="W237" s="192" t="s">
        <v>4586</v>
      </c>
      <c r="X237" s="2" t="s">
        <v>4587</v>
      </c>
      <c r="Y237" s="192" t="s">
        <v>4588</v>
      </c>
      <c r="Z237" s="2" t="s">
        <v>4589</v>
      </c>
      <c r="AA237" s="192" t="s">
        <v>4590</v>
      </c>
      <c r="AB237" s="2" t="s">
        <v>4591</v>
      </c>
      <c r="AC237" s="192" t="s">
        <v>4592</v>
      </c>
      <c r="AD237" s="2" t="s">
        <v>4593</v>
      </c>
      <c r="AE237" s="192" t="s">
        <v>4594</v>
      </c>
      <c r="AF237" s="2" t="s">
        <v>4595</v>
      </c>
      <c r="AG237" s="192" t="s">
        <v>4596</v>
      </c>
      <c r="AH237" s="2" t="s">
        <v>4597</v>
      </c>
      <c r="AI237" s="192" t="s">
        <v>4598</v>
      </c>
      <c r="AJ237" s="2" t="s">
        <v>4599</v>
      </c>
      <c r="AK237" s="192" t="s">
        <v>4600</v>
      </c>
      <c r="AL237" s="2" t="s">
        <v>4601</v>
      </c>
      <c r="AM237" s="192" t="s">
        <v>4602</v>
      </c>
      <c r="AN237" s="64" t="s">
        <v>4603</v>
      </c>
      <c r="AO237" s="376" t="s">
        <v>4604</v>
      </c>
      <c r="AP237" s="2" t="s">
        <v>4605</v>
      </c>
      <c r="AQ237" s="192" t="s">
        <v>4606</v>
      </c>
      <c r="AR237" s="2" t="s">
        <v>4934</v>
      </c>
      <c r="AS237" s="192" t="s">
        <v>4935</v>
      </c>
      <c r="AT237" s="2" t="s">
        <v>4936</v>
      </c>
      <c r="AU237" s="64" t="s">
        <v>4937</v>
      </c>
      <c r="AV237" s="382" t="s">
        <v>5234</v>
      </c>
      <c r="AW237" s="64" t="s">
        <v>5235</v>
      </c>
      <c r="AX237" s="382" t="s">
        <v>5236</v>
      </c>
      <c r="AY237" s="2" t="s">
        <v>5237</v>
      </c>
      <c r="AZ237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7" s="135" t="str">
        <f t="shared" si="169"/>
        <v xml:space="preserve">  * La  variable Gestantes No puede ser mayor al Total Mujeres.</v>
      </c>
      <c r="CC237" s="135" t="str">
        <f t="shared" si="170"/>
        <v xml:space="preserve">  * La variable Madre de hijo menor de 5 años No puede ser mayor al Total Mujeres.</v>
      </c>
      <c r="CD237" s="135" t="str">
        <f t="shared" si="163"/>
        <v xml:space="preserve">  * La variable Pueblos originarios - Hombres No puede ser mayor al Total.</v>
      </c>
      <c r="CE237" s="135" t="str">
        <f t="shared" si="141"/>
        <v xml:space="preserve">  * La variable Pueblos originarios - Mujeres No puede ser mayor al Total.</v>
      </c>
      <c r="CF237" s="135" t="str">
        <f t="shared" si="142"/>
        <v xml:space="preserve">  * La variable Niños, niñas, adolescentes y jóvenes SENAME No puede ser mayor al Total.</v>
      </c>
      <c r="CG237" s="135" t="str">
        <f t="shared" si="164"/>
        <v xml:space="preserve">  * La variable Niños, niñas, adolescentes y jóvenes Mejor Niñez No puede ser mayor al Total.</v>
      </c>
      <c r="CH237" s="135" t="str">
        <f t="shared" si="137"/>
        <v xml:space="preserve">  * La variable Migrantes - Hombres No puede ser mayor al Total Hombres.</v>
      </c>
      <c r="CI237" s="135" t="str">
        <f t="shared" si="165"/>
        <v xml:space="preserve">  * La variable Migrantes - Mujeres No puede ser mayor al Total.</v>
      </c>
      <c r="CJ237" s="135" t="str">
        <f t="shared" si="156"/>
        <v xml:space="preserve">  * La variable Trans Masculino No puede ser mayor al Total Mujeres.</v>
      </c>
      <c r="CK237" s="135" t="str">
        <f t="shared" si="157"/>
        <v xml:space="preserve">  * La variable Trans Femenino No puede ser mayor al Total Hombres.</v>
      </c>
      <c r="CL237" s="135" t="str">
        <f t="shared" si="166"/>
        <v xml:space="preserve">  * La variable Adolescentes derivados de Espacios Amigables No puede ser mayor al Total.</v>
      </c>
      <c r="CM237" s="6"/>
      <c r="CP237" s="55">
        <f t="shared" si="171"/>
        <v>1</v>
      </c>
      <c r="CQ237" s="55">
        <f t="shared" si="172"/>
        <v>1</v>
      </c>
      <c r="CR237" s="55">
        <f t="shared" si="159"/>
        <v>1</v>
      </c>
      <c r="CS237" s="55">
        <f t="shared" si="145"/>
        <v>1</v>
      </c>
      <c r="CT237" s="55">
        <f t="shared" si="146"/>
        <v>1</v>
      </c>
      <c r="CU237" s="55">
        <f t="shared" si="147"/>
        <v>1</v>
      </c>
      <c r="CV237" s="55">
        <f t="shared" si="160"/>
        <v>1</v>
      </c>
      <c r="CW237" s="55">
        <f t="shared" si="148"/>
        <v>1</v>
      </c>
      <c r="CX237" s="55">
        <f t="shared" si="161"/>
        <v>1</v>
      </c>
      <c r="CY237" s="55">
        <f t="shared" si="162"/>
        <v>1</v>
      </c>
      <c r="CZ237" s="55">
        <f t="shared" si="136"/>
        <v>1</v>
      </c>
    </row>
    <row r="238" spans="1:104" ht="15" customHeight="1" x14ac:dyDescent="0.25">
      <c r="A238" s="5680" t="s">
        <v>5095</v>
      </c>
      <c r="B238" s="6112"/>
      <c r="C238" s="356" t="s">
        <v>899</v>
      </c>
      <c r="D238" s="647" t="s">
        <v>4567</v>
      </c>
      <c r="E238" s="648" t="s">
        <v>4568</v>
      </c>
      <c r="F238" s="673" t="s">
        <v>4569</v>
      </c>
      <c r="G238" s="192" t="s">
        <v>4570</v>
      </c>
      <c r="H238" s="2" t="s">
        <v>4571</v>
      </c>
      <c r="I238" s="192" t="s">
        <v>4572</v>
      </c>
      <c r="J238" s="2" t="s">
        <v>4573</v>
      </c>
      <c r="K238" s="192" t="s">
        <v>4574</v>
      </c>
      <c r="L238" s="2" t="s">
        <v>4575</v>
      </c>
      <c r="M238" s="192" t="s">
        <v>4576</v>
      </c>
      <c r="N238" s="2" t="s">
        <v>4577</v>
      </c>
      <c r="O238" s="192" t="s">
        <v>4578</v>
      </c>
      <c r="P238" s="2" t="s">
        <v>4579</v>
      </c>
      <c r="Q238" s="192" t="s">
        <v>4580</v>
      </c>
      <c r="R238" s="2" t="s">
        <v>4581</v>
      </c>
      <c r="S238" s="192" t="s">
        <v>4582</v>
      </c>
      <c r="T238" s="2" t="s">
        <v>4583</v>
      </c>
      <c r="U238" s="192" t="s">
        <v>4584</v>
      </c>
      <c r="V238" s="2" t="s">
        <v>4585</v>
      </c>
      <c r="W238" s="192" t="s">
        <v>4586</v>
      </c>
      <c r="X238" s="2" t="s">
        <v>4587</v>
      </c>
      <c r="Y238" s="192" t="s">
        <v>4588</v>
      </c>
      <c r="Z238" s="2" t="s">
        <v>4589</v>
      </c>
      <c r="AA238" s="192" t="s">
        <v>4590</v>
      </c>
      <c r="AB238" s="2" t="s">
        <v>4591</v>
      </c>
      <c r="AC238" s="192" t="s">
        <v>4592</v>
      </c>
      <c r="AD238" s="2" t="s">
        <v>4593</v>
      </c>
      <c r="AE238" s="192" t="s">
        <v>4594</v>
      </c>
      <c r="AF238" s="2" t="s">
        <v>4595</v>
      </c>
      <c r="AG238" s="192" t="s">
        <v>4596</v>
      </c>
      <c r="AH238" s="2" t="s">
        <v>4597</v>
      </c>
      <c r="AI238" s="192" t="s">
        <v>4598</v>
      </c>
      <c r="AJ238" s="2" t="s">
        <v>4599</v>
      </c>
      <c r="AK238" s="192" t="s">
        <v>4600</v>
      </c>
      <c r="AL238" s="2" t="s">
        <v>4601</v>
      </c>
      <c r="AM238" s="192" t="s">
        <v>4602</v>
      </c>
      <c r="AN238" s="64" t="s">
        <v>4603</v>
      </c>
      <c r="AO238" s="376" t="s">
        <v>4604</v>
      </c>
      <c r="AP238" s="2" t="s">
        <v>4605</v>
      </c>
      <c r="AQ238" s="192" t="s">
        <v>4606</v>
      </c>
      <c r="AR238" s="2" t="s">
        <v>4934</v>
      </c>
      <c r="AS238" s="192" t="s">
        <v>4935</v>
      </c>
      <c r="AT238" s="2" t="s">
        <v>4936</v>
      </c>
      <c r="AU238" s="64" t="s">
        <v>4937</v>
      </c>
      <c r="AV238" s="382" t="s">
        <v>5234</v>
      </c>
      <c r="AW238" s="64" t="s">
        <v>5235</v>
      </c>
      <c r="AX238" s="382" t="s">
        <v>5236</v>
      </c>
      <c r="AY238" s="2" t="s">
        <v>5237</v>
      </c>
      <c r="AZ238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8" s="135" t="str">
        <f t="shared" si="169"/>
        <v xml:space="preserve">  * La  variable Gestantes No puede ser mayor al Total Mujeres.</v>
      </c>
      <c r="CC238" s="135" t="str">
        <f t="shared" si="170"/>
        <v xml:space="preserve">  * La variable Madre de hijo menor de 5 años No puede ser mayor al Total Mujeres.</v>
      </c>
      <c r="CD238" s="135" t="str">
        <f t="shared" si="163"/>
        <v xml:space="preserve">  * La variable Pueblos originarios - Hombres No puede ser mayor al Total.</v>
      </c>
      <c r="CE238" s="135" t="str">
        <f t="shared" si="141"/>
        <v xml:space="preserve">  * La variable Pueblos originarios - Mujeres No puede ser mayor al Total.</v>
      </c>
      <c r="CF238" s="135" t="str">
        <f t="shared" si="142"/>
        <v xml:space="preserve">  * La variable Niños, niñas, adolescentes y jóvenes SENAME No puede ser mayor al Total.</v>
      </c>
      <c r="CG238" s="135" t="str">
        <f t="shared" si="164"/>
        <v xml:space="preserve">  * La variable Niños, niñas, adolescentes y jóvenes Mejor Niñez No puede ser mayor al Total.</v>
      </c>
      <c r="CH238" s="135" t="str">
        <f t="shared" si="137"/>
        <v xml:space="preserve">  * La variable Migrantes - Hombres No puede ser mayor al Total Hombres.</v>
      </c>
      <c r="CI238" s="135" t="str">
        <f t="shared" si="165"/>
        <v xml:space="preserve">  * La variable Migrantes - Mujeres No puede ser mayor al Total.</v>
      </c>
      <c r="CJ238" s="135" t="str">
        <f t="shared" si="156"/>
        <v xml:space="preserve">  * La variable Trans Masculino No puede ser mayor al Total Mujeres.</v>
      </c>
      <c r="CK238" s="135" t="str">
        <f t="shared" si="157"/>
        <v xml:space="preserve">  * La variable Trans Femenino No puede ser mayor al Total Hombres.</v>
      </c>
      <c r="CL238" s="135" t="str">
        <f t="shared" si="166"/>
        <v xml:space="preserve">  * La variable Adolescentes derivados de Espacios Amigables No puede ser mayor al Total.</v>
      </c>
      <c r="CM238" s="6"/>
      <c r="CP238" s="55">
        <f t="shared" si="171"/>
        <v>1</v>
      </c>
      <c r="CQ238" s="55">
        <f t="shared" si="172"/>
        <v>1</v>
      </c>
      <c r="CR238" s="55">
        <f t="shared" si="159"/>
        <v>1</v>
      </c>
      <c r="CS238" s="55">
        <f t="shared" si="145"/>
        <v>1</v>
      </c>
      <c r="CT238" s="55">
        <f t="shared" si="146"/>
        <v>1</v>
      </c>
      <c r="CU238" s="55">
        <f t="shared" si="147"/>
        <v>1</v>
      </c>
      <c r="CV238" s="55">
        <f t="shared" si="160"/>
        <v>1</v>
      </c>
      <c r="CW238" s="55">
        <f t="shared" si="148"/>
        <v>1</v>
      </c>
      <c r="CX238" s="55">
        <f t="shared" si="161"/>
        <v>1</v>
      </c>
      <c r="CY238" s="55">
        <f t="shared" si="162"/>
        <v>1</v>
      </c>
      <c r="CZ238" s="55">
        <f t="shared" si="136"/>
        <v>1</v>
      </c>
    </row>
    <row r="239" spans="1:104" ht="24" customHeight="1" x14ac:dyDescent="0.25">
      <c r="A239" s="5680" t="s">
        <v>5096</v>
      </c>
      <c r="B239" s="6059"/>
      <c r="C239" s="674" t="s">
        <v>900</v>
      </c>
      <c r="D239" s="377" t="s">
        <v>4567</v>
      </c>
      <c r="E239" s="656" t="s">
        <v>4568</v>
      </c>
      <c r="F239" s="675" t="s">
        <v>4569</v>
      </c>
      <c r="G239" s="379" t="s">
        <v>4570</v>
      </c>
      <c r="H239" s="387" t="s">
        <v>4571</v>
      </c>
      <c r="I239" s="379" t="s">
        <v>4572</v>
      </c>
      <c r="J239" s="387" t="s">
        <v>4573</v>
      </c>
      <c r="K239" s="379" t="s">
        <v>4574</v>
      </c>
      <c r="L239" s="387" t="s">
        <v>4575</v>
      </c>
      <c r="M239" s="379" t="s">
        <v>4576</v>
      </c>
      <c r="N239" s="387" t="s">
        <v>4577</v>
      </c>
      <c r="O239" s="379" t="s">
        <v>4578</v>
      </c>
      <c r="P239" s="387" t="s">
        <v>4579</v>
      </c>
      <c r="Q239" s="379" t="s">
        <v>4580</v>
      </c>
      <c r="R239" s="387" t="s">
        <v>4581</v>
      </c>
      <c r="S239" s="379" t="s">
        <v>4582</v>
      </c>
      <c r="T239" s="387" t="s">
        <v>4583</v>
      </c>
      <c r="U239" s="379" t="s">
        <v>4584</v>
      </c>
      <c r="V239" s="387" t="s">
        <v>4585</v>
      </c>
      <c r="W239" s="379" t="s">
        <v>4586</v>
      </c>
      <c r="X239" s="387" t="s">
        <v>4587</v>
      </c>
      <c r="Y239" s="379" t="s">
        <v>4588</v>
      </c>
      <c r="Z239" s="387" t="s">
        <v>4589</v>
      </c>
      <c r="AA239" s="379" t="s">
        <v>4590</v>
      </c>
      <c r="AB239" s="387" t="s">
        <v>4591</v>
      </c>
      <c r="AC239" s="379" t="s">
        <v>4592</v>
      </c>
      <c r="AD239" s="387" t="s">
        <v>4593</v>
      </c>
      <c r="AE239" s="379" t="s">
        <v>4594</v>
      </c>
      <c r="AF239" s="387" t="s">
        <v>4595</v>
      </c>
      <c r="AG239" s="379" t="s">
        <v>4596</v>
      </c>
      <c r="AH239" s="387" t="s">
        <v>4597</v>
      </c>
      <c r="AI239" s="379" t="s">
        <v>4598</v>
      </c>
      <c r="AJ239" s="387" t="s">
        <v>4599</v>
      </c>
      <c r="AK239" s="379" t="s">
        <v>4600</v>
      </c>
      <c r="AL239" s="387" t="s">
        <v>4601</v>
      </c>
      <c r="AM239" s="379" t="s">
        <v>4602</v>
      </c>
      <c r="AN239" s="557" t="s">
        <v>4603</v>
      </c>
      <c r="AO239" s="378" t="s">
        <v>4604</v>
      </c>
      <c r="AP239" s="387" t="s">
        <v>4605</v>
      </c>
      <c r="AQ239" s="379" t="s">
        <v>4606</v>
      </c>
      <c r="AR239" s="387" t="s">
        <v>4934</v>
      </c>
      <c r="AS239" s="379" t="s">
        <v>4935</v>
      </c>
      <c r="AT239" s="387" t="s">
        <v>4936</v>
      </c>
      <c r="AU239" s="557" t="s">
        <v>4937</v>
      </c>
      <c r="AV239" s="388" t="s">
        <v>5234</v>
      </c>
      <c r="AW239" s="557" t="s">
        <v>5235</v>
      </c>
      <c r="AX239" s="388" t="s">
        <v>5236</v>
      </c>
      <c r="AY239" s="387" t="s">
        <v>5237</v>
      </c>
      <c r="AZ239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9" s="135" t="str">
        <f t="shared" si="169"/>
        <v xml:space="preserve">  * La  variable Gestantes No puede ser mayor al Total Mujeres.</v>
      </c>
      <c r="CC239" s="135" t="str">
        <f t="shared" si="170"/>
        <v xml:space="preserve">  * La variable Madre de hijo menor de 5 años No puede ser mayor al Total Mujeres.</v>
      </c>
      <c r="CD239" s="135" t="str">
        <f t="shared" si="163"/>
        <v xml:space="preserve">  * La variable Pueblos originarios - Hombres No puede ser mayor al Total.</v>
      </c>
      <c r="CE239" s="135" t="str">
        <f t="shared" si="141"/>
        <v xml:space="preserve">  * La variable Pueblos originarios - Mujeres No puede ser mayor al Total.</v>
      </c>
      <c r="CF239" s="135" t="str">
        <f t="shared" si="142"/>
        <v xml:space="preserve">  * La variable Niños, niñas, adolescentes y jóvenes SENAME No puede ser mayor al Total.</v>
      </c>
      <c r="CG239" s="135" t="str">
        <f t="shared" si="164"/>
        <v xml:space="preserve">  * La variable Niños, niñas, adolescentes y jóvenes Mejor Niñez No puede ser mayor al Total.</v>
      </c>
      <c r="CH239" s="135" t="str">
        <f t="shared" si="137"/>
        <v xml:space="preserve">  * La variable Migrantes - Hombres No puede ser mayor al Total Hombres.</v>
      </c>
      <c r="CI239" s="135" t="str">
        <f t="shared" si="165"/>
        <v xml:space="preserve">  * La variable Migrantes - Mujeres No puede ser mayor al Total.</v>
      </c>
      <c r="CJ239" s="135" t="str">
        <f t="shared" si="156"/>
        <v xml:space="preserve">  * La variable Trans Masculino No puede ser mayor al Total Mujeres.</v>
      </c>
      <c r="CK239" s="135" t="str">
        <f t="shared" si="157"/>
        <v xml:space="preserve">  * La variable Trans Femenino No puede ser mayor al Total Hombres.</v>
      </c>
      <c r="CL239" s="135" t="str">
        <f t="shared" si="166"/>
        <v xml:space="preserve">  * La variable Adolescentes derivados de Espacios Amigables No puede ser mayor al Total.</v>
      </c>
      <c r="CM239" s="6"/>
      <c r="CP239" s="55">
        <f t="shared" si="171"/>
        <v>1</v>
      </c>
      <c r="CQ239" s="55">
        <f t="shared" si="172"/>
        <v>1</v>
      </c>
      <c r="CR239" s="55">
        <f t="shared" si="159"/>
        <v>1</v>
      </c>
      <c r="CS239" s="55">
        <f t="shared" si="145"/>
        <v>1</v>
      </c>
      <c r="CT239" s="55">
        <f t="shared" si="146"/>
        <v>1</v>
      </c>
      <c r="CU239" s="55">
        <f t="shared" si="147"/>
        <v>1</v>
      </c>
      <c r="CV239" s="55">
        <f t="shared" si="160"/>
        <v>1</v>
      </c>
      <c r="CW239" s="55">
        <f t="shared" si="148"/>
        <v>1</v>
      </c>
      <c r="CX239" s="55">
        <f t="shared" si="161"/>
        <v>1</v>
      </c>
      <c r="CY239" s="55">
        <f t="shared" si="162"/>
        <v>1</v>
      </c>
      <c r="CZ239" s="55">
        <f t="shared" si="136"/>
        <v>1</v>
      </c>
    </row>
    <row r="240" spans="1:104" ht="15" customHeight="1" x14ac:dyDescent="0.25">
      <c r="A240" s="5680" t="s">
        <v>5097</v>
      </c>
      <c r="B240" s="6619" t="s">
        <v>901</v>
      </c>
      <c r="C240" s="6620"/>
      <c r="D240" s="73" t="s">
        <v>4567</v>
      </c>
      <c r="E240" s="246" t="s">
        <v>4568</v>
      </c>
      <c r="F240" s="67" t="s">
        <v>4569</v>
      </c>
      <c r="G240" s="47" t="s">
        <v>4570</v>
      </c>
      <c r="H240" s="42" t="s">
        <v>4571</v>
      </c>
      <c r="I240" s="47" t="s">
        <v>4572</v>
      </c>
      <c r="J240" s="42" t="s">
        <v>4573</v>
      </c>
      <c r="K240" s="47" t="s">
        <v>4574</v>
      </c>
      <c r="L240" s="42" t="s">
        <v>4575</v>
      </c>
      <c r="M240" s="47" t="s">
        <v>4576</v>
      </c>
      <c r="N240" s="42" t="s">
        <v>4577</v>
      </c>
      <c r="O240" s="47" t="s">
        <v>4578</v>
      </c>
      <c r="P240" s="42" t="s">
        <v>4579</v>
      </c>
      <c r="Q240" s="47" t="s">
        <v>4580</v>
      </c>
      <c r="R240" s="42" t="s">
        <v>4581</v>
      </c>
      <c r="S240" s="47" t="s">
        <v>4582</v>
      </c>
      <c r="T240" s="42" t="s">
        <v>4583</v>
      </c>
      <c r="U240" s="47" t="s">
        <v>4584</v>
      </c>
      <c r="V240" s="42" t="s">
        <v>4585</v>
      </c>
      <c r="W240" s="47" t="s">
        <v>4586</v>
      </c>
      <c r="X240" s="42" t="s">
        <v>4587</v>
      </c>
      <c r="Y240" s="47" t="s">
        <v>4588</v>
      </c>
      <c r="Z240" s="42" t="s">
        <v>4589</v>
      </c>
      <c r="AA240" s="47" t="s">
        <v>4590</v>
      </c>
      <c r="AB240" s="42" t="s">
        <v>4591</v>
      </c>
      <c r="AC240" s="47" t="s">
        <v>4592</v>
      </c>
      <c r="AD240" s="42" t="s">
        <v>4593</v>
      </c>
      <c r="AE240" s="47" t="s">
        <v>4594</v>
      </c>
      <c r="AF240" s="42" t="s">
        <v>4595</v>
      </c>
      <c r="AG240" s="47" t="s">
        <v>4596</v>
      </c>
      <c r="AH240" s="42" t="s">
        <v>4597</v>
      </c>
      <c r="AI240" s="47" t="s">
        <v>4598</v>
      </c>
      <c r="AJ240" s="42" t="s">
        <v>4599</v>
      </c>
      <c r="AK240" s="47" t="s">
        <v>4600</v>
      </c>
      <c r="AL240" s="42" t="s">
        <v>4601</v>
      </c>
      <c r="AM240" s="47" t="s">
        <v>4602</v>
      </c>
      <c r="AN240" s="66" t="s">
        <v>4603</v>
      </c>
      <c r="AO240" s="74" t="s">
        <v>4604</v>
      </c>
      <c r="AP240" s="42" t="s">
        <v>4605</v>
      </c>
      <c r="AQ240" s="47" t="s">
        <v>4606</v>
      </c>
      <c r="AR240" s="42" t="s">
        <v>4934</v>
      </c>
      <c r="AS240" s="47" t="s">
        <v>4935</v>
      </c>
      <c r="AT240" s="42" t="s">
        <v>4936</v>
      </c>
      <c r="AU240" s="66" t="s">
        <v>4937</v>
      </c>
      <c r="AV240" s="95" t="s">
        <v>5234</v>
      </c>
      <c r="AW240" s="66" t="s">
        <v>5235</v>
      </c>
      <c r="AX240" s="95" t="s">
        <v>5236</v>
      </c>
      <c r="AY240" s="42" t="s">
        <v>5237</v>
      </c>
      <c r="AZ240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40" s="135" t="str">
        <f t="shared" si="169"/>
        <v xml:space="preserve">  * La  variable Gestantes No puede ser mayor al Total Mujeres.</v>
      </c>
      <c r="CC240" s="135" t="str">
        <f t="shared" si="170"/>
        <v xml:space="preserve">  * La variable Madre de hijo menor de 5 años No puede ser mayor al Total Mujeres.</v>
      </c>
      <c r="CD240" s="135" t="str">
        <f t="shared" si="163"/>
        <v xml:space="preserve">  * La variable Pueblos originarios - Hombres No puede ser mayor al Total.</v>
      </c>
      <c r="CE240" s="135" t="str">
        <f t="shared" si="141"/>
        <v xml:space="preserve">  * La variable Pueblos originarios - Mujeres No puede ser mayor al Total.</v>
      </c>
      <c r="CF240" s="135" t="str">
        <f t="shared" si="142"/>
        <v xml:space="preserve">  * La variable Niños, niñas, adolescentes y jóvenes SENAME No puede ser mayor al Total.</v>
      </c>
      <c r="CG240" s="135" t="str">
        <f t="shared" si="164"/>
        <v xml:space="preserve">  * La variable Niños, niñas, adolescentes y jóvenes Mejor Niñez No puede ser mayor al Total.</v>
      </c>
      <c r="CH240" s="135" t="str">
        <f t="shared" si="137"/>
        <v xml:space="preserve">  * La variable Migrantes - Hombres No puede ser mayor al Total Hombres.</v>
      </c>
      <c r="CI240" s="135" t="str">
        <f t="shared" si="165"/>
        <v xml:space="preserve">  * La variable Migrantes - Mujeres No puede ser mayor al Total.</v>
      </c>
      <c r="CJ240" s="135" t="str">
        <f t="shared" si="156"/>
        <v xml:space="preserve">  * La variable Trans Masculino No puede ser mayor al Total Mujeres.</v>
      </c>
      <c r="CK240" s="135" t="str">
        <f>IF(AND(E240&gt;0,OR(AX240="")), "* No olvide digitar la variable Trans Femenino. Digite Cero si no tiene.",IF((AX240)&gt;E240,"  * La variable Trans Femenino No puede ser mayor al Total Hombres.",""))</f>
        <v xml:space="preserve">  * La variable Trans Femenino No puede ser mayor al Total Hombres.</v>
      </c>
      <c r="CL240" s="135" t="str">
        <f t="shared" si="166"/>
        <v xml:space="preserve">  * La variable Adolescentes derivados de Espacios Amigables No puede ser mayor al Total.</v>
      </c>
      <c r="CM240" s="6"/>
      <c r="CP240" s="55">
        <f t="shared" si="171"/>
        <v>1</v>
      </c>
      <c r="CQ240" s="55">
        <f t="shared" si="172"/>
        <v>1</v>
      </c>
      <c r="CR240" s="55">
        <f t="shared" si="159"/>
        <v>1</v>
      </c>
      <c r="CS240" s="55">
        <f t="shared" si="145"/>
        <v>1</v>
      </c>
      <c r="CT240" s="55">
        <f t="shared" si="146"/>
        <v>1</v>
      </c>
      <c r="CU240" s="55">
        <f t="shared" si="147"/>
        <v>1</v>
      </c>
      <c r="CV240" s="55">
        <f t="shared" si="160"/>
        <v>1</v>
      </c>
      <c r="CW240" s="55">
        <f t="shared" si="148"/>
        <v>1</v>
      </c>
      <c r="CX240" s="55">
        <f t="shared" si="161"/>
        <v>1</v>
      </c>
      <c r="CY240" s="55">
        <f t="shared" si="162"/>
        <v>1</v>
      </c>
      <c r="CZ240" s="55">
        <f t="shared" si="136"/>
        <v>1</v>
      </c>
    </row>
    <row r="241" spans="1:104" ht="15" customHeight="1" x14ac:dyDescent="0.25">
      <c r="A241" s="5680" t="s">
        <v>5098</v>
      </c>
      <c r="B241" s="6559" t="s">
        <v>902</v>
      </c>
      <c r="C241" s="6560"/>
      <c r="D241" s="377" t="s">
        <v>4567</v>
      </c>
      <c r="E241" s="656" t="s">
        <v>4568</v>
      </c>
      <c r="F241" s="386" t="s">
        <v>4569</v>
      </c>
      <c r="G241" s="379" t="s">
        <v>4570</v>
      </c>
      <c r="H241" s="387" t="s">
        <v>4571</v>
      </c>
      <c r="I241" s="379" t="s">
        <v>4572</v>
      </c>
      <c r="J241" s="387" t="s">
        <v>4573</v>
      </c>
      <c r="K241" s="379" t="s">
        <v>4574</v>
      </c>
      <c r="L241" s="387" t="s">
        <v>4575</v>
      </c>
      <c r="M241" s="379" t="s">
        <v>4576</v>
      </c>
      <c r="N241" s="387" t="s">
        <v>4577</v>
      </c>
      <c r="O241" s="379" t="s">
        <v>4578</v>
      </c>
      <c r="P241" s="387" t="s">
        <v>4579</v>
      </c>
      <c r="Q241" s="379" t="s">
        <v>4580</v>
      </c>
      <c r="R241" s="387" t="s">
        <v>4581</v>
      </c>
      <c r="S241" s="379" t="s">
        <v>4582</v>
      </c>
      <c r="T241" s="387" t="s">
        <v>4583</v>
      </c>
      <c r="U241" s="379" t="s">
        <v>4584</v>
      </c>
      <c r="V241" s="387" t="s">
        <v>4585</v>
      </c>
      <c r="W241" s="379" t="s">
        <v>4586</v>
      </c>
      <c r="X241" s="387" t="s">
        <v>4587</v>
      </c>
      <c r="Y241" s="379" t="s">
        <v>4588</v>
      </c>
      <c r="Z241" s="387" t="s">
        <v>4589</v>
      </c>
      <c r="AA241" s="379" t="s">
        <v>4590</v>
      </c>
      <c r="AB241" s="387" t="s">
        <v>4591</v>
      </c>
      <c r="AC241" s="379" t="s">
        <v>4592</v>
      </c>
      <c r="AD241" s="387" t="s">
        <v>4593</v>
      </c>
      <c r="AE241" s="379" t="s">
        <v>4594</v>
      </c>
      <c r="AF241" s="387" t="s">
        <v>4595</v>
      </c>
      <c r="AG241" s="379" t="s">
        <v>4596</v>
      </c>
      <c r="AH241" s="387" t="s">
        <v>4597</v>
      </c>
      <c r="AI241" s="379" t="s">
        <v>4598</v>
      </c>
      <c r="AJ241" s="387" t="s">
        <v>4599</v>
      </c>
      <c r="AK241" s="379" t="s">
        <v>4600</v>
      </c>
      <c r="AL241" s="387" t="s">
        <v>4601</v>
      </c>
      <c r="AM241" s="379" t="s">
        <v>4602</v>
      </c>
      <c r="AN241" s="557" t="s">
        <v>4603</v>
      </c>
      <c r="AO241" s="676" t="s">
        <v>4604</v>
      </c>
      <c r="AP241" s="677" t="s">
        <v>4605</v>
      </c>
      <c r="AQ241" s="379" t="s">
        <v>4606</v>
      </c>
      <c r="AR241" s="387" t="s">
        <v>4934</v>
      </c>
      <c r="AS241" s="379" t="s">
        <v>4935</v>
      </c>
      <c r="AT241" s="387" t="s">
        <v>4936</v>
      </c>
      <c r="AU241" s="557" t="s">
        <v>4937</v>
      </c>
      <c r="AV241" s="388" t="s">
        <v>5234</v>
      </c>
      <c r="AW241" s="557" t="s">
        <v>5235</v>
      </c>
      <c r="AX241" s="388" t="s">
        <v>5236</v>
      </c>
      <c r="AY241" s="387" t="s">
        <v>5237</v>
      </c>
      <c r="AZ241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41" s="135" t="str">
        <f t="shared" si="169"/>
        <v xml:space="preserve">  * La  variable Gestantes No puede ser mayor al Total Mujeres.</v>
      </c>
      <c r="CC241" s="135" t="str">
        <f t="shared" si="170"/>
        <v xml:space="preserve">  * La variable Madre de hijo menor de 5 años No puede ser mayor al Total Mujeres.</v>
      </c>
      <c r="CD241" s="135" t="str">
        <f t="shared" si="163"/>
        <v xml:space="preserve">  * La variable Pueblos originarios - Hombres No puede ser mayor al Total.</v>
      </c>
      <c r="CE241" s="135" t="str">
        <f t="shared" si="141"/>
        <v xml:space="preserve">  * La variable Pueblos originarios - Mujeres No puede ser mayor al Total.</v>
      </c>
      <c r="CF241" s="135" t="str">
        <f t="shared" si="142"/>
        <v xml:space="preserve">  * La variable Niños, niñas, adolescentes y jóvenes SENAME No puede ser mayor al Total.</v>
      </c>
      <c r="CG241" s="135" t="str">
        <f t="shared" si="164"/>
        <v xml:space="preserve">  * La variable Niños, niñas, adolescentes y jóvenes Mejor Niñez No puede ser mayor al Total.</v>
      </c>
      <c r="CH241" s="135" t="str">
        <f t="shared" si="137"/>
        <v xml:space="preserve">  * La variable Migrantes - Hombres No puede ser mayor al Total Hombres.</v>
      </c>
      <c r="CI241" s="135" t="str">
        <f t="shared" si="165"/>
        <v xml:space="preserve">  * La variable Migrantes - Mujeres No puede ser mayor al Total.</v>
      </c>
      <c r="CJ241" s="135" t="str">
        <f t="shared" si="156"/>
        <v xml:space="preserve">  * La variable Trans Masculino No puede ser mayor al Total Mujeres.</v>
      </c>
      <c r="CK241" s="135" t="str">
        <f t="shared" si="157"/>
        <v xml:space="preserve">  * La variable Trans Femenino No puede ser mayor al Total Hombres.</v>
      </c>
      <c r="CL241" s="135" t="str">
        <f>IF(AND($D241&gt;0,AY241=""), "* No olvide digitar la variable Adolescentes derivados de Espacios Amigables. Digite Cero si no tiene.",IF(AY241&gt;$D241,"  * La variable Adolescentes derivados de Espacios Amigables No puede ser mayor al Total.",""))</f>
        <v xml:space="preserve">  * La variable Adolescentes derivados de Espacios Amigables No puede ser mayor al Total.</v>
      </c>
      <c r="CM241" s="6"/>
      <c r="CP241" s="55">
        <f t="shared" si="171"/>
        <v>1</v>
      </c>
      <c r="CQ241" s="55">
        <f t="shared" si="172"/>
        <v>1</v>
      </c>
      <c r="CR241" s="55">
        <f t="shared" si="159"/>
        <v>1</v>
      </c>
      <c r="CS241" s="55">
        <f t="shared" si="145"/>
        <v>1</v>
      </c>
      <c r="CT241" s="55">
        <f t="shared" si="146"/>
        <v>1</v>
      </c>
      <c r="CU241" s="55">
        <f t="shared" si="147"/>
        <v>1</v>
      </c>
      <c r="CV241" s="55">
        <f t="shared" si="160"/>
        <v>1</v>
      </c>
      <c r="CW241" s="55">
        <f t="shared" si="148"/>
        <v>1</v>
      </c>
      <c r="CX241" s="55">
        <f t="shared" si="161"/>
        <v>1</v>
      </c>
      <c r="CY241" s="55">
        <f t="shared" si="162"/>
        <v>1</v>
      </c>
      <c r="CZ241" s="55">
        <f t="shared" si="136"/>
        <v>1</v>
      </c>
    </row>
    <row r="242" spans="1:104" s="6" customFormat="1" ht="18" customHeight="1" x14ac:dyDescent="0.2">
      <c r="A242" s="5603"/>
      <c r="B242" s="298" t="s">
        <v>903</v>
      </c>
      <c r="C242" s="298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</row>
    <row r="243" spans="1:104" ht="30" customHeight="1" x14ac:dyDescent="0.25">
      <c r="A243" s="5548"/>
      <c r="B243" s="6212" t="s">
        <v>904</v>
      </c>
      <c r="C243" s="6511"/>
      <c r="D243" s="6417" t="s">
        <v>77</v>
      </c>
      <c r="E243" s="6417"/>
      <c r="F243" s="6417"/>
      <c r="G243" s="6417" t="s">
        <v>343</v>
      </c>
      <c r="H243" s="6417"/>
      <c r="I243" s="6417" t="s">
        <v>326</v>
      </c>
      <c r="J243" s="6417"/>
      <c r="K243" s="6417" t="s">
        <v>94</v>
      </c>
      <c r="L243" s="6417"/>
      <c r="M243" s="6417" t="s">
        <v>44</v>
      </c>
      <c r="N243" s="6417"/>
      <c r="O243" s="6411" t="s">
        <v>45</v>
      </c>
      <c r="P243" s="6448"/>
      <c r="Q243" s="6419" t="s">
        <v>46</v>
      </c>
      <c r="R243" s="6419"/>
      <c r="S243" s="6419" t="s">
        <v>47</v>
      </c>
      <c r="T243" s="6419"/>
      <c r="U243" s="6419" t="s">
        <v>48</v>
      </c>
      <c r="V243" s="6419"/>
      <c r="W243" s="6419" t="s">
        <v>49</v>
      </c>
      <c r="X243" s="6419"/>
      <c r="Y243" s="6419" t="s">
        <v>50</v>
      </c>
      <c r="Z243" s="6419"/>
      <c r="AA243" s="6419" t="s">
        <v>51</v>
      </c>
      <c r="AB243" s="6419"/>
      <c r="AC243" s="6419" t="s">
        <v>52</v>
      </c>
      <c r="AD243" s="6419"/>
      <c r="AE243" s="6419" t="s">
        <v>53</v>
      </c>
      <c r="AF243" s="6419"/>
      <c r="AG243" s="6419" t="s">
        <v>54</v>
      </c>
      <c r="AH243" s="6419"/>
      <c r="AI243" s="6419" t="s">
        <v>55</v>
      </c>
      <c r="AJ243" s="6419"/>
      <c r="AK243" s="6419" t="s">
        <v>56</v>
      </c>
      <c r="AL243" s="6419"/>
      <c r="AM243" s="6419" t="s">
        <v>57</v>
      </c>
      <c r="AN243" s="6544"/>
      <c r="AO243" s="6607" t="s">
        <v>905</v>
      </c>
      <c r="AP243" s="6515"/>
      <c r="AQ243" s="6546"/>
      <c r="AR243" s="6622" t="s">
        <v>453</v>
      </c>
      <c r="AS243" s="6615" t="s">
        <v>454</v>
      </c>
      <c r="AT243" s="6419" t="s">
        <v>36</v>
      </c>
      <c r="AU243" s="6419"/>
      <c r="AV243" s="6454" t="s">
        <v>455</v>
      </c>
      <c r="AW243" s="6511" t="s">
        <v>35</v>
      </c>
      <c r="AX243" s="6454" t="s">
        <v>37</v>
      </c>
      <c r="AY243" s="6511" t="s">
        <v>906</v>
      </c>
    </row>
    <row r="244" spans="1:104" ht="30" customHeight="1" x14ac:dyDescent="0.25">
      <c r="A244" s="5548"/>
      <c r="B244" s="6064"/>
      <c r="C244" s="6028"/>
      <c r="D244" s="593" t="s">
        <v>79</v>
      </c>
      <c r="E244" s="508" t="s">
        <v>58</v>
      </c>
      <c r="F244" s="627" t="s">
        <v>59</v>
      </c>
      <c r="G244" s="626" t="s">
        <v>58</v>
      </c>
      <c r="H244" s="627" t="s">
        <v>59</v>
      </c>
      <c r="I244" s="626" t="s">
        <v>58</v>
      </c>
      <c r="J244" s="627" t="s">
        <v>59</v>
      </c>
      <c r="K244" s="626" t="s">
        <v>58</v>
      </c>
      <c r="L244" s="627" t="s">
        <v>59</v>
      </c>
      <c r="M244" s="626" t="s">
        <v>58</v>
      </c>
      <c r="N244" s="627" t="s">
        <v>59</v>
      </c>
      <c r="O244" s="626" t="s">
        <v>58</v>
      </c>
      <c r="P244" s="627" t="s">
        <v>59</v>
      </c>
      <c r="Q244" s="626" t="s">
        <v>58</v>
      </c>
      <c r="R244" s="627" t="s">
        <v>59</v>
      </c>
      <c r="S244" s="626" t="s">
        <v>58</v>
      </c>
      <c r="T244" s="627" t="s">
        <v>59</v>
      </c>
      <c r="U244" s="626" t="s">
        <v>58</v>
      </c>
      <c r="V244" s="627" t="s">
        <v>59</v>
      </c>
      <c r="W244" s="626" t="s">
        <v>58</v>
      </c>
      <c r="X244" s="627" t="s">
        <v>59</v>
      </c>
      <c r="Y244" s="626" t="s">
        <v>58</v>
      </c>
      <c r="Z244" s="627" t="s">
        <v>59</v>
      </c>
      <c r="AA244" s="626" t="s">
        <v>58</v>
      </c>
      <c r="AB244" s="627" t="s">
        <v>59</v>
      </c>
      <c r="AC244" s="626" t="s">
        <v>58</v>
      </c>
      <c r="AD244" s="627" t="s">
        <v>59</v>
      </c>
      <c r="AE244" s="626" t="s">
        <v>58</v>
      </c>
      <c r="AF244" s="627" t="s">
        <v>59</v>
      </c>
      <c r="AG244" s="626" t="s">
        <v>58</v>
      </c>
      <c r="AH244" s="627" t="s">
        <v>59</v>
      </c>
      <c r="AI244" s="626" t="s">
        <v>58</v>
      </c>
      <c r="AJ244" s="627" t="s">
        <v>59</v>
      </c>
      <c r="AK244" s="626" t="s">
        <v>58</v>
      </c>
      <c r="AL244" s="627" t="s">
        <v>59</v>
      </c>
      <c r="AM244" s="626" t="s">
        <v>58</v>
      </c>
      <c r="AN244" s="628" t="s">
        <v>59</v>
      </c>
      <c r="AO244" s="604" t="s">
        <v>811</v>
      </c>
      <c r="AP244" s="547" t="s">
        <v>813</v>
      </c>
      <c r="AQ244" s="592" t="s">
        <v>907</v>
      </c>
      <c r="AR244" s="6623"/>
      <c r="AS244" s="6616"/>
      <c r="AT244" s="626" t="s">
        <v>58</v>
      </c>
      <c r="AU244" s="627" t="s">
        <v>59</v>
      </c>
      <c r="AV244" s="6103"/>
      <c r="AW244" s="6028"/>
      <c r="AX244" s="6103"/>
      <c r="AY244" s="6028"/>
    </row>
    <row r="245" spans="1:104" s="6" customFormat="1" ht="18" customHeight="1" x14ac:dyDescent="0.25">
      <c r="A245" s="5640" t="s">
        <v>5099</v>
      </c>
      <c r="B245" s="6621" t="s">
        <v>908</v>
      </c>
      <c r="C245" s="6610"/>
      <c r="D245" s="5759" t="s">
        <v>4567</v>
      </c>
      <c r="E245" s="5760" t="s">
        <v>4568</v>
      </c>
      <c r="F245" s="5761" t="s">
        <v>4569</v>
      </c>
      <c r="G245" s="5683" t="s">
        <v>4570</v>
      </c>
      <c r="H245" s="5693" t="s">
        <v>4571</v>
      </c>
      <c r="I245" s="5683" t="s">
        <v>4572</v>
      </c>
      <c r="J245" s="5693" t="s">
        <v>4573</v>
      </c>
      <c r="K245" s="5683" t="s">
        <v>4574</v>
      </c>
      <c r="L245" s="5693" t="s">
        <v>4575</v>
      </c>
      <c r="M245" s="5683" t="s">
        <v>4576</v>
      </c>
      <c r="N245" s="5693" t="s">
        <v>4577</v>
      </c>
      <c r="O245" s="5683" t="s">
        <v>4578</v>
      </c>
      <c r="P245" s="5693" t="s">
        <v>4579</v>
      </c>
      <c r="Q245" s="5683" t="s">
        <v>4580</v>
      </c>
      <c r="R245" s="5693" t="s">
        <v>4581</v>
      </c>
      <c r="S245" s="5683" t="s">
        <v>4582</v>
      </c>
      <c r="T245" s="5693" t="s">
        <v>4583</v>
      </c>
      <c r="U245" s="5683" t="s">
        <v>4584</v>
      </c>
      <c r="V245" s="5693" t="s">
        <v>4585</v>
      </c>
      <c r="W245" s="5683" t="s">
        <v>4586</v>
      </c>
      <c r="X245" s="5693" t="s">
        <v>4587</v>
      </c>
      <c r="Y245" s="5683" t="s">
        <v>4588</v>
      </c>
      <c r="Z245" s="5693" t="s">
        <v>4589</v>
      </c>
      <c r="AA245" s="5683" t="s">
        <v>4590</v>
      </c>
      <c r="AB245" s="5693" t="s">
        <v>4591</v>
      </c>
      <c r="AC245" s="5683" t="s">
        <v>4592</v>
      </c>
      <c r="AD245" s="5693" t="s">
        <v>4593</v>
      </c>
      <c r="AE245" s="1737" t="s">
        <v>4594</v>
      </c>
      <c r="AF245" s="5693" t="s">
        <v>4595</v>
      </c>
      <c r="AG245" s="1737" t="s">
        <v>4596</v>
      </c>
      <c r="AH245" s="5693" t="s">
        <v>4597</v>
      </c>
      <c r="AI245" s="1737" t="s">
        <v>4598</v>
      </c>
      <c r="AJ245" s="5693" t="s">
        <v>4599</v>
      </c>
      <c r="AK245" s="1737" t="s">
        <v>4600</v>
      </c>
      <c r="AL245" s="5693" t="s">
        <v>4601</v>
      </c>
      <c r="AM245" s="1737" t="s">
        <v>4602</v>
      </c>
      <c r="AN245" s="66" t="s">
        <v>4603</v>
      </c>
      <c r="AO245" s="5698" t="s">
        <v>4604</v>
      </c>
      <c r="AP245" s="5693" t="s">
        <v>4605</v>
      </c>
      <c r="AQ245" s="1737" t="s">
        <v>4606</v>
      </c>
      <c r="AR245" s="5693" t="s">
        <v>4934</v>
      </c>
      <c r="AS245" s="5683" t="s">
        <v>4935</v>
      </c>
      <c r="AT245" s="5686" t="s">
        <v>4936</v>
      </c>
      <c r="AU245" s="5762" t="s">
        <v>4937</v>
      </c>
      <c r="AV245" s="5763" t="s">
        <v>5234</v>
      </c>
      <c r="AW245" s="5762" t="s">
        <v>5235</v>
      </c>
      <c r="AX245" s="5763" t="s">
        <v>5236</v>
      </c>
      <c r="AY245" s="5764" t="s">
        <v>5237</v>
      </c>
      <c r="AZ245" s="6" t="str">
        <f>CB245&amp;CC245&amp;CD245&amp;CE245&amp;CF245&amp;CG245&amp;CH245&amp;CI245&amp;CJ245</f>
        <v xml:space="preserve">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45" s="19"/>
      <c r="CC245" s="135" t="str">
        <f>IF(AND(F245&gt;0,AR245=""), "* No olvide digitar la variable Gestantes. Digite Cero si no tiene.", IF(AR245&gt;F245," * La variable Gestantes No puede ser mayor al Total Mujeres.",""))</f>
        <v xml:space="preserve"> * La variable Gestantes No puede ser mayor al Total Mujeres.</v>
      </c>
      <c r="CD245" s="135" t="str">
        <f>IF(AND(F245&gt;0,AS245=""), "* No olvide digitar la variable Madre de hijo menor de 5 años. Digite Cero si no tiene.",IF(AS245&gt;F245,"  * La variable Madre de hijo menor de 5 años No puede ser mayor al Total Mujeres.",""))</f>
        <v xml:space="preserve">  * La variable Madre de hijo menor de 5 años No puede ser mayor al Total Mujeres.</v>
      </c>
      <c r="CE245" s="135" t="str">
        <f>IF(AND(E245&gt;0,OR(AT245="")), "* No olvide digitar la variable Pueblos originarios Hombres. Digite Cero si no tiene.",IF(AT245&gt;E245,"  * La variable Pueblos originarios Hombres No puede ser mayor al Total Hombres.",""))</f>
        <v xml:space="preserve">  * La variable Pueblos originarios Hombres No puede ser mayor al Total Hombres.</v>
      </c>
      <c r="CF245" s="135" t="str">
        <f>IF(AND(F245&gt;0,OR(AU245="")), "* No olvide digitar la variable Pueblos originarios Mujeres. Digite Cero si no tiene.",IF(AU245&gt;F245,"  * La variable Pueblos originarios Mujeres No puede ser mayor al Total Mujeres.",""))</f>
        <v xml:space="preserve">  * La variable Pueblos originarios Mujeres No puede ser mayor al Total Mujeres.</v>
      </c>
      <c r="CG245" s="135" t="str">
        <f>IF(AND(D245&gt;0,AV245=""), "* No olvide digitar la variable Niños, niñas, adolescentes y jóvenes SENAME. Digite Cero si no tiene.",IF(AV245&gt;D245,"  * La variable Niños, niñas, adolescentes y jóvenes SENAME No puede ser mayor al Total.",""))</f>
        <v xml:space="preserve">  * La variable Niños, niñas, adolescentes y jóvenes SENAME No puede ser mayor al Total.</v>
      </c>
      <c r="CH245" s="135" t="str">
        <f>IF(AND(D245&gt;0,AW245=""), "* No olvide digitar la variable Niños, niñas, adolescentes y jóvenes Mejor Niñez. Digite Cero si no tiene.",IF(AW245&gt;D245,"  * La variable Niños, niñas, adolescentes y jóvenes Mejor Niñez No puede ser mayor al Total.",""))</f>
        <v xml:space="preserve">  * La variable Niños, niñas, adolescentes y jóvenes Mejor Niñez No puede ser mayor al Total.</v>
      </c>
      <c r="CI245" s="135" t="str">
        <f>IF(AND(D245&gt;0,AX245=""), "* No olvide digitar la variable Migrantes. Digite Cero si no tiene.",IF(AX245&gt;D245,"  * La variable Migrantes No puede ser mayor al Total.",""))</f>
        <v xml:space="preserve">  * La variable Migrantes No puede ser mayor al Total.</v>
      </c>
      <c r="CJ245" s="135" t="str">
        <f>IF(AND(D245&gt;0,AY245=""), "* No olvide digitar la variable Trans (Masculino/ Femenino). Digite Cero si no tiene.",IF(AY245&gt;D245,"  * La variable Trans (Masculino/Femenino) No puede ser mayor al Total Ambos Sexos.",""))</f>
        <v xml:space="preserve">  * La variable Trans (Masculino/Femenino) No puede ser mayor al Total Ambos Sexos.</v>
      </c>
      <c r="CM245"/>
      <c r="CP245"/>
      <c r="CQ245" s="180">
        <f>IF(AND(F245&gt;0,AR245=""),1,IF(AR245&gt;F245,1,0))</f>
        <v>1</v>
      </c>
      <c r="CR245" s="180">
        <f>IF(AND(F245&gt;0,AS245=""),1,IF(AS245&gt;F245,1,0))</f>
        <v>1</v>
      </c>
      <c r="CS245" s="180">
        <f>IF(AND(E245&gt;0,OR(AT245="")),1,IF(AT245&gt;E245,1,0))</f>
        <v>1</v>
      </c>
      <c r="CT245" s="180">
        <f>IF(AND(F245&gt;0,OR(AU245="")),1,IF(AU245&gt;F245,1,0))</f>
        <v>1</v>
      </c>
      <c r="CU245" s="180">
        <f>IF(AND(D245&gt;0,AV245=""),1,IF(AV245&gt;D245,1,0))</f>
        <v>1</v>
      </c>
      <c r="CV245" s="180">
        <f>IF(AND(D245&gt;0,AW245=""),1,IF(AW245&gt;D245,1,0))</f>
        <v>1</v>
      </c>
      <c r="CW245" s="180">
        <f>IF(AND(D245&gt;0,AX245=""),1,IF(AX245&gt;D245,1,0))</f>
        <v>1</v>
      </c>
      <c r="CX245" s="180">
        <f>IF(AND(D245&gt;0,AY245=""),1,IF(AY245&gt;D245,1,0))</f>
        <v>1</v>
      </c>
    </row>
    <row r="246" spans="1:104" s="6" customFormat="1" ht="18" customHeight="1" x14ac:dyDescent="0.2">
      <c r="A246" s="5604"/>
      <c r="B246" s="6611" t="s">
        <v>849</v>
      </c>
      <c r="C246" s="6612"/>
      <c r="D246" s="678"/>
      <c r="E246" s="679"/>
      <c r="F246" s="679"/>
      <c r="G246" s="680"/>
      <c r="H246" s="680"/>
      <c r="I246" s="680"/>
      <c r="J246" s="680"/>
      <c r="K246" s="680"/>
      <c r="L246" s="680"/>
      <c r="M246" s="680"/>
      <c r="N246" s="680"/>
      <c r="O246" s="680"/>
      <c r="P246" s="680"/>
      <c r="Q246" s="680"/>
      <c r="R246" s="680"/>
      <c r="S246" s="680"/>
      <c r="T246" s="680"/>
      <c r="U246" s="680"/>
      <c r="V246" s="680"/>
      <c r="W246" s="680"/>
      <c r="X246" s="680"/>
      <c r="Y246" s="680"/>
      <c r="Z246" s="680"/>
      <c r="AA246" s="680"/>
      <c r="AB246" s="680"/>
      <c r="AC246" s="680"/>
      <c r="AD246" s="680"/>
      <c r="AE246" s="680"/>
      <c r="AF246" s="680"/>
      <c r="AG246" s="680"/>
      <c r="AH246" s="680"/>
      <c r="AI246" s="680"/>
      <c r="AJ246" s="680"/>
      <c r="AK246" s="680"/>
      <c r="AL246" s="680"/>
      <c r="AM246" s="680"/>
      <c r="AN246" s="681"/>
      <c r="AO246" s="681"/>
      <c r="AP246" s="681"/>
      <c r="AQ246" s="682"/>
      <c r="AR246" s="681"/>
      <c r="AS246" s="681"/>
      <c r="AT246" s="681"/>
      <c r="AU246" s="681"/>
      <c r="AV246" s="681"/>
      <c r="AW246" s="681"/>
      <c r="AX246" s="681"/>
      <c r="AY246" s="683"/>
    </row>
    <row r="247" spans="1:104" s="6" customFormat="1" ht="15" customHeight="1" x14ac:dyDescent="0.25">
      <c r="A247" s="5637" t="s">
        <v>5100</v>
      </c>
      <c r="B247" s="6453" t="s">
        <v>850</v>
      </c>
      <c r="C247" s="640" t="s">
        <v>851</v>
      </c>
      <c r="D247" s="5759" t="s">
        <v>4567</v>
      </c>
      <c r="E247" s="5760" t="s">
        <v>4568</v>
      </c>
      <c r="F247" s="5761" t="s">
        <v>4569</v>
      </c>
      <c r="G247" s="5683" t="s">
        <v>4570</v>
      </c>
      <c r="H247" s="5693" t="s">
        <v>4571</v>
      </c>
      <c r="I247" s="5683" t="s">
        <v>4572</v>
      </c>
      <c r="J247" s="5693" t="s">
        <v>4573</v>
      </c>
      <c r="K247" s="5683" t="s">
        <v>4574</v>
      </c>
      <c r="L247" s="5693" t="s">
        <v>4575</v>
      </c>
      <c r="M247" s="5683" t="s">
        <v>4576</v>
      </c>
      <c r="N247" s="5693" t="s">
        <v>4577</v>
      </c>
      <c r="O247" s="5683" t="s">
        <v>4578</v>
      </c>
      <c r="P247" s="5693" t="s">
        <v>4579</v>
      </c>
      <c r="Q247" s="5683" t="s">
        <v>4580</v>
      </c>
      <c r="R247" s="5693" t="s">
        <v>4581</v>
      </c>
      <c r="S247" s="5683" t="s">
        <v>4582</v>
      </c>
      <c r="T247" s="5693" t="s">
        <v>4583</v>
      </c>
      <c r="U247" s="5683" t="s">
        <v>4584</v>
      </c>
      <c r="V247" s="5693" t="s">
        <v>4585</v>
      </c>
      <c r="W247" s="5683" t="s">
        <v>4586</v>
      </c>
      <c r="X247" s="5693" t="s">
        <v>4587</v>
      </c>
      <c r="Y247" s="5683" t="s">
        <v>4588</v>
      </c>
      <c r="Z247" s="5693" t="s">
        <v>4589</v>
      </c>
      <c r="AA247" s="5683" t="s">
        <v>4590</v>
      </c>
      <c r="AB247" s="5693" t="s">
        <v>4591</v>
      </c>
      <c r="AC247" s="5683" t="s">
        <v>4592</v>
      </c>
      <c r="AD247" s="5693" t="s">
        <v>4593</v>
      </c>
      <c r="AE247" s="1737" t="s">
        <v>4594</v>
      </c>
      <c r="AF247" s="5693" t="s">
        <v>4595</v>
      </c>
      <c r="AG247" s="1737" t="s">
        <v>4596</v>
      </c>
      <c r="AH247" s="5693" t="s">
        <v>4597</v>
      </c>
      <c r="AI247" s="1737" t="s">
        <v>4598</v>
      </c>
      <c r="AJ247" s="5693" t="s">
        <v>4599</v>
      </c>
      <c r="AK247" s="1737" t="s">
        <v>4600</v>
      </c>
      <c r="AL247" s="5693" t="s">
        <v>4601</v>
      </c>
      <c r="AM247" s="1737" t="s">
        <v>4602</v>
      </c>
      <c r="AN247" s="66" t="s">
        <v>4603</v>
      </c>
      <c r="AO247" s="5698" t="s">
        <v>4604</v>
      </c>
      <c r="AP247" s="5693" t="s">
        <v>4605</v>
      </c>
      <c r="AQ247" s="1737" t="s">
        <v>4606</v>
      </c>
      <c r="AR247" s="5693" t="s">
        <v>4934</v>
      </c>
      <c r="AS247" s="5683" t="s">
        <v>4935</v>
      </c>
      <c r="AT247" s="5686" t="s">
        <v>4936</v>
      </c>
      <c r="AU247" s="5762" t="s">
        <v>4937</v>
      </c>
      <c r="AV247" s="5763" t="s">
        <v>5234</v>
      </c>
      <c r="AW247" s="5762" t="s">
        <v>5235</v>
      </c>
      <c r="AX247" s="5763" t="s">
        <v>5236</v>
      </c>
      <c r="AY247" s="5764" t="s">
        <v>5237</v>
      </c>
      <c r="AZ247" s="6" t="str">
        <f>CB247&amp;CC247&amp;CD247&amp;CE247&amp;CF247&amp;CG247&amp;CH247&amp;CI247&amp;CJ247</f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47" s="19"/>
      <c r="CC247" s="135" t="str">
        <f t="shared" ref="CC247:CC259" si="173">IF(AND(F247&gt;0,AR247=""), "* No olvide digitar la variable Gestantes. Digite Cero si no tiene.",IF(AR247&gt;F247,"  * La variable Gestantes No puede ser mayor al Total Mujeres.",""))</f>
        <v xml:space="preserve">  * La variable Gestantes No puede ser mayor al Total Mujeres.</v>
      </c>
      <c r="CD247" s="135" t="str">
        <f t="shared" ref="CD247:CD293" si="174">IF(AND(F247&gt;0,AS247=""), "* No olvide digitar la variable Madre de hijo menor de 5 años. Digite Cero si no tiene.",IF(AS247&gt;F247,"  * La variable Madre de hijo menor de 5 años No puede ser mayor al Total Mujeres.",""))</f>
        <v xml:space="preserve">  * La variable Madre de hijo menor de 5 años No puede ser mayor al Total Mujeres.</v>
      </c>
      <c r="CE247" s="135" t="str">
        <f t="shared" ref="CE247:CE259" si="175">IF(AND(E247&gt;0,OR(AT247="")), "* No olvide digitar la variable Pueblos originarios Hombres. Digite Cero si no tiene.",IF(AT247&gt;E247,"  * La variable Pueblos originarios Hombres No puede ser mayor al Total Hombres.",""))</f>
        <v xml:space="preserve">  * La variable Pueblos originarios Hombres No puede ser mayor al Total Hombres.</v>
      </c>
      <c r="CF247" s="135" t="str">
        <f t="shared" ref="CF247:CF259" si="176">IF(AND(F247&gt;0,OR(AU247="")), "* No olvide digitar la variable Pueblos originarios Mujeres. Digite Cero si no tiene.",IF(AU247&gt;F247,"  * La variable Pueblos originarios Mujeres No puede ser mayor al Total Mujeres.",""))</f>
        <v xml:space="preserve">  * La variable Pueblos originarios Mujeres No puede ser mayor al Total Mujeres.</v>
      </c>
      <c r="CG247" s="135" t="str">
        <f t="shared" ref="CG247:CG259" si="177">IF(AND(D247&gt;0,AV247=""), "* No olvide digitar la variable Niños, niñas, adolescentes y jóvenes SENAME. Digite Cero si no tiene.",IF(AV247&gt;D247,"  * La variable Niños, niñas, adolescentes y jóvenes SENAME No puede ser mayor al Total.",""))</f>
        <v xml:space="preserve">  * La variable Niños, niñas, adolescentes y jóvenes SENAME No puede ser mayor al Total.</v>
      </c>
      <c r="CH247" s="135" t="str">
        <f t="shared" ref="CH247:CH259" si="178">IF(AND(D247&gt;0,AW247=""), "* No olvide digitar la variable Niños, niñas, adolescentes y jóvenes Mejor Niñez. Digite Cero si no tiene.",IF(AW247&gt;D247,"  * La variable Niños, niñas, adolescentes y jóvenes Mejor Niñez No puede ser mayor al Total.",""))</f>
        <v xml:space="preserve">  * La variable Niños, niñas, adolescentes y jóvenes Mejor Niñez No puede ser mayor al Total.</v>
      </c>
      <c r="CI247" s="135" t="str">
        <f t="shared" ref="CI247:CI259" si="179">IF(AND(D247&gt;0,AX247=""), "* No olvide digitar la variable Migrantes. Digite Cero si no tiene.",IF(AX247&gt;D247,"  * La variable Migrantes No puede ser mayor al Total.",""))</f>
        <v xml:space="preserve">  * La variable Migrantes No puede ser mayor al Total.</v>
      </c>
      <c r="CJ247" s="135" t="str">
        <f t="shared" ref="CJ247:CJ259" si="180">IF(AND(D247&gt;0,AY247=""), "* No olvide digitar la variable Trans (Masculino/ Femenino). Digite Cero si no tiene.",IF(AY247&gt;D247,"  * La variable Trans (Masculino/Femenino) No puede ser mayor al Total Ambos Sexos.",""))</f>
        <v xml:space="preserve">  * La variable Trans (Masculino/Femenino) No puede ser mayor al Total Ambos Sexos.</v>
      </c>
      <c r="CM247"/>
      <c r="CP247"/>
      <c r="CQ247" s="180">
        <f t="shared" ref="CQ247:CQ259" si="181">IF(AND(F247&gt;0,AR247=""),1,IF(AR247&gt;F247,1,0))</f>
        <v>1</v>
      </c>
      <c r="CR247" s="180">
        <f t="shared" ref="CR247:CR259" si="182">IF(AND(F247&gt;0,AS247=""),1,IF(AS247&gt;F247,1,0))</f>
        <v>1</v>
      </c>
      <c r="CS247" s="180">
        <f t="shared" ref="CS247:CS259" si="183">IF(AND(E247&gt;0,OR(AT247="")),1,IF(AT247&gt;E247,1,0))</f>
        <v>1</v>
      </c>
      <c r="CT247" s="180">
        <f t="shared" ref="CT247:CT259" si="184">IF(AND(F247&gt;0,OR(AU247="")),1,IF(AU247&gt;F247,1,0))</f>
        <v>1</v>
      </c>
      <c r="CU247" s="180">
        <f t="shared" ref="CU247:CU259" si="185">IF(AND(D247&gt;0,AV247=""),1,IF(AV247&gt;D247,1,0))</f>
        <v>1</v>
      </c>
      <c r="CV247" s="180">
        <f t="shared" ref="CV247:CV259" si="186">IF(AND(D247&gt;0,AW247=""),1,IF(AW247&gt;D247,1,0))</f>
        <v>1</v>
      </c>
      <c r="CW247" s="180">
        <f t="shared" ref="CW247:CW259" si="187">IF(AND(D247&gt;0,AX247=""),1,IF(AX247&gt;D247,1,0))</f>
        <v>1</v>
      </c>
      <c r="CX247" s="180">
        <f t="shared" ref="CX247:CX259" si="188">IF(AND(D247&gt;0,AY247=""),1,IF(AY247&gt;D247,1,0))</f>
        <v>1</v>
      </c>
    </row>
    <row r="248" spans="1:104" s="6" customFormat="1" ht="15" customHeight="1" x14ac:dyDescent="0.25">
      <c r="A248" s="5637" t="s">
        <v>5101</v>
      </c>
      <c r="B248" s="6059"/>
      <c r="C248" s="386" t="s">
        <v>852</v>
      </c>
      <c r="D248" s="5759" t="s">
        <v>4567</v>
      </c>
      <c r="E248" s="5760" t="s">
        <v>4568</v>
      </c>
      <c r="F248" s="5761" t="s">
        <v>4569</v>
      </c>
      <c r="G248" s="5683" t="s">
        <v>4570</v>
      </c>
      <c r="H248" s="5693" t="s">
        <v>4571</v>
      </c>
      <c r="I248" s="5683" t="s">
        <v>4572</v>
      </c>
      <c r="J248" s="5693" t="s">
        <v>4573</v>
      </c>
      <c r="K248" s="5683" t="s">
        <v>4574</v>
      </c>
      <c r="L248" s="5693" t="s">
        <v>4575</v>
      </c>
      <c r="M248" s="5683" t="s">
        <v>4576</v>
      </c>
      <c r="N248" s="5693" t="s">
        <v>4577</v>
      </c>
      <c r="O248" s="5683" t="s">
        <v>4578</v>
      </c>
      <c r="P248" s="5693" t="s">
        <v>4579</v>
      </c>
      <c r="Q248" s="5683" t="s">
        <v>4580</v>
      </c>
      <c r="R248" s="5693" t="s">
        <v>4581</v>
      </c>
      <c r="S248" s="5683" t="s">
        <v>4582</v>
      </c>
      <c r="T248" s="5693" t="s">
        <v>4583</v>
      </c>
      <c r="U248" s="5683" t="s">
        <v>4584</v>
      </c>
      <c r="V248" s="5693" t="s">
        <v>4585</v>
      </c>
      <c r="W248" s="5683" t="s">
        <v>4586</v>
      </c>
      <c r="X248" s="5693" t="s">
        <v>4587</v>
      </c>
      <c r="Y248" s="5683" t="s">
        <v>4588</v>
      </c>
      <c r="Z248" s="5693" t="s">
        <v>4589</v>
      </c>
      <c r="AA248" s="5683" t="s">
        <v>4590</v>
      </c>
      <c r="AB248" s="5693" t="s">
        <v>4591</v>
      </c>
      <c r="AC248" s="5683" t="s">
        <v>4592</v>
      </c>
      <c r="AD248" s="5693" t="s">
        <v>4593</v>
      </c>
      <c r="AE248" s="1737" t="s">
        <v>4594</v>
      </c>
      <c r="AF248" s="5693" t="s">
        <v>4595</v>
      </c>
      <c r="AG248" s="1737" t="s">
        <v>4596</v>
      </c>
      <c r="AH248" s="5693" t="s">
        <v>4597</v>
      </c>
      <c r="AI248" s="1737" t="s">
        <v>4598</v>
      </c>
      <c r="AJ248" s="5693" t="s">
        <v>4599</v>
      </c>
      <c r="AK248" s="1737" t="s">
        <v>4600</v>
      </c>
      <c r="AL248" s="5693" t="s">
        <v>4601</v>
      </c>
      <c r="AM248" s="1737" t="s">
        <v>4602</v>
      </c>
      <c r="AN248" s="66" t="s">
        <v>4603</v>
      </c>
      <c r="AO248" s="5698" t="s">
        <v>4604</v>
      </c>
      <c r="AP248" s="5693" t="s">
        <v>4605</v>
      </c>
      <c r="AQ248" s="1737" t="s">
        <v>4606</v>
      </c>
      <c r="AR248" s="5693" t="s">
        <v>4934</v>
      </c>
      <c r="AS248" s="5683" t="s">
        <v>4935</v>
      </c>
      <c r="AT248" s="5686" t="s">
        <v>4936</v>
      </c>
      <c r="AU248" s="5762" t="s">
        <v>4937</v>
      </c>
      <c r="AV248" s="5763" t="s">
        <v>5234</v>
      </c>
      <c r="AW248" s="5762" t="s">
        <v>5235</v>
      </c>
      <c r="AX248" s="5763" t="s">
        <v>5236</v>
      </c>
      <c r="AY248" s="5764" t="s">
        <v>5237</v>
      </c>
      <c r="AZ248" s="6" t="str">
        <f t="shared" ref="AZ248:AZ293" si="189">CB248&amp;CC248&amp;CD248&amp;CE248&amp;CF248&amp;CG248&amp;CH248&amp;CI248&amp;CJ248</f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48" s="19"/>
      <c r="CC248" s="135" t="str">
        <f t="shared" si="173"/>
        <v xml:space="preserve">  * La variable Gestantes No puede ser mayor al Total Mujeres.</v>
      </c>
      <c r="CD248" s="135" t="str">
        <f t="shared" si="174"/>
        <v xml:space="preserve">  * La variable Madre de hijo menor de 5 años No puede ser mayor al Total Mujeres.</v>
      </c>
      <c r="CE248" s="135" t="str">
        <f t="shared" si="175"/>
        <v xml:space="preserve">  * La variable Pueblos originarios Hombres No puede ser mayor al Total Hombres.</v>
      </c>
      <c r="CF248" s="135" t="str">
        <f t="shared" si="176"/>
        <v xml:space="preserve">  * La variable Pueblos originarios Mujeres No puede ser mayor al Total Mujeres.</v>
      </c>
      <c r="CG248" s="135" t="str">
        <f t="shared" si="177"/>
        <v xml:space="preserve">  * La variable Niños, niñas, adolescentes y jóvenes SENAME No puede ser mayor al Total.</v>
      </c>
      <c r="CH248" s="135" t="str">
        <f t="shared" si="178"/>
        <v xml:space="preserve">  * La variable Niños, niñas, adolescentes y jóvenes Mejor Niñez No puede ser mayor al Total.</v>
      </c>
      <c r="CI248" s="135" t="str">
        <f t="shared" si="179"/>
        <v xml:space="preserve">  * La variable Migrantes No puede ser mayor al Total.</v>
      </c>
      <c r="CJ248" s="135" t="str">
        <f t="shared" si="180"/>
        <v xml:space="preserve">  * La variable Trans (Masculino/Femenino) No puede ser mayor al Total Ambos Sexos.</v>
      </c>
      <c r="CM248"/>
      <c r="CP248"/>
      <c r="CQ248" s="180">
        <f t="shared" si="181"/>
        <v>1</v>
      </c>
      <c r="CR248" s="180">
        <f t="shared" si="182"/>
        <v>1</v>
      </c>
      <c r="CS248" s="180">
        <f t="shared" si="183"/>
        <v>1</v>
      </c>
      <c r="CT248" s="180">
        <f t="shared" si="184"/>
        <v>1</v>
      </c>
      <c r="CU248" s="180">
        <f t="shared" si="185"/>
        <v>1</v>
      </c>
      <c r="CV248" s="180">
        <f t="shared" si="186"/>
        <v>1</v>
      </c>
      <c r="CW248" s="180">
        <f t="shared" si="187"/>
        <v>1</v>
      </c>
      <c r="CX248" s="180">
        <f t="shared" si="188"/>
        <v>1</v>
      </c>
    </row>
    <row r="249" spans="1:104" s="6" customFormat="1" ht="15" customHeight="1" x14ac:dyDescent="0.25">
      <c r="A249" s="5637" t="s">
        <v>5102</v>
      </c>
      <c r="B249" s="6453" t="s">
        <v>853</v>
      </c>
      <c r="C249" s="640" t="s">
        <v>851</v>
      </c>
      <c r="D249" s="5759" t="s">
        <v>4567</v>
      </c>
      <c r="E249" s="5760" t="s">
        <v>4568</v>
      </c>
      <c r="F249" s="5761" t="s">
        <v>4569</v>
      </c>
      <c r="G249" s="5683" t="s">
        <v>4570</v>
      </c>
      <c r="H249" s="5693" t="s">
        <v>4571</v>
      </c>
      <c r="I249" s="5683" t="s">
        <v>4572</v>
      </c>
      <c r="J249" s="5693" t="s">
        <v>4573</v>
      </c>
      <c r="K249" s="5683" t="s">
        <v>4574</v>
      </c>
      <c r="L249" s="5693" t="s">
        <v>4575</v>
      </c>
      <c r="M249" s="5683" t="s">
        <v>4576</v>
      </c>
      <c r="N249" s="5693" t="s">
        <v>4577</v>
      </c>
      <c r="O249" s="5683" t="s">
        <v>4578</v>
      </c>
      <c r="P249" s="5693" t="s">
        <v>4579</v>
      </c>
      <c r="Q249" s="5683" t="s">
        <v>4580</v>
      </c>
      <c r="R249" s="5693" t="s">
        <v>4581</v>
      </c>
      <c r="S249" s="5683" t="s">
        <v>4582</v>
      </c>
      <c r="T249" s="5693" t="s">
        <v>4583</v>
      </c>
      <c r="U249" s="5683" t="s">
        <v>4584</v>
      </c>
      <c r="V249" s="5693" t="s">
        <v>4585</v>
      </c>
      <c r="W249" s="5683" t="s">
        <v>4586</v>
      </c>
      <c r="X249" s="5693" t="s">
        <v>4587</v>
      </c>
      <c r="Y249" s="5683" t="s">
        <v>4588</v>
      </c>
      <c r="Z249" s="5693" t="s">
        <v>4589</v>
      </c>
      <c r="AA249" s="5683" t="s">
        <v>4590</v>
      </c>
      <c r="AB249" s="5693" t="s">
        <v>4591</v>
      </c>
      <c r="AC249" s="5683" t="s">
        <v>4592</v>
      </c>
      <c r="AD249" s="5693" t="s">
        <v>4593</v>
      </c>
      <c r="AE249" s="1737" t="s">
        <v>4594</v>
      </c>
      <c r="AF249" s="5693" t="s">
        <v>4595</v>
      </c>
      <c r="AG249" s="1737" t="s">
        <v>4596</v>
      </c>
      <c r="AH249" s="5693" t="s">
        <v>4597</v>
      </c>
      <c r="AI249" s="1737" t="s">
        <v>4598</v>
      </c>
      <c r="AJ249" s="5693" t="s">
        <v>4599</v>
      </c>
      <c r="AK249" s="1737" t="s">
        <v>4600</v>
      </c>
      <c r="AL249" s="5693" t="s">
        <v>4601</v>
      </c>
      <c r="AM249" s="1737" t="s">
        <v>4602</v>
      </c>
      <c r="AN249" s="66" t="s">
        <v>4603</v>
      </c>
      <c r="AO249" s="5698" t="s">
        <v>4604</v>
      </c>
      <c r="AP249" s="5693" t="s">
        <v>4605</v>
      </c>
      <c r="AQ249" s="1737" t="s">
        <v>4606</v>
      </c>
      <c r="AR249" s="5693" t="s">
        <v>4934</v>
      </c>
      <c r="AS249" s="5683" t="s">
        <v>4935</v>
      </c>
      <c r="AT249" s="5686" t="s">
        <v>4936</v>
      </c>
      <c r="AU249" s="5762" t="s">
        <v>4937</v>
      </c>
      <c r="AV249" s="5763" t="s">
        <v>5234</v>
      </c>
      <c r="AW249" s="5762" t="s">
        <v>5235</v>
      </c>
      <c r="AX249" s="5763" t="s">
        <v>5236</v>
      </c>
      <c r="AY249" s="5764" t="s">
        <v>5237</v>
      </c>
      <c r="AZ249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49" s="19"/>
      <c r="CC249" s="135" t="str">
        <f t="shared" si="173"/>
        <v xml:space="preserve">  * La variable Gestantes No puede ser mayor al Total Mujeres.</v>
      </c>
      <c r="CD249" s="135" t="str">
        <f t="shared" si="174"/>
        <v xml:space="preserve">  * La variable Madre de hijo menor de 5 años No puede ser mayor al Total Mujeres.</v>
      </c>
      <c r="CE249" s="135" t="str">
        <f t="shared" si="175"/>
        <v xml:space="preserve">  * La variable Pueblos originarios Hombres No puede ser mayor al Total Hombres.</v>
      </c>
      <c r="CF249" s="135" t="str">
        <f t="shared" si="176"/>
        <v xml:space="preserve">  * La variable Pueblos originarios Mujeres No puede ser mayor al Total Mujeres.</v>
      </c>
      <c r="CG249" s="135" t="str">
        <f t="shared" si="177"/>
        <v xml:space="preserve">  * La variable Niños, niñas, adolescentes y jóvenes SENAME No puede ser mayor al Total.</v>
      </c>
      <c r="CH249" s="135" t="str">
        <f t="shared" si="178"/>
        <v xml:space="preserve">  * La variable Niños, niñas, adolescentes y jóvenes Mejor Niñez No puede ser mayor al Total.</v>
      </c>
      <c r="CI249" s="135" t="str">
        <f t="shared" si="179"/>
        <v xml:space="preserve">  * La variable Migrantes No puede ser mayor al Total.</v>
      </c>
      <c r="CJ249" s="135" t="str">
        <f t="shared" si="180"/>
        <v xml:space="preserve">  * La variable Trans (Masculino/Femenino) No puede ser mayor al Total Ambos Sexos.</v>
      </c>
      <c r="CM249"/>
      <c r="CP249"/>
      <c r="CQ249" s="180">
        <f t="shared" si="181"/>
        <v>1</v>
      </c>
      <c r="CR249" s="180">
        <f t="shared" si="182"/>
        <v>1</v>
      </c>
      <c r="CS249" s="180">
        <f t="shared" si="183"/>
        <v>1</v>
      </c>
      <c r="CT249" s="180">
        <f t="shared" si="184"/>
        <v>1</v>
      </c>
      <c r="CU249" s="180">
        <f t="shared" si="185"/>
        <v>1</v>
      </c>
      <c r="CV249" s="180">
        <f t="shared" si="186"/>
        <v>1</v>
      </c>
      <c r="CW249" s="180">
        <f t="shared" si="187"/>
        <v>1</v>
      </c>
      <c r="CX249" s="180">
        <f t="shared" si="188"/>
        <v>1</v>
      </c>
    </row>
    <row r="250" spans="1:104" s="6" customFormat="1" ht="15" customHeight="1" x14ac:dyDescent="0.25">
      <c r="A250" s="5637" t="s">
        <v>5103</v>
      </c>
      <c r="B250" s="6059"/>
      <c r="C250" s="386" t="s">
        <v>852</v>
      </c>
      <c r="D250" s="5759" t="s">
        <v>4567</v>
      </c>
      <c r="E250" s="5760" t="s">
        <v>4568</v>
      </c>
      <c r="F250" s="5761" t="s">
        <v>4569</v>
      </c>
      <c r="G250" s="5683" t="s">
        <v>4570</v>
      </c>
      <c r="H250" s="5693" t="s">
        <v>4571</v>
      </c>
      <c r="I250" s="5683" t="s">
        <v>4572</v>
      </c>
      <c r="J250" s="5693" t="s">
        <v>4573</v>
      </c>
      <c r="K250" s="5683" t="s">
        <v>4574</v>
      </c>
      <c r="L250" s="5693" t="s">
        <v>4575</v>
      </c>
      <c r="M250" s="5683" t="s">
        <v>4576</v>
      </c>
      <c r="N250" s="5693" t="s">
        <v>4577</v>
      </c>
      <c r="O250" s="5683" t="s">
        <v>4578</v>
      </c>
      <c r="P250" s="5693" t="s">
        <v>4579</v>
      </c>
      <c r="Q250" s="5683" t="s">
        <v>4580</v>
      </c>
      <c r="R250" s="5693" t="s">
        <v>4581</v>
      </c>
      <c r="S250" s="5683" t="s">
        <v>4582</v>
      </c>
      <c r="T250" s="5693" t="s">
        <v>4583</v>
      </c>
      <c r="U250" s="5683" t="s">
        <v>4584</v>
      </c>
      <c r="V250" s="5693" t="s">
        <v>4585</v>
      </c>
      <c r="W250" s="5683" t="s">
        <v>4586</v>
      </c>
      <c r="X250" s="5693" t="s">
        <v>4587</v>
      </c>
      <c r="Y250" s="5683" t="s">
        <v>4588</v>
      </c>
      <c r="Z250" s="5693" t="s">
        <v>4589</v>
      </c>
      <c r="AA250" s="5683" t="s">
        <v>4590</v>
      </c>
      <c r="AB250" s="5693" t="s">
        <v>4591</v>
      </c>
      <c r="AC250" s="5683" t="s">
        <v>4592</v>
      </c>
      <c r="AD250" s="5693" t="s">
        <v>4593</v>
      </c>
      <c r="AE250" s="1737" t="s">
        <v>4594</v>
      </c>
      <c r="AF250" s="5693" t="s">
        <v>4595</v>
      </c>
      <c r="AG250" s="1737" t="s">
        <v>4596</v>
      </c>
      <c r="AH250" s="5693" t="s">
        <v>4597</v>
      </c>
      <c r="AI250" s="1737" t="s">
        <v>4598</v>
      </c>
      <c r="AJ250" s="5693" t="s">
        <v>4599</v>
      </c>
      <c r="AK250" s="1737" t="s">
        <v>4600</v>
      </c>
      <c r="AL250" s="5693" t="s">
        <v>4601</v>
      </c>
      <c r="AM250" s="1737" t="s">
        <v>4602</v>
      </c>
      <c r="AN250" s="66" t="s">
        <v>4603</v>
      </c>
      <c r="AO250" s="5698" t="s">
        <v>4604</v>
      </c>
      <c r="AP250" s="5693" t="s">
        <v>4605</v>
      </c>
      <c r="AQ250" s="1737" t="s">
        <v>4606</v>
      </c>
      <c r="AR250" s="5693" t="s">
        <v>4934</v>
      </c>
      <c r="AS250" s="5683" t="s">
        <v>4935</v>
      </c>
      <c r="AT250" s="5686" t="s">
        <v>4936</v>
      </c>
      <c r="AU250" s="5762" t="s">
        <v>4937</v>
      </c>
      <c r="AV250" s="5763" t="s">
        <v>5234</v>
      </c>
      <c r="AW250" s="5762" t="s">
        <v>5235</v>
      </c>
      <c r="AX250" s="5763" t="s">
        <v>5236</v>
      </c>
      <c r="AY250" s="5764" t="s">
        <v>5237</v>
      </c>
      <c r="AZ250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50" s="19"/>
      <c r="CC250" s="135" t="str">
        <f t="shared" si="173"/>
        <v xml:space="preserve">  * La variable Gestantes No puede ser mayor al Total Mujeres.</v>
      </c>
      <c r="CD250" s="135" t="str">
        <f t="shared" si="174"/>
        <v xml:space="preserve">  * La variable Madre de hijo menor de 5 años No puede ser mayor al Total Mujeres.</v>
      </c>
      <c r="CE250" s="135" t="str">
        <f t="shared" si="175"/>
        <v xml:space="preserve">  * La variable Pueblos originarios Hombres No puede ser mayor al Total Hombres.</v>
      </c>
      <c r="CF250" s="135" t="str">
        <f t="shared" si="176"/>
        <v xml:space="preserve">  * La variable Pueblos originarios Mujeres No puede ser mayor al Total Mujeres.</v>
      </c>
      <c r="CG250" s="135" t="str">
        <f t="shared" si="177"/>
        <v xml:space="preserve">  * La variable Niños, niñas, adolescentes y jóvenes SENAME No puede ser mayor al Total.</v>
      </c>
      <c r="CH250" s="135" t="str">
        <f t="shared" si="178"/>
        <v xml:space="preserve">  * La variable Niños, niñas, adolescentes y jóvenes Mejor Niñez No puede ser mayor al Total.</v>
      </c>
      <c r="CI250" s="135" t="str">
        <f t="shared" si="179"/>
        <v xml:space="preserve">  * La variable Migrantes No puede ser mayor al Total.</v>
      </c>
      <c r="CJ250" s="135" t="str">
        <f t="shared" si="180"/>
        <v xml:space="preserve">  * La variable Trans (Masculino/Femenino) No puede ser mayor al Total Ambos Sexos.</v>
      </c>
      <c r="CM250"/>
      <c r="CP250"/>
      <c r="CQ250" s="180">
        <f t="shared" si="181"/>
        <v>1</v>
      </c>
      <c r="CR250" s="180">
        <f t="shared" si="182"/>
        <v>1</v>
      </c>
      <c r="CS250" s="180">
        <f t="shared" si="183"/>
        <v>1</v>
      </c>
      <c r="CT250" s="180">
        <f t="shared" si="184"/>
        <v>1</v>
      </c>
      <c r="CU250" s="180">
        <f t="shared" si="185"/>
        <v>1</v>
      </c>
      <c r="CV250" s="180">
        <f t="shared" si="186"/>
        <v>1</v>
      </c>
      <c r="CW250" s="180">
        <f t="shared" si="187"/>
        <v>1</v>
      </c>
      <c r="CX250" s="180">
        <f t="shared" si="188"/>
        <v>1</v>
      </c>
    </row>
    <row r="251" spans="1:104" ht="15" customHeight="1" x14ac:dyDescent="0.25">
      <c r="A251" s="5637" t="s">
        <v>5104</v>
      </c>
      <c r="B251" s="6453" t="s">
        <v>854</v>
      </c>
      <c r="C251" s="640" t="s">
        <v>851</v>
      </c>
      <c r="D251" s="5759" t="s">
        <v>4567</v>
      </c>
      <c r="E251" s="5760" t="s">
        <v>4568</v>
      </c>
      <c r="F251" s="5761" t="s">
        <v>4569</v>
      </c>
      <c r="G251" s="5683" t="s">
        <v>4570</v>
      </c>
      <c r="H251" s="5693" t="s">
        <v>4571</v>
      </c>
      <c r="I251" s="5683" t="s">
        <v>4572</v>
      </c>
      <c r="J251" s="5693" t="s">
        <v>4573</v>
      </c>
      <c r="K251" s="5683" t="s">
        <v>4574</v>
      </c>
      <c r="L251" s="5693" t="s">
        <v>4575</v>
      </c>
      <c r="M251" s="5683" t="s">
        <v>4576</v>
      </c>
      <c r="N251" s="5693" t="s">
        <v>4577</v>
      </c>
      <c r="O251" s="5683" t="s">
        <v>4578</v>
      </c>
      <c r="P251" s="5693" t="s">
        <v>4579</v>
      </c>
      <c r="Q251" s="5683" t="s">
        <v>4580</v>
      </c>
      <c r="R251" s="5693" t="s">
        <v>4581</v>
      </c>
      <c r="S251" s="5683" t="s">
        <v>4582</v>
      </c>
      <c r="T251" s="5693" t="s">
        <v>4583</v>
      </c>
      <c r="U251" s="5683" t="s">
        <v>4584</v>
      </c>
      <c r="V251" s="5693" t="s">
        <v>4585</v>
      </c>
      <c r="W251" s="5683" t="s">
        <v>4586</v>
      </c>
      <c r="X251" s="5693" t="s">
        <v>4587</v>
      </c>
      <c r="Y251" s="5683" t="s">
        <v>4588</v>
      </c>
      <c r="Z251" s="5693" t="s">
        <v>4589</v>
      </c>
      <c r="AA251" s="5683" t="s">
        <v>4590</v>
      </c>
      <c r="AB251" s="5693" t="s">
        <v>4591</v>
      </c>
      <c r="AC251" s="5683" t="s">
        <v>4592</v>
      </c>
      <c r="AD251" s="5693" t="s">
        <v>4593</v>
      </c>
      <c r="AE251" s="1737" t="s">
        <v>4594</v>
      </c>
      <c r="AF251" s="5693" t="s">
        <v>4595</v>
      </c>
      <c r="AG251" s="1737" t="s">
        <v>4596</v>
      </c>
      <c r="AH251" s="5693" t="s">
        <v>4597</v>
      </c>
      <c r="AI251" s="1737" t="s">
        <v>4598</v>
      </c>
      <c r="AJ251" s="5693" t="s">
        <v>4599</v>
      </c>
      <c r="AK251" s="1737" t="s">
        <v>4600</v>
      </c>
      <c r="AL251" s="5693" t="s">
        <v>4601</v>
      </c>
      <c r="AM251" s="1737" t="s">
        <v>4602</v>
      </c>
      <c r="AN251" s="66" t="s">
        <v>4603</v>
      </c>
      <c r="AO251" s="5698" t="s">
        <v>4604</v>
      </c>
      <c r="AP251" s="5693" t="s">
        <v>4605</v>
      </c>
      <c r="AQ251" s="1737" t="s">
        <v>4606</v>
      </c>
      <c r="AR251" s="5693" t="s">
        <v>4934</v>
      </c>
      <c r="AS251" s="5683" t="s">
        <v>4935</v>
      </c>
      <c r="AT251" s="5686" t="s">
        <v>4936</v>
      </c>
      <c r="AU251" s="5762" t="s">
        <v>4937</v>
      </c>
      <c r="AV251" s="5763" t="s">
        <v>5234</v>
      </c>
      <c r="AW251" s="5762" t="s">
        <v>5235</v>
      </c>
      <c r="AX251" s="5763" t="s">
        <v>5236</v>
      </c>
      <c r="AY251" s="5764" t="s">
        <v>5237</v>
      </c>
      <c r="AZ251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CB251" s="19"/>
      <c r="CC251" s="135" t="str">
        <f t="shared" si="173"/>
        <v xml:space="preserve">  * La variable Gestantes No puede ser mayor al Total Mujeres.</v>
      </c>
      <c r="CD251" s="135" t="str">
        <f t="shared" si="174"/>
        <v xml:space="preserve">  * La variable Madre de hijo menor de 5 años No puede ser mayor al Total Mujeres.</v>
      </c>
      <c r="CE251" s="135" t="str">
        <f t="shared" si="175"/>
        <v xml:space="preserve">  * La variable Pueblos originarios Hombres No puede ser mayor al Total Hombres.</v>
      </c>
      <c r="CF251" s="135" t="str">
        <f t="shared" si="176"/>
        <v xml:space="preserve">  * La variable Pueblos originarios Mujeres No puede ser mayor al Total Mujeres.</v>
      </c>
      <c r="CG251" s="135" t="str">
        <f t="shared" si="177"/>
        <v xml:space="preserve">  * La variable Niños, niñas, adolescentes y jóvenes SENAME No puede ser mayor al Total.</v>
      </c>
      <c r="CH251" s="135" t="str">
        <f t="shared" si="178"/>
        <v xml:space="preserve">  * La variable Niños, niñas, adolescentes y jóvenes Mejor Niñez No puede ser mayor al Total.</v>
      </c>
      <c r="CI251" s="135" t="str">
        <f t="shared" si="179"/>
        <v xml:space="preserve">  * La variable Migrantes No puede ser mayor al Total.</v>
      </c>
      <c r="CJ251" s="135" t="str">
        <f t="shared" si="180"/>
        <v xml:space="preserve">  * La variable Trans (Masculino/Femenino) No puede ser mayor al Total Ambos Sexos.</v>
      </c>
      <c r="CK251" s="6"/>
      <c r="CL251" s="6"/>
      <c r="CN251" s="6"/>
      <c r="CO251" s="6"/>
      <c r="CQ251" s="180">
        <f t="shared" si="181"/>
        <v>1</v>
      </c>
      <c r="CR251" s="180">
        <f t="shared" si="182"/>
        <v>1</v>
      </c>
      <c r="CS251" s="180">
        <f t="shared" si="183"/>
        <v>1</v>
      </c>
      <c r="CT251" s="180">
        <f t="shared" si="184"/>
        <v>1</v>
      </c>
      <c r="CU251" s="180">
        <f t="shared" si="185"/>
        <v>1</v>
      </c>
      <c r="CV251" s="180">
        <f t="shared" si="186"/>
        <v>1</v>
      </c>
      <c r="CW251" s="180">
        <f t="shared" si="187"/>
        <v>1</v>
      </c>
      <c r="CX251" s="180">
        <f t="shared" si="188"/>
        <v>1</v>
      </c>
    </row>
    <row r="252" spans="1:104" ht="15" customHeight="1" x14ac:dyDescent="0.25">
      <c r="A252" s="5637" t="s">
        <v>5105</v>
      </c>
      <c r="B252" s="6059"/>
      <c r="C252" s="386" t="s">
        <v>852</v>
      </c>
      <c r="D252" s="5759" t="s">
        <v>4567</v>
      </c>
      <c r="E252" s="5760" t="s">
        <v>4568</v>
      </c>
      <c r="F252" s="5761" t="s">
        <v>4569</v>
      </c>
      <c r="G252" s="5683" t="s">
        <v>4570</v>
      </c>
      <c r="H252" s="5693" t="s">
        <v>4571</v>
      </c>
      <c r="I252" s="5683" t="s">
        <v>4572</v>
      </c>
      <c r="J252" s="5693" t="s">
        <v>4573</v>
      </c>
      <c r="K252" s="5683" t="s">
        <v>4574</v>
      </c>
      <c r="L252" s="5693" t="s">
        <v>4575</v>
      </c>
      <c r="M252" s="5683" t="s">
        <v>4576</v>
      </c>
      <c r="N252" s="5693" t="s">
        <v>4577</v>
      </c>
      <c r="O252" s="5683" t="s">
        <v>4578</v>
      </c>
      <c r="P252" s="5693" t="s">
        <v>4579</v>
      </c>
      <c r="Q252" s="5683" t="s">
        <v>4580</v>
      </c>
      <c r="R252" s="5693" t="s">
        <v>4581</v>
      </c>
      <c r="S252" s="5683" t="s">
        <v>4582</v>
      </c>
      <c r="T252" s="5693" t="s">
        <v>4583</v>
      </c>
      <c r="U252" s="5683" t="s">
        <v>4584</v>
      </c>
      <c r="V252" s="5693" t="s">
        <v>4585</v>
      </c>
      <c r="W252" s="5683" t="s">
        <v>4586</v>
      </c>
      <c r="X252" s="5693" t="s">
        <v>4587</v>
      </c>
      <c r="Y252" s="5683" t="s">
        <v>4588</v>
      </c>
      <c r="Z252" s="5693" t="s">
        <v>4589</v>
      </c>
      <c r="AA252" s="5683" t="s">
        <v>4590</v>
      </c>
      <c r="AB252" s="5693" t="s">
        <v>4591</v>
      </c>
      <c r="AC252" s="5683" t="s">
        <v>4592</v>
      </c>
      <c r="AD252" s="5693" t="s">
        <v>4593</v>
      </c>
      <c r="AE252" s="1737" t="s">
        <v>4594</v>
      </c>
      <c r="AF252" s="5693" t="s">
        <v>4595</v>
      </c>
      <c r="AG252" s="1737" t="s">
        <v>4596</v>
      </c>
      <c r="AH252" s="5693" t="s">
        <v>4597</v>
      </c>
      <c r="AI252" s="1737" t="s">
        <v>4598</v>
      </c>
      <c r="AJ252" s="5693" t="s">
        <v>4599</v>
      </c>
      <c r="AK252" s="1737" t="s">
        <v>4600</v>
      </c>
      <c r="AL252" s="5693" t="s">
        <v>4601</v>
      </c>
      <c r="AM252" s="1737" t="s">
        <v>4602</v>
      </c>
      <c r="AN252" s="66" t="s">
        <v>4603</v>
      </c>
      <c r="AO252" s="5698" t="s">
        <v>4604</v>
      </c>
      <c r="AP252" s="5693" t="s">
        <v>4605</v>
      </c>
      <c r="AQ252" s="1737" t="s">
        <v>4606</v>
      </c>
      <c r="AR252" s="5693" t="s">
        <v>4934</v>
      </c>
      <c r="AS252" s="5683" t="s">
        <v>4935</v>
      </c>
      <c r="AT252" s="5686" t="s">
        <v>4936</v>
      </c>
      <c r="AU252" s="5762" t="s">
        <v>4937</v>
      </c>
      <c r="AV252" s="5763" t="s">
        <v>5234</v>
      </c>
      <c r="AW252" s="5762" t="s">
        <v>5235</v>
      </c>
      <c r="AX252" s="5763" t="s">
        <v>5236</v>
      </c>
      <c r="AY252" s="5764" t="s">
        <v>5237</v>
      </c>
      <c r="AZ252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CB252" s="19"/>
      <c r="CC252" s="135" t="str">
        <f t="shared" si="173"/>
        <v xml:space="preserve">  * La variable Gestantes No puede ser mayor al Total Mujeres.</v>
      </c>
      <c r="CD252" s="135" t="str">
        <f t="shared" si="174"/>
        <v xml:space="preserve">  * La variable Madre de hijo menor de 5 años No puede ser mayor al Total Mujeres.</v>
      </c>
      <c r="CE252" s="135" t="str">
        <f t="shared" si="175"/>
        <v xml:space="preserve">  * La variable Pueblos originarios Hombres No puede ser mayor al Total Hombres.</v>
      </c>
      <c r="CF252" s="135" t="str">
        <f t="shared" si="176"/>
        <v xml:space="preserve">  * La variable Pueblos originarios Mujeres No puede ser mayor al Total Mujeres.</v>
      </c>
      <c r="CG252" s="135" t="str">
        <f t="shared" si="177"/>
        <v xml:space="preserve">  * La variable Niños, niñas, adolescentes y jóvenes SENAME No puede ser mayor al Total.</v>
      </c>
      <c r="CH252" s="135" t="str">
        <f t="shared" si="178"/>
        <v xml:space="preserve">  * La variable Niños, niñas, adolescentes y jóvenes Mejor Niñez No puede ser mayor al Total.</v>
      </c>
      <c r="CI252" s="135" t="str">
        <f t="shared" si="179"/>
        <v xml:space="preserve">  * La variable Migrantes No puede ser mayor al Total.</v>
      </c>
      <c r="CJ252" s="135" t="str">
        <f t="shared" si="180"/>
        <v xml:space="preserve">  * La variable Trans (Masculino/Femenino) No puede ser mayor al Total Ambos Sexos.</v>
      </c>
      <c r="CK252" s="6"/>
      <c r="CL252" s="6"/>
      <c r="CN252" s="6"/>
      <c r="CO252" s="6"/>
      <c r="CQ252" s="180">
        <f t="shared" si="181"/>
        <v>1</v>
      </c>
      <c r="CR252" s="180">
        <f t="shared" si="182"/>
        <v>1</v>
      </c>
      <c r="CS252" s="180">
        <f t="shared" si="183"/>
        <v>1</v>
      </c>
      <c r="CT252" s="180">
        <f t="shared" si="184"/>
        <v>1</v>
      </c>
      <c r="CU252" s="180">
        <f t="shared" si="185"/>
        <v>1</v>
      </c>
      <c r="CV252" s="180">
        <f t="shared" si="186"/>
        <v>1</v>
      </c>
      <c r="CW252" s="180">
        <f t="shared" si="187"/>
        <v>1</v>
      </c>
      <c r="CX252" s="180">
        <f t="shared" si="188"/>
        <v>1</v>
      </c>
    </row>
    <row r="253" spans="1:104" x14ac:dyDescent="0.25">
      <c r="A253" s="5640" t="s">
        <v>5106</v>
      </c>
      <c r="B253" s="6601" t="s">
        <v>855</v>
      </c>
      <c r="C253" s="6602"/>
      <c r="D253" s="5759" t="s">
        <v>4567</v>
      </c>
      <c r="E253" s="5760" t="s">
        <v>4568</v>
      </c>
      <c r="F253" s="5761" t="s">
        <v>4569</v>
      </c>
      <c r="G253" s="5683" t="s">
        <v>4570</v>
      </c>
      <c r="H253" s="5693" t="s">
        <v>4571</v>
      </c>
      <c r="I253" s="5683" t="s">
        <v>4572</v>
      </c>
      <c r="J253" s="5693" t="s">
        <v>4573</v>
      </c>
      <c r="K253" s="5683" t="s">
        <v>4574</v>
      </c>
      <c r="L253" s="5693" t="s">
        <v>4575</v>
      </c>
      <c r="M253" s="5683" t="s">
        <v>4576</v>
      </c>
      <c r="N253" s="5693" t="s">
        <v>4577</v>
      </c>
      <c r="O253" s="5683" t="s">
        <v>4578</v>
      </c>
      <c r="P253" s="5693" t="s">
        <v>4579</v>
      </c>
      <c r="Q253" s="5683" t="s">
        <v>4580</v>
      </c>
      <c r="R253" s="5693" t="s">
        <v>4581</v>
      </c>
      <c r="S253" s="5683" t="s">
        <v>4582</v>
      </c>
      <c r="T253" s="5693" t="s">
        <v>4583</v>
      </c>
      <c r="U253" s="5683" t="s">
        <v>4584</v>
      </c>
      <c r="V253" s="5693" t="s">
        <v>4585</v>
      </c>
      <c r="W253" s="5683" t="s">
        <v>4586</v>
      </c>
      <c r="X253" s="5693" t="s">
        <v>4587</v>
      </c>
      <c r="Y253" s="5683" t="s">
        <v>4588</v>
      </c>
      <c r="Z253" s="5693" t="s">
        <v>4589</v>
      </c>
      <c r="AA253" s="5683" t="s">
        <v>4590</v>
      </c>
      <c r="AB253" s="5693" t="s">
        <v>4591</v>
      </c>
      <c r="AC253" s="5683" t="s">
        <v>4592</v>
      </c>
      <c r="AD253" s="5693" t="s">
        <v>4593</v>
      </c>
      <c r="AE253" s="1737" t="s">
        <v>4594</v>
      </c>
      <c r="AF253" s="5693" t="s">
        <v>4595</v>
      </c>
      <c r="AG253" s="1737" t="s">
        <v>4596</v>
      </c>
      <c r="AH253" s="5693" t="s">
        <v>4597</v>
      </c>
      <c r="AI253" s="1737" t="s">
        <v>4598</v>
      </c>
      <c r="AJ253" s="5693" t="s">
        <v>4599</v>
      </c>
      <c r="AK253" s="1737" t="s">
        <v>4600</v>
      </c>
      <c r="AL253" s="5693" t="s">
        <v>4601</v>
      </c>
      <c r="AM253" s="1737" t="s">
        <v>4602</v>
      </c>
      <c r="AN253" s="66" t="s">
        <v>4603</v>
      </c>
      <c r="AO253" s="5698" t="s">
        <v>4604</v>
      </c>
      <c r="AP253" s="5693" t="s">
        <v>4605</v>
      </c>
      <c r="AQ253" s="1737" t="s">
        <v>4606</v>
      </c>
      <c r="AR253" s="5693" t="s">
        <v>4934</v>
      </c>
      <c r="AS253" s="5683" t="s">
        <v>4935</v>
      </c>
      <c r="AT253" s="5686" t="s">
        <v>4936</v>
      </c>
      <c r="AU253" s="5762" t="s">
        <v>4937</v>
      </c>
      <c r="AV253" s="5763" t="s">
        <v>5234</v>
      </c>
      <c r="AW253" s="5762" t="s">
        <v>5235</v>
      </c>
      <c r="AX253" s="5763" t="s">
        <v>5236</v>
      </c>
      <c r="AY253" s="5764" t="s">
        <v>5237</v>
      </c>
      <c r="AZ253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CB253" s="19"/>
      <c r="CC253" s="135" t="str">
        <f t="shared" si="173"/>
        <v xml:space="preserve">  * La variable Gestantes No puede ser mayor al Total Mujeres.</v>
      </c>
      <c r="CD253" s="135" t="str">
        <f t="shared" si="174"/>
        <v xml:space="preserve">  * La variable Madre de hijo menor de 5 años No puede ser mayor al Total Mujeres.</v>
      </c>
      <c r="CE253" s="135" t="str">
        <f t="shared" si="175"/>
        <v xml:space="preserve">  * La variable Pueblos originarios Hombres No puede ser mayor al Total Hombres.</v>
      </c>
      <c r="CF253" s="135" t="str">
        <f t="shared" si="176"/>
        <v xml:space="preserve">  * La variable Pueblos originarios Mujeres No puede ser mayor al Total Mujeres.</v>
      </c>
      <c r="CG253" s="135" t="str">
        <f t="shared" si="177"/>
        <v xml:space="preserve">  * La variable Niños, niñas, adolescentes y jóvenes SENAME No puede ser mayor al Total.</v>
      </c>
      <c r="CH253" s="135" t="str">
        <f t="shared" si="178"/>
        <v xml:space="preserve">  * La variable Niños, niñas, adolescentes y jóvenes Mejor Niñez No puede ser mayor al Total.</v>
      </c>
      <c r="CI253" s="135" t="str">
        <f t="shared" si="179"/>
        <v xml:space="preserve">  * La variable Migrantes No puede ser mayor al Total.</v>
      </c>
      <c r="CJ253" s="135" t="str">
        <f t="shared" si="180"/>
        <v xml:space="preserve">  * La variable Trans (Masculino/Femenino) No puede ser mayor al Total Ambos Sexos.</v>
      </c>
      <c r="CK253" s="6"/>
      <c r="CL253" s="6"/>
      <c r="CN253" s="6"/>
      <c r="CO253" s="6"/>
      <c r="CQ253" s="180">
        <f t="shared" si="181"/>
        <v>1</v>
      </c>
      <c r="CR253" s="180">
        <f t="shared" si="182"/>
        <v>1</v>
      </c>
      <c r="CS253" s="180">
        <f t="shared" si="183"/>
        <v>1</v>
      </c>
      <c r="CT253" s="180">
        <f t="shared" si="184"/>
        <v>1</v>
      </c>
      <c r="CU253" s="180">
        <f t="shared" si="185"/>
        <v>1</v>
      </c>
      <c r="CV253" s="180">
        <f t="shared" si="186"/>
        <v>1</v>
      </c>
      <c r="CW253" s="180">
        <f t="shared" si="187"/>
        <v>1</v>
      </c>
      <c r="CX253" s="180">
        <f t="shared" si="188"/>
        <v>1</v>
      </c>
    </row>
    <row r="254" spans="1:104" x14ac:dyDescent="0.25">
      <c r="A254" s="5640" t="s">
        <v>5107</v>
      </c>
      <c r="B254" s="6453" t="s">
        <v>856</v>
      </c>
      <c r="C254" s="640" t="s">
        <v>857</v>
      </c>
      <c r="D254" s="5759" t="s">
        <v>4567</v>
      </c>
      <c r="E254" s="5760" t="s">
        <v>4568</v>
      </c>
      <c r="F254" s="5761" t="s">
        <v>4569</v>
      </c>
      <c r="G254" s="5683" t="s">
        <v>4570</v>
      </c>
      <c r="H254" s="5693" t="s">
        <v>4571</v>
      </c>
      <c r="I254" s="5683" t="s">
        <v>4572</v>
      </c>
      <c r="J254" s="5693" t="s">
        <v>4573</v>
      </c>
      <c r="K254" s="5683" t="s">
        <v>4574</v>
      </c>
      <c r="L254" s="5693" t="s">
        <v>4575</v>
      </c>
      <c r="M254" s="5683" t="s">
        <v>4576</v>
      </c>
      <c r="N254" s="5693" t="s">
        <v>4577</v>
      </c>
      <c r="O254" s="5683" t="s">
        <v>4578</v>
      </c>
      <c r="P254" s="5693" t="s">
        <v>4579</v>
      </c>
      <c r="Q254" s="5683" t="s">
        <v>4580</v>
      </c>
      <c r="R254" s="5693" t="s">
        <v>4581</v>
      </c>
      <c r="S254" s="5683" t="s">
        <v>4582</v>
      </c>
      <c r="T254" s="5693" t="s">
        <v>4583</v>
      </c>
      <c r="U254" s="5683" t="s">
        <v>4584</v>
      </c>
      <c r="V254" s="5693" t="s">
        <v>4585</v>
      </c>
      <c r="W254" s="5683" t="s">
        <v>4586</v>
      </c>
      <c r="X254" s="5693" t="s">
        <v>4587</v>
      </c>
      <c r="Y254" s="5683" t="s">
        <v>4588</v>
      </c>
      <c r="Z254" s="5693" t="s">
        <v>4589</v>
      </c>
      <c r="AA254" s="5683" t="s">
        <v>4590</v>
      </c>
      <c r="AB254" s="5693" t="s">
        <v>4591</v>
      </c>
      <c r="AC254" s="5683" t="s">
        <v>4592</v>
      </c>
      <c r="AD254" s="5693" t="s">
        <v>4593</v>
      </c>
      <c r="AE254" s="1737" t="s">
        <v>4594</v>
      </c>
      <c r="AF254" s="5693" t="s">
        <v>4595</v>
      </c>
      <c r="AG254" s="1737" t="s">
        <v>4596</v>
      </c>
      <c r="AH254" s="5693" t="s">
        <v>4597</v>
      </c>
      <c r="AI254" s="1737" t="s">
        <v>4598</v>
      </c>
      <c r="AJ254" s="5693" t="s">
        <v>4599</v>
      </c>
      <c r="AK254" s="1737" t="s">
        <v>4600</v>
      </c>
      <c r="AL254" s="5693" t="s">
        <v>4601</v>
      </c>
      <c r="AM254" s="1737" t="s">
        <v>4602</v>
      </c>
      <c r="AN254" s="66" t="s">
        <v>4603</v>
      </c>
      <c r="AO254" s="5698" t="s">
        <v>4604</v>
      </c>
      <c r="AP254" s="5693" t="s">
        <v>4605</v>
      </c>
      <c r="AQ254" s="1737" t="s">
        <v>4606</v>
      </c>
      <c r="AR254" s="5693" t="s">
        <v>4934</v>
      </c>
      <c r="AS254" s="5683" t="s">
        <v>4935</v>
      </c>
      <c r="AT254" s="5686" t="s">
        <v>4936</v>
      </c>
      <c r="AU254" s="5762" t="s">
        <v>4937</v>
      </c>
      <c r="AV254" s="5763" t="s">
        <v>5234</v>
      </c>
      <c r="AW254" s="5762" t="s">
        <v>5235</v>
      </c>
      <c r="AX254" s="5763" t="s">
        <v>5236</v>
      </c>
      <c r="AY254" s="5764" t="s">
        <v>5237</v>
      </c>
      <c r="AZ254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CB254" s="19"/>
      <c r="CC254" s="135" t="str">
        <f t="shared" si="173"/>
        <v xml:space="preserve">  * La variable Gestantes No puede ser mayor al Total Mujeres.</v>
      </c>
      <c r="CD254" s="135" t="str">
        <f t="shared" si="174"/>
        <v xml:space="preserve">  * La variable Madre de hijo menor de 5 años No puede ser mayor al Total Mujeres.</v>
      </c>
      <c r="CE254" s="135" t="str">
        <f t="shared" si="175"/>
        <v xml:space="preserve">  * La variable Pueblos originarios Hombres No puede ser mayor al Total Hombres.</v>
      </c>
      <c r="CF254" s="135" t="str">
        <f t="shared" si="176"/>
        <v xml:space="preserve">  * La variable Pueblos originarios Mujeres No puede ser mayor al Total Mujeres.</v>
      </c>
      <c r="CG254" s="135" t="str">
        <f t="shared" si="177"/>
        <v xml:space="preserve">  * La variable Niños, niñas, adolescentes y jóvenes SENAME No puede ser mayor al Total.</v>
      </c>
      <c r="CH254" s="135" t="str">
        <f t="shared" si="178"/>
        <v xml:space="preserve">  * La variable Niños, niñas, adolescentes y jóvenes Mejor Niñez No puede ser mayor al Total.</v>
      </c>
      <c r="CI254" s="135" t="str">
        <f t="shared" si="179"/>
        <v xml:space="preserve">  * La variable Migrantes No puede ser mayor al Total.</v>
      </c>
      <c r="CJ254" s="135" t="str">
        <f t="shared" si="180"/>
        <v xml:space="preserve">  * La variable Trans (Masculino/Femenino) No puede ser mayor al Total Ambos Sexos.</v>
      </c>
      <c r="CK254" s="6"/>
      <c r="CL254" s="6"/>
      <c r="CN254" s="6"/>
      <c r="CO254" s="6"/>
      <c r="CQ254" s="180">
        <f t="shared" si="181"/>
        <v>1</v>
      </c>
      <c r="CR254" s="180">
        <f t="shared" si="182"/>
        <v>1</v>
      </c>
      <c r="CS254" s="180">
        <f t="shared" si="183"/>
        <v>1</v>
      </c>
      <c r="CT254" s="180">
        <f t="shared" si="184"/>
        <v>1</v>
      </c>
      <c r="CU254" s="180">
        <f t="shared" si="185"/>
        <v>1</v>
      </c>
      <c r="CV254" s="180">
        <f t="shared" si="186"/>
        <v>1</v>
      </c>
      <c r="CW254" s="180">
        <f t="shared" si="187"/>
        <v>1</v>
      </c>
      <c r="CX254" s="180">
        <f t="shared" si="188"/>
        <v>1</v>
      </c>
    </row>
    <row r="255" spans="1:104" x14ac:dyDescent="0.25">
      <c r="A255" s="5640" t="s">
        <v>5108</v>
      </c>
      <c r="B255" s="6059"/>
      <c r="C255" s="386" t="s">
        <v>858</v>
      </c>
      <c r="D255" s="5759" t="s">
        <v>4567</v>
      </c>
      <c r="E255" s="5760" t="s">
        <v>4568</v>
      </c>
      <c r="F255" s="5761" t="s">
        <v>4569</v>
      </c>
      <c r="G255" s="5683" t="s">
        <v>4570</v>
      </c>
      <c r="H255" s="5693" t="s">
        <v>4571</v>
      </c>
      <c r="I255" s="5683" t="s">
        <v>4572</v>
      </c>
      <c r="J255" s="5693" t="s">
        <v>4573</v>
      </c>
      <c r="K255" s="5683" t="s">
        <v>4574</v>
      </c>
      <c r="L255" s="5693" t="s">
        <v>4575</v>
      </c>
      <c r="M255" s="5683" t="s">
        <v>4576</v>
      </c>
      <c r="N255" s="5693" t="s">
        <v>4577</v>
      </c>
      <c r="O255" s="5683" t="s">
        <v>4578</v>
      </c>
      <c r="P255" s="5693" t="s">
        <v>4579</v>
      </c>
      <c r="Q255" s="5683" t="s">
        <v>4580</v>
      </c>
      <c r="R255" s="5693" t="s">
        <v>4581</v>
      </c>
      <c r="S255" s="5683" t="s">
        <v>4582</v>
      </c>
      <c r="T255" s="5693" t="s">
        <v>4583</v>
      </c>
      <c r="U255" s="5683" t="s">
        <v>4584</v>
      </c>
      <c r="V255" s="5693" t="s">
        <v>4585</v>
      </c>
      <c r="W255" s="5683" t="s">
        <v>4586</v>
      </c>
      <c r="X255" s="5693" t="s">
        <v>4587</v>
      </c>
      <c r="Y255" s="5683" t="s">
        <v>4588</v>
      </c>
      <c r="Z255" s="5693" t="s">
        <v>4589</v>
      </c>
      <c r="AA255" s="5683" t="s">
        <v>4590</v>
      </c>
      <c r="AB255" s="5693" t="s">
        <v>4591</v>
      </c>
      <c r="AC255" s="5683" t="s">
        <v>4592</v>
      </c>
      <c r="AD255" s="5693" t="s">
        <v>4593</v>
      </c>
      <c r="AE255" s="1737" t="s">
        <v>4594</v>
      </c>
      <c r="AF255" s="5693" t="s">
        <v>4595</v>
      </c>
      <c r="AG255" s="1737" t="s">
        <v>4596</v>
      </c>
      <c r="AH255" s="5693" t="s">
        <v>4597</v>
      </c>
      <c r="AI255" s="1737" t="s">
        <v>4598</v>
      </c>
      <c r="AJ255" s="5693" t="s">
        <v>4599</v>
      </c>
      <c r="AK255" s="1737" t="s">
        <v>4600</v>
      </c>
      <c r="AL255" s="5693" t="s">
        <v>4601</v>
      </c>
      <c r="AM255" s="1737" t="s">
        <v>4602</v>
      </c>
      <c r="AN255" s="66" t="s">
        <v>4603</v>
      </c>
      <c r="AO255" s="5698" t="s">
        <v>4604</v>
      </c>
      <c r="AP255" s="5693" t="s">
        <v>4605</v>
      </c>
      <c r="AQ255" s="1737" t="s">
        <v>4606</v>
      </c>
      <c r="AR255" s="5693" t="s">
        <v>4934</v>
      </c>
      <c r="AS255" s="5683" t="s">
        <v>4935</v>
      </c>
      <c r="AT255" s="5686" t="s">
        <v>4936</v>
      </c>
      <c r="AU255" s="5762" t="s">
        <v>4937</v>
      </c>
      <c r="AV255" s="5763" t="s">
        <v>5234</v>
      </c>
      <c r="AW255" s="5762" t="s">
        <v>5235</v>
      </c>
      <c r="AX255" s="5763" t="s">
        <v>5236</v>
      </c>
      <c r="AY255" s="5764" t="s">
        <v>5237</v>
      </c>
      <c r="AZ255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CB255" s="19"/>
      <c r="CC255" s="135" t="str">
        <f t="shared" si="173"/>
        <v xml:space="preserve">  * La variable Gestantes No puede ser mayor al Total Mujeres.</v>
      </c>
      <c r="CD255" s="135" t="str">
        <f t="shared" si="174"/>
        <v xml:space="preserve">  * La variable Madre de hijo menor de 5 años No puede ser mayor al Total Mujeres.</v>
      </c>
      <c r="CE255" s="135" t="str">
        <f t="shared" si="175"/>
        <v xml:space="preserve">  * La variable Pueblos originarios Hombres No puede ser mayor al Total Hombres.</v>
      </c>
      <c r="CF255" s="135" t="str">
        <f t="shared" si="176"/>
        <v xml:space="preserve">  * La variable Pueblos originarios Mujeres No puede ser mayor al Total Mujeres.</v>
      </c>
      <c r="CG255" s="135" t="str">
        <f t="shared" si="177"/>
        <v xml:space="preserve">  * La variable Niños, niñas, adolescentes y jóvenes SENAME No puede ser mayor al Total.</v>
      </c>
      <c r="CH255" s="135" t="str">
        <f t="shared" si="178"/>
        <v xml:space="preserve">  * La variable Niños, niñas, adolescentes y jóvenes Mejor Niñez No puede ser mayor al Total.</v>
      </c>
      <c r="CI255" s="135" t="str">
        <f t="shared" si="179"/>
        <v xml:space="preserve">  * La variable Migrantes No puede ser mayor al Total.</v>
      </c>
      <c r="CJ255" s="135" t="str">
        <f t="shared" si="180"/>
        <v xml:space="preserve">  * La variable Trans (Masculino/Femenino) No puede ser mayor al Total Ambos Sexos.</v>
      </c>
      <c r="CK255" s="6"/>
      <c r="CL255" s="6"/>
      <c r="CN255" s="6"/>
      <c r="CO255" s="6"/>
      <c r="CQ255" s="180">
        <f t="shared" si="181"/>
        <v>1</v>
      </c>
      <c r="CR255" s="180">
        <f t="shared" si="182"/>
        <v>1</v>
      </c>
      <c r="CS255" s="180">
        <f t="shared" si="183"/>
        <v>1</v>
      </c>
      <c r="CT255" s="180">
        <f t="shared" si="184"/>
        <v>1</v>
      </c>
      <c r="CU255" s="180">
        <f t="shared" si="185"/>
        <v>1</v>
      </c>
      <c r="CV255" s="180">
        <f t="shared" si="186"/>
        <v>1</v>
      </c>
      <c r="CW255" s="180">
        <f t="shared" si="187"/>
        <v>1</v>
      </c>
      <c r="CX255" s="180">
        <f t="shared" si="188"/>
        <v>1</v>
      </c>
    </row>
    <row r="256" spans="1:104" s="6" customFormat="1" ht="18" customHeight="1" x14ac:dyDescent="0.25">
      <c r="A256" s="5640" t="s">
        <v>5109</v>
      </c>
      <c r="B256" s="646" t="s">
        <v>859</v>
      </c>
      <c r="C256" s="629"/>
      <c r="D256" s="5759" t="s">
        <v>4567</v>
      </c>
      <c r="E256" s="5760" t="s">
        <v>4568</v>
      </c>
      <c r="F256" s="5761" t="s">
        <v>4569</v>
      </c>
      <c r="G256" s="5683" t="s">
        <v>4570</v>
      </c>
      <c r="H256" s="5693" t="s">
        <v>4571</v>
      </c>
      <c r="I256" s="5683" t="s">
        <v>4572</v>
      </c>
      <c r="J256" s="5693" t="s">
        <v>4573</v>
      </c>
      <c r="K256" s="5683" t="s">
        <v>4574</v>
      </c>
      <c r="L256" s="5693" t="s">
        <v>4575</v>
      </c>
      <c r="M256" s="5683" t="s">
        <v>4576</v>
      </c>
      <c r="N256" s="5693" t="s">
        <v>4577</v>
      </c>
      <c r="O256" s="5683" t="s">
        <v>4578</v>
      </c>
      <c r="P256" s="5693" t="s">
        <v>4579</v>
      </c>
      <c r="Q256" s="5683" t="s">
        <v>4580</v>
      </c>
      <c r="R256" s="5693" t="s">
        <v>4581</v>
      </c>
      <c r="S256" s="5683" t="s">
        <v>4582</v>
      </c>
      <c r="T256" s="5693" t="s">
        <v>4583</v>
      </c>
      <c r="U256" s="5683" t="s">
        <v>4584</v>
      </c>
      <c r="V256" s="5693" t="s">
        <v>4585</v>
      </c>
      <c r="W256" s="5683" t="s">
        <v>4586</v>
      </c>
      <c r="X256" s="5693" t="s">
        <v>4587</v>
      </c>
      <c r="Y256" s="5683" t="s">
        <v>4588</v>
      </c>
      <c r="Z256" s="5693" t="s">
        <v>4589</v>
      </c>
      <c r="AA256" s="5683" t="s">
        <v>4590</v>
      </c>
      <c r="AB256" s="5693" t="s">
        <v>4591</v>
      </c>
      <c r="AC256" s="5683" t="s">
        <v>4592</v>
      </c>
      <c r="AD256" s="5693" t="s">
        <v>4593</v>
      </c>
      <c r="AE256" s="1737" t="s">
        <v>4594</v>
      </c>
      <c r="AF256" s="5693" t="s">
        <v>4595</v>
      </c>
      <c r="AG256" s="1737" t="s">
        <v>4596</v>
      </c>
      <c r="AH256" s="5693" t="s">
        <v>4597</v>
      </c>
      <c r="AI256" s="1737" t="s">
        <v>4598</v>
      </c>
      <c r="AJ256" s="5693" t="s">
        <v>4599</v>
      </c>
      <c r="AK256" s="1737" t="s">
        <v>4600</v>
      </c>
      <c r="AL256" s="5693" t="s">
        <v>4601</v>
      </c>
      <c r="AM256" s="1737" t="s">
        <v>4602</v>
      </c>
      <c r="AN256" s="66" t="s">
        <v>4603</v>
      </c>
      <c r="AO256" s="5698" t="s">
        <v>4604</v>
      </c>
      <c r="AP256" s="5693" t="s">
        <v>4605</v>
      </c>
      <c r="AQ256" s="1737" t="s">
        <v>4606</v>
      </c>
      <c r="AR256" s="5693" t="s">
        <v>4934</v>
      </c>
      <c r="AS256" s="5683" t="s">
        <v>4935</v>
      </c>
      <c r="AT256" s="5686" t="s">
        <v>4936</v>
      </c>
      <c r="AU256" s="5762" t="s">
        <v>4937</v>
      </c>
      <c r="AV256" s="5763" t="s">
        <v>5234</v>
      </c>
      <c r="AW256" s="5762" t="s">
        <v>5235</v>
      </c>
      <c r="AX256" s="5763" t="s">
        <v>5236</v>
      </c>
      <c r="AY256" s="5764" t="s">
        <v>5237</v>
      </c>
      <c r="AZ256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56" s="19"/>
      <c r="CC256" s="135" t="str">
        <f t="shared" si="173"/>
        <v xml:space="preserve">  * La variable Gestantes No puede ser mayor al Total Mujeres.</v>
      </c>
      <c r="CD256" s="135" t="str">
        <f t="shared" si="174"/>
        <v xml:space="preserve">  * La variable Madre de hijo menor de 5 años No puede ser mayor al Total Mujeres.</v>
      </c>
      <c r="CE256" s="135" t="str">
        <f t="shared" si="175"/>
        <v xml:space="preserve">  * La variable Pueblos originarios Hombres No puede ser mayor al Total Hombres.</v>
      </c>
      <c r="CF256" s="135" t="str">
        <f t="shared" si="176"/>
        <v xml:space="preserve">  * La variable Pueblos originarios Mujeres No puede ser mayor al Total Mujeres.</v>
      </c>
      <c r="CG256" s="135" t="str">
        <f t="shared" si="177"/>
        <v xml:space="preserve">  * La variable Niños, niñas, adolescentes y jóvenes SENAME No puede ser mayor al Total.</v>
      </c>
      <c r="CH256" s="135" t="str">
        <f t="shared" si="178"/>
        <v xml:space="preserve">  * La variable Niños, niñas, adolescentes y jóvenes Mejor Niñez No puede ser mayor al Total.</v>
      </c>
      <c r="CI256" s="135" t="str">
        <f t="shared" si="179"/>
        <v xml:space="preserve">  * La variable Migrantes No puede ser mayor al Total.</v>
      </c>
      <c r="CJ256" s="135" t="str">
        <f t="shared" si="180"/>
        <v xml:space="preserve">  * La variable Trans (Masculino/Femenino) No puede ser mayor al Total Ambos Sexos.</v>
      </c>
      <c r="CM256"/>
      <c r="CP256"/>
      <c r="CQ256" s="180">
        <f t="shared" si="181"/>
        <v>1</v>
      </c>
      <c r="CR256" s="180">
        <f t="shared" si="182"/>
        <v>1</v>
      </c>
      <c r="CS256" s="180">
        <f t="shared" si="183"/>
        <v>1</v>
      </c>
      <c r="CT256" s="180">
        <f t="shared" si="184"/>
        <v>1</v>
      </c>
      <c r="CU256" s="180">
        <f t="shared" si="185"/>
        <v>1</v>
      </c>
      <c r="CV256" s="180">
        <f t="shared" si="186"/>
        <v>1</v>
      </c>
      <c r="CW256" s="180">
        <f t="shared" si="187"/>
        <v>1</v>
      </c>
      <c r="CX256" s="180">
        <f t="shared" si="188"/>
        <v>1</v>
      </c>
    </row>
    <row r="257" spans="1:102" ht="15" customHeight="1" x14ac:dyDescent="0.25">
      <c r="A257" s="5640" t="s">
        <v>5110</v>
      </c>
      <c r="B257" s="6453" t="s">
        <v>860</v>
      </c>
      <c r="C257" s="108" t="s">
        <v>861</v>
      </c>
      <c r="D257" s="5759" t="s">
        <v>4567</v>
      </c>
      <c r="E257" s="5760" t="s">
        <v>4568</v>
      </c>
      <c r="F257" s="5761" t="s">
        <v>4569</v>
      </c>
      <c r="G257" s="5683" t="s">
        <v>4570</v>
      </c>
      <c r="H257" s="5693" t="s">
        <v>4571</v>
      </c>
      <c r="I257" s="5683" t="s">
        <v>4572</v>
      </c>
      <c r="J257" s="5693" t="s">
        <v>4573</v>
      </c>
      <c r="K257" s="5683" t="s">
        <v>4574</v>
      </c>
      <c r="L257" s="5693" t="s">
        <v>4575</v>
      </c>
      <c r="M257" s="5683" t="s">
        <v>4576</v>
      </c>
      <c r="N257" s="5693" t="s">
        <v>4577</v>
      </c>
      <c r="O257" s="5683" t="s">
        <v>4578</v>
      </c>
      <c r="P257" s="5693" t="s">
        <v>4579</v>
      </c>
      <c r="Q257" s="5683" t="s">
        <v>4580</v>
      </c>
      <c r="R257" s="5693" t="s">
        <v>4581</v>
      </c>
      <c r="S257" s="5683" t="s">
        <v>4582</v>
      </c>
      <c r="T257" s="5693" t="s">
        <v>4583</v>
      </c>
      <c r="U257" s="5683" t="s">
        <v>4584</v>
      </c>
      <c r="V257" s="5693" t="s">
        <v>4585</v>
      </c>
      <c r="W257" s="5683" t="s">
        <v>4586</v>
      </c>
      <c r="X257" s="5693" t="s">
        <v>4587</v>
      </c>
      <c r="Y257" s="5683" t="s">
        <v>4588</v>
      </c>
      <c r="Z257" s="5693" t="s">
        <v>4589</v>
      </c>
      <c r="AA257" s="5683" t="s">
        <v>4590</v>
      </c>
      <c r="AB257" s="5693" t="s">
        <v>4591</v>
      </c>
      <c r="AC257" s="5683" t="s">
        <v>4592</v>
      </c>
      <c r="AD257" s="5693" t="s">
        <v>4593</v>
      </c>
      <c r="AE257" s="1737" t="s">
        <v>4594</v>
      </c>
      <c r="AF257" s="5693" t="s">
        <v>4595</v>
      </c>
      <c r="AG257" s="1737" t="s">
        <v>4596</v>
      </c>
      <c r="AH257" s="5693" t="s">
        <v>4597</v>
      </c>
      <c r="AI257" s="1737" t="s">
        <v>4598</v>
      </c>
      <c r="AJ257" s="5693" t="s">
        <v>4599</v>
      </c>
      <c r="AK257" s="1737" t="s">
        <v>4600</v>
      </c>
      <c r="AL257" s="5693" t="s">
        <v>4601</v>
      </c>
      <c r="AM257" s="1737" t="s">
        <v>4602</v>
      </c>
      <c r="AN257" s="66" t="s">
        <v>4603</v>
      </c>
      <c r="AO257" s="5698" t="s">
        <v>4604</v>
      </c>
      <c r="AP257" s="5693" t="s">
        <v>4605</v>
      </c>
      <c r="AQ257" s="1737" t="s">
        <v>4606</v>
      </c>
      <c r="AR257" s="5693" t="s">
        <v>4934</v>
      </c>
      <c r="AS257" s="5683" t="s">
        <v>4935</v>
      </c>
      <c r="AT257" s="5686" t="s">
        <v>4936</v>
      </c>
      <c r="AU257" s="5762" t="s">
        <v>4937</v>
      </c>
      <c r="AV257" s="5763" t="s">
        <v>5234</v>
      </c>
      <c r="AW257" s="5762" t="s">
        <v>5235</v>
      </c>
      <c r="AX257" s="5763" t="s">
        <v>5236</v>
      </c>
      <c r="AY257" s="5764" t="s">
        <v>5237</v>
      </c>
      <c r="AZ257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CB257" s="19"/>
      <c r="CC257" s="135" t="str">
        <f t="shared" si="173"/>
        <v xml:space="preserve">  * La variable Gestantes No puede ser mayor al Total Mujeres.</v>
      </c>
      <c r="CD257" s="135" t="str">
        <f t="shared" si="174"/>
        <v xml:space="preserve">  * La variable Madre de hijo menor de 5 años No puede ser mayor al Total Mujeres.</v>
      </c>
      <c r="CE257" s="135" t="str">
        <f t="shared" si="175"/>
        <v xml:space="preserve">  * La variable Pueblos originarios Hombres No puede ser mayor al Total Hombres.</v>
      </c>
      <c r="CF257" s="135" t="str">
        <f t="shared" si="176"/>
        <v xml:space="preserve">  * La variable Pueblos originarios Mujeres No puede ser mayor al Total Mujeres.</v>
      </c>
      <c r="CG257" s="135" t="str">
        <f t="shared" si="177"/>
        <v xml:space="preserve">  * La variable Niños, niñas, adolescentes y jóvenes SENAME No puede ser mayor al Total.</v>
      </c>
      <c r="CH257" s="135" t="str">
        <f t="shared" si="178"/>
        <v xml:space="preserve">  * La variable Niños, niñas, adolescentes y jóvenes Mejor Niñez No puede ser mayor al Total.</v>
      </c>
      <c r="CI257" s="135" t="str">
        <f t="shared" si="179"/>
        <v xml:space="preserve">  * La variable Migrantes No puede ser mayor al Total.</v>
      </c>
      <c r="CJ257" s="135" t="str">
        <f t="shared" si="180"/>
        <v xml:space="preserve">  * La variable Trans (Masculino/Femenino) No puede ser mayor al Total Ambos Sexos.</v>
      </c>
      <c r="CK257" s="6"/>
      <c r="CL257" s="6"/>
      <c r="CN257" s="6"/>
      <c r="CO257" s="6"/>
      <c r="CQ257" s="180">
        <f t="shared" si="181"/>
        <v>1</v>
      </c>
      <c r="CR257" s="180">
        <f t="shared" si="182"/>
        <v>1</v>
      </c>
      <c r="CS257" s="180">
        <f t="shared" si="183"/>
        <v>1</v>
      </c>
      <c r="CT257" s="180">
        <f t="shared" si="184"/>
        <v>1</v>
      </c>
      <c r="CU257" s="180">
        <f t="shared" si="185"/>
        <v>1</v>
      </c>
      <c r="CV257" s="180">
        <f t="shared" si="186"/>
        <v>1</v>
      </c>
      <c r="CW257" s="180">
        <f t="shared" si="187"/>
        <v>1</v>
      </c>
      <c r="CX257" s="180">
        <f t="shared" si="188"/>
        <v>1</v>
      </c>
    </row>
    <row r="258" spans="1:102" x14ac:dyDescent="0.25">
      <c r="A258" s="5640" t="s">
        <v>5111</v>
      </c>
      <c r="B258" s="6112"/>
      <c r="C258" s="499" t="s">
        <v>862</v>
      </c>
      <c r="D258" s="5759" t="s">
        <v>4567</v>
      </c>
      <c r="E258" s="5760" t="s">
        <v>4568</v>
      </c>
      <c r="F258" s="5761" t="s">
        <v>4569</v>
      </c>
      <c r="G258" s="5683" t="s">
        <v>4570</v>
      </c>
      <c r="H258" s="5693" t="s">
        <v>4571</v>
      </c>
      <c r="I258" s="5683" t="s">
        <v>4572</v>
      </c>
      <c r="J258" s="5693" t="s">
        <v>4573</v>
      </c>
      <c r="K258" s="5683" t="s">
        <v>4574</v>
      </c>
      <c r="L258" s="5693" t="s">
        <v>4575</v>
      </c>
      <c r="M258" s="5683" t="s">
        <v>4576</v>
      </c>
      <c r="N258" s="5693" t="s">
        <v>4577</v>
      </c>
      <c r="O258" s="5683" t="s">
        <v>4578</v>
      </c>
      <c r="P258" s="5693" t="s">
        <v>4579</v>
      </c>
      <c r="Q258" s="5683" t="s">
        <v>4580</v>
      </c>
      <c r="R258" s="5693" t="s">
        <v>4581</v>
      </c>
      <c r="S258" s="5683" t="s">
        <v>4582</v>
      </c>
      <c r="T258" s="5693" t="s">
        <v>4583</v>
      </c>
      <c r="U258" s="5683" t="s">
        <v>4584</v>
      </c>
      <c r="V258" s="5693" t="s">
        <v>4585</v>
      </c>
      <c r="W258" s="5683" t="s">
        <v>4586</v>
      </c>
      <c r="X258" s="5693" t="s">
        <v>4587</v>
      </c>
      <c r="Y258" s="5683" t="s">
        <v>4588</v>
      </c>
      <c r="Z258" s="5693" t="s">
        <v>4589</v>
      </c>
      <c r="AA258" s="5683" t="s">
        <v>4590</v>
      </c>
      <c r="AB258" s="5693" t="s">
        <v>4591</v>
      </c>
      <c r="AC258" s="5683" t="s">
        <v>4592</v>
      </c>
      <c r="AD258" s="5693" t="s">
        <v>4593</v>
      </c>
      <c r="AE258" s="1737" t="s">
        <v>4594</v>
      </c>
      <c r="AF258" s="5693" t="s">
        <v>4595</v>
      </c>
      <c r="AG258" s="1737" t="s">
        <v>4596</v>
      </c>
      <c r="AH258" s="5693" t="s">
        <v>4597</v>
      </c>
      <c r="AI258" s="1737" t="s">
        <v>4598</v>
      </c>
      <c r="AJ258" s="5693" t="s">
        <v>4599</v>
      </c>
      <c r="AK258" s="1737" t="s">
        <v>4600</v>
      </c>
      <c r="AL258" s="5693" t="s">
        <v>4601</v>
      </c>
      <c r="AM258" s="1737" t="s">
        <v>4602</v>
      </c>
      <c r="AN258" s="66" t="s">
        <v>4603</v>
      </c>
      <c r="AO258" s="5698" t="s">
        <v>4604</v>
      </c>
      <c r="AP258" s="5693" t="s">
        <v>4605</v>
      </c>
      <c r="AQ258" s="1737" t="s">
        <v>4606</v>
      </c>
      <c r="AR258" s="5693" t="s">
        <v>4934</v>
      </c>
      <c r="AS258" s="5683" t="s">
        <v>4935</v>
      </c>
      <c r="AT258" s="5686" t="s">
        <v>4936</v>
      </c>
      <c r="AU258" s="5762" t="s">
        <v>4937</v>
      </c>
      <c r="AV258" s="5763" t="s">
        <v>5234</v>
      </c>
      <c r="AW258" s="5762" t="s">
        <v>5235</v>
      </c>
      <c r="AX258" s="5763" t="s">
        <v>5236</v>
      </c>
      <c r="AY258" s="5764" t="s">
        <v>5237</v>
      </c>
      <c r="AZ258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CB258" s="19"/>
      <c r="CC258" s="135" t="str">
        <f t="shared" si="173"/>
        <v xml:space="preserve">  * La variable Gestantes No puede ser mayor al Total Mujeres.</v>
      </c>
      <c r="CD258" s="135" t="str">
        <f t="shared" si="174"/>
        <v xml:space="preserve">  * La variable Madre de hijo menor de 5 años No puede ser mayor al Total Mujeres.</v>
      </c>
      <c r="CE258" s="135" t="str">
        <f t="shared" si="175"/>
        <v xml:space="preserve">  * La variable Pueblos originarios Hombres No puede ser mayor al Total Hombres.</v>
      </c>
      <c r="CF258" s="135" t="str">
        <f t="shared" si="176"/>
        <v xml:space="preserve">  * La variable Pueblos originarios Mujeres No puede ser mayor al Total Mujeres.</v>
      </c>
      <c r="CG258" s="135" t="str">
        <f t="shared" si="177"/>
        <v xml:space="preserve">  * La variable Niños, niñas, adolescentes y jóvenes SENAME No puede ser mayor al Total.</v>
      </c>
      <c r="CH258" s="135" t="str">
        <f t="shared" si="178"/>
        <v xml:space="preserve">  * La variable Niños, niñas, adolescentes y jóvenes Mejor Niñez No puede ser mayor al Total.</v>
      </c>
      <c r="CI258" s="135" t="str">
        <f t="shared" si="179"/>
        <v xml:space="preserve">  * La variable Migrantes No puede ser mayor al Total.</v>
      </c>
      <c r="CJ258" s="135" t="str">
        <f t="shared" si="180"/>
        <v xml:space="preserve">  * La variable Trans (Masculino/Femenino) No puede ser mayor al Total Ambos Sexos.</v>
      </c>
      <c r="CK258" s="6"/>
      <c r="CL258" s="6"/>
      <c r="CN258" s="6"/>
      <c r="CO258" s="6"/>
      <c r="CQ258" s="180">
        <f t="shared" si="181"/>
        <v>1</v>
      </c>
      <c r="CR258" s="180">
        <f t="shared" si="182"/>
        <v>1</v>
      </c>
      <c r="CS258" s="180">
        <f t="shared" si="183"/>
        <v>1</v>
      </c>
      <c r="CT258" s="180">
        <f t="shared" si="184"/>
        <v>1</v>
      </c>
      <c r="CU258" s="180">
        <f t="shared" si="185"/>
        <v>1</v>
      </c>
      <c r="CV258" s="180">
        <f t="shared" si="186"/>
        <v>1</v>
      </c>
      <c r="CW258" s="180">
        <f t="shared" si="187"/>
        <v>1</v>
      </c>
      <c r="CX258" s="180">
        <f t="shared" si="188"/>
        <v>1</v>
      </c>
    </row>
    <row r="259" spans="1:102" x14ac:dyDescent="0.25">
      <c r="A259" s="5640" t="s">
        <v>5112</v>
      </c>
      <c r="B259" s="6112"/>
      <c r="C259" s="499" t="s">
        <v>863</v>
      </c>
      <c r="D259" s="5759" t="s">
        <v>4567</v>
      </c>
      <c r="E259" s="5760" t="s">
        <v>4568</v>
      </c>
      <c r="F259" s="5761" t="s">
        <v>4569</v>
      </c>
      <c r="G259" s="5683" t="s">
        <v>4570</v>
      </c>
      <c r="H259" s="5693" t="s">
        <v>4571</v>
      </c>
      <c r="I259" s="5683" t="s">
        <v>4572</v>
      </c>
      <c r="J259" s="5693" t="s">
        <v>4573</v>
      </c>
      <c r="K259" s="5683" t="s">
        <v>4574</v>
      </c>
      <c r="L259" s="5693" t="s">
        <v>4575</v>
      </c>
      <c r="M259" s="5683" t="s">
        <v>4576</v>
      </c>
      <c r="N259" s="5693" t="s">
        <v>4577</v>
      </c>
      <c r="O259" s="5683" t="s">
        <v>4578</v>
      </c>
      <c r="P259" s="5693" t="s">
        <v>4579</v>
      </c>
      <c r="Q259" s="5683" t="s">
        <v>4580</v>
      </c>
      <c r="R259" s="5693" t="s">
        <v>4581</v>
      </c>
      <c r="S259" s="5683" t="s">
        <v>4582</v>
      </c>
      <c r="T259" s="5693" t="s">
        <v>4583</v>
      </c>
      <c r="U259" s="5683" t="s">
        <v>4584</v>
      </c>
      <c r="V259" s="5693" t="s">
        <v>4585</v>
      </c>
      <c r="W259" s="5683" t="s">
        <v>4586</v>
      </c>
      <c r="X259" s="5693" t="s">
        <v>4587</v>
      </c>
      <c r="Y259" s="5683" t="s">
        <v>4588</v>
      </c>
      <c r="Z259" s="5693" t="s">
        <v>4589</v>
      </c>
      <c r="AA259" s="5683" t="s">
        <v>4590</v>
      </c>
      <c r="AB259" s="5693" t="s">
        <v>4591</v>
      </c>
      <c r="AC259" s="5683" t="s">
        <v>4592</v>
      </c>
      <c r="AD259" s="5693" t="s">
        <v>4593</v>
      </c>
      <c r="AE259" s="1737" t="s">
        <v>4594</v>
      </c>
      <c r="AF259" s="5693" t="s">
        <v>4595</v>
      </c>
      <c r="AG259" s="1737" t="s">
        <v>4596</v>
      </c>
      <c r="AH259" s="5693" t="s">
        <v>4597</v>
      </c>
      <c r="AI259" s="1737" t="s">
        <v>4598</v>
      </c>
      <c r="AJ259" s="5693" t="s">
        <v>4599</v>
      </c>
      <c r="AK259" s="1737" t="s">
        <v>4600</v>
      </c>
      <c r="AL259" s="5693" t="s">
        <v>4601</v>
      </c>
      <c r="AM259" s="1737" t="s">
        <v>4602</v>
      </c>
      <c r="AN259" s="66" t="s">
        <v>4603</v>
      </c>
      <c r="AO259" s="5698" t="s">
        <v>4604</v>
      </c>
      <c r="AP259" s="5693" t="s">
        <v>4605</v>
      </c>
      <c r="AQ259" s="1737" t="s">
        <v>4606</v>
      </c>
      <c r="AR259" s="5693" t="s">
        <v>4934</v>
      </c>
      <c r="AS259" s="5683" t="s">
        <v>4935</v>
      </c>
      <c r="AT259" s="5686" t="s">
        <v>4936</v>
      </c>
      <c r="AU259" s="5762" t="s">
        <v>4937</v>
      </c>
      <c r="AV259" s="5763" t="s">
        <v>5234</v>
      </c>
      <c r="AW259" s="5762" t="s">
        <v>5235</v>
      </c>
      <c r="AX259" s="5763" t="s">
        <v>5236</v>
      </c>
      <c r="AY259" s="5764" t="s">
        <v>5237</v>
      </c>
      <c r="AZ259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CB259" s="19"/>
      <c r="CC259" s="135" t="str">
        <f t="shared" si="173"/>
        <v xml:space="preserve">  * La variable Gestantes No puede ser mayor al Total Mujeres.</v>
      </c>
      <c r="CD259" s="135" t="str">
        <f t="shared" si="174"/>
        <v xml:space="preserve">  * La variable Madre de hijo menor de 5 años No puede ser mayor al Total Mujeres.</v>
      </c>
      <c r="CE259" s="135" t="str">
        <f t="shared" si="175"/>
        <v xml:space="preserve">  * La variable Pueblos originarios Hombres No puede ser mayor al Total Hombres.</v>
      </c>
      <c r="CF259" s="135" t="str">
        <f t="shared" si="176"/>
        <v xml:space="preserve">  * La variable Pueblos originarios Mujeres No puede ser mayor al Total Mujeres.</v>
      </c>
      <c r="CG259" s="135" t="str">
        <f t="shared" si="177"/>
        <v xml:space="preserve">  * La variable Niños, niñas, adolescentes y jóvenes SENAME No puede ser mayor al Total.</v>
      </c>
      <c r="CH259" s="135" t="str">
        <f t="shared" si="178"/>
        <v xml:space="preserve">  * La variable Niños, niñas, adolescentes y jóvenes Mejor Niñez No puede ser mayor al Total.</v>
      </c>
      <c r="CI259" s="135" t="str">
        <f t="shared" si="179"/>
        <v xml:space="preserve">  * La variable Migrantes No puede ser mayor al Total.</v>
      </c>
      <c r="CJ259" s="135" t="str">
        <f t="shared" si="180"/>
        <v xml:space="preserve">  * La variable Trans (Masculino/Femenino) No puede ser mayor al Total Ambos Sexos.</v>
      </c>
      <c r="CK259" s="6"/>
      <c r="CL259" s="6"/>
      <c r="CN259" s="6"/>
      <c r="CO259" s="6"/>
      <c r="CQ259" s="180">
        <f t="shared" si="181"/>
        <v>1</v>
      </c>
      <c r="CR259" s="180">
        <f t="shared" si="182"/>
        <v>1</v>
      </c>
      <c r="CS259" s="180">
        <f t="shared" si="183"/>
        <v>1</v>
      </c>
      <c r="CT259" s="180">
        <f t="shared" si="184"/>
        <v>1</v>
      </c>
      <c r="CU259" s="180">
        <f t="shared" si="185"/>
        <v>1</v>
      </c>
      <c r="CV259" s="180">
        <f t="shared" si="186"/>
        <v>1</v>
      </c>
      <c r="CW259" s="180">
        <f t="shared" si="187"/>
        <v>1</v>
      </c>
      <c r="CX259" s="180">
        <f t="shared" si="188"/>
        <v>1</v>
      </c>
    </row>
    <row r="260" spans="1:102" x14ac:dyDescent="0.25">
      <c r="A260" s="5640" t="s">
        <v>5113</v>
      </c>
      <c r="B260" s="6112"/>
      <c r="C260" s="649" t="s">
        <v>864</v>
      </c>
      <c r="D260" s="5759" t="s">
        <v>4567</v>
      </c>
      <c r="E260" s="5760" t="s">
        <v>4568</v>
      </c>
      <c r="F260" s="5761" t="s">
        <v>4569</v>
      </c>
      <c r="G260" s="5683" t="s">
        <v>4570</v>
      </c>
      <c r="H260" s="5693" t="s">
        <v>4571</v>
      </c>
      <c r="I260" s="5683" t="s">
        <v>4572</v>
      </c>
      <c r="J260" s="5693" t="s">
        <v>4573</v>
      </c>
      <c r="K260" s="5683" t="s">
        <v>4574</v>
      </c>
      <c r="L260" s="5693" t="s">
        <v>4575</v>
      </c>
      <c r="M260" s="5683" t="s">
        <v>4576</v>
      </c>
      <c r="N260" s="5693" t="s">
        <v>4577</v>
      </c>
      <c r="O260" s="5683" t="s">
        <v>4578</v>
      </c>
      <c r="P260" s="5693" t="s">
        <v>4579</v>
      </c>
      <c r="Q260" s="5683" t="s">
        <v>4580</v>
      </c>
      <c r="R260" s="5693" t="s">
        <v>4581</v>
      </c>
      <c r="S260" s="5683" t="s">
        <v>4582</v>
      </c>
      <c r="T260" s="5693" t="s">
        <v>4583</v>
      </c>
      <c r="U260" s="5683" t="s">
        <v>4584</v>
      </c>
      <c r="V260" s="5693" t="s">
        <v>4585</v>
      </c>
      <c r="W260" s="5683" t="s">
        <v>4586</v>
      </c>
      <c r="X260" s="5693" t="s">
        <v>4587</v>
      </c>
      <c r="Y260" s="5683" t="s">
        <v>4588</v>
      </c>
      <c r="Z260" s="5693" t="s">
        <v>4589</v>
      </c>
      <c r="AA260" s="5683" t="s">
        <v>4590</v>
      </c>
      <c r="AB260" s="5693" t="s">
        <v>4591</v>
      </c>
      <c r="AC260" s="5683" t="s">
        <v>4592</v>
      </c>
      <c r="AD260" s="5693" t="s">
        <v>4593</v>
      </c>
      <c r="AE260" s="1737" t="s">
        <v>4594</v>
      </c>
      <c r="AF260" s="5693" t="s">
        <v>4595</v>
      </c>
      <c r="AG260" s="1737" t="s">
        <v>4596</v>
      </c>
      <c r="AH260" s="5693" t="s">
        <v>4597</v>
      </c>
      <c r="AI260" s="1737" t="s">
        <v>4598</v>
      </c>
      <c r="AJ260" s="5693" t="s">
        <v>4599</v>
      </c>
      <c r="AK260" s="1737" t="s">
        <v>4600</v>
      </c>
      <c r="AL260" s="5693" t="s">
        <v>4601</v>
      </c>
      <c r="AM260" s="1737" t="s">
        <v>4602</v>
      </c>
      <c r="AN260" s="66" t="s">
        <v>4603</v>
      </c>
      <c r="AO260" s="5698" t="s">
        <v>4604</v>
      </c>
      <c r="AP260" s="5693" t="s">
        <v>4605</v>
      </c>
      <c r="AQ260" s="1737" t="s">
        <v>4606</v>
      </c>
      <c r="AR260" s="5693" t="s">
        <v>4934</v>
      </c>
      <c r="AS260" s="5683" t="s">
        <v>4935</v>
      </c>
      <c r="AT260" s="5686" t="s">
        <v>4936</v>
      </c>
      <c r="AU260" s="5762" t="s">
        <v>4937</v>
      </c>
      <c r="AV260" s="5763" t="s">
        <v>5234</v>
      </c>
      <c r="AW260" s="5762" t="s">
        <v>5235</v>
      </c>
      <c r="AX260" s="5763" t="s">
        <v>5236</v>
      </c>
      <c r="AY260" s="5764" t="s">
        <v>5237</v>
      </c>
      <c r="AZ260" s="6" t="str">
        <f t="shared" si="189"/>
        <v xml:space="preserve">  * La variable Gestantes No puede ser mayor al Total Mujeres.  * La variable Madre de hijo menor de 5 años No puede ser mayor al Total Mujeres.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CB260" s="19"/>
      <c r="CC260" s="135" t="str">
        <f t="shared" ref="CC260:CC268" si="190">IF(AND(F260&gt;0,AR260=""), "* No olvide digitar la variable Gestantes. Digite Cero si no tiene.",IF(AR260&gt;F260,"  * La variable Gestantes No puede ser mayor al Total Mujeres.",""))</f>
        <v xml:space="preserve">  * La variable Gestantes No puede ser mayor al Total Mujeres.</v>
      </c>
      <c r="CD260" s="135" t="str">
        <f t="shared" si="174"/>
        <v xml:space="preserve">  * La variable Madre de hijo menor de 5 años No puede ser mayor al Total Mujeres.</v>
      </c>
      <c r="CE260" s="179"/>
      <c r="CF260" s="135" t="str">
        <f t="shared" ref="CF260:CF293" si="191">IF(AND(F260&gt;0,OR(AU260="")), "* No olvide digitar la variable Pueblos originarios Mujeres. Digite Cero si no tiene.",IF(AU260&gt;F260,"  * La variable Pueblos originarios Mujeres No puede ser mayor al Total Mujeres.",""))</f>
        <v xml:space="preserve">  * La variable Pueblos originarios Mujeres No puede ser mayor al Total Mujeres.</v>
      </c>
      <c r="CG260" s="135" t="str">
        <f t="shared" ref="CG260:CG293" si="192">IF(AND(D260&gt;0,AV260=""), "* No olvide digitar la variable Niños, niñas, adolescentes y jóvenes SENAME. Digite Cero si no tiene.",IF(AV260&gt;D260,"  * La variable Niños, niñas, adolescentes y jóvenes SENAME No puede ser mayor al Total.",""))</f>
        <v xml:space="preserve">  * La variable Niños, niñas, adolescentes y jóvenes SENAME No puede ser mayor al Total.</v>
      </c>
      <c r="CH260" s="135" t="str">
        <f t="shared" ref="CH260:CH293" si="193">IF(AND(D260&gt;0,AW260=""), "* No olvide digitar la variable Niños, niñas, adolescentes y jóvenes Mejor Niñez. Digite Cero si no tiene.",IF(AW260&gt;D260,"  * La variable Niños, niñas, adolescentes y jóvenes Mejor Niñez No puede ser mayor al Total.",""))</f>
        <v xml:space="preserve">  * La variable Niños, niñas, adolescentes y jóvenes Mejor Niñez No puede ser mayor al Total.</v>
      </c>
      <c r="CI260" s="135" t="str">
        <f t="shared" ref="CI260:CI293" si="194">IF(AND(D260&gt;0,AX260=""), "* No olvide digitar la variable Migrantes. Digite Cero si no tiene.",IF(AX260&gt;D260,"  * La variable Migrantes No puede ser mayor al Total.",""))</f>
        <v xml:space="preserve">  * La variable Migrantes No puede ser mayor al Total.</v>
      </c>
      <c r="CJ260" s="135" t="str">
        <f t="shared" ref="CJ260:CJ293" si="195">IF(AND(D260&gt;0,AY260=""), "* No olvide digitar la variable Trans (Masculino/ Femenino). Digite Cero si no tiene.",IF(AY260&gt;D260,"  * La variable Trans (Masculino/Femenino) No puede ser mayor al Total Ambos Sexos.",""))</f>
        <v xml:space="preserve">  * La variable Trans (Masculino/Femenino) No puede ser mayor al Total Ambos Sexos.</v>
      </c>
      <c r="CQ260" s="55">
        <f t="shared" ref="CQ260:CQ278" si="196">IF(AND(F260&gt;0,AR260=""),1,IF(AR260&gt;F260,1,0))</f>
        <v>1</v>
      </c>
      <c r="CR260" s="55">
        <f t="shared" ref="CR260:CR269" si="197">IF(AND(F260&gt;0,AS260=""),1,IF(AS260&gt;F260,1,0))</f>
        <v>1</v>
      </c>
      <c r="CS260" s="55">
        <f t="shared" ref="CS260:CS293" si="198">IF(AND(E260&gt;0,OR(AT260="")),1,IF(AT260&gt;E260,1,0))</f>
        <v>1</v>
      </c>
      <c r="CT260" s="55">
        <f t="shared" ref="CT260:CT293" si="199">IF(AND(F260&gt;0,OR(AU260="")),1,IF(AU260&gt;F260,1,0))</f>
        <v>1</v>
      </c>
      <c r="CU260" s="55">
        <f t="shared" ref="CU260:CU293" si="200">IF(AND(D260&gt;0,AV260=""),1,IF(AV260&gt;D260,1,0))</f>
        <v>1</v>
      </c>
      <c r="CV260" s="55">
        <f t="shared" ref="CV260:CV293" si="201">IF(AND(D260&gt;0,AW260=""),1,IF(AW260&gt;D260,1,0))</f>
        <v>1</v>
      </c>
      <c r="CW260" s="55">
        <f t="shared" ref="CW260:CW293" si="202">IF(AND(D260&gt;0,AX260=""),1,IF(AX260&gt;D260,1,0))</f>
        <v>1</v>
      </c>
      <c r="CX260" s="55">
        <f t="shared" ref="CX260:CX293" si="203">IF(AND(D260&gt;0,AY260=""),1,IF(AY260&gt;D260,1,0))</f>
        <v>1</v>
      </c>
    </row>
    <row r="261" spans="1:102" x14ac:dyDescent="0.25">
      <c r="A261" s="5640" t="s">
        <v>5114</v>
      </c>
      <c r="B261" s="6112"/>
      <c r="C261" s="499" t="s">
        <v>865</v>
      </c>
      <c r="D261" s="5759" t="s">
        <v>4567</v>
      </c>
      <c r="E261" s="5760" t="s">
        <v>4568</v>
      </c>
      <c r="F261" s="5761" t="s">
        <v>4569</v>
      </c>
      <c r="G261" s="5683" t="s">
        <v>4570</v>
      </c>
      <c r="H261" s="5693" t="s">
        <v>4571</v>
      </c>
      <c r="I261" s="5683" t="s">
        <v>4572</v>
      </c>
      <c r="J261" s="5693" t="s">
        <v>4573</v>
      </c>
      <c r="K261" s="5683" t="s">
        <v>4574</v>
      </c>
      <c r="L261" s="5693" t="s">
        <v>4575</v>
      </c>
      <c r="M261" s="5683" t="s">
        <v>4576</v>
      </c>
      <c r="N261" s="5693" t="s">
        <v>4577</v>
      </c>
      <c r="O261" s="5683" t="s">
        <v>4578</v>
      </c>
      <c r="P261" s="5693" t="s">
        <v>4579</v>
      </c>
      <c r="Q261" s="5683" t="s">
        <v>4580</v>
      </c>
      <c r="R261" s="5693" t="s">
        <v>4581</v>
      </c>
      <c r="S261" s="5683" t="s">
        <v>4582</v>
      </c>
      <c r="T261" s="5693" t="s">
        <v>4583</v>
      </c>
      <c r="U261" s="5683" t="s">
        <v>4584</v>
      </c>
      <c r="V261" s="5693" t="s">
        <v>4585</v>
      </c>
      <c r="W261" s="5683" t="s">
        <v>4586</v>
      </c>
      <c r="X261" s="5693" t="s">
        <v>4587</v>
      </c>
      <c r="Y261" s="5683" t="s">
        <v>4588</v>
      </c>
      <c r="Z261" s="5693" t="s">
        <v>4589</v>
      </c>
      <c r="AA261" s="5683" t="s">
        <v>4590</v>
      </c>
      <c r="AB261" s="5693" t="s">
        <v>4591</v>
      </c>
      <c r="AC261" s="5683" t="s">
        <v>4592</v>
      </c>
      <c r="AD261" s="5693" t="s">
        <v>4593</v>
      </c>
      <c r="AE261" s="1737" t="s">
        <v>4594</v>
      </c>
      <c r="AF261" s="5693" t="s">
        <v>4595</v>
      </c>
      <c r="AG261" s="1737" t="s">
        <v>4596</v>
      </c>
      <c r="AH261" s="5693" t="s">
        <v>4597</v>
      </c>
      <c r="AI261" s="1737" t="s">
        <v>4598</v>
      </c>
      <c r="AJ261" s="5693" t="s">
        <v>4599</v>
      </c>
      <c r="AK261" s="1737" t="s">
        <v>4600</v>
      </c>
      <c r="AL261" s="5693" t="s">
        <v>4601</v>
      </c>
      <c r="AM261" s="1737" t="s">
        <v>4602</v>
      </c>
      <c r="AN261" s="66" t="s">
        <v>4603</v>
      </c>
      <c r="AO261" s="5698" t="s">
        <v>4604</v>
      </c>
      <c r="AP261" s="5693" t="s">
        <v>4605</v>
      </c>
      <c r="AQ261" s="1737" t="s">
        <v>4606</v>
      </c>
      <c r="AR261" s="5693" t="s">
        <v>4934</v>
      </c>
      <c r="AS261" s="5683" t="s">
        <v>4935</v>
      </c>
      <c r="AT261" s="5686" t="s">
        <v>4936</v>
      </c>
      <c r="AU261" s="5762" t="s">
        <v>4937</v>
      </c>
      <c r="AV261" s="5763" t="s">
        <v>5234</v>
      </c>
      <c r="AW261" s="5762" t="s">
        <v>5235</v>
      </c>
      <c r="AX261" s="5763" t="s">
        <v>5236</v>
      </c>
      <c r="AY261" s="5764" t="s">
        <v>5237</v>
      </c>
      <c r="AZ261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CB261" s="19"/>
      <c r="CC261" s="135" t="str">
        <f t="shared" si="190"/>
        <v xml:space="preserve">  * La variable Gestantes No puede ser mayor al Total Mujeres.</v>
      </c>
      <c r="CD261" s="135" t="str">
        <f t="shared" si="174"/>
        <v xml:space="preserve">  * La variable Madre de hijo menor de 5 años No puede ser mayor al Total Mujeres.</v>
      </c>
      <c r="CE261" s="135" t="str">
        <f t="shared" ref="CE261:CE293" si="204">IF(AND(E261&gt;0,OR(AT261="")), "* No olvide digitar la variable Pueblos originarios Hombres. Digite Cero si no tiene.",IF(AT261&gt;E261,"  * La variable Pueblos originarios Hombres No puede ser mayor al Total Hombres.",""))</f>
        <v xml:space="preserve">  * La variable Pueblos originarios Hombres No puede ser mayor al Total Hombres.</v>
      </c>
      <c r="CF261" s="135" t="str">
        <f t="shared" si="191"/>
        <v xml:space="preserve">  * La variable Pueblos originarios Mujeres No puede ser mayor al Total Mujeres.</v>
      </c>
      <c r="CG261" s="135" t="str">
        <f t="shared" si="192"/>
        <v xml:space="preserve">  * La variable Niños, niñas, adolescentes y jóvenes SENAME No puede ser mayor al Total.</v>
      </c>
      <c r="CH261" s="135" t="str">
        <f t="shared" si="193"/>
        <v xml:space="preserve">  * La variable Niños, niñas, adolescentes y jóvenes Mejor Niñez No puede ser mayor al Total.</v>
      </c>
      <c r="CI261" s="135" t="str">
        <f t="shared" si="194"/>
        <v xml:space="preserve">  * La variable Migrantes No puede ser mayor al Total.</v>
      </c>
      <c r="CJ261" s="135" t="str">
        <f t="shared" si="195"/>
        <v xml:space="preserve">  * La variable Trans (Masculino/Femenino) No puede ser mayor al Total Ambos Sexos.</v>
      </c>
      <c r="CQ261" s="55">
        <f t="shared" si="196"/>
        <v>1</v>
      </c>
      <c r="CR261" s="55">
        <f t="shared" si="197"/>
        <v>1</v>
      </c>
      <c r="CS261" s="55">
        <f t="shared" si="198"/>
        <v>1</v>
      </c>
      <c r="CT261" s="55">
        <f t="shared" si="199"/>
        <v>1</v>
      </c>
      <c r="CU261" s="55">
        <f t="shared" si="200"/>
        <v>1</v>
      </c>
      <c r="CV261" s="55">
        <f t="shared" si="201"/>
        <v>1</v>
      </c>
      <c r="CW261" s="55">
        <f t="shared" si="202"/>
        <v>1</v>
      </c>
      <c r="CX261" s="55">
        <f t="shared" si="203"/>
        <v>1</v>
      </c>
    </row>
    <row r="262" spans="1:102" x14ac:dyDescent="0.25">
      <c r="A262" s="5640" t="s">
        <v>5115</v>
      </c>
      <c r="B262" s="6112"/>
      <c r="C262" s="68" t="s">
        <v>866</v>
      </c>
      <c r="D262" s="5759" t="s">
        <v>4567</v>
      </c>
      <c r="E262" s="5760" t="s">
        <v>4568</v>
      </c>
      <c r="F262" s="5761" t="s">
        <v>4569</v>
      </c>
      <c r="G262" s="5683" t="s">
        <v>4570</v>
      </c>
      <c r="H262" s="5693" t="s">
        <v>4571</v>
      </c>
      <c r="I262" s="5683" t="s">
        <v>4572</v>
      </c>
      <c r="J262" s="5693" t="s">
        <v>4573</v>
      </c>
      <c r="K262" s="5683" t="s">
        <v>4574</v>
      </c>
      <c r="L262" s="5693" t="s">
        <v>4575</v>
      </c>
      <c r="M262" s="5683" t="s">
        <v>4576</v>
      </c>
      <c r="N262" s="5693" t="s">
        <v>4577</v>
      </c>
      <c r="O262" s="5683" t="s">
        <v>4578</v>
      </c>
      <c r="P262" s="5693" t="s">
        <v>4579</v>
      </c>
      <c r="Q262" s="5683" t="s">
        <v>4580</v>
      </c>
      <c r="R262" s="5693" t="s">
        <v>4581</v>
      </c>
      <c r="S262" s="5683" t="s">
        <v>4582</v>
      </c>
      <c r="T262" s="5693" t="s">
        <v>4583</v>
      </c>
      <c r="U262" s="5683" t="s">
        <v>4584</v>
      </c>
      <c r="V262" s="5693" t="s">
        <v>4585</v>
      </c>
      <c r="W262" s="5683" t="s">
        <v>4586</v>
      </c>
      <c r="X262" s="5693" t="s">
        <v>4587</v>
      </c>
      <c r="Y262" s="5683" t="s">
        <v>4588</v>
      </c>
      <c r="Z262" s="5693" t="s">
        <v>4589</v>
      </c>
      <c r="AA262" s="5683" t="s">
        <v>4590</v>
      </c>
      <c r="AB262" s="5693" t="s">
        <v>4591</v>
      </c>
      <c r="AC262" s="5683" t="s">
        <v>4592</v>
      </c>
      <c r="AD262" s="5693" t="s">
        <v>4593</v>
      </c>
      <c r="AE262" s="1737" t="s">
        <v>4594</v>
      </c>
      <c r="AF262" s="5693" t="s">
        <v>4595</v>
      </c>
      <c r="AG262" s="1737" t="s">
        <v>4596</v>
      </c>
      <c r="AH262" s="5693" t="s">
        <v>4597</v>
      </c>
      <c r="AI262" s="1737" t="s">
        <v>4598</v>
      </c>
      <c r="AJ262" s="5693" t="s">
        <v>4599</v>
      </c>
      <c r="AK262" s="1737" t="s">
        <v>4600</v>
      </c>
      <c r="AL262" s="5693" t="s">
        <v>4601</v>
      </c>
      <c r="AM262" s="1737" t="s">
        <v>4602</v>
      </c>
      <c r="AN262" s="66" t="s">
        <v>4603</v>
      </c>
      <c r="AO262" s="5698" t="s">
        <v>4604</v>
      </c>
      <c r="AP262" s="5693" t="s">
        <v>4605</v>
      </c>
      <c r="AQ262" s="1737" t="s">
        <v>4606</v>
      </c>
      <c r="AR262" s="5693" t="s">
        <v>4934</v>
      </c>
      <c r="AS262" s="5683" t="s">
        <v>4935</v>
      </c>
      <c r="AT262" s="5686" t="s">
        <v>4936</v>
      </c>
      <c r="AU262" s="5762" t="s">
        <v>4937</v>
      </c>
      <c r="AV262" s="5763" t="s">
        <v>5234</v>
      </c>
      <c r="AW262" s="5762" t="s">
        <v>5235</v>
      </c>
      <c r="AX262" s="5763" t="s">
        <v>5236</v>
      </c>
      <c r="AY262" s="5764" t="s">
        <v>5237</v>
      </c>
      <c r="AZ262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CB262" s="19"/>
      <c r="CC262" s="135" t="str">
        <f t="shared" si="190"/>
        <v xml:space="preserve">  * La variable Gestantes No puede ser mayor al Total Mujeres.</v>
      </c>
      <c r="CD262" s="135" t="str">
        <f t="shared" si="174"/>
        <v xml:space="preserve">  * La variable Madre de hijo menor de 5 años No puede ser mayor al Total Mujeres.</v>
      </c>
      <c r="CE262" s="135" t="str">
        <f t="shared" si="204"/>
        <v xml:space="preserve">  * La variable Pueblos originarios Hombres No puede ser mayor al Total Hombres.</v>
      </c>
      <c r="CF262" s="135" t="str">
        <f t="shared" si="191"/>
        <v xml:space="preserve">  * La variable Pueblos originarios Mujeres No puede ser mayor al Total Mujeres.</v>
      </c>
      <c r="CG262" s="135" t="str">
        <f t="shared" si="192"/>
        <v xml:space="preserve">  * La variable Niños, niñas, adolescentes y jóvenes SENAME No puede ser mayor al Total.</v>
      </c>
      <c r="CH262" s="135" t="str">
        <f t="shared" si="193"/>
        <v xml:space="preserve">  * La variable Niños, niñas, adolescentes y jóvenes Mejor Niñez No puede ser mayor al Total.</v>
      </c>
      <c r="CI262" s="135" t="str">
        <f t="shared" si="194"/>
        <v xml:space="preserve">  * La variable Migrantes No puede ser mayor al Total.</v>
      </c>
      <c r="CJ262" s="135" t="str">
        <f t="shared" si="195"/>
        <v xml:space="preserve">  * La variable Trans (Masculino/Femenino) No puede ser mayor al Total Ambos Sexos.</v>
      </c>
      <c r="CQ262" s="55">
        <f t="shared" si="196"/>
        <v>1</v>
      </c>
      <c r="CR262" s="55">
        <f t="shared" si="197"/>
        <v>1</v>
      </c>
      <c r="CS262" s="55">
        <f t="shared" si="198"/>
        <v>1</v>
      </c>
      <c r="CT262" s="55">
        <f t="shared" si="199"/>
        <v>1</v>
      </c>
      <c r="CU262" s="55">
        <f t="shared" si="200"/>
        <v>1</v>
      </c>
      <c r="CV262" s="55">
        <f t="shared" si="201"/>
        <v>1</v>
      </c>
      <c r="CW262" s="55">
        <f t="shared" si="202"/>
        <v>1</v>
      </c>
      <c r="CX262" s="55">
        <f t="shared" si="203"/>
        <v>1</v>
      </c>
    </row>
    <row r="263" spans="1:102" x14ac:dyDescent="0.25">
      <c r="A263" s="5640" t="s">
        <v>5116</v>
      </c>
      <c r="B263" s="6112"/>
      <c r="C263" s="650" t="s">
        <v>909</v>
      </c>
      <c r="D263" s="5759" t="s">
        <v>4567</v>
      </c>
      <c r="E263" s="5760" t="s">
        <v>4568</v>
      </c>
      <c r="F263" s="5761" t="s">
        <v>4569</v>
      </c>
      <c r="G263" s="5683" t="s">
        <v>4570</v>
      </c>
      <c r="H263" s="5693" t="s">
        <v>4571</v>
      </c>
      <c r="I263" s="5683" t="s">
        <v>4572</v>
      </c>
      <c r="J263" s="5693" t="s">
        <v>4573</v>
      </c>
      <c r="K263" s="5683" t="s">
        <v>4574</v>
      </c>
      <c r="L263" s="5693" t="s">
        <v>4575</v>
      </c>
      <c r="M263" s="5683" t="s">
        <v>4576</v>
      </c>
      <c r="N263" s="5693" t="s">
        <v>4577</v>
      </c>
      <c r="O263" s="5683" t="s">
        <v>4578</v>
      </c>
      <c r="P263" s="5693" t="s">
        <v>4579</v>
      </c>
      <c r="Q263" s="5683" t="s">
        <v>4580</v>
      </c>
      <c r="R263" s="5693" t="s">
        <v>4581</v>
      </c>
      <c r="S263" s="5683" t="s">
        <v>4582</v>
      </c>
      <c r="T263" s="5693" t="s">
        <v>4583</v>
      </c>
      <c r="U263" s="5683" t="s">
        <v>4584</v>
      </c>
      <c r="V263" s="5693" t="s">
        <v>4585</v>
      </c>
      <c r="W263" s="5683" t="s">
        <v>4586</v>
      </c>
      <c r="X263" s="5693" t="s">
        <v>4587</v>
      </c>
      <c r="Y263" s="5683" t="s">
        <v>4588</v>
      </c>
      <c r="Z263" s="5693" t="s">
        <v>4589</v>
      </c>
      <c r="AA263" s="5683" t="s">
        <v>4590</v>
      </c>
      <c r="AB263" s="5693" t="s">
        <v>4591</v>
      </c>
      <c r="AC263" s="5683" t="s">
        <v>4592</v>
      </c>
      <c r="AD263" s="5693" t="s">
        <v>4593</v>
      </c>
      <c r="AE263" s="1737" t="s">
        <v>4594</v>
      </c>
      <c r="AF263" s="5693" t="s">
        <v>4595</v>
      </c>
      <c r="AG263" s="1737" t="s">
        <v>4596</v>
      </c>
      <c r="AH263" s="5693" t="s">
        <v>4597</v>
      </c>
      <c r="AI263" s="1737" t="s">
        <v>4598</v>
      </c>
      <c r="AJ263" s="5693" t="s">
        <v>4599</v>
      </c>
      <c r="AK263" s="1737" t="s">
        <v>4600</v>
      </c>
      <c r="AL263" s="5693" t="s">
        <v>4601</v>
      </c>
      <c r="AM263" s="1737" t="s">
        <v>4602</v>
      </c>
      <c r="AN263" s="66" t="s">
        <v>4603</v>
      </c>
      <c r="AO263" s="5698" t="s">
        <v>4604</v>
      </c>
      <c r="AP263" s="5693" t="s">
        <v>4605</v>
      </c>
      <c r="AQ263" s="1737" t="s">
        <v>4606</v>
      </c>
      <c r="AR263" s="5693" t="s">
        <v>4934</v>
      </c>
      <c r="AS263" s="5683" t="s">
        <v>4935</v>
      </c>
      <c r="AT263" s="5686" t="s">
        <v>4936</v>
      </c>
      <c r="AU263" s="5762" t="s">
        <v>4937</v>
      </c>
      <c r="AV263" s="5763" t="s">
        <v>5234</v>
      </c>
      <c r="AW263" s="5762" t="s">
        <v>5235</v>
      </c>
      <c r="AX263" s="5763" t="s">
        <v>5236</v>
      </c>
      <c r="AY263" s="5764" t="s">
        <v>5237</v>
      </c>
      <c r="AZ263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CB263" s="19"/>
      <c r="CC263" s="135" t="str">
        <f t="shared" si="190"/>
        <v xml:space="preserve">  * La variable Gestantes No puede ser mayor al Total Mujeres.</v>
      </c>
      <c r="CD263" s="135" t="str">
        <f t="shared" si="174"/>
        <v xml:space="preserve">  * La variable Madre de hijo menor de 5 años No puede ser mayor al Total Mujeres.</v>
      </c>
      <c r="CE263" s="135" t="str">
        <f t="shared" si="204"/>
        <v xml:space="preserve">  * La variable Pueblos originarios Hombres No puede ser mayor al Total Hombres.</v>
      </c>
      <c r="CF263" s="135" t="str">
        <f t="shared" si="191"/>
        <v xml:space="preserve">  * La variable Pueblos originarios Mujeres No puede ser mayor al Total Mujeres.</v>
      </c>
      <c r="CG263" s="135" t="str">
        <f t="shared" si="192"/>
        <v xml:space="preserve">  * La variable Niños, niñas, adolescentes y jóvenes SENAME No puede ser mayor al Total.</v>
      </c>
      <c r="CH263" s="135" t="str">
        <f t="shared" si="193"/>
        <v xml:space="preserve">  * La variable Niños, niñas, adolescentes y jóvenes Mejor Niñez No puede ser mayor al Total.</v>
      </c>
      <c r="CI263" s="135" t="str">
        <f t="shared" si="194"/>
        <v xml:space="preserve">  * La variable Migrantes No puede ser mayor al Total.</v>
      </c>
      <c r="CJ263" s="135" t="str">
        <f t="shared" si="195"/>
        <v xml:space="preserve">  * La variable Trans (Masculino/Femenino) No puede ser mayor al Total Ambos Sexos.</v>
      </c>
      <c r="CQ263" s="55">
        <f t="shared" si="196"/>
        <v>1</v>
      </c>
      <c r="CR263" s="55">
        <f t="shared" si="197"/>
        <v>1</v>
      </c>
      <c r="CS263" s="55">
        <f t="shared" si="198"/>
        <v>1</v>
      </c>
      <c r="CT263" s="55">
        <f t="shared" si="199"/>
        <v>1</v>
      </c>
      <c r="CU263" s="55">
        <f t="shared" si="200"/>
        <v>1</v>
      </c>
      <c r="CV263" s="55">
        <f t="shared" si="201"/>
        <v>1</v>
      </c>
      <c r="CW263" s="55">
        <f t="shared" si="202"/>
        <v>1</v>
      </c>
      <c r="CX263" s="55">
        <f t="shared" si="203"/>
        <v>1</v>
      </c>
    </row>
    <row r="264" spans="1:102" x14ac:dyDescent="0.25">
      <c r="A264" s="5640" t="s">
        <v>5117</v>
      </c>
      <c r="B264" s="6059"/>
      <c r="C264" s="69" t="s">
        <v>868</v>
      </c>
      <c r="D264" s="5759" t="s">
        <v>4567</v>
      </c>
      <c r="E264" s="5760" t="s">
        <v>4568</v>
      </c>
      <c r="F264" s="5761" t="s">
        <v>4569</v>
      </c>
      <c r="G264" s="5683" t="s">
        <v>4570</v>
      </c>
      <c r="H264" s="5693" t="s">
        <v>4571</v>
      </c>
      <c r="I264" s="5683" t="s">
        <v>4572</v>
      </c>
      <c r="J264" s="5693" t="s">
        <v>4573</v>
      </c>
      <c r="K264" s="5683" t="s">
        <v>4574</v>
      </c>
      <c r="L264" s="5693" t="s">
        <v>4575</v>
      </c>
      <c r="M264" s="5683" t="s">
        <v>4576</v>
      </c>
      <c r="N264" s="5693" t="s">
        <v>4577</v>
      </c>
      <c r="O264" s="5683" t="s">
        <v>4578</v>
      </c>
      <c r="P264" s="5693" t="s">
        <v>4579</v>
      </c>
      <c r="Q264" s="5683" t="s">
        <v>4580</v>
      </c>
      <c r="R264" s="5693" t="s">
        <v>4581</v>
      </c>
      <c r="S264" s="5683" t="s">
        <v>4582</v>
      </c>
      <c r="T264" s="5693" t="s">
        <v>4583</v>
      </c>
      <c r="U264" s="5683" t="s">
        <v>4584</v>
      </c>
      <c r="V264" s="5693" t="s">
        <v>4585</v>
      </c>
      <c r="W264" s="5683" t="s">
        <v>4586</v>
      </c>
      <c r="X264" s="5693" t="s">
        <v>4587</v>
      </c>
      <c r="Y264" s="5683" t="s">
        <v>4588</v>
      </c>
      <c r="Z264" s="5693" t="s">
        <v>4589</v>
      </c>
      <c r="AA264" s="5683" t="s">
        <v>4590</v>
      </c>
      <c r="AB264" s="5693" t="s">
        <v>4591</v>
      </c>
      <c r="AC264" s="5683" t="s">
        <v>4592</v>
      </c>
      <c r="AD264" s="5693" t="s">
        <v>4593</v>
      </c>
      <c r="AE264" s="1737" t="s">
        <v>4594</v>
      </c>
      <c r="AF264" s="5693" t="s">
        <v>4595</v>
      </c>
      <c r="AG264" s="1737" t="s">
        <v>4596</v>
      </c>
      <c r="AH264" s="5693" t="s">
        <v>4597</v>
      </c>
      <c r="AI264" s="1737" t="s">
        <v>4598</v>
      </c>
      <c r="AJ264" s="5693" t="s">
        <v>4599</v>
      </c>
      <c r="AK264" s="1737" t="s">
        <v>4600</v>
      </c>
      <c r="AL264" s="5693" t="s">
        <v>4601</v>
      </c>
      <c r="AM264" s="1737" t="s">
        <v>4602</v>
      </c>
      <c r="AN264" s="66" t="s">
        <v>4603</v>
      </c>
      <c r="AO264" s="5698" t="s">
        <v>4604</v>
      </c>
      <c r="AP264" s="5693" t="s">
        <v>4605</v>
      </c>
      <c r="AQ264" s="1737" t="s">
        <v>4606</v>
      </c>
      <c r="AR264" s="5693" t="s">
        <v>4934</v>
      </c>
      <c r="AS264" s="5683" t="s">
        <v>4935</v>
      </c>
      <c r="AT264" s="5686" t="s">
        <v>4936</v>
      </c>
      <c r="AU264" s="5762" t="s">
        <v>4937</v>
      </c>
      <c r="AV264" s="5763" t="s">
        <v>5234</v>
      </c>
      <c r="AW264" s="5762" t="s">
        <v>5235</v>
      </c>
      <c r="AX264" s="5763" t="s">
        <v>5236</v>
      </c>
      <c r="AY264" s="5764" t="s">
        <v>5237</v>
      </c>
      <c r="AZ264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CB264" s="19"/>
      <c r="CC264" s="135" t="str">
        <f t="shared" si="190"/>
        <v xml:space="preserve">  * La variable Gestantes No puede ser mayor al Total Mujeres.</v>
      </c>
      <c r="CD264" s="135" t="str">
        <f t="shared" si="174"/>
        <v xml:space="preserve">  * La variable Madre de hijo menor de 5 años No puede ser mayor al Total Mujeres.</v>
      </c>
      <c r="CE264" s="135" t="str">
        <f t="shared" si="204"/>
        <v xml:space="preserve">  * La variable Pueblos originarios Hombres No puede ser mayor al Total Hombres.</v>
      </c>
      <c r="CF264" s="135" t="str">
        <f t="shared" si="191"/>
        <v xml:space="preserve">  * La variable Pueblos originarios Mujeres No puede ser mayor al Total Mujeres.</v>
      </c>
      <c r="CG264" s="135" t="str">
        <f t="shared" si="192"/>
        <v xml:space="preserve">  * La variable Niños, niñas, adolescentes y jóvenes SENAME No puede ser mayor al Total.</v>
      </c>
      <c r="CH264" s="135" t="str">
        <f t="shared" si="193"/>
        <v xml:space="preserve">  * La variable Niños, niñas, adolescentes y jóvenes Mejor Niñez No puede ser mayor al Total.</v>
      </c>
      <c r="CI264" s="135" t="str">
        <f t="shared" si="194"/>
        <v xml:space="preserve">  * La variable Migrantes No puede ser mayor al Total.</v>
      </c>
      <c r="CJ264" s="135" t="str">
        <f t="shared" si="195"/>
        <v xml:space="preserve">  * La variable Trans (Masculino/Femenino) No puede ser mayor al Total Ambos Sexos.</v>
      </c>
      <c r="CQ264" s="55">
        <f t="shared" si="196"/>
        <v>1</v>
      </c>
      <c r="CR264" s="55">
        <f t="shared" si="197"/>
        <v>1</v>
      </c>
      <c r="CS264" s="55">
        <f t="shared" si="198"/>
        <v>1</v>
      </c>
      <c r="CT264" s="55">
        <f t="shared" si="199"/>
        <v>1</v>
      </c>
      <c r="CU264" s="55">
        <f t="shared" si="200"/>
        <v>1</v>
      </c>
      <c r="CV264" s="55">
        <f t="shared" si="201"/>
        <v>1</v>
      </c>
      <c r="CW264" s="55">
        <f t="shared" si="202"/>
        <v>1</v>
      </c>
      <c r="CX264" s="55">
        <f t="shared" si="203"/>
        <v>1</v>
      </c>
    </row>
    <row r="265" spans="1:102" ht="15" customHeight="1" x14ac:dyDescent="0.25">
      <c r="A265" s="5640" t="s">
        <v>5118</v>
      </c>
      <c r="B265" s="6453" t="s">
        <v>869</v>
      </c>
      <c r="C265" s="651" t="s">
        <v>870</v>
      </c>
      <c r="D265" s="5759" t="s">
        <v>4567</v>
      </c>
      <c r="E265" s="5760" t="s">
        <v>4568</v>
      </c>
      <c r="F265" s="5761" t="s">
        <v>4569</v>
      </c>
      <c r="G265" s="5683" t="s">
        <v>4570</v>
      </c>
      <c r="H265" s="5693" t="s">
        <v>4571</v>
      </c>
      <c r="I265" s="5683" t="s">
        <v>4572</v>
      </c>
      <c r="J265" s="5693" t="s">
        <v>4573</v>
      </c>
      <c r="K265" s="5683" t="s">
        <v>4574</v>
      </c>
      <c r="L265" s="5693" t="s">
        <v>4575</v>
      </c>
      <c r="M265" s="5683" t="s">
        <v>4576</v>
      </c>
      <c r="N265" s="5693" t="s">
        <v>4577</v>
      </c>
      <c r="O265" s="5683" t="s">
        <v>4578</v>
      </c>
      <c r="P265" s="5693" t="s">
        <v>4579</v>
      </c>
      <c r="Q265" s="5683" t="s">
        <v>4580</v>
      </c>
      <c r="R265" s="5693" t="s">
        <v>4581</v>
      </c>
      <c r="S265" s="5683" t="s">
        <v>4582</v>
      </c>
      <c r="T265" s="5693" t="s">
        <v>4583</v>
      </c>
      <c r="U265" s="5683" t="s">
        <v>4584</v>
      </c>
      <c r="V265" s="5693" t="s">
        <v>4585</v>
      </c>
      <c r="W265" s="5683" t="s">
        <v>4586</v>
      </c>
      <c r="X265" s="5693" t="s">
        <v>4587</v>
      </c>
      <c r="Y265" s="5683" t="s">
        <v>4588</v>
      </c>
      <c r="Z265" s="5693" t="s">
        <v>4589</v>
      </c>
      <c r="AA265" s="5683" t="s">
        <v>4590</v>
      </c>
      <c r="AB265" s="5693" t="s">
        <v>4591</v>
      </c>
      <c r="AC265" s="5683" t="s">
        <v>4592</v>
      </c>
      <c r="AD265" s="5693" t="s">
        <v>4593</v>
      </c>
      <c r="AE265" s="1737" t="s">
        <v>4594</v>
      </c>
      <c r="AF265" s="5693" t="s">
        <v>4595</v>
      </c>
      <c r="AG265" s="1737" t="s">
        <v>4596</v>
      </c>
      <c r="AH265" s="5693" t="s">
        <v>4597</v>
      </c>
      <c r="AI265" s="1737" t="s">
        <v>4598</v>
      </c>
      <c r="AJ265" s="5693" t="s">
        <v>4599</v>
      </c>
      <c r="AK265" s="1737" t="s">
        <v>4600</v>
      </c>
      <c r="AL265" s="5693" t="s">
        <v>4601</v>
      </c>
      <c r="AM265" s="1737" t="s">
        <v>4602</v>
      </c>
      <c r="AN265" s="66" t="s">
        <v>4603</v>
      </c>
      <c r="AO265" s="5698" t="s">
        <v>4604</v>
      </c>
      <c r="AP265" s="5693" t="s">
        <v>4605</v>
      </c>
      <c r="AQ265" s="1737" t="s">
        <v>4606</v>
      </c>
      <c r="AR265" s="5693" t="s">
        <v>4934</v>
      </c>
      <c r="AS265" s="5683" t="s">
        <v>4935</v>
      </c>
      <c r="AT265" s="5686" t="s">
        <v>4936</v>
      </c>
      <c r="AU265" s="5762" t="s">
        <v>4937</v>
      </c>
      <c r="AV265" s="5763" t="s">
        <v>5234</v>
      </c>
      <c r="AW265" s="5762" t="s">
        <v>5235</v>
      </c>
      <c r="AX265" s="5763" t="s">
        <v>5236</v>
      </c>
      <c r="AY265" s="5764" t="s">
        <v>5237</v>
      </c>
      <c r="AZ265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CB265" s="19"/>
      <c r="CC265" s="135" t="str">
        <f t="shared" si="190"/>
        <v xml:space="preserve">  * La variable Gestantes No puede ser mayor al Total Mujeres.</v>
      </c>
      <c r="CD265" s="135" t="str">
        <f t="shared" si="174"/>
        <v xml:space="preserve">  * La variable Madre de hijo menor de 5 años No puede ser mayor al Total Mujeres.</v>
      </c>
      <c r="CE265" s="135" t="str">
        <f t="shared" si="204"/>
        <v xml:space="preserve">  * La variable Pueblos originarios Hombres No puede ser mayor al Total Hombres.</v>
      </c>
      <c r="CF265" s="135" t="str">
        <f t="shared" si="191"/>
        <v xml:space="preserve">  * La variable Pueblos originarios Mujeres No puede ser mayor al Total Mujeres.</v>
      </c>
      <c r="CG265" s="135" t="str">
        <f t="shared" si="192"/>
        <v xml:space="preserve">  * La variable Niños, niñas, adolescentes y jóvenes SENAME No puede ser mayor al Total.</v>
      </c>
      <c r="CH265" s="135" t="str">
        <f t="shared" si="193"/>
        <v xml:space="preserve">  * La variable Niños, niñas, adolescentes y jóvenes Mejor Niñez No puede ser mayor al Total.</v>
      </c>
      <c r="CI265" s="135" t="str">
        <f t="shared" si="194"/>
        <v xml:space="preserve">  * La variable Migrantes No puede ser mayor al Total.</v>
      </c>
      <c r="CJ265" s="135" t="str">
        <f t="shared" si="195"/>
        <v xml:space="preserve">  * La variable Trans (Masculino/Femenino) No puede ser mayor al Total Ambos Sexos.</v>
      </c>
      <c r="CQ265" s="55">
        <f t="shared" si="196"/>
        <v>1</v>
      </c>
      <c r="CR265" s="55">
        <f t="shared" si="197"/>
        <v>1</v>
      </c>
      <c r="CS265" s="55">
        <f t="shared" si="198"/>
        <v>1</v>
      </c>
      <c r="CT265" s="55">
        <f t="shared" si="199"/>
        <v>1</v>
      </c>
      <c r="CU265" s="55">
        <f t="shared" si="200"/>
        <v>1</v>
      </c>
      <c r="CV265" s="55">
        <f t="shared" si="201"/>
        <v>1</v>
      </c>
      <c r="CW265" s="55">
        <f t="shared" si="202"/>
        <v>1</v>
      </c>
      <c r="CX265" s="55">
        <f t="shared" si="203"/>
        <v>1</v>
      </c>
    </row>
    <row r="266" spans="1:102" x14ac:dyDescent="0.25">
      <c r="A266" s="5640" t="s">
        <v>5119</v>
      </c>
      <c r="B266" s="6112"/>
      <c r="C266" s="499" t="s">
        <v>871</v>
      </c>
      <c r="D266" s="5759" t="s">
        <v>4567</v>
      </c>
      <c r="E266" s="5760" t="s">
        <v>4568</v>
      </c>
      <c r="F266" s="5761" t="s">
        <v>4569</v>
      </c>
      <c r="G266" s="5683" t="s">
        <v>4570</v>
      </c>
      <c r="H266" s="5693" t="s">
        <v>4571</v>
      </c>
      <c r="I266" s="5683" t="s">
        <v>4572</v>
      </c>
      <c r="J266" s="5693" t="s">
        <v>4573</v>
      </c>
      <c r="K266" s="5683" t="s">
        <v>4574</v>
      </c>
      <c r="L266" s="5693" t="s">
        <v>4575</v>
      </c>
      <c r="M266" s="5683" t="s">
        <v>4576</v>
      </c>
      <c r="N266" s="5693" t="s">
        <v>4577</v>
      </c>
      <c r="O266" s="5683" t="s">
        <v>4578</v>
      </c>
      <c r="P266" s="5693" t="s">
        <v>4579</v>
      </c>
      <c r="Q266" s="5683" t="s">
        <v>4580</v>
      </c>
      <c r="R266" s="5693" t="s">
        <v>4581</v>
      </c>
      <c r="S266" s="5683" t="s">
        <v>4582</v>
      </c>
      <c r="T266" s="5693" t="s">
        <v>4583</v>
      </c>
      <c r="U266" s="5683" t="s">
        <v>4584</v>
      </c>
      <c r="V266" s="5693" t="s">
        <v>4585</v>
      </c>
      <c r="W266" s="5683" t="s">
        <v>4586</v>
      </c>
      <c r="X266" s="5693" t="s">
        <v>4587</v>
      </c>
      <c r="Y266" s="5683" t="s">
        <v>4588</v>
      </c>
      <c r="Z266" s="5693" t="s">
        <v>4589</v>
      </c>
      <c r="AA266" s="5683" t="s">
        <v>4590</v>
      </c>
      <c r="AB266" s="5693" t="s">
        <v>4591</v>
      </c>
      <c r="AC266" s="5683" t="s">
        <v>4592</v>
      </c>
      <c r="AD266" s="5693" t="s">
        <v>4593</v>
      </c>
      <c r="AE266" s="1737" t="s">
        <v>4594</v>
      </c>
      <c r="AF266" s="5693" t="s">
        <v>4595</v>
      </c>
      <c r="AG266" s="1737" t="s">
        <v>4596</v>
      </c>
      <c r="AH266" s="5693" t="s">
        <v>4597</v>
      </c>
      <c r="AI266" s="1737" t="s">
        <v>4598</v>
      </c>
      <c r="AJ266" s="5693" t="s">
        <v>4599</v>
      </c>
      <c r="AK266" s="1737" t="s">
        <v>4600</v>
      </c>
      <c r="AL266" s="5693" t="s">
        <v>4601</v>
      </c>
      <c r="AM266" s="1737" t="s">
        <v>4602</v>
      </c>
      <c r="AN266" s="66" t="s">
        <v>4603</v>
      </c>
      <c r="AO266" s="5698" t="s">
        <v>4604</v>
      </c>
      <c r="AP266" s="5693" t="s">
        <v>4605</v>
      </c>
      <c r="AQ266" s="1737" t="s">
        <v>4606</v>
      </c>
      <c r="AR266" s="5693" t="s">
        <v>4934</v>
      </c>
      <c r="AS266" s="5683" t="s">
        <v>4935</v>
      </c>
      <c r="AT266" s="5686" t="s">
        <v>4936</v>
      </c>
      <c r="AU266" s="5762" t="s">
        <v>4937</v>
      </c>
      <c r="AV266" s="5763" t="s">
        <v>5234</v>
      </c>
      <c r="AW266" s="5762" t="s">
        <v>5235</v>
      </c>
      <c r="AX266" s="5763" t="s">
        <v>5236</v>
      </c>
      <c r="AY266" s="5764" t="s">
        <v>5237</v>
      </c>
      <c r="AZ266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CB266" s="19"/>
      <c r="CC266" s="135" t="str">
        <f t="shared" si="190"/>
        <v xml:space="preserve">  * La variable Gestantes No puede ser mayor al Total Mujeres.</v>
      </c>
      <c r="CD266" s="135" t="str">
        <f t="shared" si="174"/>
        <v xml:space="preserve">  * La variable Madre de hijo menor de 5 años No puede ser mayor al Total Mujeres.</v>
      </c>
      <c r="CE266" s="135" t="str">
        <f t="shared" si="204"/>
        <v xml:space="preserve">  * La variable Pueblos originarios Hombres No puede ser mayor al Total Hombres.</v>
      </c>
      <c r="CF266" s="135" t="str">
        <f t="shared" si="191"/>
        <v xml:space="preserve">  * La variable Pueblos originarios Mujeres No puede ser mayor al Total Mujeres.</v>
      </c>
      <c r="CG266" s="135" t="str">
        <f t="shared" si="192"/>
        <v xml:space="preserve">  * La variable Niños, niñas, adolescentes y jóvenes SENAME No puede ser mayor al Total.</v>
      </c>
      <c r="CH266" s="135" t="str">
        <f t="shared" si="193"/>
        <v xml:space="preserve">  * La variable Niños, niñas, adolescentes y jóvenes Mejor Niñez No puede ser mayor al Total.</v>
      </c>
      <c r="CI266" s="135" t="str">
        <f t="shared" si="194"/>
        <v xml:space="preserve">  * La variable Migrantes No puede ser mayor al Total.</v>
      </c>
      <c r="CJ266" s="135" t="str">
        <f t="shared" si="195"/>
        <v xml:space="preserve">  * La variable Trans (Masculino/Femenino) No puede ser mayor al Total Ambos Sexos.</v>
      </c>
      <c r="CQ266" s="55">
        <f t="shared" si="196"/>
        <v>1</v>
      </c>
      <c r="CR266" s="55">
        <f t="shared" si="197"/>
        <v>1</v>
      </c>
      <c r="CS266" s="55">
        <f t="shared" si="198"/>
        <v>1</v>
      </c>
      <c r="CT266" s="55">
        <f t="shared" si="199"/>
        <v>1</v>
      </c>
      <c r="CU266" s="55">
        <f t="shared" si="200"/>
        <v>1</v>
      </c>
      <c r="CV266" s="55">
        <f t="shared" si="201"/>
        <v>1</v>
      </c>
      <c r="CW266" s="55">
        <f t="shared" si="202"/>
        <v>1</v>
      </c>
      <c r="CX266" s="55">
        <f t="shared" si="203"/>
        <v>1</v>
      </c>
    </row>
    <row r="267" spans="1:102" x14ac:dyDescent="0.25">
      <c r="A267" s="5640" t="s">
        <v>5120</v>
      </c>
      <c r="B267" s="6112"/>
      <c r="C267" s="52" t="s">
        <v>872</v>
      </c>
      <c r="D267" s="5759" t="s">
        <v>4567</v>
      </c>
      <c r="E267" s="5760" t="s">
        <v>4568</v>
      </c>
      <c r="F267" s="5761" t="s">
        <v>4569</v>
      </c>
      <c r="G267" s="5683" t="s">
        <v>4570</v>
      </c>
      <c r="H267" s="5693" t="s">
        <v>4571</v>
      </c>
      <c r="I267" s="5683" t="s">
        <v>4572</v>
      </c>
      <c r="J267" s="5693" t="s">
        <v>4573</v>
      </c>
      <c r="K267" s="5683" t="s">
        <v>4574</v>
      </c>
      <c r="L267" s="5693" t="s">
        <v>4575</v>
      </c>
      <c r="M267" s="5683" t="s">
        <v>4576</v>
      </c>
      <c r="N267" s="5693" t="s">
        <v>4577</v>
      </c>
      <c r="O267" s="5683" t="s">
        <v>4578</v>
      </c>
      <c r="P267" s="5693" t="s">
        <v>4579</v>
      </c>
      <c r="Q267" s="5683" t="s">
        <v>4580</v>
      </c>
      <c r="R267" s="5693" t="s">
        <v>4581</v>
      </c>
      <c r="S267" s="5683" t="s">
        <v>4582</v>
      </c>
      <c r="T267" s="5693" t="s">
        <v>4583</v>
      </c>
      <c r="U267" s="5683" t="s">
        <v>4584</v>
      </c>
      <c r="V267" s="5693" t="s">
        <v>4585</v>
      </c>
      <c r="W267" s="5683" t="s">
        <v>4586</v>
      </c>
      <c r="X267" s="5693" t="s">
        <v>4587</v>
      </c>
      <c r="Y267" s="5683" t="s">
        <v>4588</v>
      </c>
      <c r="Z267" s="5693" t="s">
        <v>4589</v>
      </c>
      <c r="AA267" s="5683" t="s">
        <v>4590</v>
      </c>
      <c r="AB267" s="5693" t="s">
        <v>4591</v>
      </c>
      <c r="AC267" s="5683" t="s">
        <v>4592</v>
      </c>
      <c r="AD267" s="5693" t="s">
        <v>4593</v>
      </c>
      <c r="AE267" s="1737" t="s">
        <v>4594</v>
      </c>
      <c r="AF267" s="5693" t="s">
        <v>4595</v>
      </c>
      <c r="AG267" s="1737" t="s">
        <v>4596</v>
      </c>
      <c r="AH267" s="5693" t="s">
        <v>4597</v>
      </c>
      <c r="AI267" s="1737" t="s">
        <v>4598</v>
      </c>
      <c r="AJ267" s="5693" t="s">
        <v>4599</v>
      </c>
      <c r="AK267" s="1737" t="s">
        <v>4600</v>
      </c>
      <c r="AL267" s="5693" t="s">
        <v>4601</v>
      </c>
      <c r="AM267" s="1737" t="s">
        <v>4602</v>
      </c>
      <c r="AN267" s="66" t="s">
        <v>4603</v>
      </c>
      <c r="AO267" s="5698" t="s">
        <v>4604</v>
      </c>
      <c r="AP267" s="5693" t="s">
        <v>4605</v>
      </c>
      <c r="AQ267" s="1737" t="s">
        <v>4606</v>
      </c>
      <c r="AR267" s="5693" t="s">
        <v>4934</v>
      </c>
      <c r="AS267" s="5683" t="s">
        <v>4935</v>
      </c>
      <c r="AT267" s="5686" t="s">
        <v>4936</v>
      </c>
      <c r="AU267" s="5762" t="s">
        <v>4937</v>
      </c>
      <c r="AV267" s="5763" t="s">
        <v>5234</v>
      </c>
      <c r="AW267" s="5762" t="s">
        <v>5235</v>
      </c>
      <c r="AX267" s="5763" t="s">
        <v>5236</v>
      </c>
      <c r="AY267" s="5764" t="s">
        <v>5237</v>
      </c>
      <c r="AZ267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CB267" s="19"/>
      <c r="CC267" s="135" t="str">
        <f t="shared" si="190"/>
        <v xml:space="preserve">  * La variable Gestantes No puede ser mayor al Total Mujeres.</v>
      </c>
      <c r="CD267" s="135" t="str">
        <f t="shared" si="174"/>
        <v xml:space="preserve">  * La variable Madre de hijo menor de 5 años No puede ser mayor al Total Mujeres.</v>
      </c>
      <c r="CE267" s="135" t="str">
        <f t="shared" si="204"/>
        <v xml:space="preserve">  * La variable Pueblos originarios Hombres No puede ser mayor al Total Hombres.</v>
      </c>
      <c r="CF267" s="135" t="str">
        <f t="shared" si="191"/>
        <v xml:space="preserve">  * La variable Pueblos originarios Mujeres No puede ser mayor al Total Mujeres.</v>
      </c>
      <c r="CG267" s="135" t="str">
        <f t="shared" si="192"/>
        <v xml:space="preserve">  * La variable Niños, niñas, adolescentes y jóvenes SENAME No puede ser mayor al Total.</v>
      </c>
      <c r="CH267" s="135" t="str">
        <f t="shared" si="193"/>
        <v xml:space="preserve">  * La variable Niños, niñas, adolescentes y jóvenes Mejor Niñez No puede ser mayor al Total.</v>
      </c>
      <c r="CI267" s="135" t="str">
        <f t="shared" si="194"/>
        <v xml:space="preserve">  * La variable Migrantes No puede ser mayor al Total.</v>
      </c>
      <c r="CJ267" s="135" t="str">
        <f t="shared" si="195"/>
        <v xml:space="preserve">  * La variable Trans (Masculino/Femenino) No puede ser mayor al Total Ambos Sexos.</v>
      </c>
      <c r="CQ267" s="55">
        <f t="shared" si="196"/>
        <v>1</v>
      </c>
      <c r="CR267" s="55">
        <f t="shared" si="197"/>
        <v>1</v>
      </c>
      <c r="CS267" s="55">
        <f t="shared" si="198"/>
        <v>1</v>
      </c>
      <c r="CT267" s="55">
        <f t="shared" si="199"/>
        <v>1</v>
      </c>
      <c r="CU267" s="55">
        <f t="shared" si="200"/>
        <v>1</v>
      </c>
      <c r="CV267" s="55">
        <f t="shared" si="201"/>
        <v>1</v>
      </c>
      <c r="CW267" s="55">
        <f t="shared" si="202"/>
        <v>1</v>
      </c>
      <c r="CX267" s="55">
        <f t="shared" si="203"/>
        <v>1</v>
      </c>
    </row>
    <row r="268" spans="1:102" x14ac:dyDescent="0.25">
      <c r="A268" s="5640" t="s">
        <v>5121</v>
      </c>
      <c r="B268" s="6112"/>
      <c r="C268" s="52" t="s">
        <v>873</v>
      </c>
      <c r="D268" s="5759" t="s">
        <v>4567</v>
      </c>
      <c r="E268" s="5760" t="s">
        <v>4568</v>
      </c>
      <c r="F268" s="5761" t="s">
        <v>4569</v>
      </c>
      <c r="G268" s="5683" t="s">
        <v>4570</v>
      </c>
      <c r="H268" s="5693" t="s">
        <v>4571</v>
      </c>
      <c r="I268" s="5683" t="s">
        <v>4572</v>
      </c>
      <c r="J268" s="5693" t="s">
        <v>4573</v>
      </c>
      <c r="K268" s="5683" t="s">
        <v>4574</v>
      </c>
      <c r="L268" s="5693" t="s">
        <v>4575</v>
      </c>
      <c r="M268" s="5683" t="s">
        <v>4576</v>
      </c>
      <c r="N268" s="5693" t="s">
        <v>4577</v>
      </c>
      <c r="O268" s="5683" t="s">
        <v>4578</v>
      </c>
      <c r="P268" s="5693" t="s">
        <v>4579</v>
      </c>
      <c r="Q268" s="5683" t="s">
        <v>4580</v>
      </c>
      <c r="R268" s="5693" t="s">
        <v>4581</v>
      </c>
      <c r="S268" s="5683" t="s">
        <v>4582</v>
      </c>
      <c r="T268" s="5693" t="s">
        <v>4583</v>
      </c>
      <c r="U268" s="5683" t="s">
        <v>4584</v>
      </c>
      <c r="V268" s="5693" t="s">
        <v>4585</v>
      </c>
      <c r="W268" s="5683" t="s">
        <v>4586</v>
      </c>
      <c r="X268" s="5693" t="s">
        <v>4587</v>
      </c>
      <c r="Y268" s="5683" t="s">
        <v>4588</v>
      </c>
      <c r="Z268" s="5693" t="s">
        <v>4589</v>
      </c>
      <c r="AA268" s="5683" t="s">
        <v>4590</v>
      </c>
      <c r="AB268" s="5693" t="s">
        <v>4591</v>
      </c>
      <c r="AC268" s="5683" t="s">
        <v>4592</v>
      </c>
      <c r="AD268" s="5693" t="s">
        <v>4593</v>
      </c>
      <c r="AE268" s="1737" t="s">
        <v>4594</v>
      </c>
      <c r="AF268" s="5693" t="s">
        <v>4595</v>
      </c>
      <c r="AG268" s="1737" t="s">
        <v>4596</v>
      </c>
      <c r="AH268" s="5693" t="s">
        <v>4597</v>
      </c>
      <c r="AI268" s="1737" t="s">
        <v>4598</v>
      </c>
      <c r="AJ268" s="5693" t="s">
        <v>4599</v>
      </c>
      <c r="AK268" s="1737" t="s">
        <v>4600</v>
      </c>
      <c r="AL268" s="5693" t="s">
        <v>4601</v>
      </c>
      <c r="AM268" s="1737" t="s">
        <v>4602</v>
      </c>
      <c r="AN268" s="66" t="s">
        <v>4603</v>
      </c>
      <c r="AO268" s="5698" t="s">
        <v>4604</v>
      </c>
      <c r="AP268" s="5693" t="s">
        <v>4605</v>
      </c>
      <c r="AQ268" s="1737" t="s">
        <v>4606</v>
      </c>
      <c r="AR268" s="5693" t="s">
        <v>4934</v>
      </c>
      <c r="AS268" s="5683" t="s">
        <v>4935</v>
      </c>
      <c r="AT268" s="5686" t="s">
        <v>4936</v>
      </c>
      <c r="AU268" s="5762" t="s">
        <v>4937</v>
      </c>
      <c r="AV268" s="5763" t="s">
        <v>5234</v>
      </c>
      <c r="AW268" s="5762" t="s">
        <v>5235</v>
      </c>
      <c r="AX268" s="5763" t="s">
        <v>5236</v>
      </c>
      <c r="AY268" s="5764" t="s">
        <v>5237</v>
      </c>
      <c r="AZ268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CB268" s="19"/>
      <c r="CC268" s="135" t="str">
        <f t="shared" si="190"/>
        <v xml:space="preserve">  * La variable Gestantes No puede ser mayor al Total Mujeres.</v>
      </c>
      <c r="CD268" s="135" t="str">
        <f t="shared" si="174"/>
        <v xml:space="preserve">  * La variable Madre de hijo menor de 5 años No puede ser mayor al Total Mujeres.</v>
      </c>
      <c r="CE268" s="135" t="str">
        <f t="shared" si="204"/>
        <v xml:space="preserve">  * La variable Pueblos originarios Hombres No puede ser mayor al Total Hombres.</v>
      </c>
      <c r="CF268" s="135" t="str">
        <f t="shared" si="191"/>
        <v xml:space="preserve">  * La variable Pueblos originarios Mujeres No puede ser mayor al Total Mujeres.</v>
      </c>
      <c r="CG268" s="135" t="str">
        <f t="shared" si="192"/>
        <v xml:space="preserve">  * La variable Niños, niñas, adolescentes y jóvenes SENAME No puede ser mayor al Total.</v>
      </c>
      <c r="CH268" s="135" t="str">
        <f t="shared" si="193"/>
        <v xml:space="preserve">  * La variable Niños, niñas, adolescentes y jóvenes Mejor Niñez No puede ser mayor al Total.</v>
      </c>
      <c r="CI268" s="135" t="str">
        <f t="shared" si="194"/>
        <v xml:space="preserve">  * La variable Migrantes No puede ser mayor al Total.</v>
      </c>
      <c r="CJ268" s="135" t="str">
        <f t="shared" si="195"/>
        <v xml:space="preserve">  * La variable Trans (Masculino/Femenino) No puede ser mayor al Total Ambos Sexos.</v>
      </c>
      <c r="CQ268" s="55">
        <f t="shared" si="196"/>
        <v>1</v>
      </c>
      <c r="CR268" s="55">
        <f t="shared" si="197"/>
        <v>1</v>
      </c>
      <c r="CS268" s="55">
        <f t="shared" si="198"/>
        <v>1</v>
      </c>
      <c r="CT268" s="55">
        <f t="shared" si="199"/>
        <v>1</v>
      </c>
      <c r="CU268" s="55">
        <f t="shared" si="200"/>
        <v>1</v>
      </c>
      <c r="CV268" s="55">
        <f t="shared" si="201"/>
        <v>1</v>
      </c>
      <c r="CW268" s="55">
        <f t="shared" si="202"/>
        <v>1</v>
      </c>
      <c r="CX268" s="55">
        <f t="shared" si="203"/>
        <v>1</v>
      </c>
    </row>
    <row r="269" spans="1:102" x14ac:dyDescent="0.25">
      <c r="A269" s="5640" t="s">
        <v>5122</v>
      </c>
      <c r="B269" s="6059"/>
      <c r="C269" s="386" t="s">
        <v>874</v>
      </c>
      <c r="D269" s="5759" t="s">
        <v>4567</v>
      </c>
      <c r="E269" s="5760" t="s">
        <v>4568</v>
      </c>
      <c r="F269" s="5761" t="s">
        <v>4569</v>
      </c>
      <c r="G269" s="5683" t="s">
        <v>4570</v>
      </c>
      <c r="H269" s="5693" t="s">
        <v>4571</v>
      </c>
      <c r="I269" s="5683" t="s">
        <v>4572</v>
      </c>
      <c r="J269" s="5693" t="s">
        <v>4573</v>
      </c>
      <c r="K269" s="5683" t="s">
        <v>4574</v>
      </c>
      <c r="L269" s="5693" t="s">
        <v>4575</v>
      </c>
      <c r="M269" s="5683" t="s">
        <v>4576</v>
      </c>
      <c r="N269" s="5693" t="s">
        <v>4577</v>
      </c>
      <c r="O269" s="5683" t="s">
        <v>4578</v>
      </c>
      <c r="P269" s="5693" t="s">
        <v>4579</v>
      </c>
      <c r="Q269" s="5683" t="s">
        <v>4580</v>
      </c>
      <c r="R269" s="5693" t="s">
        <v>4581</v>
      </c>
      <c r="S269" s="5683" t="s">
        <v>4582</v>
      </c>
      <c r="T269" s="5693" t="s">
        <v>4583</v>
      </c>
      <c r="U269" s="5683" t="s">
        <v>4584</v>
      </c>
      <c r="V269" s="5693" t="s">
        <v>4585</v>
      </c>
      <c r="W269" s="5683" t="s">
        <v>4586</v>
      </c>
      <c r="X269" s="5693" t="s">
        <v>4587</v>
      </c>
      <c r="Y269" s="5683" t="s">
        <v>4588</v>
      </c>
      <c r="Z269" s="5693" t="s">
        <v>4589</v>
      </c>
      <c r="AA269" s="5683" t="s">
        <v>4590</v>
      </c>
      <c r="AB269" s="5693" t="s">
        <v>4591</v>
      </c>
      <c r="AC269" s="5683" t="s">
        <v>4592</v>
      </c>
      <c r="AD269" s="5693" t="s">
        <v>4593</v>
      </c>
      <c r="AE269" s="1737" t="s">
        <v>4594</v>
      </c>
      <c r="AF269" s="5693" t="s">
        <v>4595</v>
      </c>
      <c r="AG269" s="1737" t="s">
        <v>4596</v>
      </c>
      <c r="AH269" s="5693" t="s">
        <v>4597</v>
      </c>
      <c r="AI269" s="1737" t="s">
        <v>4598</v>
      </c>
      <c r="AJ269" s="5693" t="s">
        <v>4599</v>
      </c>
      <c r="AK269" s="1737" t="s">
        <v>4600</v>
      </c>
      <c r="AL269" s="5693" t="s">
        <v>4601</v>
      </c>
      <c r="AM269" s="1737" t="s">
        <v>4602</v>
      </c>
      <c r="AN269" s="66" t="s">
        <v>4603</v>
      </c>
      <c r="AO269" s="5698" t="s">
        <v>4604</v>
      </c>
      <c r="AP269" s="5693" t="s">
        <v>4605</v>
      </c>
      <c r="AQ269" s="1737" t="s">
        <v>4606</v>
      </c>
      <c r="AR269" s="5693" t="s">
        <v>4934</v>
      </c>
      <c r="AS269" s="5683" t="s">
        <v>4935</v>
      </c>
      <c r="AT269" s="5686" t="s">
        <v>4936</v>
      </c>
      <c r="AU269" s="5762" t="s">
        <v>4937</v>
      </c>
      <c r="AV269" s="5763" t="s">
        <v>5234</v>
      </c>
      <c r="AW269" s="5762" t="s">
        <v>5235</v>
      </c>
      <c r="AX269" s="5763" t="s">
        <v>5236</v>
      </c>
      <c r="AY269" s="5764" t="s">
        <v>5237</v>
      </c>
      <c r="AZ269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CB269" s="19"/>
      <c r="CC269" s="135" t="str">
        <f>IF(AND(F269&gt;0,AR269=""), "* No olvide digitar la variable Gestantes. Digite Cero si no tiene.",IF(AR269&gt;F269,"  * La variable Gestantes No puede ser mayor al Total Mujeres.",""))</f>
        <v xml:space="preserve">  * La variable Gestantes No puede ser mayor al Total Mujeres.</v>
      </c>
      <c r="CD269" s="135" t="str">
        <f t="shared" si="174"/>
        <v xml:space="preserve">  * La variable Madre de hijo menor de 5 años No puede ser mayor al Total Mujeres.</v>
      </c>
      <c r="CE269" s="135" t="str">
        <f t="shared" si="204"/>
        <v xml:space="preserve">  * La variable Pueblos originarios Hombres No puede ser mayor al Total Hombres.</v>
      </c>
      <c r="CF269" s="135" t="str">
        <f t="shared" si="191"/>
        <v xml:space="preserve">  * La variable Pueblos originarios Mujeres No puede ser mayor al Total Mujeres.</v>
      </c>
      <c r="CG269" s="135" t="str">
        <f t="shared" si="192"/>
        <v xml:space="preserve">  * La variable Niños, niñas, adolescentes y jóvenes SENAME No puede ser mayor al Total.</v>
      </c>
      <c r="CH269" s="135" t="str">
        <f t="shared" si="193"/>
        <v xml:space="preserve">  * La variable Niños, niñas, adolescentes y jóvenes Mejor Niñez No puede ser mayor al Total.</v>
      </c>
      <c r="CI269" s="135" t="str">
        <f t="shared" si="194"/>
        <v xml:space="preserve">  * La variable Migrantes No puede ser mayor al Total.</v>
      </c>
      <c r="CJ269" s="135" t="str">
        <f t="shared" si="195"/>
        <v xml:space="preserve">  * La variable Trans (Masculino/Femenino) No puede ser mayor al Total Ambos Sexos.</v>
      </c>
      <c r="CQ269" s="55">
        <f t="shared" si="196"/>
        <v>1</v>
      </c>
      <c r="CR269" s="55">
        <f t="shared" si="197"/>
        <v>1</v>
      </c>
      <c r="CS269" s="55">
        <f t="shared" si="198"/>
        <v>1</v>
      </c>
      <c r="CT269" s="55">
        <f t="shared" si="199"/>
        <v>1</v>
      </c>
      <c r="CU269" s="55">
        <f t="shared" si="200"/>
        <v>1</v>
      </c>
      <c r="CV269" s="55">
        <f t="shared" si="201"/>
        <v>1</v>
      </c>
      <c r="CW269" s="55">
        <f t="shared" si="202"/>
        <v>1</v>
      </c>
      <c r="CX269" s="55">
        <f t="shared" si="203"/>
        <v>1</v>
      </c>
    </row>
    <row r="270" spans="1:102" ht="15" customHeight="1" x14ac:dyDescent="0.25">
      <c r="A270" s="5640" t="s">
        <v>5123</v>
      </c>
      <c r="B270" s="6453" t="s">
        <v>910</v>
      </c>
      <c r="C270" s="640" t="s">
        <v>876</v>
      </c>
      <c r="D270" s="5759" t="s">
        <v>4567</v>
      </c>
      <c r="E270" s="5760" t="s">
        <v>4568</v>
      </c>
      <c r="F270" s="5761" t="s">
        <v>4569</v>
      </c>
      <c r="G270" s="5683" t="s">
        <v>4570</v>
      </c>
      <c r="H270" s="5693" t="s">
        <v>4571</v>
      </c>
      <c r="I270" s="5683" t="s">
        <v>4572</v>
      </c>
      <c r="J270" s="5693" t="s">
        <v>4573</v>
      </c>
      <c r="K270" s="5683" t="s">
        <v>4574</v>
      </c>
      <c r="L270" s="5693" t="s">
        <v>4575</v>
      </c>
      <c r="M270" s="5683" t="s">
        <v>4576</v>
      </c>
      <c r="N270" s="5693" t="s">
        <v>4577</v>
      </c>
      <c r="O270" s="5683" t="s">
        <v>4578</v>
      </c>
      <c r="P270" s="5693" t="s">
        <v>4579</v>
      </c>
      <c r="Q270" s="5683" t="s">
        <v>4580</v>
      </c>
      <c r="R270" s="5693" t="s">
        <v>4581</v>
      </c>
      <c r="S270" s="5683" t="s">
        <v>4582</v>
      </c>
      <c r="T270" s="5693" t="s">
        <v>4583</v>
      </c>
      <c r="U270" s="5683" t="s">
        <v>4584</v>
      </c>
      <c r="V270" s="5693" t="s">
        <v>4585</v>
      </c>
      <c r="W270" s="5683" t="s">
        <v>4586</v>
      </c>
      <c r="X270" s="5693" t="s">
        <v>4587</v>
      </c>
      <c r="Y270" s="5683" t="s">
        <v>4588</v>
      </c>
      <c r="Z270" s="5693" t="s">
        <v>4589</v>
      </c>
      <c r="AA270" s="5683" t="s">
        <v>4590</v>
      </c>
      <c r="AB270" s="5693" t="s">
        <v>4591</v>
      </c>
      <c r="AC270" s="5683" t="s">
        <v>4592</v>
      </c>
      <c r="AD270" s="5693" t="s">
        <v>4593</v>
      </c>
      <c r="AE270" s="1737" t="s">
        <v>4594</v>
      </c>
      <c r="AF270" s="5693" t="s">
        <v>4595</v>
      </c>
      <c r="AG270" s="1737" t="s">
        <v>4596</v>
      </c>
      <c r="AH270" s="5693" t="s">
        <v>4597</v>
      </c>
      <c r="AI270" s="1737" t="s">
        <v>4598</v>
      </c>
      <c r="AJ270" s="5693" t="s">
        <v>4599</v>
      </c>
      <c r="AK270" s="1737" t="s">
        <v>4600</v>
      </c>
      <c r="AL270" s="5693" t="s">
        <v>4601</v>
      </c>
      <c r="AM270" s="1737" t="s">
        <v>4602</v>
      </c>
      <c r="AN270" s="66" t="s">
        <v>4603</v>
      </c>
      <c r="AO270" s="5698" t="s">
        <v>4604</v>
      </c>
      <c r="AP270" s="5693" t="s">
        <v>4605</v>
      </c>
      <c r="AQ270" s="1737" t="s">
        <v>4606</v>
      </c>
      <c r="AR270" s="5693" t="s">
        <v>4934</v>
      </c>
      <c r="AS270" s="5683" t="s">
        <v>4935</v>
      </c>
      <c r="AT270" s="5686" t="s">
        <v>4936</v>
      </c>
      <c r="AU270" s="5762" t="s">
        <v>4937</v>
      </c>
      <c r="AV270" s="5763" t="s">
        <v>5234</v>
      </c>
      <c r="AW270" s="5762" t="s">
        <v>5235</v>
      </c>
      <c r="AX270" s="5763" t="s">
        <v>5236</v>
      </c>
      <c r="AY270" s="5764" t="s">
        <v>5237</v>
      </c>
      <c r="AZ270" s="6" t="str">
        <f t="shared" si="189"/>
        <v xml:space="preserve">  * La variable Gestantes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CB270" s="19"/>
      <c r="CC270" s="135" t="str">
        <f t="shared" ref="CC270:CC272" si="205">IF(AND(F270&gt;0,AR270=""), "* No olvide digitar la variable Gestantes. Digite Cero si no tiene.",IF(AR270&gt;F270,"  * La variable Gestantes No puede ser mayor al Total Mujeres.",""))</f>
        <v xml:space="preserve">  * La variable Gestantes No puede ser mayor al Total Mujeres.</v>
      </c>
      <c r="CD270" s="1712"/>
      <c r="CE270" s="135" t="str">
        <f t="shared" si="204"/>
        <v xml:space="preserve">  * La variable Pueblos originarios Hombres No puede ser mayor al Total Hombres.</v>
      </c>
      <c r="CF270" s="135" t="str">
        <f t="shared" si="191"/>
        <v xml:space="preserve">  * La variable Pueblos originarios Mujeres No puede ser mayor al Total Mujeres.</v>
      </c>
      <c r="CG270" s="135" t="str">
        <f t="shared" si="192"/>
        <v xml:space="preserve">  * La variable Niños, niñas, adolescentes y jóvenes SENAME No puede ser mayor al Total.</v>
      </c>
      <c r="CH270" s="135" t="str">
        <f t="shared" si="193"/>
        <v xml:space="preserve">  * La variable Niños, niñas, adolescentes y jóvenes Mejor Niñez No puede ser mayor al Total.</v>
      </c>
      <c r="CI270" s="135" t="str">
        <f t="shared" si="194"/>
        <v xml:space="preserve">  * La variable Migrantes No puede ser mayor al Total.</v>
      </c>
      <c r="CJ270" s="135" t="str">
        <f t="shared" si="195"/>
        <v xml:space="preserve">  * La variable Trans (Masculino/Femenino) No puede ser mayor al Total Ambos Sexos.</v>
      </c>
      <c r="CQ270" s="55">
        <f t="shared" si="196"/>
        <v>1</v>
      </c>
      <c r="CR270" s="54"/>
      <c r="CS270" s="55">
        <f t="shared" si="198"/>
        <v>1</v>
      </c>
      <c r="CT270" s="55">
        <f t="shared" si="199"/>
        <v>1</v>
      </c>
      <c r="CU270" s="55">
        <f t="shared" si="200"/>
        <v>1</v>
      </c>
      <c r="CV270" s="55">
        <f t="shared" si="201"/>
        <v>1</v>
      </c>
      <c r="CW270" s="55">
        <f t="shared" si="202"/>
        <v>1</v>
      </c>
      <c r="CX270" s="55">
        <f t="shared" si="203"/>
        <v>1</v>
      </c>
    </row>
    <row r="271" spans="1:102" ht="22.5" x14ac:dyDescent="0.25">
      <c r="A271" s="5640" t="s">
        <v>5124</v>
      </c>
      <c r="B271" s="6112"/>
      <c r="C271" s="499" t="s">
        <v>877</v>
      </c>
      <c r="D271" s="5759" t="s">
        <v>4567</v>
      </c>
      <c r="E271" s="5760" t="s">
        <v>4568</v>
      </c>
      <c r="F271" s="5761" t="s">
        <v>4569</v>
      </c>
      <c r="G271" s="5683" t="s">
        <v>4570</v>
      </c>
      <c r="H271" s="5693" t="s">
        <v>4571</v>
      </c>
      <c r="I271" s="5683" t="s">
        <v>4572</v>
      </c>
      <c r="J271" s="5693" t="s">
        <v>4573</v>
      </c>
      <c r="K271" s="5683" t="s">
        <v>4574</v>
      </c>
      <c r="L271" s="5693" t="s">
        <v>4575</v>
      </c>
      <c r="M271" s="5683" t="s">
        <v>4576</v>
      </c>
      <c r="N271" s="5693" t="s">
        <v>4577</v>
      </c>
      <c r="O271" s="5683" t="s">
        <v>4578</v>
      </c>
      <c r="P271" s="5693" t="s">
        <v>4579</v>
      </c>
      <c r="Q271" s="5683" t="s">
        <v>4580</v>
      </c>
      <c r="R271" s="5693" t="s">
        <v>4581</v>
      </c>
      <c r="S271" s="5683" t="s">
        <v>4582</v>
      </c>
      <c r="T271" s="5693" t="s">
        <v>4583</v>
      </c>
      <c r="U271" s="5683" t="s">
        <v>4584</v>
      </c>
      <c r="V271" s="5693" t="s">
        <v>4585</v>
      </c>
      <c r="W271" s="5683" t="s">
        <v>4586</v>
      </c>
      <c r="X271" s="5693" t="s">
        <v>4587</v>
      </c>
      <c r="Y271" s="5683" t="s">
        <v>4588</v>
      </c>
      <c r="Z271" s="5693" t="s">
        <v>4589</v>
      </c>
      <c r="AA271" s="5683" t="s">
        <v>4590</v>
      </c>
      <c r="AB271" s="5693" t="s">
        <v>4591</v>
      </c>
      <c r="AC271" s="5683" t="s">
        <v>4592</v>
      </c>
      <c r="AD271" s="5693" t="s">
        <v>4593</v>
      </c>
      <c r="AE271" s="1737" t="s">
        <v>4594</v>
      </c>
      <c r="AF271" s="5693" t="s">
        <v>4595</v>
      </c>
      <c r="AG271" s="1737" t="s">
        <v>4596</v>
      </c>
      <c r="AH271" s="5693" t="s">
        <v>4597</v>
      </c>
      <c r="AI271" s="1737" t="s">
        <v>4598</v>
      </c>
      <c r="AJ271" s="5693" t="s">
        <v>4599</v>
      </c>
      <c r="AK271" s="1737" t="s">
        <v>4600</v>
      </c>
      <c r="AL271" s="5693" t="s">
        <v>4601</v>
      </c>
      <c r="AM271" s="1737" t="s">
        <v>4602</v>
      </c>
      <c r="AN271" s="66" t="s">
        <v>4603</v>
      </c>
      <c r="AO271" s="5698" t="s">
        <v>4604</v>
      </c>
      <c r="AP271" s="5693" t="s">
        <v>4605</v>
      </c>
      <c r="AQ271" s="1737" t="s">
        <v>4606</v>
      </c>
      <c r="AR271" s="5693" t="s">
        <v>4934</v>
      </c>
      <c r="AS271" s="5683" t="s">
        <v>4935</v>
      </c>
      <c r="AT271" s="5686" t="s">
        <v>4936</v>
      </c>
      <c r="AU271" s="5762" t="s">
        <v>4937</v>
      </c>
      <c r="AV271" s="5763" t="s">
        <v>5234</v>
      </c>
      <c r="AW271" s="5762" t="s">
        <v>5235</v>
      </c>
      <c r="AX271" s="5763" t="s">
        <v>5236</v>
      </c>
      <c r="AY271" s="5764" t="s">
        <v>5237</v>
      </c>
      <c r="AZ271" s="6" t="str">
        <f t="shared" si="189"/>
        <v xml:space="preserve">  * La variable Gestantes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CB271" s="19"/>
      <c r="CC271" s="135" t="str">
        <f t="shared" si="205"/>
        <v xml:space="preserve">  * La variable Gestantes No puede ser mayor al Total Mujeres.</v>
      </c>
      <c r="CD271" s="1712"/>
      <c r="CE271" s="135" t="str">
        <f t="shared" si="204"/>
        <v xml:space="preserve">  * La variable Pueblos originarios Hombres No puede ser mayor al Total Hombres.</v>
      </c>
      <c r="CF271" s="135" t="str">
        <f t="shared" si="191"/>
        <v xml:space="preserve">  * La variable Pueblos originarios Mujeres No puede ser mayor al Total Mujeres.</v>
      </c>
      <c r="CG271" s="135" t="str">
        <f t="shared" si="192"/>
        <v xml:space="preserve">  * La variable Niños, niñas, adolescentes y jóvenes SENAME No puede ser mayor al Total.</v>
      </c>
      <c r="CH271" s="135" t="str">
        <f t="shared" si="193"/>
        <v xml:space="preserve">  * La variable Niños, niñas, adolescentes y jóvenes Mejor Niñez No puede ser mayor al Total.</v>
      </c>
      <c r="CI271" s="135" t="str">
        <f t="shared" si="194"/>
        <v xml:space="preserve">  * La variable Migrantes No puede ser mayor al Total.</v>
      </c>
      <c r="CJ271" s="135" t="str">
        <f t="shared" si="195"/>
        <v xml:space="preserve">  * La variable Trans (Masculino/Femenino) No puede ser mayor al Total Ambos Sexos.</v>
      </c>
      <c r="CQ271" s="55">
        <f t="shared" si="196"/>
        <v>1</v>
      </c>
      <c r="CR271" s="54"/>
      <c r="CS271" s="55">
        <f t="shared" si="198"/>
        <v>1</v>
      </c>
      <c r="CT271" s="55">
        <f t="shared" si="199"/>
        <v>1</v>
      </c>
      <c r="CU271" s="55">
        <f t="shared" si="200"/>
        <v>1</v>
      </c>
      <c r="CV271" s="55">
        <f t="shared" si="201"/>
        <v>1</v>
      </c>
      <c r="CW271" s="55">
        <f t="shared" si="202"/>
        <v>1</v>
      </c>
      <c r="CX271" s="55">
        <f t="shared" si="203"/>
        <v>1</v>
      </c>
    </row>
    <row r="272" spans="1:102" ht="22.5" x14ac:dyDescent="0.25">
      <c r="A272" s="5640" t="s">
        <v>5125</v>
      </c>
      <c r="B272" s="6112"/>
      <c r="C272" s="499" t="s">
        <v>878</v>
      </c>
      <c r="D272" s="5759" t="s">
        <v>4567</v>
      </c>
      <c r="E272" s="5760" t="s">
        <v>4568</v>
      </c>
      <c r="F272" s="5761" t="s">
        <v>4569</v>
      </c>
      <c r="G272" s="5683" t="s">
        <v>4570</v>
      </c>
      <c r="H272" s="5693" t="s">
        <v>4571</v>
      </c>
      <c r="I272" s="5683" t="s">
        <v>4572</v>
      </c>
      <c r="J272" s="5693" t="s">
        <v>4573</v>
      </c>
      <c r="K272" s="5683" t="s">
        <v>4574</v>
      </c>
      <c r="L272" s="5693" t="s">
        <v>4575</v>
      </c>
      <c r="M272" s="5683" t="s">
        <v>4576</v>
      </c>
      <c r="N272" s="5693" t="s">
        <v>4577</v>
      </c>
      <c r="O272" s="5683" t="s">
        <v>4578</v>
      </c>
      <c r="P272" s="5693" t="s">
        <v>4579</v>
      </c>
      <c r="Q272" s="5683" t="s">
        <v>4580</v>
      </c>
      <c r="R272" s="5693" t="s">
        <v>4581</v>
      </c>
      <c r="S272" s="5683" t="s">
        <v>4582</v>
      </c>
      <c r="T272" s="5693" t="s">
        <v>4583</v>
      </c>
      <c r="U272" s="5683" t="s">
        <v>4584</v>
      </c>
      <c r="V272" s="5693" t="s">
        <v>4585</v>
      </c>
      <c r="W272" s="5683" t="s">
        <v>4586</v>
      </c>
      <c r="X272" s="5693" t="s">
        <v>4587</v>
      </c>
      <c r="Y272" s="5683" t="s">
        <v>4588</v>
      </c>
      <c r="Z272" s="5693" t="s">
        <v>4589</v>
      </c>
      <c r="AA272" s="5683" t="s">
        <v>4590</v>
      </c>
      <c r="AB272" s="5693" t="s">
        <v>4591</v>
      </c>
      <c r="AC272" s="5683" t="s">
        <v>4592</v>
      </c>
      <c r="AD272" s="5693" t="s">
        <v>4593</v>
      </c>
      <c r="AE272" s="1737" t="s">
        <v>4594</v>
      </c>
      <c r="AF272" s="5693" t="s">
        <v>4595</v>
      </c>
      <c r="AG272" s="1737" t="s">
        <v>4596</v>
      </c>
      <c r="AH272" s="5693" t="s">
        <v>4597</v>
      </c>
      <c r="AI272" s="1737" t="s">
        <v>4598</v>
      </c>
      <c r="AJ272" s="5693" t="s">
        <v>4599</v>
      </c>
      <c r="AK272" s="1737" t="s">
        <v>4600</v>
      </c>
      <c r="AL272" s="5693" t="s">
        <v>4601</v>
      </c>
      <c r="AM272" s="1737" t="s">
        <v>4602</v>
      </c>
      <c r="AN272" s="66" t="s">
        <v>4603</v>
      </c>
      <c r="AO272" s="5698" t="s">
        <v>4604</v>
      </c>
      <c r="AP272" s="5693" t="s">
        <v>4605</v>
      </c>
      <c r="AQ272" s="1737" t="s">
        <v>4606</v>
      </c>
      <c r="AR272" s="5693" t="s">
        <v>4934</v>
      </c>
      <c r="AS272" s="5683" t="s">
        <v>4935</v>
      </c>
      <c r="AT272" s="5686" t="s">
        <v>4936</v>
      </c>
      <c r="AU272" s="5762" t="s">
        <v>4937</v>
      </c>
      <c r="AV272" s="5763" t="s">
        <v>5234</v>
      </c>
      <c r="AW272" s="5762" t="s">
        <v>5235</v>
      </c>
      <c r="AX272" s="5763" t="s">
        <v>5236</v>
      </c>
      <c r="AY272" s="5764" t="s">
        <v>5237</v>
      </c>
      <c r="AZ272" s="6" t="str">
        <f>CB272&amp;CC272&amp;CD272&amp;CE272&amp;CF272&amp;CG272&amp;CH272&amp;CI272&amp;CJ272</f>
        <v xml:space="preserve">  * La variable Gestantes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CB272" s="19"/>
      <c r="CC272" s="135" t="str">
        <f t="shared" si="205"/>
        <v xml:space="preserve">  * La variable Gestantes No puede ser mayor al Total Mujeres.</v>
      </c>
      <c r="CD272" s="1712"/>
      <c r="CE272" s="135" t="str">
        <f t="shared" si="204"/>
        <v xml:space="preserve">  * La variable Pueblos originarios Hombres No puede ser mayor al Total Hombres.</v>
      </c>
      <c r="CF272" s="135" t="str">
        <f t="shared" si="191"/>
        <v xml:space="preserve">  * La variable Pueblos originarios Mujeres No puede ser mayor al Total Mujeres.</v>
      </c>
      <c r="CG272" s="135" t="str">
        <f t="shared" si="192"/>
        <v xml:space="preserve">  * La variable Niños, niñas, adolescentes y jóvenes SENAME No puede ser mayor al Total.</v>
      </c>
      <c r="CH272" s="135" t="str">
        <f t="shared" si="193"/>
        <v xml:space="preserve">  * La variable Niños, niñas, adolescentes y jóvenes Mejor Niñez No puede ser mayor al Total.</v>
      </c>
      <c r="CI272" s="135" t="str">
        <f t="shared" si="194"/>
        <v xml:space="preserve">  * La variable Migrantes No puede ser mayor al Total.</v>
      </c>
      <c r="CJ272" s="135" t="str">
        <f t="shared" si="195"/>
        <v xml:space="preserve">  * La variable Trans (Masculino/Femenino) No puede ser mayor al Total Ambos Sexos.</v>
      </c>
      <c r="CQ272" s="55">
        <f t="shared" si="196"/>
        <v>1</v>
      </c>
      <c r="CR272" s="54"/>
      <c r="CS272" s="55">
        <f t="shared" si="198"/>
        <v>1</v>
      </c>
      <c r="CT272" s="55">
        <f t="shared" si="199"/>
        <v>1</v>
      </c>
      <c r="CU272" s="55">
        <f t="shared" si="200"/>
        <v>1</v>
      </c>
      <c r="CV272" s="55">
        <f t="shared" si="201"/>
        <v>1</v>
      </c>
      <c r="CW272" s="55">
        <f t="shared" si="202"/>
        <v>1</v>
      </c>
      <c r="CX272" s="55">
        <f t="shared" si="203"/>
        <v>1</v>
      </c>
    </row>
    <row r="273" spans="1:102" ht="33" x14ac:dyDescent="0.25">
      <c r="A273" s="5640" t="s">
        <v>5126</v>
      </c>
      <c r="B273" s="6059"/>
      <c r="C273" s="386" t="s">
        <v>879</v>
      </c>
      <c r="D273" s="5759" t="s">
        <v>4567</v>
      </c>
      <c r="E273" s="5760" t="s">
        <v>4568</v>
      </c>
      <c r="F273" s="5761" t="s">
        <v>4569</v>
      </c>
      <c r="G273" s="5683" t="s">
        <v>4570</v>
      </c>
      <c r="H273" s="5693" t="s">
        <v>4571</v>
      </c>
      <c r="I273" s="5683" t="s">
        <v>4572</v>
      </c>
      <c r="J273" s="5693" t="s">
        <v>4573</v>
      </c>
      <c r="K273" s="5683" t="s">
        <v>4574</v>
      </c>
      <c r="L273" s="5693" t="s">
        <v>4575</v>
      </c>
      <c r="M273" s="5683" t="s">
        <v>4576</v>
      </c>
      <c r="N273" s="5693" t="s">
        <v>4577</v>
      </c>
      <c r="O273" s="5683" t="s">
        <v>4578</v>
      </c>
      <c r="P273" s="5693" t="s">
        <v>4579</v>
      </c>
      <c r="Q273" s="5683" t="s">
        <v>4580</v>
      </c>
      <c r="R273" s="5693" t="s">
        <v>4581</v>
      </c>
      <c r="S273" s="5683" t="s">
        <v>4582</v>
      </c>
      <c r="T273" s="5693" t="s">
        <v>4583</v>
      </c>
      <c r="U273" s="5683" t="s">
        <v>4584</v>
      </c>
      <c r="V273" s="5693" t="s">
        <v>4585</v>
      </c>
      <c r="W273" s="5683" t="s">
        <v>4586</v>
      </c>
      <c r="X273" s="5693" t="s">
        <v>4587</v>
      </c>
      <c r="Y273" s="5683" t="s">
        <v>4588</v>
      </c>
      <c r="Z273" s="5693" t="s">
        <v>4589</v>
      </c>
      <c r="AA273" s="5683" t="s">
        <v>4590</v>
      </c>
      <c r="AB273" s="5693" t="s">
        <v>4591</v>
      </c>
      <c r="AC273" s="5683" t="s">
        <v>4592</v>
      </c>
      <c r="AD273" s="5693" t="s">
        <v>4593</v>
      </c>
      <c r="AE273" s="1737" t="s">
        <v>4594</v>
      </c>
      <c r="AF273" s="5693" t="s">
        <v>4595</v>
      </c>
      <c r="AG273" s="1737" t="s">
        <v>4596</v>
      </c>
      <c r="AH273" s="5693" t="s">
        <v>4597</v>
      </c>
      <c r="AI273" s="1737" t="s">
        <v>4598</v>
      </c>
      <c r="AJ273" s="5693" t="s">
        <v>4599</v>
      </c>
      <c r="AK273" s="1737" t="s">
        <v>4600</v>
      </c>
      <c r="AL273" s="5693" t="s">
        <v>4601</v>
      </c>
      <c r="AM273" s="1737" t="s">
        <v>4602</v>
      </c>
      <c r="AN273" s="66" t="s">
        <v>4603</v>
      </c>
      <c r="AO273" s="5698" t="s">
        <v>4604</v>
      </c>
      <c r="AP273" s="5693" t="s">
        <v>4605</v>
      </c>
      <c r="AQ273" s="1737" t="s">
        <v>4606</v>
      </c>
      <c r="AR273" s="5693" t="s">
        <v>4934</v>
      </c>
      <c r="AS273" s="5683" t="s">
        <v>4935</v>
      </c>
      <c r="AT273" s="5686" t="s">
        <v>4936</v>
      </c>
      <c r="AU273" s="5762" t="s">
        <v>4937</v>
      </c>
      <c r="AV273" s="5763" t="s">
        <v>5234</v>
      </c>
      <c r="AW273" s="5762" t="s">
        <v>5235</v>
      </c>
      <c r="AX273" s="5763" t="s">
        <v>5236</v>
      </c>
      <c r="AY273" s="5764" t="s">
        <v>5237</v>
      </c>
      <c r="AZ273" s="6" t="str">
        <f t="shared" si="189"/>
        <v xml:space="preserve">  * La variable Gestantes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CB273" s="19"/>
      <c r="CC273" s="135" t="str">
        <f>IF(AND(F273&gt;0,AR273=""), "* No olvide digitar la variable Gestantes. Digite Cero si no tiene.",IF(AR273&gt;F273,"  * La variable Gestantes No puede ser mayor al Total Mujeres.",""))</f>
        <v xml:space="preserve">  * La variable Gestantes No puede ser mayor al Total Mujeres.</v>
      </c>
      <c r="CD273" s="1712"/>
      <c r="CE273" s="135" t="str">
        <f t="shared" si="204"/>
        <v xml:space="preserve">  * La variable Pueblos originarios Hombres No puede ser mayor al Total Hombres.</v>
      </c>
      <c r="CF273" s="135" t="str">
        <f t="shared" si="191"/>
        <v xml:space="preserve">  * La variable Pueblos originarios Mujeres No puede ser mayor al Total Mujeres.</v>
      </c>
      <c r="CG273" s="135" t="str">
        <f t="shared" si="192"/>
        <v xml:space="preserve">  * La variable Niños, niñas, adolescentes y jóvenes SENAME No puede ser mayor al Total.</v>
      </c>
      <c r="CH273" s="135" t="str">
        <f t="shared" si="193"/>
        <v xml:space="preserve">  * La variable Niños, niñas, adolescentes y jóvenes Mejor Niñez No puede ser mayor al Total.</v>
      </c>
      <c r="CI273" s="135" t="str">
        <f t="shared" si="194"/>
        <v xml:space="preserve">  * La variable Migrantes No puede ser mayor al Total.</v>
      </c>
      <c r="CJ273" s="135" t="str">
        <f t="shared" si="195"/>
        <v xml:space="preserve">  * La variable Trans (Masculino/Femenino) No puede ser mayor al Total Ambos Sexos.</v>
      </c>
      <c r="CQ273" s="55">
        <f t="shared" si="196"/>
        <v>1</v>
      </c>
      <c r="CR273" s="54"/>
      <c r="CS273" s="55">
        <f t="shared" si="198"/>
        <v>1</v>
      </c>
      <c r="CT273" s="55">
        <f t="shared" si="199"/>
        <v>1</v>
      </c>
      <c r="CU273" s="55">
        <f t="shared" si="200"/>
        <v>1</v>
      </c>
      <c r="CV273" s="55">
        <f t="shared" si="201"/>
        <v>1</v>
      </c>
      <c r="CW273" s="55">
        <f t="shared" si="202"/>
        <v>1</v>
      </c>
      <c r="CX273" s="55">
        <f t="shared" si="203"/>
        <v>1</v>
      </c>
    </row>
    <row r="274" spans="1:102" x14ac:dyDescent="0.25">
      <c r="A274" s="5640" t="s">
        <v>5127</v>
      </c>
      <c r="B274" s="6453" t="s">
        <v>911</v>
      </c>
      <c r="C274" s="664" t="s">
        <v>881</v>
      </c>
      <c r="D274" s="5759" t="s">
        <v>4567</v>
      </c>
      <c r="E274" s="5760" t="s">
        <v>4568</v>
      </c>
      <c r="F274" s="5761" t="s">
        <v>4569</v>
      </c>
      <c r="G274" s="5683" t="s">
        <v>4570</v>
      </c>
      <c r="H274" s="5693" t="s">
        <v>4571</v>
      </c>
      <c r="I274" s="5683" t="s">
        <v>4572</v>
      </c>
      <c r="J274" s="5693" t="s">
        <v>4573</v>
      </c>
      <c r="K274" s="5683" t="s">
        <v>4574</v>
      </c>
      <c r="L274" s="5693" t="s">
        <v>4575</v>
      </c>
      <c r="M274" s="5683" t="s">
        <v>4576</v>
      </c>
      <c r="N274" s="5693" t="s">
        <v>4577</v>
      </c>
      <c r="O274" s="5683" t="s">
        <v>4578</v>
      </c>
      <c r="P274" s="5693" t="s">
        <v>4579</v>
      </c>
      <c r="Q274" s="5683" t="s">
        <v>4580</v>
      </c>
      <c r="R274" s="5693" t="s">
        <v>4581</v>
      </c>
      <c r="S274" s="5683" t="s">
        <v>4582</v>
      </c>
      <c r="T274" s="5693" t="s">
        <v>4583</v>
      </c>
      <c r="U274" s="5683" t="s">
        <v>4584</v>
      </c>
      <c r="V274" s="5693" t="s">
        <v>4585</v>
      </c>
      <c r="W274" s="5683" t="s">
        <v>4586</v>
      </c>
      <c r="X274" s="5693" t="s">
        <v>4587</v>
      </c>
      <c r="Y274" s="5683" t="s">
        <v>4588</v>
      </c>
      <c r="Z274" s="5693" t="s">
        <v>4589</v>
      </c>
      <c r="AA274" s="5683" t="s">
        <v>4590</v>
      </c>
      <c r="AB274" s="5693" t="s">
        <v>4591</v>
      </c>
      <c r="AC274" s="5683" t="s">
        <v>4592</v>
      </c>
      <c r="AD274" s="5693" t="s">
        <v>4593</v>
      </c>
      <c r="AE274" s="1737" t="s">
        <v>4594</v>
      </c>
      <c r="AF274" s="5693" t="s">
        <v>4595</v>
      </c>
      <c r="AG274" s="1737" t="s">
        <v>4596</v>
      </c>
      <c r="AH274" s="5693" t="s">
        <v>4597</v>
      </c>
      <c r="AI274" s="1737" t="s">
        <v>4598</v>
      </c>
      <c r="AJ274" s="5693" t="s">
        <v>4599</v>
      </c>
      <c r="AK274" s="1737" t="s">
        <v>4600</v>
      </c>
      <c r="AL274" s="5693" t="s">
        <v>4601</v>
      </c>
      <c r="AM274" s="1737" t="s">
        <v>4602</v>
      </c>
      <c r="AN274" s="66" t="s">
        <v>4603</v>
      </c>
      <c r="AO274" s="5698" t="s">
        <v>4604</v>
      </c>
      <c r="AP274" s="5693" t="s">
        <v>4605</v>
      </c>
      <c r="AQ274" s="1737" t="s">
        <v>4606</v>
      </c>
      <c r="AR274" s="5693" t="s">
        <v>4934</v>
      </c>
      <c r="AS274" s="5683" t="s">
        <v>4935</v>
      </c>
      <c r="AT274" s="5686" t="s">
        <v>4936</v>
      </c>
      <c r="AU274" s="5762" t="s">
        <v>4937</v>
      </c>
      <c r="AV274" s="5763" t="s">
        <v>5234</v>
      </c>
      <c r="AW274" s="5762" t="s">
        <v>5235</v>
      </c>
      <c r="AX274" s="5763" t="s">
        <v>5236</v>
      </c>
      <c r="AY274" s="5764" t="s">
        <v>5237</v>
      </c>
      <c r="AZ274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CB274" s="19"/>
      <c r="CC274" s="135" t="str">
        <f t="shared" ref="CC274:CC278" si="206">IF(AND(F274&gt;0,AR274=""), "* No olvide digitar la variable Gestantes. Digite Cero si no tiene.",IF(AR274&gt;F274,"  * La variable Gestantes No puede ser mayor al Total Mujeres.",""))</f>
        <v xml:space="preserve">  * La variable Gestantes No puede ser mayor al Total Mujeres.</v>
      </c>
      <c r="CD274" s="135" t="str">
        <f t="shared" si="174"/>
        <v xml:space="preserve">  * La variable Madre de hijo menor de 5 años No puede ser mayor al Total Mujeres.</v>
      </c>
      <c r="CE274" s="135" t="str">
        <f t="shared" si="204"/>
        <v xml:space="preserve">  * La variable Pueblos originarios Hombres No puede ser mayor al Total Hombres.</v>
      </c>
      <c r="CF274" s="135" t="str">
        <f t="shared" si="191"/>
        <v xml:space="preserve">  * La variable Pueblos originarios Mujeres No puede ser mayor al Total Mujeres.</v>
      </c>
      <c r="CG274" s="135" t="str">
        <f t="shared" si="192"/>
        <v xml:space="preserve">  * La variable Niños, niñas, adolescentes y jóvenes SENAME No puede ser mayor al Total.</v>
      </c>
      <c r="CH274" s="135" t="str">
        <f t="shared" si="193"/>
        <v xml:space="preserve">  * La variable Niños, niñas, adolescentes y jóvenes Mejor Niñez No puede ser mayor al Total.</v>
      </c>
      <c r="CI274" s="135" t="str">
        <f t="shared" si="194"/>
        <v xml:space="preserve">  * La variable Migrantes No puede ser mayor al Total.</v>
      </c>
      <c r="CJ274" s="135" t="str">
        <f t="shared" si="195"/>
        <v xml:space="preserve">  * La variable Trans (Masculino/Femenino) No puede ser mayor al Total Ambos Sexos.</v>
      </c>
      <c r="CQ274" s="55">
        <f t="shared" si="196"/>
        <v>1</v>
      </c>
      <c r="CR274" s="55">
        <f>IF(AND(F274&gt;0,AS274=""),1,IF(AS274&gt;F274,1,0))</f>
        <v>1</v>
      </c>
      <c r="CS274" s="55">
        <f t="shared" si="198"/>
        <v>1</v>
      </c>
      <c r="CT274" s="55">
        <f t="shared" si="199"/>
        <v>1</v>
      </c>
      <c r="CU274" s="55">
        <f t="shared" si="200"/>
        <v>1</v>
      </c>
      <c r="CV274" s="55">
        <f t="shared" si="201"/>
        <v>1</v>
      </c>
      <c r="CW274" s="55">
        <f t="shared" si="202"/>
        <v>1</v>
      </c>
      <c r="CX274" s="55">
        <f t="shared" si="203"/>
        <v>1</v>
      </c>
    </row>
    <row r="275" spans="1:102" x14ac:dyDescent="0.25">
      <c r="A275" s="5640" t="s">
        <v>5128</v>
      </c>
      <c r="B275" s="6112"/>
      <c r="C275" s="247" t="s">
        <v>882</v>
      </c>
      <c r="D275" s="5759" t="s">
        <v>4567</v>
      </c>
      <c r="E275" s="5760" t="s">
        <v>4568</v>
      </c>
      <c r="F275" s="5761" t="s">
        <v>4569</v>
      </c>
      <c r="G275" s="5683" t="s">
        <v>4570</v>
      </c>
      <c r="H275" s="5693" t="s">
        <v>4571</v>
      </c>
      <c r="I275" s="5683" t="s">
        <v>4572</v>
      </c>
      <c r="J275" s="5693" t="s">
        <v>4573</v>
      </c>
      <c r="K275" s="5683" t="s">
        <v>4574</v>
      </c>
      <c r="L275" s="5693" t="s">
        <v>4575</v>
      </c>
      <c r="M275" s="5683" t="s">
        <v>4576</v>
      </c>
      <c r="N275" s="5693" t="s">
        <v>4577</v>
      </c>
      <c r="O275" s="5683" t="s">
        <v>4578</v>
      </c>
      <c r="P275" s="5693" t="s">
        <v>4579</v>
      </c>
      <c r="Q275" s="5683" t="s">
        <v>4580</v>
      </c>
      <c r="R275" s="5693" t="s">
        <v>4581</v>
      </c>
      <c r="S275" s="5683" t="s">
        <v>4582</v>
      </c>
      <c r="T275" s="5693" t="s">
        <v>4583</v>
      </c>
      <c r="U275" s="5683" t="s">
        <v>4584</v>
      </c>
      <c r="V275" s="5693" t="s">
        <v>4585</v>
      </c>
      <c r="W275" s="5683" t="s">
        <v>4586</v>
      </c>
      <c r="X275" s="5693" t="s">
        <v>4587</v>
      </c>
      <c r="Y275" s="5683" t="s">
        <v>4588</v>
      </c>
      <c r="Z275" s="5693" t="s">
        <v>4589</v>
      </c>
      <c r="AA275" s="5683" t="s">
        <v>4590</v>
      </c>
      <c r="AB275" s="5693" t="s">
        <v>4591</v>
      </c>
      <c r="AC275" s="5683" t="s">
        <v>4592</v>
      </c>
      <c r="AD275" s="5693" t="s">
        <v>4593</v>
      </c>
      <c r="AE275" s="1737" t="s">
        <v>4594</v>
      </c>
      <c r="AF275" s="5693" t="s">
        <v>4595</v>
      </c>
      <c r="AG275" s="1737" t="s">
        <v>4596</v>
      </c>
      <c r="AH275" s="5693" t="s">
        <v>4597</v>
      </c>
      <c r="AI275" s="1737" t="s">
        <v>4598</v>
      </c>
      <c r="AJ275" s="5693" t="s">
        <v>4599</v>
      </c>
      <c r="AK275" s="1737" t="s">
        <v>4600</v>
      </c>
      <c r="AL275" s="5693" t="s">
        <v>4601</v>
      </c>
      <c r="AM275" s="1737" t="s">
        <v>4602</v>
      </c>
      <c r="AN275" s="66" t="s">
        <v>4603</v>
      </c>
      <c r="AO275" s="5698" t="s">
        <v>4604</v>
      </c>
      <c r="AP275" s="5693" t="s">
        <v>4605</v>
      </c>
      <c r="AQ275" s="1737" t="s">
        <v>4606</v>
      </c>
      <c r="AR275" s="5693" t="s">
        <v>4934</v>
      </c>
      <c r="AS275" s="5683" t="s">
        <v>4935</v>
      </c>
      <c r="AT275" s="5686" t="s">
        <v>4936</v>
      </c>
      <c r="AU275" s="5762" t="s">
        <v>4937</v>
      </c>
      <c r="AV275" s="5763" t="s">
        <v>5234</v>
      </c>
      <c r="AW275" s="5762" t="s">
        <v>5235</v>
      </c>
      <c r="AX275" s="5763" t="s">
        <v>5236</v>
      </c>
      <c r="AY275" s="5764" t="s">
        <v>5237</v>
      </c>
      <c r="AZ275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CB275" s="19"/>
      <c r="CC275" s="135" t="str">
        <f t="shared" si="206"/>
        <v xml:space="preserve">  * La variable Gestantes No puede ser mayor al Total Mujeres.</v>
      </c>
      <c r="CD275" s="135" t="str">
        <f t="shared" si="174"/>
        <v xml:space="preserve">  * La variable Madre de hijo menor de 5 años No puede ser mayor al Total Mujeres.</v>
      </c>
      <c r="CE275" s="135" t="str">
        <f t="shared" si="204"/>
        <v xml:space="preserve">  * La variable Pueblos originarios Hombres No puede ser mayor al Total Hombres.</v>
      </c>
      <c r="CF275" s="135" t="str">
        <f t="shared" si="191"/>
        <v xml:space="preserve">  * La variable Pueblos originarios Mujeres No puede ser mayor al Total Mujeres.</v>
      </c>
      <c r="CG275" s="135" t="str">
        <f t="shared" si="192"/>
        <v xml:space="preserve">  * La variable Niños, niñas, adolescentes y jóvenes SENAME No puede ser mayor al Total.</v>
      </c>
      <c r="CH275" s="135" t="str">
        <f t="shared" si="193"/>
        <v xml:space="preserve">  * La variable Niños, niñas, adolescentes y jóvenes Mejor Niñez No puede ser mayor al Total.</v>
      </c>
      <c r="CI275" s="135" t="str">
        <f t="shared" si="194"/>
        <v xml:space="preserve">  * La variable Migrantes No puede ser mayor al Total.</v>
      </c>
      <c r="CJ275" s="135" t="str">
        <f t="shared" si="195"/>
        <v xml:space="preserve">  * La variable Trans (Masculino/Femenino) No puede ser mayor al Total Ambos Sexos.</v>
      </c>
      <c r="CQ275" s="55">
        <f t="shared" si="196"/>
        <v>1</v>
      </c>
      <c r="CR275" s="55">
        <f>IF(AND(F275&gt;0,AS275=""),1,IF(AS275&gt;F275,1,0))</f>
        <v>1</v>
      </c>
      <c r="CS275" s="55">
        <f t="shared" si="198"/>
        <v>1</v>
      </c>
      <c r="CT275" s="55">
        <f t="shared" si="199"/>
        <v>1</v>
      </c>
      <c r="CU275" s="55">
        <f t="shared" si="200"/>
        <v>1</v>
      </c>
      <c r="CV275" s="55">
        <f t="shared" si="201"/>
        <v>1</v>
      </c>
      <c r="CW275" s="55">
        <f t="shared" si="202"/>
        <v>1</v>
      </c>
      <c r="CX275" s="55">
        <f t="shared" si="203"/>
        <v>1</v>
      </c>
    </row>
    <row r="276" spans="1:102" x14ac:dyDescent="0.25">
      <c r="A276" s="5640" t="s">
        <v>5129</v>
      </c>
      <c r="B276" s="6112"/>
      <c r="C276" s="649" t="s">
        <v>883</v>
      </c>
      <c r="D276" s="5759" t="s">
        <v>4567</v>
      </c>
      <c r="E276" s="5760" t="s">
        <v>4568</v>
      </c>
      <c r="F276" s="5761" t="s">
        <v>4569</v>
      </c>
      <c r="G276" s="5683" t="s">
        <v>4570</v>
      </c>
      <c r="H276" s="5693" t="s">
        <v>4571</v>
      </c>
      <c r="I276" s="5683" t="s">
        <v>4572</v>
      </c>
      <c r="J276" s="5693" t="s">
        <v>4573</v>
      </c>
      <c r="K276" s="5683" t="s">
        <v>4574</v>
      </c>
      <c r="L276" s="5693" t="s">
        <v>4575</v>
      </c>
      <c r="M276" s="5683" t="s">
        <v>4576</v>
      </c>
      <c r="N276" s="5693" t="s">
        <v>4577</v>
      </c>
      <c r="O276" s="5683" t="s">
        <v>4578</v>
      </c>
      <c r="P276" s="5693" t="s">
        <v>4579</v>
      </c>
      <c r="Q276" s="5683" t="s">
        <v>4580</v>
      </c>
      <c r="R276" s="5693" t="s">
        <v>4581</v>
      </c>
      <c r="S276" s="5683" t="s">
        <v>4582</v>
      </c>
      <c r="T276" s="5693" t="s">
        <v>4583</v>
      </c>
      <c r="U276" s="5683" t="s">
        <v>4584</v>
      </c>
      <c r="V276" s="5693" t="s">
        <v>4585</v>
      </c>
      <c r="W276" s="5683" t="s">
        <v>4586</v>
      </c>
      <c r="X276" s="5693" t="s">
        <v>4587</v>
      </c>
      <c r="Y276" s="5683" t="s">
        <v>4588</v>
      </c>
      <c r="Z276" s="5693" t="s">
        <v>4589</v>
      </c>
      <c r="AA276" s="5683" t="s">
        <v>4590</v>
      </c>
      <c r="AB276" s="5693" t="s">
        <v>4591</v>
      </c>
      <c r="AC276" s="5683" t="s">
        <v>4592</v>
      </c>
      <c r="AD276" s="5693" t="s">
        <v>4593</v>
      </c>
      <c r="AE276" s="1737" t="s">
        <v>4594</v>
      </c>
      <c r="AF276" s="5693" t="s">
        <v>4595</v>
      </c>
      <c r="AG276" s="1737" t="s">
        <v>4596</v>
      </c>
      <c r="AH276" s="5693" t="s">
        <v>4597</v>
      </c>
      <c r="AI276" s="1737" t="s">
        <v>4598</v>
      </c>
      <c r="AJ276" s="5693" t="s">
        <v>4599</v>
      </c>
      <c r="AK276" s="1737" t="s">
        <v>4600</v>
      </c>
      <c r="AL276" s="5693" t="s">
        <v>4601</v>
      </c>
      <c r="AM276" s="1737" t="s">
        <v>4602</v>
      </c>
      <c r="AN276" s="66" t="s">
        <v>4603</v>
      </c>
      <c r="AO276" s="5698" t="s">
        <v>4604</v>
      </c>
      <c r="AP276" s="5693" t="s">
        <v>4605</v>
      </c>
      <c r="AQ276" s="1737" t="s">
        <v>4606</v>
      </c>
      <c r="AR276" s="5693" t="s">
        <v>4934</v>
      </c>
      <c r="AS276" s="5683" t="s">
        <v>4935</v>
      </c>
      <c r="AT276" s="5686" t="s">
        <v>4936</v>
      </c>
      <c r="AU276" s="5762" t="s">
        <v>4937</v>
      </c>
      <c r="AV276" s="5763" t="s">
        <v>5234</v>
      </c>
      <c r="AW276" s="5762" t="s">
        <v>5235</v>
      </c>
      <c r="AX276" s="5763" t="s">
        <v>5236</v>
      </c>
      <c r="AY276" s="5764" t="s">
        <v>5237</v>
      </c>
      <c r="AZ276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CB276" s="19"/>
      <c r="CC276" s="135" t="str">
        <f t="shared" si="206"/>
        <v xml:space="preserve">  * La variable Gestantes No puede ser mayor al Total Mujeres.</v>
      </c>
      <c r="CD276" s="135" t="str">
        <f t="shared" si="174"/>
        <v xml:space="preserve">  * La variable Madre de hijo menor de 5 años No puede ser mayor al Total Mujeres.</v>
      </c>
      <c r="CE276" s="135" t="str">
        <f t="shared" si="204"/>
        <v xml:space="preserve">  * La variable Pueblos originarios Hombres No puede ser mayor al Total Hombres.</v>
      </c>
      <c r="CF276" s="135" t="str">
        <f t="shared" si="191"/>
        <v xml:space="preserve">  * La variable Pueblos originarios Mujeres No puede ser mayor al Total Mujeres.</v>
      </c>
      <c r="CG276" s="135" t="str">
        <f t="shared" si="192"/>
        <v xml:space="preserve">  * La variable Niños, niñas, adolescentes y jóvenes SENAME No puede ser mayor al Total.</v>
      </c>
      <c r="CH276" s="135" t="str">
        <f t="shared" si="193"/>
        <v xml:space="preserve">  * La variable Niños, niñas, adolescentes y jóvenes Mejor Niñez No puede ser mayor al Total.</v>
      </c>
      <c r="CI276" s="135" t="str">
        <f t="shared" si="194"/>
        <v xml:space="preserve">  * La variable Migrantes No puede ser mayor al Total.</v>
      </c>
      <c r="CJ276" s="135" t="str">
        <f t="shared" si="195"/>
        <v xml:space="preserve">  * La variable Trans (Masculino/Femenino) No puede ser mayor al Total Ambos Sexos.</v>
      </c>
      <c r="CQ276" s="55">
        <f t="shared" si="196"/>
        <v>1</v>
      </c>
      <c r="CR276" s="55">
        <f>IF(AND(F276&gt;0,AS276=""),1,IF(AS276&gt;F276,1,0))</f>
        <v>1</v>
      </c>
      <c r="CS276" s="55">
        <f t="shared" si="198"/>
        <v>1</v>
      </c>
      <c r="CT276" s="55">
        <f t="shared" si="199"/>
        <v>1</v>
      </c>
      <c r="CU276" s="55">
        <f t="shared" si="200"/>
        <v>1</v>
      </c>
      <c r="CV276" s="55">
        <f t="shared" si="201"/>
        <v>1</v>
      </c>
      <c r="CW276" s="55">
        <f t="shared" si="202"/>
        <v>1</v>
      </c>
      <c r="CX276" s="55">
        <f t="shared" si="203"/>
        <v>1</v>
      </c>
    </row>
    <row r="277" spans="1:102" x14ac:dyDescent="0.25">
      <c r="A277" s="5640" t="s">
        <v>5130</v>
      </c>
      <c r="B277" s="6112"/>
      <c r="C277" s="649" t="s">
        <v>884</v>
      </c>
      <c r="D277" s="5759" t="s">
        <v>4567</v>
      </c>
      <c r="E277" s="5760" t="s">
        <v>4568</v>
      </c>
      <c r="F277" s="5761" t="s">
        <v>4569</v>
      </c>
      <c r="G277" s="5683" t="s">
        <v>4570</v>
      </c>
      <c r="H277" s="5693" t="s">
        <v>4571</v>
      </c>
      <c r="I277" s="5683" t="s">
        <v>4572</v>
      </c>
      <c r="J277" s="5693" t="s">
        <v>4573</v>
      </c>
      <c r="K277" s="5683" t="s">
        <v>4574</v>
      </c>
      <c r="L277" s="5693" t="s">
        <v>4575</v>
      </c>
      <c r="M277" s="5683" t="s">
        <v>4576</v>
      </c>
      <c r="N277" s="5693" t="s">
        <v>4577</v>
      </c>
      <c r="O277" s="5683" t="s">
        <v>4578</v>
      </c>
      <c r="P277" s="5693" t="s">
        <v>4579</v>
      </c>
      <c r="Q277" s="5683" t="s">
        <v>4580</v>
      </c>
      <c r="R277" s="5693" t="s">
        <v>4581</v>
      </c>
      <c r="S277" s="5683" t="s">
        <v>4582</v>
      </c>
      <c r="T277" s="5693" t="s">
        <v>4583</v>
      </c>
      <c r="U277" s="5683" t="s">
        <v>4584</v>
      </c>
      <c r="V277" s="5693" t="s">
        <v>4585</v>
      </c>
      <c r="W277" s="5683" t="s">
        <v>4586</v>
      </c>
      <c r="X277" s="5693" t="s">
        <v>4587</v>
      </c>
      <c r="Y277" s="5683" t="s">
        <v>4588</v>
      </c>
      <c r="Z277" s="5693" t="s">
        <v>4589</v>
      </c>
      <c r="AA277" s="5683" t="s">
        <v>4590</v>
      </c>
      <c r="AB277" s="5693" t="s">
        <v>4591</v>
      </c>
      <c r="AC277" s="5683" t="s">
        <v>4592</v>
      </c>
      <c r="AD277" s="5693" t="s">
        <v>4593</v>
      </c>
      <c r="AE277" s="1737" t="s">
        <v>4594</v>
      </c>
      <c r="AF277" s="5693" t="s">
        <v>4595</v>
      </c>
      <c r="AG277" s="1737" t="s">
        <v>4596</v>
      </c>
      <c r="AH277" s="5693" t="s">
        <v>4597</v>
      </c>
      <c r="AI277" s="1737" t="s">
        <v>4598</v>
      </c>
      <c r="AJ277" s="5693" t="s">
        <v>4599</v>
      </c>
      <c r="AK277" s="1737" t="s">
        <v>4600</v>
      </c>
      <c r="AL277" s="5693" t="s">
        <v>4601</v>
      </c>
      <c r="AM277" s="1737" t="s">
        <v>4602</v>
      </c>
      <c r="AN277" s="66" t="s">
        <v>4603</v>
      </c>
      <c r="AO277" s="5698" t="s">
        <v>4604</v>
      </c>
      <c r="AP277" s="5693" t="s">
        <v>4605</v>
      </c>
      <c r="AQ277" s="1737" t="s">
        <v>4606</v>
      </c>
      <c r="AR277" s="5693" t="s">
        <v>4934</v>
      </c>
      <c r="AS277" s="5683" t="s">
        <v>4935</v>
      </c>
      <c r="AT277" s="5686" t="s">
        <v>4936</v>
      </c>
      <c r="AU277" s="5762" t="s">
        <v>4937</v>
      </c>
      <c r="AV277" s="5763" t="s">
        <v>5234</v>
      </c>
      <c r="AW277" s="5762" t="s">
        <v>5235</v>
      </c>
      <c r="AX277" s="5763" t="s">
        <v>5236</v>
      </c>
      <c r="AY277" s="5764" t="s">
        <v>5237</v>
      </c>
      <c r="AZ277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CB277" s="19"/>
      <c r="CC277" s="135" t="str">
        <f t="shared" si="206"/>
        <v xml:space="preserve">  * La variable Gestantes No puede ser mayor al Total Mujeres.</v>
      </c>
      <c r="CD277" s="135" t="str">
        <f t="shared" si="174"/>
        <v xml:space="preserve">  * La variable Madre de hijo menor de 5 años No puede ser mayor al Total Mujeres.</v>
      </c>
      <c r="CE277" s="135" t="str">
        <f t="shared" si="204"/>
        <v xml:space="preserve">  * La variable Pueblos originarios Hombres No puede ser mayor al Total Hombres.</v>
      </c>
      <c r="CF277" s="135" t="str">
        <f t="shared" si="191"/>
        <v xml:space="preserve">  * La variable Pueblos originarios Mujeres No puede ser mayor al Total Mujeres.</v>
      </c>
      <c r="CG277" s="135" t="str">
        <f t="shared" si="192"/>
        <v xml:space="preserve">  * La variable Niños, niñas, adolescentes y jóvenes SENAME No puede ser mayor al Total.</v>
      </c>
      <c r="CH277" s="135" t="str">
        <f t="shared" si="193"/>
        <v xml:space="preserve">  * La variable Niños, niñas, adolescentes y jóvenes Mejor Niñez No puede ser mayor al Total.</v>
      </c>
      <c r="CI277" s="135" t="str">
        <f t="shared" si="194"/>
        <v xml:space="preserve">  * La variable Migrantes No puede ser mayor al Total.</v>
      </c>
      <c r="CJ277" s="135" t="str">
        <f t="shared" si="195"/>
        <v xml:space="preserve">  * La variable Trans (Masculino/Femenino) No puede ser mayor al Total Ambos Sexos.</v>
      </c>
      <c r="CQ277" s="55">
        <f t="shared" si="196"/>
        <v>1</v>
      </c>
      <c r="CR277" s="55">
        <f>IF(AND(F277&gt;0,AS277=""),1,IF(AS277&gt;F277,1,0))</f>
        <v>1</v>
      </c>
      <c r="CS277" s="55">
        <f t="shared" si="198"/>
        <v>1</v>
      </c>
      <c r="CT277" s="55">
        <f t="shared" si="199"/>
        <v>1</v>
      </c>
      <c r="CU277" s="55">
        <f t="shared" si="200"/>
        <v>1</v>
      </c>
      <c r="CV277" s="55">
        <f t="shared" si="201"/>
        <v>1</v>
      </c>
      <c r="CW277" s="55">
        <f t="shared" si="202"/>
        <v>1</v>
      </c>
      <c r="CX277" s="55">
        <f t="shared" si="203"/>
        <v>1</v>
      </c>
    </row>
    <row r="278" spans="1:102" x14ac:dyDescent="0.25">
      <c r="A278" s="5640" t="s">
        <v>5131</v>
      </c>
      <c r="B278" s="6059"/>
      <c r="C278" s="665" t="s">
        <v>885</v>
      </c>
      <c r="D278" s="5759" t="s">
        <v>4567</v>
      </c>
      <c r="E278" s="5760" t="s">
        <v>4568</v>
      </c>
      <c r="F278" s="5761" t="s">
        <v>4569</v>
      </c>
      <c r="G278" s="5683" t="s">
        <v>4570</v>
      </c>
      <c r="H278" s="5693" t="s">
        <v>4571</v>
      </c>
      <c r="I278" s="5683" t="s">
        <v>4572</v>
      </c>
      <c r="J278" s="5693" t="s">
        <v>4573</v>
      </c>
      <c r="K278" s="5683" t="s">
        <v>4574</v>
      </c>
      <c r="L278" s="5693" t="s">
        <v>4575</v>
      </c>
      <c r="M278" s="5683" t="s">
        <v>4576</v>
      </c>
      <c r="N278" s="5693" t="s">
        <v>4577</v>
      </c>
      <c r="O278" s="5683" t="s">
        <v>4578</v>
      </c>
      <c r="P278" s="5693" t="s">
        <v>4579</v>
      </c>
      <c r="Q278" s="5683" t="s">
        <v>4580</v>
      </c>
      <c r="R278" s="5693" t="s">
        <v>4581</v>
      </c>
      <c r="S278" s="5683" t="s">
        <v>4582</v>
      </c>
      <c r="T278" s="5693" t="s">
        <v>4583</v>
      </c>
      <c r="U278" s="5683" t="s">
        <v>4584</v>
      </c>
      <c r="V278" s="5693" t="s">
        <v>4585</v>
      </c>
      <c r="W278" s="5683" t="s">
        <v>4586</v>
      </c>
      <c r="X278" s="5693" t="s">
        <v>4587</v>
      </c>
      <c r="Y278" s="5683" t="s">
        <v>4588</v>
      </c>
      <c r="Z278" s="5693" t="s">
        <v>4589</v>
      </c>
      <c r="AA278" s="5683" t="s">
        <v>4590</v>
      </c>
      <c r="AB278" s="5693" t="s">
        <v>4591</v>
      </c>
      <c r="AC278" s="5683" t="s">
        <v>4592</v>
      </c>
      <c r="AD278" s="5693" t="s">
        <v>4593</v>
      </c>
      <c r="AE278" s="1737" t="s">
        <v>4594</v>
      </c>
      <c r="AF278" s="5693" t="s">
        <v>4595</v>
      </c>
      <c r="AG278" s="1737" t="s">
        <v>4596</v>
      </c>
      <c r="AH278" s="5693" t="s">
        <v>4597</v>
      </c>
      <c r="AI278" s="1737" t="s">
        <v>4598</v>
      </c>
      <c r="AJ278" s="5693" t="s">
        <v>4599</v>
      </c>
      <c r="AK278" s="1737" t="s">
        <v>4600</v>
      </c>
      <c r="AL278" s="5693" t="s">
        <v>4601</v>
      </c>
      <c r="AM278" s="1737" t="s">
        <v>4602</v>
      </c>
      <c r="AN278" s="66" t="s">
        <v>4603</v>
      </c>
      <c r="AO278" s="5698" t="s">
        <v>4604</v>
      </c>
      <c r="AP278" s="5693" t="s">
        <v>4605</v>
      </c>
      <c r="AQ278" s="1737" t="s">
        <v>4606</v>
      </c>
      <c r="AR278" s="5693" t="s">
        <v>4934</v>
      </c>
      <c r="AS278" s="5683" t="s">
        <v>4935</v>
      </c>
      <c r="AT278" s="5686" t="s">
        <v>4936</v>
      </c>
      <c r="AU278" s="5762" t="s">
        <v>4937</v>
      </c>
      <c r="AV278" s="5763" t="s">
        <v>5234</v>
      </c>
      <c r="AW278" s="5762" t="s">
        <v>5235</v>
      </c>
      <c r="AX278" s="5763" t="s">
        <v>5236</v>
      </c>
      <c r="AY278" s="5764" t="s">
        <v>5237</v>
      </c>
      <c r="AZ278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CB278" s="19"/>
      <c r="CC278" s="135" t="str">
        <f t="shared" si="206"/>
        <v xml:space="preserve">  * La variable Gestantes No puede ser mayor al Total Mujeres.</v>
      </c>
      <c r="CD278" s="135" t="str">
        <f t="shared" si="174"/>
        <v xml:space="preserve">  * La variable Madre de hijo menor de 5 años No puede ser mayor al Total Mujeres.</v>
      </c>
      <c r="CE278" s="135" t="str">
        <f t="shared" si="204"/>
        <v xml:space="preserve">  * La variable Pueblos originarios Hombres No puede ser mayor al Total Hombres.</v>
      </c>
      <c r="CF278" s="135" t="str">
        <f t="shared" si="191"/>
        <v xml:space="preserve">  * La variable Pueblos originarios Mujeres No puede ser mayor al Total Mujeres.</v>
      </c>
      <c r="CG278" s="135" t="str">
        <f t="shared" si="192"/>
        <v xml:space="preserve">  * La variable Niños, niñas, adolescentes y jóvenes SENAME No puede ser mayor al Total.</v>
      </c>
      <c r="CH278" s="135" t="str">
        <f t="shared" si="193"/>
        <v xml:space="preserve">  * La variable Niños, niñas, adolescentes y jóvenes Mejor Niñez No puede ser mayor al Total.</v>
      </c>
      <c r="CI278" s="135" t="str">
        <f t="shared" si="194"/>
        <v xml:space="preserve">  * La variable Migrantes No puede ser mayor al Total.</v>
      </c>
      <c r="CJ278" s="135" t="str">
        <f t="shared" si="195"/>
        <v xml:space="preserve">  * La variable Trans (Masculino/Femenino) No puede ser mayor al Total Ambos Sexos.</v>
      </c>
      <c r="CQ278" s="55">
        <f t="shared" si="196"/>
        <v>1</v>
      </c>
      <c r="CR278" s="55">
        <f>IF(AND(F278&gt;0,AS278=""),1,IF(AS278&gt;F278,1,0))</f>
        <v>1</v>
      </c>
      <c r="CS278" s="55">
        <f t="shared" si="198"/>
        <v>1</v>
      </c>
      <c r="CT278" s="55">
        <f t="shared" si="199"/>
        <v>1</v>
      </c>
      <c r="CU278" s="55">
        <f t="shared" si="200"/>
        <v>1</v>
      </c>
      <c r="CV278" s="55">
        <f t="shared" si="201"/>
        <v>1</v>
      </c>
      <c r="CW278" s="55">
        <f t="shared" si="202"/>
        <v>1</v>
      </c>
      <c r="CX278" s="55">
        <f t="shared" si="203"/>
        <v>1</v>
      </c>
    </row>
    <row r="279" spans="1:102" ht="15" customHeight="1" x14ac:dyDescent="0.25">
      <c r="A279" s="5640" t="s">
        <v>5132</v>
      </c>
      <c r="B279" s="6453" t="s">
        <v>886</v>
      </c>
      <c r="C279" s="651" t="s">
        <v>887</v>
      </c>
      <c r="D279" s="5759" t="s">
        <v>4567</v>
      </c>
      <c r="E279" s="5760" t="s">
        <v>4568</v>
      </c>
      <c r="F279" s="5761" t="s">
        <v>4569</v>
      </c>
      <c r="G279" s="5683" t="s">
        <v>4570</v>
      </c>
      <c r="H279" s="5693" t="s">
        <v>4571</v>
      </c>
      <c r="I279" s="5683" t="s">
        <v>4572</v>
      </c>
      <c r="J279" s="5693" t="s">
        <v>4573</v>
      </c>
      <c r="K279" s="5683" t="s">
        <v>4574</v>
      </c>
      <c r="L279" s="5693" t="s">
        <v>4575</v>
      </c>
      <c r="M279" s="5683" t="s">
        <v>4576</v>
      </c>
      <c r="N279" s="5693" t="s">
        <v>4577</v>
      </c>
      <c r="O279" s="5683" t="s">
        <v>4578</v>
      </c>
      <c r="P279" s="5693" t="s">
        <v>4579</v>
      </c>
      <c r="Q279" s="5683" t="s">
        <v>4580</v>
      </c>
      <c r="R279" s="5693" t="s">
        <v>4581</v>
      </c>
      <c r="S279" s="5683" t="s">
        <v>4582</v>
      </c>
      <c r="T279" s="5693" t="s">
        <v>4583</v>
      </c>
      <c r="U279" s="5683" t="s">
        <v>4584</v>
      </c>
      <c r="V279" s="5693" t="s">
        <v>4585</v>
      </c>
      <c r="W279" s="5683" t="s">
        <v>4586</v>
      </c>
      <c r="X279" s="5693" t="s">
        <v>4587</v>
      </c>
      <c r="Y279" s="5683" t="s">
        <v>4588</v>
      </c>
      <c r="Z279" s="5693" t="s">
        <v>4589</v>
      </c>
      <c r="AA279" s="5683" t="s">
        <v>4590</v>
      </c>
      <c r="AB279" s="5693" t="s">
        <v>4591</v>
      </c>
      <c r="AC279" s="5683" t="s">
        <v>4592</v>
      </c>
      <c r="AD279" s="5693" t="s">
        <v>4593</v>
      </c>
      <c r="AE279" s="1737" t="s">
        <v>4594</v>
      </c>
      <c r="AF279" s="5693" t="s">
        <v>4595</v>
      </c>
      <c r="AG279" s="1737" t="s">
        <v>4596</v>
      </c>
      <c r="AH279" s="5693" t="s">
        <v>4597</v>
      </c>
      <c r="AI279" s="1737" t="s">
        <v>4598</v>
      </c>
      <c r="AJ279" s="5693" t="s">
        <v>4599</v>
      </c>
      <c r="AK279" s="1737" t="s">
        <v>4600</v>
      </c>
      <c r="AL279" s="5693" t="s">
        <v>4601</v>
      </c>
      <c r="AM279" s="1737" t="s">
        <v>4602</v>
      </c>
      <c r="AN279" s="66" t="s">
        <v>4603</v>
      </c>
      <c r="AO279" s="5698" t="s">
        <v>4604</v>
      </c>
      <c r="AP279" s="5693" t="s">
        <v>4605</v>
      </c>
      <c r="AQ279" s="1737" t="s">
        <v>4606</v>
      </c>
      <c r="AR279" s="5693" t="s">
        <v>4934</v>
      </c>
      <c r="AS279" s="5683" t="s">
        <v>4935</v>
      </c>
      <c r="AT279" s="5686" t="s">
        <v>4936</v>
      </c>
      <c r="AU279" s="5762" t="s">
        <v>4937</v>
      </c>
      <c r="AV279" s="5763" t="s">
        <v>5234</v>
      </c>
      <c r="AW279" s="5762" t="s">
        <v>5235</v>
      </c>
      <c r="AX279" s="5763" t="s">
        <v>5236</v>
      </c>
      <c r="AY279" s="5764" t="s">
        <v>5237</v>
      </c>
      <c r="AZ279" s="6" t="str">
        <f t="shared" si="189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CB279" s="19"/>
      <c r="CC279" s="181"/>
      <c r="CD279" s="181"/>
      <c r="CE279" s="135" t="str">
        <f t="shared" si="204"/>
        <v xml:space="preserve">  * La variable Pueblos originarios Hombres No puede ser mayor al Total Hombres.</v>
      </c>
      <c r="CF279" s="135" t="str">
        <f t="shared" si="191"/>
        <v xml:space="preserve">  * La variable Pueblos originarios Mujeres No puede ser mayor al Total Mujeres.</v>
      </c>
      <c r="CG279" s="1712"/>
      <c r="CH279" s="1712"/>
      <c r="CI279" s="135" t="str">
        <f t="shared" si="194"/>
        <v xml:space="preserve">  * La variable Migrantes No puede ser mayor al Total.</v>
      </c>
      <c r="CJ279" s="135" t="str">
        <f t="shared" si="195"/>
        <v xml:space="preserve">  * La variable Trans (Masculino/Femenino) No puede ser mayor al Total Ambos Sexos.</v>
      </c>
      <c r="CQ279" s="54"/>
      <c r="CR279" s="54"/>
      <c r="CS279" s="55">
        <f t="shared" si="198"/>
        <v>1</v>
      </c>
      <c r="CT279" s="55">
        <f t="shared" si="199"/>
        <v>1</v>
      </c>
      <c r="CU279" s="1713"/>
      <c r="CV279" s="1713"/>
      <c r="CW279" s="55">
        <f t="shared" si="202"/>
        <v>1</v>
      </c>
      <c r="CX279" s="55">
        <f t="shared" si="203"/>
        <v>1</v>
      </c>
    </row>
    <row r="280" spans="1:102" x14ac:dyDescent="0.25">
      <c r="A280" s="5640" t="s">
        <v>5133</v>
      </c>
      <c r="B280" s="6112"/>
      <c r="C280" s="649" t="s">
        <v>888</v>
      </c>
      <c r="D280" s="5759" t="s">
        <v>4567</v>
      </c>
      <c r="E280" s="5760" t="s">
        <v>4568</v>
      </c>
      <c r="F280" s="5761" t="s">
        <v>4569</v>
      </c>
      <c r="G280" s="5683" t="s">
        <v>4570</v>
      </c>
      <c r="H280" s="5693" t="s">
        <v>4571</v>
      </c>
      <c r="I280" s="5683" t="s">
        <v>4572</v>
      </c>
      <c r="J280" s="5693" t="s">
        <v>4573</v>
      </c>
      <c r="K280" s="5683" t="s">
        <v>4574</v>
      </c>
      <c r="L280" s="5693" t="s">
        <v>4575</v>
      </c>
      <c r="M280" s="5683" t="s">
        <v>4576</v>
      </c>
      <c r="N280" s="5693" t="s">
        <v>4577</v>
      </c>
      <c r="O280" s="5683" t="s">
        <v>4578</v>
      </c>
      <c r="P280" s="5693" t="s">
        <v>4579</v>
      </c>
      <c r="Q280" s="5683" t="s">
        <v>4580</v>
      </c>
      <c r="R280" s="5693" t="s">
        <v>4581</v>
      </c>
      <c r="S280" s="5683" t="s">
        <v>4582</v>
      </c>
      <c r="T280" s="5693" t="s">
        <v>4583</v>
      </c>
      <c r="U280" s="5683" t="s">
        <v>4584</v>
      </c>
      <c r="V280" s="5693" t="s">
        <v>4585</v>
      </c>
      <c r="W280" s="5683" t="s">
        <v>4586</v>
      </c>
      <c r="X280" s="5693" t="s">
        <v>4587</v>
      </c>
      <c r="Y280" s="5683" t="s">
        <v>4588</v>
      </c>
      <c r="Z280" s="5693" t="s">
        <v>4589</v>
      </c>
      <c r="AA280" s="5683" t="s">
        <v>4590</v>
      </c>
      <c r="AB280" s="5693" t="s">
        <v>4591</v>
      </c>
      <c r="AC280" s="5683" t="s">
        <v>4592</v>
      </c>
      <c r="AD280" s="5693" t="s">
        <v>4593</v>
      </c>
      <c r="AE280" s="1737" t="s">
        <v>4594</v>
      </c>
      <c r="AF280" s="5693" t="s">
        <v>4595</v>
      </c>
      <c r="AG280" s="1737" t="s">
        <v>4596</v>
      </c>
      <c r="AH280" s="5693" t="s">
        <v>4597</v>
      </c>
      <c r="AI280" s="1737" t="s">
        <v>4598</v>
      </c>
      <c r="AJ280" s="5693" t="s">
        <v>4599</v>
      </c>
      <c r="AK280" s="1737" t="s">
        <v>4600</v>
      </c>
      <c r="AL280" s="5693" t="s">
        <v>4601</v>
      </c>
      <c r="AM280" s="1737" t="s">
        <v>4602</v>
      </c>
      <c r="AN280" s="66" t="s">
        <v>4603</v>
      </c>
      <c r="AO280" s="5698" t="s">
        <v>4604</v>
      </c>
      <c r="AP280" s="5693" t="s">
        <v>4605</v>
      </c>
      <c r="AQ280" s="1737" t="s">
        <v>4606</v>
      </c>
      <c r="AR280" s="5693" t="s">
        <v>4934</v>
      </c>
      <c r="AS280" s="5683" t="s">
        <v>4935</v>
      </c>
      <c r="AT280" s="5686" t="s">
        <v>4936</v>
      </c>
      <c r="AU280" s="5762" t="s">
        <v>4937</v>
      </c>
      <c r="AV280" s="5763" t="s">
        <v>5234</v>
      </c>
      <c r="AW280" s="5762" t="s">
        <v>5235</v>
      </c>
      <c r="AX280" s="5763" t="s">
        <v>5236</v>
      </c>
      <c r="AY280" s="5764" t="s">
        <v>5237</v>
      </c>
      <c r="AZ280" s="6" t="str">
        <f t="shared" si="189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CB280" s="19"/>
      <c r="CC280" s="179"/>
      <c r="CD280" s="181"/>
      <c r="CE280" s="135" t="str">
        <f t="shared" si="204"/>
        <v xml:space="preserve">  * La variable Pueblos originarios Hombres No puede ser mayor al Total Hombres.</v>
      </c>
      <c r="CF280" s="135" t="str">
        <f t="shared" si="191"/>
        <v xml:space="preserve">  * La variable Pueblos originarios Mujeres No puede ser mayor al Total Mujeres.</v>
      </c>
      <c r="CG280" s="1712"/>
      <c r="CH280" s="1712"/>
      <c r="CI280" s="135" t="str">
        <f t="shared" si="194"/>
        <v xml:space="preserve">  * La variable Migrantes No puede ser mayor al Total.</v>
      </c>
      <c r="CJ280" s="135" t="str">
        <f t="shared" si="195"/>
        <v xml:space="preserve">  * La variable Trans (Masculino/Femenino) No puede ser mayor al Total Ambos Sexos.</v>
      </c>
      <c r="CQ280" s="54"/>
      <c r="CR280" s="54"/>
      <c r="CS280" s="55">
        <f t="shared" si="198"/>
        <v>1</v>
      </c>
      <c r="CT280" s="55">
        <f t="shared" si="199"/>
        <v>1</v>
      </c>
      <c r="CU280" s="1713"/>
      <c r="CV280" s="1713"/>
      <c r="CW280" s="55">
        <f t="shared" si="202"/>
        <v>1</v>
      </c>
      <c r="CX280" s="55">
        <f t="shared" si="203"/>
        <v>1</v>
      </c>
    </row>
    <row r="281" spans="1:102" x14ac:dyDescent="0.25">
      <c r="A281" s="5640" t="s">
        <v>5134</v>
      </c>
      <c r="B281" s="6059"/>
      <c r="C281" s="2947" t="s">
        <v>889</v>
      </c>
      <c r="D281" s="5759" t="s">
        <v>4567</v>
      </c>
      <c r="E281" s="5760" t="s">
        <v>4568</v>
      </c>
      <c r="F281" s="5761" t="s">
        <v>4569</v>
      </c>
      <c r="G281" s="5683" t="s">
        <v>4570</v>
      </c>
      <c r="H281" s="5693" t="s">
        <v>4571</v>
      </c>
      <c r="I281" s="5683" t="s">
        <v>4572</v>
      </c>
      <c r="J281" s="5693" t="s">
        <v>4573</v>
      </c>
      <c r="K281" s="5683" t="s">
        <v>4574</v>
      </c>
      <c r="L281" s="5693" t="s">
        <v>4575</v>
      </c>
      <c r="M281" s="5683" t="s">
        <v>4576</v>
      </c>
      <c r="N281" s="5693" t="s">
        <v>4577</v>
      </c>
      <c r="O281" s="5683" t="s">
        <v>4578</v>
      </c>
      <c r="P281" s="5693" t="s">
        <v>4579</v>
      </c>
      <c r="Q281" s="5683" t="s">
        <v>4580</v>
      </c>
      <c r="R281" s="5693" t="s">
        <v>4581</v>
      </c>
      <c r="S281" s="5683" t="s">
        <v>4582</v>
      </c>
      <c r="T281" s="5693" t="s">
        <v>4583</v>
      </c>
      <c r="U281" s="5683" t="s">
        <v>4584</v>
      </c>
      <c r="V281" s="5693" t="s">
        <v>4585</v>
      </c>
      <c r="W281" s="5683" t="s">
        <v>4586</v>
      </c>
      <c r="X281" s="5693" t="s">
        <v>4587</v>
      </c>
      <c r="Y281" s="5683" t="s">
        <v>4588</v>
      </c>
      <c r="Z281" s="5693" t="s">
        <v>4589</v>
      </c>
      <c r="AA281" s="5683" t="s">
        <v>4590</v>
      </c>
      <c r="AB281" s="5693" t="s">
        <v>4591</v>
      </c>
      <c r="AC281" s="5683" t="s">
        <v>4592</v>
      </c>
      <c r="AD281" s="5693" t="s">
        <v>4593</v>
      </c>
      <c r="AE281" s="1737" t="s">
        <v>4594</v>
      </c>
      <c r="AF281" s="5693" t="s">
        <v>4595</v>
      </c>
      <c r="AG281" s="1737" t="s">
        <v>4596</v>
      </c>
      <c r="AH281" s="5693" t="s">
        <v>4597</v>
      </c>
      <c r="AI281" s="1737" t="s">
        <v>4598</v>
      </c>
      <c r="AJ281" s="5693" t="s">
        <v>4599</v>
      </c>
      <c r="AK281" s="1737" t="s">
        <v>4600</v>
      </c>
      <c r="AL281" s="5693" t="s">
        <v>4601</v>
      </c>
      <c r="AM281" s="1737" t="s">
        <v>4602</v>
      </c>
      <c r="AN281" s="66" t="s">
        <v>4603</v>
      </c>
      <c r="AO281" s="5698" t="s">
        <v>4604</v>
      </c>
      <c r="AP281" s="5693" t="s">
        <v>4605</v>
      </c>
      <c r="AQ281" s="1737" t="s">
        <v>4606</v>
      </c>
      <c r="AR281" s="5693" t="s">
        <v>4934</v>
      </c>
      <c r="AS281" s="5683" t="s">
        <v>4935</v>
      </c>
      <c r="AT281" s="5686" t="s">
        <v>4936</v>
      </c>
      <c r="AU281" s="5762" t="s">
        <v>4937</v>
      </c>
      <c r="AV281" s="5763" t="s">
        <v>5234</v>
      </c>
      <c r="AW281" s="5762" t="s">
        <v>5235</v>
      </c>
      <c r="AX281" s="5763" t="s">
        <v>5236</v>
      </c>
      <c r="AY281" s="5764" t="s">
        <v>5237</v>
      </c>
      <c r="AZ281" s="6" t="str">
        <f t="shared" si="189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CB281" s="19"/>
      <c r="CC281" s="179"/>
      <c r="CD281" s="181"/>
      <c r="CE281" s="135" t="str">
        <f t="shared" si="204"/>
        <v xml:space="preserve">  * La variable Pueblos originarios Hombres No puede ser mayor al Total Hombres.</v>
      </c>
      <c r="CF281" s="135" t="str">
        <f t="shared" si="191"/>
        <v xml:space="preserve">  * La variable Pueblos originarios Mujeres No puede ser mayor al Total Mujeres.</v>
      </c>
      <c r="CG281" s="1712"/>
      <c r="CH281" s="1712"/>
      <c r="CI281" s="135" t="str">
        <f t="shared" si="194"/>
        <v xml:space="preserve">  * La variable Migrantes No puede ser mayor al Total.</v>
      </c>
      <c r="CJ281" s="135" t="str">
        <f t="shared" si="195"/>
        <v xml:space="preserve">  * La variable Trans (Masculino/Femenino) No puede ser mayor al Total Ambos Sexos.</v>
      </c>
      <c r="CQ281" s="54"/>
      <c r="CR281" s="54"/>
      <c r="CS281" s="55">
        <f t="shared" si="198"/>
        <v>1</v>
      </c>
      <c r="CT281" s="55">
        <f t="shared" si="199"/>
        <v>1</v>
      </c>
      <c r="CU281" s="1713"/>
      <c r="CV281" s="1713"/>
      <c r="CW281" s="55">
        <f t="shared" si="202"/>
        <v>1</v>
      </c>
      <c r="CX281" s="55">
        <f t="shared" si="203"/>
        <v>1</v>
      </c>
    </row>
    <row r="282" spans="1:102" x14ac:dyDescent="0.25">
      <c r="A282" s="5640" t="s">
        <v>5135</v>
      </c>
      <c r="B282" s="6565" t="s">
        <v>890</v>
      </c>
      <c r="C282" s="6603"/>
      <c r="D282" s="5759" t="s">
        <v>4567</v>
      </c>
      <c r="E282" s="5760" t="s">
        <v>4568</v>
      </c>
      <c r="F282" s="5761" t="s">
        <v>4569</v>
      </c>
      <c r="G282" s="5683" t="s">
        <v>4570</v>
      </c>
      <c r="H282" s="5693" t="s">
        <v>4571</v>
      </c>
      <c r="I282" s="5683" t="s">
        <v>4572</v>
      </c>
      <c r="J282" s="5693" t="s">
        <v>4573</v>
      </c>
      <c r="K282" s="5683" t="s">
        <v>4574</v>
      </c>
      <c r="L282" s="5693" t="s">
        <v>4575</v>
      </c>
      <c r="M282" s="5683" t="s">
        <v>4576</v>
      </c>
      <c r="N282" s="5693" t="s">
        <v>4577</v>
      </c>
      <c r="O282" s="5683" t="s">
        <v>4578</v>
      </c>
      <c r="P282" s="5693" t="s">
        <v>4579</v>
      </c>
      <c r="Q282" s="5683" t="s">
        <v>4580</v>
      </c>
      <c r="R282" s="5693" t="s">
        <v>4581</v>
      </c>
      <c r="S282" s="5683" t="s">
        <v>4582</v>
      </c>
      <c r="T282" s="5693" t="s">
        <v>4583</v>
      </c>
      <c r="U282" s="5683" t="s">
        <v>4584</v>
      </c>
      <c r="V282" s="5693" t="s">
        <v>4585</v>
      </c>
      <c r="W282" s="5683" t="s">
        <v>4586</v>
      </c>
      <c r="X282" s="5693" t="s">
        <v>4587</v>
      </c>
      <c r="Y282" s="5683" t="s">
        <v>4588</v>
      </c>
      <c r="Z282" s="5693" t="s">
        <v>4589</v>
      </c>
      <c r="AA282" s="5683" t="s">
        <v>4590</v>
      </c>
      <c r="AB282" s="5693" t="s">
        <v>4591</v>
      </c>
      <c r="AC282" s="5683" t="s">
        <v>4592</v>
      </c>
      <c r="AD282" s="5693" t="s">
        <v>4593</v>
      </c>
      <c r="AE282" s="1737" t="s">
        <v>4594</v>
      </c>
      <c r="AF282" s="5693" t="s">
        <v>4595</v>
      </c>
      <c r="AG282" s="1737" t="s">
        <v>4596</v>
      </c>
      <c r="AH282" s="5693" t="s">
        <v>4597</v>
      </c>
      <c r="AI282" s="1737" t="s">
        <v>4598</v>
      </c>
      <c r="AJ282" s="5693" t="s">
        <v>4599</v>
      </c>
      <c r="AK282" s="1737" t="s">
        <v>4600</v>
      </c>
      <c r="AL282" s="5693" t="s">
        <v>4601</v>
      </c>
      <c r="AM282" s="1737" t="s">
        <v>4602</v>
      </c>
      <c r="AN282" s="66" t="s">
        <v>4603</v>
      </c>
      <c r="AO282" s="5698" t="s">
        <v>4604</v>
      </c>
      <c r="AP282" s="5693" t="s">
        <v>4605</v>
      </c>
      <c r="AQ282" s="1737" t="s">
        <v>4606</v>
      </c>
      <c r="AR282" s="5693" t="s">
        <v>4934</v>
      </c>
      <c r="AS282" s="5683" t="s">
        <v>4935</v>
      </c>
      <c r="AT282" s="5686" t="s">
        <v>4936</v>
      </c>
      <c r="AU282" s="5762" t="s">
        <v>4937</v>
      </c>
      <c r="AV282" s="5763" t="s">
        <v>5234</v>
      </c>
      <c r="AW282" s="5762" t="s">
        <v>5235</v>
      </c>
      <c r="AX282" s="5763" t="s">
        <v>5236</v>
      </c>
      <c r="AY282" s="5764" t="s">
        <v>5237</v>
      </c>
      <c r="AZ282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CB282" s="19"/>
      <c r="CC282" s="135" t="str">
        <f t="shared" ref="CC282:CC293" si="207">IF(AND(F282&gt;0,AR282=""), "* No olvide digitar la variable Gestantes. Digite Cero si no tiene.",IF(AR282&gt;F282,"  * La variable Gestantes No puede ser mayor al Total Mujeres.",""))</f>
        <v xml:space="preserve">  * La variable Gestantes No puede ser mayor al Total Mujeres.</v>
      </c>
      <c r="CD282" s="135" t="str">
        <f t="shared" si="174"/>
        <v xml:space="preserve">  * La variable Madre de hijo menor de 5 años No puede ser mayor al Total Mujeres.</v>
      </c>
      <c r="CE282" s="135" t="str">
        <f t="shared" si="204"/>
        <v xml:space="preserve">  * La variable Pueblos originarios Hombres No puede ser mayor al Total Hombres.</v>
      </c>
      <c r="CF282" s="135" t="str">
        <f t="shared" si="191"/>
        <v xml:space="preserve">  * La variable Pueblos originarios Mujeres No puede ser mayor al Total Mujeres.</v>
      </c>
      <c r="CG282" s="135" t="str">
        <f t="shared" si="192"/>
        <v xml:space="preserve">  * La variable Niños, niñas, adolescentes y jóvenes SENAME No puede ser mayor al Total.</v>
      </c>
      <c r="CH282" s="135" t="str">
        <f t="shared" si="193"/>
        <v xml:space="preserve">  * La variable Niños, niñas, adolescentes y jóvenes Mejor Niñez No puede ser mayor al Total.</v>
      </c>
      <c r="CI282" s="135" t="str">
        <f t="shared" si="194"/>
        <v xml:space="preserve">  * La variable Migrantes No puede ser mayor al Total.</v>
      </c>
      <c r="CJ282" s="135" t="str">
        <f t="shared" si="195"/>
        <v xml:space="preserve">  * La variable Trans (Masculino/Femenino) No puede ser mayor al Total Ambos Sexos.</v>
      </c>
      <c r="CQ282" s="55">
        <f t="shared" ref="CQ282:CQ293" si="208">IF(AND(F282&gt;0,AR282=""),1,IF(AR282&gt;F282,1,0))</f>
        <v>1</v>
      </c>
      <c r="CR282" s="55">
        <f t="shared" ref="CR282:CR293" si="209">IF(AND(F282&gt;0,AS282=""),1,IF(AS282&gt;F282,1,0))</f>
        <v>1</v>
      </c>
      <c r="CS282" s="55">
        <f t="shared" si="198"/>
        <v>1</v>
      </c>
      <c r="CT282" s="55">
        <f t="shared" si="199"/>
        <v>1</v>
      </c>
      <c r="CU282" s="55">
        <f t="shared" si="200"/>
        <v>1</v>
      </c>
      <c r="CV282" s="55">
        <f t="shared" si="201"/>
        <v>1</v>
      </c>
      <c r="CW282" s="55">
        <f t="shared" si="202"/>
        <v>1</v>
      </c>
      <c r="CX282" s="55">
        <f t="shared" si="203"/>
        <v>1</v>
      </c>
    </row>
    <row r="283" spans="1:102" x14ac:dyDescent="0.25">
      <c r="A283" s="5640" t="s">
        <v>5136</v>
      </c>
      <c r="B283" s="6617" t="s">
        <v>891</v>
      </c>
      <c r="C283" s="6618"/>
      <c r="D283" s="5759" t="s">
        <v>4567</v>
      </c>
      <c r="E283" s="5760" t="s">
        <v>4568</v>
      </c>
      <c r="F283" s="5761" t="s">
        <v>4569</v>
      </c>
      <c r="G283" s="5683" t="s">
        <v>4570</v>
      </c>
      <c r="H283" s="5693" t="s">
        <v>4571</v>
      </c>
      <c r="I283" s="5683" t="s">
        <v>4572</v>
      </c>
      <c r="J283" s="5693" t="s">
        <v>4573</v>
      </c>
      <c r="K283" s="5683" t="s">
        <v>4574</v>
      </c>
      <c r="L283" s="5693" t="s">
        <v>4575</v>
      </c>
      <c r="M283" s="5683" t="s">
        <v>4576</v>
      </c>
      <c r="N283" s="5693" t="s">
        <v>4577</v>
      </c>
      <c r="O283" s="5683" t="s">
        <v>4578</v>
      </c>
      <c r="P283" s="5693" t="s">
        <v>4579</v>
      </c>
      <c r="Q283" s="5683" t="s">
        <v>4580</v>
      </c>
      <c r="R283" s="5693" t="s">
        <v>4581</v>
      </c>
      <c r="S283" s="5683" t="s">
        <v>4582</v>
      </c>
      <c r="T283" s="5693" t="s">
        <v>4583</v>
      </c>
      <c r="U283" s="5683" t="s">
        <v>4584</v>
      </c>
      <c r="V283" s="5693" t="s">
        <v>4585</v>
      </c>
      <c r="W283" s="5683" t="s">
        <v>4586</v>
      </c>
      <c r="X283" s="5693" t="s">
        <v>4587</v>
      </c>
      <c r="Y283" s="5683" t="s">
        <v>4588</v>
      </c>
      <c r="Z283" s="5693" t="s">
        <v>4589</v>
      </c>
      <c r="AA283" s="5683" t="s">
        <v>4590</v>
      </c>
      <c r="AB283" s="5693" t="s">
        <v>4591</v>
      </c>
      <c r="AC283" s="5683" t="s">
        <v>4592</v>
      </c>
      <c r="AD283" s="5693" t="s">
        <v>4593</v>
      </c>
      <c r="AE283" s="1737" t="s">
        <v>4594</v>
      </c>
      <c r="AF283" s="5693" t="s">
        <v>4595</v>
      </c>
      <c r="AG283" s="1737" t="s">
        <v>4596</v>
      </c>
      <c r="AH283" s="5693" t="s">
        <v>4597</v>
      </c>
      <c r="AI283" s="1737" t="s">
        <v>4598</v>
      </c>
      <c r="AJ283" s="5693" t="s">
        <v>4599</v>
      </c>
      <c r="AK283" s="1737" t="s">
        <v>4600</v>
      </c>
      <c r="AL283" s="5693" t="s">
        <v>4601</v>
      </c>
      <c r="AM283" s="1737" t="s">
        <v>4602</v>
      </c>
      <c r="AN283" s="66" t="s">
        <v>4603</v>
      </c>
      <c r="AO283" s="5698" t="s">
        <v>4604</v>
      </c>
      <c r="AP283" s="5693" t="s">
        <v>4605</v>
      </c>
      <c r="AQ283" s="1737" t="s">
        <v>4606</v>
      </c>
      <c r="AR283" s="5693" t="s">
        <v>4934</v>
      </c>
      <c r="AS283" s="5683" t="s">
        <v>4935</v>
      </c>
      <c r="AT283" s="5686" t="s">
        <v>4936</v>
      </c>
      <c r="AU283" s="5762" t="s">
        <v>4937</v>
      </c>
      <c r="AV283" s="5763" t="s">
        <v>5234</v>
      </c>
      <c r="AW283" s="5762" t="s">
        <v>5235</v>
      </c>
      <c r="AX283" s="5763" t="s">
        <v>5236</v>
      </c>
      <c r="AY283" s="5764" t="s">
        <v>5237</v>
      </c>
      <c r="AZ283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CB283" s="19"/>
      <c r="CC283" s="135" t="str">
        <f t="shared" si="207"/>
        <v xml:space="preserve">  * La variable Gestantes No puede ser mayor al Total Mujeres.</v>
      </c>
      <c r="CD283" s="135" t="str">
        <f t="shared" si="174"/>
        <v xml:space="preserve">  * La variable Madre de hijo menor de 5 años No puede ser mayor al Total Mujeres.</v>
      </c>
      <c r="CE283" s="135" t="str">
        <f t="shared" si="204"/>
        <v xml:space="preserve">  * La variable Pueblos originarios Hombres No puede ser mayor al Total Hombres.</v>
      </c>
      <c r="CF283" s="135" t="str">
        <f t="shared" si="191"/>
        <v xml:space="preserve">  * La variable Pueblos originarios Mujeres No puede ser mayor al Total Mujeres.</v>
      </c>
      <c r="CG283" s="135" t="str">
        <f t="shared" si="192"/>
        <v xml:space="preserve">  * La variable Niños, niñas, adolescentes y jóvenes SENAME No puede ser mayor al Total.</v>
      </c>
      <c r="CH283" s="135" t="str">
        <f t="shared" si="193"/>
        <v xml:space="preserve">  * La variable Niños, niñas, adolescentes y jóvenes Mejor Niñez No puede ser mayor al Total.</v>
      </c>
      <c r="CI283" s="135" t="str">
        <f t="shared" si="194"/>
        <v xml:space="preserve">  * La variable Migrantes No puede ser mayor al Total.</v>
      </c>
      <c r="CJ283" s="135" t="str">
        <f t="shared" si="195"/>
        <v xml:space="preserve">  * La variable Trans (Masculino/Femenino) No puede ser mayor al Total Ambos Sexos.</v>
      </c>
      <c r="CQ283" s="55">
        <f t="shared" si="208"/>
        <v>1</v>
      </c>
      <c r="CR283" s="55">
        <f t="shared" si="209"/>
        <v>1</v>
      </c>
      <c r="CS283" s="55">
        <f t="shared" si="198"/>
        <v>1</v>
      </c>
      <c r="CT283" s="55">
        <f t="shared" si="199"/>
        <v>1</v>
      </c>
      <c r="CU283" s="55">
        <f t="shared" si="200"/>
        <v>1</v>
      </c>
      <c r="CV283" s="55">
        <f t="shared" si="201"/>
        <v>1</v>
      </c>
      <c r="CW283" s="55">
        <f t="shared" si="202"/>
        <v>1</v>
      </c>
      <c r="CX283" s="55">
        <f t="shared" si="203"/>
        <v>1</v>
      </c>
    </row>
    <row r="284" spans="1:102" ht="15" customHeight="1" x14ac:dyDescent="0.25">
      <c r="A284" s="5640" t="s">
        <v>5137</v>
      </c>
      <c r="B284" s="6237" t="s">
        <v>892</v>
      </c>
      <c r="C284" s="6238"/>
      <c r="D284" s="5759" t="s">
        <v>4567</v>
      </c>
      <c r="E284" s="5760" t="s">
        <v>4568</v>
      </c>
      <c r="F284" s="5761" t="s">
        <v>4569</v>
      </c>
      <c r="G284" s="5683" t="s">
        <v>4570</v>
      </c>
      <c r="H284" s="5693" t="s">
        <v>4571</v>
      </c>
      <c r="I284" s="5683" t="s">
        <v>4572</v>
      </c>
      <c r="J284" s="5693" t="s">
        <v>4573</v>
      </c>
      <c r="K284" s="5683" t="s">
        <v>4574</v>
      </c>
      <c r="L284" s="5693" t="s">
        <v>4575</v>
      </c>
      <c r="M284" s="5683" t="s">
        <v>4576</v>
      </c>
      <c r="N284" s="5693" t="s">
        <v>4577</v>
      </c>
      <c r="O284" s="5683" t="s">
        <v>4578</v>
      </c>
      <c r="P284" s="5693" t="s">
        <v>4579</v>
      </c>
      <c r="Q284" s="5683" t="s">
        <v>4580</v>
      </c>
      <c r="R284" s="5693" t="s">
        <v>4581</v>
      </c>
      <c r="S284" s="5683" t="s">
        <v>4582</v>
      </c>
      <c r="T284" s="5693" t="s">
        <v>4583</v>
      </c>
      <c r="U284" s="5683" t="s">
        <v>4584</v>
      </c>
      <c r="V284" s="5693" t="s">
        <v>4585</v>
      </c>
      <c r="W284" s="5683" t="s">
        <v>4586</v>
      </c>
      <c r="X284" s="5693" t="s">
        <v>4587</v>
      </c>
      <c r="Y284" s="5683" t="s">
        <v>4588</v>
      </c>
      <c r="Z284" s="5693" t="s">
        <v>4589</v>
      </c>
      <c r="AA284" s="5683" t="s">
        <v>4590</v>
      </c>
      <c r="AB284" s="5693" t="s">
        <v>4591</v>
      </c>
      <c r="AC284" s="5683" t="s">
        <v>4592</v>
      </c>
      <c r="AD284" s="5693" t="s">
        <v>4593</v>
      </c>
      <c r="AE284" s="1737" t="s">
        <v>4594</v>
      </c>
      <c r="AF284" s="5693" t="s">
        <v>4595</v>
      </c>
      <c r="AG284" s="1737" t="s">
        <v>4596</v>
      </c>
      <c r="AH284" s="5693" t="s">
        <v>4597</v>
      </c>
      <c r="AI284" s="1737" t="s">
        <v>4598</v>
      </c>
      <c r="AJ284" s="5693" t="s">
        <v>4599</v>
      </c>
      <c r="AK284" s="1737" t="s">
        <v>4600</v>
      </c>
      <c r="AL284" s="5693" t="s">
        <v>4601</v>
      </c>
      <c r="AM284" s="1737" t="s">
        <v>4602</v>
      </c>
      <c r="AN284" s="66" t="s">
        <v>4603</v>
      </c>
      <c r="AO284" s="5698" t="s">
        <v>4604</v>
      </c>
      <c r="AP284" s="5693" t="s">
        <v>4605</v>
      </c>
      <c r="AQ284" s="1737" t="s">
        <v>4606</v>
      </c>
      <c r="AR284" s="5693" t="s">
        <v>4934</v>
      </c>
      <c r="AS284" s="5683" t="s">
        <v>4935</v>
      </c>
      <c r="AT284" s="5686" t="s">
        <v>4936</v>
      </c>
      <c r="AU284" s="5762" t="s">
        <v>4937</v>
      </c>
      <c r="AV284" s="5763" t="s">
        <v>5234</v>
      </c>
      <c r="AW284" s="5762" t="s">
        <v>5235</v>
      </c>
      <c r="AX284" s="5763" t="s">
        <v>5236</v>
      </c>
      <c r="AY284" s="5764" t="s">
        <v>5237</v>
      </c>
      <c r="AZ284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CB284" s="19"/>
      <c r="CC284" s="135" t="str">
        <f t="shared" si="207"/>
        <v xml:space="preserve">  * La variable Gestantes No puede ser mayor al Total Mujeres.</v>
      </c>
      <c r="CD284" s="135" t="str">
        <f t="shared" si="174"/>
        <v xml:space="preserve">  * La variable Madre de hijo menor de 5 años No puede ser mayor al Total Mujeres.</v>
      </c>
      <c r="CE284" s="135" t="str">
        <f t="shared" si="204"/>
        <v xml:space="preserve">  * La variable Pueblos originarios Hombres No puede ser mayor al Total Hombres.</v>
      </c>
      <c r="CF284" s="135" t="str">
        <f t="shared" si="191"/>
        <v xml:space="preserve">  * La variable Pueblos originarios Mujeres No puede ser mayor al Total Mujeres.</v>
      </c>
      <c r="CG284" s="135" t="str">
        <f t="shared" si="192"/>
        <v xml:space="preserve">  * La variable Niños, niñas, adolescentes y jóvenes SENAME No puede ser mayor al Total.</v>
      </c>
      <c r="CH284" s="135" t="str">
        <f t="shared" si="193"/>
        <v xml:space="preserve">  * La variable Niños, niñas, adolescentes y jóvenes Mejor Niñez No puede ser mayor al Total.</v>
      </c>
      <c r="CI284" s="135" t="str">
        <f t="shared" si="194"/>
        <v xml:space="preserve">  * La variable Migrantes No puede ser mayor al Total.</v>
      </c>
      <c r="CJ284" s="135" t="str">
        <f t="shared" si="195"/>
        <v xml:space="preserve">  * La variable Trans (Masculino/Femenino) No puede ser mayor al Total Ambos Sexos.</v>
      </c>
      <c r="CQ284" s="55">
        <f t="shared" si="208"/>
        <v>1</v>
      </c>
      <c r="CR284" s="55">
        <f t="shared" si="209"/>
        <v>1</v>
      </c>
      <c r="CS284" s="55">
        <f t="shared" si="198"/>
        <v>1</v>
      </c>
      <c r="CT284" s="55">
        <f t="shared" si="199"/>
        <v>1</v>
      </c>
      <c r="CU284" s="55">
        <f t="shared" si="200"/>
        <v>1</v>
      </c>
      <c r="CV284" s="55">
        <f t="shared" si="201"/>
        <v>1</v>
      </c>
      <c r="CW284" s="55">
        <f t="shared" si="202"/>
        <v>1</v>
      </c>
      <c r="CX284" s="55">
        <f t="shared" si="203"/>
        <v>1</v>
      </c>
    </row>
    <row r="285" spans="1:102" x14ac:dyDescent="0.25">
      <c r="A285" s="5640" t="s">
        <v>5138</v>
      </c>
      <c r="B285" s="6237" t="s">
        <v>893</v>
      </c>
      <c r="C285" s="6238"/>
      <c r="D285" s="5759" t="s">
        <v>4567</v>
      </c>
      <c r="E285" s="5760" t="s">
        <v>4568</v>
      </c>
      <c r="F285" s="5761" t="s">
        <v>4569</v>
      </c>
      <c r="G285" s="5683" t="s">
        <v>4570</v>
      </c>
      <c r="H285" s="5693" t="s">
        <v>4571</v>
      </c>
      <c r="I285" s="5683" t="s">
        <v>4572</v>
      </c>
      <c r="J285" s="5693" t="s">
        <v>4573</v>
      </c>
      <c r="K285" s="5683" t="s">
        <v>4574</v>
      </c>
      <c r="L285" s="5693" t="s">
        <v>4575</v>
      </c>
      <c r="M285" s="5683" t="s">
        <v>4576</v>
      </c>
      <c r="N285" s="5693" t="s">
        <v>4577</v>
      </c>
      <c r="O285" s="5683" t="s">
        <v>4578</v>
      </c>
      <c r="P285" s="5693" t="s">
        <v>4579</v>
      </c>
      <c r="Q285" s="5683" t="s">
        <v>4580</v>
      </c>
      <c r="R285" s="5693" t="s">
        <v>4581</v>
      </c>
      <c r="S285" s="5683" t="s">
        <v>4582</v>
      </c>
      <c r="T285" s="5693" t="s">
        <v>4583</v>
      </c>
      <c r="U285" s="5683" t="s">
        <v>4584</v>
      </c>
      <c r="V285" s="5693" t="s">
        <v>4585</v>
      </c>
      <c r="W285" s="5683" t="s">
        <v>4586</v>
      </c>
      <c r="X285" s="5693" t="s">
        <v>4587</v>
      </c>
      <c r="Y285" s="5683" t="s">
        <v>4588</v>
      </c>
      <c r="Z285" s="5693" t="s">
        <v>4589</v>
      </c>
      <c r="AA285" s="5683" t="s">
        <v>4590</v>
      </c>
      <c r="AB285" s="5693" t="s">
        <v>4591</v>
      </c>
      <c r="AC285" s="5683" t="s">
        <v>4592</v>
      </c>
      <c r="AD285" s="5693" t="s">
        <v>4593</v>
      </c>
      <c r="AE285" s="1737" t="s">
        <v>4594</v>
      </c>
      <c r="AF285" s="5693" t="s">
        <v>4595</v>
      </c>
      <c r="AG285" s="1737" t="s">
        <v>4596</v>
      </c>
      <c r="AH285" s="5693" t="s">
        <v>4597</v>
      </c>
      <c r="AI285" s="1737" t="s">
        <v>4598</v>
      </c>
      <c r="AJ285" s="5693" t="s">
        <v>4599</v>
      </c>
      <c r="AK285" s="1737" t="s">
        <v>4600</v>
      </c>
      <c r="AL285" s="5693" t="s">
        <v>4601</v>
      </c>
      <c r="AM285" s="1737" t="s">
        <v>4602</v>
      </c>
      <c r="AN285" s="66" t="s">
        <v>4603</v>
      </c>
      <c r="AO285" s="5698" t="s">
        <v>4604</v>
      </c>
      <c r="AP285" s="5693" t="s">
        <v>4605</v>
      </c>
      <c r="AQ285" s="1737" t="s">
        <v>4606</v>
      </c>
      <c r="AR285" s="5693" t="s">
        <v>4934</v>
      </c>
      <c r="AS285" s="5683" t="s">
        <v>4935</v>
      </c>
      <c r="AT285" s="5686" t="s">
        <v>4936</v>
      </c>
      <c r="AU285" s="5762" t="s">
        <v>4937</v>
      </c>
      <c r="AV285" s="5763" t="s">
        <v>5234</v>
      </c>
      <c r="AW285" s="5762" t="s">
        <v>5235</v>
      </c>
      <c r="AX285" s="5763" t="s">
        <v>5236</v>
      </c>
      <c r="AY285" s="5764" t="s">
        <v>5237</v>
      </c>
      <c r="AZ285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CB285" s="19"/>
      <c r="CC285" s="135" t="str">
        <f t="shared" si="207"/>
        <v xml:space="preserve">  * La variable Gestantes No puede ser mayor al Total Mujeres.</v>
      </c>
      <c r="CD285" s="135" t="str">
        <f t="shared" si="174"/>
        <v xml:space="preserve">  * La variable Madre de hijo menor de 5 años No puede ser mayor al Total Mujeres.</v>
      </c>
      <c r="CE285" s="135" t="str">
        <f t="shared" si="204"/>
        <v xml:space="preserve">  * La variable Pueblos originarios Hombres No puede ser mayor al Total Hombres.</v>
      </c>
      <c r="CF285" s="135" t="str">
        <f t="shared" si="191"/>
        <v xml:space="preserve">  * La variable Pueblos originarios Mujeres No puede ser mayor al Total Mujeres.</v>
      </c>
      <c r="CG285" s="135" t="str">
        <f t="shared" si="192"/>
        <v xml:space="preserve">  * La variable Niños, niñas, adolescentes y jóvenes SENAME No puede ser mayor al Total.</v>
      </c>
      <c r="CH285" s="135" t="str">
        <f t="shared" si="193"/>
        <v xml:space="preserve">  * La variable Niños, niñas, adolescentes y jóvenes Mejor Niñez No puede ser mayor al Total.</v>
      </c>
      <c r="CI285" s="135" t="str">
        <f t="shared" si="194"/>
        <v xml:space="preserve">  * La variable Migrantes No puede ser mayor al Total.</v>
      </c>
      <c r="CJ285" s="135" t="str">
        <f t="shared" si="195"/>
        <v xml:space="preserve">  * La variable Trans (Masculino/Femenino) No puede ser mayor al Total Ambos Sexos.</v>
      </c>
      <c r="CQ285" s="55">
        <f t="shared" si="208"/>
        <v>1</v>
      </c>
      <c r="CR285" s="55">
        <f t="shared" si="209"/>
        <v>1</v>
      </c>
      <c r="CS285" s="55">
        <f t="shared" si="198"/>
        <v>1</v>
      </c>
      <c r="CT285" s="55">
        <f t="shared" si="199"/>
        <v>1</v>
      </c>
      <c r="CU285" s="55">
        <f t="shared" si="200"/>
        <v>1</v>
      </c>
      <c r="CV285" s="55">
        <f t="shared" si="201"/>
        <v>1</v>
      </c>
      <c r="CW285" s="55">
        <f t="shared" si="202"/>
        <v>1</v>
      </c>
      <c r="CX285" s="55">
        <f t="shared" si="203"/>
        <v>1</v>
      </c>
    </row>
    <row r="286" spans="1:102" x14ac:dyDescent="0.25">
      <c r="A286" s="5640" t="s">
        <v>5139</v>
      </c>
      <c r="B286" s="6563" t="s">
        <v>894</v>
      </c>
      <c r="C286" s="6564"/>
      <c r="D286" s="5759" t="s">
        <v>4567</v>
      </c>
      <c r="E286" s="5760" t="s">
        <v>4568</v>
      </c>
      <c r="F286" s="5761" t="s">
        <v>4569</v>
      </c>
      <c r="G286" s="5683" t="s">
        <v>4570</v>
      </c>
      <c r="H286" s="5693" t="s">
        <v>4571</v>
      </c>
      <c r="I286" s="5683" t="s">
        <v>4572</v>
      </c>
      <c r="J286" s="5693" t="s">
        <v>4573</v>
      </c>
      <c r="K286" s="5683" t="s">
        <v>4574</v>
      </c>
      <c r="L286" s="5693" t="s">
        <v>4575</v>
      </c>
      <c r="M286" s="5683" t="s">
        <v>4576</v>
      </c>
      <c r="N286" s="5693" t="s">
        <v>4577</v>
      </c>
      <c r="O286" s="5683" t="s">
        <v>4578</v>
      </c>
      <c r="P286" s="5693" t="s">
        <v>4579</v>
      </c>
      <c r="Q286" s="5683" t="s">
        <v>4580</v>
      </c>
      <c r="R286" s="5693" t="s">
        <v>4581</v>
      </c>
      <c r="S286" s="5683" t="s">
        <v>4582</v>
      </c>
      <c r="T286" s="5693" t="s">
        <v>4583</v>
      </c>
      <c r="U286" s="5683" t="s">
        <v>4584</v>
      </c>
      <c r="V286" s="5693" t="s">
        <v>4585</v>
      </c>
      <c r="W286" s="5683" t="s">
        <v>4586</v>
      </c>
      <c r="X286" s="5693" t="s">
        <v>4587</v>
      </c>
      <c r="Y286" s="5683" t="s">
        <v>4588</v>
      </c>
      <c r="Z286" s="5693" t="s">
        <v>4589</v>
      </c>
      <c r="AA286" s="5683" t="s">
        <v>4590</v>
      </c>
      <c r="AB286" s="5693" t="s">
        <v>4591</v>
      </c>
      <c r="AC286" s="5683" t="s">
        <v>4592</v>
      </c>
      <c r="AD286" s="5693" t="s">
        <v>4593</v>
      </c>
      <c r="AE286" s="1737" t="s">
        <v>4594</v>
      </c>
      <c r="AF286" s="5693" t="s">
        <v>4595</v>
      </c>
      <c r="AG286" s="1737" t="s">
        <v>4596</v>
      </c>
      <c r="AH286" s="5693" t="s">
        <v>4597</v>
      </c>
      <c r="AI286" s="1737" t="s">
        <v>4598</v>
      </c>
      <c r="AJ286" s="5693" t="s">
        <v>4599</v>
      </c>
      <c r="AK286" s="1737" t="s">
        <v>4600</v>
      </c>
      <c r="AL286" s="5693" t="s">
        <v>4601</v>
      </c>
      <c r="AM286" s="1737" t="s">
        <v>4602</v>
      </c>
      <c r="AN286" s="66" t="s">
        <v>4603</v>
      </c>
      <c r="AO286" s="5698" t="s">
        <v>4604</v>
      </c>
      <c r="AP286" s="5693" t="s">
        <v>4605</v>
      </c>
      <c r="AQ286" s="1737" t="s">
        <v>4606</v>
      </c>
      <c r="AR286" s="5693" t="s">
        <v>4934</v>
      </c>
      <c r="AS286" s="5683" t="s">
        <v>4935</v>
      </c>
      <c r="AT286" s="5686" t="s">
        <v>4936</v>
      </c>
      <c r="AU286" s="5762" t="s">
        <v>4937</v>
      </c>
      <c r="AV286" s="5763" t="s">
        <v>5234</v>
      </c>
      <c r="AW286" s="5762" t="s">
        <v>5235</v>
      </c>
      <c r="AX286" s="5763" t="s">
        <v>5236</v>
      </c>
      <c r="AY286" s="5764" t="s">
        <v>5237</v>
      </c>
      <c r="AZ286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CB286" s="19"/>
      <c r="CC286" s="135" t="str">
        <f t="shared" si="207"/>
        <v xml:space="preserve">  * La variable Gestantes No puede ser mayor al Total Mujeres.</v>
      </c>
      <c r="CD286" s="135" t="str">
        <f t="shared" si="174"/>
        <v xml:space="preserve">  * La variable Madre de hijo menor de 5 años No puede ser mayor al Total Mujeres.</v>
      </c>
      <c r="CE286" s="135" t="str">
        <f t="shared" si="204"/>
        <v xml:space="preserve">  * La variable Pueblos originarios Hombres No puede ser mayor al Total Hombres.</v>
      </c>
      <c r="CF286" s="135" t="str">
        <f t="shared" si="191"/>
        <v xml:space="preserve">  * La variable Pueblos originarios Mujeres No puede ser mayor al Total Mujeres.</v>
      </c>
      <c r="CG286" s="135" t="str">
        <f t="shared" si="192"/>
        <v xml:space="preserve">  * La variable Niños, niñas, adolescentes y jóvenes SENAME No puede ser mayor al Total.</v>
      </c>
      <c r="CH286" s="135" t="str">
        <f t="shared" si="193"/>
        <v xml:space="preserve">  * La variable Niños, niñas, adolescentes y jóvenes Mejor Niñez No puede ser mayor al Total.</v>
      </c>
      <c r="CI286" s="135" t="str">
        <f t="shared" si="194"/>
        <v xml:space="preserve">  * La variable Migrantes No puede ser mayor al Total.</v>
      </c>
      <c r="CJ286" s="135" t="str">
        <f t="shared" si="195"/>
        <v xml:space="preserve">  * La variable Trans (Masculino/Femenino) No puede ser mayor al Total Ambos Sexos.</v>
      </c>
      <c r="CQ286" s="55">
        <f t="shared" si="208"/>
        <v>1</v>
      </c>
      <c r="CR286" s="55">
        <f t="shared" si="209"/>
        <v>1</v>
      </c>
      <c r="CS286" s="55">
        <f t="shared" si="198"/>
        <v>1</v>
      </c>
      <c r="CT286" s="55">
        <f t="shared" si="199"/>
        <v>1</v>
      </c>
      <c r="CU286" s="55">
        <f t="shared" si="200"/>
        <v>1</v>
      </c>
      <c r="CV286" s="55">
        <f t="shared" si="201"/>
        <v>1</v>
      </c>
      <c r="CW286" s="55">
        <f t="shared" si="202"/>
        <v>1</v>
      </c>
      <c r="CX286" s="55">
        <f t="shared" si="203"/>
        <v>1</v>
      </c>
    </row>
    <row r="287" spans="1:102" ht="15" customHeight="1" x14ac:dyDescent="0.25">
      <c r="A287" s="5640" t="s">
        <v>5140</v>
      </c>
      <c r="B287" s="6453" t="s">
        <v>895</v>
      </c>
      <c r="C287" s="664" t="s">
        <v>896</v>
      </c>
      <c r="D287" s="5759" t="s">
        <v>4567</v>
      </c>
      <c r="E287" s="5760" t="s">
        <v>4568</v>
      </c>
      <c r="F287" s="5761" t="s">
        <v>4569</v>
      </c>
      <c r="G287" s="5683" t="s">
        <v>4570</v>
      </c>
      <c r="H287" s="5693" t="s">
        <v>4571</v>
      </c>
      <c r="I287" s="5683" t="s">
        <v>4572</v>
      </c>
      <c r="J287" s="5693" t="s">
        <v>4573</v>
      </c>
      <c r="K287" s="5683" t="s">
        <v>4574</v>
      </c>
      <c r="L287" s="5693" t="s">
        <v>4575</v>
      </c>
      <c r="M287" s="5683" t="s">
        <v>4576</v>
      </c>
      <c r="N287" s="5693" t="s">
        <v>4577</v>
      </c>
      <c r="O287" s="5683" t="s">
        <v>4578</v>
      </c>
      <c r="P287" s="5693" t="s">
        <v>4579</v>
      </c>
      <c r="Q287" s="5683" t="s">
        <v>4580</v>
      </c>
      <c r="R287" s="5693" t="s">
        <v>4581</v>
      </c>
      <c r="S287" s="5683" t="s">
        <v>4582</v>
      </c>
      <c r="T287" s="5693" t="s">
        <v>4583</v>
      </c>
      <c r="U287" s="5683" t="s">
        <v>4584</v>
      </c>
      <c r="V287" s="5693" t="s">
        <v>4585</v>
      </c>
      <c r="W287" s="5683" t="s">
        <v>4586</v>
      </c>
      <c r="X287" s="5693" t="s">
        <v>4587</v>
      </c>
      <c r="Y287" s="5683" t="s">
        <v>4588</v>
      </c>
      <c r="Z287" s="5693" t="s">
        <v>4589</v>
      </c>
      <c r="AA287" s="5683" t="s">
        <v>4590</v>
      </c>
      <c r="AB287" s="5693" t="s">
        <v>4591</v>
      </c>
      <c r="AC287" s="5683" t="s">
        <v>4592</v>
      </c>
      <c r="AD287" s="5693" t="s">
        <v>4593</v>
      </c>
      <c r="AE287" s="1737" t="s">
        <v>4594</v>
      </c>
      <c r="AF287" s="5693" t="s">
        <v>4595</v>
      </c>
      <c r="AG287" s="1737" t="s">
        <v>4596</v>
      </c>
      <c r="AH287" s="5693" t="s">
        <v>4597</v>
      </c>
      <c r="AI287" s="1737" t="s">
        <v>4598</v>
      </c>
      <c r="AJ287" s="5693" t="s">
        <v>4599</v>
      </c>
      <c r="AK287" s="1737" t="s">
        <v>4600</v>
      </c>
      <c r="AL287" s="5693" t="s">
        <v>4601</v>
      </c>
      <c r="AM287" s="1737" t="s">
        <v>4602</v>
      </c>
      <c r="AN287" s="66" t="s">
        <v>4603</v>
      </c>
      <c r="AO287" s="5698" t="s">
        <v>4604</v>
      </c>
      <c r="AP287" s="5693" t="s">
        <v>4605</v>
      </c>
      <c r="AQ287" s="1737" t="s">
        <v>4606</v>
      </c>
      <c r="AR287" s="5693" t="s">
        <v>4934</v>
      </c>
      <c r="AS287" s="5683" t="s">
        <v>4935</v>
      </c>
      <c r="AT287" s="5686" t="s">
        <v>4936</v>
      </c>
      <c r="AU287" s="5762" t="s">
        <v>4937</v>
      </c>
      <c r="AV287" s="5763" t="s">
        <v>5234</v>
      </c>
      <c r="AW287" s="5762" t="s">
        <v>5235</v>
      </c>
      <c r="AX287" s="5763" t="s">
        <v>5236</v>
      </c>
      <c r="AY287" s="5764" t="s">
        <v>5237</v>
      </c>
      <c r="AZ287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CB287" s="19"/>
      <c r="CC287" s="135" t="str">
        <f t="shared" si="207"/>
        <v xml:space="preserve">  * La variable Gestantes No puede ser mayor al Total Mujeres.</v>
      </c>
      <c r="CD287" s="135" t="str">
        <f t="shared" si="174"/>
        <v xml:space="preserve">  * La variable Madre de hijo menor de 5 años No puede ser mayor al Total Mujeres.</v>
      </c>
      <c r="CE287" s="135" t="str">
        <f t="shared" si="204"/>
        <v xml:space="preserve">  * La variable Pueblos originarios Hombres No puede ser mayor al Total Hombres.</v>
      </c>
      <c r="CF287" s="135" t="str">
        <f t="shared" si="191"/>
        <v xml:space="preserve">  * La variable Pueblos originarios Mujeres No puede ser mayor al Total Mujeres.</v>
      </c>
      <c r="CG287" s="135" t="str">
        <f t="shared" si="192"/>
        <v xml:space="preserve">  * La variable Niños, niñas, adolescentes y jóvenes SENAME No puede ser mayor al Total.</v>
      </c>
      <c r="CH287" s="135" t="str">
        <f t="shared" si="193"/>
        <v xml:space="preserve">  * La variable Niños, niñas, adolescentes y jóvenes Mejor Niñez No puede ser mayor al Total.</v>
      </c>
      <c r="CI287" s="135" t="str">
        <f t="shared" si="194"/>
        <v xml:space="preserve">  * La variable Migrantes No puede ser mayor al Total.</v>
      </c>
      <c r="CJ287" s="135" t="str">
        <f t="shared" si="195"/>
        <v xml:space="preserve">  * La variable Trans (Masculino/Femenino) No puede ser mayor al Total Ambos Sexos.</v>
      </c>
      <c r="CQ287" s="55">
        <f t="shared" si="208"/>
        <v>1</v>
      </c>
      <c r="CR287" s="55">
        <f t="shared" si="209"/>
        <v>1</v>
      </c>
      <c r="CS287" s="55">
        <f t="shared" si="198"/>
        <v>1</v>
      </c>
      <c r="CT287" s="55">
        <f t="shared" si="199"/>
        <v>1</v>
      </c>
      <c r="CU287" s="55">
        <f t="shared" si="200"/>
        <v>1</v>
      </c>
      <c r="CV287" s="55">
        <f t="shared" si="201"/>
        <v>1</v>
      </c>
      <c r="CW287" s="55">
        <f t="shared" si="202"/>
        <v>1</v>
      </c>
      <c r="CX287" s="55">
        <f t="shared" si="203"/>
        <v>1</v>
      </c>
    </row>
    <row r="288" spans="1:102" x14ac:dyDescent="0.25">
      <c r="A288" s="5640" t="s">
        <v>5141</v>
      </c>
      <c r="B288" s="6112"/>
      <c r="C288" s="356" t="s">
        <v>897</v>
      </c>
      <c r="D288" s="5759" t="s">
        <v>4567</v>
      </c>
      <c r="E288" s="5760" t="s">
        <v>4568</v>
      </c>
      <c r="F288" s="5761" t="s">
        <v>4569</v>
      </c>
      <c r="G288" s="5683" t="s">
        <v>4570</v>
      </c>
      <c r="H288" s="5693" t="s">
        <v>4571</v>
      </c>
      <c r="I288" s="5683" t="s">
        <v>4572</v>
      </c>
      <c r="J288" s="5693" t="s">
        <v>4573</v>
      </c>
      <c r="K288" s="5683" t="s">
        <v>4574</v>
      </c>
      <c r="L288" s="5693" t="s">
        <v>4575</v>
      </c>
      <c r="M288" s="5683" t="s">
        <v>4576</v>
      </c>
      <c r="N288" s="5693" t="s">
        <v>4577</v>
      </c>
      <c r="O288" s="5683" t="s">
        <v>4578</v>
      </c>
      <c r="P288" s="5693" t="s">
        <v>4579</v>
      </c>
      <c r="Q288" s="5683" t="s">
        <v>4580</v>
      </c>
      <c r="R288" s="5693" t="s">
        <v>4581</v>
      </c>
      <c r="S288" s="5683" t="s">
        <v>4582</v>
      </c>
      <c r="T288" s="5693" t="s">
        <v>4583</v>
      </c>
      <c r="U288" s="5683" t="s">
        <v>4584</v>
      </c>
      <c r="V288" s="5693" t="s">
        <v>4585</v>
      </c>
      <c r="W288" s="5683" t="s">
        <v>4586</v>
      </c>
      <c r="X288" s="5693" t="s">
        <v>4587</v>
      </c>
      <c r="Y288" s="5683" t="s">
        <v>4588</v>
      </c>
      <c r="Z288" s="5693" t="s">
        <v>4589</v>
      </c>
      <c r="AA288" s="5683" t="s">
        <v>4590</v>
      </c>
      <c r="AB288" s="5693" t="s">
        <v>4591</v>
      </c>
      <c r="AC288" s="5683" t="s">
        <v>4592</v>
      </c>
      <c r="AD288" s="5693" t="s">
        <v>4593</v>
      </c>
      <c r="AE288" s="1737" t="s">
        <v>4594</v>
      </c>
      <c r="AF288" s="5693" t="s">
        <v>4595</v>
      </c>
      <c r="AG288" s="1737" t="s">
        <v>4596</v>
      </c>
      <c r="AH288" s="5693" t="s">
        <v>4597</v>
      </c>
      <c r="AI288" s="1737" t="s">
        <v>4598</v>
      </c>
      <c r="AJ288" s="5693" t="s">
        <v>4599</v>
      </c>
      <c r="AK288" s="1737" t="s">
        <v>4600</v>
      </c>
      <c r="AL288" s="5693" t="s">
        <v>4601</v>
      </c>
      <c r="AM288" s="1737" t="s">
        <v>4602</v>
      </c>
      <c r="AN288" s="66" t="s">
        <v>4603</v>
      </c>
      <c r="AO288" s="5698" t="s">
        <v>4604</v>
      </c>
      <c r="AP288" s="5693" t="s">
        <v>4605</v>
      </c>
      <c r="AQ288" s="1737" t="s">
        <v>4606</v>
      </c>
      <c r="AR288" s="5693" t="s">
        <v>4934</v>
      </c>
      <c r="AS288" s="5683" t="s">
        <v>4935</v>
      </c>
      <c r="AT288" s="5686" t="s">
        <v>4936</v>
      </c>
      <c r="AU288" s="5762" t="s">
        <v>4937</v>
      </c>
      <c r="AV288" s="5763" t="s">
        <v>5234</v>
      </c>
      <c r="AW288" s="5762" t="s">
        <v>5235</v>
      </c>
      <c r="AX288" s="5763" t="s">
        <v>5236</v>
      </c>
      <c r="AY288" s="5764" t="s">
        <v>5237</v>
      </c>
      <c r="AZ288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CB288" s="19"/>
      <c r="CC288" s="135" t="str">
        <f t="shared" si="207"/>
        <v xml:space="preserve">  * La variable Gestantes No puede ser mayor al Total Mujeres.</v>
      </c>
      <c r="CD288" s="135" t="str">
        <f t="shared" si="174"/>
        <v xml:space="preserve">  * La variable Madre de hijo menor de 5 años No puede ser mayor al Total Mujeres.</v>
      </c>
      <c r="CE288" s="135" t="str">
        <f t="shared" si="204"/>
        <v xml:space="preserve">  * La variable Pueblos originarios Hombres No puede ser mayor al Total Hombres.</v>
      </c>
      <c r="CF288" s="135" t="str">
        <f t="shared" si="191"/>
        <v xml:space="preserve">  * La variable Pueblos originarios Mujeres No puede ser mayor al Total Mujeres.</v>
      </c>
      <c r="CG288" s="135" t="str">
        <f t="shared" si="192"/>
        <v xml:space="preserve">  * La variable Niños, niñas, adolescentes y jóvenes SENAME No puede ser mayor al Total.</v>
      </c>
      <c r="CH288" s="135" t="str">
        <f t="shared" si="193"/>
        <v xml:space="preserve">  * La variable Niños, niñas, adolescentes y jóvenes Mejor Niñez No puede ser mayor al Total.</v>
      </c>
      <c r="CI288" s="135" t="str">
        <f t="shared" si="194"/>
        <v xml:space="preserve">  * La variable Migrantes No puede ser mayor al Total.</v>
      </c>
      <c r="CJ288" s="135" t="str">
        <f t="shared" si="195"/>
        <v xml:space="preserve">  * La variable Trans (Masculino/Femenino) No puede ser mayor al Total Ambos Sexos.</v>
      </c>
      <c r="CQ288" s="55">
        <f t="shared" si="208"/>
        <v>1</v>
      </c>
      <c r="CR288" s="55">
        <f t="shared" si="209"/>
        <v>1</v>
      </c>
      <c r="CS288" s="55">
        <f t="shared" si="198"/>
        <v>1</v>
      </c>
      <c r="CT288" s="55">
        <f t="shared" si="199"/>
        <v>1</v>
      </c>
      <c r="CU288" s="55">
        <f t="shared" si="200"/>
        <v>1</v>
      </c>
      <c r="CV288" s="55">
        <f t="shared" si="201"/>
        <v>1</v>
      </c>
      <c r="CW288" s="55">
        <f t="shared" si="202"/>
        <v>1</v>
      </c>
      <c r="CX288" s="55">
        <f t="shared" si="203"/>
        <v>1</v>
      </c>
    </row>
    <row r="289" spans="1:102" x14ac:dyDescent="0.25">
      <c r="A289" s="5640" t="s">
        <v>5142</v>
      </c>
      <c r="B289" s="6112"/>
      <c r="C289" s="356" t="s">
        <v>898</v>
      </c>
      <c r="D289" s="5759" t="s">
        <v>4567</v>
      </c>
      <c r="E289" s="5760" t="s">
        <v>4568</v>
      </c>
      <c r="F289" s="5761" t="s">
        <v>4569</v>
      </c>
      <c r="G289" s="5683" t="s">
        <v>4570</v>
      </c>
      <c r="H289" s="5693" t="s">
        <v>4571</v>
      </c>
      <c r="I289" s="5683" t="s">
        <v>4572</v>
      </c>
      <c r="J289" s="5693" t="s">
        <v>4573</v>
      </c>
      <c r="K289" s="5683" t="s">
        <v>4574</v>
      </c>
      <c r="L289" s="5693" t="s">
        <v>4575</v>
      </c>
      <c r="M289" s="5683" t="s">
        <v>4576</v>
      </c>
      <c r="N289" s="5693" t="s">
        <v>4577</v>
      </c>
      <c r="O289" s="5683" t="s">
        <v>4578</v>
      </c>
      <c r="P289" s="5693" t="s">
        <v>4579</v>
      </c>
      <c r="Q289" s="5683" t="s">
        <v>4580</v>
      </c>
      <c r="R289" s="5693" t="s">
        <v>4581</v>
      </c>
      <c r="S289" s="5683" t="s">
        <v>4582</v>
      </c>
      <c r="T289" s="5693" t="s">
        <v>4583</v>
      </c>
      <c r="U289" s="5683" t="s">
        <v>4584</v>
      </c>
      <c r="V289" s="5693" t="s">
        <v>4585</v>
      </c>
      <c r="W289" s="5683" t="s">
        <v>4586</v>
      </c>
      <c r="X289" s="5693" t="s">
        <v>4587</v>
      </c>
      <c r="Y289" s="5683" t="s">
        <v>4588</v>
      </c>
      <c r="Z289" s="5693" t="s">
        <v>4589</v>
      </c>
      <c r="AA289" s="5683" t="s">
        <v>4590</v>
      </c>
      <c r="AB289" s="5693" t="s">
        <v>4591</v>
      </c>
      <c r="AC289" s="5683" t="s">
        <v>4592</v>
      </c>
      <c r="AD289" s="5693" t="s">
        <v>4593</v>
      </c>
      <c r="AE289" s="1737" t="s">
        <v>4594</v>
      </c>
      <c r="AF289" s="5693" t="s">
        <v>4595</v>
      </c>
      <c r="AG289" s="1737" t="s">
        <v>4596</v>
      </c>
      <c r="AH289" s="5693" t="s">
        <v>4597</v>
      </c>
      <c r="AI289" s="1737" t="s">
        <v>4598</v>
      </c>
      <c r="AJ289" s="5693" t="s">
        <v>4599</v>
      </c>
      <c r="AK289" s="1737" t="s">
        <v>4600</v>
      </c>
      <c r="AL289" s="5693" t="s">
        <v>4601</v>
      </c>
      <c r="AM289" s="1737" t="s">
        <v>4602</v>
      </c>
      <c r="AN289" s="66" t="s">
        <v>4603</v>
      </c>
      <c r="AO289" s="5698" t="s">
        <v>4604</v>
      </c>
      <c r="AP289" s="5693" t="s">
        <v>4605</v>
      </c>
      <c r="AQ289" s="1737" t="s">
        <v>4606</v>
      </c>
      <c r="AR289" s="5693" t="s">
        <v>4934</v>
      </c>
      <c r="AS289" s="5683" t="s">
        <v>4935</v>
      </c>
      <c r="AT289" s="5686" t="s">
        <v>4936</v>
      </c>
      <c r="AU289" s="5762" t="s">
        <v>4937</v>
      </c>
      <c r="AV289" s="5763" t="s">
        <v>5234</v>
      </c>
      <c r="AW289" s="5762" t="s">
        <v>5235</v>
      </c>
      <c r="AX289" s="5763" t="s">
        <v>5236</v>
      </c>
      <c r="AY289" s="5764" t="s">
        <v>5237</v>
      </c>
      <c r="AZ289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CB289" s="19"/>
      <c r="CC289" s="135" t="str">
        <f t="shared" si="207"/>
        <v xml:space="preserve">  * La variable Gestantes No puede ser mayor al Total Mujeres.</v>
      </c>
      <c r="CD289" s="135" t="str">
        <f t="shared" si="174"/>
        <v xml:space="preserve">  * La variable Madre de hijo menor de 5 años No puede ser mayor al Total Mujeres.</v>
      </c>
      <c r="CE289" s="135" t="str">
        <f t="shared" si="204"/>
        <v xml:space="preserve">  * La variable Pueblos originarios Hombres No puede ser mayor al Total Hombres.</v>
      </c>
      <c r="CF289" s="135" t="str">
        <f t="shared" si="191"/>
        <v xml:space="preserve">  * La variable Pueblos originarios Mujeres No puede ser mayor al Total Mujeres.</v>
      </c>
      <c r="CG289" s="135" t="str">
        <f t="shared" si="192"/>
        <v xml:space="preserve">  * La variable Niños, niñas, adolescentes y jóvenes SENAME No puede ser mayor al Total.</v>
      </c>
      <c r="CH289" s="135" t="str">
        <f t="shared" si="193"/>
        <v xml:space="preserve">  * La variable Niños, niñas, adolescentes y jóvenes Mejor Niñez No puede ser mayor al Total.</v>
      </c>
      <c r="CI289" s="135" t="str">
        <f t="shared" si="194"/>
        <v xml:space="preserve">  * La variable Migrantes No puede ser mayor al Total.</v>
      </c>
      <c r="CJ289" s="135" t="str">
        <f t="shared" si="195"/>
        <v xml:space="preserve">  * La variable Trans (Masculino/Femenino) No puede ser mayor al Total Ambos Sexos.</v>
      </c>
      <c r="CQ289" s="55">
        <f t="shared" si="208"/>
        <v>1</v>
      </c>
      <c r="CR289" s="55">
        <f t="shared" si="209"/>
        <v>1</v>
      </c>
      <c r="CS289" s="55">
        <f t="shared" si="198"/>
        <v>1</v>
      </c>
      <c r="CT289" s="55">
        <f t="shared" si="199"/>
        <v>1</v>
      </c>
      <c r="CU289" s="55">
        <f t="shared" si="200"/>
        <v>1</v>
      </c>
      <c r="CV289" s="55">
        <f t="shared" si="201"/>
        <v>1</v>
      </c>
      <c r="CW289" s="55">
        <f t="shared" si="202"/>
        <v>1</v>
      </c>
      <c r="CX289" s="55">
        <f t="shared" si="203"/>
        <v>1</v>
      </c>
    </row>
    <row r="290" spans="1:102" x14ac:dyDescent="0.25">
      <c r="A290" s="5640" t="s">
        <v>5143</v>
      </c>
      <c r="B290" s="6112"/>
      <c r="C290" s="356" t="s">
        <v>899</v>
      </c>
      <c r="D290" s="5759" t="s">
        <v>4567</v>
      </c>
      <c r="E290" s="5760" t="s">
        <v>4568</v>
      </c>
      <c r="F290" s="5761" t="s">
        <v>4569</v>
      </c>
      <c r="G290" s="5683" t="s">
        <v>4570</v>
      </c>
      <c r="H290" s="5693" t="s">
        <v>4571</v>
      </c>
      <c r="I290" s="5683" t="s">
        <v>4572</v>
      </c>
      <c r="J290" s="5693" t="s">
        <v>4573</v>
      </c>
      <c r="K290" s="5683" t="s">
        <v>4574</v>
      </c>
      <c r="L290" s="5693" t="s">
        <v>4575</v>
      </c>
      <c r="M290" s="5683" t="s">
        <v>4576</v>
      </c>
      <c r="N290" s="5693" t="s">
        <v>4577</v>
      </c>
      <c r="O290" s="5683" t="s">
        <v>4578</v>
      </c>
      <c r="P290" s="5693" t="s">
        <v>4579</v>
      </c>
      <c r="Q290" s="5683" t="s">
        <v>4580</v>
      </c>
      <c r="R290" s="5693" t="s">
        <v>4581</v>
      </c>
      <c r="S290" s="5683" t="s">
        <v>4582</v>
      </c>
      <c r="T290" s="5693" t="s">
        <v>4583</v>
      </c>
      <c r="U290" s="5683" t="s">
        <v>4584</v>
      </c>
      <c r="V290" s="5693" t="s">
        <v>4585</v>
      </c>
      <c r="W290" s="5683" t="s">
        <v>4586</v>
      </c>
      <c r="X290" s="5693" t="s">
        <v>4587</v>
      </c>
      <c r="Y290" s="5683" t="s">
        <v>4588</v>
      </c>
      <c r="Z290" s="5693" t="s">
        <v>4589</v>
      </c>
      <c r="AA290" s="5683" t="s">
        <v>4590</v>
      </c>
      <c r="AB290" s="5693" t="s">
        <v>4591</v>
      </c>
      <c r="AC290" s="5683" t="s">
        <v>4592</v>
      </c>
      <c r="AD290" s="5693" t="s">
        <v>4593</v>
      </c>
      <c r="AE290" s="1737" t="s">
        <v>4594</v>
      </c>
      <c r="AF290" s="5693" t="s">
        <v>4595</v>
      </c>
      <c r="AG290" s="1737" t="s">
        <v>4596</v>
      </c>
      <c r="AH290" s="5693" t="s">
        <v>4597</v>
      </c>
      <c r="AI290" s="1737" t="s">
        <v>4598</v>
      </c>
      <c r="AJ290" s="5693" t="s">
        <v>4599</v>
      </c>
      <c r="AK290" s="1737" t="s">
        <v>4600</v>
      </c>
      <c r="AL290" s="5693" t="s">
        <v>4601</v>
      </c>
      <c r="AM290" s="1737" t="s">
        <v>4602</v>
      </c>
      <c r="AN290" s="66" t="s">
        <v>4603</v>
      </c>
      <c r="AO290" s="5698" t="s">
        <v>4604</v>
      </c>
      <c r="AP290" s="5693" t="s">
        <v>4605</v>
      </c>
      <c r="AQ290" s="1737" t="s">
        <v>4606</v>
      </c>
      <c r="AR290" s="5693" t="s">
        <v>4934</v>
      </c>
      <c r="AS290" s="5683" t="s">
        <v>4935</v>
      </c>
      <c r="AT290" s="5686" t="s">
        <v>4936</v>
      </c>
      <c r="AU290" s="5762" t="s">
        <v>4937</v>
      </c>
      <c r="AV290" s="5763" t="s">
        <v>5234</v>
      </c>
      <c r="AW290" s="5762" t="s">
        <v>5235</v>
      </c>
      <c r="AX290" s="5763" t="s">
        <v>5236</v>
      </c>
      <c r="AY290" s="5764" t="s">
        <v>5237</v>
      </c>
      <c r="AZ290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CB290" s="19"/>
      <c r="CC290" s="135" t="str">
        <f t="shared" si="207"/>
        <v xml:space="preserve">  * La variable Gestantes No puede ser mayor al Total Mujeres.</v>
      </c>
      <c r="CD290" s="135" t="str">
        <f t="shared" si="174"/>
        <v xml:space="preserve">  * La variable Madre de hijo menor de 5 años No puede ser mayor al Total Mujeres.</v>
      </c>
      <c r="CE290" s="135" t="str">
        <f t="shared" si="204"/>
        <v xml:space="preserve">  * La variable Pueblos originarios Hombres No puede ser mayor al Total Hombres.</v>
      </c>
      <c r="CF290" s="135" t="str">
        <f t="shared" si="191"/>
        <v xml:space="preserve">  * La variable Pueblos originarios Mujeres No puede ser mayor al Total Mujeres.</v>
      </c>
      <c r="CG290" s="135" t="str">
        <f t="shared" si="192"/>
        <v xml:space="preserve">  * La variable Niños, niñas, adolescentes y jóvenes SENAME No puede ser mayor al Total.</v>
      </c>
      <c r="CH290" s="135" t="str">
        <f t="shared" si="193"/>
        <v xml:space="preserve">  * La variable Niños, niñas, adolescentes y jóvenes Mejor Niñez No puede ser mayor al Total.</v>
      </c>
      <c r="CI290" s="135" t="str">
        <f t="shared" si="194"/>
        <v xml:space="preserve">  * La variable Migrantes No puede ser mayor al Total.</v>
      </c>
      <c r="CJ290" s="135" t="str">
        <f t="shared" si="195"/>
        <v xml:space="preserve">  * La variable Trans (Masculino/Femenino) No puede ser mayor al Total Ambos Sexos.</v>
      </c>
      <c r="CQ290" s="55">
        <f t="shared" si="208"/>
        <v>1</v>
      </c>
      <c r="CR290" s="55">
        <f t="shared" si="209"/>
        <v>1</v>
      </c>
      <c r="CS290" s="55">
        <f t="shared" si="198"/>
        <v>1</v>
      </c>
      <c r="CT290" s="55">
        <f t="shared" si="199"/>
        <v>1</v>
      </c>
      <c r="CU290" s="55">
        <f t="shared" si="200"/>
        <v>1</v>
      </c>
      <c r="CV290" s="55">
        <f t="shared" si="201"/>
        <v>1</v>
      </c>
      <c r="CW290" s="55">
        <f t="shared" si="202"/>
        <v>1</v>
      </c>
      <c r="CX290" s="55">
        <f t="shared" si="203"/>
        <v>1</v>
      </c>
    </row>
    <row r="291" spans="1:102" ht="22.5" customHeight="1" x14ac:dyDescent="0.25">
      <c r="A291" s="5640" t="s">
        <v>5144</v>
      </c>
      <c r="B291" s="6059"/>
      <c r="C291" s="674" t="s">
        <v>900</v>
      </c>
      <c r="D291" s="5759" t="s">
        <v>4567</v>
      </c>
      <c r="E291" s="5760" t="s">
        <v>4568</v>
      </c>
      <c r="F291" s="5761" t="s">
        <v>4569</v>
      </c>
      <c r="G291" s="5683" t="s">
        <v>4570</v>
      </c>
      <c r="H291" s="5693" t="s">
        <v>4571</v>
      </c>
      <c r="I291" s="5683" t="s">
        <v>4572</v>
      </c>
      <c r="J291" s="5693" t="s">
        <v>4573</v>
      </c>
      <c r="K291" s="5683" t="s">
        <v>4574</v>
      </c>
      <c r="L291" s="5693" t="s">
        <v>4575</v>
      </c>
      <c r="M291" s="5683" t="s">
        <v>4576</v>
      </c>
      <c r="N291" s="5693" t="s">
        <v>4577</v>
      </c>
      <c r="O291" s="5683" t="s">
        <v>4578</v>
      </c>
      <c r="P291" s="5693" t="s">
        <v>4579</v>
      </c>
      <c r="Q291" s="5683" t="s">
        <v>4580</v>
      </c>
      <c r="R291" s="5693" t="s">
        <v>4581</v>
      </c>
      <c r="S291" s="5683" t="s">
        <v>4582</v>
      </c>
      <c r="T291" s="5693" t="s">
        <v>4583</v>
      </c>
      <c r="U291" s="5683" t="s">
        <v>4584</v>
      </c>
      <c r="V291" s="5693" t="s">
        <v>4585</v>
      </c>
      <c r="W291" s="5683" t="s">
        <v>4586</v>
      </c>
      <c r="X291" s="5693" t="s">
        <v>4587</v>
      </c>
      <c r="Y291" s="5683" t="s">
        <v>4588</v>
      </c>
      <c r="Z291" s="5693" t="s">
        <v>4589</v>
      </c>
      <c r="AA291" s="5683" t="s">
        <v>4590</v>
      </c>
      <c r="AB291" s="5693" t="s">
        <v>4591</v>
      </c>
      <c r="AC291" s="5683" t="s">
        <v>4592</v>
      </c>
      <c r="AD291" s="5693" t="s">
        <v>4593</v>
      </c>
      <c r="AE291" s="1737" t="s">
        <v>4594</v>
      </c>
      <c r="AF291" s="5693" t="s">
        <v>4595</v>
      </c>
      <c r="AG291" s="1737" t="s">
        <v>4596</v>
      </c>
      <c r="AH291" s="5693" t="s">
        <v>4597</v>
      </c>
      <c r="AI291" s="1737" t="s">
        <v>4598</v>
      </c>
      <c r="AJ291" s="5693" t="s">
        <v>4599</v>
      </c>
      <c r="AK291" s="1737" t="s">
        <v>4600</v>
      </c>
      <c r="AL291" s="5693" t="s">
        <v>4601</v>
      </c>
      <c r="AM291" s="1737" t="s">
        <v>4602</v>
      </c>
      <c r="AN291" s="66" t="s">
        <v>4603</v>
      </c>
      <c r="AO291" s="5698" t="s">
        <v>4604</v>
      </c>
      <c r="AP291" s="5693" t="s">
        <v>4605</v>
      </c>
      <c r="AQ291" s="1737" t="s">
        <v>4606</v>
      </c>
      <c r="AR291" s="5693" t="s">
        <v>4934</v>
      </c>
      <c r="AS291" s="5683" t="s">
        <v>4935</v>
      </c>
      <c r="AT291" s="5686" t="s">
        <v>4936</v>
      </c>
      <c r="AU291" s="5762" t="s">
        <v>4937</v>
      </c>
      <c r="AV291" s="5763" t="s">
        <v>5234</v>
      </c>
      <c r="AW291" s="5762" t="s">
        <v>5235</v>
      </c>
      <c r="AX291" s="5763" t="s">
        <v>5236</v>
      </c>
      <c r="AY291" s="5764" t="s">
        <v>5237</v>
      </c>
      <c r="AZ291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CB291" s="19"/>
      <c r="CC291" s="135" t="str">
        <f t="shared" si="207"/>
        <v xml:space="preserve">  * La variable Gestantes No puede ser mayor al Total Mujeres.</v>
      </c>
      <c r="CD291" s="135" t="str">
        <f t="shared" si="174"/>
        <v xml:space="preserve">  * La variable Madre de hijo menor de 5 años No puede ser mayor al Total Mujeres.</v>
      </c>
      <c r="CE291" s="135" t="str">
        <f t="shared" si="204"/>
        <v xml:space="preserve">  * La variable Pueblos originarios Hombres No puede ser mayor al Total Hombres.</v>
      </c>
      <c r="CF291" s="135" t="str">
        <f t="shared" si="191"/>
        <v xml:space="preserve">  * La variable Pueblos originarios Mujeres No puede ser mayor al Total Mujeres.</v>
      </c>
      <c r="CG291" s="135" t="str">
        <f t="shared" si="192"/>
        <v xml:space="preserve">  * La variable Niños, niñas, adolescentes y jóvenes SENAME No puede ser mayor al Total.</v>
      </c>
      <c r="CH291" s="135" t="str">
        <f t="shared" si="193"/>
        <v xml:space="preserve">  * La variable Niños, niñas, adolescentes y jóvenes Mejor Niñez No puede ser mayor al Total.</v>
      </c>
      <c r="CI291" s="135" t="str">
        <f t="shared" si="194"/>
        <v xml:space="preserve">  * La variable Migrantes No puede ser mayor al Total.</v>
      </c>
      <c r="CJ291" s="135" t="str">
        <f t="shared" si="195"/>
        <v xml:space="preserve">  * La variable Trans (Masculino/Femenino) No puede ser mayor al Total Ambos Sexos.</v>
      </c>
      <c r="CQ291" s="55">
        <f t="shared" si="208"/>
        <v>1</v>
      </c>
      <c r="CR291" s="55">
        <f t="shared" si="209"/>
        <v>1</v>
      </c>
      <c r="CS291" s="55">
        <f t="shared" si="198"/>
        <v>1</v>
      </c>
      <c r="CT291" s="55">
        <f t="shared" si="199"/>
        <v>1</v>
      </c>
      <c r="CU291" s="55">
        <f t="shared" si="200"/>
        <v>1</v>
      </c>
      <c r="CV291" s="55">
        <f t="shared" si="201"/>
        <v>1</v>
      </c>
      <c r="CW291" s="55">
        <f t="shared" si="202"/>
        <v>1</v>
      </c>
      <c r="CX291" s="55">
        <f t="shared" si="203"/>
        <v>1</v>
      </c>
    </row>
    <row r="292" spans="1:102" x14ac:dyDescent="0.25">
      <c r="A292" s="5640" t="s">
        <v>5145</v>
      </c>
      <c r="B292" s="6619" t="s">
        <v>901</v>
      </c>
      <c r="C292" s="6620"/>
      <c r="D292" s="5759" t="s">
        <v>4567</v>
      </c>
      <c r="E292" s="5760" t="s">
        <v>4568</v>
      </c>
      <c r="F292" s="5761" t="s">
        <v>4569</v>
      </c>
      <c r="G292" s="5683" t="s">
        <v>4570</v>
      </c>
      <c r="H292" s="5693" t="s">
        <v>4571</v>
      </c>
      <c r="I292" s="5683" t="s">
        <v>4572</v>
      </c>
      <c r="J292" s="5693" t="s">
        <v>4573</v>
      </c>
      <c r="K292" s="5683" t="s">
        <v>4574</v>
      </c>
      <c r="L292" s="5693" t="s">
        <v>4575</v>
      </c>
      <c r="M292" s="5683" t="s">
        <v>4576</v>
      </c>
      <c r="N292" s="5693" t="s">
        <v>4577</v>
      </c>
      <c r="O292" s="5683" t="s">
        <v>4578</v>
      </c>
      <c r="P292" s="5693" t="s">
        <v>4579</v>
      </c>
      <c r="Q292" s="5683" t="s">
        <v>4580</v>
      </c>
      <c r="R292" s="5693" t="s">
        <v>4581</v>
      </c>
      <c r="S292" s="5683" t="s">
        <v>4582</v>
      </c>
      <c r="T292" s="5693" t="s">
        <v>4583</v>
      </c>
      <c r="U292" s="5683" t="s">
        <v>4584</v>
      </c>
      <c r="V292" s="5693" t="s">
        <v>4585</v>
      </c>
      <c r="W292" s="5683" t="s">
        <v>4586</v>
      </c>
      <c r="X292" s="5693" t="s">
        <v>4587</v>
      </c>
      <c r="Y292" s="5683" t="s">
        <v>4588</v>
      </c>
      <c r="Z292" s="5693" t="s">
        <v>4589</v>
      </c>
      <c r="AA292" s="5683" t="s">
        <v>4590</v>
      </c>
      <c r="AB292" s="5693" t="s">
        <v>4591</v>
      </c>
      <c r="AC292" s="5683" t="s">
        <v>4592</v>
      </c>
      <c r="AD292" s="5693" t="s">
        <v>4593</v>
      </c>
      <c r="AE292" s="1737" t="s">
        <v>4594</v>
      </c>
      <c r="AF292" s="5693" t="s">
        <v>4595</v>
      </c>
      <c r="AG292" s="1737" t="s">
        <v>4596</v>
      </c>
      <c r="AH292" s="5693" t="s">
        <v>4597</v>
      </c>
      <c r="AI292" s="1737" t="s">
        <v>4598</v>
      </c>
      <c r="AJ292" s="5693" t="s">
        <v>4599</v>
      </c>
      <c r="AK292" s="1737" t="s">
        <v>4600</v>
      </c>
      <c r="AL292" s="5693" t="s">
        <v>4601</v>
      </c>
      <c r="AM292" s="1737" t="s">
        <v>4602</v>
      </c>
      <c r="AN292" s="66" t="s">
        <v>4603</v>
      </c>
      <c r="AO292" s="5698" t="s">
        <v>4604</v>
      </c>
      <c r="AP292" s="5693" t="s">
        <v>4605</v>
      </c>
      <c r="AQ292" s="1737" t="s">
        <v>4606</v>
      </c>
      <c r="AR292" s="5693" t="s">
        <v>4934</v>
      </c>
      <c r="AS292" s="5683" t="s">
        <v>4935</v>
      </c>
      <c r="AT292" s="5686" t="s">
        <v>4936</v>
      </c>
      <c r="AU292" s="5762" t="s">
        <v>4937</v>
      </c>
      <c r="AV292" s="5763" t="s">
        <v>5234</v>
      </c>
      <c r="AW292" s="5762" t="s">
        <v>5235</v>
      </c>
      <c r="AX292" s="5763" t="s">
        <v>5236</v>
      </c>
      <c r="AY292" s="5764" t="s">
        <v>5237</v>
      </c>
      <c r="AZ292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CB292" s="19"/>
      <c r="CC292" s="135" t="str">
        <f t="shared" si="207"/>
        <v xml:space="preserve">  * La variable Gestantes No puede ser mayor al Total Mujeres.</v>
      </c>
      <c r="CD292" s="135" t="str">
        <f t="shared" si="174"/>
        <v xml:space="preserve">  * La variable Madre de hijo menor de 5 años No puede ser mayor al Total Mujeres.</v>
      </c>
      <c r="CE292" s="135" t="str">
        <f t="shared" si="204"/>
        <v xml:space="preserve">  * La variable Pueblos originarios Hombres No puede ser mayor al Total Hombres.</v>
      </c>
      <c r="CF292" s="135" t="str">
        <f t="shared" si="191"/>
        <v xml:space="preserve">  * La variable Pueblos originarios Mujeres No puede ser mayor al Total Mujeres.</v>
      </c>
      <c r="CG292" s="135" t="str">
        <f t="shared" si="192"/>
        <v xml:space="preserve">  * La variable Niños, niñas, adolescentes y jóvenes SENAME No puede ser mayor al Total.</v>
      </c>
      <c r="CH292" s="135" t="str">
        <f t="shared" si="193"/>
        <v xml:space="preserve">  * La variable Niños, niñas, adolescentes y jóvenes Mejor Niñez No puede ser mayor al Total.</v>
      </c>
      <c r="CI292" s="135" t="str">
        <f t="shared" si="194"/>
        <v xml:space="preserve">  * La variable Migrantes No puede ser mayor al Total.</v>
      </c>
      <c r="CJ292" s="135" t="str">
        <f t="shared" si="195"/>
        <v xml:space="preserve">  * La variable Trans (Masculino/Femenino) No puede ser mayor al Total Ambos Sexos.</v>
      </c>
      <c r="CQ292" s="55">
        <f t="shared" si="208"/>
        <v>1</v>
      </c>
      <c r="CR292" s="55">
        <f t="shared" si="209"/>
        <v>1</v>
      </c>
      <c r="CS292" s="55">
        <f t="shared" si="198"/>
        <v>1</v>
      </c>
      <c r="CT292" s="55">
        <f t="shared" si="199"/>
        <v>1</v>
      </c>
      <c r="CU292" s="55">
        <f t="shared" si="200"/>
        <v>1</v>
      </c>
      <c r="CV292" s="55">
        <f t="shared" si="201"/>
        <v>1</v>
      </c>
      <c r="CW292" s="55">
        <f t="shared" si="202"/>
        <v>1</v>
      </c>
      <c r="CX292" s="55">
        <f t="shared" si="203"/>
        <v>1</v>
      </c>
    </row>
    <row r="293" spans="1:102" x14ac:dyDescent="0.25">
      <c r="A293" s="5640" t="s">
        <v>5146</v>
      </c>
      <c r="B293" s="6559" t="s">
        <v>902</v>
      </c>
      <c r="C293" s="6560"/>
      <c r="D293" s="5759" t="s">
        <v>4567</v>
      </c>
      <c r="E293" s="5760" t="s">
        <v>4568</v>
      </c>
      <c r="F293" s="5761" t="s">
        <v>4569</v>
      </c>
      <c r="G293" s="5683" t="s">
        <v>4570</v>
      </c>
      <c r="H293" s="5693" t="s">
        <v>4571</v>
      </c>
      <c r="I293" s="5683" t="s">
        <v>4572</v>
      </c>
      <c r="J293" s="5693" t="s">
        <v>4573</v>
      </c>
      <c r="K293" s="5683" t="s">
        <v>4574</v>
      </c>
      <c r="L293" s="5693" t="s">
        <v>4575</v>
      </c>
      <c r="M293" s="5683" t="s">
        <v>4576</v>
      </c>
      <c r="N293" s="5693" t="s">
        <v>4577</v>
      </c>
      <c r="O293" s="5683" t="s">
        <v>4578</v>
      </c>
      <c r="P293" s="5693" t="s">
        <v>4579</v>
      </c>
      <c r="Q293" s="5683" t="s">
        <v>4580</v>
      </c>
      <c r="R293" s="5693" t="s">
        <v>4581</v>
      </c>
      <c r="S293" s="5683" t="s">
        <v>4582</v>
      </c>
      <c r="T293" s="5693" t="s">
        <v>4583</v>
      </c>
      <c r="U293" s="5683" t="s">
        <v>4584</v>
      </c>
      <c r="V293" s="5693" t="s">
        <v>4585</v>
      </c>
      <c r="W293" s="5683" t="s">
        <v>4586</v>
      </c>
      <c r="X293" s="5693" t="s">
        <v>4587</v>
      </c>
      <c r="Y293" s="5683" t="s">
        <v>4588</v>
      </c>
      <c r="Z293" s="5693" t="s">
        <v>4589</v>
      </c>
      <c r="AA293" s="5683" t="s">
        <v>4590</v>
      </c>
      <c r="AB293" s="5693" t="s">
        <v>4591</v>
      </c>
      <c r="AC293" s="5683" t="s">
        <v>4592</v>
      </c>
      <c r="AD293" s="5693" t="s">
        <v>4593</v>
      </c>
      <c r="AE293" s="1737" t="s">
        <v>4594</v>
      </c>
      <c r="AF293" s="5693" t="s">
        <v>4595</v>
      </c>
      <c r="AG293" s="1737" t="s">
        <v>4596</v>
      </c>
      <c r="AH293" s="5693" t="s">
        <v>4597</v>
      </c>
      <c r="AI293" s="1737" t="s">
        <v>4598</v>
      </c>
      <c r="AJ293" s="5693" t="s">
        <v>4599</v>
      </c>
      <c r="AK293" s="1737" t="s">
        <v>4600</v>
      </c>
      <c r="AL293" s="5693" t="s">
        <v>4601</v>
      </c>
      <c r="AM293" s="1737" t="s">
        <v>4602</v>
      </c>
      <c r="AN293" s="66" t="s">
        <v>4603</v>
      </c>
      <c r="AO293" s="5698" t="s">
        <v>4604</v>
      </c>
      <c r="AP293" s="5693" t="s">
        <v>4605</v>
      </c>
      <c r="AQ293" s="1737" t="s">
        <v>4606</v>
      </c>
      <c r="AR293" s="5693" t="s">
        <v>4934</v>
      </c>
      <c r="AS293" s="5683" t="s">
        <v>4935</v>
      </c>
      <c r="AT293" s="5686" t="s">
        <v>4936</v>
      </c>
      <c r="AU293" s="5762" t="s">
        <v>4937</v>
      </c>
      <c r="AV293" s="5763" t="s">
        <v>5234</v>
      </c>
      <c r="AW293" s="5762" t="s">
        <v>5235</v>
      </c>
      <c r="AX293" s="5763" t="s">
        <v>5236</v>
      </c>
      <c r="AY293" s="5764" t="s">
        <v>5237</v>
      </c>
      <c r="AZ293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CB293" s="19"/>
      <c r="CC293" s="135" t="str">
        <f t="shared" si="207"/>
        <v xml:space="preserve">  * La variable Gestantes No puede ser mayor al Total Mujeres.</v>
      </c>
      <c r="CD293" s="135" t="str">
        <f t="shared" si="174"/>
        <v xml:space="preserve">  * La variable Madre de hijo menor de 5 años No puede ser mayor al Total Mujeres.</v>
      </c>
      <c r="CE293" s="135" t="str">
        <f t="shared" si="204"/>
        <v xml:space="preserve">  * La variable Pueblos originarios Hombres No puede ser mayor al Total Hombres.</v>
      </c>
      <c r="CF293" s="135" t="str">
        <f t="shared" si="191"/>
        <v xml:space="preserve">  * La variable Pueblos originarios Mujeres No puede ser mayor al Total Mujeres.</v>
      </c>
      <c r="CG293" s="135" t="str">
        <f t="shared" si="192"/>
        <v xml:space="preserve">  * La variable Niños, niñas, adolescentes y jóvenes SENAME No puede ser mayor al Total.</v>
      </c>
      <c r="CH293" s="135" t="str">
        <f t="shared" si="193"/>
        <v xml:space="preserve">  * La variable Niños, niñas, adolescentes y jóvenes Mejor Niñez No puede ser mayor al Total.</v>
      </c>
      <c r="CI293" s="135" t="str">
        <f t="shared" si="194"/>
        <v xml:space="preserve">  * La variable Migrantes No puede ser mayor al Total.</v>
      </c>
      <c r="CJ293" s="135" t="str">
        <f t="shared" si="195"/>
        <v xml:space="preserve">  * La variable Trans (Masculino/Femenino) No puede ser mayor al Total Ambos Sexos.</v>
      </c>
      <c r="CQ293" s="55">
        <f t="shared" si="208"/>
        <v>1</v>
      </c>
      <c r="CR293" s="55">
        <f t="shared" si="209"/>
        <v>1</v>
      </c>
      <c r="CS293" s="55">
        <f t="shared" si="198"/>
        <v>1</v>
      </c>
      <c r="CT293" s="55">
        <f t="shared" si="199"/>
        <v>1</v>
      </c>
      <c r="CU293" s="55">
        <f t="shared" si="200"/>
        <v>1</v>
      </c>
      <c r="CV293" s="55">
        <f t="shared" si="201"/>
        <v>1</v>
      </c>
      <c r="CW293" s="55">
        <f t="shared" si="202"/>
        <v>1</v>
      </c>
      <c r="CX293" s="55">
        <f t="shared" si="203"/>
        <v>1</v>
      </c>
    </row>
    <row r="294" spans="1:102" s="6" customFormat="1" ht="18" customHeight="1" x14ac:dyDescent="0.2">
      <c r="B294" s="3" t="s">
        <v>912</v>
      </c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</row>
    <row r="295" spans="1:102" x14ac:dyDescent="0.25">
      <c r="B295" s="6624" t="s">
        <v>913</v>
      </c>
      <c r="C295" s="6627" t="s">
        <v>914</v>
      </c>
      <c r="D295" s="6212" t="s">
        <v>28</v>
      </c>
      <c r="E295" s="6510"/>
      <c r="F295" s="6511"/>
      <c r="G295" s="6630" t="s">
        <v>101</v>
      </c>
      <c r="H295" s="6631"/>
      <c r="I295" s="6631"/>
      <c r="J295" s="6631"/>
      <c r="K295" s="6631"/>
      <c r="L295" s="6631"/>
      <c r="M295" s="6631"/>
      <c r="N295" s="6631"/>
      <c r="O295" s="6631"/>
      <c r="P295" s="6631"/>
      <c r="Q295" s="6631"/>
      <c r="R295" s="6631"/>
      <c r="S295" s="6631"/>
      <c r="T295" s="6631"/>
      <c r="U295" s="6631"/>
      <c r="V295" s="6631"/>
      <c r="W295" s="6631"/>
      <c r="X295" s="6631"/>
      <c r="Y295" s="6631"/>
      <c r="Z295" s="6631"/>
      <c r="AA295" s="6631"/>
      <c r="AB295" s="6631"/>
      <c r="AC295" s="6631"/>
      <c r="AD295" s="6631"/>
      <c r="AE295" s="6631"/>
      <c r="AF295" s="6631"/>
      <c r="AG295" s="6631"/>
      <c r="AH295" s="6631"/>
      <c r="AI295" s="6631"/>
      <c r="AJ295" s="6631"/>
      <c r="AK295" s="6631"/>
      <c r="AL295" s="6632"/>
      <c r="AM295" s="6517" t="s">
        <v>36</v>
      </c>
      <c r="AN295" s="6481" t="s">
        <v>37</v>
      </c>
      <c r="AO295" s="6481" t="s">
        <v>455</v>
      </c>
      <c r="AP295" s="6511" t="s">
        <v>35</v>
      </c>
    </row>
    <row r="296" spans="1:102" x14ac:dyDescent="0.25">
      <c r="B296" s="6625"/>
      <c r="C296" s="6628"/>
      <c r="D296" s="6064"/>
      <c r="E296" s="6150"/>
      <c r="F296" s="6028"/>
      <c r="G296" s="6417" t="s">
        <v>326</v>
      </c>
      <c r="H296" s="6417"/>
      <c r="I296" s="6417" t="s">
        <v>94</v>
      </c>
      <c r="J296" s="6417"/>
      <c r="K296" s="6417" t="s">
        <v>44</v>
      </c>
      <c r="L296" s="6417"/>
      <c r="M296" s="6411" t="s">
        <v>45</v>
      </c>
      <c r="N296" s="6448"/>
      <c r="O296" s="6419" t="s">
        <v>46</v>
      </c>
      <c r="P296" s="6419"/>
      <c r="Q296" s="6419" t="s">
        <v>47</v>
      </c>
      <c r="R296" s="6419"/>
      <c r="S296" s="6419" t="s">
        <v>48</v>
      </c>
      <c r="T296" s="6419"/>
      <c r="U296" s="6419" t="s">
        <v>49</v>
      </c>
      <c r="V296" s="6419"/>
      <c r="W296" s="6419" t="s">
        <v>50</v>
      </c>
      <c r="X296" s="6419"/>
      <c r="Y296" s="6419" t="s">
        <v>51</v>
      </c>
      <c r="Z296" s="6419"/>
      <c r="AA296" s="6419" t="s">
        <v>52</v>
      </c>
      <c r="AB296" s="6419"/>
      <c r="AC296" s="6419" t="s">
        <v>53</v>
      </c>
      <c r="AD296" s="6419"/>
      <c r="AE296" s="6419" t="s">
        <v>54</v>
      </c>
      <c r="AF296" s="6419"/>
      <c r="AG296" s="6419" t="s">
        <v>55</v>
      </c>
      <c r="AH296" s="6419"/>
      <c r="AI296" s="6419" t="s">
        <v>56</v>
      </c>
      <c r="AJ296" s="6419"/>
      <c r="AK296" s="6419" t="s">
        <v>57</v>
      </c>
      <c r="AL296" s="6420"/>
      <c r="AM296" s="6034"/>
      <c r="AN296" s="6386"/>
      <c r="AO296" s="6386"/>
      <c r="AP296" s="6027"/>
    </row>
    <row r="297" spans="1:102" ht="26.25" customHeight="1" x14ac:dyDescent="0.25">
      <c r="B297" s="6626"/>
      <c r="C297" s="6629"/>
      <c r="D297" s="692" t="s">
        <v>79</v>
      </c>
      <c r="E297" s="693" t="s">
        <v>58</v>
      </c>
      <c r="F297" s="90" t="s">
        <v>59</v>
      </c>
      <c r="G297" s="694" t="s">
        <v>58</v>
      </c>
      <c r="H297" s="695" t="s">
        <v>59</v>
      </c>
      <c r="I297" s="694" t="s">
        <v>58</v>
      </c>
      <c r="J297" s="695" t="s">
        <v>59</v>
      </c>
      <c r="K297" s="694" t="s">
        <v>58</v>
      </c>
      <c r="L297" s="695" t="s">
        <v>59</v>
      </c>
      <c r="M297" s="694" t="s">
        <v>58</v>
      </c>
      <c r="N297" s="695" t="s">
        <v>59</v>
      </c>
      <c r="O297" s="694" t="s">
        <v>58</v>
      </c>
      <c r="P297" s="695" t="s">
        <v>59</v>
      </c>
      <c r="Q297" s="694" t="s">
        <v>58</v>
      </c>
      <c r="R297" s="695" t="s">
        <v>59</v>
      </c>
      <c r="S297" s="694" t="s">
        <v>58</v>
      </c>
      <c r="T297" s="695" t="s">
        <v>59</v>
      </c>
      <c r="U297" s="690" t="s">
        <v>58</v>
      </c>
      <c r="V297" s="690" t="s">
        <v>59</v>
      </c>
      <c r="W297" s="696" t="s">
        <v>58</v>
      </c>
      <c r="X297" s="695" t="s">
        <v>59</v>
      </c>
      <c r="Y297" s="694" t="s">
        <v>58</v>
      </c>
      <c r="Z297" s="695" t="s">
        <v>59</v>
      </c>
      <c r="AA297" s="694" t="s">
        <v>58</v>
      </c>
      <c r="AB297" s="695" t="s">
        <v>59</v>
      </c>
      <c r="AC297" s="694" t="s">
        <v>58</v>
      </c>
      <c r="AD297" s="695" t="s">
        <v>59</v>
      </c>
      <c r="AE297" s="694" t="s">
        <v>58</v>
      </c>
      <c r="AF297" s="695" t="s">
        <v>59</v>
      </c>
      <c r="AG297" s="694" t="s">
        <v>58</v>
      </c>
      <c r="AH297" s="695" t="s">
        <v>59</v>
      </c>
      <c r="AI297" s="694" t="s">
        <v>58</v>
      </c>
      <c r="AJ297" s="695" t="s">
        <v>59</v>
      </c>
      <c r="AK297" s="694" t="s">
        <v>58</v>
      </c>
      <c r="AL297" s="697" t="s">
        <v>59</v>
      </c>
      <c r="AM297" s="6035"/>
      <c r="AN297" s="6086"/>
      <c r="AO297" s="6086"/>
      <c r="AP297" s="6028"/>
    </row>
    <row r="298" spans="1:102" ht="15" customHeight="1" x14ac:dyDescent="0.25">
      <c r="A298" s="5640" t="s">
        <v>5147</v>
      </c>
      <c r="B298" s="6633" t="s">
        <v>915</v>
      </c>
      <c r="C298" s="698" t="s">
        <v>761</v>
      </c>
      <c r="D298" s="699" t="s">
        <v>4567</v>
      </c>
      <c r="E298" s="700" t="s">
        <v>4568</v>
      </c>
      <c r="F298" s="606" t="s">
        <v>4569</v>
      </c>
      <c r="G298" s="473" t="s">
        <v>4570</v>
      </c>
      <c r="H298" s="566" t="s">
        <v>4571</v>
      </c>
      <c r="I298" s="473" t="s">
        <v>4572</v>
      </c>
      <c r="J298" s="566" t="s">
        <v>4573</v>
      </c>
      <c r="K298" s="473" t="s">
        <v>4574</v>
      </c>
      <c r="L298" s="566" t="s">
        <v>4575</v>
      </c>
      <c r="M298" s="473" t="s">
        <v>4576</v>
      </c>
      <c r="N298" s="566" t="s">
        <v>4577</v>
      </c>
      <c r="O298" s="473" t="s">
        <v>4578</v>
      </c>
      <c r="P298" s="566" t="s">
        <v>4579</v>
      </c>
      <c r="Q298" s="473" t="s">
        <v>4580</v>
      </c>
      <c r="R298" s="566" t="s">
        <v>4581</v>
      </c>
      <c r="S298" s="473" t="s">
        <v>4582</v>
      </c>
      <c r="T298" s="566" t="s">
        <v>4583</v>
      </c>
      <c r="U298" s="473" t="s">
        <v>4584</v>
      </c>
      <c r="V298" s="566" t="s">
        <v>4585</v>
      </c>
      <c r="W298" s="473" t="s">
        <v>4586</v>
      </c>
      <c r="X298" s="566" t="s">
        <v>4587</v>
      </c>
      <c r="Y298" s="473" t="s">
        <v>4588</v>
      </c>
      <c r="Z298" s="566" t="s">
        <v>4589</v>
      </c>
      <c r="AA298" s="473" t="s">
        <v>4590</v>
      </c>
      <c r="AB298" s="566" t="s">
        <v>4591</v>
      </c>
      <c r="AC298" s="473" t="s">
        <v>4592</v>
      </c>
      <c r="AD298" s="566" t="s">
        <v>4593</v>
      </c>
      <c r="AE298" s="473" t="s">
        <v>4594</v>
      </c>
      <c r="AF298" s="566" t="s">
        <v>4595</v>
      </c>
      <c r="AG298" s="473" t="s">
        <v>4596</v>
      </c>
      <c r="AH298" s="566" t="s">
        <v>4597</v>
      </c>
      <c r="AI298" s="473" t="s">
        <v>4598</v>
      </c>
      <c r="AJ298" s="566" t="s">
        <v>4599</v>
      </c>
      <c r="AK298" s="473" t="s">
        <v>4600</v>
      </c>
      <c r="AL298" s="475" t="s">
        <v>4601</v>
      </c>
      <c r="AM298" s="496" t="s">
        <v>4602</v>
      </c>
      <c r="AN298" s="493" t="s">
        <v>4603</v>
      </c>
      <c r="AO298" s="493" t="s">
        <v>4604</v>
      </c>
      <c r="AP298" s="566" t="s">
        <v>4605</v>
      </c>
      <c r="AQ298" t="str">
        <f>CB298&amp;CC298&amp;CD298&amp;CE298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CB298" s="135" t="str">
        <f>IF(AND(D298&gt;0,AM298="")," * No olvide digitar la variable Pueblos Originarios. Digite Cero si no tiene.",IF(AM298&gt;D298," * La variable Pueblos originarios No puede ser mayor al Total.",""))</f>
        <v xml:space="preserve"> * La variable Pueblos originarios No puede ser mayor al Total.</v>
      </c>
      <c r="CC298" s="135" t="str">
        <f>IF(AND(D298&gt;0,AN298="")," * No olvide digitar la variable Migrantes. Digite Cero si no tiene.",IF(AN298&gt;D298," * La variable Migrantes No puede ser mayor al Total.",""))</f>
        <v xml:space="preserve"> * La variable Migrantes No puede ser mayor al Total.</v>
      </c>
      <c r="CD298" s="135" t="str">
        <f>IF(AND(D298&gt;0,AO298="")," * No olvide digitar la variable Niños, Niñas, adolescentes y Jóvenes SENAME. Digite Cero si no tiene.",IF(AO298&gt;D298," * La variable Niños, Niñas, adolescentes y Jóvenes SENAME No puede ser mayor al Total.",""))</f>
        <v xml:space="preserve"> * La variable Niños, Niñas, adolescentes y Jóvenes SENAME No puede ser mayor al Total.</v>
      </c>
      <c r="CE298" s="135" t="str">
        <f>IF(AND(D298&gt;0,AP298="")," * No olvide digitar la variable Niños, Niñas, adolescentes y Jóvenes Mejor Niñez. Digite Cero si no tiene.",IF(AP298&gt;D298," * La variable Niños, Niñas, adolescentes y Jóvenes Mejor Niñez No puede ser mayor al Total.",""))</f>
        <v xml:space="preserve"> * La variable Niños, Niñas, adolescentes y Jóvenes Mejor Niñez No puede ser mayor al Total.</v>
      </c>
      <c r="CP298" s="1867">
        <f>IF(AND(D298&gt;0,AM298=""),1,IF(AM298&gt;D298,1,0))</f>
        <v>1</v>
      </c>
      <c r="CQ298" s="1867">
        <f>IF(AND(D298&gt;0,AN298=""),1,IF(AN298&gt;D298,1,0))</f>
        <v>1</v>
      </c>
      <c r="CR298" s="1867">
        <f>IF(AND(D298&gt;0,AO298=""),1,IF(AO298&gt;D298,1,0))</f>
        <v>1</v>
      </c>
      <c r="CS298" s="1867">
        <f>IF(AND(D298&gt;0,AP298=""),1,IF(AP298&gt;D298,1,0))</f>
        <v>1</v>
      </c>
    </row>
    <row r="299" spans="1:102" x14ac:dyDescent="0.25">
      <c r="A299" s="5640" t="s">
        <v>5148</v>
      </c>
      <c r="B299" s="6634"/>
      <c r="C299" s="702" t="s">
        <v>770</v>
      </c>
      <c r="D299" s="703" t="s">
        <v>4567</v>
      </c>
      <c r="E299" s="704" t="s">
        <v>4568</v>
      </c>
      <c r="F299" s="625" t="s">
        <v>4569</v>
      </c>
      <c r="G299" s="379" t="s">
        <v>4570</v>
      </c>
      <c r="H299" s="387" t="s">
        <v>4571</v>
      </c>
      <c r="I299" s="379" t="s">
        <v>4572</v>
      </c>
      <c r="J299" s="387" t="s">
        <v>4573</v>
      </c>
      <c r="K299" s="379" t="s">
        <v>4574</v>
      </c>
      <c r="L299" s="387" t="s">
        <v>4575</v>
      </c>
      <c r="M299" s="379" t="s">
        <v>4576</v>
      </c>
      <c r="N299" s="387" t="s">
        <v>4577</v>
      </c>
      <c r="O299" s="379" t="s">
        <v>4578</v>
      </c>
      <c r="P299" s="387" t="s">
        <v>4579</v>
      </c>
      <c r="Q299" s="379" t="s">
        <v>4580</v>
      </c>
      <c r="R299" s="387" t="s">
        <v>4581</v>
      </c>
      <c r="S299" s="379" t="s">
        <v>4582</v>
      </c>
      <c r="T299" s="387" t="s">
        <v>4583</v>
      </c>
      <c r="U299" s="379" t="s">
        <v>4584</v>
      </c>
      <c r="V299" s="387" t="s">
        <v>4585</v>
      </c>
      <c r="W299" s="379" t="s">
        <v>4586</v>
      </c>
      <c r="X299" s="387" t="s">
        <v>4587</v>
      </c>
      <c r="Y299" s="379" t="s">
        <v>4588</v>
      </c>
      <c r="Z299" s="387" t="s">
        <v>4589</v>
      </c>
      <c r="AA299" s="379" t="s">
        <v>4590</v>
      </c>
      <c r="AB299" s="387" t="s">
        <v>4591</v>
      </c>
      <c r="AC299" s="379" t="s">
        <v>4592</v>
      </c>
      <c r="AD299" s="387" t="s">
        <v>4593</v>
      </c>
      <c r="AE299" s="379" t="s">
        <v>4594</v>
      </c>
      <c r="AF299" s="387" t="s">
        <v>4595</v>
      </c>
      <c r="AG299" s="379" t="s">
        <v>4596</v>
      </c>
      <c r="AH299" s="387" t="s">
        <v>4597</v>
      </c>
      <c r="AI299" s="379" t="s">
        <v>4598</v>
      </c>
      <c r="AJ299" s="387" t="s">
        <v>4599</v>
      </c>
      <c r="AK299" s="379" t="s">
        <v>4600</v>
      </c>
      <c r="AL299" s="391" t="s">
        <v>4601</v>
      </c>
      <c r="AM299" s="378" t="s">
        <v>4602</v>
      </c>
      <c r="AN299" s="371" t="s">
        <v>4603</v>
      </c>
      <c r="AO299" s="371" t="s">
        <v>4604</v>
      </c>
      <c r="AP299" s="387" t="s">
        <v>4605</v>
      </c>
      <c r="AQ299" t="str">
        <f>CB299&amp;CC299&amp;CD299&amp;CE299</f>
        <v xml:space="preserve"> * La variable Pueblos originarios No puede ser mayor al Total.  * La variable Migrantes No puede ser mayor al Total.  * La variable Niños, Niñas, adolescentes y Jóvenes SENAME No puede ser mayor al Total. * La variable Niños, Niñas, adolescentes y Jóvenes Mejor Niñez No puede ser mayor al Total.</v>
      </c>
      <c r="CB299" s="135" t="str">
        <f t="shared" ref="CB299:CB301" si="210">IF(AND(D299&gt;0,AM299="")," * No olvide digitar la variable Pueblos Originarios. Digite Cero si no tiene.",IF(AM299&gt;D299," * La variable Pueblos originarios No puede ser mayor al Total.",""))</f>
        <v xml:space="preserve"> * La variable Pueblos originarios No puede ser mayor al Total.</v>
      </c>
      <c r="CC299" s="135" t="str">
        <f>IF(AND(D299&gt;0,AN299=""),"  * No olvide digitar la variable Migrantes. Digite Cero si no tiene.",IF(AN299&gt;D299,"  * La variable Migrantes No puede ser mayor al Total.",""))</f>
        <v xml:space="preserve">  * La variable Migrantes No puede ser mayor al Total.</v>
      </c>
      <c r="CD299" s="135" t="str">
        <f>IF(AND(D299&gt;0,AO299=""),"  * No olvide digitar la variable Niños, Niñas, adolescentes y Jóvenes SENAME. Digite Cero si no tiene.",IF(AO299&gt;D299,"  * La variable Niños, Niñas, adolescentes y Jóvenes SENAME No puede ser mayor al Total.",""))</f>
        <v xml:space="preserve">  * La variable Niños, Niñas, adolescentes y Jóvenes SENAME No puede ser mayor al Total.</v>
      </c>
      <c r="CE299" s="135" t="str">
        <f t="shared" ref="CE299:CE301" si="211">IF(AND(D299&gt;0,AP299="")," * No olvide digitar la variable Niños, Niñas, adolescentes y Jóvenes Mejor Niñez. Digite Cero si no tiene.",IF(AP299&gt;D299," * La variable Niños, Niñas, adolescentes y Jóvenes Mejor Niñez No puede ser mayor al Total.",""))</f>
        <v xml:space="preserve"> * La variable Niños, Niñas, adolescentes y Jóvenes Mejor Niñez No puede ser mayor al Total.</v>
      </c>
      <c r="CP299" s="1867">
        <f>IF(AND(D299&gt;0,AM299=""),1,IF(AM299&gt;D299,1,0))</f>
        <v>1</v>
      </c>
      <c r="CQ299" s="1867">
        <f>IF(AND(D299&gt;0,AN299=""),1,IF(AN299&gt;D299,1,0))</f>
        <v>1</v>
      </c>
      <c r="CR299" s="1867">
        <f>IF(AND(D299&gt;0,AO299=""),1,IF(AO299&gt;D299,1,0))</f>
        <v>1</v>
      </c>
      <c r="CS299" s="1867">
        <f>IF(AND(D299&gt;0,AP299=""),1,IF(AP299&gt;D299,1,0))</f>
        <v>1</v>
      </c>
    </row>
    <row r="300" spans="1:102" x14ac:dyDescent="0.25">
      <c r="A300" s="5640" t="s">
        <v>5149</v>
      </c>
      <c r="B300" s="6633" t="s">
        <v>916</v>
      </c>
      <c r="C300" s="698" t="s">
        <v>761</v>
      </c>
      <c r="D300" s="201" t="s">
        <v>4567</v>
      </c>
      <c r="E300" s="248" t="s">
        <v>4568</v>
      </c>
      <c r="F300" s="141" t="s">
        <v>4569</v>
      </c>
      <c r="G300" s="290" t="s">
        <v>4570</v>
      </c>
      <c r="H300" s="107" t="s">
        <v>4571</v>
      </c>
      <c r="I300" s="290" t="s">
        <v>4572</v>
      </c>
      <c r="J300" s="107" t="s">
        <v>4573</v>
      </c>
      <c r="K300" s="290" t="s">
        <v>4574</v>
      </c>
      <c r="L300" s="107" t="s">
        <v>4575</v>
      </c>
      <c r="M300" s="290" t="s">
        <v>4576</v>
      </c>
      <c r="N300" s="107" t="s">
        <v>4577</v>
      </c>
      <c r="O300" s="290" t="s">
        <v>4578</v>
      </c>
      <c r="P300" s="107" t="s">
        <v>4579</v>
      </c>
      <c r="Q300" s="290" t="s">
        <v>4580</v>
      </c>
      <c r="R300" s="107" t="s">
        <v>4581</v>
      </c>
      <c r="S300" s="290" t="s">
        <v>4582</v>
      </c>
      <c r="T300" s="107" t="s">
        <v>4583</v>
      </c>
      <c r="U300" s="290" t="s">
        <v>4584</v>
      </c>
      <c r="V300" s="107" t="s">
        <v>4585</v>
      </c>
      <c r="W300" s="290" t="s">
        <v>4586</v>
      </c>
      <c r="X300" s="107" t="s">
        <v>4587</v>
      </c>
      <c r="Y300" s="290" t="s">
        <v>4588</v>
      </c>
      <c r="Z300" s="107" t="s">
        <v>4589</v>
      </c>
      <c r="AA300" s="290" t="s">
        <v>4590</v>
      </c>
      <c r="AB300" s="107" t="s">
        <v>4591</v>
      </c>
      <c r="AC300" s="290" t="s">
        <v>4592</v>
      </c>
      <c r="AD300" s="107" t="s">
        <v>4593</v>
      </c>
      <c r="AE300" s="290" t="s">
        <v>4594</v>
      </c>
      <c r="AF300" s="107" t="s">
        <v>4595</v>
      </c>
      <c r="AG300" s="290" t="s">
        <v>4596</v>
      </c>
      <c r="AH300" s="107" t="s">
        <v>4597</v>
      </c>
      <c r="AI300" s="290" t="s">
        <v>4598</v>
      </c>
      <c r="AJ300" s="107" t="s">
        <v>4599</v>
      </c>
      <c r="AK300" s="290" t="s">
        <v>4600</v>
      </c>
      <c r="AL300" s="61" t="s">
        <v>4601</v>
      </c>
      <c r="AM300" s="296" t="s">
        <v>4602</v>
      </c>
      <c r="AN300" s="531" t="s">
        <v>4603</v>
      </c>
      <c r="AO300" s="531" t="s">
        <v>4604</v>
      </c>
      <c r="AP300" s="107" t="s">
        <v>4605</v>
      </c>
      <c r="AQ300" t="str">
        <f>CB300&amp;CC300&amp;CD300&amp;CE300</f>
        <v xml:space="preserve"> * La variable Pueblos originarios No puede ser mayor al Total.  * La variable Migrantes No puede ser mayor al Total.  * La variable Niños, Niñas, adolescentes y Jóvenes SENAME No puede ser mayor al Total. * La variable Niños, Niñas, adolescentes y Jóvenes Mejor Niñez No puede ser mayor al Total.</v>
      </c>
      <c r="CB300" s="135" t="str">
        <f t="shared" si="210"/>
        <v xml:space="preserve"> * La variable Pueblos originarios No puede ser mayor al Total.</v>
      </c>
      <c r="CC300" s="135" t="str">
        <f>IF(AND(D300&gt;0,AN300=""),"  * No olvide digitar la variable Migrantes. Digite Cero si no tiene.",IF(AN300&gt;D300,"  * La variable Migrantes No puede ser mayor al Total.",""))</f>
        <v xml:space="preserve">  * La variable Migrantes No puede ser mayor al Total.</v>
      </c>
      <c r="CD300" s="135" t="str">
        <f>IF(AND(D300&gt;0,AO300=""),"  * No olvide digitar la variable Niños, Niñas, adolescentes y Jóvenes SENAME. Digite Cero si no tiene.",IF(AO300&gt;D300,"  * La variable Niños, Niñas, adolescentes y Jóvenes SENAME No puede ser mayor al Total.",""))</f>
        <v xml:space="preserve">  * La variable Niños, Niñas, adolescentes y Jóvenes SENAME No puede ser mayor al Total.</v>
      </c>
      <c r="CE300" s="135" t="str">
        <f t="shared" si="211"/>
        <v xml:space="preserve"> * La variable Niños, Niñas, adolescentes y Jóvenes Mejor Niñez No puede ser mayor al Total.</v>
      </c>
      <c r="CP300" s="1867">
        <f>IF(AND(D300&gt;0,AM300=""),1,IF(AM300&gt;D300,1,0))</f>
        <v>1</v>
      </c>
      <c r="CQ300" s="1867">
        <f>IF(AND(D300&gt;0,AN300=""),1,IF(AN300&gt;D300,1,0))</f>
        <v>1</v>
      </c>
      <c r="CR300" s="1867">
        <f>IF(AND(D300&gt;0,AO300=""),1,IF(AO300&gt;D300,1,0))</f>
        <v>1</v>
      </c>
      <c r="CS300" s="1867">
        <f>IF(AND(D300&gt;0,AP300=""),1,IF(AP300&gt;D300,1,0))</f>
        <v>1</v>
      </c>
    </row>
    <row r="301" spans="1:102" x14ac:dyDescent="0.25">
      <c r="A301" s="5640" t="s">
        <v>5150</v>
      </c>
      <c r="B301" s="6634"/>
      <c r="C301" s="702" t="s">
        <v>770</v>
      </c>
      <c r="D301" s="703" t="s">
        <v>4567</v>
      </c>
      <c r="E301" s="704" t="s">
        <v>4568</v>
      </c>
      <c r="F301" s="625" t="s">
        <v>4569</v>
      </c>
      <c r="G301" s="379" t="s">
        <v>4570</v>
      </c>
      <c r="H301" s="387" t="s">
        <v>4571</v>
      </c>
      <c r="I301" s="379" t="s">
        <v>4572</v>
      </c>
      <c r="J301" s="387" t="s">
        <v>4573</v>
      </c>
      <c r="K301" s="379" t="s">
        <v>4574</v>
      </c>
      <c r="L301" s="387" t="s">
        <v>4575</v>
      </c>
      <c r="M301" s="379" t="s">
        <v>4576</v>
      </c>
      <c r="N301" s="387" t="s">
        <v>4577</v>
      </c>
      <c r="O301" s="379" t="s">
        <v>4578</v>
      </c>
      <c r="P301" s="387" t="s">
        <v>4579</v>
      </c>
      <c r="Q301" s="379" t="s">
        <v>4580</v>
      </c>
      <c r="R301" s="387" t="s">
        <v>4581</v>
      </c>
      <c r="S301" s="379" t="s">
        <v>4582</v>
      </c>
      <c r="T301" s="387" t="s">
        <v>4583</v>
      </c>
      <c r="U301" s="379" t="s">
        <v>4584</v>
      </c>
      <c r="V301" s="387" t="s">
        <v>4585</v>
      </c>
      <c r="W301" s="379" t="s">
        <v>4586</v>
      </c>
      <c r="X301" s="387" t="s">
        <v>4587</v>
      </c>
      <c r="Y301" s="379" t="s">
        <v>4588</v>
      </c>
      <c r="Z301" s="387" t="s">
        <v>4589</v>
      </c>
      <c r="AA301" s="379" t="s">
        <v>4590</v>
      </c>
      <c r="AB301" s="387" t="s">
        <v>4591</v>
      </c>
      <c r="AC301" s="379" t="s">
        <v>4592</v>
      </c>
      <c r="AD301" s="387" t="s">
        <v>4593</v>
      </c>
      <c r="AE301" s="379" t="s">
        <v>4594</v>
      </c>
      <c r="AF301" s="387" t="s">
        <v>4595</v>
      </c>
      <c r="AG301" s="379" t="s">
        <v>4596</v>
      </c>
      <c r="AH301" s="387" t="s">
        <v>4597</v>
      </c>
      <c r="AI301" s="379" t="s">
        <v>4598</v>
      </c>
      <c r="AJ301" s="387" t="s">
        <v>4599</v>
      </c>
      <c r="AK301" s="379" t="s">
        <v>4600</v>
      </c>
      <c r="AL301" s="391" t="s">
        <v>4601</v>
      </c>
      <c r="AM301" s="378" t="s">
        <v>4602</v>
      </c>
      <c r="AN301" s="371" t="s">
        <v>4603</v>
      </c>
      <c r="AO301" s="371" t="s">
        <v>4604</v>
      </c>
      <c r="AP301" s="387" t="s">
        <v>4605</v>
      </c>
      <c r="AQ301" t="str">
        <f>CB301&amp;CC301&amp;CD301&amp;CE301</f>
        <v xml:space="preserve"> * La variable Pueblos originarios No puede ser mayor al Total.  * La variable Migrantes No puede ser mayor al Total.  * La variable Niños, Niñas, adolescentes y Jóvenes SENAME No puede ser mayor al Total. * La variable Niños, Niñas, adolescentes y Jóvenes Mejor Niñez No puede ser mayor al Total.</v>
      </c>
      <c r="CB301" s="135" t="str">
        <f t="shared" si="210"/>
        <v xml:space="preserve"> * La variable Pueblos originarios No puede ser mayor al Total.</v>
      </c>
      <c r="CC301" s="135" t="str">
        <f>IF(AND(D301&gt;0,AN301=""),"  * No olvide digitar la variable Migrantes. Digite Cero si no tiene.",IF(AN301&gt;D301,"  * La variable Migrantes No puede ser mayor al Total.",""))</f>
        <v xml:space="preserve">  * La variable Migrantes No puede ser mayor al Total.</v>
      </c>
      <c r="CD301" s="135" t="str">
        <f>IF(AND(D301&gt;0,AO301=""),"  * No olvide digitar la variable Niños, Niñas, adolescentes y Jóvenes SENAME. Digite Cero si no tiene.",IF(AO301&gt;D301,"  * La variable Niños, Niñas, adolescentes y Jóvenes SENAME No puede ser mayor al Total.",""))</f>
        <v xml:space="preserve">  * La variable Niños, Niñas, adolescentes y Jóvenes SENAME No puede ser mayor al Total.</v>
      </c>
      <c r="CE301" s="135" t="str">
        <f t="shared" si="211"/>
        <v xml:space="preserve"> * La variable Niños, Niñas, adolescentes y Jóvenes Mejor Niñez No puede ser mayor al Total.</v>
      </c>
      <c r="CP301" s="1867">
        <f>IF(AND(D301&gt;0,AM301=""),1,IF(AM301&gt;D301,1,0))</f>
        <v>1</v>
      </c>
      <c r="CQ301" s="1867">
        <f>IF(AND(D301&gt;0,AN301=""),1,IF(AN301&gt;D301,1,0))</f>
        <v>1</v>
      </c>
      <c r="CR301" s="1867">
        <f>IF(AND(D301&gt;0,AO301=""),1,IF(AO301&gt;D301,1,0))</f>
        <v>1</v>
      </c>
      <c r="CS301" s="1867">
        <f>IF(AND(D301&gt;0,AP301=""),1,IF(AP301&gt;D301,1,0))</f>
        <v>1</v>
      </c>
    </row>
    <row r="302" spans="1:102" s="6" customFormat="1" ht="18" customHeight="1" x14ac:dyDescent="0.2">
      <c r="B302" s="3" t="s">
        <v>917</v>
      </c>
      <c r="C302" s="298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588"/>
    </row>
    <row r="303" spans="1:102" x14ac:dyDescent="0.25">
      <c r="B303" s="6212" t="s">
        <v>918</v>
      </c>
      <c r="C303" s="6511"/>
      <c r="D303" s="6417" t="s">
        <v>192</v>
      </c>
      <c r="E303" s="6417"/>
      <c r="F303" s="6417"/>
      <c r="G303" s="6411" t="s">
        <v>101</v>
      </c>
      <c r="H303" s="6534"/>
      <c r="I303" s="6534"/>
      <c r="J303" s="6534"/>
      <c r="K303" s="6534"/>
      <c r="L303" s="6534"/>
      <c r="M303" s="6534"/>
      <c r="N303" s="6534"/>
      <c r="O303" s="6534"/>
      <c r="P303" s="6534"/>
      <c r="Q303" s="6534"/>
      <c r="R303" s="6534"/>
      <c r="S303" s="6534"/>
      <c r="T303" s="6534"/>
      <c r="U303" s="6534"/>
      <c r="V303" s="6534"/>
      <c r="W303" s="6534"/>
      <c r="X303" s="6534"/>
      <c r="Y303" s="6534"/>
      <c r="Z303" s="6534"/>
      <c r="AA303" s="6534"/>
      <c r="AB303" s="6534"/>
      <c r="AC303" s="6534"/>
      <c r="AD303" s="6534"/>
      <c r="AE303" s="6534"/>
      <c r="AF303" s="6534"/>
      <c r="AG303" s="6534"/>
      <c r="AH303" s="6534"/>
      <c r="AI303" s="6534"/>
      <c r="AJ303" s="6534"/>
      <c r="AK303" s="6534"/>
      <c r="AL303" s="6534"/>
      <c r="AM303" s="6534"/>
      <c r="AN303" s="6447"/>
      <c r="AO303" s="6515" t="s">
        <v>905</v>
      </c>
      <c r="AP303" s="6515"/>
      <c r="AQ303" s="6545"/>
      <c r="AR303" s="6212" t="s">
        <v>457</v>
      </c>
      <c r="AS303" s="6511"/>
      <c r="AT303" s="6454" t="s">
        <v>36</v>
      </c>
      <c r="AU303" s="6481" t="s">
        <v>37</v>
      </c>
      <c r="AV303" s="6481" t="s">
        <v>34</v>
      </c>
      <c r="AW303" s="6511" t="s">
        <v>35</v>
      </c>
    </row>
    <row r="304" spans="1:102" x14ac:dyDescent="0.25">
      <c r="B304" s="6044"/>
      <c r="C304" s="6027"/>
      <c r="D304" s="6417"/>
      <c r="E304" s="6417"/>
      <c r="F304" s="6417"/>
      <c r="G304" s="6417" t="s">
        <v>343</v>
      </c>
      <c r="H304" s="6417"/>
      <c r="I304" s="6417" t="s">
        <v>326</v>
      </c>
      <c r="J304" s="6417"/>
      <c r="K304" s="6417" t="s">
        <v>94</v>
      </c>
      <c r="L304" s="6417"/>
      <c r="M304" s="6417" t="s">
        <v>44</v>
      </c>
      <c r="N304" s="6417"/>
      <c r="O304" s="6411" t="s">
        <v>45</v>
      </c>
      <c r="P304" s="6448"/>
      <c r="Q304" s="6419" t="s">
        <v>46</v>
      </c>
      <c r="R304" s="6419"/>
      <c r="S304" s="6419" t="s">
        <v>47</v>
      </c>
      <c r="T304" s="6419"/>
      <c r="U304" s="6419" t="s">
        <v>48</v>
      </c>
      <c r="V304" s="6419"/>
      <c r="W304" s="6419" t="s">
        <v>49</v>
      </c>
      <c r="X304" s="6419"/>
      <c r="Y304" s="6419" t="s">
        <v>50</v>
      </c>
      <c r="Z304" s="6419"/>
      <c r="AA304" s="6419" t="s">
        <v>51</v>
      </c>
      <c r="AB304" s="6419"/>
      <c r="AC304" s="6419" t="s">
        <v>52</v>
      </c>
      <c r="AD304" s="6419"/>
      <c r="AE304" s="6419" t="s">
        <v>53</v>
      </c>
      <c r="AF304" s="6419"/>
      <c r="AG304" s="6419" t="s">
        <v>54</v>
      </c>
      <c r="AH304" s="6419"/>
      <c r="AI304" s="6419" t="s">
        <v>55</v>
      </c>
      <c r="AJ304" s="6419"/>
      <c r="AK304" s="6419" t="s">
        <v>56</v>
      </c>
      <c r="AL304" s="6419"/>
      <c r="AM304" s="6419" t="s">
        <v>57</v>
      </c>
      <c r="AN304" s="6420"/>
      <c r="AO304" s="6492" t="s">
        <v>919</v>
      </c>
      <c r="AP304" s="6492" t="s">
        <v>920</v>
      </c>
      <c r="AQ304" s="6511" t="s">
        <v>921</v>
      </c>
      <c r="AR304" s="6064"/>
      <c r="AS304" s="6028"/>
      <c r="AT304" s="6102"/>
      <c r="AU304" s="6386"/>
      <c r="AV304" s="6386"/>
      <c r="AW304" s="6027"/>
    </row>
    <row r="305" spans="1:100" ht="21.75" customHeight="1" x14ac:dyDescent="0.25">
      <c r="B305" s="6064"/>
      <c r="C305" s="6028"/>
      <c r="D305" s="593" t="s">
        <v>79</v>
      </c>
      <c r="E305" s="594" t="s">
        <v>58</v>
      </c>
      <c r="F305" s="570" t="s">
        <v>59</v>
      </c>
      <c r="G305" s="593" t="s">
        <v>461</v>
      </c>
      <c r="H305" s="468" t="s">
        <v>59</v>
      </c>
      <c r="I305" s="593" t="s">
        <v>461</v>
      </c>
      <c r="J305" s="468" t="s">
        <v>59</v>
      </c>
      <c r="K305" s="593" t="s">
        <v>461</v>
      </c>
      <c r="L305" s="468" t="s">
        <v>59</v>
      </c>
      <c r="M305" s="593" t="s">
        <v>461</v>
      </c>
      <c r="N305" s="468" t="s">
        <v>59</v>
      </c>
      <c r="O305" s="593" t="s">
        <v>461</v>
      </c>
      <c r="P305" s="468" t="s">
        <v>59</v>
      </c>
      <c r="Q305" s="593" t="s">
        <v>461</v>
      </c>
      <c r="R305" s="468" t="s">
        <v>59</v>
      </c>
      <c r="S305" s="593" t="s">
        <v>461</v>
      </c>
      <c r="T305" s="468" t="s">
        <v>59</v>
      </c>
      <c r="U305" s="593" t="s">
        <v>461</v>
      </c>
      <c r="V305" s="468" t="s">
        <v>59</v>
      </c>
      <c r="W305" s="593" t="s">
        <v>461</v>
      </c>
      <c r="X305" s="468" t="s">
        <v>59</v>
      </c>
      <c r="Y305" s="593" t="s">
        <v>461</v>
      </c>
      <c r="Z305" s="468" t="s">
        <v>59</v>
      </c>
      <c r="AA305" s="593" t="s">
        <v>461</v>
      </c>
      <c r="AB305" s="468" t="s">
        <v>59</v>
      </c>
      <c r="AC305" s="593" t="s">
        <v>461</v>
      </c>
      <c r="AD305" s="468" t="s">
        <v>59</v>
      </c>
      <c r="AE305" s="593" t="s">
        <v>461</v>
      </c>
      <c r="AF305" s="468" t="s">
        <v>59</v>
      </c>
      <c r="AG305" s="593" t="s">
        <v>461</v>
      </c>
      <c r="AH305" s="468" t="s">
        <v>59</v>
      </c>
      <c r="AI305" s="593" t="s">
        <v>461</v>
      </c>
      <c r="AJ305" s="468" t="s">
        <v>59</v>
      </c>
      <c r="AK305" s="593" t="s">
        <v>461</v>
      </c>
      <c r="AL305" s="468" t="s">
        <v>59</v>
      </c>
      <c r="AM305" s="593" t="s">
        <v>461</v>
      </c>
      <c r="AN305" s="469" t="s">
        <v>59</v>
      </c>
      <c r="AO305" s="6106"/>
      <c r="AP305" s="6106"/>
      <c r="AQ305" s="6028"/>
      <c r="AR305" s="593" t="s">
        <v>462</v>
      </c>
      <c r="AS305" s="549" t="s">
        <v>463</v>
      </c>
      <c r="AT305" s="6103"/>
      <c r="AU305" s="6086"/>
      <c r="AV305" s="6086"/>
      <c r="AW305" s="6028"/>
    </row>
    <row r="306" spans="1:100" s="6" customFormat="1" ht="18" customHeight="1" x14ac:dyDescent="0.2">
      <c r="A306" s="5681"/>
      <c r="B306" s="6544" t="s">
        <v>922</v>
      </c>
      <c r="C306" s="6545"/>
      <c r="D306" s="630">
        <f>SUM(E306+F306)</f>
        <v>0</v>
      </c>
      <c r="E306" s="631">
        <f>SUM(G306+I306+K306+M306+O306+Q306+S306+U306+W306+Y306+AA306+AC306+AE306+AG306+AI306+AK306+AM306)</f>
        <v>0</v>
      </c>
      <c r="F306" s="561">
        <f>SUM(H306+J306+L306+N306+P306+R306+T306+V306+X306+Z306+AB306+AD306+AF306+AH306+AJ306+AL306+AN306)</f>
        <v>0</v>
      </c>
      <c r="G306" s="630">
        <f>SUM(G316:G324)</f>
        <v>0</v>
      </c>
      <c r="H306" s="705">
        <f>SUM(H316:H324)</f>
        <v>0</v>
      </c>
      <c r="I306" s="630">
        <f>SUM(I316:I324)</f>
        <v>0</v>
      </c>
      <c r="J306" s="705">
        <f>SUM(J316:J324)</f>
        <v>0</v>
      </c>
      <c r="K306" s="630">
        <f>SUM(K316:K324)</f>
        <v>0</v>
      </c>
      <c r="L306" s="705">
        <f>SUM(L307:L324)</f>
        <v>0</v>
      </c>
      <c r="M306" s="630">
        <f>SUM(M316:M324)</f>
        <v>0</v>
      </c>
      <c r="N306" s="705">
        <f>SUM(N307:N324)</f>
        <v>0</v>
      </c>
      <c r="O306" s="630">
        <f>SUM(O316:O324)</f>
        <v>0</v>
      </c>
      <c r="P306" s="705">
        <f>SUM(P307:P324)</f>
        <v>0</v>
      </c>
      <c r="Q306" s="630">
        <f>SUM(Q316:Q324)</f>
        <v>0</v>
      </c>
      <c r="R306" s="705">
        <f>SUM(R307:R324)</f>
        <v>0</v>
      </c>
      <c r="S306" s="630">
        <f>SUM(S316:S324)</f>
        <v>0</v>
      </c>
      <c r="T306" s="705">
        <f>SUM(T307:T324)</f>
        <v>0</v>
      </c>
      <c r="U306" s="630">
        <f>SUM(U316:U324)</f>
        <v>0</v>
      </c>
      <c r="V306" s="705">
        <f>SUM(V307:V324)</f>
        <v>0</v>
      </c>
      <c r="W306" s="630">
        <f>SUM(W316:W324)</f>
        <v>0</v>
      </c>
      <c r="X306" s="705">
        <f>SUM(X307:X324)</f>
        <v>0</v>
      </c>
      <c r="Y306" s="630">
        <f>SUM(Y316:Y324)</f>
        <v>0</v>
      </c>
      <c r="Z306" s="705">
        <f>SUM(Z307:Z324)</f>
        <v>0</v>
      </c>
      <c r="AA306" s="630">
        <f>SUM(AA316:AA324)</f>
        <v>0</v>
      </c>
      <c r="AB306" s="705">
        <f>SUM(AB307:AB324)</f>
        <v>0</v>
      </c>
      <c r="AC306" s="630">
        <f t="shared" ref="AC306:AN306" si="212">SUM(AC316:AC324)</f>
        <v>0</v>
      </c>
      <c r="AD306" s="705">
        <f>SUM(AD307:AD324)</f>
        <v>0</v>
      </c>
      <c r="AE306" s="630">
        <f t="shared" si="212"/>
        <v>0</v>
      </c>
      <c r="AF306" s="705">
        <f t="shared" si="212"/>
        <v>0</v>
      </c>
      <c r="AG306" s="630">
        <f t="shared" si="212"/>
        <v>0</v>
      </c>
      <c r="AH306" s="705">
        <f t="shared" si="212"/>
        <v>0</v>
      </c>
      <c r="AI306" s="630">
        <f t="shared" si="212"/>
        <v>0</v>
      </c>
      <c r="AJ306" s="705">
        <f t="shared" si="212"/>
        <v>0</v>
      </c>
      <c r="AK306" s="630">
        <f t="shared" si="212"/>
        <v>0</v>
      </c>
      <c r="AL306" s="705">
        <f t="shared" si="212"/>
        <v>0</v>
      </c>
      <c r="AM306" s="630">
        <f>SUM(AM316:AM324)</f>
        <v>0</v>
      </c>
      <c r="AN306" s="706">
        <f t="shared" si="212"/>
        <v>0</v>
      </c>
      <c r="AO306" s="684">
        <f t="shared" ref="AO306:AV306" si="213">SUM(AO307:AO324)</f>
        <v>0</v>
      </c>
      <c r="AP306" s="684">
        <f t="shared" si="213"/>
        <v>0</v>
      </c>
      <c r="AQ306" s="707">
        <f t="shared" si="213"/>
        <v>0</v>
      </c>
      <c r="AR306" s="630">
        <f t="shared" si="213"/>
        <v>0</v>
      </c>
      <c r="AS306" s="707">
        <f t="shared" si="213"/>
        <v>0</v>
      </c>
      <c r="AT306" s="630">
        <f t="shared" si="213"/>
        <v>0</v>
      </c>
      <c r="AU306" s="631">
        <f t="shared" si="213"/>
        <v>0</v>
      </c>
      <c r="AV306" s="631">
        <f t="shared" si="213"/>
        <v>0</v>
      </c>
      <c r="AW306" s="561">
        <f>SUM(AW307:AW324)</f>
        <v>0</v>
      </c>
    </row>
    <row r="307" spans="1:100" ht="15" customHeight="1" x14ac:dyDescent="0.25">
      <c r="A307" s="5677" t="s">
        <v>5151</v>
      </c>
      <c r="B307" s="6230" t="s">
        <v>453</v>
      </c>
      <c r="C307" s="295" t="s">
        <v>923</v>
      </c>
      <c r="D307" s="299" t="s">
        <v>4567</v>
      </c>
      <c r="E307" s="249" t="s">
        <v>4568</v>
      </c>
      <c r="F307" s="108" t="s">
        <v>4569</v>
      </c>
      <c r="G307" s="311" t="s">
        <v>4570</v>
      </c>
      <c r="H307" s="70" t="s">
        <v>4571</v>
      </c>
      <c r="I307" s="70" t="s">
        <v>4572</v>
      </c>
      <c r="J307" s="70" t="s">
        <v>4573</v>
      </c>
      <c r="K307" s="687" t="s">
        <v>4574</v>
      </c>
      <c r="L307" s="107" t="s">
        <v>4575</v>
      </c>
      <c r="M307" s="109" t="s">
        <v>4576</v>
      </c>
      <c r="N307" s="107" t="s">
        <v>4577</v>
      </c>
      <c r="O307" s="109" t="s">
        <v>4578</v>
      </c>
      <c r="P307" s="107" t="s">
        <v>4579</v>
      </c>
      <c r="Q307" s="109" t="s">
        <v>4580</v>
      </c>
      <c r="R307" s="107" t="s">
        <v>4581</v>
      </c>
      <c r="S307" s="109" t="s">
        <v>4582</v>
      </c>
      <c r="T307" s="107" t="s">
        <v>4583</v>
      </c>
      <c r="U307" s="109" t="s">
        <v>4584</v>
      </c>
      <c r="V307" s="107" t="s">
        <v>4585</v>
      </c>
      <c r="W307" s="109" t="s">
        <v>4586</v>
      </c>
      <c r="X307" s="107" t="s">
        <v>4587</v>
      </c>
      <c r="Y307" s="109" t="s">
        <v>4588</v>
      </c>
      <c r="Z307" s="107" t="s">
        <v>4589</v>
      </c>
      <c r="AA307" s="109" t="s">
        <v>4590</v>
      </c>
      <c r="AB307" s="107" t="s">
        <v>4591</v>
      </c>
      <c r="AC307" s="109" t="s">
        <v>4592</v>
      </c>
      <c r="AD307" s="107" t="s">
        <v>4593</v>
      </c>
      <c r="AE307" s="311" t="s">
        <v>4594</v>
      </c>
      <c r="AF307" s="70" t="s">
        <v>4595</v>
      </c>
      <c r="AG307" s="70" t="s">
        <v>4596</v>
      </c>
      <c r="AH307" s="70" t="s">
        <v>4597</v>
      </c>
      <c r="AI307" s="70" t="s">
        <v>4598</v>
      </c>
      <c r="AJ307" s="70" t="s">
        <v>4599</v>
      </c>
      <c r="AK307" s="70" t="s">
        <v>4600</v>
      </c>
      <c r="AL307" s="70" t="s">
        <v>4601</v>
      </c>
      <c r="AM307" s="70" t="s">
        <v>4602</v>
      </c>
      <c r="AN307" s="71" t="s">
        <v>4603</v>
      </c>
      <c r="AO307" s="22" t="s">
        <v>4604</v>
      </c>
      <c r="AP307" s="22" t="s">
        <v>4605</v>
      </c>
      <c r="AQ307" s="107" t="s">
        <v>4606</v>
      </c>
      <c r="AR307" s="290" t="s">
        <v>4934</v>
      </c>
      <c r="AS307" s="70" t="s">
        <v>4935</v>
      </c>
      <c r="AT307" s="290" t="s">
        <v>4936</v>
      </c>
      <c r="AU307" s="531" t="s">
        <v>4937</v>
      </c>
      <c r="AV307" s="531" t="s">
        <v>5234</v>
      </c>
      <c r="AW307" s="107" t="s">
        <v>5235</v>
      </c>
      <c r="AX307" t="e">
        <f t="shared" ref="AX307:AX324" si="214">CB307&amp;CC307&amp;CD307&amp;CE307&amp;CF307&amp;CG307&amp;CH307</f>
        <v>#VALUE!</v>
      </c>
      <c r="CB307" s="135" t="e">
        <f>IF((AP307+AQ307)&gt;AO307," * Los Egresos Por Alta + Egresos Por Abandono no pueden ser mayor que el Total de Egresos.","")</f>
        <v>#VALUE!</v>
      </c>
      <c r="CC307" s="2946" t="str">
        <f>IF(AND(F307&gt;0,OR(AR307=""))," * No olvide digitar la variable Trans (Masculino). Digite Cero si no tiene.",IF(AR307&gt;F307,"  * La variable Trans (Masculino) No puede ser mayor al Total Mujeres.",""))</f>
        <v xml:space="preserve">  * La variable Trans (Masculino) No puede ser mayor al Total Mujeres.</v>
      </c>
      <c r="CD307" s="1869"/>
      <c r="CE307" s="2946" t="str">
        <f>IF(AND(D307&gt;0,AT307=""), " * No olvide digitar la variable Pueblos originarios. Digite Cero si no tiene.",IF(AT307&gt;D307,"  * La variable Pueblos originarios No puede ser mayor al Total.",""))</f>
        <v xml:space="preserve">  * La variable Pueblos originarios No puede ser mayor al Total.</v>
      </c>
      <c r="CF307" s="2946" t="str">
        <f>IF(AND(D307&gt;0,AU307=""), " * No olvide digitar la variable Migrantes. Digite Cero si no tiene.",IF(AU307&gt;D307,"  * La variable Migrantes No puede ser mayor al Total.",""))</f>
        <v xml:space="preserve">  * La variable Migrantes No puede ser mayor al Total.</v>
      </c>
      <c r="CG307" s="2946" t="str">
        <f>IF(AND(D307&gt;0,AV307=""), " * No olvide digitar la variable Niños, Niñas, adolescentes y jóvenes SENAME. Digite Cero si no tiene.",IF(AV307&gt;D307,"  * La variable Niños, Niñas, adolescentes y jóvenes SENAME No puede ser mayor al Total.",""))</f>
        <v xml:space="preserve">  * La variable Niños, Niñas, adolescentes y jóvenes SENAME No puede ser mayor al Total.</v>
      </c>
      <c r="CH307" s="2946" t="str">
        <f>IF(AND(D307&gt;0,AW307=""), " * No olvide digitar la variable Niños, Niñas, adolescentes y jóvenes Mejor Niñez. Digite Cero si no tiene.",IF(AW307&gt;D307,"  * La variable Niños, Niñas, adolescentes y jóvenes Mejor Niñez No puede ser mayor al Total.",""))</f>
        <v xml:space="preserve">  * La variable Niños, Niñas, adolescentes y jóvenes Mejor Niñez No puede ser mayor al Total.</v>
      </c>
      <c r="CP307" s="1867" t="e">
        <f t="shared" ref="CP307:CP324" si="215">IF((AP307+AQ307)&gt;AO307,1,0)</f>
        <v>#VALUE!</v>
      </c>
      <c r="CQ307" s="1867">
        <f t="shared" ref="CQ307:CQ324" si="216">IF(AND(F307&gt;0,OR(AR307="")),1,IF(AR307&gt;F307,1,0))</f>
        <v>1</v>
      </c>
      <c r="CR307" s="2673"/>
      <c r="CS307" s="1867">
        <f t="shared" ref="CS307:CS324" si="217">IF(AND(D307&gt;0,AT307=""),1,IF(AT307&gt;D307,1,0))</f>
        <v>1</v>
      </c>
      <c r="CT307" s="1867">
        <f t="shared" ref="CT307:CT324" si="218">IF(AND(D307&gt;0,AU307=""),1,IF(AU307&gt;D307,1,0))</f>
        <v>1</v>
      </c>
      <c r="CU307" s="1867">
        <f t="shared" ref="CU307:CU324" si="219">IF(AND(D307&gt;0,AV307=""),1,IF(AV307&gt;D307,1,0))</f>
        <v>1</v>
      </c>
      <c r="CV307" s="1867">
        <f t="shared" ref="CV307:CV324" si="220">IF(AND(D307&gt;0,AW307=""),1,IF(AW307&gt;D307,1,0))</f>
        <v>1</v>
      </c>
    </row>
    <row r="308" spans="1:100" ht="15" customHeight="1" x14ac:dyDescent="0.25">
      <c r="A308" s="5677" t="s">
        <v>5152</v>
      </c>
      <c r="B308" s="6230"/>
      <c r="C308" s="250" t="s">
        <v>924</v>
      </c>
      <c r="D308" s="477" t="s">
        <v>4567</v>
      </c>
      <c r="E308" s="249" t="s">
        <v>4568</v>
      </c>
      <c r="F308" s="499" t="s">
        <v>4569</v>
      </c>
      <c r="G308" s="311" t="s">
        <v>4570</v>
      </c>
      <c r="H308" s="70" t="s">
        <v>4571</v>
      </c>
      <c r="I308" s="70" t="s">
        <v>4572</v>
      </c>
      <c r="J308" s="70" t="s">
        <v>4573</v>
      </c>
      <c r="K308" s="687" t="s">
        <v>4574</v>
      </c>
      <c r="L308" s="107" t="s">
        <v>4575</v>
      </c>
      <c r="M308" s="109" t="s">
        <v>4576</v>
      </c>
      <c r="N308" s="107" t="s">
        <v>4577</v>
      </c>
      <c r="O308" s="109" t="s">
        <v>4578</v>
      </c>
      <c r="P308" s="107" t="s">
        <v>4579</v>
      </c>
      <c r="Q308" s="109" t="s">
        <v>4580</v>
      </c>
      <c r="R308" s="107" t="s">
        <v>4581</v>
      </c>
      <c r="S308" s="109" t="s">
        <v>4582</v>
      </c>
      <c r="T308" s="107" t="s">
        <v>4583</v>
      </c>
      <c r="U308" s="109" t="s">
        <v>4584</v>
      </c>
      <c r="V308" s="107" t="s">
        <v>4585</v>
      </c>
      <c r="W308" s="109" t="s">
        <v>4586</v>
      </c>
      <c r="X308" s="107" t="s">
        <v>4587</v>
      </c>
      <c r="Y308" s="109" t="s">
        <v>4588</v>
      </c>
      <c r="Z308" s="107" t="s">
        <v>4589</v>
      </c>
      <c r="AA308" s="109" t="s">
        <v>4590</v>
      </c>
      <c r="AB308" s="107" t="s">
        <v>4591</v>
      </c>
      <c r="AC308" s="109" t="s">
        <v>4592</v>
      </c>
      <c r="AD308" s="107" t="s">
        <v>4593</v>
      </c>
      <c r="AE308" s="311" t="s">
        <v>4594</v>
      </c>
      <c r="AF308" s="70" t="s">
        <v>4595</v>
      </c>
      <c r="AG308" s="70" t="s">
        <v>4596</v>
      </c>
      <c r="AH308" s="70" t="s">
        <v>4597</v>
      </c>
      <c r="AI308" s="70" t="s">
        <v>4598</v>
      </c>
      <c r="AJ308" s="70" t="s">
        <v>4599</v>
      </c>
      <c r="AK308" s="70" t="s">
        <v>4600</v>
      </c>
      <c r="AL308" s="70" t="s">
        <v>4601</v>
      </c>
      <c r="AM308" s="70" t="s">
        <v>4602</v>
      </c>
      <c r="AN308" s="71" t="s">
        <v>4603</v>
      </c>
      <c r="AO308" s="22" t="s">
        <v>4604</v>
      </c>
      <c r="AP308" s="22" t="s">
        <v>4605</v>
      </c>
      <c r="AQ308" s="107" t="s">
        <v>4606</v>
      </c>
      <c r="AR308" s="290" t="s">
        <v>4934</v>
      </c>
      <c r="AS308" s="70" t="s">
        <v>4935</v>
      </c>
      <c r="AT308" s="290" t="s">
        <v>4936</v>
      </c>
      <c r="AU308" s="531" t="s">
        <v>4937</v>
      </c>
      <c r="AV308" s="531" t="s">
        <v>5234</v>
      </c>
      <c r="AW308" s="107" t="s">
        <v>5235</v>
      </c>
      <c r="AX308" t="e">
        <f t="shared" si="214"/>
        <v>#VALUE!</v>
      </c>
      <c r="CB308" s="135" t="e">
        <f t="shared" ref="CB308:CB324" si="221">IF((AP308+AQ308)&gt;AO308," * Los Egresos Por Alta + Egresos Por Abandono no pueden ser mayor que el Total de Egresos.","")</f>
        <v>#VALUE!</v>
      </c>
      <c r="CC308" s="2946" t="str">
        <f t="shared" ref="CC308:CC324" si="222">IF(AND(F308&gt;0,OR(AR308=""))," * No olvide digitar la variable Trans (Masculino). Digite Cero si no tiene.",IF(AR308&gt;F308,"  * La variable Trans (Masculino) No puede ser mayor al Total Mujeres.",""))</f>
        <v xml:space="preserve">  * La variable Trans (Masculino) No puede ser mayor al Total Mujeres.</v>
      </c>
      <c r="CD308" s="1869"/>
      <c r="CE308" s="2946" t="str">
        <f t="shared" ref="CE308:CE324" si="223">IF(AND(D308&gt;0,AT308=""), " * No olvide digitar la variable Pueblos originarios. Digite Cero si no tiene.",IF(AT308&gt;D308,"  * La variable Pueblos originarios No puede ser mayor al Total.",""))</f>
        <v xml:space="preserve">  * La variable Pueblos originarios No puede ser mayor al Total.</v>
      </c>
      <c r="CF308" s="2946" t="str">
        <f t="shared" ref="CF308:CF324" si="224">IF(AND(D308&gt;0,AU308=""), " * No olvide digitar la variable Migrantes. Digite Cero si no tiene.",IF(AU308&gt;D308,"  * La variable Migrantes No puede ser mayor al Total.",""))</f>
        <v xml:space="preserve">  * La variable Migrantes No puede ser mayor al Total.</v>
      </c>
      <c r="CG308" s="2946" t="str">
        <f t="shared" ref="CG308:CG324" si="225">IF(AND(D308&gt;0,AV308=""), " * No olvide digitar la variable Niños, Niñas, adolescentes y jóvenes SENAME. Digite Cero si no tiene.",IF(AV308&gt;D308,"  * La variable Niños, Niñas, adolescentes y jóvenes SENAME No puede ser mayor al Total.",""))</f>
        <v xml:space="preserve">  * La variable Niños, Niñas, adolescentes y jóvenes SENAME No puede ser mayor al Total.</v>
      </c>
      <c r="CH308" s="2946" t="str">
        <f t="shared" ref="CH308:CH324" si="226">IF(AND(D308&gt;0,AW308=""), " * No olvide digitar la variable Niños, Niñas, adolescentes y jóvenes Mejor Niñez. Digite Cero si no tiene.",IF(AW308&gt;D308,"  * La variable Niños, Niñas, adolescentes y jóvenes Mejor Niñez No puede ser mayor al Total.",""))</f>
        <v xml:space="preserve">  * La variable Niños, Niñas, adolescentes y jóvenes Mejor Niñez No puede ser mayor al Total.</v>
      </c>
      <c r="CP308" s="1867" t="e">
        <f t="shared" si="215"/>
        <v>#VALUE!</v>
      </c>
      <c r="CQ308" s="1867">
        <f t="shared" si="216"/>
        <v>1</v>
      </c>
      <c r="CR308" s="2673"/>
      <c r="CS308" s="1867">
        <f t="shared" si="217"/>
        <v>1</v>
      </c>
      <c r="CT308" s="1867">
        <f t="shared" si="218"/>
        <v>1</v>
      </c>
      <c r="CU308" s="1867">
        <f t="shared" si="219"/>
        <v>1</v>
      </c>
      <c r="CV308" s="1867">
        <f t="shared" si="220"/>
        <v>1</v>
      </c>
    </row>
    <row r="309" spans="1:100" ht="15" customHeight="1" x14ac:dyDescent="0.25">
      <c r="A309" s="5677" t="s">
        <v>5153</v>
      </c>
      <c r="B309" s="6230"/>
      <c r="C309" s="343" t="s">
        <v>925</v>
      </c>
      <c r="D309" s="477" t="s">
        <v>4567</v>
      </c>
      <c r="E309" s="249" t="s">
        <v>4568</v>
      </c>
      <c r="F309" s="499" t="s">
        <v>4569</v>
      </c>
      <c r="G309" s="311" t="s">
        <v>4570</v>
      </c>
      <c r="H309" s="70" t="s">
        <v>4571</v>
      </c>
      <c r="I309" s="70" t="s">
        <v>4572</v>
      </c>
      <c r="J309" s="70" t="s">
        <v>4573</v>
      </c>
      <c r="K309" s="687" t="s">
        <v>4574</v>
      </c>
      <c r="L309" s="346" t="s">
        <v>4575</v>
      </c>
      <c r="M309" s="109" t="s">
        <v>4576</v>
      </c>
      <c r="N309" s="346" t="s">
        <v>4577</v>
      </c>
      <c r="O309" s="109" t="s">
        <v>4578</v>
      </c>
      <c r="P309" s="346" t="s">
        <v>4579</v>
      </c>
      <c r="Q309" s="109" t="s">
        <v>4580</v>
      </c>
      <c r="R309" s="346" t="s">
        <v>4581</v>
      </c>
      <c r="S309" s="109" t="s">
        <v>4582</v>
      </c>
      <c r="T309" s="346" t="s">
        <v>4583</v>
      </c>
      <c r="U309" s="109" t="s">
        <v>4584</v>
      </c>
      <c r="V309" s="346" t="s">
        <v>4585</v>
      </c>
      <c r="W309" s="109" t="s">
        <v>4586</v>
      </c>
      <c r="X309" s="346" t="s">
        <v>4587</v>
      </c>
      <c r="Y309" s="109" t="s">
        <v>4588</v>
      </c>
      <c r="Z309" s="346" t="s">
        <v>4589</v>
      </c>
      <c r="AA309" s="109" t="s">
        <v>4590</v>
      </c>
      <c r="AB309" s="346" t="s">
        <v>4591</v>
      </c>
      <c r="AC309" s="109" t="s">
        <v>4592</v>
      </c>
      <c r="AD309" s="346" t="s">
        <v>4593</v>
      </c>
      <c r="AE309" s="311" t="s">
        <v>4594</v>
      </c>
      <c r="AF309" s="70" t="s">
        <v>4595</v>
      </c>
      <c r="AG309" s="70" t="s">
        <v>4596</v>
      </c>
      <c r="AH309" s="70" t="s">
        <v>4597</v>
      </c>
      <c r="AI309" s="70" t="s">
        <v>4598</v>
      </c>
      <c r="AJ309" s="70" t="s">
        <v>4599</v>
      </c>
      <c r="AK309" s="70" t="s">
        <v>4600</v>
      </c>
      <c r="AL309" s="70" t="s">
        <v>4601</v>
      </c>
      <c r="AM309" s="70" t="s">
        <v>4602</v>
      </c>
      <c r="AN309" s="71" t="s">
        <v>4603</v>
      </c>
      <c r="AO309" s="347" t="s">
        <v>4604</v>
      </c>
      <c r="AP309" s="347" t="s">
        <v>4605</v>
      </c>
      <c r="AQ309" s="346" t="s">
        <v>4606</v>
      </c>
      <c r="AR309" s="345" t="s">
        <v>4934</v>
      </c>
      <c r="AS309" s="70" t="s">
        <v>4935</v>
      </c>
      <c r="AT309" s="345" t="s">
        <v>4936</v>
      </c>
      <c r="AU309" s="368" t="s">
        <v>4937</v>
      </c>
      <c r="AV309" s="368" t="s">
        <v>5234</v>
      </c>
      <c r="AW309" s="346" t="s">
        <v>5235</v>
      </c>
      <c r="AX309" t="e">
        <f t="shared" si="214"/>
        <v>#VALUE!</v>
      </c>
      <c r="CB309" s="135" t="e">
        <f t="shared" si="221"/>
        <v>#VALUE!</v>
      </c>
      <c r="CC309" s="2946" t="str">
        <f t="shared" si="222"/>
        <v xml:space="preserve">  * La variable Trans (Masculino) No puede ser mayor al Total Mujeres.</v>
      </c>
      <c r="CD309" s="1869"/>
      <c r="CE309" s="2946" t="str">
        <f t="shared" si="223"/>
        <v xml:space="preserve">  * La variable Pueblos originarios No puede ser mayor al Total.</v>
      </c>
      <c r="CF309" s="2946" t="str">
        <f t="shared" si="224"/>
        <v xml:space="preserve">  * La variable Migrantes No puede ser mayor al Total.</v>
      </c>
      <c r="CG309" s="2946" t="str">
        <f t="shared" si="225"/>
        <v xml:space="preserve">  * La variable Niños, Niñas, adolescentes y jóvenes SENAME No puede ser mayor al Total.</v>
      </c>
      <c r="CH309" s="2946" t="str">
        <f t="shared" si="226"/>
        <v xml:space="preserve">  * La variable Niños, Niñas, adolescentes y jóvenes Mejor Niñez No puede ser mayor al Total.</v>
      </c>
      <c r="CP309" s="1867" t="e">
        <f t="shared" si="215"/>
        <v>#VALUE!</v>
      </c>
      <c r="CQ309" s="1867">
        <f t="shared" si="216"/>
        <v>1</v>
      </c>
      <c r="CR309" s="2673"/>
      <c r="CS309" s="1867">
        <f t="shared" si="217"/>
        <v>1</v>
      </c>
      <c r="CT309" s="1867">
        <f t="shared" si="218"/>
        <v>1</v>
      </c>
      <c r="CU309" s="1867">
        <f t="shared" si="219"/>
        <v>1</v>
      </c>
      <c r="CV309" s="1867">
        <f t="shared" si="220"/>
        <v>1</v>
      </c>
    </row>
    <row r="310" spans="1:100" ht="15" customHeight="1" x14ac:dyDescent="0.25">
      <c r="A310" s="5677" t="s">
        <v>5154</v>
      </c>
      <c r="B310" s="6230"/>
      <c r="C310" s="343" t="s">
        <v>926</v>
      </c>
      <c r="D310" s="477" t="s">
        <v>4567</v>
      </c>
      <c r="E310" s="249" t="s">
        <v>4568</v>
      </c>
      <c r="F310" s="499" t="s">
        <v>4569</v>
      </c>
      <c r="G310" s="311" t="s">
        <v>4570</v>
      </c>
      <c r="H310" s="70" t="s">
        <v>4571</v>
      </c>
      <c r="I310" s="70" t="s">
        <v>4572</v>
      </c>
      <c r="J310" s="70" t="s">
        <v>4573</v>
      </c>
      <c r="K310" s="687" t="s">
        <v>4574</v>
      </c>
      <c r="L310" s="346" t="s">
        <v>4575</v>
      </c>
      <c r="M310" s="109" t="s">
        <v>4576</v>
      </c>
      <c r="N310" s="346" t="s">
        <v>4577</v>
      </c>
      <c r="O310" s="109" t="s">
        <v>4578</v>
      </c>
      <c r="P310" s="346" t="s">
        <v>4579</v>
      </c>
      <c r="Q310" s="109" t="s">
        <v>4580</v>
      </c>
      <c r="R310" s="346" t="s">
        <v>4581</v>
      </c>
      <c r="S310" s="109" t="s">
        <v>4582</v>
      </c>
      <c r="T310" s="346" t="s">
        <v>4583</v>
      </c>
      <c r="U310" s="109" t="s">
        <v>4584</v>
      </c>
      <c r="V310" s="346" t="s">
        <v>4585</v>
      </c>
      <c r="W310" s="109" t="s">
        <v>4586</v>
      </c>
      <c r="X310" s="346" t="s">
        <v>4587</v>
      </c>
      <c r="Y310" s="109" t="s">
        <v>4588</v>
      </c>
      <c r="Z310" s="346" t="s">
        <v>4589</v>
      </c>
      <c r="AA310" s="109" t="s">
        <v>4590</v>
      </c>
      <c r="AB310" s="346" t="s">
        <v>4591</v>
      </c>
      <c r="AC310" s="109" t="s">
        <v>4592</v>
      </c>
      <c r="AD310" s="346" t="s">
        <v>4593</v>
      </c>
      <c r="AE310" s="311" t="s">
        <v>4594</v>
      </c>
      <c r="AF310" s="70" t="s">
        <v>4595</v>
      </c>
      <c r="AG310" s="70" t="s">
        <v>4596</v>
      </c>
      <c r="AH310" s="70" t="s">
        <v>4597</v>
      </c>
      <c r="AI310" s="70" t="s">
        <v>4598</v>
      </c>
      <c r="AJ310" s="70" t="s">
        <v>4599</v>
      </c>
      <c r="AK310" s="70" t="s">
        <v>4600</v>
      </c>
      <c r="AL310" s="70" t="s">
        <v>4601</v>
      </c>
      <c r="AM310" s="70" t="s">
        <v>4602</v>
      </c>
      <c r="AN310" s="71" t="s">
        <v>4603</v>
      </c>
      <c r="AO310" s="347" t="s">
        <v>4604</v>
      </c>
      <c r="AP310" s="347" t="s">
        <v>4605</v>
      </c>
      <c r="AQ310" s="346" t="s">
        <v>4606</v>
      </c>
      <c r="AR310" s="345" t="s">
        <v>4934</v>
      </c>
      <c r="AS310" s="70" t="s">
        <v>4935</v>
      </c>
      <c r="AT310" s="345" t="s">
        <v>4936</v>
      </c>
      <c r="AU310" s="368" t="s">
        <v>4937</v>
      </c>
      <c r="AV310" s="368" t="s">
        <v>5234</v>
      </c>
      <c r="AW310" s="346" t="s">
        <v>5235</v>
      </c>
      <c r="AX310" t="e">
        <f t="shared" si="214"/>
        <v>#VALUE!</v>
      </c>
      <c r="CB310" s="135" t="e">
        <f t="shared" si="221"/>
        <v>#VALUE!</v>
      </c>
      <c r="CC310" s="2946" t="str">
        <f t="shared" si="222"/>
        <v xml:space="preserve">  * La variable Trans (Masculino) No puede ser mayor al Total Mujeres.</v>
      </c>
      <c r="CD310" s="1869"/>
      <c r="CE310" s="2946" t="str">
        <f t="shared" si="223"/>
        <v xml:space="preserve">  * La variable Pueblos originarios No puede ser mayor al Total.</v>
      </c>
      <c r="CF310" s="2946" t="str">
        <f t="shared" si="224"/>
        <v xml:space="preserve">  * La variable Migrantes No puede ser mayor al Total.</v>
      </c>
      <c r="CG310" s="2946" t="str">
        <f t="shared" si="225"/>
        <v xml:space="preserve">  * La variable Niños, Niñas, adolescentes y jóvenes SENAME No puede ser mayor al Total.</v>
      </c>
      <c r="CH310" s="2946" t="str">
        <f t="shared" si="226"/>
        <v xml:space="preserve">  * La variable Niños, Niñas, adolescentes y jóvenes Mejor Niñez No puede ser mayor al Total.</v>
      </c>
      <c r="CP310" s="1867" t="e">
        <f t="shared" si="215"/>
        <v>#VALUE!</v>
      </c>
      <c r="CQ310" s="1867">
        <f t="shared" si="216"/>
        <v>1</v>
      </c>
      <c r="CR310" s="2673"/>
      <c r="CS310" s="1867">
        <f t="shared" si="217"/>
        <v>1</v>
      </c>
      <c r="CT310" s="1867">
        <f t="shared" si="218"/>
        <v>1</v>
      </c>
      <c r="CU310" s="1867">
        <f t="shared" si="219"/>
        <v>1</v>
      </c>
      <c r="CV310" s="1867">
        <f t="shared" si="220"/>
        <v>1</v>
      </c>
    </row>
    <row r="311" spans="1:100" ht="15" customHeight="1" x14ac:dyDescent="0.25">
      <c r="A311" s="5677" t="s">
        <v>5155</v>
      </c>
      <c r="B311" s="6230"/>
      <c r="C311" s="343" t="s">
        <v>927</v>
      </c>
      <c r="D311" s="477" t="s">
        <v>4567</v>
      </c>
      <c r="E311" s="249" t="s">
        <v>4568</v>
      </c>
      <c r="F311" s="499" t="s">
        <v>4569</v>
      </c>
      <c r="G311" s="311" t="s">
        <v>4570</v>
      </c>
      <c r="H311" s="70" t="s">
        <v>4571</v>
      </c>
      <c r="I311" s="70" t="s">
        <v>4572</v>
      </c>
      <c r="J311" s="70" t="s">
        <v>4573</v>
      </c>
      <c r="K311" s="687" t="s">
        <v>4574</v>
      </c>
      <c r="L311" s="346" t="s">
        <v>4575</v>
      </c>
      <c r="M311" s="109" t="s">
        <v>4576</v>
      </c>
      <c r="N311" s="346" t="s">
        <v>4577</v>
      </c>
      <c r="O311" s="109" t="s">
        <v>4578</v>
      </c>
      <c r="P311" s="346" t="s">
        <v>4579</v>
      </c>
      <c r="Q311" s="109" t="s">
        <v>4580</v>
      </c>
      <c r="R311" s="346" t="s">
        <v>4581</v>
      </c>
      <c r="S311" s="109" t="s">
        <v>4582</v>
      </c>
      <c r="T311" s="346" t="s">
        <v>4583</v>
      </c>
      <c r="U311" s="109" t="s">
        <v>4584</v>
      </c>
      <c r="V311" s="346" t="s">
        <v>4585</v>
      </c>
      <c r="W311" s="109" t="s">
        <v>4586</v>
      </c>
      <c r="X311" s="346" t="s">
        <v>4587</v>
      </c>
      <c r="Y311" s="109" t="s">
        <v>4588</v>
      </c>
      <c r="Z311" s="346" t="s">
        <v>4589</v>
      </c>
      <c r="AA311" s="109" t="s">
        <v>4590</v>
      </c>
      <c r="AB311" s="346" t="s">
        <v>4591</v>
      </c>
      <c r="AC311" s="109" t="s">
        <v>4592</v>
      </c>
      <c r="AD311" s="346" t="s">
        <v>4593</v>
      </c>
      <c r="AE311" s="311" t="s">
        <v>4594</v>
      </c>
      <c r="AF311" s="70" t="s">
        <v>4595</v>
      </c>
      <c r="AG311" s="70" t="s">
        <v>4596</v>
      </c>
      <c r="AH311" s="70" t="s">
        <v>4597</v>
      </c>
      <c r="AI311" s="70" t="s">
        <v>4598</v>
      </c>
      <c r="AJ311" s="70" t="s">
        <v>4599</v>
      </c>
      <c r="AK311" s="70" t="s">
        <v>4600</v>
      </c>
      <c r="AL311" s="70" t="s">
        <v>4601</v>
      </c>
      <c r="AM311" s="70" t="s">
        <v>4602</v>
      </c>
      <c r="AN311" s="71" t="s">
        <v>4603</v>
      </c>
      <c r="AO311" s="347" t="s">
        <v>4604</v>
      </c>
      <c r="AP311" s="347" t="s">
        <v>4605</v>
      </c>
      <c r="AQ311" s="346" t="s">
        <v>4606</v>
      </c>
      <c r="AR311" s="345" t="s">
        <v>4934</v>
      </c>
      <c r="AS311" s="70" t="s">
        <v>4935</v>
      </c>
      <c r="AT311" s="345" t="s">
        <v>4936</v>
      </c>
      <c r="AU311" s="368" t="s">
        <v>4937</v>
      </c>
      <c r="AV311" s="368" t="s">
        <v>5234</v>
      </c>
      <c r="AW311" s="346" t="s">
        <v>5235</v>
      </c>
      <c r="AX311" t="e">
        <f t="shared" si="214"/>
        <v>#VALUE!</v>
      </c>
      <c r="CB311" s="135" t="e">
        <f t="shared" si="221"/>
        <v>#VALUE!</v>
      </c>
      <c r="CC311" s="2946" t="str">
        <f t="shared" si="222"/>
        <v xml:space="preserve">  * La variable Trans (Masculino) No puede ser mayor al Total Mujeres.</v>
      </c>
      <c r="CD311" s="1869"/>
      <c r="CE311" s="2946" t="str">
        <f t="shared" si="223"/>
        <v xml:space="preserve">  * La variable Pueblos originarios No puede ser mayor al Total.</v>
      </c>
      <c r="CF311" s="2946" t="str">
        <f t="shared" si="224"/>
        <v xml:space="preserve">  * La variable Migrantes No puede ser mayor al Total.</v>
      </c>
      <c r="CG311" s="2946" t="str">
        <f t="shared" si="225"/>
        <v xml:space="preserve">  * La variable Niños, Niñas, adolescentes y jóvenes SENAME No puede ser mayor al Total.</v>
      </c>
      <c r="CH311" s="2946" t="str">
        <f t="shared" si="226"/>
        <v xml:space="preserve">  * La variable Niños, Niñas, adolescentes y jóvenes Mejor Niñez No puede ser mayor al Total.</v>
      </c>
      <c r="CP311" s="1867" t="e">
        <f t="shared" si="215"/>
        <v>#VALUE!</v>
      </c>
      <c r="CQ311" s="1867">
        <f t="shared" si="216"/>
        <v>1</v>
      </c>
      <c r="CR311" s="2673"/>
      <c r="CS311" s="1867">
        <f t="shared" si="217"/>
        <v>1</v>
      </c>
      <c r="CT311" s="1867">
        <f t="shared" si="218"/>
        <v>1</v>
      </c>
      <c r="CU311" s="1867">
        <f t="shared" si="219"/>
        <v>1</v>
      </c>
      <c r="CV311" s="1867">
        <f t="shared" si="220"/>
        <v>1</v>
      </c>
    </row>
    <row r="312" spans="1:100" ht="15" customHeight="1" x14ac:dyDescent="0.25">
      <c r="A312" s="5677" t="s">
        <v>5156</v>
      </c>
      <c r="B312" s="6230"/>
      <c r="C312" s="343" t="s">
        <v>928</v>
      </c>
      <c r="D312" s="477" t="s">
        <v>4567</v>
      </c>
      <c r="E312" s="249" t="s">
        <v>4568</v>
      </c>
      <c r="F312" s="499" t="s">
        <v>4569</v>
      </c>
      <c r="G312" s="311" t="s">
        <v>4570</v>
      </c>
      <c r="H312" s="70" t="s">
        <v>4571</v>
      </c>
      <c r="I312" s="70" t="s">
        <v>4572</v>
      </c>
      <c r="J312" s="70" t="s">
        <v>4573</v>
      </c>
      <c r="K312" s="687" t="s">
        <v>4574</v>
      </c>
      <c r="L312" s="346" t="s">
        <v>4575</v>
      </c>
      <c r="M312" s="109" t="s">
        <v>4576</v>
      </c>
      <c r="N312" s="346" t="s">
        <v>4577</v>
      </c>
      <c r="O312" s="109" t="s">
        <v>4578</v>
      </c>
      <c r="P312" s="346" t="s">
        <v>4579</v>
      </c>
      <c r="Q312" s="109" t="s">
        <v>4580</v>
      </c>
      <c r="R312" s="346" t="s">
        <v>4581</v>
      </c>
      <c r="S312" s="109" t="s">
        <v>4582</v>
      </c>
      <c r="T312" s="346" t="s">
        <v>4583</v>
      </c>
      <c r="U312" s="109" t="s">
        <v>4584</v>
      </c>
      <c r="V312" s="346" t="s">
        <v>4585</v>
      </c>
      <c r="W312" s="109" t="s">
        <v>4586</v>
      </c>
      <c r="X312" s="346" t="s">
        <v>4587</v>
      </c>
      <c r="Y312" s="109" t="s">
        <v>4588</v>
      </c>
      <c r="Z312" s="346" t="s">
        <v>4589</v>
      </c>
      <c r="AA312" s="109" t="s">
        <v>4590</v>
      </c>
      <c r="AB312" s="346" t="s">
        <v>4591</v>
      </c>
      <c r="AC312" s="109" t="s">
        <v>4592</v>
      </c>
      <c r="AD312" s="346" t="s">
        <v>4593</v>
      </c>
      <c r="AE312" s="311" t="s">
        <v>4594</v>
      </c>
      <c r="AF312" s="70" t="s">
        <v>4595</v>
      </c>
      <c r="AG312" s="70" t="s">
        <v>4596</v>
      </c>
      <c r="AH312" s="70" t="s">
        <v>4597</v>
      </c>
      <c r="AI312" s="70" t="s">
        <v>4598</v>
      </c>
      <c r="AJ312" s="70" t="s">
        <v>4599</v>
      </c>
      <c r="AK312" s="70" t="s">
        <v>4600</v>
      </c>
      <c r="AL312" s="70" t="s">
        <v>4601</v>
      </c>
      <c r="AM312" s="70" t="s">
        <v>4602</v>
      </c>
      <c r="AN312" s="71" t="s">
        <v>4603</v>
      </c>
      <c r="AO312" s="347" t="s">
        <v>4604</v>
      </c>
      <c r="AP312" s="347" t="s">
        <v>4605</v>
      </c>
      <c r="AQ312" s="346" t="s">
        <v>4606</v>
      </c>
      <c r="AR312" s="345" t="s">
        <v>4934</v>
      </c>
      <c r="AS312" s="70" t="s">
        <v>4935</v>
      </c>
      <c r="AT312" s="345" t="s">
        <v>4936</v>
      </c>
      <c r="AU312" s="368" t="s">
        <v>4937</v>
      </c>
      <c r="AV312" s="368" t="s">
        <v>5234</v>
      </c>
      <c r="AW312" s="346" t="s">
        <v>5235</v>
      </c>
      <c r="AX312" t="e">
        <f t="shared" si="214"/>
        <v>#VALUE!</v>
      </c>
      <c r="CB312" s="135" t="e">
        <f t="shared" si="221"/>
        <v>#VALUE!</v>
      </c>
      <c r="CC312" s="2946" t="str">
        <f t="shared" si="222"/>
        <v xml:space="preserve">  * La variable Trans (Masculino) No puede ser mayor al Total Mujeres.</v>
      </c>
      <c r="CD312" s="1869"/>
      <c r="CE312" s="2946" t="str">
        <f t="shared" si="223"/>
        <v xml:space="preserve">  * La variable Pueblos originarios No puede ser mayor al Total.</v>
      </c>
      <c r="CF312" s="2946" t="str">
        <f t="shared" si="224"/>
        <v xml:space="preserve">  * La variable Migrantes No puede ser mayor al Total.</v>
      </c>
      <c r="CG312" s="2946" t="str">
        <f t="shared" si="225"/>
        <v xml:space="preserve">  * La variable Niños, Niñas, adolescentes y jóvenes SENAME No puede ser mayor al Total.</v>
      </c>
      <c r="CH312" s="2946" t="str">
        <f t="shared" si="226"/>
        <v xml:space="preserve">  * La variable Niños, Niñas, adolescentes y jóvenes Mejor Niñez No puede ser mayor al Total.</v>
      </c>
      <c r="CP312" s="1867" t="e">
        <f t="shared" si="215"/>
        <v>#VALUE!</v>
      </c>
      <c r="CQ312" s="1867">
        <f t="shared" si="216"/>
        <v>1</v>
      </c>
      <c r="CR312" s="2673"/>
      <c r="CS312" s="1867">
        <f t="shared" si="217"/>
        <v>1</v>
      </c>
      <c r="CT312" s="1867">
        <f t="shared" si="218"/>
        <v>1</v>
      </c>
      <c r="CU312" s="1867">
        <f t="shared" si="219"/>
        <v>1</v>
      </c>
      <c r="CV312" s="1867">
        <f t="shared" si="220"/>
        <v>1</v>
      </c>
    </row>
    <row r="313" spans="1:100" ht="15" customHeight="1" x14ac:dyDescent="0.25">
      <c r="A313" s="5677" t="s">
        <v>5157</v>
      </c>
      <c r="B313" s="6230"/>
      <c r="C313" s="343" t="s">
        <v>929</v>
      </c>
      <c r="D313" s="477" t="s">
        <v>4567</v>
      </c>
      <c r="E313" s="249" t="s">
        <v>4568</v>
      </c>
      <c r="F313" s="499" t="s">
        <v>4569</v>
      </c>
      <c r="G313" s="311" t="s">
        <v>4570</v>
      </c>
      <c r="H313" s="70" t="s">
        <v>4571</v>
      </c>
      <c r="I313" s="70" t="s">
        <v>4572</v>
      </c>
      <c r="J313" s="70" t="s">
        <v>4573</v>
      </c>
      <c r="K313" s="687" t="s">
        <v>4574</v>
      </c>
      <c r="L313" s="346" t="s">
        <v>4575</v>
      </c>
      <c r="M313" s="109" t="s">
        <v>4576</v>
      </c>
      <c r="N313" s="346" t="s">
        <v>4577</v>
      </c>
      <c r="O313" s="109" t="s">
        <v>4578</v>
      </c>
      <c r="P313" s="346" t="s">
        <v>4579</v>
      </c>
      <c r="Q313" s="109" t="s">
        <v>4580</v>
      </c>
      <c r="R313" s="346" t="s">
        <v>4581</v>
      </c>
      <c r="S313" s="109" t="s">
        <v>4582</v>
      </c>
      <c r="T313" s="346" t="s">
        <v>4583</v>
      </c>
      <c r="U313" s="109" t="s">
        <v>4584</v>
      </c>
      <c r="V313" s="346" t="s">
        <v>4585</v>
      </c>
      <c r="W313" s="109" t="s">
        <v>4586</v>
      </c>
      <c r="X313" s="346" t="s">
        <v>4587</v>
      </c>
      <c r="Y313" s="109" t="s">
        <v>4588</v>
      </c>
      <c r="Z313" s="346" t="s">
        <v>4589</v>
      </c>
      <c r="AA313" s="109" t="s">
        <v>4590</v>
      </c>
      <c r="AB313" s="346" t="s">
        <v>4591</v>
      </c>
      <c r="AC313" s="109" t="s">
        <v>4592</v>
      </c>
      <c r="AD313" s="346" t="s">
        <v>4593</v>
      </c>
      <c r="AE313" s="311" t="s">
        <v>4594</v>
      </c>
      <c r="AF313" s="70" t="s">
        <v>4595</v>
      </c>
      <c r="AG313" s="70" t="s">
        <v>4596</v>
      </c>
      <c r="AH313" s="70" t="s">
        <v>4597</v>
      </c>
      <c r="AI313" s="70" t="s">
        <v>4598</v>
      </c>
      <c r="AJ313" s="70" t="s">
        <v>4599</v>
      </c>
      <c r="AK313" s="70" t="s">
        <v>4600</v>
      </c>
      <c r="AL313" s="70" t="s">
        <v>4601</v>
      </c>
      <c r="AM313" s="70" t="s">
        <v>4602</v>
      </c>
      <c r="AN313" s="71" t="s">
        <v>4603</v>
      </c>
      <c r="AO313" s="347" t="s">
        <v>4604</v>
      </c>
      <c r="AP313" s="347" t="s">
        <v>4605</v>
      </c>
      <c r="AQ313" s="346" t="s">
        <v>4606</v>
      </c>
      <c r="AR313" s="345" t="s">
        <v>4934</v>
      </c>
      <c r="AS313" s="70" t="s">
        <v>4935</v>
      </c>
      <c r="AT313" s="345" t="s">
        <v>4936</v>
      </c>
      <c r="AU313" s="368" t="s">
        <v>4937</v>
      </c>
      <c r="AV313" s="368" t="s">
        <v>5234</v>
      </c>
      <c r="AW313" s="346" t="s">
        <v>5235</v>
      </c>
      <c r="AX313" t="e">
        <f t="shared" si="214"/>
        <v>#VALUE!</v>
      </c>
      <c r="CB313" s="135" t="e">
        <f t="shared" si="221"/>
        <v>#VALUE!</v>
      </c>
      <c r="CC313" s="2946" t="str">
        <f t="shared" si="222"/>
        <v xml:space="preserve">  * La variable Trans (Masculino) No puede ser mayor al Total Mujeres.</v>
      </c>
      <c r="CD313" s="1869"/>
      <c r="CE313" s="2946" t="str">
        <f t="shared" si="223"/>
        <v xml:space="preserve">  * La variable Pueblos originarios No puede ser mayor al Total.</v>
      </c>
      <c r="CF313" s="2946" t="str">
        <f t="shared" si="224"/>
        <v xml:space="preserve">  * La variable Migrantes No puede ser mayor al Total.</v>
      </c>
      <c r="CG313" s="2946" t="str">
        <f t="shared" si="225"/>
        <v xml:space="preserve">  * La variable Niños, Niñas, adolescentes y jóvenes SENAME No puede ser mayor al Total.</v>
      </c>
      <c r="CH313" s="2946" t="str">
        <f t="shared" si="226"/>
        <v xml:space="preserve">  * La variable Niños, Niñas, adolescentes y jóvenes Mejor Niñez No puede ser mayor al Total.</v>
      </c>
      <c r="CP313" s="1867" t="e">
        <f t="shared" si="215"/>
        <v>#VALUE!</v>
      </c>
      <c r="CQ313" s="1867">
        <f t="shared" si="216"/>
        <v>1</v>
      </c>
      <c r="CR313" s="2673"/>
      <c r="CS313" s="1867">
        <f t="shared" si="217"/>
        <v>1</v>
      </c>
      <c r="CT313" s="1867">
        <f t="shared" si="218"/>
        <v>1</v>
      </c>
      <c r="CU313" s="1867">
        <f t="shared" si="219"/>
        <v>1</v>
      </c>
      <c r="CV313" s="1867">
        <f t="shared" si="220"/>
        <v>1</v>
      </c>
    </row>
    <row r="314" spans="1:100" ht="15" customHeight="1" x14ac:dyDescent="0.25">
      <c r="A314" s="5677" t="s">
        <v>5158</v>
      </c>
      <c r="B314" s="6230"/>
      <c r="C314" s="343" t="s">
        <v>930</v>
      </c>
      <c r="D314" s="477" t="s">
        <v>4567</v>
      </c>
      <c r="E314" s="249" t="s">
        <v>4568</v>
      </c>
      <c r="F314" s="499" t="s">
        <v>4569</v>
      </c>
      <c r="G314" s="311" t="s">
        <v>4570</v>
      </c>
      <c r="H314" s="70" t="s">
        <v>4571</v>
      </c>
      <c r="I314" s="70" t="s">
        <v>4572</v>
      </c>
      <c r="J314" s="70" t="s">
        <v>4573</v>
      </c>
      <c r="K314" s="687" t="s">
        <v>4574</v>
      </c>
      <c r="L314" s="346" t="s">
        <v>4575</v>
      </c>
      <c r="M314" s="109" t="s">
        <v>4576</v>
      </c>
      <c r="N314" s="346" t="s">
        <v>4577</v>
      </c>
      <c r="O314" s="109" t="s">
        <v>4578</v>
      </c>
      <c r="P314" s="346" t="s">
        <v>4579</v>
      </c>
      <c r="Q314" s="109" t="s">
        <v>4580</v>
      </c>
      <c r="R314" s="346" t="s">
        <v>4581</v>
      </c>
      <c r="S314" s="109" t="s">
        <v>4582</v>
      </c>
      <c r="T314" s="346" t="s">
        <v>4583</v>
      </c>
      <c r="U314" s="109" t="s">
        <v>4584</v>
      </c>
      <c r="V314" s="346" t="s">
        <v>4585</v>
      </c>
      <c r="W314" s="109" t="s">
        <v>4586</v>
      </c>
      <c r="X314" s="346" t="s">
        <v>4587</v>
      </c>
      <c r="Y314" s="109" t="s">
        <v>4588</v>
      </c>
      <c r="Z314" s="346" t="s">
        <v>4589</v>
      </c>
      <c r="AA314" s="109" t="s">
        <v>4590</v>
      </c>
      <c r="AB314" s="346" t="s">
        <v>4591</v>
      </c>
      <c r="AC314" s="109" t="s">
        <v>4592</v>
      </c>
      <c r="AD314" s="346" t="s">
        <v>4593</v>
      </c>
      <c r="AE314" s="311" t="s">
        <v>4594</v>
      </c>
      <c r="AF314" s="70" t="s">
        <v>4595</v>
      </c>
      <c r="AG314" s="70" t="s">
        <v>4596</v>
      </c>
      <c r="AH314" s="70" t="s">
        <v>4597</v>
      </c>
      <c r="AI314" s="70" t="s">
        <v>4598</v>
      </c>
      <c r="AJ314" s="70" t="s">
        <v>4599</v>
      </c>
      <c r="AK314" s="70" t="s">
        <v>4600</v>
      </c>
      <c r="AL314" s="70" t="s">
        <v>4601</v>
      </c>
      <c r="AM314" s="70" t="s">
        <v>4602</v>
      </c>
      <c r="AN314" s="71" t="s">
        <v>4603</v>
      </c>
      <c r="AO314" s="347" t="s">
        <v>4604</v>
      </c>
      <c r="AP314" s="347" t="s">
        <v>4605</v>
      </c>
      <c r="AQ314" s="346" t="s">
        <v>4606</v>
      </c>
      <c r="AR314" s="345" t="s">
        <v>4934</v>
      </c>
      <c r="AS314" s="70" t="s">
        <v>4935</v>
      </c>
      <c r="AT314" s="345" t="s">
        <v>4936</v>
      </c>
      <c r="AU314" s="368" t="s">
        <v>4937</v>
      </c>
      <c r="AV314" s="368" t="s">
        <v>5234</v>
      </c>
      <c r="AW314" s="346" t="s">
        <v>5235</v>
      </c>
      <c r="AX314" t="e">
        <f t="shared" si="214"/>
        <v>#VALUE!</v>
      </c>
      <c r="CB314" s="135" t="e">
        <f t="shared" si="221"/>
        <v>#VALUE!</v>
      </c>
      <c r="CC314" s="2946" t="str">
        <f t="shared" si="222"/>
        <v xml:space="preserve">  * La variable Trans (Masculino) No puede ser mayor al Total Mujeres.</v>
      </c>
      <c r="CD314" s="1869"/>
      <c r="CE314" s="2946" t="str">
        <f t="shared" si="223"/>
        <v xml:space="preserve">  * La variable Pueblos originarios No puede ser mayor al Total.</v>
      </c>
      <c r="CF314" s="2946" t="str">
        <f t="shared" si="224"/>
        <v xml:space="preserve">  * La variable Migrantes No puede ser mayor al Total.</v>
      </c>
      <c r="CG314" s="2946" t="str">
        <f t="shared" si="225"/>
        <v xml:space="preserve">  * La variable Niños, Niñas, adolescentes y jóvenes SENAME No puede ser mayor al Total.</v>
      </c>
      <c r="CH314" s="2946" t="str">
        <f t="shared" si="226"/>
        <v xml:space="preserve">  * La variable Niños, Niñas, adolescentes y jóvenes Mejor Niñez No puede ser mayor al Total.</v>
      </c>
      <c r="CP314" s="1867" t="e">
        <f t="shared" si="215"/>
        <v>#VALUE!</v>
      </c>
      <c r="CQ314" s="1867">
        <f t="shared" si="216"/>
        <v>1</v>
      </c>
      <c r="CR314" s="2673"/>
      <c r="CS314" s="1867">
        <f t="shared" si="217"/>
        <v>1</v>
      </c>
      <c r="CT314" s="1867">
        <f t="shared" si="218"/>
        <v>1</v>
      </c>
      <c r="CU314" s="1867">
        <f t="shared" si="219"/>
        <v>1</v>
      </c>
      <c r="CV314" s="1867">
        <f t="shared" si="220"/>
        <v>1</v>
      </c>
    </row>
    <row r="315" spans="1:100" ht="15" customHeight="1" x14ac:dyDescent="0.25">
      <c r="A315" s="5677" t="s">
        <v>5159</v>
      </c>
      <c r="B315" s="6635"/>
      <c r="C315" s="516" t="s">
        <v>931</v>
      </c>
      <c r="D315" s="482" t="s">
        <v>4567</v>
      </c>
      <c r="E315" s="314" t="s">
        <v>4568</v>
      </c>
      <c r="F315" s="386" t="s">
        <v>4569</v>
      </c>
      <c r="G315" s="661" t="s">
        <v>4570</v>
      </c>
      <c r="H315" s="662" t="s">
        <v>4571</v>
      </c>
      <c r="I315" s="662" t="s">
        <v>4572</v>
      </c>
      <c r="J315" s="662" t="s">
        <v>4573</v>
      </c>
      <c r="K315" s="689" t="s">
        <v>4574</v>
      </c>
      <c r="L315" s="387" t="s">
        <v>4575</v>
      </c>
      <c r="M315" s="558" t="s">
        <v>4576</v>
      </c>
      <c r="N315" s="387" t="s">
        <v>4577</v>
      </c>
      <c r="O315" s="558" t="s">
        <v>4578</v>
      </c>
      <c r="P315" s="387" t="s">
        <v>4579</v>
      </c>
      <c r="Q315" s="558" t="s">
        <v>4580</v>
      </c>
      <c r="R315" s="387" t="s">
        <v>4581</v>
      </c>
      <c r="S315" s="558" t="s">
        <v>4582</v>
      </c>
      <c r="T315" s="387" t="s">
        <v>4583</v>
      </c>
      <c r="U315" s="558" t="s">
        <v>4584</v>
      </c>
      <c r="V315" s="387" t="s">
        <v>4585</v>
      </c>
      <c r="W315" s="558" t="s">
        <v>4586</v>
      </c>
      <c r="X315" s="387" t="s">
        <v>4587</v>
      </c>
      <c r="Y315" s="558" t="s">
        <v>4588</v>
      </c>
      <c r="Z315" s="387" t="s">
        <v>4589</v>
      </c>
      <c r="AA315" s="558" t="s">
        <v>4590</v>
      </c>
      <c r="AB315" s="387" t="s">
        <v>4591</v>
      </c>
      <c r="AC315" s="558" t="s">
        <v>4592</v>
      </c>
      <c r="AD315" s="387" t="s">
        <v>4593</v>
      </c>
      <c r="AE315" s="661" t="s">
        <v>4594</v>
      </c>
      <c r="AF315" s="662" t="s">
        <v>4595</v>
      </c>
      <c r="AG315" s="662" t="s">
        <v>4596</v>
      </c>
      <c r="AH315" s="662" t="s">
        <v>4597</v>
      </c>
      <c r="AI315" s="662" t="s">
        <v>4598</v>
      </c>
      <c r="AJ315" s="662" t="s">
        <v>4599</v>
      </c>
      <c r="AK315" s="662" t="s">
        <v>4600</v>
      </c>
      <c r="AL315" s="662" t="s">
        <v>4601</v>
      </c>
      <c r="AM315" s="662" t="s">
        <v>4602</v>
      </c>
      <c r="AN315" s="663" t="s">
        <v>4603</v>
      </c>
      <c r="AO315" s="428" t="s">
        <v>4604</v>
      </c>
      <c r="AP315" s="428" t="s">
        <v>4605</v>
      </c>
      <c r="AQ315" s="387" t="s">
        <v>4606</v>
      </c>
      <c r="AR315" s="379" t="s">
        <v>4934</v>
      </c>
      <c r="AS315" s="662" t="s">
        <v>4935</v>
      </c>
      <c r="AT315" s="379" t="s">
        <v>4936</v>
      </c>
      <c r="AU315" s="371" t="s">
        <v>4937</v>
      </c>
      <c r="AV315" s="371" t="s">
        <v>5234</v>
      </c>
      <c r="AW315" s="387" t="s">
        <v>5235</v>
      </c>
      <c r="AX315" t="e">
        <f t="shared" si="214"/>
        <v>#VALUE!</v>
      </c>
      <c r="CB315" s="135" t="e">
        <f t="shared" si="221"/>
        <v>#VALUE!</v>
      </c>
      <c r="CC315" s="2946" t="str">
        <f t="shared" si="222"/>
        <v xml:space="preserve">  * La variable Trans (Masculino) No puede ser mayor al Total Mujeres.</v>
      </c>
      <c r="CD315" s="1869"/>
      <c r="CE315" s="2946" t="str">
        <f t="shared" si="223"/>
        <v xml:space="preserve">  * La variable Pueblos originarios No puede ser mayor al Total.</v>
      </c>
      <c r="CF315" s="2946" t="str">
        <f t="shared" si="224"/>
        <v xml:space="preserve">  * La variable Migrantes No puede ser mayor al Total.</v>
      </c>
      <c r="CG315" s="2946" t="str">
        <f t="shared" si="225"/>
        <v xml:space="preserve">  * La variable Niños, Niñas, adolescentes y jóvenes SENAME No puede ser mayor al Total.</v>
      </c>
      <c r="CH315" s="2946" t="str">
        <f t="shared" si="226"/>
        <v xml:space="preserve">  * La variable Niños, Niñas, adolescentes y jóvenes Mejor Niñez No puede ser mayor al Total.</v>
      </c>
      <c r="CP315" s="1867" t="e">
        <f t="shared" si="215"/>
        <v>#VALUE!</v>
      </c>
      <c r="CQ315" s="1867">
        <f t="shared" si="216"/>
        <v>1</v>
      </c>
      <c r="CR315" s="2673"/>
      <c r="CS315" s="1867">
        <f t="shared" si="217"/>
        <v>1</v>
      </c>
      <c r="CT315" s="1867">
        <f t="shared" si="218"/>
        <v>1</v>
      </c>
      <c r="CU315" s="1867">
        <f t="shared" si="219"/>
        <v>1</v>
      </c>
      <c r="CV315" s="1867">
        <f t="shared" si="220"/>
        <v>1</v>
      </c>
    </row>
    <row r="316" spans="1:100" ht="15" customHeight="1" x14ac:dyDescent="0.25">
      <c r="A316" s="5677" t="s">
        <v>5160</v>
      </c>
      <c r="B316" s="6636" t="s">
        <v>932</v>
      </c>
      <c r="C316" s="491" t="s">
        <v>923</v>
      </c>
      <c r="D316" s="308" t="s">
        <v>4567</v>
      </c>
      <c r="E316" s="641" t="s">
        <v>4568</v>
      </c>
      <c r="F316" s="108" t="s">
        <v>4569</v>
      </c>
      <c r="G316" s="708" t="s">
        <v>4570</v>
      </c>
      <c r="H316" s="709" t="s">
        <v>4571</v>
      </c>
      <c r="I316" s="710" t="s">
        <v>4572</v>
      </c>
      <c r="J316" s="709" t="s">
        <v>4573</v>
      </c>
      <c r="K316" s="710" t="s">
        <v>4574</v>
      </c>
      <c r="L316" s="622" t="s">
        <v>4575</v>
      </c>
      <c r="M316" s="711" t="s">
        <v>4576</v>
      </c>
      <c r="N316" s="709" t="s">
        <v>4577</v>
      </c>
      <c r="O316" s="710" t="s">
        <v>4578</v>
      </c>
      <c r="P316" s="712" t="s">
        <v>4579</v>
      </c>
      <c r="Q316" s="708" t="s">
        <v>4580</v>
      </c>
      <c r="R316" s="709" t="s">
        <v>4581</v>
      </c>
      <c r="S316" s="710" t="s">
        <v>4582</v>
      </c>
      <c r="T316" s="712" t="s">
        <v>4583</v>
      </c>
      <c r="U316" s="708" t="s">
        <v>4584</v>
      </c>
      <c r="V316" s="709" t="s">
        <v>4585</v>
      </c>
      <c r="W316" s="710" t="s">
        <v>4586</v>
      </c>
      <c r="X316" s="712" t="s">
        <v>4587</v>
      </c>
      <c r="Y316" s="708" t="s">
        <v>4588</v>
      </c>
      <c r="Z316" s="709" t="s">
        <v>4589</v>
      </c>
      <c r="AA316" s="710" t="s">
        <v>4590</v>
      </c>
      <c r="AB316" s="712" t="s">
        <v>4591</v>
      </c>
      <c r="AC316" s="708" t="s">
        <v>4592</v>
      </c>
      <c r="AD316" s="709" t="s">
        <v>4593</v>
      </c>
      <c r="AE316" s="710" t="s">
        <v>4594</v>
      </c>
      <c r="AF316" s="712" t="s">
        <v>4595</v>
      </c>
      <c r="AG316" s="708" t="s">
        <v>4596</v>
      </c>
      <c r="AH316" s="709" t="s">
        <v>4597</v>
      </c>
      <c r="AI316" s="710" t="s">
        <v>4598</v>
      </c>
      <c r="AJ316" s="712" t="s">
        <v>4599</v>
      </c>
      <c r="AK316" s="708" t="s">
        <v>4600</v>
      </c>
      <c r="AL316" s="709" t="s">
        <v>4601</v>
      </c>
      <c r="AM316" s="710" t="s">
        <v>4602</v>
      </c>
      <c r="AN316" s="713" t="s">
        <v>4603</v>
      </c>
      <c r="AO316" s="476" t="s">
        <v>4604</v>
      </c>
      <c r="AP316" s="22" t="s">
        <v>4605</v>
      </c>
      <c r="AQ316" s="107" t="s">
        <v>4606</v>
      </c>
      <c r="AR316" s="290" t="s">
        <v>4934</v>
      </c>
      <c r="AS316" s="107" t="s">
        <v>4935</v>
      </c>
      <c r="AT316" s="290" t="s">
        <v>4936</v>
      </c>
      <c r="AU316" s="531" t="s">
        <v>4937</v>
      </c>
      <c r="AV316" s="531" t="s">
        <v>5234</v>
      </c>
      <c r="AW316" s="107" t="s">
        <v>5235</v>
      </c>
      <c r="AX316" t="e">
        <f t="shared" si="214"/>
        <v>#VALUE!</v>
      </c>
      <c r="CB316" s="135" t="e">
        <f>IF((AP316+AQ316)&gt;AO316," * Los Egresos Por Alta + Egresos Por Abandono no pueden ser mayor que el Total de Egresos.","")</f>
        <v>#VALUE!</v>
      </c>
      <c r="CC316" s="2946" t="str">
        <f t="shared" si="222"/>
        <v xml:space="preserve">  * La variable Trans (Masculino) No puede ser mayor al Total Mujeres.</v>
      </c>
      <c r="CD316" s="2946" t="str">
        <f t="shared" ref="CD316:CD324" si="227">IF(AND(E316&gt;0,OR(AS316=""))," * No olvide digitar la variable Trans (Femenino). Digite Cero si no tiene.",IF(AS316&gt;E316,"  * La variable Trans (Femenino) No puede ser mayor al Total Hombres.",""))</f>
        <v xml:space="preserve">  * La variable Trans (Femenino) No puede ser mayor al Total Hombres.</v>
      </c>
      <c r="CE316" s="2946" t="str">
        <f t="shared" si="223"/>
        <v xml:space="preserve">  * La variable Pueblos originarios No puede ser mayor al Total.</v>
      </c>
      <c r="CF316" s="2946" t="str">
        <f t="shared" si="224"/>
        <v xml:space="preserve">  * La variable Migrantes No puede ser mayor al Total.</v>
      </c>
      <c r="CG316" s="2946" t="str">
        <f t="shared" si="225"/>
        <v xml:space="preserve">  * La variable Niños, Niñas, adolescentes y jóvenes SENAME No puede ser mayor al Total.</v>
      </c>
      <c r="CH316" s="2946" t="str">
        <f t="shared" si="226"/>
        <v xml:space="preserve">  * La variable Niños, Niñas, adolescentes y jóvenes Mejor Niñez No puede ser mayor al Total.</v>
      </c>
      <c r="CP316" s="1867" t="e">
        <f t="shared" si="215"/>
        <v>#VALUE!</v>
      </c>
      <c r="CQ316" s="1867">
        <f t="shared" si="216"/>
        <v>1</v>
      </c>
      <c r="CR316" s="1867">
        <f t="shared" ref="CR316:CR324" si="228">IF(AND(E316&gt;0,OR(AS316="")),1,IF(AS316&gt;E316,1,0))</f>
        <v>1</v>
      </c>
      <c r="CS316" s="1867">
        <f t="shared" si="217"/>
        <v>1</v>
      </c>
      <c r="CT316" s="1867">
        <f t="shared" si="218"/>
        <v>1</v>
      </c>
      <c r="CU316" s="1867">
        <f t="shared" si="219"/>
        <v>1</v>
      </c>
      <c r="CV316" s="1867">
        <f t="shared" si="220"/>
        <v>1</v>
      </c>
    </row>
    <row r="317" spans="1:100" ht="15" customHeight="1" x14ac:dyDescent="0.25">
      <c r="A317" s="5677" t="s">
        <v>5161</v>
      </c>
      <c r="B317" s="6230"/>
      <c r="C317" s="250" t="s">
        <v>924</v>
      </c>
      <c r="D317" s="299" t="s">
        <v>4567</v>
      </c>
      <c r="E317" s="573" t="s">
        <v>4568</v>
      </c>
      <c r="F317" s="108" t="s">
        <v>4569</v>
      </c>
      <c r="G317" s="290" t="s">
        <v>4570</v>
      </c>
      <c r="H317" s="622" t="s">
        <v>4571</v>
      </c>
      <c r="I317" s="290" t="s">
        <v>4572</v>
      </c>
      <c r="J317" s="622" t="s">
        <v>4573</v>
      </c>
      <c r="K317" s="290" t="s">
        <v>4574</v>
      </c>
      <c r="L317" s="622" t="s">
        <v>4575</v>
      </c>
      <c r="M317" s="290" t="s">
        <v>4576</v>
      </c>
      <c r="N317" s="622" t="s">
        <v>4577</v>
      </c>
      <c r="O317" s="22" t="s">
        <v>4578</v>
      </c>
      <c r="P317" s="714" t="s">
        <v>4579</v>
      </c>
      <c r="Q317" s="290" t="s">
        <v>4580</v>
      </c>
      <c r="R317" s="622" t="s">
        <v>4581</v>
      </c>
      <c r="S317" s="22" t="s">
        <v>4582</v>
      </c>
      <c r="T317" s="714" t="s">
        <v>4583</v>
      </c>
      <c r="U317" s="290" t="s">
        <v>4584</v>
      </c>
      <c r="V317" s="622" t="s">
        <v>4585</v>
      </c>
      <c r="W317" s="22" t="s">
        <v>4586</v>
      </c>
      <c r="X317" s="714" t="s">
        <v>4587</v>
      </c>
      <c r="Y317" s="290" t="s">
        <v>4588</v>
      </c>
      <c r="Z317" s="622" t="s">
        <v>4589</v>
      </c>
      <c r="AA317" s="22" t="s">
        <v>4590</v>
      </c>
      <c r="AB317" s="714" t="s">
        <v>4591</v>
      </c>
      <c r="AC317" s="290" t="s">
        <v>4592</v>
      </c>
      <c r="AD317" s="622" t="s">
        <v>4593</v>
      </c>
      <c r="AE317" s="22" t="s">
        <v>4594</v>
      </c>
      <c r="AF317" s="714" t="s">
        <v>4595</v>
      </c>
      <c r="AG317" s="290" t="s">
        <v>4596</v>
      </c>
      <c r="AH317" s="622" t="s">
        <v>4597</v>
      </c>
      <c r="AI317" s="22" t="s">
        <v>4598</v>
      </c>
      <c r="AJ317" s="714" t="s">
        <v>4599</v>
      </c>
      <c r="AK317" s="290" t="s">
        <v>4600</v>
      </c>
      <c r="AL317" s="622" t="s">
        <v>4601</v>
      </c>
      <c r="AM317" s="22" t="s">
        <v>4602</v>
      </c>
      <c r="AN317" s="430" t="s">
        <v>4603</v>
      </c>
      <c r="AO317" s="22" t="s">
        <v>4604</v>
      </c>
      <c r="AP317" s="22" t="s">
        <v>4605</v>
      </c>
      <c r="AQ317" s="107" t="s">
        <v>4606</v>
      </c>
      <c r="AR317" s="290" t="s">
        <v>4934</v>
      </c>
      <c r="AS317" s="107" t="s">
        <v>4935</v>
      </c>
      <c r="AT317" s="290" t="s">
        <v>4936</v>
      </c>
      <c r="AU317" s="531" t="s">
        <v>4937</v>
      </c>
      <c r="AV317" s="531" t="s">
        <v>5234</v>
      </c>
      <c r="AW317" s="107" t="s">
        <v>5235</v>
      </c>
      <c r="AX317" t="e">
        <f t="shared" si="214"/>
        <v>#VALUE!</v>
      </c>
      <c r="CB317" s="135" t="e">
        <f t="shared" si="221"/>
        <v>#VALUE!</v>
      </c>
      <c r="CC317" s="2946" t="str">
        <f t="shared" si="222"/>
        <v xml:space="preserve">  * La variable Trans (Masculino) No puede ser mayor al Total Mujeres.</v>
      </c>
      <c r="CD317" s="2946" t="str">
        <f t="shared" si="227"/>
        <v xml:space="preserve">  * La variable Trans (Femenino) No puede ser mayor al Total Hombres.</v>
      </c>
      <c r="CE317" s="2946" t="str">
        <f t="shared" si="223"/>
        <v xml:space="preserve">  * La variable Pueblos originarios No puede ser mayor al Total.</v>
      </c>
      <c r="CF317" s="2946" t="str">
        <f t="shared" si="224"/>
        <v xml:space="preserve">  * La variable Migrantes No puede ser mayor al Total.</v>
      </c>
      <c r="CG317" s="2946" t="str">
        <f t="shared" si="225"/>
        <v xml:space="preserve">  * La variable Niños, Niñas, adolescentes y jóvenes SENAME No puede ser mayor al Total.</v>
      </c>
      <c r="CH317" s="2946" t="str">
        <f t="shared" si="226"/>
        <v xml:space="preserve">  * La variable Niños, Niñas, adolescentes y jóvenes Mejor Niñez No puede ser mayor al Total.</v>
      </c>
      <c r="CP317" s="1867" t="e">
        <f t="shared" si="215"/>
        <v>#VALUE!</v>
      </c>
      <c r="CQ317" s="1867">
        <f t="shared" si="216"/>
        <v>1</v>
      </c>
      <c r="CR317" s="1867">
        <f t="shared" si="228"/>
        <v>1</v>
      </c>
      <c r="CS317" s="1867">
        <f t="shared" si="217"/>
        <v>1</v>
      </c>
      <c r="CT317" s="1867">
        <f t="shared" si="218"/>
        <v>1</v>
      </c>
      <c r="CU317" s="1867">
        <f t="shared" si="219"/>
        <v>1</v>
      </c>
      <c r="CV317" s="1867">
        <f t="shared" si="220"/>
        <v>1</v>
      </c>
    </row>
    <row r="318" spans="1:100" ht="15" customHeight="1" x14ac:dyDescent="0.25">
      <c r="A318" s="5677" t="s">
        <v>5162</v>
      </c>
      <c r="B318" s="6230"/>
      <c r="C318" s="343" t="s">
        <v>925</v>
      </c>
      <c r="D318" s="477" t="s">
        <v>4567</v>
      </c>
      <c r="E318" s="575" t="s">
        <v>4568</v>
      </c>
      <c r="F318" s="499" t="s">
        <v>4569</v>
      </c>
      <c r="G318" s="345" t="s">
        <v>4570</v>
      </c>
      <c r="H318" s="349" t="s">
        <v>4571</v>
      </c>
      <c r="I318" s="345" t="s">
        <v>4572</v>
      </c>
      <c r="J318" s="349" t="s">
        <v>4573</v>
      </c>
      <c r="K318" s="345" t="s">
        <v>4574</v>
      </c>
      <c r="L318" s="349" t="s">
        <v>4575</v>
      </c>
      <c r="M318" s="345" t="s">
        <v>4576</v>
      </c>
      <c r="N318" s="349" t="s">
        <v>4577</v>
      </c>
      <c r="O318" s="345" t="s">
        <v>4578</v>
      </c>
      <c r="P318" s="348" t="s">
        <v>4579</v>
      </c>
      <c r="Q318" s="345" t="s">
        <v>4580</v>
      </c>
      <c r="R318" s="349" t="s">
        <v>4581</v>
      </c>
      <c r="S318" s="347" t="s">
        <v>4582</v>
      </c>
      <c r="T318" s="348" t="s">
        <v>4583</v>
      </c>
      <c r="U318" s="345" t="s">
        <v>4584</v>
      </c>
      <c r="V318" s="349" t="s">
        <v>4585</v>
      </c>
      <c r="W318" s="347" t="s">
        <v>4586</v>
      </c>
      <c r="X318" s="348" t="s">
        <v>4587</v>
      </c>
      <c r="Y318" s="345" t="s">
        <v>4588</v>
      </c>
      <c r="Z318" s="349" t="s">
        <v>4589</v>
      </c>
      <c r="AA318" s="347" t="s">
        <v>4590</v>
      </c>
      <c r="AB318" s="348" t="s">
        <v>4591</v>
      </c>
      <c r="AC318" s="345" t="s">
        <v>4592</v>
      </c>
      <c r="AD318" s="349" t="s">
        <v>4593</v>
      </c>
      <c r="AE318" s="347" t="s">
        <v>4594</v>
      </c>
      <c r="AF318" s="348" t="s">
        <v>4595</v>
      </c>
      <c r="AG318" s="345" t="s">
        <v>4596</v>
      </c>
      <c r="AH318" s="349" t="s">
        <v>4597</v>
      </c>
      <c r="AI318" s="347" t="s">
        <v>4598</v>
      </c>
      <c r="AJ318" s="348" t="s">
        <v>4599</v>
      </c>
      <c r="AK318" s="345" t="s">
        <v>4600</v>
      </c>
      <c r="AL318" s="349" t="s">
        <v>4601</v>
      </c>
      <c r="AM318" s="347" t="s">
        <v>4602</v>
      </c>
      <c r="AN318" s="351" t="s">
        <v>4603</v>
      </c>
      <c r="AO318" s="347" t="s">
        <v>4604</v>
      </c>
      <c r="AP318" s="347" t="s">
        <v>4605</v>
      </c>
      <c r="AQ318" s="346" t="s">
        <v>4606</v>
      </c>
      <c r="AR318" s="345" t="s">
        <v>4934</v>
      </c>
      <c r="AS318" s="346" t="s">
        <v>4935</v>
      </c>
      <c r="AT318" s="345" t="s">
        <v>4936</v>
      </c>
      <c r="AU318" s="368" t="s">
        <v>4937</v>
      </c>
      <c r="AV318" s="368" t="s">
        <v>5234</v>
      </c>
      <c r="AW318" s="346" t="s">
        <v>5235</v>
      </c>
      <c r="AX318" t="e">
        <f t="shared" si="214"/>
        <v>#VALUE!</v>
      </c>
      <c r="CB318" s="135" t="e">
        <f t="shared" si="221"/>
        <v>#VALUE!</v>
      </c>
      <c r="CC318" s="2946" t="str">
        <f t="shared" si="222"/>
        <v xml:space="preserve">  * La variable Trans (Masculino) No puede ser mayor al Total Mujeres.</v>
      </c>
      <c r="CD318" s="2946" t="str">
        <f t="shared" si="227"/>
        <v xml:space="preserve">  * La variable Trans (Femenino) No puede ser mayor al Total Hombres.</v>
      </c>
      <c r="CE318" s="2946" t="str">
        <f t="shared" si="223"/>
        <v xml:space="preserve">  * La variable Pueblos originarios No puede ser mayor al Total.</v>
      </c>
      <c r="CF318" s="2946" t="str">
        <f t="shared" si="224"/>
        <v xml:space="preserve">  * La variable Migrantes No puede ser mayor al Total.</v>
      </c>
      <c r="CG318" s="2946" t="str">
        <f t="shared" si="225"/>
        <v xml:space="preserve">  * La variable Niños, Niñas, adolescentes y jóvenes SENAME No puede ser mayor al Total.</v>
      </c>
      <c r="CH318" s="2946" t="str">
        <f t="shared" si="226"/>
        <v xml:space="preserve">  * La variable Niños, Niñas, adolescentes y jóvenes Mejor Niñez No puede ser mayor al Total.</v>
      </c>
      <c r="CP318" s="1867" t="e">
        <f t="shared" si="215"/>
        <v>#VALUE!</v>
      </c>
      <c r="CQ318" s="1867">
        <f t="shared" si="216"/>
        <v>1</v>
      </c>
      <c r="CR318" s="1867">
        <f t="shared" si="228"/>
        <v>1</v>
      </c>
      <c r="CS318" s="1867">
        <f t="shared" si="217"/>
        <v>1</v>
      </c>
      <c r="CT318" s="1867">
        <f t="shared" si="218"/>
        <v>1</v>
      </c>
      <c r="CU318" s="1867">
        <f t="shared" si="219"/>
        <v>1</v>
      </c>
      <c r="CV318" s="1867">
        <f t="shared" si="220"/>
        <v>1</v>
      </c>
    </row>
    <row r="319" spans="1:100" ht="15" customHeight="1" x14ac:dyDescent="0.25">
      <c r="A319" s="5677" t="s">
        <v>5163</v>
      </c>
      <c r="B319" s="6230"/>
      <c r="C319" s="343" t="s">
        <v>926</v>
      </c>
      <c r="D319" s="477" t="s">
        <v>4567</v>
      </c>
      <c r="E319" s="575" t="s">
        <v>4568</v>
      </c>
      <c r="F319" s="499" t="s">
        <v>4569</v>
      </c>
      <c r="G319" s="345" t="s">
        <v>4570</v>
      </c>
      <c r="H319" s="349" t="s">
        <v>4571</v>
      </c>
      <c r="I319" s="345" t="s">
        <v>4572</v>
      </c>
      <c r="J319" s="349" t="s">
        <v>4573</v>
      </c>
      <c r="K319" s="345" t="s">
        <v>4574</v>
      </c>
      <c r="L319" s="349" t="s">
        <v>4575</v>
      </c>
      <c r="M319" s="345" t="s">
        <v>4576</v>
      </c>
      <c r="N319" s="349" t="s">
        <v>4577</v>
      </c>
      <c r="O319" s="345" t="s">
        <v>4578</v>
      </c>
      <c r="P319" s="348" t="s">
        <v>4579</v>
      </c>
      <c r="Q319" s="345" t="s">
        <v>4580</v>
      </c>
      <c r="R319" s="349" t="s">
        <v>4581</v>
      </c>
      <c r="S319" s="347" t="s">
        <v>4582</v>
      </c>
      <c r="T319" s="348" t="s">
        <v>4583</v>
      </c>
      <c r="U319" s="345" t="s">
        <v>4584</v>
      </c>
      <c r="V319" s="349" t="s">
        <v>4585</v>
      </c>
      <c r="W319" s="347" t="s">
        <v>4586</v>
      </c>
      <c r="X319" s="348" t="s">
        <v>4587</v>
      </c>
      <c r="Y319" s="345" t="s">
        <v>4588</v>
      </c>
      <c r="Z319" s="349" t="s">
        <v>4589</v>
      </c>
      <c r="AA319" s="347" t="s">
        <v>4590</v>
      </c>
      <c r="AB319" s="348" t="s">
        <v>4591</v>
      </c>
      <c r="AC319" s="345" t="s">
        <v>4592</v>
      </c>
      <c r="AD319" s="349" t="s">
        <v>4593</v>
      </c>
      <c r="AE319" s="347" t="s">
        <v>4594</v>
      </c>
      <c r="AF319" s="348" t="s">
        <v>4595</v>
      </c>
      <c r="AG319" s="345" t="s">
        <v>4596</v>
      </c>
      <c r="AH319" s="349" t="s">
        <v>4597</v>
      </c>
      <c r="AI319" s="347" t="s">
        <v>4598</v>
      </c>
      <c r="AJ319" s="348" t="s">
        <v>4599</v>
      </c>
      <c r="AK319" s="345" t="s">
        <v>4600</v>
      </c>
      <c r="AL319" s="349" t="s">
        <v>4601</v>
      </c>
      <c r="AM319" s="347" t="s">
        <v>4602</v>
      </c>
      <c r="AN319" s="351" t="s">
        <v>4603</v>
      </c>
      <c r="AO319" s="347" t="s">
        <v>4604</v>
      </c>
      <c r="AP319" s="347" t="s">
        <v>4605</v>
      </c>
      <c r="AQ319" s="346" t="s">
        <v>4606</v>
      </c>
      <c r="AR319" s="345" t="s">
        <v>4934</v>
      </c>
      <c r="AS319" s="346" t="s">
        <v>4935</v>
      </c>
      <c r="AT319" s="345" t="s">
        <v>4936</v>
      </c>
      <c r="AU319" s="368" t="s">
        <v>4937</v>
      </c>
      <c r="AV319" s="368" t="s">
        <v>5234</v>
      </c>
      <c r="AW319" s="346" t="s">
        <v>5235</v>
      </c>
      <c r="AX319" t="e">
        <f t="shared" si="214"/>
        <v>#VALUE!</v>
      </c>
      <c r="CB319" s="135" t="e">
        <f t="shared" si="221"/>
        <v>#VALUE!</v>
      </c>
      <c r="CC319" s="2946" t="str">
        <f t="shared" si="222"/>
        <v xml:space="preserve">  * La variable Trans (Masculino) No puede ser mayor al Total Mujeres.</v>
      </c>
      <c r="CD319" s="2946" t="str">
        <f t="shared" si="227"/>
        <v xml:space="preserve">  * La variable Trans (Femenino) No puede ser mayor al Total Hombres.</v>
      </c>
      <c r="CE319" s="2946" t="str">
        <f t="shared" si="223"/>
        <v xml:space="preserve">  * La variable Pueblos originarios No puede ser mayor al Total.</v>
      </c>
      <c r="CF319" s="2946" t="str">
        <f t="shared" si="224"/>
        <v xml:space="preserve">  * La variable Migrantes No puede ser mayor al Total.</v>
      </c>
      <c r="CG319" s="2946" t="str">
        <f t="shared" si="225"/>
        <v xml:space="preserve">  * La variable Niños, Niñas, adolescentes y jóvenes SENAME No puede ser mayor al Total.</v>
      </c>
      <c r="CH319" s="2946" t="str">
        <f t="shared" si="226"/>
        <v xml:space="preserve">  * La variable Niños, Niñas, adolescentes y jóvenes Mejor Niñez No puede ser mayor al Total.</v>
      </c>
      <c r="CP319" s="1867" t="e">
        <f t="shared" si="215"/>
        <v>#VALUE!</v>
      </c>
      <c r="CQ319" s="1867">
        <f t="shared" si="216"/>
        <v>1</v>
      </c>
      <c r="CR319" s="1867">
        <f t="shared" si="228"/>
        <v>1</v>
      </c>
      <c r="CS319" s="1867">
        <f t="shared" si="217"/>
        <v>1</v>
      </c>
      <c r="CT319" s="1867">
        <f t="shared" si="218"/>
        <v>1</v>
      </c>
      <c r="CU319" s="1867">
        <f t="shared" si="219"/>
        <v>1</v>
      </c>
      <c r="CV319" s="1867">
        <f t="shared" si="220"/>
        <v>1</v>
      </c>
    </row>
    <row r="320" spans="1:100" ht="15" customHeight="1" x14ac:dyDescent="0.25">
      <c r="A320" s="5677" t="s">
        <v>5164</v>
      </c>
      <c r="B320" s="6230"/>
      <c r="C320" s="343" t="s">
        <v>927</v>
      </c>
      <c r="D320" s="477" t="s">
        <v>4567</v>
      </c>
      <c r="E320" s="575" t="s">
        <v>4568</v>
      </c>
      <c r="F320" s="499" t="s">
        <v>4569</v>
      </c>
      <c r="G320" s="345" t="s">
        <v>4570</v>
      </c>
      <c r="H320" s="349" t="s">
        <v>4571</v>
      </c>
      <c r="I320" s="345" t="s">
        <v>4572</v>
      </c>
      <c r="J320" s="349" t="s">
        <v>4573</v>
      </c>
      <c r="K320" s="345" t="s">
        <v>4574</v>
      </c>
      <c r="L320" s="349" t="s">
        <v>4575</v>
      </c>
      <c r="M320" s="345" t="s">
        <v>4576</v>
      </c>
      <c r="N320" s="349" t="s">
        <v>4577</v>
      </c>
      <c r="O320" s="345" t="s">
        <v>4578</v>
      </c>
      <c r="P320" s="348" t="s">
        <v>4579</v>
      </c>
      <c r="Q320" s="345" t="s">
        <v>4580</v>
      </c>
      <c r="R320" s="349" t="s">
        <v>4581</v>
      </c>
      <c r="S320" s="347" t="s">
        <v>4582</v>
      </c>
      <c r="T320" s="348" t="s">
        <v>4583</v>
      </c>
      <c r="U320" s="345" t="s">
        <v>4584</v>
      </c>
      <c r="V320" s="349" t="s">
        <v>4585</v>
      </c>
      <c r="W320" s="347" t="s">
        <v>4586</v>
      </c>
      <c r="X320" s="348" t="s">
        <v>4587</v>
      </c>
      <c r="Y320" s="345" t="s">
        <v>4588</v>
      </c>
      <c r="Z320" s="349" t="s">
        <v>4589</v>
      </c>
      <c r="AA320" s="347" t="s">
        <v>4590</v>
      </c>
      <c r="AB320" s="348" t="s">
        <v>4591</v>
      </c>
      <c r="AC320" s="345" t="s">
        <v>4592</v>
      </c>
      <c r="AD320" s="349" t="s">
        <v>4593</v>
      </c>
      <c r="AE320" s="347" t="s">
        <v>4594</v>
      </c>
      <c r="AF320" s="348" t="s">
        <v>4595</v>
      </c>
      <c r="AG320" s="345" t="s">
        <v>4596</v>
      </c>
      <c r="AH320" s="349" t="s">
        <v>4597</v>
      </c>
      <c r="AI320" s="347" t="s">
        <v>4598</v>
      </c>
      <c r="AJ320" s="348" t="s">
        <v>4599</v>
      </c>
      <c r="AK320" s="345" t="s">
        <v>4600</v>
      </c>
      <c r="AL320" s="349" t="s">
        <v>4601</v>
      </c>
      <c r="AM320" s="347" t="s">
        <v>4602</v>
      </c>
      <c r="AN320" s="351" t="s">
        <v>4603</v>
      </c>
      <c r="AO320" s="347" t="s">
        <v>4604</v>
      </c>
      <c r="AP320" s="347" t="s">
        <v>4605</v>
      </c>
      <c r="AQ320" s="346" t="s">
        <v>4606</v>
      </c>
      <c r="AR320" s="345" t="s">
        <v>4934</v>
      </c>
      <c r="AS320" s="346" t="s">
        <v>4935</v>
      </c>
      <c r="AT320" s="345" t="s">
        <v>4936</v>
      </c>
      <c r="AU320" s="368" t="s">
        <v>4937</v>
      </c>
      <c r="AV320" s="368" t="s">
        <v>5234</v>
      </c>
      <c r="AW320" s="346" t="s">
        <v>5235</v>
      </c>
      <c r="AX320" t="e">
        <f t="shared" si="214"/>
        <v>#VALUE!</v>
      </c>
      <c r="CB320" s="135" t="e">
        <f t="shared" si="221"/>
        <v>#VALUE!</v>
      </c>
      <c r="CC320" s="2946" t="str">
        <f t="shared" si="222"/>
        <v xml:space="preserve">  * La variable Trans (Masculino) No puede ser mayor al Total Mujeres.</v>
      </c>
      <c r="CD320" s="2946" t="str">
        <f t="shared" si="227"/>
        <v xml:space="preserve">  * La variable Trans (Femenino) No puede ser mayor al Total Hombres.</v>
      </c>
      <c r="CE320" s="2946" t="str">
        <f t="shared" si="223"/>
        <v xml:space="preserve">  * La variable Pueblos originarios No puede ser mayor al Total.</v>
      </c>
      <c r="CF320" s="2946" t="str">
        <f t="shared" si="224"/>
        <v xml:space="preserve">  * La variable Migrantes No puede ser mayor al Total.</v>
      </c>
      <c r="CG320" s="2946" t="str">
        <f t="shared" si="225"/>
        <v xml:space="preserve">  * La variable Niños, Niñas, adolescentes y jóvenes SENAME No puede ser mayor al Total.</v>
      </c>
      <c r="CH320" s="2946" t="str">
        <f t="shared" si="226"/>
        <v xml:space="preserve">  * La variable Niños, Niñas, adolescentes y jóvenes Mejor Niñez No puede ser mayor al Total.</v>
      </c>
      <c r="CP320" s="1867" t="e">
        <f t="shared" si="215"/>
        <v>#VALUE!</v>
      </c>
      <c r="CQ320" s="1867">
        <f t="shared" si="216"/>
        <v>1</v>
      </c>
      <c r="CR320" s="1867">
        <f t="shared" si="228"/>
        <v>1</v>
      </c>
      <c r="CS320" s="1867">
        <f t="shared" si="217"/>
        <v>1</v>
      </c>
      <c r="CT320" s="1867">
        <f t="shared" si="218"/>
        <v>1</v>
      </c>
      <c r="CU320" s="1867">
        <f t="shared" si="219"/>
        <v>1</v>
      </c>
      <c r="CV320" s="1867">
        <f t="shared" si="220"/>
        <v>1</v>
      </c>
    </row>
    <row r="321" spans="1:100" ht="15" customHeight="1" x14ac:dyDescent="0.25">
      <c r="A321" s="5677" t="s">
        <v>5165</v>
      </c>
      <c r="B321" s="6230"/>
      <c r="C321" s="343" t="s">
        <v>928</v>
      </c>
      <c r="D321" s="477" t="s">
        <v>4567</v>
      </c>
      <c r="E321" s="575" t="s">
        <v>4568</v>
      </c>
      <c r="F321" s="499" t="s">
        <v>4569</v>
      </c>
      <c r="G321" s="345" t="s">
        <v>4570</v>
      </c>
      <c r="H321" s="349" t="s">
        <v>4571</v>
      </c>
      <c r="I321" s="345" t="s">
        <v>4572</v>
      </c>
      <c r="J321" s="349" t="s">
        <v>4573</v>
      </c>
      <c r="K321" s="345" t="s">
        <v>4574</v>
      </c>
      <c r="L321" s="349" t="s">
        <v>4575</v>
      </c>
      <c r="M321" s="345" t="s">
        <v>4576</v>
      </c>
      <c r="N321" s="349" t="s">
        <v>4577</v>
      </c>
      <c r="O321" s="345" t="s">
        <v>4578</v>
      </c>
      <c r="P321" s="348" t="s">
        <v>4579</v>
      </c>
      <c r="Q321" s="345" t="s">
        <v>4580</v>
      </c>
      <c r="R321" s="349" t="s">
        <v>4581</v>
      </c>
      <c r="S321" s="347" t="s">
        <v>4582</v>
      </c>
      <c r="T321" s="348" t="s">
        <v>4583</v>
      </c>
      <c r="U321" s="345" t="s">
        <v>4584</v>
      </c>
      <c r="V321" s="349" t="s">
        <v>4585</v>
      </c>
      <c r="W321" s="347" t="s">
        <v>4586</v>
      </c>
      <c r="X321" s="348" t="s">
        <v>4587</v>
      </c>
      <c r="Y321" s="345" t="s">
        <v>4588</v>
      </c>
      <c r="Z321" s="349" t="s">
        <v>4589</v>
      </c>
      <c r="AA321" s="347" t="s">
        <v>4590</v>
      </c>
      <c r="AB321" s="348" t="s">
        <v>4591</v>
      </c>
      <c r="AC321" s="345" t="s">
        <v>4592</v>
      </c>
      <c r="AD321" s="349" t="s">
        <v>4593</v>
      </c>
      <c r="AE321" s="347" t="s">
        <v>4594</v>
      </c>
      <c r="AF321" s="348" t="s">
        <v>4595</v>
      </c>
      <c r="AG321" s="345" t="s">
        <v>4596</v>
      </c>
      <c r="AH321" s="349" t="s">
        <v>4597</v>
      </c>
      <c r="AI321" s="347" t="s">
        <v>4598</v>
      </c>
      <c r="AJ321" s="348" t="s">
        <v>4599</v>
      </c>
      <c r="AK321" s="345" t="s">
        <v>4600</v>
      </c>
      <c r="AL321" s="349" t="s">
        <v>4601</v>
      </c>
      <c r="AM321" s="347" t="s">
        <v>4602</v>
      </c>
      <c r="AN321" s="351" t="s">
        <v>4603</v>
      </c>
      <c r="AO321" s="347" t="s">
        <v>4604</v>
      </c>
      <c r="AP321" s="347" t="s">
        <v>4605</v>
      </c>
      <c r="AQ321" s="346" t="s">
        <v>4606</v>
      </c>
      <c r="AR321" s="345" t="s">
        <v>4934</v>
      </c>
      <c r="AS321" s="346" t="s">
        <v>4935</v>
      </c>
      <c r="AT321" s="345" t="s">
        <v>4936</v>
      </c>
      <c r="AU321" s="368" t="s">
        <v>4937</v>
      </c>
      <c r="AV321" s="368" t="s">
        <v>5234</v>
      </c>
      <c r="AW321" s="346" t="s">
        <v>5235</v>
      </c>
      <c r="AX321" t="e">
        <f t="shared" si="214"/>
        <v>#VALUE!</v>
      </c>
      <c r="CB321" s="135" t="e">
        <f t="shared" si="221"/>
        <v>#VALUE!</v>
      </c>
      <c r="CC321" s="2946" t="str">
        <f t="shared" si="222"/>
        <v xml:space="preserve">  * La variable Trans (Masculino) No puede ser mayor al Total Mujeres.</v>
      </c>
      <c r="CD321" s="2946" t="str">
        <f t="shared" si="227"/>
        <v xml:space="preserve">  * La variable Trans (Femenino) No puede ser mayor al Total Hombres.</v>
      </c>
      <c r="CE321" s="2946" t="str">
        <f t="shared" si="223"/>
        <v xml:space="preserve">  * La variable Pueblos originarios No puede ser mayor al Total.</v>
      </c>
      <c r="CF321" s="2946" t="str">
        <f t="shared" si="224"/>
        <v xml:space="preserve">  * La variable Migrantes No puede ser mayor al Total.</v>
      </c>
      <c r="CG321" s="2946" t="str">
        <f t="shared" si="225"/>
        <v xml:space="preserve">  * La variable Niños, Niñas, adolescentes y jóvenes SENAME No puede ser mayor al Total.</v>
      </c>
      <c r="CH321" s="2946" t="str">
        <f t="shared" si="226"/>
        <v xml:space="preserve">  * La variable Niños, Niñas, adolescentes y jóvenes Mejor Niñez No puede ser mayor al Total.</v>
      </c>
      <c r="CP321" s="1867" t="e">
        <f t="shared" si="215"/>
        <v>#VALUE!</v>
      </c>
      <c r="CQ321" s="1867">
        <f t="shared" si="216"/>
        <v>1</v>
      </c>
      <c r="CR321" s="1867">
        <f t="shared" si="228"/>
        <v>1</v>
      </c>
      <c r="CS321" s="1867">
        <f t="shared" si="217"/>
        <v>1</v>
      </c>
      <c r="CT321" s="1867">
        <f t="shared" si="218"/>
        <v>1</v>
      </c>
      <c r="CU321" s="1867">
        <f t="shared" si="219"/>
        <v>1</v>
      </c>
      <c r="CV321" s="1867">
        <f t="shared" si="220"/>
        <v>1</v>
      </c>
    </row>
    <row r="322" spans="1:100" ht="15" customHeight="1" x14ac:dyDescent="0.25">
      <c r="A322" s="5677" t="s">
        <v>5166</v>
      </c>
      <c r="B322" s="6230"/>
      <c r="C322" s="343" t="s">
        <v>929</v>
      </c>
      <c r="D322" s="477" t="s">
        <v>4567</v>
      </c>
      <c r="E322" s="575" t="s">
        <v>4568</v>
      </c>
      <c r="F322" s="499" t="s">
        <v>4569</v>
      </c>
      <c r="G322" s="345" t="s">
        <v>4570</v>
      </c>
      <c r="H322" s="349" t="s">
        <v>4571</v>
      </c>
      <c r="I322" s="345" t="s">
        <v>4572</v>
      </c>
      <c r="J322" s="349" t="s">
        <v>4573</v>
      </c>
      <c r="K322" s="345" t="s">
        <v>4574</v>
      </c>
      <c r="L322" s="349" t="s">
        <v>4575</v>
      </c>
      <c r="M322" s="345" t="s">
        <v>4576</v>
      </c>
      <c r="N322" s="349" t="s">
        <v>4577</v>
      </c>
      <c r="O322" s="345" t="s">
        <v>4578</v>
      </c>
      <c r="P322" s="348" t="s">
        <v>4579</v>
      </c>
      <c r="Q322" s="345" t="s">
        <v>4580</v>
      </c>
      <c r="R322" s="349" t="s">
        <v>4581</v>
      </c>
      <c r="S322" s="347" t="s">
        <v>4582</v>
      </c>
      <c r="T322" s="348" t="s">
        <v>4583</v>
      </c>
      <c r="U322" s="345" t="s">
        <v>4584</v>
      </c>
      <c r="V322" s="349" t="s">
        <v>4585</v>
      </c>
      <c r="W322" s="347" t="s">
        <v>4586</v>
      </c>
      <c r="X322" s="348" t="s">
        <v>4587</v>
      </c>
      <c r="Y322" s="345" t="s">
        <v>4588</v>
      </c>
      <c r="Z322" s="349" t="s">
        <v>4589</v>
      </c>
      <c r="AA322" s="347" t="s">
        <v>4590</v>
      </c>
      <c r="AB322" s="348" t="s">
        <v>4591</v>
      </c>
      <c r="AC322" s="345" t="s">
        <v>4592</v>
      </c>
      <c r="AD322" s="349" t="s">
        <v>4593</v>
      </c>
      <c r="AE322" s="347" t="s">
        <v>4594</v>
      </c>
      <c r="AF322" s="348" t="s">
        <v>4595</v>
      </c>
      <c r="AG322" s="345" t="s">
        <v>4596</v>
      </c>
      <c r="AH322" s="349" t="s">
        <v>4597</v>
      </c>
      <c r="AI322" s="347" t="s">
        <v>4598</v>
      </c>
      <c r="AJ322" s="348" t="s">
        <v>4599</v>
      </c>
      <c r="AK322" s="345" t="s">
        <v>4600</v>
      </c>
      <c r="AL322" s="349" t="s">
        <v>4601</v>
      </c>
      <c r="AM322" s="347" t="s">
        <v>4602</v>
      </c>
      <c r="AN322" s="351" t="s">
        <v>4603</v>
      </c>
      <c r="AO322" s="347" t="s">
        <v>4604</v>
      </c>
      <c r="AP322" s="347" t="s">
        <v>4605</v>
      </c>
      <c r="AQ322" s="346" t="s">
        <v>4606</v>
      </c>
      <c r="AR322" s="345" t="s">
        <v>4934</v>
      </c>
      <c r="AS322" s="346" t="s">
        <v>4935</v>
      </c>
      <c r="AT322" s="345" t="s">
        <v>4936</v>
      </c>
      <c r="AU322" s="368" t="s">
        <v>4937</v>
      </c>
      <c r="AV322" s="368" t="s">
        <v>5234</v>
      </c>
      <c r="AW322" s="346" t="s">
        <v>5235</v>
      </c>
      <c r="AX322" t="e">
        <f t="shared" si="214"/>
        <v>#VALUE!</v>
      </c>
      <c r="CB322" s="135" t="e">
        <f t="shared" si="221"/>
        <v>#VALUE!</v>
      </c>
      <c r="CC322" s="2946" t="str">
        <f t="shared" si="222"/>
        <v xml:space="preserve">  * La variable Trans (Masculino) No puede ser mayor al Total Mujeres.</v>
      </c>
      <c r="CD322" s="2946" t="str">
        <f t="shared" si="227"/>
        <v xml:space="preserve">  * La variable Trans (Femenino) No puede ser mayor al Total Hombres.</v>
      </c>
      <c r="CE322" s="2946" t="str">
        <f t="shared" si="223"/>
        <v xml:space="preserve">  * La variable Pueblos originarios No puede ser mayor al Total.</v>
      </c>
      <c r="CF322" s="2946" t="str">
        <f t="shared" si="224"/>
        <v xml:space="preserve">  * La variable Migrantes No puede ser mayor al Total.</v>
      </c>
      <c r="CG322" s="2946" t="str">
        <f t="shared" si="225"/>
        <v xml:space="preserve">  * La variable Niños, Niñas, adolescentes y jóvenes SENAME No puede ser mayor al Total.</v>
      </c>
      <c r="CH322" s="2946" t="str">
        <f t="shared" si="226"/>
        <v xml:space="preserve">  * La variable Niños, Niñas, adolescentes y jóvenes Mejor Niñez No puede ser mayor al Total.</v>
      </c>
      <c r="CP322" s="1867" t="e">
        <f t="shared" si="215"/>
        <v>#VALUE!</v>
      </c>
      <c r="CQ322" s="1867">
        <f t="shared" si="216"/>
        <v>1</v>
      </c>
      <c r="CR322" s="1867">
        <f t="shared" si="228"/>
        <v>1</v>
      </c>
      <c r="CS322" s="1867">
        <f t="shared" si="217"/>
        <v>1</v>
      </c>
      <c r="CT322" s="1867">
        <f t="shared" si="218"/>
        <v>1</v>
      </c>
      <c r="CU322" s="1867">
        <f t="shared" si="219"/>
        <v>1</v>
      </c>
      <c r="CV322" s="1867">
        <f t="shared" si="220"/>
        <v>1</v>
      </c>
    </row>
    <row r="323" spans="1:100" ht="15" customHeight="1" x14ac:dyDescent="0.25">
      <c r="A323" s="5677" t="s">
        <v>5167</v>
      </c>
      <c r="B323" s="6230"/>
      <c r="C323" s="343" t="s">
        <v>930</v>
      </c>
      <c r="D323" s="477" t="s">
        <v>4567</v>
      </c>
      <c r="E323" s="575" t="s">
        <v>4568</v>
      </c>
      <c r="F323" s="499" t="s">
        <v>4569</v>
      </c>
      <c r="G323" s="345" t="s">
        <v>4570</v>
      </c>
      <c r="H323" s="349" t="s">
        <v>4571</v>
      </c>
      <c r="I323" s="345" t="s">
        <v>4572</v>
      </c>
      <c r="J323" s="349" t="s">
        <v>4573</v>
      </c>
      <c r="K323" s="345" t="s">
        <v>4574</v>
      </c>
      <c r="L323" s="349" t="s">
        <v>4575</v>
      </c>
      <c r="M323" s="345" t="s">
        <v>4576</v>
      </c>
      <c r="N323" s="349" t="s">
        <v>4577</v>
      </c>
      <c r="O323" s="345" t="s">
        <v>4578</v>
      </c>
      <c r="P323" s="348" t="s">
        <v>4579</v>
      </c>
      <c r="Q323" s="345" t="s">
        <v>4580</v>
      </c>
      <c r="R323" s="349" t="s">
        <v>4581</v>
      </c>
      <c r="S323" s="347" t="s">
        <v>4582</v>
      </c>
      <c r="T323" s="348" t="s">
        <v>4583</v>
      </c>
      <c r="U323" s="345" t="s">
        <v>4584</v>
      </c>
      <c r="V323" s="349" t="s">
        <v>4585</v>
      </c>
      <c r="W323" s="347" t="s">
        <v>4586</v>
      </c>
      <c r="X323" s="348" t="s">
        <v>4587</v>
      </c>
      <c r="Y323" s="345" t="s">
        <v>4588</v>
      </c>
      <c r="Z323" s="349" t="s">
        <v>4589</v>
      </c>
      <c r="AA323" s="347" t="s">
        <v>4590</v>
      </c>
      <c r="AB323" s="348" t="s">
        <v>4591</v>
      </c>
      <c r="AC323" s="345" t="s">
        <v>4592</v>
      </c>
      <c r="AD323" s="349" t="s">
        <v>4593</v>
      </c>
      <c r="AE323" s="347" t="s">
        <v>4594</v>
      </c>
      <c r="AF323" s="348" t="s">
        <v>4595</v>
      </c>
      <c r="AG323" s="345" t="s">
        <v>4596</v>
      </c>
      <c r="AH323" s="349" t="s">
        <v>4597</v>
      </c>
      <c r="AI323" s="347" t="s">
        <v>4598</v>
      </c>
      <c r="AJ323" s="348" t="s">
        <v>4599</v>
      </c>
      <c r="AK323" s="345" t="s">
        <v>4600</v>
      </c>
      <c r="AL323" s="349" t="s">
        <v>4601</v>
      </c>
      <c r="AM323" s="347" t="s">
        <v>4602</v>
      </c>
      <c r="AN323" s="351" t="s">
        <v>4603</v>
      </c>
      <c r="AO323" s="347" t="s">
        <v>4604</v>
      </c>
      <c r="AP323" s="347" t="s">
        <v>4605</v>
      </c>
      <c r="AQ323" s="346" t="s">
        <v>4606</v>
      </c>
      <c r="AR323" s="345" t="s">
        <v>4934</v>
      </c>
      <c r="AS323" s="346" t="s">
        <v>4935</v>
      </c>
      <c r="AT323" s="345" t="s">
        <v>4936</v>
      </c>
      <c r="AU323" s="368" t="s">
        <v>4937</v>
      </c>
      <c r="AV323" s="368" t="s">
        <v>5234</v>
      </c>
      <c r="AW323" s="346" t="s">
        <v>5235</v>
      </c>
      <c r="AX323" t="e">
        <f t="shared" si="214"/>
        <v>#VALUE!</v>
      </c>
      <c r="CB323" s="135" t="e">
        <f t="shared" si="221"/>
        <v>#VALUE!</v>
      </c>
      <c r="CC323" s="2946" t="str">
        <f t="shared" si="222"/>
        <v xml:space="preserve">  * La variable Trans (Masculino) No puede ser mayor al Total Mujeres.</v>
      </c>
      <c r="CD323" s="2946" t="str">
        <f t="shared" si="227"/>
        <v xml:space="preserve">  * La variable Trans (Femenino) No puede ser mayor al Total Hombres.</v>
      </c>
      <c r="CE323" s="2946" t="str">
        <f t="shared" si="223"/>
        <v xml:space="preserve">  * La variable Pueblos originarios No puede ser mayor al Total.</v>
      </c>
      <c r="CF323" s="2946" t="str">
        <f t="shared" si="224"/>
        <v xml:space="preserve">  * La variable Migrantes No puede ser mayor al Total.</v>
      </c>
      <c r="CG323" s="2946" t="str">
        <f t="shared" si="225"/>
        <v xml:space="preserve">  * La variable Niños, Niñas, adolescentes y jóvenes SENAME No puede ser mayor al Total.</v>
      </c>
      <c r="CH323" s="2946" t="str">
        <f t="shared" si="226"/>
        <v xml:space="preserve">  * La variable Niños, Niñas, adolescentes y jóvenes Mejor Niñez No puede ser mayor al Total.</v>
      </c>
      <c r="CP323" s="1867" t="e">
        <f t="shared" si="215"/>
        <v>#VALUE!</v>
      </c>
      <c r="CQ323" s="1867">
        <f t="shared" si="216"/>
        <v>1</v>
      </c>
      <c r="CR323" s="1867">
        <f t="shared" si="228"/>
        <v>1</v>
      </c>
      <c r="CS323" s="1867">
        <f t="shared" si="217"/>
        <v>1</v>
      </c>
      <c r="CT323" s="1867">
        <f t="shared" si="218"/>
        <v>1</v>
      </c>
      <c r="CU323" s="1867">
        <f t="shared" si="219"/>
        <v>1</v>
      </c>
      <c r="CV323" s="1867">
        <f t="shared" si="220"/>
        <v>1</v>
      </c>
    </row>
    <row r="324" spans="1:100" ht="15" customHeight="1" x14ac:dyDescent="0.25">
      <c r="A324" s="5677" t="s">
        <v>5168</v>
      </c>
      <c r="B324" s="6635"/>
      <c r="C324" s="516" t="s">
        <v>931</v>
      </c>
      <c r="D324" s="482" t="s">
        <v>4567</v>
      </c>
      <c r="E324" s="581" t="s">
        <v>4568</v>
      </c>
      <c r="F324" s="386" t="s">
        <v>4569</v>
      </c>
      <c r="G324" s="379" t="s">
        <v>4570</v>
      </c>
      <c r="H324" s="388" t="s">
        <v>4571</v>
      </c>
      <c r="I324" s="379" t="s">
        <v>4572</v>
      </c>
      <c r="J324" s="388" t="s">
        <v>4573</v>
      </c>
      <c r="K324" s="379" t="s">
        <v>4574</v>
      </c>
      <c r="L324" s="388" t="s">
        <v>4575</v>
      </c>
      <c r="M324" s="379" t="s">
        <v>4576</v>
      </c>
      <c r="N324" s="388" t="s">
        <v>4577</v>
      </c>
      <c r="O324" s="379" t="s">
        <v>4578</v>
      </c>
      <c r="P324" s="501" t="s">
        <v>4579</v>
      </c>
      <c r="Q324" s="379" t="s">
        <v>4580</v>
      </c>
      <c r="R324" s="388" t="s">
        <v>4581</v>
      </c>
      <c r="S324" s="428" t="s">
        <v>4582</v>
      </c>
      <c r="T324" s="501" t="s">
        <v>4583</v>
      </c>
      <c r="U324" s="379" t="s">
        <v>4584</v>
      </c>
      <c r="V324" s="388" t="s">
        <v>4585</v>
      </c>
      <c r="W324" s="428" t="s">
        <v>4586</v>
      </c>
      <c r="X324" s="501" t="s">
        <v>4587</v>
      </c>
      <c r="Y324" s="379" t="s">
        <v>4588</v>
      </c>
      <c r="Z324" s="388" t="s">
        <v>4589</v>
      </c>
      <c r="AA324" s="428" t="s">
        <v>4590</v>
      </c>
      <c r="AB324" s="501" t="s">
        <v>4591</v>
      </c>
      <c r="AC324" s="379" t="s">
        <v>4592</v>
      </c>
      <c r="AD324" s="388" t="s">
        <v>4593</v>
      </c>
      <c r="AE324" s="428" t="s">
        <v>4594</v>
      </c>
      <c r="AF324" s="501" t="s">
        <v>4595</v>
      </c>
      <c r="AG324" s="379" t="s">
        <v>4596</v>
      </c>
      <c r="AH324" s="388" t="s">
        <v>4597</v>
      </c>
      <c r="AI324" s="428" t="s">
        <v>4598</v>
      </c>
      <c r="AJ324" s="501" t="s">
        <v>4599</v>
      </c>
      <c r="AK324" s="379" t="s">
        <v>4600</v>
      </c>
      <c r="AL324" s="388" t="s">
        <v>4601</v>
      </c>
      <c r="AM324" s="428" t="s">
        <v>4602</v>
      </c>
      <c r="AN324" s="389" t="s">
        <v>4603</v>
      </c>
      <c r="AO324" s="428" t="s">
        <v>4604</v>
      </c>
      <c r="AP324" s="428" t="s">
        <v>4605</v>
      </c>
      <c r="AQ324" s="387" t="s">
        <v>4606</v>
      </c>
      <c r="AR324" s="379" t="s">
        <v>4934</v>
      </c>
      <c r="AS324" s="387" t="s">
        <v>4935</v>
      </c>
      <c r="AT324" s="379" t="s">
        <v>4936</v>
      </c>
      <c r="AU324" s="371" t="s">
        <v>4937</v>
      </c>
      <c r="AV324" s="371" t="s">
        <v>5234</v>
      </c>
      <c r="AW324" s="387" t="s">
        <v>5235</v>
      </c>
      <c r="AX324" t="e">
        <f t="shared" si="214"/>
        <v>#VALUE!</v>
      </c>
      <c r="CB324" s="135" t="e">
        <f t="shared" si="221"/>
        <v>#VALUE!</v>
      </c>
      <c r="CC324" s="2946" t="str">
        <f t="shared" si="222"/>
        <v xml:space="preserve">  * La variable Trans (Masculino) No puede ser mayor al Total Mujeres.</v>
      </c>
      <c r="CD324" s="2946" t="str">
        <f t="shared" si="227"/>
        <v xml:space="preserve">  * La variable Trans (Femenino) No puede ser mayor al Total Hombres.</v>
      </c>
      <c r="CE324" s="2946" t="str">
        <f t="shared" si="223"/>
        <v xml:space="preserve">  * La variable Pueblos originarios No puede ser mayor al Total.</v>
      </c>
      <c r="CF324" s="2946" t="str">
        <f t="shared" si="224"/>
        <v xml:space="preserve">  * La variable Migrantes No puede ser mayor al Total.</v>
      </c>
      <c r="CG324" s="2946" t="str">
        <f t="shared" si="225"/>
        <v xml:space="preserve">  * La variable Niños, Niñas, adolescentes y jóvenes SENAME No puede ser mayor al Total.</v>
      </c>
      <c r="CH324" s="2946" t="str">
        <f t="shared" si="226"/>
        <v xml:space="preserve">  * La variable Niños, Niñas, adolescentes y jóvenes Mejor Niñez No puede ser mayor al Total.</v>
      </c>
      <c r="CP324" s="1867" t="e">
        <f t="shared" si="215"/>
        <v>#VALUE!</v>
      </c>
      <c r="CQ324" s="1867">
        <f t="shared" si="216"/>
        <v>1</v>
      </c>
      <c r="CR324" s="1867">
        <f t="shared" si="228"/>
        <v>1</v>
      </c>
      <c r="CS324" s="1867">
        <f t="shared" si="217"/>
        <v>1</v>
      </c>
      <c r="CT324" s="1867">
        <f t="shared" si="218"/>
        <v>1</v>
      </c>
      <c r="CU324" s="1867">
        <f t="shared" si="219"/>
        <v>1</v>
      </c>
      <c r="CV324" s="1867">
        <f t="shared" si="220"/>
        <v>1</v>
      </c>
    </row>
    <row r="325" spans="1:100" s="6" customFormat="1" ht="18" customHeight="1" x14ac:dyDescent="0.2">
      <c r="B325" s="3" t="s">
        <v>933</v>
      </c>
      <c r="C325" s="93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715"/>
    </row>
    <row r="326" spans="1:100" x14ac:dyDescent="0.25">
      <c r="B326" s="6212" t="s">
        <v>285</v>
      </c>
      <c r="C326" s="6511"/>
      <c r="D326" s="6575" t="s">
        <v>192</v>
      </c>
      <c r="E326" s="6491"/>
      <c r="F326" s="6576"/>
      <c r="G326" s="6411" t="s">
        <v>101</v>
      </c>
      <c r="H326" s="6534"/>
      <c r="I326" s="6534"/>
      <c r="J326" s="6534"/>
      <c r="K326" s="6534"/>
      <c r="L326" s="6534"/>
      <c r="M326" s="6534"/>
      <c r="N326" s="6534"/>
      <c r="O326" s="6534"/>
      <c r="P326" s="6534"/>
      <c r="Q326" s="6534"/>
      <c r="R326" s="6534"/>
      <c r="S326" s="6534"/>
      <c r="T326" s="6534"/>
      <c r="U326" s="6534"/>
      <c r="V326" s="6534"/>
      <c r="W326" s="6534"/>
      <c r="X326" s="6534"/>
      <c r="Y326" s="6534"/>
      <c r="Z326" s="6534"/>
      <c r="AA326" s="6534"/>
      <c r="AB326" s="6534"/>
      <c r="AC326" s="6534"/>
      <c r="AD326" s="6534"/>
      <c r="AE326" s="6534"/>
      <c r="AF326" s="6534"/>
      <c r="AG326" s="6534"/>
      <c r="AH326" s="6534"/>
      <c r="AI326" s="6534"/>
      <c r="AJ326" s="6534"/>
      <c r="AK326" s="6534"/>
      <c r="AL326" s="6534"/>
      <c r="AM326" s="6534"/>
      <c r="AN326" s="6534"/>
      <c r="AO326" s="6534"/>
      <c r="AP326" s="6534"/>
      <c r="AQ326" s="6534"/>
      <c r="AR326" s="6447"/>
      <c r="AS326" s="6510" t="s">
        <v>457</v>
      </c>
      <c r="AT326" s="6511"/>
      <c r="AU326" s="6454" t="s">
        <v>36</v>
      </c>
      <c r="AV326" s="6481" t="s">
        <v>37</v>
      </c>
      <c r="AW326" s="6481" t="s">
        <v>34</v>
      </c>
      <c r="AX326" s="6511" t="s">
        <v>35</v>
      </c>
    </row>
    <row r="327" spans="1:100" x14ac:dyDescent="0.25">
      <c r="B327" s="6044"/>
      <c r="C327" s="6027"/>
      <c r="D327" s="6577"/>
      <c r="E327" s="6109"/>
      <c r="F327" s="6578"/>
      <c r="G327" s="6544" t="s">
        <v>934</v>
      </c>
      <c r="H327" s="6515"/>
      <c r="I327" s="6544" t="s">
        <v>935</v>
      </c>
      <c r="J327" s="6515"/>
      <c r="K327" s="6544" t="s">
        <v>936</v>
      </c>
      <c r="L327" s="6515"/>
      <c r="M327" s="6544" t="s">
        <v>937</v>
      </c>
      <c r="N327" s="6515"/>
      <c r="O327" s="6544" t="s">
        <v>326</v>
      </c>
      <c r="P327" s="6515"/>
      <c r="Q327" s="6544" t="s">
        <v>94</v>
      </c>
      <c r="R327" s="6515"/>
      <c r="S327" s="6544" t="s">
        <v>44</v>
      </c>
      <c r="T327" s="6515"/>
      <c r="U327" s="6544" t="s">
        <v>45</v>
      </c>
      <c r="V327" s="6515"/>
      <c r="W327" s="6544" t="s">
        <v>46</v>
      </c>
      <c r="X327" s="6545"/>
      <c r="Y327" s="6544" t="s">
        <v>47</v>
      </c>
      <c r="Z327" s="6545"/>
      <c r="AA327" s="6544" t="s">
        <v>48</v>
      </c>
      <c r="AB327" s="6545"/>
      <c r="AC327" s="6544" t="s">
        <v>49</v>
      </c>
      <c r="AD327" s="6545"/>
      <c r="AE327" s="6544" t="s">
        <v>50</v>
      </c>
      <c r="AF327" s="6545"/>
      <c r="AG327" s="6544" t="s">
        <v>51</v>
      </c>
      <c r="AH327" s="6545"/>
      <c r="AI327" s="6544" t="s">
        <v>52</v>
      </c>
      <c r="AJ327" s="6545"/>
      <c r="AK327" s="6544" t="s">
        <v>53</v>
      </c>
      <c r="AL327" s="6545"/>
      <c r="AM327" s="6544" t="s">
        <v>54</v>
      </c>
      <c r="AN327" s="6545"/>
      <c r="AO327" s="6544" t="s">
        <v>55</v>
      </c>
      <c r="AP327" s="6545"/>
      <c r="AQ327" s="6544" t="s">
        <v>938</v>
      </c>
      <c r="AR327" s="6546"/>
      <c r="AS327" s="6150"/>
      <c r="AT327" s="6028"/>
      <c r="AU327" s="6102"/>
      <c r="AV327" s="6386"/>
      <c r="AW327" s="6386"/>
      <c r="AX327" s="6027"/>
    </row>
    <row r="328" spans="1:100" ht="25.5" customHeight="1" x14ac:dyDescent="0.25">
      <c r="B328" s="6064"/>
      <c r="C328" s="6028"/>
      <c r="D328" s="593" t="s">
        <v>79</v>
      </c>
      <c r="E328" s="718" t="s">
        <v>58</v>
      </c>
      <c r="F328" s="717" t="s">
        <v>59</v>
      </c>
      <c r="G328" s="593" t="s">
        <v>461</v>
      </c>
      <c r="H328" s="468" t="s">
        <v>59</v>
      </c>
      <c r="I328" s="593" t="s">
        <v>461</v>
      </c>
      <c r="J328" s="468" t="s">
        <v>59</v>
      </c>
      <c r="K328" s="593" t="s">
        <v>461</v>
      </c>
      <c r="L328" s="468" t="s">
        <v>59</v>
      </c>
      <c r="M328" s="593" t="s">
        <v>461</v>
      </c>
      <c r="N328" s="468" t="s">
        <v>59</v>
      </c>
      <c r="O328" s="593" t="s">
        <v>461</v>
      </c>
      <c r="P328" s="468" t="s">
        <v>59</v>
      </c>
      <c r="Q328" s="593" t="s">
        <v>461</v>
      </c>
      <c r="R328" s="468" t="s">
        <v>59</v>
      </c>
      <c r="S328" s="593" t="s">
        <v>461</v>
      </c>
      <c r="T328" s="468" t="s">
        <v>59</v>
      </c>
      <c r="U328" s="593" t="s">
        <v>461</v>
      </c>
      <c r="V328" s="468" t="s">
        <v>59</v>
      </c>
      <c r="W328" s="593" t="s">
        <v>461</v>
      </c>
      <c r="X328" s="468" t="s">
        <v>59</v>
      </c>
      <c r="Y328" s="593" t="s">
        <v>461</v>
      </c>
      <c r="Z328" s="468" t="s">
        <v>59</v>
      </c>
      <c r="AA328" s="593" t="s">
        <v>461</v>
      </c>
      <c r="AB328" s="468" t="s">
        <v>59</v>
      </c>
      <c r="AC328" s="593" t="s">
        <v>461</v>
      </c>
      <c r="AD328" s="468" t="s">
        <v>59</v>
      </c>
      <c r="AE328" s="593" t="s">
        <v>461</v>
      </c>
      <c r="AF328" s="468" t="s">
        <v>59</v>
      </c>
      <c r="AG328" s="593" t="s">
        <v>461</v>
      </c>
      <c r="AH328" s="468" t="s">
        <v>59</v>
      </c>
      <c r="AI328" s="593" t="s">
        <v>461</v>
      </c>
      <c r="AJ328" s="468" t="s">
        <v>59</v>
      </c>
      <c r="AK328" s="593" t="s">
        <v>461</v>
      </c>
      <c r="AL328" s="468" t="s">
        <v>59</v>
      </c>
      <c r="AM328" s="593" t="s">
        <v>461</v>
      </c>
      <c r="AN328" s="468" t="s">
        <v>59</v>
      </c>
      <c r="AO328" s="593" t="s">
        <v>461</v>
      </c>
      <c r="AP328" s="468" t="s">
        <v>59</v>
      </c>
      <c r="AQ328" s="593" t="s">
        <v>461</v>
      </c>
      <c r="AR328" s="469" t="s">
        <v>59</v>
      </c>
      <c r="AS328" s="604" t="s">
        <v>462</v>
      </c>
      <c r="AT328" s="468" t="s">
        <v>463</v>
      </c>
      <c r="AU328" s="6103"/>
      <c r="AV328" s="6086"/>
      <c r="AW328" s="6086"/>
      <c r="AX328" s="6028"/>
    </row>
    <row r="329" spans="1:100" x14ac:dyDescent="0.25">
      <c r="A329" s="5640" t="s">
        <v>5169</v>
      </c>
      <c r="B329" s="6453" t="s">
        <v>939</v>
      </c>
      <c r="C329" s="640" t="s">
        <v>453</v>
      </c>
      <c r="D329" s="299" t="s">
        <v>4567</v>
      </c>
      <c r="E329" s="515" t="s">
        <v>4568</v>
      </c>
      <c r="F329" s="598" t="s">
        <v>4569</v>
      </c>
      <c r="G329" s="719" t="s">
        <v>4570</v>
      </c>
      <c r="H329" s="720" t="s">
        <v>4571</v>
      </c>
      <c r="I329" s="720" t="s">
        <v>4572</v>
      </c>
      <c r="J329" s="720" t="s">
        <v>4573</v>
      </c>
      <c r="K329" s="720" t="s">
        <v>4574</v>
      </c>
      <c r="L329" s="720" t="s">
        <v>4575</v>
      </c>
      <c r="M329" s="720" t="s">
        <v>4576</v>
      </c>
      <c r="N329" s="720" t="s">
        <v>4577</v>
      </c>
      <c r="O329" s="720" t="s">
        <v>4578</v>
      </c>
      <c r="P329" s="720" t="s">
        <v>4579</v>
      </c>
      <c r="Q329" s="536" t="s">
        <v>4580</v>
      </c>
      <c r="R329" s="476" t="s">
        <v>4581</v>
      </c>
      <c r="S329" s="644" t="s">
        <v>4582</v>
      </c>
      <c r="T329" s="476" t="s">
        <v>4583</v>
      </c>
      <c r="U329" s="644" t="s">
        <v>4584</v>
      </c>
      <c r="V329" s="476" t="s">
        <v>4585</v>
      </c>
      <c r="W329" s="644" t="s">
        <v>4586</v>
      </c>
      <c r="X329" s="476" t="s">
        <v>4587</v>
      </c>
      <c r="Y329" s="644" t="s">
        <v>4588</v>
      </c>
      <c r="Z329" s="476" t="s">
        <v>4589</v>
      </c>
      <c r="AA329" s="644" t="s">
        <v>4590</v>
      </c>
      <c r="AB329" s="476" t="s">
        <v>4591</v>
      </c>
      <c r="AC329" s="644" t="s">
        <v>4592</v>
      </c>
      <c r="AD329" s="476" t="s">
        <v>4593</v>
      </c>
      <c r="AE329" s="644" t="s">
        <v>4594</v>
      </c>
      <c r="AF329" s="476" t="s">
        <v>4595</v>
      </c>
      <c r="AG329" s="644" t="s">
        <v>4596</v>
      </c>
      <c r="AH329" s="476" t="s">
        <v>4597</v>
      </c>
      <c r="AI329" s="644" t="s">
        <v>4598</v>
      </c>
      <c r="AJ329" s="476" t="s">
        <v>4599</v>
      </c>
      <c r="AK329" s="644" t="s">
        <v>4600</v>
      </c>
      <c r="AL329" s="536" t="s">
        <v>4601</v>
      </c>
      <c r="AM329" s="644" t="s">
        <v>4602</v>
      </c>
      <c r="AN329" s="536" t="s">
        <v>4603</v>
      </c>
      <c r="AO329" s="644" t="s">
        <v>4604</v>
      </c>
      <c r="AP329" s="536" t="s">
        <v>4605</v>
      </c>
      <c r="AQ329" s="644" t="s">
        <v>4606</v>
      </c>
      <c r="AR329" s="721" t="s">
        <v>4934</v>
      </c>
      <c r="AS329" s="476" t="s">
        <v>4935</v>
      </c>
      <c r="AT329" s="720" t="s">
        <v>4936</v>
      </c>
      <c r="AU329" s="473" t="s">
        <v>4937</v>
      </c>
      <c r="AV329" s="493" t="s">
        <v>5234</v>
      </c>
      <c r="AW329" s="493" t="s">
        <v>5235</v>
      </c>
      <c r="AX329" s="474" t="s">
        <v>5236</v>
      </c>
      <c r="AY329" t="str">
        <f t="shared" ref="AY329:AY339" si="229">CB329&amp;CC329&amp;CD329&amp;CE329&amp;CF329&amp;CG329</f>
        <v xml:space="preserve"> * La variable Trans (masculino) No puede ser mayor al Total Mujeres.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29" s="135" t="str">
        <f>IF(AND(F329&gt;0,OR(AS329="")),"* No olvide digitar la variable Trans (masculino). Digite Cero si no tiene.",IF(AS329&gt;F329," * La variable Trans (masculino) No puede ser mayor al Total Mujeres.",""))</f>
        <v xml:space="preserve"> * La variable Trans (masculino) No puede ser mayor al Total Mujeres.</v>
      </c>
      <c r="CC329" s="181"/>
      <c r="CD329" s="135" t="str">
        <f>IF(AND(D329&gt;0,AU329="")," * No olvide digitar la variable Pueblos originarios. Digite Cero si no tiene.",IF(AU329&gt;D329," * La variable Pueblos originarios No puede ser mayor al Total Ambos Sexos.",""))</f>
        <v xml:space="preserve"> * La variable Pueblos originarios No puede ser mayor al Total Ambos Sexos.</v>
      </c>
      <c r="CE329" s="135" t="str">
        <f>IF(AND(D329&gt;0,AV329="")," * No olvide digitar la variable Migrantes. Digite Cero si no tiene.",IF(AV329&gt;D329," * La variable Migrantes No puede ser mayor al Total Ambos Sexos.",""))</f>
        <v xml:space="preserve"> * La variable Migrantes No puede ser mayor al Total Ambos Sexos.</v>
      </c>
      <c r="CF329" s="135" t="str">
        <f>IF(AND(D329&gt;0,AW329="")," * No olvide digitar la variable Niños, niñas adolescentes y Jóvenes SENAME. Digite Cero si no tiene.",IF(AW329&gt;D329," * La variable Niños, niñas adolescentes y Jóvenes SENAME No puede ser mayor al Total Ambos Sexos.",""))</f>
        <v xml:space="preserve"> * La variable Niños, niñas adolescentes y Jóvenes SENAME No puede ser mayor al Total Ambos Sexos.</v>
      </c>
      <c r="CG329" s="135" t="str">
        <f>IF(AND(D329&gt;0,AX329="")," * No olvide digitar la variable Niños, niñas adolescentes y Jóvenes Mejor Niñez. Digite Cero si no tiene.",IF(AX329&gt;D329," * La variable Niños, niñas adolescentes y Jóvenes Mejor Niñez No puede ser mayor al Total Ambos Sexos.",""))</f>
        <v xml:space="preserve"> * La variable Niños, niñas adolescentes y Jóvenes Mejor Niñez No puede ser mayor al Total Ambos Sexos.</v>
      </c>
      <c r="CP329" s="1867">
        <f>IF(AND(F329&gt;0,OR(AS329="")),1,IF(AS329&gt;F329,1,0))</f>
        <v>1</v>
      </c>
      <c r="CQ329" s="2673"/>
      <c r="CR329" s="1867">
        <f t="shared" ref="CR329:CR339" si="230">IF(AND(D329&gt;0,AU329=""),1,IF(AU329&gt;D329,1,0))</f>
        <v>1</v>
      </c>
      <c r="CS329" s="1867">
        <f t="shared" ref="CS329:CS339" si="231">IF(AND(D329&gt;0,AV329=""),1,IF(AV329&gt;D329,1,0))</f>
        <v>1</v>
      </c>
      <c r="CT329" s="1867">
        <f t="shared" ref="CT329:CT339" si="232">IF(AND(D329&gt;0,AW329=""),1,IF(AW329&gt;D329,1,0))</f>
        <v>1</v>
      </c>
      <c r="CU329" s="1867">
        <f t="shared" ref="CU329:CU339" si="233">IF(AND(D329&gt;0,AX329=""),1,IF(AX329&gt;D329,1,0))</f>
        <v>1</v>
      </c>
    </row>
    <row r="330" spans="1:100" x14ac:dyDescent="0.25">
      <c r="A330" s="5640" t="s">
        <v>5170</v>
      </c>
      <c r="B330" s="6059"/>
      <c r="C330" s="642" t="s">
        <v>932</v>
      </c>
      <c r="D330" s="197" t="s">
        <v>4567</v>
      </c>
      <c r="E330" s="576" t="s">
        <v>4568</v>
      </c>
      <c r="F330" s="62" t="s">
        <v>4569</v>
      </c>
      <c r="G330" s="47" t="s">
        <v>4570</v>
      </c>
      <c r="H330" s="686" t="s">
        <v>4571</v>
      </c>
      <c r="I330" s="47" t="s">
        <v>4572</v>
      </c>
      <c r="J330" s="686" t="s">
        <v>4573</v>
      </c>
      <c r="K330" s="47" t="s">
        <v>4574</v>
      </c>
      <c r="L330" s="42" t="s">
        <v>4575</v>
      </c>
      <c r="M330" s="47" t="s">
        <v>4576</v>
      </c>
      <c r="N330" s="66" t="s">
        <v>4577</v>
      </c>
      <c r="O330" s="47" t="s">
        <v>4578</v>
      </c>
      <c r="P330" s="42" t="s">
        <v>4579</v>
      </c>
      <c r="Q330" s="47" t="s">
        <v>4580</v>
      </c>
      <c r="R330" s="686" t="s">
        <v>4581</v>
      </c>
      <c r="S330" s="47" t="s">
        <v>4582</v>
      </c>
      <c r="T330" s="686" t="s">
        <v>4583</v>
      </c>
      <c r="U330" s="47" t="s">
        <v>4584</v>
      </c>
      <c r="V330" s="686" t="s">
        <v>4585</v>
      </c>
      <c r="W330" s="47" t="s">
        <v>4586</v>
      </c>
      <c r="X330" s="686" t="s">
        <v>4587</v>
      </c>
      <c r="Y330" s="47" t="s">
        <v>4588</v>
      </c>
      <c r="Z330" s="686" t="s">
        <v>4589</v>
      </c>
      <c r="AA330" s="47" t="s">
        <v>4590</v>
      </c>
      <c r="AB330" s="686" t="s">
        <v>4591</v>
      </c>
      <c r="AC330" s="47" t="s">
        <v>4592</v>
      </c>
      <c r="AD330" s="686" t="s">
        <v>4593</v>
      </c>
      <c r="AE330" s="47" t="s">
        <v>4594</v>
      </c>
      <c r="AF330" s="686" t="s">
        <v>4595</v>
      </c>
      <c r="AG330" s="47" t="s">
        <v>4596</v>
      </c>
      <c r="AH330" s="686" t="s">
        <v>4597</v>
      </c>
      <c r="AI330" s="47" t="s">
        <v>4598</v>
      </c>
      <c r="AJ330" s="686" t="s">
        <v>4599</v>
      </c>
      <c r="AK330" s="47" t="s">
        <v>4600</v>
      </c>
      <c r="AL330" s="686" t="s">
        <v>4601</v>
      </c>
      <c r="AM330" s="47" t="s">
        <v>4602</v>
      </c>
      <c r="AN330" s="686" t="s">
        <v>4603</v>
      </c>
      <c r="AO330" s="47" t="s">
        <v>4604</v>
      </c>
      <c r="AP330" s="686" t="s">
        <v>4605</v>
      </c>
      <c r="AQ330" s="47" t="s">
        <v>4606</v>
      </c>
      <c r="AR330" s="75" t="s">
        <v>4934</v>
      </c>
      <c r="AS330" s="686" t="s">
        <v>4935</v>
      </c>
      <c r="AT330" s="42" t="s">
        <v>4936</v>
      </c>
      <c r="AU330" s="47" t="s">
        <v>4937</v>
      </c>
      <c r="AV330" s="242" t="s">
        <v>5234</v>
      </c>
      <c r="AW330" s="242" t="s">
        <v>5235</v>
      </c>
      <c r="AX330" s="42" t="s">
        <v>5236</v>
      </c>
      <c r="AY330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0" s="135" t="str">
        <f t="shared" ref="CB330:CB339" si="234">IF(AND(F330&gt;0,OR(AS330="")),"* No olvide digitar la variable Trans (masculino). Digite Cero si no tiene.",IF(AS330&gt;F330," * La variable Trans (masculino) No puede ser mayor al Total Mujeres.",""))</f>
        <v xml:space="preserve"> * La variable Trans (masculino) No puede ser mayor al Total Mujeres.</v>
      </c>
      <c r="CC330" s="135" t="str">
        <f>IF(AND(E330&gt;0,OR(AT330="")),"* No olvide digitar la variable Trans (Femenino). Digite Cero si no tiene.",IF(AT330&gt;E330," * La variable Trans (Femenino) No puede ser mayor al Total Hombres.",""))</f>
        <v xml:space="preserve"> * La variable Trans (Femenino) No puede ser mayor al Total Hombres.</v>
      </c>
      <c r="CD330" s="135" t="str">
        <f t="shared" ref="CD330:CD339" si="235">IF(AND(D330&gt;0,AU330="")," * No olvide digitar la variable Pueblos originarios. Digite Cero si no tiene.",IF(AU330&gt;D330," * La variable Pueblos originarios No puede ser mayor al Total Ambos Sexos.",""))</f>
        <v xml:space="preserve"> * La variable Pueblos originarios No puede ser mayor al Total Ambos Sexos.</v>
      </c>
      <c r="CE330" s="135" t="str">
        <f t="shared" ref="CE330:CE339" si="236">IF(AND(D330&gt;0,AV330="")," * No olvide digitar la variable Migrantes. Digite Cero si no tiene.",IF(AV330&gt;D330," * La variable Migrantes No puede ser mayor al Total Ambos Sexos.",""))</f>
        <v xml:space="preserve"> * La variable Migrantes No puede ser mayor al Total Ambos Sexos.</v>
      </c>
      <c r="CF330" s="135" t="str">
        <f t="shared" ref="CF330:CF339" si="237">IF(AND(D330&gt;0,AW330="")," * No olvide digitar la variable Niños, niñas adolescentes y Jóvenes SENAME. Digite Cero si no tiene.",IF(AW330&gt;D330," * La variable Niños, niñas adolescentes y Jóvenes SENAME No puede ser mayor al Total Ambos Sexos.",""))</f>
        <v xml:space="preserve"> * La variable Niños, niñas adolescentes y Jóvenes SENAME No puede ser mayor al Total Ambos Sexos.</v>
      </c>
      <c r="CG330" s="135" t="str">
        <f t="shared" ref="CG330:CG339" si="238">IF(AND(D330&gt;0,AX330="")," * No olvide digitar la variable Niños, niñas adolescentes y Jóvenes Mejor Niñez. Digite Cero si no tiene.",IF(AX330&gt;D330," * La variable Niños, niñas adolescentes y Jóvenes Mejor Niñez No puede ser mayor al Total Ambos Sexos.",""))</f>
        <v xml:space="preserve"> * La variable Niños, niñas adolescentes y Jóvenes Mejor Niñez No puede ser mayor al Total Ambos Sexos.</v>
      </c>
      <c r="CP330" s="1867">
        <f>IF(AND(F330&gt;0,OR(AS330="")),1,IF(AS330&gt;F330,1,0))</f>
        <v>1</v>
      </c>
      <c r="CQ330" s="1867">
        <f>IF(AND(E330&gt;0,OR(AT330="")),1,IF(AT330&gt;E330,1,0))</f>
        <v>1</v>
      </c>
      <c r="CR330" s="1867">
        <f t="shared" si="230"/>
        <v>1</v>
      </c>
      <c r="CS330" s="1867">
        <f t="shared" si="231"/>
        <v>1</v>
      </c>
      <c r="CT330" s="1867">
        <f t="shared" si="232"/>
        <v>1</v>
      </c>
      <c r="CU330" s="1867">
        <f t="shared" si="233"/>
        <v>1</v>
      </c>
    </row>
    <row r="331" spans="1:100" x14ac:dyDescent="0.25">
      <c r="A331" s="5677" t="s">
        <v>5171</v>
      </c>
      <c r="B331" s="6637" t="s">
        <v>940</v>
      </c>
      <c r="C331" s="6638"/>
      <c r="D331" s="599" t="s">
        <v>4567</v>
      </c>
      <c r="E331" s="600" t="s">
        <v>4568</v>
      </c>
      <c r="F331" s="601" t="s">
        <v>4569</v>
      </c>
      <c r="G331" s="504" t="s">
        <v>4570</v>
      </c>
      <c r="H331" s="506" t="s">
        <v>4571</v>
      </c>
      <c r="I331" s="504" t="s">
        <v>4572</v>
      </c>
      <c r="J331" s="506" t="s">
        <v>4573</v>
      </c>
      <c r="K331" s="504" t="s">
        <v>4574</v>
      </c>
      <c r="L331" s="507" t="s">
        <v>4575</v>
      </c>
      <c r="M331" s="504" t="s">
        <v>4576</v>
      </c>
      <c r="N331" s="632" t="s">
        <v>4577</v>
      </c>
      <c r="O331" s="504" t="s">
        <v>4578</v>
      </c>
      <c r="P331" s="507" t="s">
        <v>4579</v>
      </c>
      <c r="Q331" s="504" t="s">
        <v>4580</v>
      </c>
      <c r="R331" s="506" t="s">
        <v>4581</v>
      </c>
      <c r="S331" s="504" t="s">
        <v>4582</v>
      </c>
      <c r="T331" s="506" t="s">
        <v>4583</v>
      </c>
      <c r="U331" s="504" t="s">
        <v>4584</v>
      </c>
      <c r="V331" s="506" t="s">
        <v>4585</v>
      </c>
      <c r="W331" s="504" t="s">
        <v>4586</v>
      </c>
      <c r="X331" s="506" t="s">
        <v>4587</v>
      </c>
      <c r="Y331" s="504" t="s">
        <v>4588</v>
      </c>
      <c r="Z331" s="506" t="s">
        <v>4589</v>
      </c>
      <c r="AA331" s="504" t="s">
        <v>4590</v>
      </c>
      <c r="AB331" s="506" t="s">
        <v>4591</v>
      </c>
      <c r="AC331" s="504" t="s">
        <v>4592</v>
      </c>
      <c r="AD331" s="506" t="s">
        <v>4593</v>
      </c>
      <c r="AE331" s="504" t="s">
        <v>4594</v>
      </c>
      <c r="AF331" s="506" t="s">
        <v>4595</v>
      </c>
      <c r="AG331" s="504" t="s">
        <v>4596</v>
      </c>
      <c r="AH331" s="506" t="s">
        <v>4597</v>
      </c>
      <c r="AI331" s="504" t="s">
        <v>4598</v>
      </c>
      <c r="AJ331" s="506" t="s">
        <v>4599</v>
      </c>
      <c r="AK331" s="504" t="s">
        <v>4600</v>
      </c>
      <c r="AL331" s="506" t="s">
        <v>4601</v>
      </c>
      <c r="AM331" s="504" t="s">
        <v>4602</v>
      </c>
      <c r="AN331" s="506" t="s">
        <v>4603</v>
      </c>
      <c r="AO331" s="504" t="s">
        <v>4604</v>
      </c>
      <c r="AP331" s="506" t="s">
        <v>4605</v>
      </c>
      <c r="AQ331" s="504" t="s">
        <v>4606</v>
      </c>
      <c r="AR331" s="722" t="s">
        <v>4934</v>
      </c>
      <c r="AS331" s="506" t="s">
        <v>4935</v>
      </c>
      <c r="AT331" s="507" t="s">
        <v>4936</v>
      </c>
      <c r="AU331" s="504" t="s">
        <v>4937</v>
      </c>
      <c r="AV331" s="528" t="s">
        <v>5234</v>
      </c>
      <c r="AW331" s="528" t="s">
        <v>5235</v>
      </c>
      <c r="AX331" s="507" t="s">
        <v>5236</v>
      </c>
      <c r="AY331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1" s="135" t="str">
        <f t="shared" si="234"/>
        <v xml:space="preserve"> * La variable Trans (masculino) No puede ser mayor al Total Mujeres.</v>
      </c>
      <c r="CC331" s="135" t="str">
        <f>IF(AND(E331&gt;0,OR(AT331="")),"* No olvide digitar la variable Trans (Femenino). Digite Cero si no tiene.",IF(AT331&gt;E331," * La variable Trans (Femenino) No puede ser mayor al Total Hombres.",""))</f>
        <v xml:space="preserve"> * La variable Trans (Femenino) No puede ser mayor al Total Hombres.</v>
      </c>
      <c r="CD331" s="135" t="str">
        <f t="shared" si="235"/>
        <v xml:space="preserve"> * La variable Pueblos originarios No puede ser mayor al Total Ambos Sexos.</v>
      </c>
      <c r="CE331" s="135" t="str">
        <f t="shared" si="236"/>
        <v xml:space="preserve"> * La variable Migrantes No puede ser mayor al Total Ambos Sexos.</v>
      </c>
      <c r="CF331" s="135" t="str">
        <f t="shared" si="237"/>
        <v xml:space="preserve"> * La variable Niños, niñas adolescentes y Jóvenes SENAME No puede ser mayor al Total Ambos Sexos.</v>
      </c>
      <c r="CG331" s="135" t="str">
        <f t="shared" si="238"/>
        <v xml:space="preserve"> * La variable Niños, niñas adolescentes y Jóvenes Mejor Niñez No puede ser mayor al Total Ambos Sexos.</v>
      </c>
      <c r="CP331" s="1867">
        <f>IF(AND(F331&gt;0,OR(AS331="")),1,IF(AS331&gt;F331,1,0))</f>
        <v>1</v>
      </c>
      <c r="CQ331" s="1867">
        <f>IF(AND(E331&gt;0,OR(AT331="")),1,IF(AT331&gt;E331,1,0))</f>
        <v>1</v>
      </c>
      <c r="CR331" s="1867">
        <f t="shared" si="230"/>
        <v>1</v>
      </c>
      <c r="CS331" s="1867">
        <f t="shared" si="231"/>
        <v>1</v>
      </c>
      <c r="CT331" s="1867">
        <f t="shared" si="232"/>
        <v>1</v>
      </c>
      <c r="CU331" s="1867">
        <f t="shared" si="233"/>
        <v>1</v>
      </c>
    </row>
    <row r="332" spans="1:100" x14ac:dyDescent="0.25">
      <c r="A332" s="5640" t="s">
        <v>5172</v>
      </c>
      <c r="B332" s="6639" t="s">
        <v>941</v>
      </c>
      <c r="C332" s="6639"/>
      <c r="D332" s="599" t="s">
        <v>4567</v>
      </c>
      <c r="E332" s="600" t="s">
        <v>4568</v>
      </c>
      <c r="F332" s="601" t="s">
        <v>4569</v>
      </c>
      <c r="G332" s="504" t="s">
        <v>4570</v>
      </c>
      <c r="H332" s="506" t="s">
        <v>4571</v>
      </c>
      <c r="I332" s="504" t="s">
        <v>4572</v>
      </c>
      <c r="J332" s="506" t="s">
        <v>4573</v>
      </c>
      <c r="K332" s="504" t="s">
        <v>4574</v>
      </c>
      <c r="L332" s="507" t="s">
        <v>4575</v>
      </c>
      <c r="M332" s="504" t="s">
        <v>4576</v>
      </c>
      <c r="N332" s="632" t="s">
        <v>4577</v>
      </c>
      <c r="O332" s="504" t="s">
        <v>4578</v>
      </c>
      <c r="P332" s="507" t="s">
        <v>4579</v>
      </c>
      <c r="Q332" s="504" t="s">
        <v>4580</v>
      </c>
      <c r="R332" s="506" t="s">
        <v>4581</v>
      </c>
      <c r="S332" s="504" t="s">
        <v>4582</v>
      </c>
      <c r="T332" s="506" t="s">
        <v>4583</v>
      </c>
      <c r="U332" s="504" t="s">
        <v>4584</v>
      </c>
      <c r="V332" s="506" t="s">
        <v>4585</v>
      </c>
      <c r="W332" s="504" t="s">
        <v>4586</v>
      </c>
      <c r="X332" s="506" t="s">
        <v>4587</v>
      </c>
      <c r="Y332" s="504" t="s">
        <v>4588</v>
      </c>
      <c r="Z332" s="506" t="s">
        <v>4589</v>
      </c>
      <c r="AA332" s="504" t="s">
        <v>4590</v>
      </c>
      <c r="AB332" s="506" t="s">
        <v>4591</v>
      </c>
      <c r="AC332" s="504" t="s">
        <v>4592</v>
      </c>
      <c r="AD332" s="506" t="s">
        <v>4593</v>
      </c>
      <c r="AE332" s="504" t="s">
        <v>4594</v>
      </c>
      <c r="AF332" s="506" t="s">
        <v>4595</v>
      </c>
      <c r="AG332" s="504" t="s">
        <v>4596</v>
      </c>
      <c r="AH332" s="506" t="s">
        <v>4597</v>
      </c>
      <c r="AI332" s="504" t="s">
        <v>4598</v>
      </c>
      <c r="AJ332" s="506" t="s">
        <v>4599</v>
      </c>
      <c r="AK332" s="504" t="s">
        <v>4600</v>
      </c>
      <c r="AL332" s="506" t="s">
        <v>4601</v>
      </c>
      <c r="AM332" s="504" t="s">
        <v>4602</v>
      </c>
      <c r="AN332" s="506" t="s">
        <v>4603</v>
      </c>
      <c r="AO332" s="504" t="s">
        <v>4604</v>
      </c>
      <c r="AP332" s="506" t="s">
        <v>4605</v>
      </c>
      <c r="AQ332" s="504" t="s">
        <v>4606</v>
      </c>
      <c r="AR332" s="722" t="s">
        <v>4934</v>
      </c>
      <c r="AS332" s="506" t="s">
        <v>4935</v>
      </c>
      <c r="AT332" s="507" t="s">
        <v>4936</v>
      </c>
      <c r="AU332" s="504" t="s">
        <v>4937</v>
      </c>
      <c r="AV332" s="528" t="s">
        <v>5234</v>
      </c>
      <c r="AW332" s="528" t="s">
        <v>5235</v>
      </c>
      <c r="AX332" s="507" t="s">
        <v>5236</v>
      </c>
      <c r="AY332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2" s="135" t="str">
        <f t="shared" si="234"/>
        <v xml:space="preserve"> * La variable Trans (masculino) No puede ser mayor al Total Mujeres.</v>
      </c>
      <c r="CC332" s="135" t="str">
        <f>IF(AND(E332&gt;0,OR(AT332="")),"* No olvide digitar la variable Trans (Femenino). Digite Cero si no tiene.",IF(AT332&gt;E332," * La variable Trans (Femenino) No puede ser mayor al Total Hombres.",""))</f>
        <v xml:space="preserve"> * La variable Trans (Femenino) No puede ser mayor al Total Hombres.</v>
      </c>
      <c r="CD332" s="135" t="str">
        <f t="shared" si="235"/>
        <v xml:space="preserve"> * La variable Pueblos originarios No puede ser mayor al Total Ambos Sexos.</v>
      </c>
      <c r="CE332" s="135" t="str">
        <f t="shared" si="236"/>
        <v xml:space="preserve"> * La variable Migrantes No puede ser mayor al Total Ambos Sexos.</v>
      </c>
      <c r="CF332" s="135" t="str">
        <f t="shared" si="237"/>
        <v xml:space="preserve"> * La variable Niños, niñas adolescentes y Jóvenes SENAME No puede ser mayor al Total Ambos Sexos.</v>
      </c>
      <c r="CG332" s="135" t="str">
        <f t="shared" si="238"/>
        <v xml:space="preserve"> * La variable Niños, niñas adolescentes y Jóvenes Mejor Niñez No puede ser mayor al Total Ambos Sexos.</v>
      </c>
      <c r="CP332" s="1867">
        <f>IF(AND(F332&gt;0,OR(AS332="")),1,IF(AS332&gt;F332,1,0))</f>
        <v>1</v>
      </c>
      <c r="CQ332" s="1867">
        <f>IF(AND(E332&gt;0,OR(AT332="")),1,IF(AT332&gt;E332,1,0))</f>
        <v>1</v>
      </c>
      <c r="CR332" s="1867">
        <f t="shared" si="230"/>
        <v>1</v>
      </c>
      <c r="CS332" s="1867">
        <f t="shared" si="231"/>
        <v>1</v>
      </c>
      <c r="CT332" s="1867">
        <f t="shared" si="232"/>
        <v>1</v>
      </c>
      <c r="CU332" s="1867">
        <f t="shared" si="233"/>
        <v>1</v>
      </c>
    </row>
    <row r="333" spans="1:100" x14ac:dyDescent="0.25">
      <c r="A333" s="5640" t="s">
        <v>5173</v>
      </c>
      <c r="B333" s="6619" t="s">
        <v>942</v>
      </c>
      <c r="C333" s="6620"/>
      <c r="D333" s="299" t="s">
        <v>4567</v>
      </c>
      <c r="E333" s="573" t="s">
        <v>4568</v>
      </c>
      <c r="F333" s="146" t="s">
        <v>4569</v>
      </c>
      <c r="G333" s="290" t="s">
        <v>4570</v>
      </c>
      <c r="H333" s="22" t="s">
        <v>4571</v>
      </c>
      <c r="I333" s="290" t="s">
        <v>4572</v>
      </c>
      <c r="J333" s="22" t="s">
        <v>4573</v>
      </c>
      <c r="K333" s="290" t="s">
        <v>4574</v>
      </c>
      <c r="L333" s="107" t="s">
        <v>4575</v>
      </c>
      <c r="M333" s="290" t="s">
        <v>4576</v>
      </c>
      <c r="N333" s="65" t="s">
        <v>4577</v>
      </c>
      <c r="O333" s="290" t="s">
        <v>4578</v>
      </c>
      <c r="P333" s="107" t="s">
        <v>4579</v>
      </c>
      <c r="Q333" s="290" t="s">
        <v>4580</v>
      </c>
      <c r="R333" s="22" t="s">
        <v>4581</v>
      </c>
      <c r="S333" s="290" t="s">
        <v>4582</v>
      </c>
      <c r="T333" s="22" t="s">
        <v>4583</v>
      </c>
      <c r="U333" s="290" t="s">
        <v>4584</v>
      </c>
      <c r="V333" s="22" t="s">
        <v>4585</v>
      </c>
      <c r="W333" s="290" t="s">
        <v>4586</v>
      </c>
      <c r="X333" s="22" t="s">
        <v>4587</v>
      </c>
      <c r="Y333" s="290" t="s">
        <v>4588</v>
      </c>
      <c r="Z333" s="22" t="s">
        <v>4589</v>
      </c>
      <c r="AA333" s="290" t="s">
        <v>4590</v>
      </c>
      <c r="AB333" s="22" t="s">
        <v>4591</v>
      </c>
      <c r="AC333" s="290" t="s">
        <v>4592</v>
      </c>
      <c r="AD333" s="22" t="s">
        <v>4593</v>
      </c>
      <c r="AE333" s="290" t="s">
        <v>4594</v>
      </c>
      <c r="AF333" s="22" t="s">
        <v>4595</v>
      </c>
      <c r="AG333" s="290" t="s">
        <v>4596</v>
      </c>
      <c r="AH333" s="22" t="s">
        <v>4597</v>
      </c>
      <c r="AI333" s="290" t="s">
        <v>4598</v>
      </c>
      <c r="AJ333" s="22" t="s">
        <v>4599</v>
      </c>
      <c r="AK333" s="290" t="s">
        <v>4600</v>
      </c>
      <c r="AL333" s="22" t="s">
        <v>4601</v>
      </c>
      <c r="AM333" s="290" t="s">
        <v>4602</v>
      </c>
      <c r="AN333" s="22" t="s">
        <v>4603</v>
      </c>
      <c r="AO333" s="290" t="s">
        <v>4604</v>
      </c>
      <c r="AP333" s="22" t="s">
        <v>4605</v>
      </c>
      <c r="AQ333" s="290" t="s">
        <v>4606</v>
      </c>
      <c r="AR333" s="61" t="s">
        <v>4934</v>
      </c>
      <c r="AS333" s="22" t="s">
        <v>4935</v>
      </c>
      <c r="AT333" s="107" t="s">
        <v>4936</v>
      </c>
      <c r="AU333" s="290" t="s">
        <v>4937</v>
      </c>
      <c r="AV333" s="531" t="s">
        <v>5234</v>
      </c>
      <c r="AW333" s="531" t="s">
        <v>5235</v>
      </c>
      <c r="AX333" s="107" t="s">
        <v>5236</v>
      </c>
      <c r="AY333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3" s="135" t="str">
        <f t="shared" si="234"/>
        <v xml:space="preserve"> * La variable Trans (masculino) No puede ser mayor al Total Mujeres.</v>
      </c>
      <c r="CC333" s="135" t="str">
        <f>IF(AND(E333&gt;0,OR(AT333="")),"* No olvide digitar la variable Trans (Femenino). Digite Cero si no tiene.",IF(AT333&gt;E333," * La variable Trans (Femenino) No puede ser mayor al Total Hombres.",""))</f>
        <v xml:space="preserve"> * La variable Trans (Femenino) No puede ser mayor al Total Hombres.</v>
      </c>
      <c r="CD333" s="135" t="str">
        <f t="shared" si="235"/>
        <v xml:space="preserve"> * La variable Pueblos originarios No puede ser mayor al Total Ambos Sexos.</v>
      </c>
      <c r="CE333" s="135" t="str">
        <f t="shared" si="236"/>
        <v xml:space="preserve"> * La variable Migrantes No puede ser mayor al Total Ambos Sexos.</v>
      </c>
      <c r="CF333" s="135" t="str">
        <f t="shared" si="237"/>
        <v xml:space="preserve"> * La variable Niños, niñas adolescentes y Jóvenes SENAME No puede ser mayor al Total Ambos Sexos.</v>
      </c>
      <c r="CG333" s="135" t="str">
        <f t="shared" si="238"/>
        <v xml:space="preserve"> * La variable Niños, niñas adolescentes y Jóvenes Mejor Niñez No puede ser mayor al Total Ambos Sexos.</v>
      </c>
      <c r="CP333" s="1867">
        <f>IF(AND(F333&gt;0,OR(AS333="")),1,IF(AS333&gt;F333,1,0))</f>
        <v>1</v>
      </c>
      <c r="CQ333" s="1867">
        <f>IF(AND(E333&gt;0,OR(AT333="")),1,IF(AT333&gt;E333,1,0))</f>
        <v>1</v>
      </c>
      <c r="CR333" s="1867">
        <f t="shared" si="230"/>
        <v>1</v>
      </c>
      <c r="CS333" s="1867">
        <f t="shared" si="231"/>
        <v>1</v>
      </c>
      <c r="CT333" s="1867">
        <f t="shared" si="232"/>
        <v>1</v>
      </c>
      <c r="CU333" s="1867">
        <f t="shared" si="233"/>
        <v>1</v>
      </c>
    </row>
    <row r="334" spans="1:100" x14ac:dyDescent="0.25">
      <c r="A334" s="5640" t="s">
        <v>5174</v>
      </c>
      <c r="B334" s="6640" t="s">
        <v>943</v>
      </c>
      <c r="C334" s="6641"/>
      <c r="D334" s="482" t="s">
        <v>4567</v>
      </c>
      <c r="E334" s="581" t="s">
        <v>4568</v>
      </c>
      <c r="F334" s="484" t="s">
        <v>4569</v>
      </c>
      <c r="G334" s="379" t="s">
        <v>4570</v>
      </c>
      <c r="H334" s="428" t="s">
        <v>4571</v>
      </c>
      <c r="I334" s="379" t="s">
        <v>4572</v>
      </c>
      <c r="J334" s="428" t="s">
        <v>4573</v>
      </c>
      <c r="K334" s="379" t="s">
        <v>4574</v>
      </c>
      <c r="L334" s="387" t="s">
        <v>4575</v>
      </c>
      <c r="M334" s="379" t="s">
        <v>4576</v>
      </c>
      <c r="N334" s="557" t="s">
        <v>4577</v>
      </c>
      <c r="O334" s="723" t="s">
        <v>4578</v>
      </c>
      <c r="P334" s="724" t="s">
        <v>4579</v>
      </c>
      <c r="Q334" s="724" t="s">
        <v>4580</v>
      </c>
      <c r="R334" s="724" t="s">
        <v>4581</v>
      </c>
      <c r="S334" s="724" t="s">
        <v>4582</v>
      </c>
      <c r="T334" s="724" t="s">
        <v>4583</v>
      </c>
      <c r="U334" s="724" t="s">
        <v>4584</v>
      </c>
      <c r="V334" s="724" t="s">
        <v>4585</v>
      </c>
      <c r="W334" s="724" t="s">
        <v>4586</v>
      </c>
      <c r="X334" s="724" t="s">
        <v>4587</v>
      </c>
      <c r="Y334" s="724" t="s">
        <v>4588</v>
      </c>
      <c r="Z334" s="724" t="s">
        <v>4589</v>
      </c>
      <c r="AA334" s="724" t="s">
        <v>4590</v>
      </c>
      <c r="AB334" s="724" t="s">
        <v>4591</v>
      </c>
      <c r="AC334" s="724" t="s">
        <v>4592</v>
      </c>
      <c r="AD334" s="724" t="s">
        <v>4593</v>
      </c>
      <c r="AE334" s="724" t="s">
        <v>4594</v>
      </c>
      <c r="AF334" s="724" t="s">
        <v>4595</v>
      </c>
      <c r="AG334" s="724" t="s">
        <v>4596</v>
      </c>
      <c r="AH334" s="724" t="s">
        <v>4597</v>
      </c>
      <c r="AI334" s="724" t="s">
        <v>4598</v>
      </c>
      <c r="AJ334" s="724" t="s">
        <v>4599</v>
      </c>
      <c r="AK334" s="724" t="s">
        <v>4600</v>
      </c>
      <c r="AL334" s="724" t="s">
        <v>4601</v>
      </c>
      <c r="AM334" s="724" t="s">
        <v>4602</v>
      </c>
      <c r="AN334" s="724" t="s">
        <v>4603</v>
      </c>
      <c r="AO334" s="724" t="s">
        <v>4604</v>
      </c>
      <c r="AP334" s="724" t="s">
        <v>4605</v>
      </c>
      <c r="AQ334" s="724" t="s">
        <v>4606</v>
      </c>
      <c r="AR334" s="724" t="s">
        <v>4934</v>
      </c>
      <c r="AS334" s="725" t="s">
        <v>4935</v>
      </c>
      <c r="AT334" s="621" t="s">
        <v>4936</v>
      </c>
      <c r="AU334" s="379" t="s">
        <v>4937</v>
      </c>
      <c r="AV334" s="371" t="s">
        <v>5234</v>
      </c>
      <c r="AW334" s="371" t="s">
        <v>5235</v>
      </c>
      <c r="AX334" s="387" t="s">
        <v>5236</v>
      </c>
      <c r="AY334" t="str">
        <f t="shared" si="229"/>
        <v xml:space="preserve">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4" s="181"/>
      <c r="CC334" s="181"/>
      <c r="CD334" s="135" t="str">
        <f t="shared" si="235"/>
        <v xml:space="preserve"> * La variable Pueblos originarios No puede ser mayor al Total Ambos Sexos.</v>
      </c>
      <c r="CE334" s="135" t="str">
        <f t="shared" si="236"/>
        <v xml:space="preserve"> * La variable Migrantes No puede ser mayor al Total Ambos Sexos.</v>
      </c>
      <c r="CF334" s="135" t="str">
        <f t="shared" si="237"/>
        <v xml:space="preserve"> * La variable Niños, niñas adolescentes y Jóvenes SENAME No puede ser mayor al Total Ambos Sexos.</v>
      </c>
      <c r="CG334" s="135" t="str">
        <f t="shared" si="238"/>
        <v xml:space="preserve"> * La variable Niños, niñas adolescentes y Jóvenes Mejor Niñez No puede ser mayor al Total Ambos Sexos.</v>
      </c>
      <c r="CP334" s="2949"/>
      <c r="CQ334" s="2673"/>
      <c r="CR334" s="1867">
        <f t="shared" si="230"/>
        <v>1</v>
      </c>
      <c r="CS334" s="1867">
        <f t="shared" si="231"/>
        <v>1</v>
      </c>
      <c r="CT334" s="1867">
        <f t="shared" si="232"/>
        <v>1</v>
      </c>
      <c r="CU334" s="1867">
        <f t="shared" si="233"/>
        <v>1</v>
      </c>
    </row>
    <row r="335" spans="1:100" x14ac:dyDescent="0.25">
      <c r="A335" s="5640" t="s">
        <v>5175</v>
      </c>
      <c r="B335" s="6112" t="s">
        <v>944</v>
      </c>
      <c r="C335" s="247" t="s">
        <v>945</v>
      </c>
      <c r="D335" s="299" t="s">
        <v>4567</v>
      </c>
      <c r="E335" s="573" t="s">
        <v>4568</v>
      </c>
      <c r="F335" s="146" t="s">
        <v>4569</v>
      </c>
      <c r="G335" s="290" t="s">
        <v>4570</v>
      </c>
      <c r="H335" s="22" t="s">
        <v>4571</v>
      </c>
      <c r="I335" s="290" t="s">
        <v>4572</v>
      </c>
      <c r="J335" s="22" t="s">
        <v>4573</v>
      </c>
      <c r="K335" s="290" t="s">
        <v>4574</v>
      </c>
      <c r="L335" s="107" t="s">
        <v>4575</v>
      </c>
      <c r="M335" s="290" t="s">
        <v>4576</v>
      </c>
      <c r="N335" s="65" t="s">
        <v>4577</v>
      </c>
      <c r="O335" s="290" t="s">
        <v>4578</v>
      </c>
      <c r="P335" s="107" t="s">
        <v>4579</v>
      </c>
      <c r="Q335" s="290" t="s">
        <v>4580</v>
      </c>
      <c r="R335" s="22" t="s">
        <v>4581</v>
      </c>
      <c r="S335" s="290" t="s">
        <v>4582</v>
      </c>
      <c r="T335" s="22" t="s">
        <v>4583</v>
      </c>
      <c r="U335" s="290" t="s">
        <v>4584</v>
      </c>
      <c r="V335" s="22" t="s">
        <v>4585</v>
      </c>
      <c r="W335" s="290" t="s">
        <v>4586</v>
      </c>
      <c r="X335" s="22" t="s">
        <v>4587</v>
      </c>
      <c r="Y335" s="290" t="s">
        <v>4588</v>
      </c>
      <c r="Z335" s="22" t="s">
        <v>4589</v>
      </c>
      <c r="AA335" s="290" t="s">
        <v>4590</v>
      </c>
      <c r="AB335" s="22" t="s">
        <v>4591</v>
      </c>
      <c r="AC335" s="290" t="s">
        <v>4592</v>
      </c>
      <c r="AD335" s="22" t="s">
        <v>4593</v>
      </c>
      <c r="AE335" s="290" t="s">
        <v>4594</v>
      </c>
      <c r="AF335" s="22" t="s">
        <v>4595</v>
      </c>
      <c r="AG335" s="290" t="s">
        <v>4596</v>
      </c>
      <c r="AH335" s="22" t="s">
        <v>4597</v>
      </c>
      <c r="AI335" s="290" t="s">
        <v>4598</v>
      </c>
      <c r="AJ335" s="22" t="s">
        <v>4599</v>
      </c>
      <c r="AK335" s="290" t="s">
        <v>4600</v>
      </c>
      <c r="AL335" s="22" t="s">
        <v>4601</v>
      </c>
      <c r="AM335" s="290" t="s">
        <v>4602</v>
      </c>
      <c r="AN335" s="22" t="s">
        <v>4603</v>
      </c>
      <c r="AO335" s="290" t="s">
        <v>4604</v>
      </c>
      <c r="AP335" s="22" t="s">
        <v>4605</v>
      </c>
      <c r="AQ335" s="290" t="s">
        <v>4606</v>
      </c>
      <c r="AR335" s="61" t="s">
        <v>4934</v>
      </c>
      <c r="AS335" s="22" t="s">
        <v>4935</v>
      </c>
      <c r="AT335" s="107" t="s">
        <v>4936</v>
      </c>
      <c r="AU335" s="290" t="s">
        <v>4937</v>
      </c>
      <c r="AV335" s="531" t="s">
        <v>5234</v>
      </c>
      <c r="AW335" s="531" t="s">
        <v>5235</v>
      </c>
      <c r="AX335" s="107" t="s">
        <v>5236</v>
      </c>
      <c r="AY335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5" s="135" t="str">
        <f t="shared" si="234"/>
        <v xml:space="preserve"> * La variable Trans (masculino) No puede ser mayor al Total Mujeres.</v>
      </c>
      <c r="CC335" s="135" t="str">
        <f>IF(AND(E335&gt;0,OR(AT335="")),"* No olvide digitar la variable Trans (Femenino). Digite Cero si no tiene.",IF(AT335&gt;E335," * La variable Trans (Femenino) No puede ser mayor al Total Hombres.",""))</f>
        <v xml:space="preserve"> * La variable Trans (Femenino) No puede ser mayor al Total Hombres.</v>
      </c>
      <c r="CD335" s="135" t="str">
        <f t="shared" si="235"/>
        <v xml:space="preserve"> * La variable Pueblos originarios No puede ser mayor al Total Ambos Sexos.</v>
      </c>
      <c r="CE335" s="135" t="str">
        <f t="shared" si="236"/>
        <v xml:space="preserve"> * La variable Migrantes No puede ser mayor al Total Ambos Sexos.</v>
      </c>
      <c r="CF335" s="135" t="str">
        <f t="shared" si="237"/>
        <v xml:space="preserve"> * La variable Niños, niñas adolescentes y Jóvenes SENAME No puede ser mayor al Total Ambos Sexos.</v>
      </c>
      <c r="CG335" s="135" t="str">
        <f t="shared" si="238"/>
        <v xml:space="preserve"> * La variable Niños, niñas adolescentes y Jóvenes Mejor Niñez No puede ser mayor al Total Ambos Sexos.</v>
      </c>
      <c r="CP335" s="1867">
        <f>IF(AND(F335&gt;0,OR(AS335="")),1,IF(AS335&gt;F335,1,0))</f>
        <v>1</v>
      </c>
      <c r="CQ335" s="1867">
        <f>IF(AND(E335&gt;0,OR(AT335="")),1,IF(AT335&gt;E335,1,0))</f>
        <v>1</v>
      </c>
      <c r="CR335" s="1867">
        <f t="shared" si="230"/>
        <v>1</v>
      </c>
      <c r="CS335" s="1867">
        <f t="shared" si="231"/>
        <v>1</v>
      </c>
      <c r="CT335" s="1867">
        <f t="shared" si="232"/>
        <v>1</v>
      </c>
      <c r="CU335" s="1867">
        <f t="shared" si="233"/>
        <v>1</v>
      </c>
    </row>
    <row r="336" spans="1:100" x14ac:dyDescent="0.25">
      <c r="A336" s="5640" t="s">
        <v>5176</v>
      </c>
      <c r="B336" s="6112"/>
      <c r="C336" s="498" t="s">
        <v>946</v>
      </c>
      <c r="D336" s="299" t="s">
        <v>4567</v>
      </c>
      <c r="E336" s="573" t="s">
        <v>4568</v>
      </c>
      <c r="F336" s="146" t="s">
        <v>4569</v>
      </c>
      <c r="G336" s="345" t="s">
        <v>4570</v>
      </c>
      <c r="H336" s="347" t="s">
        <v>4571</v>
      </c>
      <c r="I336" s="345" t="s">
        <v>4572</v>
      </c>
      <c r="J336" s="347" t="s">
        <v>4573</v>
      </c>
      <c r="K336" s="345" t="s">
        <v>4574</v>
      </c>
      <c r="L336" s="346" t="s">
        <v>4575</v>
      </c>
      <c r="M336" s="345" t="s">
        <v>4576</v>
      </c>
      <c r="N336" s="554" t="s">
        <v>4577</v>
      </c>
      <c r="O336" s="345" t="s">
        <v>4578</v>
      </c>
      <c r="P336" s="346" t="s">
        <v>4579</v>
      </c>
      <c r="Q336" s="345" t="s">
        <v>4580</v>
      </c>
      <c r="R336" s="347" t="s">
        <v>4581</v>
      </c>
      <c r="S336" s="345" t="s">
        <v>4582</v>
      </c>
      <c r="T336" s="347" t="s">
        <v>4583</v>
      </c>
      <c r="U336" s="345" t="s">
        <v>4584</v>
      </c>
      <c r="V336" s="347" t="s">
        <v>4585</v>
      </c>
      <c r="W336" s="345" t="s">
        <v>4586</v>
      </c>
      <c r="X336" s="347" t="s">
        <v>4587</v>
      </c>
      <c r="Y336" s="345" t="s">
        <v>4588</v>
      </c>
      <c r="Z336" s="347" t="s">
        <v>4589</v>
      </c>
      <c r="AA336" s="345" t="s">
        <v>4590</v>
      </c>
      <c r="AB336" s="347" t="s">
        <v>4591</v>
      </c>
      <c r="AC336" s="345" t="s">
        <v>4592</v>
      </c>
      <c r="AD336" s="347" t="s">
        <v>4593</v>
      </c>
      <c r="AE336" s="345" t="s">
        <v>4594</v>
      </c>
      <c r="AF336" s="347" t="s">
        <v>4595</v>
      </c>
      <c r="AG336" s="345" t="s">
        <v>4596</v>
      </c>
      <c r="AH336" s="347" t="s">
        <v>4597</v>
      </c>
      <c r="AI336" s="345" t="s">
        <v>4598</v>
      </c>
      <c r="AJ336" s="347" t="s">
        <v>4599</v>
      </c>
      <c r="AK336" s="345" t="s">
        <v>4600</v>
      </c>
      <c r="AL336" s="347" t="s">
        <v>4601</v>
      </c>
      <c r="AM336" s="345" t="s">
        <v>4602</v>
      </c>
      <c r="AN336" s="347" t="s">
        <v>4603</v>
      </c>
      <c r="AO336" s="345" t="s">
        <v>4604</v>
      </c>
      <c r="AP336" s="347" t="s">
        <v>4605</v>
      </c>
      <c r="AQ336" s="345" t="s">
        <v>4606</v>
      </c>
      <c r="AR336" s="480" t="s">
        <v>4934</v>
      </c>
      <c r="AS336" s="347" t="s">
        <v>4935</v>
      </c>
      <c r="AT336" s="346" t="s">
        <v>4936</v>
      </c>
      <c r="AU336" s="345" t="s">
        <v>4937</v>
      </c>
      <c r="AV336" s="368" t="s">
        <v>5234</v>
      </c>
      <c r="AW336" s="368" t="s">
        <v>5235</v>
      </c>
      <c r="AX336" s="346" t="s">
        <v>5236</v>
      </c>
      <c r="AY336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6" s="135" t="str">
        <f t="shared" si="234"/>
        <v xml:space="preserve"> * La variable Trans (masculino) No puede ser mayor al Total Mujeres.</v>
      </c>
      <c r="CC336" s="135" t="str">
        <f>IF(AND(E336&gt;0,OR(AT336="")),"* No olvide digitar la variable Trans (Femenino). Digite Cero si no tiene.",IF(AT336&gt;E336," * La variable Trans (Femenino) No puede ser mayor al Total Hombres.",""))</f>
        <v xml:space="preserve"> * La variable Trans (Femenino) No puede ser mayor al Total Hombres.</v>
      </c>
      <c r="CD336" s="135" t="str">
        <f t="shared" si="235"/>
        <v xml:space="preserve"> * La variable Pueblos originarios No puede ser mayor al Total Ambos Sexos.</v>
      </c>
      <c r="CE336" s="135" t="str">
        <f t="shared" si="236"/>
        <v xml:space="preserve"> * La variable Migrantes No puede ser mayor al Total Ambos Sexos.</v>
      </c>
      <c r="CF336" s="135" t="str">
        <f t="shared" si="237"/>
        <v xml:space="preserve"> * La variable Niños, niñas adolescentes y Jóvenes SENAME No puede ser mayor al Total Ambos Sexos.</v>
      </c>
      <c r="CG336" s="135" t="str">
        <f t="shared" si="238"/>
        <v xml:space="preserve"> * La variable Niños, niñas adolescentes y Jóvenes Mejor Niñez No puede ser mayor al Total Ambos Sexos.</v>
      </c>
      <c r="CP336" s="1867">
        <f>IF(AND(F336&gt;0,OR(AS336="")),1,IF(AS336&gt;F336,1,0))</f>
        <v>1</v>
      </c>
      <c r="CQ336" s="1867">
        <f>IF(AND(E336&gt;0,OR(AT336="")),1,IF(AT336&gt;E336,1,0))</f>
        <v>1</v>
      </c>
      <c r="CR336" s="1867">
        <f t="shared" si="230"/>
        <v>1</v>
      </c>
      <c r="CS336" s="1867">
        <f t="shared" si="231"/>
        <v>1</v>
      </c>
      <c r="CT336" s="1867">
        <f t="shared" si="232"/>
        <v>1</v>
      </c>
      <c r="CU336" s="1867">
        <f t="shared" si="233"/>
        <v>1</v>
      </c>
    </row>
    <row r="337" spans="1:100" x14ac:dyDescent="0.25">
      <c r="A337" s="5640" t="s">
        <v>5177</v>
      </c>
      <c r="B337" s="6112"/>
      <c r="C337" s="498" t="s">
        <v>947</v>
      </c>
      <c r="D337" s="299" t="s">
        <v>4567</v>
      </c>
      <c r="E337" s="573" t="s">
        <v>4568</v>
      </c>
      <c r="F337" s="146" t="s">
        <v>4569</v>
      </c>
      <c r="G337" s="345" t="s">
        <v>4570</v>
      </c>
      <c r="H337" s="347" t="s">
        <v>4571</v>
      </c>
      <c r="I337" s="345" t="s">
        <v>4572</v>
      </c>
      <c r="J337" s="347" t="s">
        <v>4573</v>
      </c>
      <c r="K337" s="345" t="s">
        <v>4574</v>
      </c>
      <c r="L337" s="346" t="s">
        <v>4575</v>
      </c>
      <c r="M337" s="345" t="s">
        <v>4576</v>
      </c>
      <c r="N337" s="554" t="s">
        <v>4577</v>
      </c>
      <c r="O337" s="345" t="s">
        <v>4578</v>
      </c>
      <c r="P337" s="346" t="s">
        <v>4579</v>
      </c>
      <c r="Q337" s="345" t="s">
        <v>4580</v>
      </c>
      <c r="R337" s="347" t="s">
        <v>4581</v>
      </c>
      <c r="S337" s="345" t="s">
        <v>4582</v>
      </c>
      <c r="T337" s="347" t="s">
        <v>4583</v>
      </c>
      <c r="U337" s="345" t="s">
        <v>4584</v>
      </c>
      <c r="V337" s="347" t="s">
        <v>4585</v>
      </c>
      <c r="W337" s="345" t="s">
        <v>4586</v>
      </c>
      <c r="X337" s="347" t="s">
        <v>4587</v>
      </c>
      <c r="Y337" s="345" t="s">
        <v>4588</v>
      </c>
      <c r="Z337" s="347" t="s">
        <v>4589</v>
      </c>
      <c r="AA337" s="345" t="s">
        <v>4590</v>
      </c>
      <c r="AB337" s="347" t="s">
        <v>4591</v>
      </c>
      <c r="AC337" s="345" t="s">
        <v>4592</v>
      </c>
      <c r="AD337" s="347" t="s">
        <v>4593</v>
      </c>
      <c r="AE337" s="345" t="s">
        <v>4594</v>
      </c>
      <c r="AF337" s="347" t="s">
        <v>4595</v>
      </c>
      <c r="AG337" s="345" t="s">
        <v>4596</v>
      </c>
      <c r="AH337" s="347" t="s">
        <v>4597</v>
      </c>
      <c r="AI337" s="345" t="s">
        <v>4598</v>
      </c>
      <c r="AJ337" s="347" t="s">
        <v>4599</v>
      </c>
      <c r="AK337" s="345" t="s">
        <v>4600</v>
      </c>
      <c r="AL337" s="347" t="s">
        <v>4601</v>
      </c>
      <c r="AM337" s="345" t="s">
        <v>4602</v>
      </c>
      <c r="AN337" s="347" t="s">
        <v>4603</v>
      </c>
      <c r="AO337" s="345" t="s">
        <v>4604</v>
      </c>
      <c r="AP337" s="347" t="s">
        <v>4605</v>
      </c>
      <c r="AQ337" s="345" t="s">
        <v>4606</v>
      </c>
      <c r="AR337" s="480" t="s">
        <v>4934</v>
      </c>
      <c r="AS337" s="347" t="s">
        <v>4935</v>
      </c>
      <c r="AT337" s="346" t="s">
        <v>4936</v>
      </c>
      <c r="AU337" s="345" t="s">
        <v>4937</v>
      </c>
      <c r="AV337" s="368" t="s">
        <v>5234</v>
      </c>
      <c r="AW337" s="368" t="s">
        <v>5235</v>
      </c>
      <c r="AX337" s="346" t="s">
        <v>5236</v>
      </c>
      <c r="AY337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7" s="135" t="str">
        <f t="shared" si="234"/>
        <v xml:space="preserve"> * La variable Trans (masculino) No puede ser mayor al Total Mujeres.</v>
      </c>
      <c r="CC337" s="135" t="str">
        <f>IF(AND(E337&gt;0,OR(AT337="")),"* No olvide digitar la variable Trans (Femenino). Digite Cero si no tiene.",IF(AT337&gt;E337," * La variable Trans (Femenino) No puede ser mayor al Total Hombres.",""))</f>
        <v xml:space="preserve"> * La variable Trans (Femenino) No puede ser mayor al Total Hombres.</v>
      </c>
      <c r="CD337" s="135" t="str">
        <f t="shared" si="235"/>
        <v xml:space="preserve"> * La variable Pueblos originarios No puede ser mayor al Total Ambos Sexos.</v>
      </c>
      <c r="CE337" s="135" t="str">
        <f t="shared" si="236"/>
        <v xml:space="preserve"> * La variable Migrantes No puede ser mayor al Total Ambos Sexos.</v>
      </c>
      <c r="CF337" s="135" t="str">
        <f t="shared" si="237"/>
        <v xml:space="preserve"> * La variable Niños, niñas adolescentes y Jóvenes SENAME No puede ser mayor al Total Ambos Sexos.</v>
      </c>
      <c r="CG337" s="135" t="str">
        <f t="shared" si="238"/>
        <v xml:space="preserve"> * La variable Niños, niñas adolescentes y Jóvenes Mejor Niñez No puede ser mayor al Total Ambos Sexos.</v>
      </c>
      <c r="CP337" s="1867">
        <f>IF(AND(F337&gt;0,OR(AS337="")),1,IF(AS337&gt;F337,1,0))</f>
        <v>1</v>
      </c>
      <c r="CQ337" s="1867">
        <f>IF(AND(E337&gt;0,OR(AT337="")),1,IF(AT337&gt;E337,1,0))</f>
        <v>1</v>
      </c>
      <c r="CR337" s="1867">
        <f t="shared" si="230"/>
        <v>1</v>
      </c>
      <c r="CS337" s="1867">
        <f t="shared" si="231"/>
        <v>1</v>
      </c>
      <c r="CT337" s="1867">
        <f t="shared" si="232"/>
        <v>1</v>
      </c>
      <c r="CU337" s="1867">
        <f t="shared" si="233"/>
        <v>1</v>
      </c>
    </row>
    <row r="338" spans="1:100" x14ac:dyDescent="0.25">
      <c r="A338" s="5640" t="s">
        <v>5178</v>
      </c>
      <c r="B338" s="6112"/>
      <c r="C338" s="356" t="s">
        <v>699</v>
      </c>
      <c r="D338" s="299" t="s">
        <v>4567</v>
      </c>
      <c r="E338" s="573" t="s">
        <v>4568</v>
      </c>
      <c r="F338" s="146" t="s">
        <v>4569</v>
      </c>
      <c r="G338" s="345" t="s">
        <v>4570</v>
      </c>
      <c r="H338" s="347" t="s">
        <v>4571</v>
      </c>
      <c r="I338" s="345" t="s">
        <v>4572</v>
      </c>
      <c r="J338" s="347" t="s">
        <v>4573</v>
      </c>
      <c r="K338" s="345" t="s">
        <v>4574</v>
      </c>
      <c r="L338" s="346" t="s">
        <v>4575</v>
      </c>
      <c r="M338" s="345" t="s">
        <v>4576</v>
      </c>
      <c r="N338" s="554" t="s">
        <v>4577</v>
      </c>
      <c r="O338" s="345" t="s">
        <v>4578</v>
      </c>
      <c r="P338" s="346" t="s">
        <v>4579</v>
      </c>
      <c r="Q338" s="345" t="s">
        <v>4580</v>
      </c>
      <c r="R338" s="347" t="s">
        <v>4581</v>
      </c>
      <c r="S338" s="345" t="s">
        <v>4582</v>
      </c>
      <c r="T338" s="347" t="s">
        <v>4583</v>
      </c>
      <c r="U338" s="345" t="s">
        <v>4584</v>
      </c>
      <c r="V338" s="347" t="s">
        <v>4585</v>
      </c>
      <c r="W338" s="345" t="s">
        <v>4586</v>
      </c>
      <c r="X338" s="347" t="s">
        <v>4587</v>
      </c>
      <c r="Y338" s="345" t="s">
        <v>4588</v>
      </c>
      <c r="Z338" s="347" t="s">
        <v>4589</v>
      </c>
      <c r="AA338" s="345" t="s">
        <v>4590</v>
      </c>
      <c r="AB338" s="347" t="s">
        <v>4591</v>
      </c>
      <c r="AC338" s="345" t="s">
        <v>4592</v>
      </c>
      <c r="AD338" s="347" t="s">
        <v>4593</v>
      </c>
      <c r="AE338" s="345" t="s">
        <v>4594</v>
      </c>
      <c r="AF338" s="347" t="s">
        <v>4595</v>
      </c>
      <c r="AG338" s="345" t="s">
        <v>4596</v>
      </c>
      <c r="AH338" s="347" t="s">
        <v>4597</v>
      </c>
      <c r="AI338" s="345" t="s">
        <v>4598</v>
      </c>
      <c r="AJ338" s="347" t="s">
        <v>4599</v>
      </c>
      <c r="AK338" s="345" t="s">
        <v>4600</v>
      </c>
      <c r="AL338" s="347" t="s">
        <v>4601</v>
      </c>
      <c r="AM338" s="345" t="s">
        <v>4602</v>
      </c>
      <c r="AN338" s="347" t="s">
        <v>4603</v>
      </c>
      <c r="AO338" s="345" t="s">
        <v>4604</v>
      </c>
      <c r="AP338" s="347" t="s">
        <v>4605</v>
      </c>
      <c r="AQ338" s="345" t="s">
        <v>4606</v>
      </c>
      <c r="AR338" s="480" t="s">
        <v>4934</v>
      </c>
      <c r="AS338" s="347" t="s">
        <v>4935</v>
      </c>
      <c r="AT338" s="346" t="s">
        <v>4936</v>
      </c>
      <c r="AU338" s="345" t="s">
        <v>4937</v>
      </c>
      <c r="AV338" s="368" t="s">
        <v>5234</v>
      </c>
      <c r="AW338" s="368" t="s">
        <v>5235</v>
      </c>
      <c r="AX338" s="346" t="s">
        <v>5236</v>
      </c>
      <c r="AY338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8" s="135" t="str">
        <f t="shared" si="234"/>
        <v xml:space="preserve"> * La variable Trans (masculino) No puede ser mayor al Total Mujeres.</v>
      </c>
      <c r="CC338" s="135" t="str">
        <f>IF(AND(E338&gt;0,OR(AT338="")),"* No olvide digitar la variable Trans (Femenino). Digite Cero si no tiene.",IF(AT338&gt;E338," * La variable Trans (Femenino) No puede ser mayor al Total Hombres.",""))</f>
        <v xml:space="preserve"> * La variable Trans (Femenino) No puede ser mayor al Total Hombres.</v>
      </c>
      <c r="CD338" s="135" t="str">
        <f t="shared" si="235"/>
        <v xml:space="preserve"> * La variable Pueblos originarios No puede ser mayor al Total Ambos Sexos.</v>
      </c>
      <c r="CE338" s="135" t="str">
        <f t="shared" si="236"/>
        <v xml:space="preserve"> * La variable Migrantes No puede ser mayor al Total Ambos Sexos.</v>
      </c>
      <c r="CF338" s="135" t="str">
        <f t="shared" si="237"/>
        <v xml:space="preserve"> * La variable Niños, niñas adolescentes y Jóvenes SENAME No puede ser mayor al Total Ambos Sexos.</v>
      </c>
      <c r="CG338" s="135" t="str">
        <f t="shared" si="238"/>
        <v xml:space="preserve"> * La variable Niños, niñas adolescentes y Jóvenes Mejor Niñez No puede ser mayor al Total Ambos Sexos.</v>
      </c>
      <c r="CP338" s="1867">
        <f>IF(AND(F338&gt;0,OR(AS338="")),1,IF(AS338&gt;F338,1,0))</f>
        <v>1</v>
      </c>
      <c r="CQ338" s="1867">
        <f>IF(AND(E338&gt;0,OR(AT338="")),1,IF(AT338&gt;E338,1,0))</f>
        <v>1</v>
      </c>
      <c r="CR338" s="1867">
        <f t="shared" si="230"/>
        <v>1</v>
      </c>
      <c r="CS338" s="1867">
        <f t="shared" si="231"/>
        <v>1</v>
      </c>
      <c r="CT338" s="1867">
        <f t="shared" si="232"/>
        <v>1</v>
      </c>
      <c r="CU338" s="1867">
        <f t="shared" si="233"/>
        <v>1</v>
      </c>
    </row>
    <row r="339" spans="1:100" x14ac:dyDescent="0.25">
      <c r="A339" s="5640" t="s">
        <v>5179</v>
      </c>
      <c r="B339" s="6059"/>
      <c r="C339" s="398" t="s">
        <v>948</v>
      </c>
      <c r="D339" s="482" t="s">
        <v>4567</v>
      </c>
      <c r="E339" s="581" t="s">
        <v>4568</v>
      </c>
      <c r="F339" s="484" t="s">
        <v>4569</v>
      </c>
      <c r="G339" s="372" t="s">
        <v>4570</v>
      </c>
      <c r="H339" s="541" t="s">
        <v>4571</v>
      </c>
      <c r="I339" s="372" t="s">
        <v>4572</v>
      </c>
      <c r="J339" s="541" t="s">
        <v>4573</v>
      </c>
      <c r="K339" s="372" t="s">
        <v>4574</v>
      </c>
      <c r="L339" s="726" t="s">
        <v>4575</v>
      </c>
      <c r="M339" s="372" t="s">
        <v>4576</v>
      </c>
      <c r="N339" s="643" t="s">
        <v>4577</v>
      </c>
      <c r="O339" s="372" t="s">
        <v>4578</v>
      </c>
      <c r="P339" s="726" t="s">
        <v>4579</v>
      </c>
      <c r="Q339" s="372" t="s">
        <v>4580</v>
      </c>
      <c r="R339" s="541" t="s">
        <v>4581</v>
      </c>
      <c r="S339" s="372" t="s">
        <v>4582</v>
      </c>
      <c r="T339" s="541" t="s">
        <v>4583</v>
      </c>
      <c r="U339" s="372" t="s">
        <v>4584</v>
      </c>
      <c r="V339" s="541" t="s">
        <v>4585</v>
      </c>
      <c r="W339" s="372" t="s">
        <v>4586</v>
      </c>
      <c r="X339" s="541" t="s">
        <v>4587</v>
      </c>
      <c r="Y339" s="372" t="s">
        <v>4588</v>
      </c>
      <c r="Z339" s="541" t="s">
        <v>4589</v>
      </c>
      <c r="AA339" s="372" t="s">
        <v>4590</v>
      </c>
      <c r="AB339" s="541" t="s">
        <v>4591</v>
      </c>
      <c r="AC339" s="372" t="s">
        <v>4592</v>
      </c>
      <c r="AD339" s="541" t="s">
        <v>4593</v>
      </c>
      <c r="AE339" s="372" t="s">
        <v>4594</v>
      </c>
      <c r="AF339" s="541" t="s">
        <v>4595</v>
      </c>
      <c r="AG339" s="372" t="s">
        <v>4596</v>
      </c>
      <c r="AH339" s="541" t="s">
        <v>4597</v>
      </c>
      <c r="AI339" s="372" t="s">
        <v>4598</v>
      </c>
      <c r="AJ339" s="541" t="s">
        <v>4599</v>
      </c>
      <c r="AK339" s="372" t="s">
        <v>4600</v>
      </c>
      <c r="AL339" s="541" t="s">
        <v>4601</v>
      </c>
      <c r="AM339" s="372" t="s">
        <v>4602</v>
      </c>
      <c r="AN339" s="541" t="s">
        <v>4603</v>
      </c>
      <c r="AO339" s="372" t="s">
        <v>4604</v>
      </c>
      <c r="AP339" s="541" t="s">
        <v>4605</v>
      </c>
      <c r="AQ339" s="372" t="s">
        <v>4606</v>
      </c>
      <c r="AR339" s="586" t="s">
        <v>4934</v>
      </c>
      <c r="AS339" s="541" t="s">
        <v>4935</v>
      </c>
      <c r="AT339" s="726" t="s">
        <v>4936</v>
      </c>
      <c r="AU339" s="372" t="s">
        <v>4937</v>
      </c>
      <c r="AV339" s="262" t="s">
        <v>5234</v>
      </c>
      <c r="AW339" s="262" t="s">
        <v>5235</v>
      </c>
      <c r="AX339" s="527" t="s">
        <v>5236</v>
      </c>
      <c r="AY339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9" s="135" t="str">
        <f t="shared" si="234"/>
        <v xml:space="preserve"> * La variable Trans (masculino) No puede ser mayor al Total Mujeres.</v>
      </c>
      <c r="CC339" s="135" t="str">
        <f>IF(AND(E339&gt;0,OR(AT339="")),"* No olvide digitar la variable Trans (Femenino). Digite Cero si no tiene.",IF(AT339&gt;E339," * La variable Trans (Femenino) No puede ser mayor al Total Hombres.",""))</f>
        <v xml:space="preserve"> * La variable Trans (Femenino) No puede ser mayor al Total Hombres.</v>
      </c>
      <c r="CD339" s="135" t="str">
        <f t="shared" si="235"/>
        <v xml:space="preserve"> * La variable Pueblos originarios No puede ser mayor al Total Ambos Sexos.</v>
      </c>
      <c r="CE339" s="135" t="str">
        <f t="shared" si="236"/>
        <v xml:space="preserve"> * La variable Migrantes No puede ser mayor al Total Ambos Sexos.</v>
      </c>
      <c r="CF339" s="135" t="str">
        <f t="shared" si="237"/>
        <v xml:space="preserve"> * La variable Niños, niñas adolescentes y Jóvenes SENAME No puede ser mayor al Total Ambos Sexos.</v>
      </c>
      <c r="CG339" s="135" t="str">
        <f t="shared" si="238"/>
        <v xml:space="preserve"> * La variable Niños, niñas adolescentes y Jóvenes Mejor Niñez No puede ser mayor al Total Ambos Sexos.</v>
      </c>
      <c r="CP339" s="1867">
        <f>IF(AND(F339&gt;0,OR(AS339="")),1,IF(AS339&gt;F339,1,0))</f>
        <v>1</v>
      </c>
      <c r="CQ339" s="1867">
        <f>IF(AND(E339&gt;0,OR(AT339="")),1,IF(AT339&gt;E339,1,0))</f>
        <v>1</v>
      </c>
      <c r="CR339" s="1867">
        <f t="shared" si="230"/>
        <v>1</v>
      </c>
      <c r="CS339" s="1867">
        <f t="shared" si="231"/>
        <v>1</v>
      </c>
      <c r="CT339" s="1867">
        <f t="shared" si="232"/>
        <v>1</v>
      </c>
      <c r="CU339" s="1867">
        <f t="shared" si="233"/>
        <v>1</v>
      </c>
    </row>
    <row r="340" spans="1:100" s="6" customFormat="1" ht="18" customHeight="1" x14ac:dyDescent="0.2">
      <c r="B340" s="3" t="s">
        <v>949</v>
      </c>
      <c r="C340" s="93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</row>
    <row r="341" spans="1:100" x14ac:dyDescent="0.25">
      <c r="B341" s="6212" t="s">
        <v>285</v>
      </c>
      <c r="C341" s="6511"/>
      <c r="D341" s="6417" t="s">
        <v>192</v>
      </c>
      <c r="E341" s="6417"/>
      <c r="F341" s="6417"/>
      <c r="G341" s="6411" t="s">
        <v>101</v>
      </c>
      <c r="H341" s="6534"/>
      <c r="I341" s="6534"/>
      <c r="J341" s="6534"/>
      <c r="K341" s="6534"/>
      <c r="L341" s="6534"/>
      <c r="M341" s="6534"/>
      <c r="N341" s="6534"/>
      <c r="O341" s="6534"/>
      <c r="P341" s="6534"/>
      <c r="Q341" s="6534"/>
      <c r="R341" s="6534"/>
      <c r="S341" s="6534"/>
      <c r="T341" s="6534"/>
      <c r="U341" s="6534"/>
      <c r="V341" s="6534"/>
      <c r="W341" s="6534"/>
      <c r="X341" s="6534"/>
      <c r="Y341" s="6534"/>
      <c r="Z341" s="6534"/>
      <c r="AA341" s="6534"/>
      <c r="AB341" s="6534"/>
      <c r="AC341" s="6534"/>
      <c r="AD341" s="6534"/>
      <c r="AE341" s="6534"/>
      <c r="AF341" s="6534"/>
      <c r="AG341" s="6534"/>
      <c r="AH341" s="6447"/>
      <c r="AI341" s="6510" t="s">
        <v>457</v>
      </c>
      <c r="AJ341" s="6511"/>
      <c r="AK341" s="6454" t="s">
        <v>36</v>
      </c>
      <c r="AL341" s="6511" t="s">
        <v>37</v>
      </c>
    </row>
    <row r="342" spans="1:100" x14ac:dyDescent="0.25">
      <c r="B342" s="6044"/>
      <c r="C342" s="6027"/>
      <c r="D342" s="6417"/>
      <c r="E342" s="6417"/>
      <c r="F342" s="6417"/>
      <c r="G342" s="6417" t="s">
        <v>44</v>
      </c>
      <c r="H342" s="6417"/>
      <c r="I342" s="6411" t="s">
        <v>45</v>
      </c>
      <c r="J342" s="6448"/>
      <c r="K342" s="6419" t="s">
        <v>46</v>
      </c>
      <c r="L342" s="6419"/>
      <c r="M342" s="6419" t="s">
        <v>47</v>
      </c>
      <c r="N342" s="6419"/>
      <c r="O342" s="6419" t="s">
        <v>48</v>
      </c>
      <c r="P342" s="6419"/>
      <c r="Q342" s="6419" t="s">
        <v>49</v>
      </c>
      <c r="R342" s="6419"/>
      <c r="S342" s="6419" t="s">
        <v>50</v>
      </c>
      <c r="T342" s="6419"/>
      <c r="U342" s="6419" t="s">
        <v>51</v>
      </c>
      <c r="V342" s="6419"/>
      <c r="W342" s="6419" t="s">
        <v>52</v>
      </c>
      <c r="X342" s="6419"/>
      <c r="Y342" s="6419" t="s">
        <v>53</v>
      </c>
      <c r="Z342" s="6419"/>
      <c r="AA342" s="6419" t="s">
        <v>54</v>
      </c>
      <c r="AB342" s="6419"/>
      <c r="AC342" s="6419" t="s">
        <v>55</v>
      </c>
      <c r="AD342" s="6419"/>
      <c r="AE342" s="6419" t="s">
        <v>56</v>
      </c>
      <c r="AF342" s="6419"/>
      <c r="AG342" s="6419" t="s">
        <v>57</v>
      </c>
      <c r="AH342" s="6420"/>
      <c r="AI342" s="6150"/>
      <c r="AJ342" s="6028"/>
      <c r="AK342" s="6102"/>
      <c r="AL342" s="6027"/>
    </row>
    <row r="343" spans="1:100" x14ac:dyDescent="0.25">
      <c r="B343" s="6064"/>
      <c r="C343" s="6028"/>
      <c r="D343" s="593" t="s">
        <v>79</v>
      </c>
      <c r="E343" s="594" t="s">
        <v>58</v>
      </c>
      <c r="F343" s="570" t="s">
        <v>59</v>
      </c>
      <c r="G343" s="593" t="s">
        <v>461</v>
      </c>
      <c r="H343" s="468" t="s">
        <v>59</v>
      </c>
      <c r="I343" s="593" t="s">
        <v>461</v>
      </c>
      <c r="J343" s="468" t="s">
        <v>59</v>
      </c>
      <c r="K343" s="593" t="s">
        <v>461</v>
      </c>
      <c r="L343" s="468" t="s">
        <v>59</v>
      </c>
      <c r="M343" s="593" t="s">
        <v>461</v>
      </c>
      <c r="N343" s="468" t="s">
        <v>59</v>
      </c>
      <c r="O343" s="593" t="s">
        <v>461</v>
      </c>
      <c r="P343" s="468" t="s">
        <v>59</v>
      </c>
      <c r="Q343" s="593" t="s">
        <v>461</v>
      </c>
      <c r="R343" s="468" t="s">
        <v>59</v>
      </c>
      <c r="S343" s="593" t="s">
        <v>461</v>
      </c>
      <c r="T343" s="468" t="s">
        <v>59</v>
      </c>
      <c r="U343" s="593" t="s">
        <v>461</v>
      </c>
      <c r="V343" s="468" t="s">
        <v>59</v>
      </c>
      <c r="W343" s="593" t="s">
        <v>461</v>
      </c>
      <c r="X343" s="468" t="s">
        <v>59</v>
      </c>
      <c r="Y343" s="593" t="s">
        <v>461</v>
      </c>
      <c r="Z343" s="468" t="s">
        <v>59</v>
      </c>
      <c r="AA343" s="593" t="s">
        <v>461</v>
      </c>
      <c r="AB343" s="468" t="s">
        <v>59</v>
      </c>
      <c r="AC343" s="593" t="s">
        <v>461</v>
      </c>
      <c r="AD343" s="468" t="s">
        <v>59</v>
      </c>
      <c r="AE343" s="593" t="s">
        <v>461</v>
      </c>
      <c r="AF343" s="468" t="s">
        <v>59</v>
      </c>
      <c r="AG343" s="593" t="s">
        <v>461</v>
      </c>
      <c r="AH343" s="469" t="s">
        <v>59</v>
      </c>
      <c r="AI343" s="547" t="s">
        <v>462</v>
      </c>
      <c r="AJ343" s="549" t="s">
        <v>463</v>
      </c>
      <c r="AK343" s="6103"/>
      <c r="AL343" s="6028"/>
    </row>
    <row r="344" spans="1:100" x14ac:dyDescent="0.25">
      <c r="A344" s="5640" t="s">
        <v>5180</v>
      </c>
      <c r="B344" s="6540" t="s">
        <v>939</v>
      </c>
      <c r="C344" s="6540"/>
      <c r="D344" s="599" t="s">
        <v>4567</v>
      </c>
      <c r="E344" s="600" t="s">
        <v>4568</v>
      </c>
      <c r="F344" s="561" t="s">
        <v>4569</v>
      </c>
      <c r="G344" s="504" t="s">
        <v>4570</v>
      </c>
      <c r="H344" s="506" t="s">
        <v>4571</v>
      </c>
      <c r="I344" s="504" t="s">
        <v>4572</v>
      </c>
      <c r="J344" s="506" t="s">
        <v>4573</v>
      </c>
      <c r="K344" s="504" t="s">
        <v>4574</v>
      </c>
      <c r="L344" s="506" t="s">
        <v>4575</v>
      </c>
      <c r="M344" s="504" t="s">
        <v>4576</v>
      </c>
      <c r="N344" s="506" t="s">
        <v>4577</v>
      </c>
      <c r="O344" s="504" t="s">
        <v>4578</v>
      </c>
      <c r="P344" s="506" t="s">
        <v>4579</v>
      </c>
      <c r="Q344" s="504" t="s">
        <v>4580</v>
      </c>
      <c r="R344" s="506" t="s">
        <v>4581</v>
      </c>
      <c r="S344" s="504" t="s">
        <v>4582</v>
      </c>
      <c r="T344" s="506" t="s">
        <v>4583</v>
      </c>
      <c r="U344" s="504" t="s">
        <v>4584</v>
      </c>
      <c r="V344" s="506" t="s">
        <v>4585</v>
      </c>
      <c r="W344" s="504" t="s">
        <v>4586</v>
      </c>
      <c r="X344" s="506" t="s">
        <v>4587</v>
      </c>
      <c r="Y344" s="504" t="s">
        <v>4588</v>
      </c>
      <c r="Z344" s="506" t="s">
        <v>4589</v>
      </c>
      <c r="AA344" s="504" t="s">
        <v>4590</v>
      </c>
      <c r="AB344" s="506" t="s">
        <v>4591</v>
      </c>
      <c r="AC344" s="504" t="s">
        <v>4592</v>
      </c>
      <c r="AD344" s="506" t="s">
        <v>4593</v>
      </c>
      <c r="AE344" s="504" t="s">
        <v>4594</v>
      </c>
      <c r="AF344" s="506" t="s">
        <v>4595</v>
      </c>
      <c r="AG344" s="504" t="s">
        <v>4596</v>
      </c>
      <c r="AH344" s="722" t="s">
        <v>4597</v>
      </c>
      <c r="AI344" s="506" t="s">
        <v>4598</v>
      </c>
      <c r="AJ344" s="507" t="s">
        <v>4599</v>
      </c>
      <c r="AK344" s="504" t="s">
        <v>4600</v>
      </c>
      <c r="AL344" s="507" t="s">
        <v>4601</v>
      </c>
      <c r="AM344" t="str">
        <f>CB344&amp;CC344&amp;CD344&amp;CE344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4" s="135" t="str">
        <f>IF(AND(F344&gt;0,OR(AI344=""))," * No olvide digitar la variable Trans (Masculino). Digite Cero si no tiene.",IF((AI344)&gt;F344,"*  La variable Trans (Masculino) No puede ser mayor al Total Mujeres.",""))</f>
        <v>*  La variable Trans (Masculino) No puede ser mayor al Total Mujeres.</v>
      </c>
      <c r="CC344" s="135" t="str">
        <f>IF(AND(E344&gt;0,OR(AJ344=""))," * No olvide digitar la variable Trans (Femenino). Digite Cero si no tiene.",IF((AJ344)&gt;E344,"*  La variable Trans (Femenino) No puede ser mayor al Total Hombres.",""))</f>
        <v>*  La variable Trans (Femenino) No puede ser mayor al Total Hombres.</v>
      </c>
      <c r="CD344" s="135" t="str">
        <f>IF(AND(D344&gt;0,AK344="")," * No olvide digitar la variable Pueblos originarios. Digite Cero si no tiene.",IF(AK344&gt;D344," * La variable Pueblos originarios No puede ser mayor al Total.",""))</f>
        <v xml:space="preserve"> * La variable Pueblos originarios No puede ser mayor al Total.</v>
      </c>
      <c r="CE344" s="135" t="str">
        <f>IF(AND(D344&gt;0,AL344="")," * No olvide digitar la variable Migrantes. Digite Cero si no tiene.",IF(AL344&gt;D344," * La variable Migrantes No puede ser mayor al Total.",""))</f>
        <v xml:space="preserve"> * La variable Migrantes No puede ser mayor al Total.</v>
      </c>
      <c r="CP344" s="1867">
        <f>IF(AND(F344&gt;0,OR(AI344="")),1,IF((AI344)&gt;F344,1,0))</f>
        <v>1</v>
      </c>
      <c r="CQ344" s="1867">
        <f>IF(AND(E344&gt;0,OR(AJ344="")),1,IF((AJ344)&gt;E344,1,0))</f>
        <v>1</v>
      </c>
      <c r="CR344" s="1867">
        <f>IF(AND(D344&gt;0,AK344=""),1,IF(AK344&gt;D344,1,0))</f>
        <v>1</v>
      </c>
      <c r="CS344" s="1867">
        <f>IF(AND(D344&gt;0,AL344=""),1,IF(AL344&gt;D344,1,0))</f>
        <v>1</v>
      </c>
    </row>
    <row r="345" spans="1:100" x14ac:dyDescent="0.25">
      <c r="A345" s="5640" t="s">
        <v>5181</v>
      </c>
      <c r="B345" s="6540" t="s">
        <v>941</v>
      </c>
      <c r="C345" s="6540"/>
      <c r="D345" s="599" t="s">
        <v>4567</v>
      </c>
      <c r="E345" s="600" t="s">
        <v>4568</v>
      </c>
      <c r="F345" s="561" t="s">
        <v>4569</v>
      </c>
      <c r="G345" s="504" t="s">
        <v>4570</v>
      </c>
      <c r="H345" s="506" t="s">
        <v>4571</v>
      </c>
      <c r="I345" s="504" t="s">
        <v>4572</v>
      </c>
      <c r="J345" s="506" t="s">
        <v>4573</v>
      </c>
      <c r="K345" s="504" t="s">
        <v>4574</v>
      </c>
      <c r="L345" s="506" t="s">
        <v>4575</v>
      </c>
      <c r="M345" s="504" t="s">
        <v>4576</v>
      </c>
      <c r="N345" s="506" t="s">
        <v>4577</v>
      </c>
      <c r="O345" s="504" t="s">
        <v>4578</v>
      </c>
      <c r="P345" s="506" t="s">
        <v>4579</v>
      </c>
      <c r="Q345" s="504" t="s">
        <v>4580</v>
      </c>
      <c r="R345" s="506" t="s">
        <v>4581</v>
      </c>
      <c r="S345" s="504" t="s">
        <v>4582</v>
      </c>
      <c r="T345" s="506" t="s">
        <v>4583</v>
      </c>
      <c r="U345" s="504" t="s">
        <v>4584</v>
      </c>
      <c r="V345" s="506" t="s">
        <v>4585</v>
      </c>
      <c r="W345" s="504" t="s">
        <v>4586</v>
      </c>
      <c r="X345" s="506" t="s">
        <v>4587</v>
      </c>
      <c r="Y345" s="504" t="s">
        <v>4588</v>
      </c>
      <c r="Z345" s="506" t="s">
        <v>4589</v>
      </c>
      <c r="AA345" s="504" t="s">
        <v>4590</v>
      </c>
      <c r="AB345" s="506" t="s">
        <v>4591</v>
      </c>
      <c r="AC345" s="504" t="s">
        <v>4592</v>
      </c>
      <c r="AD345" s="506" t="s">
        <v>4593</v>
      </c>
      <c r="AE345" s="504" t="s">
        <v>4594</v>
      </c>
      <c r="AF345" s="506" t="s">
        <v>4595</v>
      </c>
      <c r="AG345" s="504" t="s">
        <v>4596</v>
      </c>
      <c r="AH345" s="722" t="s">
        <v>4597</v>
      </c>
      <c r="AI345" s="506" t="s">
        <v>4598</v>
      </c>
      <c r="AJ345" s="507" t="s">
        <v>4599</v>
      </c>
      <c r="AK345" s="504" t="s">
        <v>4600</v>
      </c>
      <c r="AL345" s="507" t="s">
        <v>4601</v>
      </c>
      <c r="AM345" t="str">
        <f>CB345&amp;CC345&amp;CD345&amp;CE345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5" s="135" t="str">
        <f>IF(AND(F345&gt;0,OR(AI345=""))," * No olvide digitar la variable Trans (Masculino). Digite Cero si no tiene.",IF((AI345)&gt;F345,"*  La variable Trans (Masculino) No puede ser mayor al Total Mujeres.",""))</f>
        <v>*  La variable Trans (Masculino) No puede ser mayor al Total Mujeres.</v>
      </c>
      <c r="CC345" s="135" t="str">
        <f>IF(AND(E345&gt;0,OR(AJ345=""))," * No olvide digitar la variable Trans (Femenino). Digite Cero si no tiene.",IF((AJ345)&gt;E345,"*  La variable Trans (Femenino) No puede ser mayor al Total Hombres.",""))</f>
        <v>*  La variable Trans (Femenino) No puede ser mayor al Total Hombres.</v>
      </c>
      <c r="CD345" s="135" t="str">
        <f>IF(AND(D345&gt;0,AK345="")," * No olvide digitar la variable Pueblos originarios. Digite Cero si no tiene.",IF(AK345&gt;D345," * La variable Pueblos originarios No puede ser mayor al Total.",""))</f>
        <v xml:space="preserve"> * La variable Pueblos originarios No puede ser mayor al Total.</v>
      </c>
      <c r="CE345" s="135" t="str">
        <f>IF(AND(D345&gt;0,AL345="")," * No olvide digitar la variable Migrantes. Digite Cero si no tiene.",IF(AL345&gt;D345," * La variable Migrantes No puede ser mayor al Total.",""))</f>
        <v xml:space="preserve"> * La variable Migrantes No puede ser mayor al Total.</v>
      </c>
      <c r="CP345" s="1867">
        <f>IF(AND(F345&gt;0,OR(AI345="")),1,IF((AI345)&gt;F345,1,0))</f>
        <v>1</v>
      </c>
      <c r="CQ345" s="1867">
        <f>IF(AND(E345&gt;0,OR(AJ345="")),1,IF((AJ345)&gt;E345,1,0))</f>
        <v>1</v>
      </c>
      <c r="CR345" s="1867">
        <f>IF(AND(D345&gt;0,AK345=""),1,IF(AK345&gt;D345,1,0))</f>
        <v>1</v>
      </c>
      <c r="CS345" s="1867">
        <f>IF(AND(D345&gt;0,AL345=""),1,IF(AL345&gt;D345,1,0))</f>
        <v>1</v>
      </c>
    </row>
    <row r="346" spans="1:100" x14ac:dyDescent="0.25">
      <c r="A346" s="5640" t="s">
        <v>5182</v>
      </c>
      <c r="B346" s="6540" t="s">
        <v>950</v>
      </c>
      <c r="C346" s="6540"/>
      <c r="D346" s="599" t="s">
        <v>4567</v>
      </c>
      <c r="E346" s="600" t="s">
        <v>4568</v>
      </c>
      <c r="F346" s="561" t="s">
        <v>4569</v>
      </c>
      <c r="G346" s="504" t="s">
        <v>4570</v>
      </c>
      <c r="H346" s="506" t="s">
        <v>4571</v>
      </c>
      <c r="I346" s="504" t="s">
        <v>4572</v>
      </c>
      <c r="J346" s="506" t="s">
        <v>4573</v>
      </c>
      <c r="K346" s="504" t="s">
        <v>4574</v>
      </c>
      <c r="L346" s="506" t="s">
        <v>4575</v>
      </c>
      <c r="M346" s="504" t="s">
        <v>4576</v>
      </c>
      <c r="N346" s="506" t="s">
        <v>4577</v>
      </c>
      <c r="O346" s="504" t="s">
        <v>4578</v>
      </c>
      <c r="P346" s="506" t="s">
        <v>4579</v>
      </c>
      <c r="Q346" s="504" t="s">
        <v>4580</v>
      </c>
      <c r="R346" s="506" t="s">
        <v>4581</v>
      </c>
      <c r="S346" s="504" t="s">
        <v>4582</v>
      </c>
      <c r="T346" s="506" t="s">
        <v>4583</v>
      </c>
      <c r="U346" s="504" t="s">
        <v>4584</v>
      </c>
      <c r="V346" s="506" t="s">
        <v>4585</v>
      </c>
      <c r="W346" s="504" t="s">
        <v>4586</v>
      </c>
      <c r="X346" s="506" t="s">
        <v>4587</v>
      </c>
      <c r="Y346" s="504" t="s">
        <v>4588</v>
      </c>
      <c r="Z346" s="506" t="s">
        <v>4589</v>
      </c>
      <c r="AA346" s="504" t="s">
        <v>4590</v>
      </c>
      <c r="AB346" s="506" t="s">
        <v>4591</v>
      </c>
      <c r="AC346" s="504" t="s">
        <v>4592</v>
      </c>
      <c r="AD346" s="506" t="s">
        <v>4593</v>
      </c>
      <c r="AE346" s="504" t="s">
        <v>4594</v>
      </c>
      <c r="AF346" s="506" t="s">
        <v>4595</v>
      </c>
      <c r="AG346" s="504" t="s">
        <v>4596</v>
      </c>
      <c r="AH346" s="722" t="s">
        <v>4597</v>
      </c>
      <c r="AI346" s="506" t="s">
        <v>4598</v>
      </c>
      <c r="AJ346" s="507" t="s">
        <v>4599</v>
      </c>
      <c r="AK346" s="504" t="s">
        <v>4600</v>
      </c>
      <c r="AL346" s="507" t="s">
        <v>4601</v>
      </c>
      <c r="AM346" t="str">
        <f>CB346&amp;CC346&amp;CD346&amp;CE346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6" s="135" t="str">
        <f>IF(AND(F346&gt;0,OR(AI346=""))," * No olvide digitar la variable Trans (Masculino). Digite Cero si no tiene.",IF((AI346)&gt;F346,"*  La variable Trans (Masculino) No puede ser mayor al Total Mujeres.",""))</f>
        <v>*  La variable Trans (Masculino) No puede ser mayor al Total Mujeres.</v>
      </c>
      <c r="CC346" s="135" t="str">
        <f>IF(AND(E346&gt;0,OR(AJ346=""))," * No olvide digitar la variable Trans (Femenino). Digite Cero si no tiene.",IF((AJ346)&gt;E346,"*  La variable Trans (Femenino) No puede ser mayor al Total Hombres.",""))</f>
        <v>*  La variable Trans (Femenino) No puede ser mayor al Total Hombres.</v>
      </c>
      <c r="CD346" s="135" t="str">
        <f>IF(AND(D346&gt;0,AK346="")," * No olvide digitar la variable Pueblos originarios. Digite Cero si no tiene.",IF(AK346&gt;D346," * La variable Pueblos originarios No puede ser mayor al Total.",""))</f>
        <v xml:space="preserve"> * La variable Pueblos originarios No puede ser mayor al Total.</v>
      </c>
      <c r="CE346" s="135" t="str">
        <f>IF(AND(D346&gt;0,AL346="")," * No olvide digitar la variable Migrantes. Digite Cero si no tiene.",IF(AL346&gt;D346," * La variable Migrantes No puede ser mayor al Total.",""))</f>
        <v xml:space="preserve"> * La variable Migrantes No puede ser mayor al Total.</v>
      </c>
      <c r="CP346" s="1867">
        <f>IF(AND(F346&gt;0,OR(AI346="")),1,IF((AI346)&gt;F346,1,0))</f>
        <v>1</v>
      </c>
      <c r="CQ346" s="1867">
        <f>IF(AND(E346&gt;0,OR(AJ346="")),1,IF((AJ346)&gt;E346,1,0))</f>
        <v>1</v>
      </c>
      <c r="CR346" s="1867">
        <f>IF(AND(D346&gt;0,AK346=""),1,IF(AK346&gt;D346,1,0))</f>
        <v>1</v>
      </c>
      <c r="CS346" s="1867">
        <f>IF(AND(D346&gt;0,AL346=""),1,IF(AL346&gt;D346,1,0))</f>
        <v>1</v>
      </c>
    </row>
    <row r="347" spans="1:100" s="6" customFormat="1" ht="18" customHeight="1" x14ac:dyDescent="0.2">
      <c r="A347" s="3222"/>
      <c r="B347" s="727" t="s">
        <v>951</v>
      </c>
      <c r="C347" s="728"/>
      <c r="D347" s="728"/>
      <c r="E347" s="728"/>
      <c r="F347" s="728"/>
      <c r="G347" s="728"/>
      <c r="H347" s="728"/>
      <c r="I347" s="728"/>
      <c r="J347" s="728"/>
      <c r="K347" s="728"/>
      <c r="L347" s="728"/>
      <c r="M347" s="728"/>
      <c r="N347" s="728"/>
      <c r="O347" s="728"/>
      <c r="P347" s="4"/>
      <c r="Q347" s="4"/>
      <c r="R347" s="4"/>
      <c r="S347" s="4"/>
    </row>
    <row r="348" spans="1:100" ht="15" customHeight="1" x14ac:dyDescent="0.25">
      <c r="A348" s="3222"/>
      <c r="B348" s="6458" t="s">
        <v>219</v>
      </c>
      <c r="C348" s="6648" t="s">
        <v>452</v>
      </c>
      <c r="D348" s="6649"/>
      <c r="E348" s="6650"/>
      <c r="F348" s="6651" t="s">
        <v>101</v>
      </c>
      <c r="G348" s="6652"/>
      <c r="H348" s="6652"/>
      <c r="I348" s="6652"/>
      <c r="J348" s="6652"/>
      <c r="K348" s="6652"/>
      <c r="L348" s="6652"/>
      <c r="M348" s="6652"/>
      <c r="N348" s="6652"/>
      <c r="O348" s="158"/>
      <c r="P348" s="6655" t="s">
        <v>952</v>
      </c>
      <c r="Q348" s="6646" t="s">
        <v>953</v>
      </c>
      <c r="R348" s="6653" t="s">
        <v>954</v>
      </c>
      <c r="S348" s="6655" t="s">
        <v>36</v>
      </c>
      <c r="T348" s="6511" t="s">
        <v>37</v>
      </c>
      <c r="U348" s="6575" t="s">
        <v>457</v>
      </c>
      <c r="V348" s="6576"/>
    </row>
    <row r="349" spans="1:100" x14ac:dyDescent="0.25">
      <c r="A349" s="3222"/>
      <c r="B349" s="6119"/>
      <c r="C349" s="6064"/>
      <c r="D349" s="6150"/>
      <c r="E349" s="6028"/>
      <c r="F349" s="6544" t="s">
        <v>343</v>
      </c>
      <c r="G349" s="6545"/>
      <c r="H349" s="6544" t="s">
        <v>326</v>
      </c>
      <c r="I349" s="6545"/>
      <c r="J349" s="6544" t="s">
        <v>94</v>
      </c>
      <c r="K349" s="6545"/>
      <c r="L349" s="6544" t="s">
        <v>44</v>
      </c>
      <c r="M349" s="6545"/>
      <c r="N349" s="6544" t="s">
        <v>45</v>
      </c>
      <c r="O349" s="6515"/>
      <c r="P349" s="6656"/>
      <c r="Q349" s="6647"/>
      <c r="R349" s="6257"/>
      <c r="S349" s="6656"/>
      <c r="T349" s="6027"/>
      <c r="U349" s="6577"/>
      <c r="V349" s="6578"/>
    </row>
    <row r="350" spans="1:100" ht="28.5" customHeight="1" x14ac:dyDescent="0.25">
      <c r="A350" s="3222"/>
      <c r="B350" s="6024"/>
      <c r="C350" s="560" t="s">
        <v>79</v>
      </c>
      <c r="D350" s="729" t="s">
        <v>58</v>
      </c>
      <c r="E350" s="549" t="s">
        <v>59</v>
      </c>
      <c r="F350" s="593" t="s">
        <v>58</v>
      </c>
      <c r="G350" s="591" t="s">
        <v>59</v>
      </c>
      <c r="H350" s="593" t="s">
        <v>58</v>
      </c>
      <c r="I350" s="591" t="s">
        <v>59</v>
      </c>
      <c r="J350" s="593" t="s">
        <v>58</v>
      </c>
      <c r="K350" s="591" t="s">
        <v>59</v>
      </c>
      <c r="L350" s="593" t="s">
        <v>58</v>
      </c>
      <c r="M350" s="591" t="s">
        <v>59</v>
      </c>
      <c r="N350" s="593" t="s">
        <v>58</v>
      </c>
      <c r="O350" s="590" t="s">
        <v>59</v>
      </c>
      <c r="P350" s="6657"/>
      <c r="Q350" s="6192"/>
      <c r="R350" s="6654"/>
      <c r="S350" s="6657"/>
      <c r="T350" s="6028"/>
      <c r="U350" s="626" t="s">
        <v>462</v>
      </c>
      <c r="V350" s="570" t="s">
        <v>463</v>
      </c>
    </row>
    <row r="351" spans="1:100" x14ac:dyDescent="0.25">
      <c r="A351" s="5640" t="s">
        <v>5183</v>
      </c>
      <c r="B351" s="664" t="s">
        <v>761</v>
      </c>
      <c r="C351" s="5765" t="s">
        <v>4567</v>
      </c>
      <c r="D351" s="5766" t="s">
        <v>4568</v>
      </c>
      <c r="E351" s="5758" t="s">
        <v>4569</v>
      </c>
      <c r="F351" s="1726" t="s">
        <v>4570</v>
      </c>
      <c r="G351" s="5744" t="s">
        <v>4571</v>
      </c>
      <c r="H351" s="1726" t="s">
        <v>4572</v>
      </c>
      <c r="I351" s="5744" t="s">
        <v>4573</v>
      </c>
      <c r="J351" s="1726" t="s">
        <v>4574</v>
      </c>
      <c r="K351" s="3129" t="s">
        <v>4575</v>
      </c>
      <c r="L351" s="1726" t="s">
        <v>4576</v>
      </c>
      <c r="M351" s="3129" t="s">
        <v>4577</v>
      </c>
      <c r="N351" s="5767" t="s">
        <v>4578</v>
      </c>
      <c r="O351" s="5562" t="s">
        <v>4579</v>
      </c>
      <c r="P351" s="5768" t="s">
        <v>4580</v>
      </c>
      <c r="Q351" s="5769" t="s">
        <v>4581</v>
      </c>
      <c r="R351" s="5770" t="s">
        <v>4582</v>
      </c>
      <c r="S351" s="5771" t="s">
        <v>4583</v>
      </c>
      <c r="T351" s="5744" t="s">
        <v>4584</v>
      </c>
      <c r="U351" s="5670" t="s">
        <v>4585</v>
      </c>
      <c r="V351" s="5744" t="s">
        <v>4586</v>
      </c>
      <c r="W351" t="str">
        <f>CE351&amp;CF351&amp;CG351&amp;CH351</f>
        <v xml:space="preserve"> * La variable Pueblos originarios No puede ser mayor al Total. * La variable Migrantes No puede ser mayor al Total. * La variable Trans Masculino No puede ser mayor al Total Mujeres. * La variable Trans Femenino No puede ser mayor al Total Hombres.</v>
      </c>
      <c r="CB351" s="181"/>
      <c r="CC351" s="1869"/>
      <c r="CD351" s="1869"/>
      <c r="CE351" s="135" t="str">
        <f>IF(AND(C351&gt;0,S351="")," * No olvide digitar la variable Pueblos originarios. Digite Cero si no tiene.",IF(S351&gt;C351," * La variable Pueblos originarios No puede ser mayor al Total.",""))</f>
        <v xml:space="preserve"> * La variable Pueblos originarios No puede ser mayor al Total.</v>
      </c>
      <c r="CF351" s="135" t="str">
        <f>IF(AND(C351&gt;0,T351="")," * No olvide digitar la variable Migrantes. Digite Cero si no tiene.",IF(T351&gt;C351," * La variable Migrantes No puede ser mayor al Total.",""))</f>
        <v xml:space="preserve"> * La variable Migrantes No puede ser mayor al Total.</v>
      </c>
      <c r="CG351" s="2946" t="str">
        <f>IF(AND(E351&gt;0,OR(U351=""))," * No olvide digitar la variable Trans (Masculino). Digite Cero si no tiene.",IF((U351)&gt;E351," * La variable Trans Masculino No puede ser mayor al Total Mujeres.",""))</f>
        <v xml:space="preserve"> * La variable Trans Masculino No puede ser mayor al Total Mujeres.</v>
      </c>
      <c r="CH351" s="2946" t="str">
        <f>IF(AND(D351&gt;0,OR(V351=""))," * No olvide digitar la variable Trans (Femenino). Digite Cero si no tiene.",IF((V351)&gt;D351," * La variable Trans Femenino No puede ser mayor al Total Hombres.",""))</f>
        <v xml:space="preserve"> * La variable Trans Femenino No puede ser mayor al Total Hombres.</v>
      </c>
      <c r="CP351" s="2949"/>
      <c r="CQ351" s="2949"/>
      <c r="CR351" s="2949"/>
      <c r="CS351" s="1867">
        <f>IF(AND(C351&gt;0,S351=""),1,IF(S351&gt;C351,1,0))</f>
        <v>1</v>
      </c>
      <c r="CT351" s="1867">
        <f>IF(AND(C351&gt;0,T351=""),1,IF(T351&gt;C351,1,0))</f>
        <v>1</v>
      </c>
      <c r="CU351" s="1867">
        <f>IF(AND(E351&gt;0,OR(U351="")),1,IF((U351)&gt;E351,1,0))</f>
        <v>1</v>
      </c>
      <c r="CV351" s="1867">
        <f>IF(AND(D351&gt;0,OR(V351="")),1,IF((V351)&gt;D351,1,0))</f>
        <v>1</v>
      </c>
    </row>
    <row r="352" spans="1:100" x14ac:dyDescent="0.25">
      <c r="A352" s="5640" t="s">
        <v>5184</v>
      </c>
      <c r="B352" s="398" t="s">
        <v>770</v>
      </c>
      <c r="C352" s="5772" t="s">
        <v>4567</v>
      </c>
      <c r="D352" s="5773" t="s">
        <v>4568</v>
      </c>
      <c r="E352" s="5774" t="s">
        <v>4569</v>
      </c>
      <c r="F352" s="1737" t="s">
        <v>4570</v>
      </c>
      <c r="G352" s="5675" t="s">
        <v>4571</v>
      </c>
      <c r="H352" s="1737" t="s">
        <v>4572</v>
      </c>
      <c r="I352" s="310" t="s">
        <v>4573</v>
      </c>
      <c r="J352" s="1737" t="s">
        <v>4574</v>
      </c>
      <c r="K352" s="5675" t="s">
        <v>4575</v>
      </c>
      <c r="L352" s="1737" t="s">
        <v>4576</v>
      </c>
      <c r="M352" s="5675" t="s">
        <v>4577</v>
      </c>
      <c r="N352" s="5775" t="s">
        <v>4578</v>
      </c>
      <c r="O352" s="315" t="s">
        <v>4579</v>
      </c>
      <c r="P352" s="5776" t="s">
        <v>4580</v>
      </c>
      <c r="Q352" s="262" t="s">
        <v>4581</v>
      </c>
      <c r="R352" s="5675" t="s">
        <v>4582</v>
      </c>
      <c r="S352" s="5776" t="s">
        <v>4583</v>
      </c>
      <c r="T352" s="5675" t="s">
        <v>4584</v>
      </c>
      <c r="U352" s="5674" t="s">
        <v>4585</v>
      </c>
      <c r="V352" s="5675" t="s">
        <v>4586</v>
      </c>
      <c r="W352" t="str">
        <f>CB352&amp;CC352&amp;CD352&amp;CE352&amp;CF352&amp;CG352&amp;CH352</f>
        <v xml:space="preserve"> * La variable Aumento de funcionalidad familiar (4 puntos o más) No puede ser mayor al Total. * La variable Cumple con el 70% de los objetivos del plan de acompañamiento No puede ser mayor al Total. * La variable Egreso por alta clínica del Prog de Salud Mental No puede ser mayor al Total. * La variable Pueblos originarios No puede ser mayor al Total. * La variable Migrantes No puede ser mayor al Total. * La variable Trans Masculino No puede ser mayor al Total Mujeres. * La variable Trans Femenino No puede ser mayor al Total Hombres.</v>
      </c>
      <c r="CB352" s="135" t="str">
        <f>IF(AND(C352&gt;0,P352="")," * No olvide digitar la variable Aumento de funcionalidad familiar (4 puntos o más). Digite Cero si no tiene.",IF(P352&gt;C352," * La variable Aumento de funcionalidad familiar (4 puntos o más) No puede ser mayor al Total.",""))</f>
        <v xml:space="preserve"> * La variable Aumento de funcionalidad familiar (4 puntos o más) No puede ser mayor al Total.</v>
      </c>
      <c r="CC352" s="135" t="str">
        <f>IF(AND(C352&gt;0,Q352="")," * No olvide digitar la variable Cumple con el 70% de los objetivos del plan de acompañamiento. Digite Cero si no tiene.",IF(Q352&gt;C352," * La variable Cumple con el 70% de los objetivos del plan de acompañamiento No puede ser mayor al Total.",""))</f>
        <v xml:space="preserve"> * La variable Cumple con el 70% de los objetivos del plan de acompañamiento No puede ser mayor al Total.</v>
      </c>
      <c r="CD352" s="135" t="str">
        <f>IF(AND(C352&gt;0,R352="")," * No olvide digitar la variable Egreso por alta clínica del Prog de Salud Mental. Digite Cero si no tiene.",IF(R352&gt;C352," * La variable Egreso por alta clínica del Prog de Salud Mental No puede ser mayor al Total.",""))</f>
        <v xml:space="preserve"> * La variable Egreso por alta clínica del Prog de Salud Mental No puede ser mayor al Total.</v>
      </c>
      <c r="CE352" s="135" t="str">
        <f>IF(AND(C352&gt;0,S352="")," * No olvide digitar la variable Pueblos originarios. Digite Cero si no tiene.",IF(S352&gt;C352," * La variable Pueblos originarios No puede ser mayor al Total.",""))</f>
        <v xml:space="preserve"> * La variable Pueblos originarios No puede ser mayor al Total.</v>
      </c>
      <c r="CF352" s="135" t="str">
        <f>IF(AND(C352&gt;0,T352="")," * No olvide digitar la variable Migrantes. Digite Cero si no tiene.",IF(T352&gt;C352," * La variable Migrantes No puede ser mayor al Total.",""))</f>
        <v xml:space="preserve"> * La variable Migrantes No puede ser mayor al Total.</v>
      </c>
      <c r="CG352" s="2946" t="str">
        <f>IF(AND(E352&gt;0,OR(U352=""))," * No olvide digitar la variable Trans (Masculino). Digite Cero si no tiene.",IF((U352)&gt;E352," * La variable Trans Masculino No puede ser mayor al Total Mujeres.",""))</f>
        <v xml:space="preserve"> * La variable Trans Masculino No puede ser mayor al Total Mujeres.</v>
      </c>
      <c r="CH352" s="2946" t="str">
        <f>IF(AND(D352&gt;0,OR(V352=""))," * No olvide digitar la variable Trans (Femenino). Digite Cero si no tiene.",IF((V352)&gt;D352," * La variable Trans Femenino No puede ser mayor al Total Hombres.",""))</f>
        <v xml:space="preserve"> * La variable Trans Femenino No puede ser mayor al Total Hombres.</v>
      </c>
      <c r="CP352" s="182">
        <f>IF(AND($C352&gt;0,P352=""),1,IF(P352&gt;$C352,1,0))</f>
        <v>1</v>
      </c>
      <c r="CQ352" s="182">
        <f>IF(AND($C352&gt;0,Q352=""),1,IF(Q352&gt;$C352,1,0))</f>
        <v>1</v>
      </c>
      <c r="CR352" s="182">
        <f>IF(AND($C352&gt;0,R352=""),1,IF(R352&gt;$C352,1,0))</f>
        <v>1</v>
      </c>
      <c r="CS352" s="1867">
        <f>IF(AND(C352&gt;0,S352=""),1,IF(S352&gt;C352,1,0))</f>
        <v>1</v>
      </c>
      <c r="CT352" s="1867">
        <f>IF(AND(C352&gt;0,T352=""),1,IF(T352&gt;C352,1,0))</f>
        <v>1</v>
      </c>
      <c r="CU352" s="1867">
        <f>IF(AND(E352&gt;0,OR(U352="")),1,IF((U352)&gt;E352,1,0))</f>
        <v>1</v>
      </c>
      <c r="CV352" s="1867">
        <f>IF(AND(D352&gt;0,OR(V352="")),1,IF((V352)&gt;D352,1,0))</f>
        <v>1</v>
      </c>
    </row>
    <row r="353" spans="1:95" s="6" customFormat="1" ht="18" customHeight="1" x14ac:dyDescent="0.2">
      <c r="B353" s="3" t="s">
        <v>955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95" x14ac:dyDescent="0.25">
      <c r="B354" s="6458" t="s">
        <v>219</v>
      </c>
      <c r="C354" s="6458" t="s">
        <v>451</v>
      </c>
      <c r="D354" s="6419" t="s">
        <v>452</v>
      </c>
      <c r="E354" s="6419"/>
      <c r="F354" s="6419"/>
      <c r="G354" s="6544" t="s">
        <v>101</v>
      </c>
      <c r="H354" s="6456"/>
      <c r="I354" s="6456"/>
      <c r="J354" s="6456"/>
      <c r="K354" s="6456"/>
      <c r="L354" s="6456"/>
      <c r="M354" s="6456"/>
      <c r="N354" s="6456"/>
      <c r="O354" s="6456"/>
      <c r="P354" s="6456"/>
      <c r="Q354" s="6456"/>
      <c r="R354" s="6456"/>
      <c r="S354" s="6456"/>
      <c r="T354" s="6456"/>
      <c r="U354" s="6456"/>
      <c r="V354" s="6456"/>
      <c r="W354" s="6456"/>
      <c r="X354" s="6456"/>
      <c r="Y354" s="6456"/>
      <c r="Z354" s="6456"/>
      <c r="AA354" s="6456"/>
      <c r="AB354" s="6456"/>
      <c r="AC354" s="6456"/>
      <c r="AD354" s="6456"/>
      <c r="AE354" s="6456"/>
      <c r="AF354" s="6456"/>
      <c r="AG354" s="6456"/>
      <c r="AH354" s="6546"/>
      <c r="AI354" s="6517" t="s">
        <v>36</v>
      </c>
      <c r="AJ354" s="6518" t="s">
        <v>37</v>
      </c>
      <c r="AK354" s="6515" t="s">
        <v>956</v>
      </c>
      <c r="AL354" s="6515"/>
      <c r="AM354" s="6545"/>
      <c r="AN354" s="6458" t="s">
        <v>957</v>
      </c>
    </row>
    <row r="355" spans="1:95" x14ac:dyDescent="0.25">
      <c r="B355" s="6119"/>
      <c r="C355" s="6119"/>
      <c r="D355" s="6419"/>
      <c r="E355" s="6419"/>
      <c r="F355" s="6419"/>
      <c r="G355" s="6544" t="s">
        <v>44</v>
      </c>
      <c r="H355" s="6545"/>
      <c r="I355" s="6544" t="s">
        <v>45</v>
      </c>
      <c r="J355" s="6545"/>
      <c r="K355" s="6544" t="s">
        <v>46</v>
      </c>
      <c r="L355" s="6545"/>
      <c r="M355" s="6544" t="s">
        <v>47</v>
      </c>
      <c r="N355" s="6545"/>
      <c r="O355" s="6544" t="s">
        <v>48</v>
      </c>
      <c r="P355" s="6545"/>
      <c r="Q355" s="6544" t="s">
        <v>49</v>
      </c>
      <c r="R355" s="6545"/>
      <c r="S355" s="6544" t="s">
        <v>50</v>
      </c>
      <c r="T355" s="6545"/>
      <c r="U355" s="6544" t="s">
        <v>51</v>
      </c>
      <c r="V355" s="6545"/>
      <c r="W355" s="6544" t="s">
        <v>52</v>
      </c>
      <c r="X355" s="6545"/>
      <c r="Y355" s="6544" t="s">
        <v>53</v>
      </c>
      <c r="Z355" s="6545"/>
      <c r="AA355" s="6544" t="s">
        <v>54</v>
      </c>
      <c r="AB355" s="6545"/>
      <c r="AC355" s="6544" t="s">
        <v>55</v>
      </c>
      <c r="AD355" s="6545"/>
      <c r="AE355" s="6544" t="s">
        <v>56</v>
      </c>
      <c r="AF355" s="6545"/>
      <c r="AG355" s="6544" t="s">
        <v>57</v>
      </c>
      <c r="AH355" s="6546"/>
      <c r="AI355" s="6034"/>
      <c r="AJ355" s="6552"/>
      <c r="AK355" s="6492" t="s">
        <v>958</v>
      </c>
      <c r="AL355" s="6645" t="s">
        <v>959</v>
      </c>
      <c r="AM355" s="6533" t="s">
        <v>960</v>
      </c>
      <c r="AN355" s="6119"/>
    </row>
    <row r="356" spans="1:95" ht="27" customHeight="1" x14ac:dyDescent="0.25">
      <c r="B356" s="6024"/>
      <c r="C356" s="6024"/>
      <c r="D356" s="626" t="s">
        <v>79</v>
      </c>
      <c r="E356" s="508" t="s">
        <v>58</v>
      </c>
      <c r="F356" s="591" t="s">
        <v>59</v>
      </c>
      <c r="G356" s="593" t="s">
        <v>58</v>
      </c>
      <c r="H356" s="591" t="s">
        <v>59</v>
      </c>
      <c r="I356" s="593" t="s">
        <v>58</v>
      </c>
      <c r="J356" s="591" t="s">
        <v>59</v>
      </c>
      <c r="K356" s="593" t="s">
        <v>461</v>
      </c>
      <c r="L356" s="591" t="s">
        <v>59</v>
      </c>
      <c r="M356" s="593" t="s">
        <v>461</v>
      </c>
      <c r="N356" s="591" t="s">
        <v>59</v>
      </c>
      <c r="O356" s="593" t="s">
        <v>461</v>
      </c>
      <c r="P356" s="591" t="s">
        <v>59</v>
      </c>
      <c r="Q356" s="593" t="s">
        <v>461</v>
      </c>
      <c r="R356" s="591" t="s">
        <v>59</v>
      </c>
      <c r="S356" s="593" t="s">
        <v>461</v>
      </c>
      <c r="T356" s="591" t="s">
        <v>59</v>
      </c>
      <c r="U356" s="593" t="s">
        <v>461</v>
      </c>
      <c r="V356" s="591" t="s">
        <v>59</v>
      </c>
      <c r="W356" s="593" t="s">
        <v>461</v>
      </c>
      <c r="X356" s="591" t="s">
        <v>59</v>
      </c>
      <c r="Y356" s="593" t="s">
        <v>461</v>
      </c>
      <c r="Z356" s="591" t="s">
        <v>59</v>
      </c>
      <c r="AA356" s="593" t="s">
        <v>461</v>
      </c>
      <c r="AB356" s="591" t="s">
        <v>59</v>
      </c>
      <c r="AC356" s="593" t="s">
        <v>461</v>
      </c>
      <c r="AD356" s="591" t="s">
        <v>59</v>
      </c>
      <c r="AE356" s="593" t="s">
        <v>461</v>
      </c>
      <c r="AF356" s="591" t="s">
        <v>59</v>
      </c>
      <c r="AG356" s="593" t="s">
        <v>461</v>
      </c>
      <c r="AH356" s="592" t="s">
        <v>59</v>
      </c>
      <c r="AI356" s="6035"/>
      <c r="AJ356" s="6519"/>
      <c r="AK356" s="6106"/>
      <c r="AL356" s="6086"/>
      <c r="AM356" s="6067"/>
      <c r="AN356" s="6024"/>
    </row>
    <row r="357" spans="1:95" x14ac:dyDescent="0.25">
      <c r="A357" s="5640" t="s">
        <v>5185</v>
      </c>
      <c r="B357" s="6453" t="s">
        <v>961</v>
      </c>
      <c r="C357" s="491" t="s">
        <v>962</v>
      </c>
      <c r="D357" s="733" t="s">
        <v>4567</v>
      </c>
      <c r="E357" s="730" t="s">
        <v>4568</v>
      </c>
      <c r="F357" s="734" t="s">
        <v>4569</v>
      </c>
      <c r="G357" s="473" t="s">
        <v>4570</v>
      </c>
      <c r="H357" s="566" t="s">
        <v>4571</v>
      </c>
      <c r="I357" s="473" t="s">
        <v>4572</v>
      </c>
      <c r="J357" s="566" t="s">
        <v>4573</v>
      </c>
      <c r="K357" s="473" t="s">
        <v>4574</v>
      </c>
      <c r="L357" s="566" t="s">
        <v>4575</v>
      </c>
      <c r="M357" s="473" t="s">
        <v>4576</v>
      </c>
      <c r="N357" s="566" t="s">
        <v>4577</v>
      </c>
      <c r="O357" s="473" t="s">
        <v>4578</v>
      </c>
      <c r="P357" s="566" t="s">
        <v>4579</v>
      </c>
      <c r="Q357" s="473" t="s">
        <v>4580</v>
      </c>
      <c r="R357" s="566" t="s">
        <v>4581</v>
      </c>
      <c r="S357" s="473" t="s">
        <v>4582</v>
      </c>
      <c r="T357" s="566" t="s">
        <v>4583</v>
      </c>
      <c r="U357" s="473" t="s">
        <v>4584</v>
      </c>
      <c r="V357" s="566" t="s">
        <v>4585</v>
      </c>
      <c r="W357" s="473" t="s">
        <v>4586</v>
      </c>
      <c r="X357" s="566" t="s">
        <v>4587</v>
      </c>
      <c r="Y357" s="473" t="s">
        <v>4588</v>
      </c>
      <c r="Z357" s="566" t="s">
        <v>4589</v>
      </c>
      <c r="AA357" s="473" t="s">
        <v>4590</v>
      </c>
      <c r="AB357" s="566" t="s">
        <v>4591</v>
      </c>
      <c r="AC357" s="473" t="s">
        <v>4592</v>
      </c>
      <c r="AD357" s="566" t="s">
        <v>4593</v>
      </c>
      <c r="AE357" s="473" t="s">
        <v>4594</v>
      </c>
      <c r="AF357" s="566" t="s">
        <v>4595</v>
      </c>
      <c r="AG357" s="473" t="s">
        <v>4596</v>
      </c>
      <c r="AH357" s="475" t="s">
        <v>4597</v>
      </c>
      <c r="AI357" s="735" t="s">
        <v>4598</v>
      </c>
      <c r="AJ357" s="736" t="s">
        <v>4599</v>
      </c>
      <c r="AK357" s="476" t="s">
        <v>4600</v>
      </c>
      <c r="AL357" s="493" t="s">
        <v>4601</v>
      </c>
      <c r="AM357" s="567" t="s">
        <v>4602</v>
      </c>
      <c r="AN357" s="567" t="s">
        <v>4603</v>
      </c>
      <c r="AO357" t="str">
        <f t="shared" ref="AO357:AO366" si="239">CB357&amp;CC357</f>
        <v xml:space="preserve"> * La variable Pueblos originarios No puede ser mayor al Total. * La variable Migrantes No puede ser mayor al Total.</v>
      </c>
      <c r="CB357" s="135" t="str">
        <f>IF(AND(D357&gt;0,AI357="")," * No olvide digitar la variable Pueblos originarios. Digite Cero si no tiene.",IF(AI357&gt;D357," * La variable Pueblos originarios No puede ser mayor al Total.",""))</f>
        <v xml:space="preserve"> * La variable Pueblos originarios No puede ser mayor al Total.</v>
      </c>
      <c r="CC357" s="135" t="str">
        <f t="shared" ref="CC357:CC366" si="240">IF(AND(D357&gt;0,AJ357="")," * No olvide digitar la variable Migrantes. Digite Cero si no tiene.",IF(AJ357&gt;D357," * La variable Migrantes No puede ser mayor al Total.",""))</f>
        <v xml:space="preserve"> * La variable Migrantes No puede ser mayor al Total.</v>
      </c>
      <c r="CP357" s="1867">
        <f t="shared" ref="CP357:CP366" si="241">IF(AND(D357&gt;0,AI357=""),1,IF(AI357&gt;D357,1,0))</f>
        <v>1</v>
      </c>
      <c r="CQ357" s="1867">
        <f t="shared" ref="CQ357:CQ366" si="242">IF(AND(D357&gt;0,AJ357=""),1,IF(AJ357&gt;D357,1,0))</f>
        <v>1</v>
      </c>
    </row>
    <row r="358" spans="1:95" x14ac:dyDescent="0.25">
      <c r="A358" s="5640" t="s">
        <v>5186</v>
      </c>
      <c r="B358" s="6112"/>
      <c r="C358" s="295" t="s">
        <v>963</v>
      </c>
      <c r="D358" s="737" t="s">
        <v>4567</v>
      </c>
      <c r="E358" s="738" t="s">
        <v>4568</v>
      </c>
      <c r="F358" s="739" t="s">
        <v>4569</v>
      </c>
      <c r="G358" s="345" t="s">
        <v>4570</v>
      </c>
      <c r="H358" s="346" t="s">
        <v>4571</v>
      </c>
      <c r="I358" s="345" t="s">
        <v>4572</v>
      </c>
      <c r="J358" s="346" t="s">
        <v>4573</v>
      </c>
      <c r="K358" s="345" t="s">
        <v>4574</v>
      </c>
      <c r="L358" s="346" t="s">
        <v>4575</v>
      </c>
      <c r="M358" s="345" t="s">
        <v>4576</v>
      </c>
      <c r="N358" s="346" t="s">
        <v>4577</v>
      </c>
      <c r="O358" s="345" t="s">
        <v>4578</v>
      </c>
      <c r="P358" s="346" t="s">
        <v>4579</v>
      </c>
      <c r="Q358" s="345" t="s">
        <v>4580</v>
      </c>
      <c r="R358" s="346" t="s">
        <v>4581</v>
      </c>
      <c r="S358" s="345" t="s">
        <v>4582</v>
      </c>
      <c r="T358" s="346" t="s">
        <v>4583</v>
      </c>
      <c r="U358" s="345" t="s">
        <v>4584</v>
      </c>
      <c r="V358" s="346" t="s">
        <v>4585</v>
      </c>
      <c r="W358" s="345" t="s">
        <v>4586</v>
      </c>
      <c r="X358" s="346" t="s">
        <v>4587</v>
      </c>
      <c r="Y358" s="345" t="s">
        <v>4588</v>
      </c>
      <c r="Z358" s="346" t="s">
        <v>4589</v>
      </c>
      <c r="AA358" s="345" t="s">
        <v>4590</v>
      </c>
      <c r="AB358" s="346" t="s">
        <v>4591</v>
      </c>
      <c r="AC358" s="345" t="s">
        <v>4592</v>
      </c>
      <c r="AD358" s="346" t="s">
        <v>4593</v>
      </c>
      <c r="AE358" s="345" t="s">
        <v>4594</v>
      </c>
      <c r="AF358" s="346" t="s">
        <v>4595</v>
      </c>
      <c r="AG358" s="345" t="s">
        <v>4596</v>
      </c>
      <c r="AH358" s="480" t="s">
        <v>4597</v>
      </c>
      <c r="AI358" s="429" t="s">
        <v>4598</v>
      </c>
      <c r="AJ358" s="351" t="s">
        <v>4599</v>
      </c>
      <c r="AK358" s="347" t="s">
        <v>4600</v>
      </c>
      <c r="AL358" s="368" t="s">
        <v>4601</v>
      </c>
      <c r="AM358" s="349" t="s">
        <v>4602</v>
      </c>
      <c r="AN358" s="349" t="s">
        <v>4603</v>
      </c>
      <c r="AO358" t="str">
        <f t="shared" si="239"/>
        <v xml:space="preserve"> * La variable Pueblos originarios No puede ser mayor al Total. * La variable Migrantes No puede ser mayor al Total.</v>
      </c>
      <c r="CB358" s="135" t="str">
        <f t="shared" ref="CB358:CB365" si="243">IF(AND(D358&gt;0,AI358="")," * No olvide digitar la variable Pueblos originarios. Digite Cero si no tiene.",IF(AI358&gt;D358," * La variable Pueblos originarios No puede ser mayor al Total.",""))</f>
        <v xml:space="preserve"> * La variable Pueblos originarios No puede ser mayor al Total.</v>
      </c>
      <c r="CC358" s="135" t="str">
        <f t="shared" si="240"/>
        <v xml:space="preserve"> * La variable Migrantes No puede ser mayor al Total.</v>
      </c>
      <c r="CP358" s="1867">
        <f t="shared" si="241"/>
        <v>1</v>
      </c>
      <c r="CQ358" s="1867">
        <f t="shared" si="242"/>
        <v>1</v>
      </c>
    </row>
    <row r="359" spans="1:95" x14ac:dyDescent="0.25">
      <c r="A359" s="5640" t="s">
        <v>5187</v>
      </c>
      <c r="B359" s="6059"/>
      <c r="C359" s="526" t="s">
        <v>964</v>
      </c>
      <c r="D359" s="202" t="s">
        <v>4567</v>
      </c>
      <c r="E359" s="740" t="s">
        <v>4568</v>
      </c>
      <c r="F359" s="223" t="s">
        <v>4569</v>
      </c>
      <c r="G359" s="379" t="s">
        <v>4570</v>
      </c>
      <c r="H359" s="387" t="s">
        <v>4571</v>
      </c>
      <c r="I359" s="379" t="s">
        <v>4572</v>
      </c>
      <c r="J359" s="387" t="s">
        <v>4573</v>
      </c>
      <c r="K359" s="379" t="s">
        <v>4574</v>
      </c>
      <c r="L359" s="387" t="s">
        <v>4575</v>
      </c>
      <c r="M359" s="379" t="s">
        <v>4576</v>
      </c>
      <c r="N359" s="387" t="s">
        <v>4577</v>
      </c>
      <c r="O359" s="379" t="s">
        <v>4578</v>
      </c>
      <c r="P359" s="387" t="s">
        <v>4579</v>
      </c>
      <c r="Q359" s="379" t="s">
        <v>4580</v>
      </c>
      <c r="R359" s="387" t="s">
        <v>4581</v>
      </c>
      <c r="S359" s="379" t="s">
        <v>4582</v>
      </c>
      <c r="T359" s="387" t="s">
        <v>4583</v>
      </c>
      <c r="U359" s="379" t="s">
        <v>4584</v>
      </c>
      <c r="V359" s="387" t="s">
        <v>4585</v>
      </c>
      <c r="W359" s="379" t="s">
        <v>4586</v>
      </c>
      <c r="X359" s="387" t="s">
        <v>4587</v>
      </c>
      <c r="Y359" s="379" t="s">
        <v>4588</v>
      </c>
      <c r="Z359" s="387" t="s">
        <v>4589</v>
      </c>
      <c r="AA359" s="379" t="s">
        <v>4590</v>
      </c>
      <c r="AB359" s="387" t="s">
        <v>4591</v>
      </c>
      <c r="AC359" s="379" t="s">
        <v>4592</v>
      </c>
      <c r="AD359" s="387" t="s">
        <v>4593</v>
      </c>
      <c r="AE359" s="379" t="s">
        <v>4594</v>
      </c>
      <c r="AF359" s="387" t="s">
        <v>4595</v>
      </c>
      <c r="AG359" s="379" t="s">
        <v>4596</v>
      </c>
      <c r="AH359" s="391" t="s">
        <v>4597</v>
      </c>
      <c r="AI359" s="378" t="s">
        <v>4598</v>
      </c>
      <c r="AJ359" s="389" t="s">
        <v>4599</v>
      </c>
      <c r="AK359" s="428" t="s">
        <v>4600</v>
      </c>
      <c r="AL359" s="371" t="s">
        <v>4601</v>
      </c>
      <c r="AM359" s="388" t="s">
        <v>4602</v>
      </c>
      <c r="AN359" s="388" t="s">
        <v>4603</v>
      </c>
      <c r="AO359" t="str">
        <f t="shared" si="239"/>
        <v xml:space="preserve"> * La variable Pueblos originarios No puede ser mayor al Total. * La variable Migrantes No puede ser mayor al Total.</v>
      </c>
      <c r="CB359" s="135" t="str">
        <f t="shared" si="243"/>
        <v xml:space="preserve"> * La variable Pueblos originarios No puede ser mayor al Total.</v>
      </c>
      <c r="CC359" s="135" t="str">
        <f t="shared" si="240"/>
        <v xml:space="preserve"> * La variable Migrantes No puede ser mayor al Total.</v>
      </c>
      <c r="CP359" s="1867">
        <f t="shared" si="241"/>
        <v>1</v>
      </c>
      <c r="CQ359" s="1867">
        <f t="shared" si="242"/>
        <v>1</v>
      </c>
    </row>
    <row r="360" spans="1:95" x14ac:dyDescent="0.25">
      <c r="A360" s="5640" t="s">
        <v>5188</v>
      </c>
      <c r="B360" s="6453" t="s">
        <v>965</v>
      </c>
      <c r="C360" s="491" t="s">
        <v>962</v>
      </c>
      <c r="D360" s="733" t="s">
        <v>4567</v>
      </c>
      <c r="E360" s="730" t="s">
        <v>4568</v>
      </c>
      <c r="F360" s="734" t="s">
        <v>4569</v>
      </c>
      <c r="G360" s="290" t="s">
        <v>4570</v>
      </c>
      <c r="H360" s="107" t="s">
        <v>4571</v>
      </c>
      <c r="I360" s="290" t="s">
        <v>4572</v>
      </c>
      <c r="J360" s="107" t="s">
        <v>4573</v>
      </c>
      <c r="K360" s="290" t="s">
        <v>4574</v>
      </c>
      <c r="L360" s="107" t="s">
        <v>4575</v>
      </c>
      <c r="M360" s="290" t="s">
        <v>4576</v>
      </c>
      <c r="N360" s="107" t="s">
        <v>4577</v>
      </c>
      <c r="O360" s="290" t="s">
        <v>4578</v>
      </c>
      <c r="P360" s="107" t="s">
        <v>4579</v>
      </c>
      <c r="Q360" s="290" t="s">
        <v>4580</v>
      </c>
      <c r="R360" s="107" t="s">
        <v>4581</v>
      </c>
      <c r="S360" s="290" t="s">
        <v>4582</v>
      </c>
      <c r="T360" s="107" t="s">
        <v>4583</v>
      </c>
      <c r="U360" s="290" t="s">
        <v>4584</v>
      </c>
      <c r="V360" s="107" t="s">
        <v>4585</v>
      </c>
      <c r="W360" s="290" t="s">
        <v>4586</v>
      </c>
      <c r="X360" s="107" t="s">
        <v>4587</v>
      </c>
      <c r="Y360" s="290" t="s">
        <v>4588</v>
      </c>
      <c r="Z360" s="107" t="s">
        <v>4589</v>
      </c>
      <c r="AA360" s="290" t="s">
        <v>4590</v>
      </c>
      <c r="AB360" s="107" t="s">
        <v>4591</v>
      </c>
      <c r="AC360" s="290" t="s">
        <v>4592</v>
      </c>
      <c r="AD360" s="107" t="s">
        <v>4593</v>
      </c>
      <c r="AE360" s="290" t="s">
        <v>4594</v>
      </c>
      <c r="AF360" s="107" t="s">
        <v>4595</v>
      </c>
      <c r="AG360" s="290" t="s">
        <v>4596</v>
      </c>
      <c r="AH360" s="61" t="s">
        <v>4597</v>
      </c>
      <c r="AI360" s="296" t="s">
        <v>4598</v>
      </c>
      <c r="AJ360" s="430" t="s">
        <v>4599</v>
      </c>
      <c r="AK360" s="22" t="s">
        <v>4600</v>
      </c>
      <c r="AL360" s="531" t="s">
        <v>4601</v>
      </c>
      <c r="AM360" s="622" t="s">
        <v>4602</v>
      </c>
      <c r="AN360" s="622" t="s">
        <v>4603</v>
      </c>
      <c r="AO360" t="str">
        <f t="shared" si="239"/>
        <v xml:space="preserve"> * La variable Pueblos originarios No puede ser mayor al Total. * La variable Migrantes No puede ser mayor al Total.</v>
      </c>
      <c r="CB360" s="135" t="str">
        <f t="shared" si="243"/>
        <v xml:space="preserve"> * La variable Pueblos originarios No puede ser mayor al Total.</v>
      </c>
      <c r="CC360" s="135" t="str">
        <f t="shared" si="240"/>
        <v xml:space="preserve"> * La variable Migrantes No puede ser mayor al Total.</v>
      </c>
      <c r="CP360" s="1867">
        <f t="shared" si="241"/>
        <v>1</v>
      </c>
      <c r="CQ360" s="1867">
        <f t="shared" si="242"/>
        <v>1</v>
      </c>
    </row>
    <row r="361" spans="1:95" x14ac:dyDescent="0.25">
      <c r="A361" s="5640" t="s">
        <v>5189</v>
      </c>
      <c r="B361" s="6112"/>
      <c r="C361" s="295" t="s">
        <v>963</v>
      </c>
      <c r="D361" s="737" t="s">
        <v>4567</v>
      </c>
      <c r="E361" s="738" t="s">
        <v>4568</v>
      </c>
      <c r="F361" s="739" t="s">
        <v>4569</v>
      </c>
      <c r="G361" s="345" t="s">
        <v>4570</v>
      </c>
      <c r="H361" s="346" t="s">
        <v>4571</v>
      </c>
      <c r="I361" s="345" t="s">
        <v>4572</v>
      </c>
      <c r="J361" s="346" t="s">
        <v>4573</v>
      </c>
      <c r="K361" s="345" t="s">
        <v>4574</v>
      </c>
      <c r="L361" s="346" t="s">
        <v>4575</v>
      </c>
      <c r="M361" s="345" t="s">
        <v>4576</v>
      </c>
      <c r="N361" s="346" t="s">
        <v>4577</v>
      </c>
      <c r="O361" s="345" t="s">
        <v>4578</v>
      </c>
      <c r="P361" s="346" t="s">
        <v>4579</v>
      </c>
      <c r="Q361" s="345" t="s">
        <v>4580</v>
      </c>
      <c r="R361" s="346" t="s">
        <v>4581</v>
      </c>
      <c r="S361" s="345" t="s">
        <v>4582</v>
      </c>
      <c r="T361" s="346" t="s">
        <v>4583</v>
      </c>
      <c r="U361" s="345" t="s">
        <v>4584</v>
      </c>
      <c r="V361" s="346" t="s">
        <v>4585</v>
      </c>
      <c r="W361" s="345" t="s">
        <v>4586</v>
      </c>
      <c r="X361" s="346" t="s">
        <v>4587</v>
      </c>
      <c r="Y361" s="345" t="s">
        <v>4588</v>
      </c>
      <c r="Z361" s="346" t="s">
        <v>4589</v>
      </c>
      <c r="AA361" s="345" t="s">
        <v>4590</v>
      </c>
      <c r="AB361" s="346" t="s">
        <v>4591</v>
      </c>
      <c r="AC361" s="345" t="s">
        <v>4592</v>
      </c>
      <c r="AD361" s="346" t="s">
        <v>4593</v>
      </c>
      <c r="AE361" s="345" t="s">
        <v>4594</v>
      </c>
      <c r="AF361" s="346" t="s">
        <v>4595</v>
      </c>
      <c r="AG361" s="345" t="s">
        <v>4596</v>
      </c>
      <c r="AH361" s="480" t="s">
        <v>4597</v>
      </c>
      <c r="AI361" s="429" t="s">
        <v>4598</v>
      </c>
      <c r="AJ361" s="351" t="s">
        <v>4599</v>
      </c>
      <c r="AK361" s="347" t="s">
        <v>4600</v>
      </c>
      <c r="AL361" s="368" t="s">
        <v>4601</v>
      </c>
      <c r="AM361" s="349" t="s">
        <v>4602</v>
      </c>
      <c r="AN361" s="349" t="s">
        <v>4603</v>
      </c>
      <c r="AO361" t="str">
        <f t="shared" si="239"/>
        <v xml:space="preserve"> * La variable Pueblos originarios No puede ser mayor al Total. * La variable Migrantes No puede ser mayor al Total.</v>
      </c>
      <c r="CB361" s="135" t="str">
        <f t="shared" si="243"/>
        <v xml:space="preserve"> * La variable Pueblos originarios No puede ser mayor al Total.</v>
      </c>
      <c r="CC361" s="135" t="str">
        <f t="shared" si="240"/>
        <v xml:space="preserve"> * La variable Migrantes No puede ser mayor al Total.</v>
      </c>
      <c r="CP361" s="1867">
        <f t="shared" si="241"/>
        <v>1</v>
      </c>
      <c r="CQ361" s="1867">
        <f t="shared" si="242"/>
        <v>1</v>
      </c>
    </row>
    <row r="362" spans="1:95" x14ac:dyDescent="0.25">
      <c r="A362" s="5640" t="s">
        <v>5190</v>
      </c>
      <c r="B362" s="6059"/>
      <c r="C362" s="526" t="s">
        <v>964</v>
      </c>
      <c r="D362" s="703" t="s">
        <v>4567</v>
      </c>
      <c r="E362" s="741" t="s">
        <v>4568</v>
      </c>
      <c r="F362" s="742" t="s">
        <v>4569</v>
      </c>
      <c r="G362" s="372" t="s">
        <v>4570</v>
      </c>
      <c r="H362" s="726" t="s">
        <v>4571</v>
      </c>
      <c r="I362" s="372" t="s">
        <v>4572</v>
      </c>
      <c r="J362" s="726" t="s">
        <v>4573</v>
      </c>
      <c r="K362" s="372" t="s">
        <v>4574</v>
      </c>
      <c r="L362" s="726" t="s">
        <v>4575</v>
      </c>
      <c r="M362" s="372" t="s">
        <v>4576</v>
      </c>
      <c r="N362" s="726" t="s">
        <v>4577</v>
      </c>
      <c r="O362" s="372" t="s">
        <v>4578</v>
      </c>
      <c r="P362" s="726" t="s">
        <v>4579</v>
      </c>
      <c r="Q362" s="372" t="s">
        <v>4580</v>
      </c>
      <c r="R362" s="726" t="s">
        <v>4581</v>
      </c>
      <c r="S362" s="372" t="s">
        <v>4582</v>
      </c>
      <c r="T362" s="726" t="s">
        <v>4583</v>
      </c>
      <c r="U362" s="372" t="s">
        <v>4584</v>
      </c>
      <c r="V362" s="726" t="s">
        <v>4585</v>
      </c>
      <c r="W362" s="372" t="s">
        <v>4586</v>
      </c>
      <c r="X362" s="726" t="s">
        <v>4587</v>
      </c>
      <c r="Y362" s="372" t="s">
        <v>4588</v>
      </c>
      <c r="Z362" s="726" t="s">
        <v>4589</v>
      </c>
      <c r="AA362" s="372" t="s">
        <v>4590</v>
      </c>
      <c r="AB362" s="726" t="s">
        <v>4591</v>
      </c>
      <c r="AC362" s="372" t="s">
        <v>4592</v>
      </c>
      <c r="AD362" s="726" t="s">
        <v>4593</v>
      </c>
      <c r="AE362" s="372" t="s">
        <v>4594</v>
      </c>
      <c r="AF362" s="726" t="s">
        <v>4595</v>
      </c>
      <c r="AG362" s="372" t="s">
        <v>4596</v>
      </c>
      <c r="AH362" s="586" t="s">
        <v>4597</v>
      </c>
      <c r="AI362" s="378" t="s">
        <v>4598</v>
      </c>
      <c r="AJ362" s="389" t="s">
        <v>4599</v>
      </c>
      <c r="AK362" s="428" t="s">
        <v>4600</v>
      </c>
      <c r="AL362" s="371" t="s">
        <v>4601</v>
      </c>
      <c r="AM362" s="388" t="s">
        <v>4602</v>
      </c>
      <c r="AN362" s="388" t="s">
        <v>4603</v>
      </c>
      <c r="AO362" t="str">
        <f t="shared" si="239"/>
        <v xml:space="preserve"> * La variable Pueblos originarios No puede ser mayor al Total. * La variable Migrantes No puede ser mayor al Total.</v>
      </c>
      <c r="CB362" s="135" t="str">
        <f t="shared" si="243"/>
        <v xml:space="preserve"> * La variable Pueblos originarios No puede ser mayor al Total.</v>
      </c>
      <c r="CC362" s="135" t="str">
        <f t="shared" si="240"/>
        <v xml:space="preserve"> * La variable Migrantes No puede ser mayor al Total.</v>
      </c>
      <c r="CP362" s="1867">
        <f t="shared" si="241"/>
        <v>1</v>
      </c>
      <c r="CQ362" s="1867">
        <f t="shared" si="242"/>
        <v>1</v>
      </c>
    </row>
    <row r="363" spans="1:95" x14ac:dyDescent="0.25">
      <c r="A363" s="5677" t="s">
        <v>5191</v>
      </c>
      <c r="B363" s="6642" t="s">
        <v>966</v>
      </c>
      <c r="C363" s="491" t="s">
        <v>967</v>
      </c>
      <c r="D363" s="316" t="s">
        <v>4567</v>
      </c>
      <c r="E363" s="140" t="s">
        <v>4568</v>
      </c>
      <c r="F363" s="224" t="s">
        <v>4569</v>
      </c>
      <c r="G363" s="290" t="s">
        <v>4570</v>
      </c>
      <c r="H363" s="107" t="s">
        <v>4571</v>
      </c>
      <c r="I363" s="290" t="s">
        <v>4572</v>
      </c>
      <c r="J363" s="107" t="s">
        <v>4573</v>
      </c>
      <c r="K363" s="290" t="s">
        <v>4574</v>
      </c>
      <c r="L363" s="107" t="s">
        <v>4575</v>
      </c>
      <c r="M363" s="290" t="s">
        <v>4576</v>
      </c>
      <c r="N363" s="107" t="s">
        <v>4577</v>
      </c>
      <c r="O363" s="290" t="s">
        <v>4578</v>
      </c>
      <c r="P363" s="107" t="s">
        <v>4579</v>
      </c>
      <c r="Q363" s="290" t="s">
        <v>4580</v>
      </c>
      <c r="R363" s="107" t="s">
        <v>4581</v>
      </c>
      <c r="S363" s="290" t="s">
        <v>4582</v>
      </c>
      <c r="T363" s="107" t="s">
        <v>4583</v>
      </c>
      <c r="U363" s="290" t="s">
        <v>4584</v>
      </c>
      <c r="V363" s="107" t="s">
        <v>4585</v>
      </c>
      <c r="W363" s="290" t="s">
        <v>4586</v>
      </c>
      <c r="X363" s="107" t="s">
        <v>4587</v>
      </c>
      <c r="Y363" s="290" t="s">
        <v>4588</v>
      </c>
      <c r="Z363" s="107" t="s">
        <v>4589</v>
      </c>
      <c r="AA363" s="290" t="s">
        <v>4590</v>
      </c>
      <c r="AB363" s="107" t="s">
        <v>4591</v>
      </c>
      <c r="AC363" s="290" t="s">
        <v>4592</v>
      </c>
      <c r="AD363" s="107" t="s">
        <v>4593</v>
      </c>
      <c r="AE363" s="290" t="s">
        <v>4594</v>
      </c>
      <c r="AF363" s="107" t="s">
        <v>4595</v>
      </c>
      <c r="AG363" s="290" t="s">
        <v>4596</v>
      </c>
      <c r="AH363" s="61" t="s">
        <v>4597</v>
      </c>
      <c r="AI363" s="296" t="s">
        <v>4598</v>
      </c>
      <c r="AJ363" s="430" t="s">
        <v>4599</v>
      </c>
      <c r="AK363" s="22" t="s">
        <v>4600</v>
      </c>
      <c r="AL363" s="531" t="s">
        <v>4601</v>
      </c>
      <c r="AM363" s="622" t="s">
        <v>4602</v>
      </c>
      <c r="AN363" s="622" t="s">
        <v>4603</v>
      </c>
      <c r="AO363" t="str">
        <f t="shared" si="239"/>
        <v xml:space="preserve"> * La variable Pueblos originarios No puede ser mayor al Total. * La variable Migrantes No puede ser mayor al Total.</v>
      </c>
      <c r="CB363" s="135" t="str">
        <f t="shared" si="243"/>
        <v xml:space="preserve"> * La variable Pueblos originarios No puede ser mayor al Total.</v>
      </c>
      <c r="CC363" s="135" t="str">
        <f t="shared" si="240"/>
        <v xml:space="preserve"> * La variable Migrantes No puede ser mayor al Total.</v>
      </c>
      <c r="CP363" s="1867">
        <f t="shared" si="241"/>
        <v>1</v>
      </c>
      <c r="CQ363" s="1867">
        <f t="shared" si="242"/>
        <v>1</v>
      </c>
    </row>
    <row r="364" spans="1:95" x14ac:dyDescent="0.25">
      <c r="A364" s="5677" t="s">
        <v>5192</v>
      </c>
      <c r="B364" s="6643"/>
      <c r="C364" s="357" t="s">
        <v>968</v>
      </c>
      <c r="D364" s="737" t="s">
        <v>4567</v>
      </c>
      <c r="E364" s="738" t="s">
        <v>4568</v>
      </c>
      <c r="F364" s="739" t="s">
        <v>4569</v>
      </c>
      <c r="G364" s="345" t="s">
        <v>4570</v>
      </c>
      <c r="H364" s="346" t="s">
        <v>4571</v>
      </c>
      <c r="I364" s="345" t="s">
        <v>4572</v>
      </c>
      <c r="J364" s="346" t="s">
        <v>4573</v>
      </c>
      <c r="K364" s="345" t="s">
        <v>4574</v>
      </c>
      <c r="L364" s="346" t="s">
        <v>4575</v>
      </c>
      <c r="M364" s="345" t="s">
        <v>4576</v>
      </c>
      <c r="N364" s="346" t="s">
        <v>4577</v>
      </c>
      <c r="O364" s="345" t="s">
        <v>4578</v>
      </c>
      <c r="P364" s="346" t="s">
        <v>4579</v>
      </c>
      <c r="Q364" s="345" t="s">
        <v>4580</v>
      </c>
      <c r="R364" s="346" t="s">
        <v>4581</v>
      </c>
      <c r="S364" s="345" t="s">
        <v>4582</v>
      </c>
      <c r="T364" s="346" t="s">
        <v>4583</v>
      </c>
      <c r="U364" s="345" t="s">
        <v>4584</v>
      </c>
      <c r="V364" s="346" t="s">
        <v>4585</v>
      </c>
      <c r="W364" s="345" t="s">
        <v>4586</v>
      </c>
      <c r="X364" s="346" t="s">
        <v>4587</v>
      </c>
      <c r="Y364" s="345" t="s">
        <v>4588</v>
      </c>
      <c r="Z364" s="346" t="s">
        <v>4589</v>
      </c>
      <c r="AA364" s="345" t="s">
        <v>4590</v>
      </c>
      <c r="AB364" s="346" t="s">
        <v>4591</v>
      </c>
      <c r="AC364" s="345" t="s">
        <v>4592</v>
      </c>
      <c r="AD364" s="346" t="s">
        <v>4593</v>
      </c>
      <c r="AE364" s="345" t="s">
        <v>4594</v>
      </c>
      <c r="AF364" s="346" t="s">
        <v>4595</v>
      </c>
      <c r="AG364" s="345" t="s">
        <v>4596</v>
      </c>
      <c r="AH364" s="480" t="s">
        <v>4597</v>
      </c>
      <c r="AI364" s="429" t="s">
        <v>4598</v>
      </c>
      <c r="AJ364" s="351" t="s">
        <v>4599</v>
      </c>
      <c r="AK364" s="347" t="s">
        <v>4600</v>
      </c>
      <c r="AL364" s="368" t="s">
        <v>4601</v>
      </c>
      <c r="AM364" s="349" t="s">
        <v>4602</v>
      </c>
      <c r="AN364" s="349" t="s">
        <v>4603</v>
      </c>
      <c r="AO364" t="str">
        <f t="shared" si="239"/>
        <v xml:space="preserve"> * La variable Pueblos originarios No puede ser mayor al Total. * La variable Migrantes No puede ser mayor al Total.</v>
      </c>
      <c r="CB364" s="135" t="str">
        <f t="shared" si="243"/>
        <v xml:space="preserve"> * La variable Pueblos originarios No puede ser mayor al Total.</v>
      </c>
      <c r="CC364" s="135" t="str">
        <f t="shared" si="240"/>
        <v xml:space="preserve"> * La variable Migrantes No puede ser mayor al Total.</v>
      </c>
      <c r="CP364" s="1867">
        <f t="shared" si="241"/>
        <v>1</v>
      </c>
      <c r="CQ364" s="1867">
        <f t="shared" si="242"/>
        <v>1</v>
      </c>
    </row>
    <row r="365" spans="1:95" x14ac:dyDescent="0.25">
      <c r="A365" s="5677" t="s">
        <v>5193</v>
      </c>
      <c r="B365" s="6643"/>
      <c r="C365" s="357" t="s">
        <v>969</v>
      </c>
      <c r="D365" s="737" t="s">
        <v>4567</v>
      </c>
      <c r="E365" s="738" t="s">
        <v>4568</v>
      </c>
      <c r="F365" s="739" t="s">
        <v>4569</v>
      </c>
      <c r="G365" s="345" t="s">
        <v>4570</v>
      </c>
      <c r="H365" s="346" t="s">
        <v>4571</v>
      </c>
      <c r="I365" s="345" t="s">
        <v>4572</v>
      </c>
      <c r="J365" s="346" t="s">
        <v>4573</v>
      </c>
      <c r="K365" s="345" t="s">
        <v>4574</v>
      </c>
      <c r="L365" s="346" t="s">
        <v>4575</v>
      </c>
      <c r="M365" s="345" t="s">
        <v>4576</v>
      </c>
      <c r="N365" s="346" t="s">
        <v>4577</v>
      </c>
      <c r="O365" s="345" t="s">
        <v>4578</v>
      </c>
      <c r="P365" s="346" t="s">
        <v>4579</v>
      </c>
      <c r="Q365" s="345" t="s">
        <v>4580</v>
      </c>
      <c r="R365" s="346" t="s">
        <v>4581</v>
      </c>
      <c r="S365" s="345" t="s">
        <v>4582</v>
      </c>
      <c r="T365" s="346" t="s">
        <v>4583</v>
      </c>
      <c r="U365" s="345" t="s">
        <v>4584</v>
      </c>
      <c r="V365" s="346" t="s">
        <v>4585</v>
      </c>
      <c r="W365" s="345" t="s">
        <v>4586</v>
      </c>
      <c r="X365" s="346" t="s">
        <v>4587</v>
      </c>
      <c r="Y365" s="345" t="s">
        <v>4588</v>
      </c>
      <c r="Z365" s="346" t="s">
        <v>4589</v>
      </c>
      <c r="AA365" s="345" t="s">
        <v>4590</v>
      </c>
      <c r="AB365" s="346" t="s">
        <v>4591</v>
      </c>
      <c r="AC365" s="345" t="s">
        <v>4592</v>
      </c>
      <c r="AD365" s="346" t="s">
        <v>4593</v>
      </c>
      <c r="AE365" s="345" t="s">
        <v>4594</v>
      </c>
      <c r="AF365" s="346" t="s">
        <v>4595</v>
      </c>
      <c r="AG365" s="345" t="s">
        <v>4596</v>
      </c>
      <c r="AH365" s="480" t="s">
        <v>4597</v>
      </c>
      <c r="AI365" s="429" t="s">
        <v>4598</v>
      </c>
      <c r="AJ365" s="351" t="s">
        <v>4599</v>
      </c>
      <c r="AK365" s="347" t="s">
        <v>4600</v>
      </c>
      <c r="AL365" s="368" t="s">
        <v>4601</v>
      </c>
      <c r="AM365" s="349" t="s">
        <v>4602</v>
      </c>
      <c r="AN365" s="349" t="s">
        <v>4603</v>
      </c>
      <c r="AO365" t="str">
        <f t="shared" si="239"/>
        <v xml:space="preserve"> * La variable Pueblos originarios No puede ser mayor al Total. * La variable Migrantes No puede ser mayor al Total.</v>
      </c>
      <c r="CB365" s="135" t="str">
        <f t="shared" si="243"/>
        <v xml:space="preserve"> * La variable Pueblos originarios No puede ser mayor al Total.</v>
      </c>
      <c r="CC365" s="135" t="str">
        <f t="shared" si="240"/>
        <v xml:space="preserve"> * La variable Migrantes No puede ser mayor al Total.</v>
      </c>
      <c r="CP365" s="1867">
        <f t="shared" si="241"/>
        <v>1</v>
      </c>
      <c r="CQ365" s="1867">
        <f t="shared" si="242"/>
        <v>1</v>
      </c>
    </row>
    <row r="366" spans="1:95" x14ac:dyDescent="0.25">
      <c r="A366" s="5677" t="s">
        <v>5194</v>
      </c>
      <c r="B366" s="6644"/>
      <c r="C366" s="526" t="s">
        <v>970</v>
      </c>
      <c r="D366" s="703" t="s">
        <v>4567</v>
      </c>
      <c r="E366" s="741" t="s">
        <v>4568</v>
      </c>
      <c r="F366" s="742" t="s">
        <v>4569</v>
      </c>
      <c r="G366" s="372" t="s">
        <v>4570</v>
      </c>
      <c r="H366" s="726" t="s">
        <v>4571</v>
      </c>
      <c r="I366" s="372" t="s">
        <v>4572</v>
      </c>
      <c r="J366" s="726" t="s">
        <v>4573</v>
      </c>
      <c r="K366" s="372" t="s">
        <v>4574</v>
      </c>
      <c r="L366" s="726" t="s">
        <v>4575</v>
      </c>
      <c r="M366" s="372" t="s">
        <v>4576</v>
      </c>
      <c r="N366" s="726" t="s">
        <v>4577</v>
      </c>
      <c r="O366" s="372" t="s">
        <v>4578</v>
      </c>
      <c r="P366" s="726" t="s">
        <v>4579</v>
      </c>
      <c r="Q366" s="372" t="s">
        <v>4580</v>
      </c>
      <c r="R366" s="726" t="s">
        <v>4581</v>
      </c>
      <c r="S366" s="372" t="s">
        <v>4582</v>
      </c>
      <c r="T366" s="726" t="s">
        <v>4583</v>
      </c>
      <c r="U366" s="372" t="s">
        <v>4584</v>
      </c>
      <c r="V366" s="726" t="s">
        <v>4585</v>
      </c>
      <c r="W366" s="372" t="s">
        <v>4586</v>
      </c>
      <c r="X366" s="726" t="s">
        <v>4587</v>
      </c>
      <c r="Y366" s="372" t="s">
        <v>4588</v>
      </c>
      <c r="Z366" s="726" t="s">
        <v>4589</v>
      </c>
      <c r="AA366" s="372" t="s">
        <v>4590</v>
      </c>
      <c r="AB366" s="726" t="s">
        <v>4591</v>
      </c>
      <c r="AC366" s="372" t="s">
        <v>4592</v>
      </c>
      <c r="AD366" s="726" t="s">
        <v>4593</v>
      </c>
      <c r="AE366" s="372" t="s">
        <v>4594</v>
      </c>
      <c r="AF366" s="726" t="s">
        <v>4595</v>
      </c>
      <c r="AG366" s="372" t="s">
        <v>4596</v>
      </c>
      <c r="AH366" s="586" t="s">
        <v>4597</v>
      </c>
      <c r="AI366" s="266" t="s">
        <v>4598</v>
      </c>
      <c r="AJ366" s="297" t="s">
        <v>4599</v>
      </c>
      <c r="AK366" s="541" t="s">
        <v>4600</v>
      </c>
      <c r="AL366" s="262" t="s">
        <v>4601</v>
      </c>
      <c r="AM366" s="310" t="s">
        <v>4602</v>
      </c>
      <c r="AN366" s="310" t="s">
        <v>4603</v>
      </c>
      <c r="AO366" t="str">
        <f t="shared" si="239"/>
        <v xml:space="preserve"> * La variable Pueblos originarios No puede ser mayor al Total. * La variable Migrantes No puede ser mayor al Total.</v>
      </c>
      <c r="CB366" s="135" t="str">
        <f>IF(AND(D366&gt;0,AI366="")," * No olvide digitar la variable Pueblos originarios. Digite Cero si no tiene.",IF(AI366&gt;D366," * La variable Pueblos originarios No puede ser mayor al Total.",""))</f>
        <v xml:space="preserve"> * La variable Pueblos originarios No puede ser mayor al Total.</v>
      </c>
      <c r="CC366" s="135" t="str">
        <f t="shared" si="240"/>
        <v xml:space="preserve"> * La variable Migrantes No puede ser mayor al Total.</v>
      </c>
      <c r="CP366" s="1867">
        <f t="shared" si="241"/>
        <v>1</v>
      </c>
      <c r="CQ366" s="1867">
        <f t="shared" si="242"/>
        <v>1</v>
      </c>
    </row>
    <row r="367" spans="1:95" ht="18" customHeight="1" x14ac:dyDescent="0.25">
      <c r="A367" s="5548"/>
      <c r="B367" s="2950" t="s">
        <v>4336</v>
      </c>
      <c r="C367" s="298"/>
      <c r="D367" s="8"/>
      <c r="E367" s="6"/>
      <c r="F367" s="8"/>
      <c r="G367" s="8"/>
      <c r="H367" s="8"/>
      <c r="I367" s="8"/>
      <c r="J367" s="8"/>
      <c r="K367" s="8"/>
      <c r="L367" s="2951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</row>
    <row r="368" spans="1:95" x14ac:dyDescent="0.25">
      <c r="A368" s="5548"/>
      <c r="B368" s="6512" t="s">
        <v>971</v>
      </c>
      <c r="C368" s="6212" t="s">
        <v>77</v>
      </c>
      <c r="D368" s="6510"/>
      <c r="E368" s="6511"/>
      <c r="F368" s="6411" t="s">
        <v>101</v>
      </c>
      <c r="G368" s="6534"/>
      <c r="H368" s="6534"/>
      <c r="I368" s="6534"/>
      <c r="J368" s="6534"/>
      <c r="K368" s="6534"/>
      <c r="L368" s="6534"/>
      <c r="M368" s="6534"/>
      <c r="N368" s="6534"/>
      <c r="O368" s="6534"/>
      <c r="P368" s="6534"/>
      <c r="Q368" s="6534"/>
      <c r="R368" s="6534"/>
      <c r="S368" s="6534"/>
      <c r="T368" s="6534"/>
      <c r="U368" s="6534"/>
      <c r="V368" s="6534"/>
      <c r="W368" s="6534"/>
      <c r="X368" s="6534"/>
      <c r="Y368" s="6534"/>
      <c r="Z368" s="6534"/>
      <c r="AA368" s="6534"/>
      <c r="AB368" s="6534"/>
      <c r="AC368" s="6534"/>
      <c r="AD368" s="6534"/>
      <c r="AE368" s="6534"/>
      <c r="AF368" s="6534"/>
      <c r="AG368" s="6534"/>
      <c r="AH368" s="6534"/>
      <c r="AI368" s="6534"/>
      <c r="AJ368" s="6534"/>
      <c r="AK368" s="6534"/>
      <c r="AL368" s="6534"/>
      <c r="AM368" s="6447"/>
      <c r="AN368" s="6520" t="s">
        <v>972</v>
      </c>
      <c r="AO368" s="6520"/>
      <c r="AP368" s="6520"/>
      <c r="AQ368" s="6521"/>
      <c r="AR368" s="6522" t="s">
        <v>973</v>
      </c>
      <c r="AS368" s="6517" t="s">
        <v>36</v>
      </c>
      <c r="AT368" s="6511" t="s">
        <v>37</v>
      </c>
    </row>
    <row r="369" spans="1:95" x14ac:dyDescent="0.25">
      <c r="A369" s="5548"/>
      <c r="B369" s="6513"/>
      <c r="C369" s="6044"/>
      <c r="D369" s="6045"/>
      <c r="E369" s="6027"/>
      <c r="F369" s="6405" t="s">
        <v>343</v>
      </c>
      <c r="G369" s="6451"/>
      <c r="H369" s="6405" t="s">
        <v>326</v>
      </c>
      <c r="I369" s="6451"/>
      <c r="J369" s="6405" t="s">
        <v>94</v>
      </c>
      <c r="K369" s="6451"/>
      <c r="L369" s="6405" t="s">
        <v>44</v>
      </c>
      <c r="M369" s="6451"/>
      <c r="N369" s="6405" t="s">
        <v>45</v>
      </c>
      <c r="O369" s="6451"/>
      <c r="P369" s="6405" t="s">
        <v>974</v>
      </c>
      <c r="Q369" s="6451"/>
      <c r="R369" s="6405" t="s">
        <v>629</v>
      </c>
      <c r="S369" s="6451"/>
      <c r="T369" s="6405" t="s">
        <v>48</v>
      </c>
      <c r="U369" s="6451"/>
      <c r="V369" s="6405" t="s">
        <v>49</v>
      </c>
      <c r="W369" s="6451"/>
      <c r="X369" s="6405" t="s">
        <v>975</v>
      </c>
      <c r="Y369" s="6451"/>
      <c r="Z369" s="6405" t="s">
        <v>51</v>
      </c>
      <c r="AA369" s="6451"/>
      <c r="AB369" s="6405" t="s">
        <v>52</v>
      </c>
      <c r="AC369" s="6451"/>
      <c r="AD369" s="6405" t="s">
        <v>53</v>
      </c>
      <c r="AE369" s="6451"/>
      <c r="AF369" s="6405" t="s">
        <v>54</v>
      </c>
      <c r="AG369" s="6451"/>
      <c r="AH369" s="6405" t="s">
        <v>55</v>
      </c>
      <c r="AI369" s="6451"/>
      <c r="AJ369" s="6405" t="s">
        <v>56</v>
      </c>
      <c r="AK369" s="6451"/>
      <c r="AL369" s="6411" t="s">
        <v>476</v>
      </c>
      <c r="AM369" s="6447"/>
      <c r="AN369" s="6525" t="s">
        <v>976</v>
      </c>
      <c r="AO369" s="6527" t="s">
        <v>977</v>
      </c>
      <c r="AP369" s="6529" t="s">
        <v>978</v>
      </c>
      <c r="AQ369" s="6530" t="s">
        <v>979</v>
      </c>
      <c r="AR369" s="6523"/>
      <c r="AS369" s="6034"/>
      <c r="AT369" s="6027"/>
    </row>
    <row r="370" spans="1:95" x14ac:dyDescent="0.25">
      <c r="A370" s="5548"/>
      <c r="B370" s="6514"/>
      <c r="C370" s="467" t="s">
        <v>79</v>
      </c>
      <c r="D370" s="547" t="s">
        <v>58</v>
      </c>
      <c r="E370" s="468" t="s">
        <v>59</v>
      </c>
      <c r="F370" s="467" t="s">
        <v>58</v>
      </c>
      <c r="G370" s="464" t="s">
        <v>59</v>
      </c>
      <c r="H370" s="467" t="s">
        <v>58</v>
      </c>
      <c r="I370" s="464" t="s">
        <v>59</v>
      </c>
      <c r="J370" s="467" t="s">
        <v>58</v>
      </c>
      <c r="K370" s="464" t="s">
        <v>59</v>
      </c>
      <c r="L370" s="467" t="s">
        <v>58</v>
      </c>
      <c r="M370" s="464" t="s">
        <v>59</v>
      </c>
      <c r="N370" s="467" t="s">
        <v>58</v>
      </c>
      <c r="O370" s="464" t="s">
        <v>59</v>
      </c>
      <c r="P370" s="467" t="s">
        <v>58</v>
      </c>
      <c r="Q370" s="464" t="s">
        <v>59</v>
      </c>
      <c r="R370" s="467" t="s">
        <v>58</v>
      </c>
      <c r="S370" s="464" t="s">
        <v>59</v>
      </c>
      <c r="T370" s="467" t="s">
        <v>58</v>
      </c>
      <c r="U370" s="464" t="s">
        <v>59</v>
      </c>
      <c r="V370" s="467" t="s">
        <v>58</v>
      </c>
      <c r="W370" s="464" t="s">
        <v>59</v>
      </c>
      <c r="X370" s="467" t="s">
        <v>58</v>
      </c>
      <c r="Y370" s="464" t="s">
        <v>59</v>
      </c>
      <c r="Z370" s="467" t="s">
        <v>58</v>
      </c>
      <c r="AA370" s="464" t="s">
        <v>59</v>
      </c>
      <c r="AB370" s="467" t="s">
        <v>58</v>
      </c>
      <c r="AC370" s="464" t="s">
        <v>59</v>
      </c>
      <c r="AD370" s="467" t="s">
        <v>58</v>
      </c>
      <c r="AE370" s="464" t="s">
        <v>59</v>
      </c>
      <c r="AF370" s="467" t="s">
        <v>58</v>
      </c>
      <c r="AG370" s="464" t="s">
        <v>59</v>
      </c>
      <c r="AH370" s="467" t="s">
        <v>58</v>
      </c>
      <c r="AI370" s="464" t="s">
        <v>59</v>
      </c>
      <c r="AJ370" s="467" t="s">
        <v>58</v>
      </c>
      <c r="AK370" s="464" t="s">
        <v>59</v>
      </c>
      <c r="AL370" s="467" t="s">
        <v>58</v>
      </c>
      <c r="AM370" s="465" t="s">
        <v>59</v>
      </c>
      <c r="AN370" s="6526"/>
      <c r="AO370" s="6528"/>
      <c r="AP370" s="6528"/>
      <c r="AQ370" s="6531"/>
      <c r="AR370" s="6524"/>
      <c r="AS370" s="6035"/>
      <c r="AT370" s="6028"/>
    </row>
    <row r="371" spans="1:95" ht="15" customHeight="1" x14ac:dyDescent="0.25">
      <c r="A371" s="5616"/>
      <c r="B371" s="2953" t="s">
        <v>980</v>
      </c>
      <c r="C371" s="2954"/>
      <c r="D371" s="2955"/>
      <c r="E371" s="2956"/>
      <c r="F371" s="2954"/>
      <c r="G371" s="2957"/>
      <c r="H371" s="2954"/>
      <c r="I371" s="2957"/>
      <c r="J371" s="2954"/>
      <c r="K371" s="2957"/>
      <c r="L371" s="2954"/>
      <c r="M371" s="2957"/>
      <c r="N371" s="2954"/>
      <c r="O371" s="2957"/>
      <c r="P371" s="2954"/>
      <c r="Q371" s="2957"/>
      <c r="R371" s="2954"/>
      <c r="S371" s="2957"/>
      <c r="T371" s="2954"/>
      <c r="U371" s="2957"/>
      <c r="V371" s="2954"/>
      <c r="W371" s="2957"/>
      <c r="X371" s="2954"/>
      <c r="Y371" s="2957"/>
      <c r="Z371" s="2954"/>
      <c r="AA371" s="2957"/>
      <c r="AB371" s="2954"/>
      <c r="AC371" s="2957"/>
      <c r="AD371" s="2954"/>
      <c r="AE371" s="2957"/>
      <c r="AF371" s="2954"/>
      <c r="AG371" s="2957"/>
      <c r="AH371" s="2954"/>
      <c r="AI371" s="2957"/>
      <c r="AJ371" s="2954"/>
      <c r="AK371" s="2957"/>
      <c r="AL371" s="2954"/>
      <c r="AM371" s="2958"/>
      <c r="AN371" s="2959"/>
      <c r="AO371" s="529"/>
      <c r="AP371" s="529"/>
      <c r="AQ371" s="2957"/>
      <c r="AR371" s="2960"/>
      <c r="AS371" s="2959"/>
      <c r="AT371" s="2957"/>
    </row>
    <row r="372" spans="1:95" ht="21" x14ac:dyDescent="0.25">
      <c r="A372" s="5637" t="s">
        <v>5195</v>
      </c>
      <c r="B372" s="2961" t="s">
        <v>981</v>
      </c>
      <c r="C372" s="2962" t="s">
        <v>4567</v>
      </c>
      <c r="D372" s="2707" t="s">
        <v>4568</v>
      </c>
      <c r="E372" s="2963" t="s">
        <v>4569</v>
      </c>
      <c r="F372" s="473" t="s">
        <v>4570</v>
      </c>
      <c r="G372" s="566" t="s">
        <v>4571</v>
      </c>
      <c r="H372" s="473" t="s">
        <v>4572</v>
      </c>
      <c r="I372" s="566" t="s">
        <v>4573</v>
      </c>
      <c r="J372" s="473" t="s">
        <v>4574</v>
      </c>
      <c r="K372" s="566" t="s">
        <v>4575</v>
      </c>
      <c r="L372" s="473" t="s">
        <v>4576</v>
      </c>
      <c r="M372" s="566" t="s">
        <v>4577</v>
      </c>
      <c r="N372" s="473" t="s">
        <v>4578</v>
      </c>
      <c r="O372" s="566" t="s">
        <v>4579</v>
      </c>
      <c r="P372" s="473" t="s">
        <v>4580</v>
      </c>
      <c r="Q372" s="566" t="s">
        <v>4581</v>
      </c>
      <c r="R372" s="473" t="s">
        <v>4582</v>
      </c>
      <c r="S372" s="566" t="s">
        <v>4583</v>
      </c>
      <c r="T372" s="473" t="s">
        <v>4584</v>
      </c>
      <c r="U372" s="566" t="s">
        <v>4585</v>
      </c>
      <c r="V372" s="473" t="s">
        <v>4586</v>
      </c>
      <c r="W372" s="566" t="s">
        <v>4587</v>
      </c>
      <c r="X372" s="473" t="s">
        <v>4588</v>
      </c>
      <c r="Y372" s="566" t="s">
        <v>4589</v>
      </c>
      <c r="Z372" s="473" t="s">
        <v>4590</v>
      </c>
      <c r="AA372" s="566" t="s">
        <v>4591</v>
      </c>
      <c r="AB372" s="473" t="s">
        <v>4592</v>
      </c>
      <c r="AC372" s="566" t="s">
        <v>4593</v>
      </c>
      <c r="AD372" s="473" t="s">
        <v>4594</v>
      </c>
      <c r="AE372" s="566" t="s">
        <v>4595</v>
      </c>
      <c r="AF372" s="473" t="s">
        <v>4596</v>
      </c>
      <c r="AG372" s="566" t="s">
        <v>4597</v>
      </c>
      <c r="AH372" s="473" t="s">
        <v>4598</v>
      </c>
      <c r="AI372" s="566" t="s">
        <v>4599</v>
      </c>
      <c r="AJ372" s="473" t="s">
        <v>4600</v>
      </c>
      <c r="AK372" s="566" t="s">
        <v>4601</v>
      </c>
      <c r="AL372" s="473" t="s">
        <v>4602</v>
      </c>
      <c r="AM372" s="475" t="s">
        <v>4603</v>
      </c>
      <c r="AN372" s="5507" t="s">
        <v>4604</v>
      </c>
      <c r="AO372" s="515" t="s">
        <v>4605</v>
      </c>
      <c r="AP372" s="515" t="s">
        <v>4606</v>
      </c>
      <c r="AQ372" s="645" t="s">
        <v>4934</v>
      </c>
      <c r="AR372" s="2964" t="s">
        <v>4935</v>
      </c>
      <c r="AS372" s="496" t="s">
        <v>4936</v>
      </c>
      <c r="AT372" s="566" t="s">
        <v>4937</v>
      </c>
      <c r="AU372" t="str">
        <f>CB372&amp;CC372</f>
        <v xml:space="preserve"> * La variable Pueblos originarios No puede ser mayor al Total. * La variable Migrantes No puede ser mayor al Total.</v>
      </c>
      <c r="CB372" s="135" t="str">
        <f>IF(AND(C372&gt;0,AS372="")," A:AU* No olvide digitar la variable Pueblos originarios. Digite Cero si no tiene.",IF(AS372&gt;C372," * La variable Pueblos originarios No puede ser mayor al Total.",""))</f>
        <v xml:space="preserve"> * La variable Pueblos originarios No puede ser mayor al Total.</v>
      </c>
      <c r="CC372" s="135" t="str">
        <f>IF(AND(C372&gt;0,AT372="")," * No olvide digitar la variable Migrantes. Digite Cero si no tiene.",IF(AT372&gt;C372," * La variable Migrantes No puede ser mayor al Total.",""))</f>
        <v xml:space="preserve"> * La variable Migrantes No puede ser mayor al Total.</v>
      </c>
      <c r="CP372" s="1867">
        <f>IF(AND(C372&gt;0,AS372=""),1,IF(AS372&gt;C372,1,0))</f>
        <v>1</v>
      </c>
      <c r="CQ372" s="1867">
        <f>IF(AND(C372&gt;0,AT372=""),1,IF(AT372&gt;C372,1,0))</f>
        <v>1</v>
      </c>
    </row>
    <row r="373" spans="1:95" ht="21" x14ac:dyDescent="0.25">
      <c r="A373" s="5637" t="s">
        <v>5196</v>
      </c>
      <c r="B373" s="2965" t="s">
        <v>982</v>
      </c>
      <c r="C373" s="2962" t="s">
        <v>4567</v>
      </c>
      <c r="D373" s="2707" t="s">
        <v>4568</v>
      </c>
      <c r="E373" s="2963" t="s">
        <v>4569</v>
      </c>
      <c r="F373" s="379" t="s">
        <v>4570</v>
      </c>
      <c r="G373" s="387" t="s">
        <v>4571</v>
      </c>
      <c r="H373" s="379" t="s">
        <v>4572</v>
      </c>
      <c r="I373" s="387" t="s">
        <v>4573</v>
      </c>
      <c r="J373" s="379" t="s">
        <v>4574</v>
      </c>
      <c r="K373" s="387" t="s">
        <v>4575</v>
      </c>
      <c r="L373" s="379" t="s">
        <v>4576</v>
      </c>
      <c r="M373" s="387" t="s">
        <v>4577</v>
      </c>
      <c r="N373" s="379" t="s">
        <v>4578</v>
      </c>
      <c r="O373" s="387" t="s">
        <v>4579</v>
      </c>
      <c r="P373" s="379" t="s">
        <v>4580</v>
      </c>
      <c r="Q373" s="387" t="s">
        <v>4581</v>
      </c>
      <c r="R373" s="379" t="s">
        <v>4582</v>
      </c>
      <c r="S373" s="387" t="s">
        <v>4583</v>
      </c>
      <c r="T373" s="379" t="s">
        <v>4584</v>
      </c>
      <c r="U373" s="387" t="s">
        <v>4585</v>
      </c>
      <c r="V373" s="379" t="s">
        <v>4586</v>
      </c>
      <c r="W373" s="387" t="s">
        <v>4587</v>
      </c>
      <c r="X373" s="379" t="s">
        <v>4588</v>
      </c>
      <c r="Y373" s="387" t="s">
        <v>4589</v>
      </c>
      <c r="Z373" s="379" t="s">
        <v>4590</v>
      </c>
      <c r="AA373" s="387" t="s">
        <v>4591</v>
      </c>
      <c r="AB373" s="379" t="s">
        <v>4592</v>
      </c>
      <c r="AC373" s="387" t="s">
        <v>4593</v>
      </c>
      <c r="AD373" s="379" t="s">
        <v>4594</v>
      </c>
      <c r="AE373" s="387" t="s">
        <v>4595</v>
      </c>
      <c r="AF373" s="379" t="s">
        <v>4596</v>
      </c>
      <c r="AG373" s="387" t="s">
        <v>4597</v>
      </c>
      <c r="AH373" s="379" t="s">
        <v>4598</v>
      </c>
      <c r="AI373" s="387" t="s">
        <v>4599</v>
      </c>
      <c r="AJ373" s="379" t="s">
        <v>4600</v>
      </c>
      <c r="AK373" s="387" t="s">
        <v>4601</v>
      </c>
      <c r="AL373" s="379" t="s">
        <v>4602</v>
      </c>
      <c r="AM373" s="391" t="s">
        <v>4603</v>
      </c>
      <c r="AN373" s="3740" t="s">
        <v>4604</v>
      </c>
      <c r="AO373" s="518" t="s">
        <v>4605</v>
      </c>
      <c r="AP373" s="518" t="s">
        <v>4606</v>
      </c>
      <c r="AQ373" s="390" t="s">
        <v>4934</v>
      </c>
      <c r="AR373" s="2694" t="s">
        <v>4935</v>
      </c>
      <c r="AS373" s="378" t="s">
        <v>4936</v>
      </c>
      <c r="AT373" s="387" t="s">
        <v>4937</v>
      </c>
      <c r="AU373" t="str">
        <f>CB373&amp;CC373</f>
        <v xml:space="preserve"> * La variable Pueblos originarios No puede ser mayor al Total. * La variable Migrantes No puede ser mayor al Total.</v>
      </c>
      <c r="CB373" s="135" t="str">
        <f>IF(AND(C373&gt;0,AS373="")," * No olvide digitar la variable Pueblos originarios. Digite Cero si no tiene.",IF(AS373&gt;C373," * La variable Pueblos originarios No puede ser mayor al Total.",""))</f>
        <v xml:space="preserve"> * La variable Pueblos originarios No puede ser mayor al Total.</v>
      </c>
      <c r="CC373" s="135" t="str">
        <f>IF(AND(C373&gt;0,AT373="")," * No olvide digitar la variable Migrantes. Digite Cero si no tiene.",IF(AT373&gt;C373," * La variable Migrantes No puede ser mayor al Total.",""))</f>
        <v xml:space="preserve"> * La variable Migrantes No puede ser mayor al Total.</v>
      </c>
      <c r="CP373" s="1867">
        <f>IF(AND(C373&gt;0,AS373=""),1,IF(AS373&gt;C373,1,0))</f>
        <v>1</v>
      </c>
      <c r="CQ373" s="1867">
        <f>IF(AND(C373&gt;0,AT373=""),1,IF(AT373&gt;C373,1,0))</f>
        <v>1</v>
      </c>
    </row>
    <row r="374" spans="1:95" x14ac:dyDescent="0.25">
      <c r="A374" s="5616"/>
      <c r="B374" s="2966" t="s">
        <v>983</v>
      </c>
      <c r="C374" s="2967"/>
      <c r="D374" s="2968"/>
      <c r="E374" s="2956"/>
      <c r="F374" s="2954"/>
      <c r="G374" s="2957"/>
      <c r="H374" s="2954"/>
      <c r="I374" s="2957"/>
      <c r="J374" s="2954"/>
      <c r="K374" s="2957"/>
      <c r="L374" s="2954"/>
      <c r="M374" s="2957"/>
      <c r="N374" s="2954"/>
      <c r="O374" s="2957"/>
      <c r="P374" s="2954"/>
      <c r="Q374" s="2957"/>
      <c r="R374" s="2954"/>
      <c r="S374" s="2957"/>
      <c r="T374" s="2954"/>
      <c r="U374" s="2957"/>
      <c r="V374" s="2954"/>
      <c r="W374" s="2957"/>
      <c r="X374" s="2954"/>
      <c r="Y374" s="2957"/>
      <c r="Z374" s="2954"/>
      <c r="AA374" s="2957"/>
      <c r="AB374" s="2954"/>
      <c r="AC374" s="2957"/>
      <c r="AD374" s="2954"/>
      <c r="AE374" s="2957"/>
      <c r="AF374" s="2954"/>
      <c r="AG374" s="2957"/>
      <c r="AH374" s="2954"/>
      <c r="AI374" s="2957"/>
      <c r="AJ374" s="2954"/>
      <c r="AK374" s="2957"/>
      <c r="AL374" s="2954"/>
      <c r="AM374" s="2958"/>
      <c r="AN374" s="2959"/>
      <c r="AO374" s="529"/>
      <c r="AP374" s="529"/>
      <c r="AQ374" s="2957"/>
      <c r="AR374" s="2960"/>
      <c r="AS374" s="2959"/>
      <c r="AT374" s="2957"/>
      <c r="CB374" s="181"/>
      <c r="CC374" s="181"/>
      <c r="CP374" s="2969"/>
      <c r="CQ374" s="2969"/>
    </row>
    <row r="375" spans="1:95" ht="21" x14ac:dyDescent="0.25">
      <c r="A375" s="5637" t="s">
        <v>5197</v>
      </c>
      <c r="B375" s="2961" t="s">
        <v>984</v>
      </c>
      <c r="C375" s="363" t="s">
        <v>4567</v>
      </c>
      <c r="D375" s="2970" t="s">
        <v>4568</v>
      </c>
      <c r="E375" s="574" t="s">
        <v>4569</v>
      </c>
      <c r="F375" s="290" t="s">
        <v>4570</v>
      </c>
      <c r="G375" s="107" t="s">
        <v>4571</v>
      </c>
      <c r="H375" s="290" t="s">
        <v>4572</v>
      </c>
      <c r="I375" s="107" t="s">
        <v>4573</v>
      </c>
      <c r="J375" s="290" t="s">
        <v>4574</v>
      </c>
      <c r="K375" s="107" t="s">
        <v>4575</v>
      </c>
      <c r="L375" s="290" t="s">
        <v>4576</v>
      </c>
      <c r="M375" s="107" t="s">
        <v>4577</v>
      </c>
      <c r="N375" s="290" t="s">
        <v>4578</v>
      </c>
      <c r="O375" s="107" t="s">
        <v>4579</v>
      </c>
      <c r="P375" s="290" t="s">
        <v>4580</v>
      </c>
      <c r="Q375" s="107" t="s">
        <v>4581</v>
      </c>
      <c r="R375" s="290" t="s">
        <v>4582</v>
      </c>
      <c r="S375" s="107" t="s">
        <v>4583</v>
      </c>
      <c r="T375" s="290" t="s">
        <v>4584</v>
      </c>
      <c r="U375" s="107" t="s">
        <v>4585</v>
      </c>
      <c r="V375" s="290" t="s">
        <v>4586</v>
      </c>
      <c r="W375" s="107" t="s">
        <v>4587</v>
      </c>
      <c r="X375" s="290" t="s">
        <v>4588</v>
      </c>
      <c r="Y375" s="107" t="s">
        <v>4589</v>
      </c>
      <c r="Z375" s="290" t="s">
        <v>4590</v>
      </c>
      <c r="AA375" s="107" t="s">
        <v>4591</v>
      </c>
      <c r="AB375" s="290" t="s">
        <v>4592</v>
      </c>
      <c r="AC375" s="107" t="s">
        <v>4593</v>
      </c>
      <c r="AD375" s="290" t="s">
        <v>4594</v>
      </c>
      <c r="AE375" s="107" t="s">
        <v>4595</v>
      </c>
      <c r="AF375" s="290" t="s">
        <v>4596</v>
      </c>
      <c r="AG375" s="107" t="s">
        <v>4597</v>
      </c>
      <c r="AH375" s="290" t="s">
        <v>4598</v>
      </c>
      <c r="AI375" s="107" t="s">
        <v>4599</v>
      </c>
      <c r="AJ375" s="290" t="s">
        <v>4600</v>
      </c>
      <c r="AK375" s="107" t="s">
        <v>4601</v>
      </c>
      <c r="AL375" s="290" t="s">
        <v>4602</v>
      </c>
      <c r="AM375" s="61" t="s">
        <v>4603</v>
      </c>
      <c r="AN375" s="5508" t="s">
        <v>4604</v>
      </c>
      <c r="AO375" s="532" t="s">
        <v>4605</v>
      </c>
      <c r="AP375" s="532" t="s">
        <v>4606</v>
      </c>
      <c r="AQ375" s="130" t="s">
        <v>4934</v>
      </c>
      <c r="AR375" s="370" t="s">
        <v>4935</v>
      </c>
      <c r="AS375" s="296" t="s">
        <v>4936</v>
      </c>
      <c r="AT375" s="107" t="s">
        <v>4937</v>
      </c>
      <c r="AU375" t="str">
        <f t="shared" ref="AU375:AU376" si="244">CB375&amp;CC375</f>
        <v xml:space="preserve"> * La variable Pueblos originarios No puede ser mayor al Total. * La variable Migrantes No puede ser mayor al Total.</v>
      </c>
      <c r="CB375" s="135" t="str">
        <f t="shared" ref="CB375:CB389" si="245">IF(AND(C375&gt;0,AS375="")," * No olvide digitar la variable Pueblos originarios. Digite Cero si no tiene.",IF(AS375&gt;C375," * La variable Pueblos originarios No puede ser mayor al Total.",""))</f>
        <v xml:space="preserve"> * La variable Pueblos originarios No puede ser mayor al Total.</v>
      </c>
      <c r="CC375" s="135" t="str">
        <f t="shared" ref="CC375:CC389" si="246">IF(AND(C375&gt;0,AT375="")," * No olvide digitar la variable Migrantes. Digite Cero si no tiene.",IF(AT375&gt;C375," * La variable Migrantes No puede ser mayor al Total.",""))</f>
        <v xml:space="preserve"> * La variable Migrantes No puede ser mayor al Total.</v>
      </c>
      <c r="CP375" s="1867">
        <f>IF(AND(C375&gt;0,AS375=""),1,IF(AS375&gt;C375,1,0))</f>
        <v>1</v>
      </c>
      <c r="CQ375" s="1867">
        <f t="shared" ref="CQ375:CQ389" si="247">IF(AND(C375&gt;0,AT375=""),1,IF(AT375&gt;C375,1,0))</f>
        <v>1</v>
      </c>
    </row>
    <row r="376" spans="1:95" ht="21" x14ac:dyDescent="0.25">
      <c r="A376" s="5637" t="s">
        <v>5198</v>
      </c>
      <c r="B376" s="2971" t="s">
        <v>985</v>
      </c>
      <c r="C376" s="2972" t="s">
        <v>4567</v>
      </c>
      <c r="D376" s="2973" t="s">
        <v>4568</v>
      </c>
      <c r="E376" s="577" t="s">
        <v>4569</v>
      </c>
      <c r="F376" s="47" t="s">
        <v>4570</v>
      </c>
      <c r="G376" s="2" t="s">
        <v>4571</v>
      </c>
      <c r="H376" s="192" t="s">
        <v>4572</v>
      </c>
      <c r="I376" s="2" t="s">
        <v>4573</v>
      </c>
      <c r="J376" s="192" t="s">
        <v>4574</v>
      </c>
      <c r="K376" s="2" t="s">
        <v>4575</v>
      </c>
      <c r="L376" s="192" t="s">
        <v>4576</v>
      </c>
      <c r="M376" s="2" t="s">
        <v>4577</v>
      </c>
      <c r="N376" s="192" t="s">
        <v>4578</v>
      </c>
      <c r="O376" s="2" t="s">
        <v>4579</v>
      </c>
      <c r="P376" s="192" t="s">
        <v>4580</v>
      </c>
      <c r="Q376" s="2" t="s">
        <v>4581</v>
      </c>
      <c r="R376" s="192" t="s">
        <v>4582</v>
      </c>
      <c r="S376" s="2" t="s">
        <v>4583</v>
      </c>
      <c r="T376" s="192" t="s">
        <v>4584</v>
      </c>
      <c r="U376" s="2" t="s">
        <v>4585</v>
      </c>
      <c r="V376" s="192" t="s">
        <v>4586</v>
      </c>
      <c r="W376" s="2" t="s">
        <v>4587</v>
      </c>
      <c r="X376" s="192" t="s">
        <v>4588</v>
      </c>
      <c r="Y376" s="2" t="s">
        <v>4589</v>
      </c>
      <c r="Z376" s="192" t="s">
        <v>4590</v>
      </c>
      <c r="AA376" s="2" t="s">
        <v>4591</v>
      </c>
      <c r="AB376" s="192" t="s">
        <v>4592</v>
      </c>
      <c r="AC376" s="2" t="s">
        <v>4593</v>
      </c>
      <c r="AD376" s="192" t="s">
        <v>4594</v>
      </c>
      <c r="AE376" s="2" t="s">
        <v>4595</v>
      </c>
      <c r="AF376" s="192" t="s">
        <v>4596</v>
      </c>
      <c r="AG376" s="2" t="s">
        <v>4597</v>
      </c>
      <c r="AH376" s="192" t="s">
        <v>4598</v>
      </c>
      <c r="AI376" s="2" t="s">
        <v>4599</v>
      </c>
      <c r="AJ376" s="192" t="s">
        <v>4600</v>
      </c>
      <c r="AK376" s="2" t="s">
        <v>4601</v>
      </c>
      <c r="AL376" s="192" t="s">
        <v>4602</v>
      </c>
      <c r="AM376" s="375" t="s">
        <v>4603</v>
      </c>
      <c r="AN376" s="3734" t="s">
        <v>4604</v>
      </c>
      <c r="AO376" s="3715" t="s">
        <v>4605</v>
      </c>
      <c r="AP376" s="3715" t="s">
        <v>4606</v>
      </c>
      <c r="AQ376" s="131" t="s">
        <v>4934</v>
      </c>
      <c r="AR376" s="2974" t="s">
        <v>4935</v>
      </c>
      <c r="AS376" s="376" t="s">
        <v>4936</v>
      </c>
      <c r="AT376" s="2" t="s">
        <v>4937</v>
      </c>
      <c r="AU376" t="str">
        <f t="shared" si="244"/>
        <v xml:space="preserve"> * La variable Pueblos originarios No puede ser mayor al Total. * La variable Migrantes No puede ser mayor al Total.</v>
      </c>
      <c r="CB376" s="135" t="str">
        <f t="shared" si="245"/>
        <v xml:space="preserve"> * La variable Pueblos originarios No puede ser mayor al Total.</v>
      </c>
      <c r="CC376" s="135" t="str">
        <f t="shared" si="246"/>
        <v xml:space="preserve"> * La variable Migrantes No puede ser mayor al Total.</v>
      </c>
      <c r="CP376" s="1867">
        <f t="shared" ref="CP376:CP389" si="248">IF(AND(C376&gt;0,AS376=""),1,IF(AS376&gt;C376,1,0))</f>
        <v>1</v>
      </c>
      <c r="CQ376" s="1867">
        <f t="shared" si="247"/>
        <v>1</v>
      </c>
    </row>
    <row r="377" spans="1:95" x14ac:dyDescent="0.25">
      <c r="A377" s="5616"/>
      <c r="B377" s="2953" t="s">
        <v>986</v>
      </c>
      <c r="C377" s="2967"/>
      <c r="D377" s="2968"/>
      <c r="E377" s="2956"/>
      <c r="F377" s="2954"/>
      <c r="G377" s="2957"/>
      <c r="H377" s="2954"/>
      <c r="I377" s="2957"/>
      <c r="J377" s="2954"/>
      <c r="K377" s="2957"/>
      <c r="L377" s="2954"/>
      <c r="M377" s="2957"/>
      <c r="N377" s="2954"/>
      <c r="O377" s="2957"/>
      <c r="P377" s="2954"/>
      <c r="Q377" s="2957"/>
      <c r="R377" s="2954"/>
      <c r="S377" s="2957"/>
      <c r="T377" s="2954"/>
      <c r="U377" s="2957"/>
      <c r="V377" s="2954"/>
      <c r="W377" s="2957"/>
      <c r="X377" s="2954"/>
      <c r="Y377" s="2957"/>
      <c r="Z377" s="2954"/>
      <c r="AA377" s="2957"/>
      <c r="AB377" s="2954"/>
      <c r="AC377" s="2957"/>
      <c r="AD377" s="2954"/>
      <c r="AE377" s="2957"/>
      <c r="AF377" s="2954"/>
      <c r="AG377" s="2957"/>
      <c r="AH377" s="2954"/>
      <c r="AI377" s="2957"/>
      <c r="AJ377" s="2954"/>
      <c r="AK377" s="2957"/>
      <c r="AL377" s="2954"/>
      <c r="AM377" s="2958"/>
      <c r="AN377" s="2959"/>
      <c r="AO377" s="529"/>
      <c r="AP377" s="529"/>
      <c r="AQ377" s="2957"/>
      <c r="AR377" s="2960"/>
      <c r="AS377" s="2959"/>
      <c r="AT377" s="2957"/>
      <c r="CB377" s="181"/>
      <c r="CC377" s="181"/>
      <c r="CP377" s="2969"/>
      <c r="CQ377" s="2969"/>
    </row>
    <row r="378" spans="1:95" ht="21" x14ac:dyDescent="0.25">
      <c r="A378" s="5637" t="s">
        <v>5199</v>
      </c>
      <c r="B378" s="2961" t="s">
        <v>987</v>
      </c>
      <c r="C378" s="2975" t="s">
        <v>4567</v>
      </c>
      <c r="D378" s="2970" t="s">
        <v>4568</v>
      </c>
      <c r="E378" s="2380" t="s">
        <v>4569</v>
      </c>
      <c r="F378" s="47" t="s">
        <v>4570</v>
      </c>
      <c r="G378" s="42" t="s">
        <v>4571</v>
      </c>
      <c r="H378" s="47" t="s">
        <v>4572</v>
      </c>
      <c r="I378" s="42" t="s">
        <v>4573</v>
      </c>
      <c r="J378" s="47" t="s">
        <v>4574</v>
      </c>
      <c r="K378" s="42" t="s">
        <v>4575</v>
      </c>
      <c r="L378" s="47" t="s">
        <v>4576</v>
      </c>
      <c r="M378" s="42" t="s">
        <v>4577</v>
      </c>
      <c r="N378" s="47" t="s">
        <v>4578</v>
      </c>
      <c r="O378" s="42" t="s">
        <v>4579</v>
      </c>
      <c r="P378" s="47" t="s">
        <v>4580</v>
      </c>
      <c r="Q378" s="42" t="s">
        <v>4581</v>
      </c>
      <c r="R378" s="47" t="s">
        <v>4582</v>
      </c>
      <c r="S378" s="42" t="s">
        <v>4583</v>
      </c>
      <c r="T378" s="47" t="s">
        <v>4584</v>
      </c>
      <c r="U378" s="42" t="s">
        <v>4585</v>
      </c>
      <c r="V378" s="47" t="s">
        <v>4586</v>
      </c>
      <c r="W378" s="42" t="s">
        <v>4587</v>
      </c>
      <c r="X378" s="47" t="s">
        <v>4588</v>
      </c>
      <c r="Y378" s="42" t="s">
        <v>4589</v>
      </c>
      <c r="Z378" s="47" t="s">
        <v>4590</v>
      </c>
      <c r="AA378" s="42" t="s">
        <v>4591</v>
      </c>
      <c r="AB378" s="47" t="s">
        <v>4592</v>
      </c>
      <c r="AC378" s="42" t="s">
        <v>4593</v>
      </c>
      <c r="AD378" s="47" t="s">
        <v>4594</v>
      </c>
      <c r="AE378" s="42" t="s">
        <v>4595</v>
      </c>
      <c r="AF378" s="47" t="s">
        <v>4596</v>
      </c>
      <c r="AG378" s="42" t="s">
        <v>4597</v>
      </c>
      <c r="AH378" s="47" t="s">
        <v>4598</v>
      </c>
      <c r="AI378" s="42" t="s">
        <v>4599</v>
      </c>
      <c r="AJ378" s="47" t="s">
        <v>4600</v>
      </c>
      <c r="AK378" s="42" t="s">
        <v>4601</v>
      </c>
      <c r="AL378" s="47" t="s">
        <v>4602</v>
      </c>
      <c r="AM378" s="75" t="s">
        <v>4603</v>
      </c>
      <c r="AN378" s="5509" t="s">
        <v>4604</v>
      </c>
      <c r="AO378" s="244" t="s">
        <v>4605</v>
      </c>
      <c r="AP378" s="244" t="s">
        <v>4606</v>
      </c>
      <c r="AQ378" s="286" t="s">
        <v>4934</v>
      </c>
      <c r="AR378" s="2976" t="s">
        <v>4935</v>
      </c>
      <c r="AS378" s="74" t="s">
        <v>4936</v>
      </c>
      <c r="AT378" s="42" t="s">
        <v>4937</v>
      </c>
      <c r="AU378" t="str">
        <f t="shared" ref="AU378:AU382" si="249">CB378&amp;CC378</f>
        <v xml:space="preserve"> * La variable Pueblos originarios No puede ser mayor al Total. * La variable Migrantes No puede ser mayor al Total.</v>
      </c>
      <c r="CB378" s="135" t="str">
        <f t="shared" si="245"/>
        <v xml:space="preserve"> * La variable Pueblos originarios No puede ser mayor al Total.</v>
      </c>
      <c r="CC378" s="135" t="str">
        <f t="shared" si="246"/>
        <v xml:space="preserve"> * La variable Migrantes No puede ser mayor al Total.</v>
      </c>
      <c r="CP378" s="1867">
        <f t="shared" si="248"/>
        <v>1</v>
      </c>
      <c r="CQ378" s="1867">
        <f t="shared" si="247"/>
        <v>1</v>
      </c>
    </row>
    <row r="379" spans="1:95" x14ac:dyDescent="0.25">
      <c r="A379" s="5637" t="s">
        <v>5200</v>
      </c>
      <c r="B379" s="2971" t="s">
        <v>988</v>
      </c>
      <c r="C379" s="2972" t="s">
        <v>4567</v>
      </c>
      <c r="D379" s="2973" t="s">
        <v>4568</v>
      </c>
      <c r="E379" s="577" t="s">
        <v>4569</v>
      </c>
      <c r="F379" s="192" t="s">
        <v>4570</v>
      </c>
      <c r="G379" s="2" t="s">
        <v>4571</v>
      </c>
      <c r="H379" s="192" t="s">
        <v>4572</v>
      </c>
      <c r="I379" s="2" t="s">
        <v>4573</v>
      </c>
      <c r="J379" s="192" t="s">
        <v>4574</v>
      </c>
      <c r="K379" s="2" t="s">
        <v>4575</v>
      </c>
      <c r="L379" s="192" t="s">
        <v>4576</v>
      </c>
      <c r="M379" s="2" t="s">
        <v>4577</v>
      </c>
      <c r="N379" s="192" t="s">
        <v>4578</v>
      </c>
      <c r="O379" s="2" t="s">
        <v>4579</v>
      </c>
      <c r="P379" s="192" t="s">
        <v>4580</v>
      </c>
      <c r="Q379" s="2" t="s">
        <v>4581</v>
      </c>
      <c r="R379" s="192" t="s">
        <v>4582</v>
      </c>
      <c r="S379" s="2" t="s">
        <v>4583</v>
      </c>
      <c r="T379" s="192" t="s">
        <v>4584</v>
      </c>
      <c r="U379" s="2" t="s">
        <v>4585</v>
      </c>
      <c r="V379" s="192" t="s">
        <v>4586</v>
      </c>
      <c r="W379" s="2" t="s">
        <v>4587</v>
      </c>
      <c r="X379" s="192" t="s">
        <v>4588</v>
      </c>
      <c r="Y379" s="2" t="s">
        <v>4589</v>
      </c>
      <c r="Z379" s="192" t="s">
        <v>4590</v>
      </c>
      <c r="AA379" s="2" t="s">
        <v>4591</v>
      </c>
      <c r="AB379" s="192" t="s">
        <v>4592</v>
      </c>
      <c r="AC379" s="2" t="s">
        <v>4593</v>
      </c>
      <c r="AD379" s="192" t="s">
        <v>4594</v>
      </c>
      <c r="AE379" s="2" t="s">
        <v>4595</v>
      </c>
      <c r="AF379" s="192" t="s">
        <v>4596</v>
      </c>
      <c r="AG379" s="2" t="s">
        <v>4597</v>
      </c>
      <c r="AH379" s="192" t="s">
        <v>4598</v>
      </c>
      <c r="AI379" s="2" t="s">
        <v>4599</v>
      </c>
      <c r="AJ379" s="192" t="s">
        <v>4600</v>
      </c>
      <c r="AK379" s="2" t="s">
        <v>4601</v>
      </c>
      <c r="AL379" s="192" t="s">
        <v>4602</v>
      </c>
      <c r="AM379" s="375" t="s">
        <v>4603</v>
      </c>
      <c r="AN379" s="3734" t="s">
        <v>4604</v>
      </c>
      <c r="AO379" s="3715" t="s">
        <v>4605</v>
      </c>
      <c r="AP379" s="3715" t="s">
        <v>4606</v>
      </c>
      <c r="AQ379" s="131" t="s">
        <v>4934</v>
      </c>
      <c r="AR379" s="2974" t="s">
        <v>4935</v>
      </c>
      <c r="AS379" s="376" t="s">
        <v>4936</v>
      </c>
      <c r="AT379" s="2" t="s">
        <v>4937</v>
      </c>
      <c r="AU379" t="str">
        <f t="shared" si="249"/>
        <v xml:space="preserve"> * La variable Pueblos originarios No puede ser mayor al Total. * La variable Migrantes No puede ser mayor al Total.</v>
      </c>
      <c r="CB379" s="135" t="str">
        <f t="shared" si="245"/>
        <v xml:space="preserve"> * La variable Pueblos originarios No puede ser mayor al Total.</v>
      </c>
      <c r="CC379" s="135" t="str">
        <f t="shared" si="246"/>
        <v xml:space="preserve"> * La variable Migrantes No puede ser mayor al Total.</v>
      </c>
      <c r="CP379" s="1867">
        <f t="shared" si="248"/>
        <v>1</v>
      </c>
      <c r="CQ379" s="1867">
        <f t="shared" si="247"/>
        <v>1</v>
      </c>
    </row>
    <row r="380" spans="1:95" x14ac:dyDescent="0.25">
      <c r="A380" s="5637" t="s">
        <v>5201</v>
      </c>
      <c r="B380" s="2977" t="s">
        <v>989</v>
      </c>
      <c r="C380" s="2978" t="s">
        <v>4567</v>
      </c>
      <c r="D380" s="2979" t="s">
        <v>4568</v>
      </c>
      <c r="E380" s="553" t="s">
        <v>4569</v>
      </c>
      <c r="F380" s="345" t="s">
        <v>4570</v>
      </c>
      <c r="G380" s="346" t="s">
        <v>4571</v>
      </c>
      <c r="H380" s="345" t="s">
        <v>4572</v>
      </c>
      <c r="I380" s="346" t="s">
        <v>4573</v>
      </c>
      <c r="J380" s="345" t="s">
        <v>4574</v>
      </c>
      <c r="K380" s="346" t="s">
        <v>4575</v>
      </c>
      <c r="L380" s="345" t="s">
        <v>4576</v>
      </c>
      <c r="M380" s="346" t="s">
        <v>4577</v>
      </c>
      <c r="N380" s="345" t="s">
        <v>4578</v>
      </c>
      <c r="O380" s="346" t="s">
        <v>4579</v>
      </c>
      <c r="P380" s="345" t="s">
        <v>4580</v>
      </c>
      <c r="Q380" s="346" t="s">
        <v>4581</v>
      </c>
      <c r="R380" s="345" t="s">
        <v>4582</v>
      </c>
      <c r="S380" s="346" t="s">
        <v>4583</v>
      </c>
      <c r="T380" s="345" t="s">
        <v>4584</v>
      </c>
      <c r="U380" s="346" t="s">
        <v>4585</v>
      </c>
      <c r="V380" s="345" t="s">
        <v>4586</v>
      </c>
      <c r="W380" s="346" t="s">
        <v>4587</v>
      </c>
      <c r="X380" s="345" t="s">
        <v>4588</v>
      </c>
      <c r="Y380" s="346" t="s">
        <v>4589</v>
      </c>
      <c r="Z380" s="345" t="s">
        <v>4590</v>
      </c>
      <c r="AA380" s="346" t="s">
        <v>4591</v>
      </c>
      <c r="AB380" s="345" t="s">
        <v>4592</v>
      </c>
      <c r="AC380" s="346" t="s">
        <v>4593</v>
      </c>
      <c r="AD380" s="345" t="s">
        <v>4594</v>
      </c>
      <c r="AE380" s="346" t="s">
        <v>4595</v>
      </c>
      <c r="AF380" s="345" t="s">
        <v>4596</v>
      </c>
      <c r="AG380" s="346" t="s">
        <v>4597</v>
      </c>
      <c r="AH380" s="345" t="s">
        <v>4598</v>
      </c>
      <c r="AI380" s="346" t="s">
        <v>4599</v>
      </c>
      <c r="AJ380" s="345" t="s">
        <v>4600</v>
      </c>
      <c r="AK380" s="346" t="s">
        <v>4601</v>
      </c>
      <c r="AL380" s="345" t="s">
        <v>4602</v>
      </c>
      <c r="AM380" s="480" t="s">
        <v>4603</v>
      </c>
      <c r="AN380" s="3595" t="s">
        <v>4604</v>
      </c>
      <c r="AO380" s="521" t="s">
        <v>4605</v>
      </c>
      <c r="AP380" s="521" t="s">
        <v>4606</v>
      </c>
      <c r="AQ380" s="671" t="s">
        <v>4934</v>
      </c>
      <c r="AR380" s="2745" t="s">
        <v>4935</v>
      </c>
      <c r="AS380" s="429" t="s">
        <v>4936</v>
      </c>
      <c r="AT380" s="346" t="s">
        <v>4937</v>
      </c>
      <c r="AU380" t="str">
        <f t="shared" si="249"/>
        <v xml:space="preserve"> * La variable Pueblos originarios No puede ser mayor al Total. * La variable Migrantes No puede ser mayor al Total.</v>
      </c>
      <c r="CB380" s="135" t="str">
        <f t="shared" si="245"/>
        <v xml:space="preserve"> * La variable Pueblos originarios No puede ser mayor al Total.</v>
      </c>
      <c r="CC380" s="135" t="str">
        <f t="shared" si="246"/>
        <v xml:space="preserve"> * La variable Migrantes No puede ser mayor al Total.</v>
      </c>
      <c r="CP380" s="1867">
        <f t="shared" si="248"/>
        <v>1</v>
      </c>
      <c r="CQ380" s="1867">
        <f t="shared" si="247"/>
        <v>1</v>
      </c>
    </row>
    <row r="381" spans="1:95" x14ac:dyDescent="0.25">
      <c r="A381" s="5637" t="s">
        <v>5202</v>
      </c>
      <c r="B381" s="2965" t="s">
        <v>990</v>
      </c>
      <c r="C381" s="2975" t="s">
        <v>4567</v>
      </c>
      <c r="D381" s="2970" t="s">
        <v>4568</v>
      </c>
      <c r="E381" s="2380" t="s">
        <v>4569</v>
      </c>
      <c r="F381" s="47" t="s">
        <v>4570</v>
      </c>
      <c r="G381" s="42" t="s">
        <v>4571</v>
      </c>
      <c r="H381" s="47" t="s">
        <v>4572</v>
      </c>
      <c r="I381" s="42" t="s">
        <v>4573</v>
      </c>
      <c r="J381" s="47" t="s">
        <v>4574</v>
      </c>
      <c r="K381" s="42" t="s">
        <v>4575</v>
      </c>
      <c r="L381" s="47" t="s">
        <v>4576</v>
      </c>
      <c r="M381" s="42" t="s">
        <v>4577</v>
      </c>
      <c r="N381" s="47" t="s">
        <v>4578</v>
      </c>
      <c r="O381" s="42" t="s">
        <v>4579</v>
      </c>
      <c r="P381" s="47" t="s">
        <v>4580</v>
      </c>
      <c r="Q381" s="42" t="s">
        <v>4581</v>
      </c>
      <c r="R381" s="47" t="s">
        <v>4582</v>
      </c>
      <c r="S381" s="42" t="s">
        <v>4583</v>
      </c>
      <c r="T381" s="47" t="s">
        <v>4584</v>
      </c>
      <c r="U381" s="42" t="s">
        <v>4585</v>
      </c>
      <c r="V381" s="47" t="s">
        <v>4586</v>
      </c>
      <c r="W381" s="42" t="s">
        <v>4587</v>
      </c>
      <c r="X381" s="47" t="s">
        <v>4588</v>
      </c>
      <c r="Y381" s="42" t="s">
        <v>4589</v>
      </c>
      <c r="Z381" s="47" t="s">
        <v>4590</v>
      </c>
      <c r="AA381" s="42" t="s">
        <v>4591</v>
      </c>
      <c r="AB381" s="47" t="s">
        <v>4592</v>
      </c>
      <c r="AC381" s="42" t="s">
        <v>4593</v>
      </c>
      <c r="AD381" s="47" t="s">
        <v>4594</v>
      </c>
      <c r="AE381" s="42" t="s">
        <v>4595</v>
      </c>
      <c r="AF381" s="47" t="s">
        <v>4596</v>
      </c>
      <c r="AG381" s="42" t="s">
        <v>4597</v>
      </c>
      <c r="AH381" s="47" t="s">
        <v>4598</v>
      </c>
      <c r="AI381" s="42" t="s">
        <v>4599</v>
      </c>
      <c r="AJ381" s="47" t="s">
        <v>4600</v>
      </c>
      <c r="AK381" s="42" t="s">
        <v>4601</v>
      </c>
      <c r="AL381" s="47" t="s">
        <v>4602</v>
      </c>
      <c r="AM381" s="75" t="s">
        <v>4603</v>
      </c>
      <c r="AN381" s="5509" t="s">
        <v>4604</v>
      </c>
      <c r="AO381" s="244" t="s">
        <v>4605</v>
      </c>
      <c r="AP381" s="244" t="s">
        <v>4606</v>
      </c>
      <c r="AQ381" s="286" t="s">
        <v>4934</v>
      </c>
      <c r="AR381" s="2976" t="s">
        <v>4935</v>
      </c>
      <c r="AS381" s="74" t="s">
        <v>4936</v>
      </c>
      <c r="AT381" s="42" t="s">
        <v>4937</v>
      </c>
      <c r="AU381" t="str">
        <f t="shared" si="249"/>
        <v xml:space="preserve"> * La variable Pueblos originarios No puede ser mayor al Total. * La variable Migrantes No puede ser mayor al Total.</v>
      </c>
      <c r="CB381" s="135" t="str">
        <f t="shared" si="245"/>
        <v xml:space="preserve"> * La variable Pueblos originarios No puede ser mayor al Total.</v>
      </c>
      <c r="CC381" s="135" t="str">
        <f t="shared" si="246"/>
        <v xml:space="preserve"> * La variable Migrantes No puede ser mayor al Total.</v>
      </c>
      <c r="CP381" s="1867">
        <f t="shared" si="248"/>
        <v>1</v>
      </c>
      <c r="CQ381" s="1867">
        <f t="shared" si="247"/>
        <v>1</v>
      </c>
    </row>
    <row r="382" spans="1:95" x14ac:dyDescent="0.25">
      <c r="A382" s="5637" t="s">
        <v>5203</v>
      </c>
      <c r="B382" s="2971" t="s">
        <v>991</v>
      </c>
      <c r="C382" s="2972" t="s">
        <v>4567</v>
      </c>
      <c r="D382" s="2973" t="s">
        <v>4568</v>
      </c>
      <c r="E382" s="577" t="s">
        <v>4569</v>
      </c>
      <c r="F382" s="192" t="s">
        <v>4570</v>
      </c>
      <c r="G382" s="2" t="s">
        <v>4571</v>
      </c>
      <c r="H382" s="192" t="s">
        <v>4572</v>
      </c>
      <c r="I382" s="2" t="s">
        <v>4573</v>
      </c>
      <c r="J382" s="192" t="s">
        <v>4574</v>
      </c>
      <c r="K382" s="2" t="s">
        <v>4575</v>
      </c>
      <c r="L382" s="192" t="s">
        <v>4576</v>
      </c>
      <c r="M382" s="2" t="s">
        <v>4577</v>
      </c>
      <c r="N382" s="192" t="s">
        <v>4578</v>
      </c>
      <c r="O382" s="2" t="s">
        <v>4579</v>
      </c>
      <c r="P382" s="192" t="s">
        <v>4580</v>
      </c>
      <c r="Q382" s="2" t="s">
        <v>4581</v>
      </c>
      <c r="R382" s="192" t="s">
        <v>4582</v>
      </c>
      <c r="S382" s="2" t="s">
        <v>4583</v>
      </c>
      <c r="T382" s="192" t="s">
        <v>4584</v>
      </c>
      <c r="U382" s="2" t="s">
        <v>4585</v>
      </c>
      <c r="V382" s="192" t="s">
        <v>4586</v>
      </c>
      <c r="W382" s="2" t="s">
        <v>4587</v>
      </c>
      <c r="X382" s="192" t="s">
        <v>4588</v>
      </c>
      <c r="Y382" s="2" t="s">
        <v>4589</v>
      </c>
      <c r="Z382" s="192" t="s">
        <v>4590</v>
      </c>
      <c r="AA382" s="2" t="s">
        <v>4591</v>
      </c>
      <c r="AB382" s="192" t="s">
        <v>4592</v>
      </c>
      <c r="AC382" s="2" t="s">
        <v>4593</v>
      </c>
      <c r="AD382" s="192" t="s">
        <v>4594</v>
      </c>
      <c r="AE382" s="2" t="s">
        <v>4595</v>
      </c>
      <c r="AF382" s="192" t="s">
        <v>4596</v>
      </c>
      <c r="AG382" s="2" t="s">
        <v>4597</v>
      </c>
      <c r="AH382" s="192" t="s">
        <v>4598</v>
      </c>
      <c r="AI382" s="2" t="s">
        <v>4599</v>
      </c>
      <c r="AJ382" s="192" t="s">
        <v>4600</v>
      </c>
      <c r="AK382" s="2" t="s">
        <v>4601</v>
      </c>
      <c r="AL382" s="192" t="s">
        <v>4602</v>
      </c>
      <c r="AM382" s="375" t="s">
        <v>4603</v>
      </c>
      <c r="AN382" s="3734" t="s">
        <v>4604</v>
      </c>
      <c r="AO382" s="3715" t="s">
        <v>4605</v>
      </c>
      <c r="AP382" s="3715" t="s">
        <v>4606</v>
      </c>
      <c r="AQ382" s="131" t="s">
        <v>4934</v>
      </c>
      <c r="AR382" s="2974" t="s">
        <v>4935</v>
      </c>
      <c r="AS382" s="376" t="s">
        <v>4936</v>
      </c>
      <c r="AT382" s="2" t="s">
        <v>4937</v>
      </c>
      <c r="AU382" t="str">
        <f t="shared" si="249"/>
        <v xml:space="preserve"> * La variable Pueblos originarios No puede ser mayor al Total. * La variable Migrantes No puede ser mayor al Total.</v>
      </c>
      <c r="CB382" s="135" t="str">
        <f t="shared" si="245"/>
        <v xml:space="preserve"> * La variable Pueblos originarios No puede ser mayor al Total.</v>
      </c>
      <c r="CC382" s="135" t="str">
        <f t="shared" si="246"/>
        <v xml:space="preserve"> * La variable Migrantes No puede ser mayor al Total.</v>
      </c>
      <c r="CP382" s="1867">
        <f t="shared" si="248"/>
        <v>1</v>
      </c>
      <c r="CQ382" s="1867">
        <f t="shared" si="247"/>
        <v>1</v>
      </c>
    </row>
    <row r="383" spans="1:95" x14ac:dyDescent="0.25">
      <c r="A383" s="5616"/>
      <c r="B383" s="2966" t="s">
        <v>992</v>
      </c>
      <c r="C383" s="2967"/>
      <c r="D383" s="2968"/>
      <c r="E383" s="2956"/>
      <c r="F383" s="2954"/>
      <c r="G383" s="2957"/>
      <c r="H383" s="2954"/>
      <c r="I383" s="2957"/>
      <c r="J383" s="2954"/>
      <c r="K383" s="2957"/>
      <c r="L383" s="2954"/>
      <c r="M383" s="2957"/>
      <c r="N383" s="2954"/>
      <c r="O383" s="2957"/>
      <c r="P383" s="2954"/>
      <c r="Q383" s="2957"/>
      <c r="R383" s="2954"/>
      <c r="S383" s="2957"/>
      <c r="T383" s="2954"/>
      <c r="U383" s="2957"/>
      <c r="V383" s="2954"/>
      <c r="W383" s="2957"/>
      <c r="X383" s="2954"/>
      <c r="Y383" s="2957"/>
      <c r="Z383" s="2954"/>
      <c r="AA383" s="2957"/>
      <c r="AB383" s="2954"/>
      <c r="AC383" s="2957"/>
      <c r="AD383" s="2954"/>
      <c r="AE383" s="2957"/>
      <c r="AF383" s="2954"/>
      <c r="AG383" s="2957"/>
      <c r="AH383" s="2954"/>
      <c r="AI383" s="2957"/>
      <c r="AJ383" s="2954"/>
      <c r="AK383" s="2957"/>
      <c r="AL383" s="2954"/>
      <c r="AM383" s="2958"/>
      <c r="AN383" s="2959"/>
      <c r="AO383" s="529"/>
      <c r="AP383" s="529"/>
      <c r="AQ383" s="2957"/>
      <c r="AR383" s="2960"/>
      <c r="AS383" s="2959"/>
      <c r="AT383" s="2957"/>
      <c r="CB383" s="181"/>
      <c r="CC383" s="181"/>
      <c r="CP383" s="2969"/>
      <c r="CQ383" s="2969"/>
    </row>
    <row r="384" spans="1:95" x14ac:dyDescent="0.25">
      <c r="A384" s="5637" t="s">
        <v>5204</v>
      </c>
      <c r="B384" s="2980" t="s">
        <v>993</v>
      </c>
      <c r="C384" s="2981" t="s">
        <v>4567</v>
      </c>
      <c r="D384" s="2982" t="s">
        <v>4568</v>
      </c>
      <c r="E384" s="2963" t="s">
        <v>4569</v>
      </c>
      <c r="F384" s="473" t="s">
        <v>4570</v>
      </c>
      <c r="G384" s="566" t="s">
        <v>4571</v>
      </c>
      <c r="H384" s="473" t="s">
        <v>4572</v>
      </c>
      <c r="I384" s="566" t="s">
        <v>4573</v>
      </c>
      <c r="J384" s="473" t="s">
        <v>4574</v>
      </c>
      <c r="K384" s="566" t="s">
        <v>4575</v>
      </c>
      <c r="L384" s="473" t="s">
        <v>4576</v>
      </c>
      <c r="M384" s="566" t="s">
        <v>4577</v>
      </c>
      <c r="N384" s="473" t="s">
        <v>4578</v>
      </c>
      <c r="O384" s="566" t="s">
        <v>4579</v>
      </c>
      <c r="P384" s="473" t="s">
        <v>4580</v>
      </c>
      <c r="Q384" s="566" t="s">
        <v>4581</v>
      </c>
      <c r="R384" s="473" t="s">
        <v>4582</v>
      </c>
      <c r="S384" s="566" t="s">
        <v>4583</v>
      </c>
      <c r="T384" s="473" t="s">
        <v>4584</v>
      </c>
      <c r="U384" s="566" t="s">
        <v>4585</v>
      </c>
      <c r="V384" s="473" t="s">
        <v>4586</v>
      </c>
      <c r="W384" s="566" t="s">
        <v>4587</v>
      </c>
      <c r="X384" s="473" t="s">
        <v>4588</v>
      </c>
      <c r="Y384" s="566" t="s">
        <v>4589</v>
      </c>
      <c r="Z384" s="473" t="s">
        <v>4590</v>
      </c>
      <c r="AA384" s="566" t="s">
        <v>4591</v>
      </c>
      <c r="AB384" s="473" t="s">
        <v>4592</v>
      </c>
      <c r="AC384" s="566" t="s">
        <v>4593</v>
      </c>
      <c r="AD384" s="473" t="s">
        <v>4594</v>
      </c>
      <c r="AE384" s="566" t="s">
        <v>4595</v>
      </c>
      <c r="AF384" s="473" t="s">
        <v>4596</v>
      </c>
      <c r="AG384" s="566" t="s">
        <v>4597</v>
      </c>
      <c r="AH384" s="473" t="s">
        <v>4598</v>
      </c>
      <c r="AI384" s="566" t="s">
        <v>4599</v>
      </c>
      <c r="AJ384" s="473" t="s">
        <v>4600</v>
      </c>
      <c r="AK384" s="566" t="s">
        <v>4601</v>
      </c>
      <c r="AL384" s="473" t="s">
        <v>4602</v>
      </c>
      <c r="AM384" s="475" t="s">
        <v>4603</v>
      </c>
      <c r="AN384" s="5507" t="s">
        <v>4604</v>
      </c>
      <c r="AO384" s="515" t="s">
        <v>4605</v>
      </c>
      <c r="AP384" s="515" t="s">
        <v>4606</v>
      </c>
      <c r="AQ384" s="645" t="s">
        <v>4934</v>
      </c>
      <c r="AR384" s="2964" t="s">
        <v>4935</v>
      </c>
      <c r="AS384" s="496" t="s">
        <v>4936</v>
      </c>
      <c r="AT384" s="566" t="s">
        <v>4937</v>
      </c>
      <c r="AU384" t="str">
        <f t="shared" ref="AU384:AU389" si="250">CB384&amp;CC384</f>
        <v xml:space="preserve"> * La variable Pueblos originarios No puede ser mayor al Total. * La variable Migrantes No puede ser mayor al Total.</v>
      </c>
      <c r="CB384" s="135" t="str">
        <f t="shared" si="245"/>
        <v xml:space="preserve"> * La variable Pueblos originarios No puede ser mayor al Total.</v>
      </c>
      <c r="CC384" s="135" t="str">
        <f t="shared" si="246"/>
        <v xml:space="preserve"> * La variable Migrantes No puede ser mayor al Total.</v>
      </c>
      <c r="CP384" s="1867">
        <f t="shared" si="248"/>
        <v>1</v>
      </c>
      <c r="CQ384" s="1867">
        <f t="shared" si="247"/>
        <v>1</v>
      </c>
    </row>
    <row r="385" spans="1:95" x14ac:dyDescent="0.25">
      <c r="A385" s="5637" t="s">
        <v>5205</v>
      </c>
      <c r="B385" s="2977" t="s">
        <v>994</v>
      </c>
      <c r="C385" s="2978" t="s">
        <v>4567</v>
      </c>
      <c r="D385" s="2979" t="s">
        <v>4568</v>
      </c>
      <c r="E385" s="553" t="s">
        <v>4569</v>
      </c>
      <c r="F385" s="345" t="s">
        <v>4570</v>
      </c>
      <c r="G385" s="346" t="s">
        <v>4571</v>
      </c>
      <c r="H385" s="345" t="s">
        <v>4572</v>
      </c>
      <c r="I385" s="346" t="s">
        <v>4573</v>
      </c>
      <c r="J385" s="345" t="s">
        <v>4574</v>
      </c>
      <c r="K385" s="346" t="s">
        <v>4575</v>
      </c>
      <c r="L385" s="345" t="s">
        <v>4576</v>
      </c>
      <c r="M385" s="346" t="s">
        <v>4577</v>
      </c>
      <c r="N385" s="345" t="s">
        <v>4578</v>
      </c>
      <c r="O385" s="346" t="s">
        <v>4579</v>
      </c>
      <c r="P385" s="345" t="s">
        <v>4580</v>
      </c>
      <c r="Q385" s="346" t="s">
        <v>4581</v>
      </c>
      <c r="R385" s="345" t="s">
        <v>4582</v>
      </c>
      <c r="S385" s="346" t="s">
        <v>4583</v>
      </c>
      <c r="T385" s="345" t="s">
        <v>4584</v>
      </c>
      <c r="U385" s="346" t="s">
        <v>4585</v>
      </c>
      <c r="V385" s="345" t="s">
        <v>4586</v>
      </c>
      <c r="W385" s="346" t="s">
        <v>4587</v>
      </c>
      <c r="X385" s="345" t="s">
        <v>4588</v>
      </c>
      <c r="Y385" s="346" t="s">
        <v>4589</v>
      </c>
      <c r="Z385" s="345" t="s">
        <v>4590</v>
      </c>
      <c r="AA385" s="346" t="s">
        <v>4591</v>
      </c>
      <c r="AB385" s="345" t="s">
        <v>4592</v>
      </c>
      <c r="AC385" s="346" t="s">
        <v>4593</v>
      </c>
      <c r="AD385" s="345" t="s">
        <v>4594</v>
      </c>
      <c r="AE385" s="346" t="s">
        <v>4595</v>
      </c>
      <c r="AF385" s="345" t="s">
        <v>4596</v>
      </c>
      <c r="AG385" s="346" t="s">
        <v>4597</v>
      </c>
      <c r="AH385" s="345" t="s">
        <v>4598</v>
      </c>
      <c r="AI385" s="346" t="s">
        <v>4599</v>
      </c>
      <c r="AJ385" s="345" t="s">
        <v>4600</v>
      </c>
      <c r="AK385" s="346" t="s">
        <v>4601</v>
      </c>
      <c r="AL385" s="345" t="s">
        <v>4602</v>
      </c>
      <c r="AM385" s="480" t="s">
        <v>4603</v>
      </c>
      <c r="AN385" s="3595" t="s">
        <v>4604</v>
      </c>
      <c r="AO385" s="521" t="s">
        <v>4605</v>
      </c>
      <c r="AP385" s="521" t="s">
        <v>4606</v>
      </c>
      <c r="AQ385" s="671" t="s">
        <v>4934</v>
      </c>
      <c r="AR385" s="2745" t="s">
        <v>4935</v>
      </c>
      <c r="AS385" s="429" t="s">
        <v>4936</v>
      </c>
      <c r="AT385" s="346" t="s">
        <v>4937</v>
      </c>
      <c r="AU385" t="str">
        <f t="shared" si="250"/>
        <v xml:space="preserve"> * La variable Pueblos originarios No puede ser mayor al Total. * La variable Migrantes No puede ser mayor al Total.</v>
      </c>
      <c r="CB385" s="135" t="str">
        <f t="shared" si="245"/>
        <v xml:space="preserve"> * La variable Pueblos originarios No puede ser mayor al Total.</v>
      </c>
      <c r="CC385" s="135" t="str">
        <f t="shared" si="246"/>
        <v xml:space="preserve"> * La variable Migrantes No puede ser mayor al Total.</v>
      </c>
      <c r="CP385" s="1867">
        <f t="shared" si="248"/>
        <v>1</v>
      </c>
      <c r="CQ385" s="1867">
        <f t="shared" si="247"/>
        <v>1</v>
      </c>
    </row>
    <row r="386" spans="1:95" x14ac:dyDescent="0.25">
      <c r="A386" s="5637" t="s">
        <v>5206</v>
      </c>
      <c r="B386" s="2977" t="s">
        <v>995</v>
      </c>
      <c r="C386" s="2978" t="s">
        <v>4567</v>
      </c>
      <c r="D386" s="2979" t="s">
        <v>4568</v>
      </c>
      <c r="E386" s="553" t="s">
        <v>4569</v>
      </c>
      <c r="F386" s="345" t="s">
        <v>4570</v>
      </c>
      <c r="G386" s="346" t="s">
        <v>4571</v>
      </c>
      <c r="H386" s="345" t="s">
        <v>4572</v>
      </c>
      <c r="I386" s="346" t="s">
        <v>4573</v>
      </c>
      <c r="J386" s="345" t="s">
        <v>4574</v>
      </c>
      <c r="K386" s="346" t="s">
        <v>4575</v>
      </c>
      <c r="L386" s="345" t="s">
        <v>4576</v>
      </c>
      <c r="M386" s="346" t="s">
        <v>4577</v>
      </c>
      <c r="N386" s="345" t="s">
        <v>4578</v>
      </c>
      <c r="O386" s="346" t="s">
        <v>4579</v>
      </c>
      <c r="P386" s="345" t="s">
        <v>4580</v>
      </c>
      <c r="Q386" s="346" t="s">
        <v>4581</v>
      </c>
      <c r="R386" s="345" t="s">
        <v>4582</v>
      </c>
      <c r="S386" s="346" t="s">
        <v>4583</v>
      </c>
      <c r="T386" s="345" t="s">
        <v>4584</v>
      </c>
      <c r="U386" s="346" t="s">
        <v>4585</v>
      </c>
      <c r="V386" s="345" t="s">
        <v>4586</v>
      </c>
      <c r="W386" s="346" t="s">
        <v>4587</v>
      </c>
      <c r="X386" s="345" t="s">
        <v>4588</v>
      </c>
      <c r="Y386" s="346" t="s">
        <v>4589</v>
      </c>
      <c r="Z386" s="345" t="s">
        <v>4590</v>
      </c>
      <c r="AA386" s="346" t="s">
        <v>4591</v>
      </c>
      <c r="AB386" s="345" t="s">
        <v>4592</v>
      </c>
      <c r="AC386" s="346" t="s">
        <v>4593</v>
      </c>
      <c r="AD386" s="345" t="s">
        <v>4594</v>
      </c>
      <c r="AE386" s="346" t="s">
        <v>4595</v>
      </c>
      <c r="AF386" s="345" t="s">
        <v>4596</v>
      </c>
      <c r="AG386" s="346" t="s">
        <v>4597</v>
      </c>
      <c r="AH386" s="345" t="s">
        <v>4598</v>
      </c>
      <c r="AI386" s="346" t="s">
        <v>4599</v>
      </c>
      <c r="AJ386" s="345" t="s">
        <v>4600</v>
      </c>
      <c r="AK386" s="346" t="s">
        <v>4601</v>
      </c>
      <c r="AL386" s="345" t="s">
        <v>4602</v>
      </c>
      <c r="AM386" s="480" t="s">
        <v>4603</v>
      </c>
      <c r="AN386" s="3595" t="s">
        <v>4604</v>
      </c>
      <c r="AO386" s="521" t="s">
        <v>4605</v>
      </c>
      <c r="AP386" s="521" t="s">
        <v>4606</v>
      </c>
      <c r="AQ386" s="671" t="s">
        <v>4934</v>
      </c>
      <c r="AR386" s="2745" t="s">
        <v>4935</v>
      </c>
      <c r="AS386" s="429" t="s">
        <v>4936</v>
      </c>
      <c r="AT386" s="346" t="s">
        <v>4937</v>
      </c>
      <c r="AU386" t="str">
        <f t="shared" si="250"/>
        <v xml:space="preserve"> * La variable Pueblos originarios No puede ser mayor al Total. * La variable Migrantes No puede ser mayor al Total.</v>
      </c>
      <c r="CB386" s="135" t="str">
        <f t="shared" si="245"/>
        <v xml:space="preserve"> * La variable Pueblos originarios No puede ser mayor al Total.</v>
      </c>
      <c r="CC386" s="135" t="str">
        <f t="shared" si="246"/>
        <v xml:space="preserve"> * La variable Migrantes No puede ser mayor al Total.</v>
      </c>
      <c r="CP386" s="1867">
        <f t="shared" si="248"/>
        <v>1</v>
      </c>
      <c r="CQ386" s="1867">
        <f t="shared" si="247"/>
        <v>1</v>
      </c>
    </row>
    <row r="387" spans="1:95" x14ac:dyDescent="0.25">
      <c r="A387" s="5637" t="s">
        <v>5207</v>
      </c>
      <c r="B387" s="2977" t="s">
        <v>989</v>
      </c>
      <c r="C387" s="2978" t="s">
        <v>4567</v>
      </c>
      <c r="D387" s="2979" t="s">
        <v>4568</v>
      </c>
      <c r="E387" s="553" t="s">
        <v>4569</v>
      </c>
      <c r="F387" s="345" t="s">
        <v>4570</v>
      </c>
      <c r="G387" s="346" t="s">
        <v>4571</v>
      </c>
      <c r="H387" s="345" t="s">
        <v>4572</v>
      </c>
      <c r="I387" s="346" t="s">
        <v>4573</v>
      </c>
      <c r="J387" s="345" t="s">
        <v>4574</v>
      </c>
      <c r="K387" s="346" t="s">
        <v>4575</v>
      </c>
      <c r="L387" s="345" t="s">
        <v>4576</v>
      </c>
      <c r="M387" s="346" t="s">
        <v>4577</v>
      </c>
      <c r="N387" s="345" t="s">
        <v>4578</v>
      </c>
      <c r="O387" s="346" t="s">
        <v>4579</v>
      </c>
      <c r="P387" s="345" t="s">
        <v>4580</v>
      </c>
      <c r="Q387" s="346" t="s">
        <v>4581</v>
      </c>
      <c r="R387" s="345" t="s">
        <v>4582</v>
      </c>
      <c r="S387" s="346" t="s">
        <v>4583</v>
      </c>
      <c r="T387" s="345" t="s">
        <v>4584</v>
      </c>
      <c r="U387" s="346" t="s">
        <v>4585</v>
      </c>
      <c r="V387" s="345" t="s">
        <v>4586</v>
      </c>
      <c r="W387" s="346" t="s">
        <v>4587</v>
      </c>
      <c r="X387" s="345" t="s">
        <v>4588</v>
      </c>
      <c r="Y387" s="346" t="s">
        <v>4589</v>
      </c>
      <c r="Z387" s="345" t="s">
        <v>4590</v>
      </c>
      <c r="AA387" s="346" t="s">
        <v>4591</v>
      </c>
      <c r="AB387" s="345" t="s">
        <v>4592</v>
      </c>
      <c r="AC387" s="346" t="s">
        <v>4593</v>
      </c>
      <c r="AD387" s="345" t="s">
        <v>4594</v>
      </c>
      <c r="AE387" s="346" t="s">
        <v>4595</v>
      </c>
      <c r="AF387" s="345" t="s">
        <v>4596</v>
      </c>
      <c r="AG387" s="346" t="s">
        <v>4597</v>
      </c>
      <c r="AH387" s="345" t="s">
        <v>4598</v>
      </c>
      <c r="AI387" s="346" t="s">
        <v>4599</v>
      </c>
      <c r="AJ387" s="345" t="s">
        <v>4600</v>
      </c>
      <c r="AK387" s="346" t="s">
        <v>4601</v>
      </c>
      <c r="AL387" s="345" t="s">
        <v>4602</v>
      </c>
      <c r="AM387" s="480" t="s">
        <v>4603</v>
      </c>
      <c r="AN387" s="3595" t="s">
        <v>4604</v>
      </c>
      <c r="AO387" s="521" t="s">
        <v>4605</v>
      </c>
      <c r="AP387" s="521" t="s">
        <v>4606</v>
      </c>
      <c r="AQ387" s="671" t="s">
        <v>4934</v>
      </c>
      <c r="AR387" s="2745" t="s">
        <v>4935</v>
      </c>
      <c r="AS387" s="429" t="s">
        <v>4936</v>
      </c>
      <c r="AT387" s="346" t="s">
        <v>4937</v>
      </c>
      <c r="AU387" t="str">
        <f t="shared" si="250"/>
        <v xml:space="preserve"> * La variable Pueblos originarios No puede ser mayor al Total. * La variable Migrantes No puede ser mayor al Total.</v>
      </c>
      <c r="CB387" s="135" t="str">
        <f t="shared" si="245"/>
        <v xml:space="preserve"> * La variable Pueblos originarios No puede ser mayor al Total.</v>
      </c>
      <c r="CC387" s="135" t="str">
        <f t="shared" si="246"/>
        <v xml:space="preserve"> * La variable Migrantes No puede ser mayor al Total.</v>
      </c>
      <c r="CP387" s="1867">
        <f t="shared" si="248"/>
        <v>1</v>
      </c>
      <c r="CQ387" s="1867">
        <f t="shared" si="247"/>
        <v>1</v>
      </c>
    </row>
    <row r="388" spans="1:95" ht="21" x14ac:dyDescent="0.25">
      <c r="A388" s="5637" t="s">
        <v>5208</v>
      </c>
      <c r="B388" s="2977" t="s">
        <v>996</v>
      </c>
      <c r="C388" s="2978" t="s">
        <v>4567</v>
      </c>
      <c r="D388" s="2979" t="s">
        <v>4568</v>
      </c>
      <c r="E388" s="553" t="s">
        <v>4569</v>
      </c>
      <c r="F388" s="345" t="s">
        <v>4570</v>
      </c>
      <c r="G388" s="346" t="s">
        <v>4571</v>
      </c>
      <c r="H388" s="345" t="s">
        <v>4572</v>
      </c>
      <c r="I388" s="346" t="s">
        <v>4573</v>
      </c>
      <c r="J388" s="345" t="s">
        <v>4574</v>
      </c>
      <c r="K388" s="346" t="s">
        <v>4575</v>
      </c>
      <c r="L388" s="345" t="s">
        <v>4576</v>
      </c>
      <c r="M388" s="346" t="s">
        <v>4577</v>
      </c>
      <c r="N388" s="345" t="s">
        <v>4578</v>
      </c>
      <c r="O388" s="346" t="s">
        <v>4579</v>
      </c>
      <c r="P388" s="345" t="s">
        <v>4580</v>
      </c>
      <c r="Q388" s="346" t="s">
        <v>4581</v>
      </c>
      <c r="R388" s="345" t="s">
        <v>4582</v>
      </c>
      <c r="S388" s="346" t="s">
        <v>4583</v>
      </c>
      <c r="T388" s="345" t="s">
        <v>4584</v>
      </c>
      <c r="U388" s="346" t="s">
        <v>4585</v>
      </c>
      <c r="V388" s="345" t="s">
        <v>4586</v>
      </c>
      <c r="W388" s="346" t="s">
        <v>4587</v>
      </c>
      <c r="X388" s="345" t="s">
        <v>4588</v>
      </c>
      <c r="Y388" s="346" t="s">
        <v>4589</v>
      </c>
      <c r="Z388" s="345" t="s">
        <v>4590</v>
      </c>
      <c r="AA388" s="346" t="s">
        <v>4591</v>
      </c>
      <c r="AB388" s="345" t="s">
        <v>4592</v>
      </c>
      <c r="AC388" s="346" t="s">
        <v>4593</v>
      </c>
      <c r="AD388" s="345" t="s">
        <v>4594</v>
      </c>
      <c r="AE388" s="346" t="s">
        <v>4595</v>
      </c>
      <c r="AF388" s="345" t="s">
        <v>4596</v>
      </c>
      <c r="AG388" s="346" t="s">
        <v>4597</v>
      </c>
      <c r="AH388" s="345" t="s">
        <v>4598</v>
      </c>
      <c r="AI388" s="346" t="s">
        <v>4599</v>
      </c>
      <c r="AJ388" s="345" t="s">
        <v>4600</v>
      </c>
      <c r="AK388" s="346" t="s">
        <v>4601</v>
      </c>
      <c r="AL388" s="345" t="s">
        <v>4602</v>
      </c>
      <c r="AM388" s="480" t="s">
        <v>4603</v>
      </c>
      <c r="AN388" s="3595" t="s">
        <v>4604</v>
      </c>
      <c r="AO388" s="521" t="s">
        <v>4605</v>
      </c>
      <c r="AP388" s="521" t="s">
        <v>4606</v>
      </c>
      <c r="AQ388" s="671" t="s">
        <v>4934</v>
      </c>
      <c r="AR388" s="2745" t="s">
        <v>4935</v>
      </c>
      <c r="AS388" s="429" t="s">
        <v>4936</v>
      </c>
      <c r="AT388" s="346" t="s">
        <v>4937</v>
      </c>
      <c r="AU388" t="str">
        <f t="shared" si="250"/>
        <v xml:space="preserve"> * La variable Pueblos originarios No puede ser mayor al Total. * La variable Migrantes No puede ser mayor al Total.</v>
      </c>
      <c r="CB388" s="135" t="str">
        <f t="shared" si="245"/>
        <v xml:space="preserve"> * La variable Pueblos originarios No puede ser mayor al Total.</v>
      </c>
      <c r="CC388" s="135" t="str">
        <f t="shared" si="246"/>
        <v xml:space="preserve"> * La variable Migrantes No puede ser mayor al Total.</v>
      </c>
      <c r="CP388" s="1867">
        <f t="shared" si="248"/>
        <v>1</v>
      </c>
      <c r="CQ388" s="1867">
        <f t="shared" si="247"/>
        <v>1</v>
      </c>
    </row>
    <row r="389" spans="1:95" x14ac:dyDescent="0.25">
      <c r="A389" s="5637" t="s">
        <v>5209</v>
      </c>
      <c r="B389" s="2983" t="s">
        <v>997</v>
      </c>
      <c r="C389" s="2984" t="s">
        <v>4567</v>
      </c>
      <c r="D389" s="2985" t="s">
        <v>4568</v>
      </c>
      <c r="E389" s="556" t="s">
        <v>4569</v>
      </c>
      <c r="F389" s="379" t="s">
        <v>4570</v>
      </c>
      <c r="G389" s="387" t="s">
        <v>4571</v>
      </c>
      <c r="H389" s="379" t="s">
        <v>4572</v>
      </c>
      <c r="I389" s="387" t="s">
        <v>4573</v>
      </c>
      <c r="J389" s="379" t="s">
        <v>4574</v>
      </c>
      <c r="K389" s="387" t="s">
        <v>4575</v>
      </c>
      <c r="L389" s="379" t="s">
        <v>4576</v>
      </c>
      <c r="M389" s="387" t="s">
        <v>4577</v>
      </c>
      <c r="N389" s="379" t="s">
        <v>4578</v>
      </c>
      <c r="O389" s="387" t="s">
        <v>4579</v>
      </c>
      <c r="P389" s="379" t="s">
        <v>4580</v>
      </c>
      <c r="Q389" s="387" t="s">
        <v>4581</v>
      </c>
      <c r="R389" s="379" t="s">
        <v>4582</v>
      </c>
      <c r="S389" s="387" t="s">
        <v>4583</v>
      </c>
      <c r="T389" s="379" t="s">
        <v>4584</v>
      </c>
      <c r="U389" s="387" t="s">
        <v>4585</v>
      </c>
      <c r="V389" s="379" t="s">
        <v>4586</v>
      </c>
      <c r="W389" s="387" t="s">
        <v>4587</v>
      </c>
      <c r="X389" s="379" t="s">
        <v>4588</v>
      </c>
      <c r="Y389" s="387" t="s">
        <v>4589</v>
      </c>
      <c r="Z389" s="379" t="s">
        <v>4590</v>
      </c>
      <c r="AA389" s="387" t="s">
        <v>4591</v>
      </c>
      <c r="AB389" s="379" t="s">
        <v>4592</v>
      </c>
      <c r="AC389" s="387" t="s">
        <v>4593</v>
      </c>
      <c r="AD389" s="379" t="s">
        <v>4594</v>
      </c>
      <c r="AE389" s="387" t="s">
        <v>4595</v>
      </c>
      <c r="AF389" s="379" t="s">
        <v>4596</v>
      </c>
      <c r="AG389" s="387" t="s">
        <v>4597</v>
      </c>
      <c r="AH389" s="379" t="s">
        <v>4598</v>
      </c>
      <c r="AI389" s="387" t="s">
        <v>4599</v>
      </c>
      <c r="AJ389" s="379" t="s">
        <v>4600</v>
      </c>
      <c r="AK389" s="387" t="s">
        <v>4601</v>
      </c>
      <c r="AL389" s="379" t="s">
        <v>4602</v>
      </c>
      <c r="AM389" s="391" t="s">
        <v>4603</v>
      </c>
      <c r="AN389" s="3740" t="s">
        <v>4604</v>
      </c>
      <c r="AO389" s="518" t="s">
        <v>4605</v>
      </c>
      <c r="AP389" s="518" t="s">
        <v>4606</v>
      </c>
      <c r="AQ389" s="390" t="s">
        <v>4934</v>
      </c>
      <c r="AR389" s="2694" t="s">
        <v>4935</v>
      </c>
      <c r="AS389" s="378" t="s">
        <v>4936</v>
      </c>
      <c r="AT389" s="387" t="s">
        <v>4937</v>
      </c>
      <c r="AU389" t="str">
        <f t="shared" si="250"/>
        <v xml:space="preserve"> * La variable Pueblos originarios No puede ser mayor al Total. * La variable Migrantes No puede ser mayor al Total.</v>
      </c>
      <c r="CB389" s="135" t="str">
        <f t="shared" si="245"/>
        <v xml:space="preserve"> * La variable Pueblos originarios No puede ser mayor al Total.</v>
      </c>
      <c r="CC389" s="135" t="str">
        <f t="shared" si="246"/>
        <v xml:space="preserve"> * La variable Migrantes No puede ser mayor al Total.</v>
      </c>
      <c r="CP389" s="1867">
        <f t="shared" si="248"/>
        <v>1</v>
      </c>
      <c r="CQ389" s="1867">
        <f t="shared" si="247"/>
        <v>1</v>
      </c>
    </row>
    <row r="390" spans="1:95" x14ac:dyDescent="0.25">
      <c r="B390" s="6508" t="s">
        <v>998</v>
      </c>
      <c r="C390" s="6509"/>
      <c r="D390" s="6509"/>
      <c r="E390" s="6509"/>
      <c r="F390" s="6509"/>
      <c r="G390" s="6509"/>
      <c r="H390" s="6509"/>
      <c r="I390" s="6509"/>
      <c r="J390" s="6509"/>
      <c r="K390" s="6509"/>
      <c r="L390" s="6509"/>
      <c r="M390" s="6509"/>
    </row>
    <row r="391" spans="1:95" x14ac:dyDescent="0.25">
      <c r="B391" s="6512" t="s">
        <v>971</v>
      </c>
      <c r="C391" s="6458" t="s">
        <v>77</v>
      </c>
      <c r="D391" s="6405" t="s">
        <v>29</v>
      </c>
      <c r="E391" s="6515"/>
      <c r="F391" s="6515"/>
      <c r="G391" s="6515"/>
      <c r="H391" s="6515"/>
      <c r="I391" s="6455"/>
      <c r="J391" s="6516" t="s">
        <v>999</v>
      </c>
      <c r="K391" s="6455"/>
      <c r="L391" s="6492" t="s">
        <v>34</v>
      </c>
      <c r="M391" s="6510" t="s">
        <v>35</v>
      </c>
      <c r="N391" s="6495" t="s">
        <v>1000</v>
      </c>
      <c r="O391" s="6496"/>
      <c r="P391" s="6496"/>
      <c r="Q391" s="6496"/>
      <c r="R391" s="6496"/>
      <c r="S391" s="6497"/>
      <c r="T391" s="6498" t="s">
        <v>1001</v>
      </c>
      <c r="U391" s="6498"/>
      <c r="V391" s="6499"/>
    </row>
    <row r="392" spans="1:95" x14ac:dyDescent="0.25">
      <c r="B392" s="6513"/>
      <c r="C392" s="6119"/>
      <c r="D392" s="6405" t="s">
        <v>1002</v>
      </c>
      <c r="E392" s="6515"/>
      <c r="F392" s="6451"/>
      <c r="G392" s="6405" t="s">
        <v>1003</v>
      </c>
      <c r="H392" s="6515"/>
      <c r="I392" s="6455"/>
      <c r="J392" s="6517" t="s">
        <v>1004</v>
      </c>
      <c r="K392" s="6518" t="s">
        <v>1005</v>
      </c>
      <c r="L392" s="6105"/>
      <c r="M392" s="6027"/>
      <c r="N392" s="6044" t="s">
        <v>1006</v>
      </c>
      <c r="O392" s="6500" t="s">
        <v>1007</v>
      </c>
      <c r="P392" s="6502" t="s">
        <v>1008</v>
      </c>
      <c r="Q392" s="6045" t="s">
        <v>1009</v>
      </c>
      <c r="R392" s="6505" t="s">
        <v>2525</v>
      </c>
      <c r="S392" s="6500" t="s">
        <v>4304</v>
      </c>
      <c r="T392" s="6105" t="s">
        <v>1010</v>
      </c>
      <c r="U392" s="6105" t="s">
        <v>1011</v>
      </c>
      <c r="V392" s="6027" t="s">
        <v>1012</v>
      </c>
    </row>
    <row r="393" spans="1:95" ht="37.9" customHeight="1" x14ac:dyDescent="0.25">
      <c r="B393" s="6514"/>
      <c r="C393" s="6024"/>
      <c r="D393" s="467" t="s">
        <v>522</v>
      </c>
      <c r="E393" s="547" t="s">
        <v>751</v>
      </c>
      <c r="F393" s="1742" t="s">
        <v>1013</v>
      </c>
      <c r="G393" s="467" t="s">
        <v>522</v>
      </c>
      <c r="H393" s="547" t="s">
        <v>751</v>
      </c>
      <c r="I393" s="1753" t="s">
        <v>1013</v>
      </c>
      <c r="J393" s="6035"/>
      <c r="K393" s="6519"/>
      <c r="L393" s="6106"/>
      <c r="M393" s="6028"/>
      <c r="N393" s="6044"/>
      <c r="O393" s="6501"/>
      <c r="P393" s="6503"/>
      <c r="Q393" s="6504"/>
      <c r="R393" s="6086"/>
      <c r="S393" s="6067"/>
      <c r="T393" s="6506"/>
      <c r="U393" s="6506"/>
      <c r="V393" s="6507"/>
    </row>
    <row r="394" spans="1:95" ht="21" x14ac:dyDescent="0.25">
      <c r="A394" s="5637" t="s">
        <v>5210</v>
      </c>
      <c r="B394" s="2987" t="s">
        <v>1014</v>
      </c>
      <c r="C394" s="426" t="s">
        <v>4567</v>
      </c>
      <c r="D394" s="747" t="s">
        <v>4568</v>
      </c>
      <c r="E394" s="476" t="s">
        <v>4569</v>
      </c>
      <c r="F394" s="566" t="s">
        <v>4570</v>
      </c>
      <c r="G394" s="747" t="s">
        <v>4571</v>
      </c>
      <c r="H394" s="476" t="s">
        <v>4572</v>
      </c>
      <c r="I394" s="736" t="s">
        <v>4573</v>
      </c>
      <c r="J394" s="530" t="s">
        <v>4574</v>
      </c>
      <c r="K394" s="722" t="s">
        <v>4575</v>
      </c>
      <c r="L394" s="506" t="s">
        <v>4576</v>
      </c>
      <c r="M394" s="552" t="s">
        <v>4577</v>
      </c>
      <c r="N394" s="2988" t="s">
        <v>4578</v>
      </c>
      <c r="O394" s="2989" t="s">
        <v>4579</v>
      </c>
      <c r="P394" s="2990" t="s">
        <v>4580</v>
      </c>
      <c r="Q394" s="5560" t="s">
        <v>4581</v>
      </c>
      <c r="R394" s="5561" t="s">
        <v>4582</v>
      </c>
      <c r="S394" s="2992" t="s">
        <v>4583</v>
      </c>
      <c r="T394" s="2990" t="s">
        <v>4584</v>
      </c>
      <c r="U394" s="2990" t="s">
        <v>4585</v>
      </c>
      <c r="V394" s="2991" t="s">
        <v>4586</v>
      </c>
      <c r="W394" t="str">
        <f>CB394&amp;CC394</f>
        <v xml:space="preserve"> * La variable Niños, Niñas, Adolescentes y Jóvenes SENAME No puede ser mayor al Total. * La variable Niños, Niñas, Adolescentes y Jóvenes Mejor Niñez No puede ser mayor al Total.</v>
      </c>
      <c r="CB394" s="135" t="str">
        <f>IF(AND(C394&gt;0,L394="")," * No olvide digitar la variable Niños, Niñas, Adolescentes y Jóvenes SENAME. Digite Cero si no tiene.",IF(L394&gt;C394," * La variable Niños, Niñas, Adolescentes y Jóvenes SENAME No puede ser mayor al Total.",""))</f>
        <v xml:space="preserve"> * La variable Niños, Niñas, Adolescentes y Jóvenes SENAME No puede ser mayor al Total.</v>
      </c>
      <c r="CC394" s="135" t="str">
        <f>IF(AND(C394&gt;0,M394="")," * No olvide digitar la variable Niños, Niñas, Adolescentes y Jóvenes Mejor Niñez. Digite Cero si no tiene.",IF(M394&gt;C394," * La variable Niños, Niñas, Adolescentes y Jóvenes Mejor Niñez No puede ser mayor al Total.",""))</f>
        <v xml:space="preserve"> * La variable Niños, Niñas, Adolescentes y Jóvenes Mejor Niñez No puede ser mayor al Total.</v>
      </c>
      <c r="CP394" s="1867">
        <f>IF(AND($C394&gt;0,L394=""),1,IF(L394&gt;$C394,1,0))</f>
        <v>1</v>
      </c>
      <c r="CQ394" s="1867">
        <f>IF(AND($C394&gt;0,M394=""),1,IF(M394&gt;$C394,1,0))</f>
        <v>1</v>
      </c>
    </row>
    <row r="395" spans="1:95" x14ac:dyDescent="0.25">
      <c r="A395" s="5616"/>
      <c r="B395" s="2953" t="s">
        <v>769</v>
      </c>
      <c r="C395" s="778">
        <f t="shared" ref="C395:C399" si="251">SUM(D395:I395)</f>
        <v>0</v>
      </c>
      <c r="D395" s="756">
        <f>SUM(D396:D398)</f>
        <v>0</v>
      </c>
      <c r="E395" s="565">
        <f t="shared" ref="E395:F395" si="252">SUM(E396:E398)</f>
        <v>0</v>
      </c>
      <c r="F395" s="565">
        <f t="shared" si="252"/>
        <v>0</v>
      </c>
      <c r="G395" s="756">
        <f>SUM(G396:G398)</f>
        <v>0</v>
      </c>
      <c r="H395" s="511">
        <f>SUM(H396:H398)</f>
        <v>0</v>
      </c>
      <c r="I395" s="535">
        <f>SUM(I396:I398)</f>
        <v>0</v>
      </c>
      <c r="J395" s="301">
        <f>SUM(J396:J398)</f>
        <v>0</v>
      </c>
      <c r="K395" s="240"/>
      <c r="L395" s="2392">
        <f t="shared" ref="L395:V395" si="253">SUM(L396:L398)</f>
        <v>0</v>
      </c>
      <c r="M395" s="572">
        <f t="shared" si="253"/>
        <v>0</v>
      </c>
      <c r="N395" s="2993">
        <f t="shared" si="253"/>
        <v>0</v>
      </c>
      <c r="O395" s="2994">
        <f t="shared" si="253"/>
        <v>0</v>
      </c>
      <c r="P395" s="2995">
        <f t="shared" si="253"/>
        <v>0</v>
      </c>
      <c r="Q395" s="5344">
        <f t="shared" si="253"/>
        <v>0</v>
      </c>
      <c r="R395" s="2997">
        <f t="shared" si="253"/>
        <v>0</v>
      </c>
      <c r="S395" s="2996">
        <f t="shared" si="253"/>
        <v>0</v>
      </c>
      <c r="T395" s="2995">
        <f t="shared" si="253"/>
        <v>0</v>
      </c>
      <c r="U395" s="2997">
        <f t="shared" si="253"/>
        <v>0</v>
      </c>
      <c r="V395" s="2996">
        <f t="shared" si="253"/>
        <v>0</v>
      </c>
    </row>
    <row r="396" spans="1:95" x14ac:dyDescent="0.25">
      <c r="A396" s="5637" t="s">
        <v>5211</v>
      </c>
      <c r="B396" s="2980" t="s">
        <v>1015</v>
      </c>
      <c r="C396" s="2998" t="s">
        <v>4567</v>
      </c>
      <c r="D396" s="747" t="s">
        <v>4568</v>
      </c>
      <c r="E396" s="476" t="s">
        <v>4569</v>
      </c>
      <c r="F396" s="566" t="s">
        <v>4570</v>
      </c>
      <c r="G396" s="747" t="s">
        <v>4571</v>
      </c>
      <c r="H396" s="750" t="s">
        <v>4572</v>
      </c>
      <c r="I396" s="475" t="s">
        <v>4573</v>
      </c>
      <c r="J396" s="735" t="s">
        <v>4574</v>
      </c>
      <c r="K396" s="721" t="s">
        <v>4575</v>
      </c>
      <c r="L396" s="476" t="s">
        <v>4576</v>
      </c>
      <c r="M396" s="566" t="s">
        <v>4577</v>
      </c>
      <c r="N396" s="1726" t="s">
        <v>4578</v>
      </c>
      <c r="O396" s="2999" t="s">
        <v>4579</v>
      </c>
      <c r="P396" s="1726" t="s">
        <v>4580</v>
      </c>
      <c r="Q396" s="5562" t="s">
        <v>4581</v>
      </c>
      <c r="R396" s="3001" t="s">
        <v>4582</v>
      </c>
      <c r="S396" s="3000" t="s">
        <v>4583</v>
      </c>
      <c r="T396" s="1726" t="s">
        <v>4584</v>
      </c>
      <c r="U396" s="3001" t="s">
        <v>4585</v>
      </c>
      <c r="V396" s="3000" t="s">
        <v>4586</v>
      </c>
      <c r="W396" t="str">
        <f t="shared" ref="W396:W404" si="254">CB396&amp;CC396</f>
        <v xml:space="preserve"> * La variable Niños, Niñas, Adolescentes y Jóvenes SENAME No puede ser mayor al Total. * La variable Niños, Niñas, Adolescentes y Jóvenes Mejor Niñez No puede ser mayor al Total.</v>
      </c>
      <c r="CB396" s="135" t="str">
        <f>IF(AND(C396&gt;0,L396="")," * No olvide digitar la variable Niños, Niñas, Adolescentes y Jóvenes SENAME. Digite Cero si no tiene.",IF(L396&gt;C396," * La variable Niños, Niñas, Adolescentes y Jóvenes SENAME No puede ser mayor al Total.",""))</f>
        <v xml:space="preserve"> * La variable Niños, Niñas, Adolescentes y Jóvenes SENAME No puede ser mayor al Total.</v>
      </c>
      <c r="CC396" s="135" t="str">
        <f>IF(AND(C396&gt;0,M396="")," * No olvide digitar la variable Niños, Niñas, Adolescentes y Jóvenes Mejor Niñez. Digite Cero si no tiene.",IF(M396&gt;C396," * La variable Niños, Niñas, Adolescentes y Jóvenes Mejor Niñez No puede ser mayor al Total.",""))</f>
        <v xml:space="preserve"> * La variable Niños, Niñas, Adolescentes y Jóvenes Mejor Niñez No puede ser mayor al Total.</v>
      </c>
      <c r="CP396" s="1867">
        <f t="shared" ref="CP396:CP398" si="255">IF(AND($C396&gt;0,L396=""),1,IF(L396&gt;$C396,1,0))</f>
        <v>1</v>
      </c>
      <c r="CQ396" s="1867">
        <f>IF(AND($C396&gt;0,M396=""),1,IF(M396&gt;$C396,1,0))</f>
        <v>1</v>
      </c>
    </row>
    <row r="397" spans="1:95" x14ac:dyDescent="0.25">
      <c r="A397" s="5637" t="s">
        <v>5212</v>
      </c>
      <c r="B397" s="2977" t="s">
        <v>1016</v>
      </c>
      <c r="C397" s="2905" t="s">
        <v>4567</v>
      </c>
      <c r="D397" s="345" t="s">
        <v>4568</v>
      </c>
      <c r="E397" s="347" t="s">
        <v>4569</v>
      </c>
      <c r="F397" s="346" t="s">
        <v>4570</v>
      </c>
      <c r="G397" s="345" t="s">
        <v>4571</v>
      </c>
      <c r="H397" s="347" t="s">
        <v>4572</v>
      </c>
      <c r="I397" s="480" t="s">
        <v>4573</v>
      </c>
      <c r="J397" s="429" t="s">
        <v>4574</v>
      </c>
      <c r="K397" s="3002" t="s">
        <v>4575</v>
      </c>
      <c r="L397" s="347" t="s">
        <v>4576</v>
      </c>
      <c r="M397" s="346" t="s">
        <v>4577</v>
      </c>
      <c r="N397" s="1089" t="s">
        <v>4578</v>
      </c>
      <c r="O397" s="1093" t="s">
        <v>4579</v>
      </c>
      <c r="P397" s="1089" t="s">
        <v>4580</v>
      </c>
      <c r="Q397" s="368" t="s">
        <v>4581</v>
      </c>
      <c r="R397" s="3063" t="s">
        <v>4582</v>
      </c>
      <c r="S397" s="1090" t="s">
        <v>4583</v>
      </c>
      <c r="T397" s="1089" t="s">
        <v>4584</v>
      </c>
      <c r="U397" s="1091" t="s">
        <v>4585</v>
      </c>
      <c r="V397" s="1090" t="s">
        <v>4586</v>
      </c>
      <c r="W397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397" s="135" t="str">
        <f t="shared" ref="CB397" si="256">IF(AND(C397&gt;0,L397="")," * No olvide digitar la variable Niños, Niñas, Adolescentes y Jóvenes SENAME. Digite Cero si no tiene.",IF(L397&gt;C397," * La variable Niños, Niñas, Adolescentes y Jóvenes SENAME No puede ser mayor al Total.",""))</f>
        <v xml:space="preserve"> * La variable Niños, Niñas, Adolescentes y Jóvenes SENAME No puede ser mayor al Total.</v>
      </c>
      <c r="CC397" s="135" t="str">
        <f t="shared" ref="CC397:CC398" si="257">IF(AND(C397&gt;0,M397="")," * No olvide digitar la variable Niños, Niñas, Adolescentes y Jóvenes Mejor Niñez. Digite Cero si no tiene.",IF(M397&gt;C397," * La variable Niños, Niñas, Adolescentes y Jóvenes Mejor Niñez No puede ser mayor al Total.",""))</f>
        <v xml:space="preserve"> * La variable Niños, Niñas, Adolescentes y Jóvenes Mejor Niñez No puede ser mayor al Total.</v>
      </c>
      <c r="CP397" s="1867">
        <f t="shared" si="255"/>
        <v>1</v>
      </c>
      <c r="CQ397" s="1867">
        <f t="shared" ref="CQ397" si="258">IF(AND($C397&gt;0,M397=""),1,IF(M397&gt;$C397,1,0))</f>
        <v>1</v>
      </c>
    </row>
    <row r="398" spans="1:95" x14ac:dyDescent="0.25">
      <c r="A398" s="5637" t="s">
        <v>5213</v>
      </c>
      <c r="B398" s="2977" t="s">
        <v>1017</v>
      </c>
      <c r="C398" s="3003" t="s">
        <v>4567</v>
      </c>
      <c r="D398" s="345" t="s">
        <v>4568</v>
      </c>
      <c r="E398" s="347" t="s">
        <v>4569</v>
      </c>
      <c r="F398" s="346" t="s">
        <v>4570</v>
      </c>
      <c r="G398" s="345" t="s">
        <v>4571</v>
      </c>
      <c r="H398" s="347" t="s">
        <v>4572</v>
      </c>
      <c r="I398" s="480" t="s">
        <v>4573</v>
      </c>
      <c r="J398" s="429" t="s">
        <v>4574</v>
      </c>
      <c r="K398" s="3002" t="s">
        <v>4575</v>
      </c>
      <c r="L398" s="347" t="s">
        <v>4576</v>
      </c>
      <c r="M398" s="346" t="s">
        <v>4577</v>
      </c>
      <c r="N398" s="1089" t="s">
        <v>4578</v>
      </c>
      <c r="O398" s="3004" t="s">
        <v>4579</v>
      </c>
      <c r="P398" s="290" t="s">
        <v>4580</v>
      </c>
      <c r="Q398" s="531" t="s">
        <v>4581</v>
      </c>
      <c r="R398" s="3005" t="s">
        <v>4582</v>
      </c>
      <c r="S398" s="3004" t="s">
        <v>4583</v>
      </c>
      <c r="T398" s="290" t="s">
        <v>4584</v>
      </c>
      <c r="U398" s="3005" t="s">
        <v>4585</v>
      </c>
      <c r="V398" s="3004" t="s">
        <v>4586</v>
      </c>
      <c r="W398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398" s="135" t="str">
        <f>IF(AND(C398&gt;0,L398="")," * No olvide digitar la variable Niños, Niñas, Adolescentes y Jóvenes SENAME. Digite Cero si no tiene.",IF(L398&gt;C398," * La variable Niños, Niñas, Adolescentes y Jóvenes SENAME No puede ser mayor al Total.",""))</f>
        <v xml:space="preserve"> * La variable Niños, Niñas, Adolescentes y Jóvenes SENAME No puede ser mayor al Total.</v>
      </c>
      <c r="CC398" s="135" t="str">
        <f t="shared" si="257"/>
        <v xml:space="preserve"> * La variable Niños, Niñas, Adolescentes y Jóvenes Mejor Niñez No puede ser mayor al Total.</v>
      </c>
      <c r="CP398" s="1867">
        <f t="shared" si="255"/>
        <v>1</v>
      </c>
      <c r="CQ398" s="1867">
        <f>IF(AND($C398&gt;0,M398=""),1,IF(M398&gt;$C398,1,0))</f>
        <v>1</v>
      </c>
    </row>
    <row r="399" spans="1:95" x14ac:dyDescent="0.25">
      <c r="A399" s="5616"/>
      <c r="B399" s="2953" t="s">
        <v>905</v>
      </c>
      <c r="C399" s="778">
        <f t="shared" si="251"/>
        <v>0</v>
      </c>
      <c r="D399" s="756">
        <f>SUM(D400:D403)</f>
        <v>0</v>
      </c>
      <c r="E399" s="565">
        <f t="shared" ref="E399:V399" si="259">SUM(E400:E403)</f>
        <v>0</v>
      </c>
      <c r="F399" s="514">
        <f t="shared" si="259"/>
        <v>0</v>
      </c>
      <c r="G399" s="756">
        <f t="shared" si="259"/>
        <v>0</v>
      </c>
      <c r="H399" s="5566">
        <f t="shared" si="259"/>
        <v>0</v>
      </c>
      <c r="I399" s="535">
        <f t="shared" si="259"/>
        <v>0</v>
      </c>
      <c r="J399" s="513">
        <f>SUM(J400:J403)</f>
        <v>0</v>
      </c>
      <c r="K399" s="512">
        <f t="shared" si="259"/>
        <v>0</v>
      </c>
      <c r="L399" s="565">
        <f t="shared" si="259"/>
        <v>0</v>
      </c>
      <c r="M399" s="572">
        <f t="shared" si="259"/>
        <v>0</v>
      </c>
      <c r="N399" s="3006">
        <f t="shared" si="259"/>
        <v>0</v>
      </c>
      <c r="O399" s="3007">
        <f t="shared" si="259"/>
        <v>0</v>
      </c>
      <c r="P399" s="3006">
        <f t="shared" si="259"/>
        <v>0</v>
      </c>
      <c r="Q399" s="5563">
        <f t="shared" si="259"/>
        <v>0</v>
      </c>
      <c r="R399" s="3008">
        <f t="shared" si="259"/>
        <v>0</v>
      </c>
      <c r="S399" s="3007">
        <f t="shared" si="259"/>
        <v>0</v>
      </c>
      <c r="T399" s="3006">
        <f t="shared" si="259"/>
        <v>0</v>
      </c>
      <c r="U399" s="3008">
        <f t="shared" si="259"/>
        <v>0</v>
      </c>
      <c r="V399" s="3007">
        <f t="shared" si="259"/>
        <v>0</v>
      </c>
    </row>
    <row r="400" spans="1:95" x14ac:dyDescent="0.25">
      <c r="A400" s="5637" t="s">
        <v>5214</v>
      </c>
      <c r="B400" s="2980" t="s">
        <v>1018</v>
      </c>
      <c r="C400" s="2998" t="s">
        <v>4567</v>
      </c>
      <c r="D400" s="747" t="s">
        <v>4568</v>
      </c>
      <c r="E400" s="476" t="s">
        <v>4569</v>
      </c>
      <c r="F400" s="566" t="s">
        <v>4570</v>
      </c>
      <c r="G400" s="747" t="s">
        <v>4571</v>
      </c>
      <c r="H400" s="476" t="s">
        <v>4572</v>
      </c>
      <c r="I400" s="475" t="s">
        <v>4573</v>
      </c>
      <c r="J400" s="735" t="s">
        <v>4574</v>
      </c>
      <c r="K400" s="475" t="s">
        <v>4575</v>
      </c>
      <c r="L400" s="476" t="s">
        <v>4576</v>
      </c>
      <c r="M400" s="552" t="s">
        <v>4577</v>
      </c>
      <c r="N400" s="3009" t="s">
        <v>4578</v>
      </c>
      <c r="O400" s="3010" t="s">
        <v>4579</v>
      </c>
      <c r="P400" s="3009" t="s">
        <v>4580</v>
      </c>
      <c r="Q400" s="5564" t="s">
        <v>4581</v>
      </c>
      <c r="R400" s="3012" t="s">
        <v>4582</v>
      </c>
      <c r="S400" s="3010" t="s">
        <v>4583</v>
      </c>
      <c r="T400" s="3009" t="s">
        <v>4584</v>
      </c>
      <c r="U400" s="3012" t="s">
        <v>4585</v>
      </c>
      <c r="V400" s="3011" t="s">
        <v>4586</v>
      </c>
      <c r="W400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0" s="135" t="str">
        <f t="shared" ref="CB400:CB403" si="260">IF(AND(C400&gt;0,L400="")," * No olvide digitar la variable Niños, Niñas, Adolescentes y Jóvenes SENAME. Digite Cero si no tiene.",IF(L400&gt;C400," * La variable Niños, Niñas, Adolescentes y Jóvenes SENAME No puede ser mayor al Total.",""))</f>
        <v xml:space="preserve"> * La variable Niños, Niñas, Adolescentes y Jóvenes SENAME No puede ser mayor al Total.</v>
      </c>
      <c r="CC400" s="135" t="str">
        <f t="shared" ref="CC400:CC404" si="261">IF(AND(C400&gt;0,M400="")," * No olvide digitar la variable Niños, Niñas, Adolescentes y Jóvenes Mejor Niñez. Digite Cero si no tiene.",IF(M400&gt;C400," * La variable Niños, Niñas, Adolescentes y Jóvenes Mejor Niñez No puede ser mayor al Total.",""))</f>
        <v xml:space="preserve"> * La variable Niños, Niñas, Adolescentes y Jóvenes Mejor Niñez No puede ser mayor al Total.</v>
      </c>
      <c r="CP400" s="1867">
        <f t="shared" ref="CP400:CP404" si="262">IF(AND($C400&gt;0,L400=""),1,IF(L400&gt;$C400,1,0))</f>
        <v>1</v>
      </c>
      <c r="CQ400" s="1867">
        <f t="shared" ref="CQ400:CQ404" si="263">IF(AND($C400&gt;0,M400=""),1,IF(M400&gt;$C400,1,0))</f>
        <v>1</v>
      </c>
    </row>
    <row r="401" spans="1:95" ht="16.5" customHeight="1" x14ac:dyDescent="0.25">
      <c r="A401" s="5637" t="s">
        <v>5215</v>
      </c>
      <c r="B401" s="2977" t="s">
        <v>1019</v>
      </c>
      <c r="C401" s="2905" t="s">
        <v>4567</v>
      </c>
      <c r="D401" s="345" t="s">
        <v>4568</v>
      </c>
      <c r="E401" s="347" t="s">
        <v>4569</v>
      </c>
      <c r="F401" s="346" t="s">
        <v>4570</v>
      </c>
      <c r="G401" s="345" t="s">
        <v>4571</v>
      </c>
      <c r="H401" s="347" t="s">
        <v>4572</v>
      </c>
      <c r="I401" s="480" t="s">
        <v>4573</v>
      </c>
      <c r="J401" s="429" t="s">
        <v>4574</v>
      </c>
      <c r="K401" s="480" t="s">
        <v>4575</v>
      </c>
      <c r="L401" s="347" t="s">
        <v>4576</v>
      </c>
      <c r="M401" s="554" t="s">
        <v>4577</v>
      </c>
      <c r="N401" s="3013" t="s">
        <v>4578</v>
      </c>
      <c r="O401" s="3014" t="s">
        <v>4579</v>
      </c>
      <c r="P401" s="3013" t="s">
        <v>4580</v>
      </c>
      <c r="Q401" s="244" t="s">
        <v>4581</v>
      </c>
      <c r="R401" s="538" t="s">
        <v>4582</v>
      </c>
      <c r="S401" s="3014" t="s">
        <v>4583</v>
      </c>
      <c r="T401" s="3013" t="s">
        <v>4584</v>
      </c>
      <c r="U401" s="538" t="s">
        <v>4585</v>
      </c>
      <c r="V401" s="3015" t="s">
        <v>4586</v>
      </c>
      <c r="W401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1" s="135" t="str">
        <f t="shared" si="260"/>
        <v xml:space="preserve"> * La variable Niños, Niñas, Adolescentes y Jóvenes SENAME No puede ser mayor al Total.</v>
      </c>
      <c r="CC401" s="135" t="str">
        <f t="shared" si="261"/>
        <v xml:space="preserve"> * La variable Niños, Niñas, Adolescentes y Jóvenes Mejor Niñez No puede ser mayor al Total.</v>
      </c>
      <c r="CP401" s="1867">
        <f t="shared" si="262"/>
        <v>1</v>
      </c>
      <c r="CQ401" s="1867">
        <f t="shared" si="263"/>
        <v>1</v>
      </c>
    </row>
    <row r="402" spans="1:95" ht="12" customHeight="1" x14ac:dyDescent="0.25">
      <c r="A402" s="5637" t="s">
        <v>5216</v>
      </c>
      <c r="B402" s="2977" t="s">
        <v>1020</v>
      </c>
      <c r="C402" s="3003" t="s">
        <v>4567</v>
      </c>
      <c r="D402" s="345" t="s">
        <v>4568</v>
      </c>
      <c r="E402" s="347" t="s">
        <v>4569</v>
      </c>
      <c r="F402" s="346" t="s">
        <v>4570</v>
      </c>
      <c r="G402" s="345" t="s">
        <v>4571</v>
      </c>
      <c r="H402" s="347" t="s">
        <v>4572</v>
      </c>
      <c r="I402" s="480" t="s">
        <v>4573</v>
      </c>
      <c r="J402" s="429" t="s">
        <v>4574</v>
      </c>
      <c r="K402" s="480" t="s">
        <v>4575</v>
      </c>
      <c r="L402" s="347" t="s">
        <v>4576</v>
      </c>
      <c r="M402" s="554" t="s">
        <v>4577</v>
      </c>
      <c r="N402" s="3013" t="s">
        <v>4578</v>
      </c>
      <c r="O402" s="3014" t="s">
        <v>4579</v>
      </c>
      <c r="P402" s="3013" t="s">
        <v>4580</v>
      </c>
      <c r="Q402" s="244" t="s">
        <v>4581</v>
      </c>
      <c r="R402" s="538" t="s">
        <v>4582</v>
      </c>
      <c r="S402" s="3014" t="s">
        <v>4583</v>
      </c>
      <c r="T402" s="3013" t="s">
        <v>4584</v>
      </c>
      <c r="U402" s="538" t="s">
        <v>4585</v>
      </c>
      <c r="V402" s="3015" t="s">
        <v>4586</v>
      </c>
      <c r="W402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2" s="135" t="str">
        <f t="shared" si="260"/>
        <v xml:space="preserve"> * La variable Niños, Niñas, Adolescentes y Jóvenes SENAME No puede ser mayor al Total.</v>
      </c>
      <c r="CC402" s="135" t="str">
        <f t="shared" si="261"/>
        <v xml:space="preserve"> * La variable Niños, Niñas, Adolescentes y Jóvenes Mejor Niñez No puede ser mayor al Total.</v>
      </c>
      <c r="CP402" s="1867">
        <f t="shared" si="262"/>
        <v>1</v>
      </c>
      <c r="CQ402" s="1867">
        <f t="shared" si="263"/>
        <v>1</v>
      </c>
    </row>
    <row r="403" spans="1:95" ht="15.75" thickBot="1" x14ac:dyDescent="0.3">
      <c r="A403" s="5637" t="s">
        <v>5217</v>
      </c>
      <c r="B403" s="3016" t="s">
        <v>1021</v>
      </c>
      <c r="C403" s="3017" t="s">
        <v>4567</v>
      </c>
      <c r="D403" s="3018" t="s">
        <v>4568</v>
      </c>
      <c r="E403" s="3019" t="s">
        <v>4569</v>
      </c>
      <c r="F403" s="540" t="s">
        <v>4570</v>
      </c>
      <c r="G403" s="3018" t="s">
        <v>4571</v>
      </c>
      <c r="H403" s="3019" t="s">
        <v>4572</v>
      </c>
      <c r="I403" s="3020" t="s">
        <v>4573</v>
      </c>
      <c r="J403" s="539" t="s">
        <v>4574</v>
      </c>
      <c r="K403" s="3020" t="s">
        <v>4575</v>
      </c>
      <c r="L403" s="3019" t="s">
        <v>4576</v>
      </c>
      <c r="M403" s="3021" t="s">
        <v>4577</v>
      </c>
      <c r="N403" s="3022" t="s">
        <v>4578</v>
      </c>
      <c r="O403" s="3023" t="s">
        <v>4579</v>
      </c>
      <c r="P403" s="3022" t="s">
        <v>4580</v>
      </c>
      <c r="Q403" s="156" t="s">
        <v>4581</v>
      </c>
      <c r="R403" s="155" t="s">
        <v>4582</v>
      </c>
      <c r="S403" s="3023" t="s">
        <v>4583</v>
      </c>
      <c r="T403" s="3022" t="s">
        <v>4584</v>
      </c>
      <c r="U403" s="155" t="s">
        <v>4585</v>
      </c>
      <c r="V403" s="3024" t="s">
        <v>4586</v>
      </c>
      <c r="W403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3" s="135" t="str">
        <f t="shared" si="260"/>
        <v xml:space="preserve"> * La variable Niños, Niñas, Adolescentes y Jóvenes SENAME No puede ser mayor al Total.</v>
      </c>
      <c r="CC403" s="135" t="str">
        <f t="shared" si="261"/>
        <v xml:space="preserve"> * La variable Niños, Niñas, Adolescentes y Jóvenes Mejor Niñez No puede ser mayor al Total.</v>
      </c>
      <c r="CP403" s="1867">
        <f t="shared" si="262"/>
        <v>1</v>
      </c>
      <c r="CQ403" s="1867">
        <f t="shared" si="263"/>
        <v>1</v>
      </c>
    </row>
    <row r="404" spans="1:95" ht="15.75" thickTop="1" x14ac:dyDescent="0.25">
      <c r="A404" s="5637" t="s">
        <v>5218</v>
      </c>
      <c r="B404" s="3025" t="s">
        <v>1022</v>
      </c>
      <c r="C404" s="3026" t="s">
        <v>4567</v>
      </c>
      <c r="D404" s="372" t="s">
        <v>4568</v>
      </c>
      <c r="E404" s="541" t="s">
        <v>4569</v>
      </c>
      <c r="F404" s="726" t="s">
        <v>4570</v>
      </c>
      <c r="G404" s="372" t="s">
        <v>4571</v>
      </c>
      <c r="H404" s="541" t="s">
        <v>4572</v>
      </c>
      <c r="I404" s="586" t="s">
        <v>4573</v>
      </c>
      <c r="J404" s="266" t="s">
        <v>4574</v>
      </c>
      <c r="K404" s="586" t="s">
        <v>4575</v>
      </c>
      <c r="L404" s="541" t="s">
        <v>4576</v>
      </c>
      <c r="M404" s="643" t="s">
        <v>4577</v>
      </c>
      <c r="N404" s="3027" t="s">
        <v>4578</v>
      </c>
      <c r="O404" s="3028" t="s">
        <v>4579</v>
      </c>
      <c r="P404" s="3027" t="s">
        <v>4580</v>
      </c>
      <c r="Q404" s="5565" t="s">
        <v>4581</v>
      </c>
      <c r="R404" s="3030" t="s">
        <v>4582</v>
      </c>
      <c r="S404" s="3028" t="s">
        <v>4583</v>
      </c>
      <c r="T404" s="3027" t="s">
        <v>4584</v>
      </c>
      <c r="U404" s="3030" t="s">
        <v>4585</v>
      </c>
      <c r="V404" s="3029" t="s">
        <v>4586</v>
      </c>
      <c r="W404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4" s="135" t="str">
        <f>IF(AND(C404&gt;0,L404="")," * No olvide digitar la variable Niños, Niñas, Adolescentes y Jóvenes SENAME. Digite Cero si no tiene.",IF(L404&gt;C404," * La variable Niños, Niñas, Adolescentes y Jóvenes SENAME No puede ser mayor al Total.",""))</f>
        <v xml:space="preserve"> * La variable Niños, Niñas, Adolescentes y Jóvenes SENAME No puede ser mayor al Total.</v>
      </c>
      <c r="CC404" s="135" t="str">
        <f t="shared" si="261"/>
        <v xml:space="preserve"> * La variable Niños, Niñas, Adolescentes y Jóvenes Mejor Niñez No puede ser mayor al Total.</v>
      </c>
      <c r="CP404" s="1867">
        <f t="shared" si="262"/>
        <v>1</v>
      </c>
      <c r="CQ404" s="1867">
        <f t="shared" si="263"/>
        <v>1</v>
      </c>
    </row>
    <row r="405" spans="1:95" x14ac:dyDescent="0.25">
      <c r="B405" s="3031" t="s">
        <v>1023</v>
      </c>
      <c r="C405" s="298"/>
      <c r="D405" s="8"/>
      <c r="E405" s="6"/>
    </row>
    <row r="406" spans="1:95" x14ac:dyDescent="0.25">
      <c r="B406" s="6512" t="s">
        <v>1024</v>
      </c>
      <c r="C406" s="6458" t="s">
        <v>77</v>
      </c>
      <c r="D406" s="6405" t="s">
        <v>29</v>
      </c>
      <c r="E406" s="6455"/>
      <c r="F406" s="6511" t="s">
        <v>34</v>
      </c>
      <c r="G406" s="6458" t="s">
        <v>35</v>
      </c>
    </row>
    <row r="407" spans="1:95" ht="21" customHeight="1" x14ac:dyDescent="0.25">
      <c r="B407" s="6513"/>
      <c r="C407" s="6119"/>
      <c r="D407" s="6454" t="s">
        <v>1002</v>
      </c>
      <c r="E407" s="6518" t="s">
        <v>1003</v>
      </c>
      <c r="F407" s="6027"/>
      <c r="G407" s="6119"/>
    </row>
    <row r="408" spans="1:95" x14ac:dyDescent="0.25">
      <c r="B408" s="6513"/>
      <c r="C408" s="6024"/>
      <c r="D408" s="6103"/>
      <c r="E408" s="6519"/>
      <c r="F408" s="6028"/>
      <c r="G408" s="6024"/>
    </row>
    <row r="409" spans="1:95" x14ac:dyDescent="0.25">
      <c r="A409" s="5637" t="s">
        <v>5219</v>
      </c>
      <c r="B409" s="2980" t="s">
        <v>1025</v>
      </c>
      <c r="C409" s="5777" t="s">
        <v>4567</v>
      </c>
      <c r="D409" s="1726" t="s">
        <v>4568</v>
      </c>
      <c r="E409" s="1728" t="s">
        <v>4569</v>
      </c>
      <c r="F409" s="5670" t="s">
        <v>4570</v>
      </c>
      <c r="G409" s="5487" t="s">
        <v>4571</v>
      </c>
      <c r="H409" t="str">
        <f>CB409&amp;CC409</f>
        <v xml:space="preserve"> * La variable Niños, Niñas, Adolescentes y Jóvenes SENAME No puede ser mayor al Total. * La variable Niños, Niñas, Adolescentes y Jóvenes Mejor Niñez No puede ser mayor al Total.</v>
      </c>
      <c r="CB409" s="135" t="str">
        <f>IF(AND(C409&gt;0,F409="")," * No olvide digitar la variable Niños, Niñas, Adolescentes y Jóvenes SENAME. Digite Cero si no tiene.",IF(F409&gt;C409," * La variable Niños, Niñas, Adolescentes y Jóvenes SENAME No puede ser mayor al Total.",""))</f>
        <v xml:space="preserve"> * La variable Niños, Niñas, Adolescentes y Jóvenes SENAME No puede ser mayor al Total.</v>
      </c>
      <c r="CC409" s="135" t="str">
        <f>IF(AND(C409&gt;0,G409="")," * No olvide digitar la variable Niños, Niñas, Adolescentes y Jóvenes Mejor Niñez. Digite Cero si no tiene.",IF(G409&gt;C409," * La variable Niños, Niñas, Adolescentes y Jóvenes Mejor Niñez No puede ser mayor al Total.",""))</f>
        <v xml:space="preserve"> * La variable Niños, Niñas, Adolescentes y Jóvenes Mejor Niñez No puede ser mayor al Total.</v>
      </c>
      <c r="CP409" s="1867">
        <f>IF(AND($C409&gt;0,F409=""),1,IF(F409&gt;$C409,1,0))</f>
        <v>1</v>
      </c>
      <c r="CQ409" s="1867">
        <f>IF(AND($C409&gt;0,G409=""),1,IF(G409&gt;$C409,1,0))</f>
        <v>1</v>
      </c>
    </row>
    <row r="410" spans="1:95" x14ac:dyDescent="0.25">
      <c r="A410" s="5637" t="s">
        <v>5220</v>
      </c>
      <c r="B410" s="2977" t="s">
        <v>1026</v>
      </c>
      <c r="C410" s="5778" t="s">
        <v>4567</v>
      </c>
      <c r="D410" s="1089" t="s">
        <v>4568</v>
      </c>
      <c r="E410" s="1295" t="s">
        <v>4569</v>
      </c>
      <c r="F410" s="3063" t="s">
        <v>4570</v>
      </c>
      <c r="G410" s="5489" t="s">
        <v>4571</v>
      </c>
      <c r="H410" t="str">
        <f t="shared" ref="H410" si="264">CB410&amp;CC410</f>
        <v xml:space="preserve"> * La variable Niños, Niñas, Adolescentes y Jóvenes SENAME No puede ser mayor al Total. * La variable Niños, Niñas, Adolescentes y Jóvenes Mejor Niñez No puede ser mayor al Total.</v>
      </c>
      <c r="CB410" s="135" t="str">
        <f t="shared" ref="CB410:CB411" si="265">IF(AND(C410&gt;0,F410="")," * No olvide digitar la variable Niños, Niñas, Adolescentes y Jóvenes SENAME. Digite Cero si no tiene.",IF(F410&gt;C410," * La variable Niños, Niñas, Adolescentes y Jóvenes SENAME No puede ser mayor al Total.",""))</f>
        <v xml:space="preserve"> * La variable Niños, Niñas, Adolescentes y Jóvenes SENAME No puede ser mayor al Total.</v>
      </c>
      <c r="CC410" s="135" t="str">
        <f t="shared" ref="CC410:CC411" si="266">IF(AND(C410&gt;0,G410="")," * No olvide digitar la variable Niños, Niñas, Adolescentes y Jóvenes Mejor Niñez. Digite Cero si no tiene.",IF(G410&gt;C410," * La variable Niños, Niñas, Adolescentes y Jóvenes Mejor Niñez No puede ser mayor al Total.",""))</f>
        <v xml:space="preserve"> * La variable Niños, Niñas, Adolescentes y Jóvenes Mejor Niñez No puede ser mayor al Total.</v>
      </c>
      <c r="CP410" s="1867">
        <f t="shared" ref="CP410:CP411" si="267">IF(AND($C410&gt;0,F410=""),1,IF(F410&gt;$C410,1,0))</f>
        <v>1</v>
      </c>
      <c r="CQ410" s="1867">
        <f t="shared" ref="CQ410:CQ411" si="268">IF(AND($C410&gt;0,G410=""),1,IF(G410&gt;$C410,1,0))</f>
        <v>1</v>
      </c>
    </row>
    <row r="411" spans="1:95" x14ac:dyDescent="0.25">
      <c r="A411" s="5637" t="s">
        <v>5221</v>
      </c>
      <c r="B411" s="3025" t="s">
        <v>1027</v>
      </c>
      <c r="C411" s="5779" t="s">
        <v>4567</v>
      </c>
      <c r="D411" s="1114" t="s">
        <v>4568</v>
      </c>
      <c r="E411" s="5644" t="s">
        <v>4569</v>
      </c>
      <c r="F411" s="5532" t="s">
        <v>4570</v>
      </c>
      <c r="G411" s="5490" t="s">
        <v>4571</v>
      </c>
      <c r="H411" t="str">
        <f>CB411&amp;CC411</f>
        <v xml:space="preserve"> * La variable Niños, Niñas, Adolescentes y Jóvenes SENAME No puede ser mayor al Total. * La variable Niños, Niñas, Adolescentes y Jóvenes Mejor Niñez No puede ser mayor al Total.</v>
      </c>
      <c r="CB411" s="135" t="str">
        <f t="shared" si="265"/>
        <v xml:space="preserve"> * La variable Niños, Niñas, Adolescentes y Jóvenes SENAME No puede ser mayor al Total.</v>
      </c>
      <c r="CC411" s="135" t="str">
        <f t="shared" si="266"/>
        <v xml:space="preserve"> * La variable Niños, Niñas, Adolescentes y Jóvenes Mejor Niñez No puede ser mayor al Total.</v>
      </c>
      <c r="CP411" s="1867">
        <f t="shared" si="267"/>
        <v>1</v>
      </c>
      <c r="CQ411" s="1867">
        <f t="shared" si="268"/>
        <v>1</v>
      </c>
    </row>
    <row r="412" spans="1:95" x14ac:dyDescent="0.25">
      <c r="A412" s="5548"/>
    </row>
    <row r="413" spans="1:95" x14ac:dyDescent="0.25">
      <c r="A413" s="5548"/>
    </row>
    <row r="414" spans="1:95" x14ac:dyDescent="0.25">
      <c r="A414" t="s">
        <v>4777</v>
      </c>
    </row>
    <row r="415" spans="1:95" x14ac:dyDescent="0.25">
      <c r="A415" s="5677" t="s">
        <v>5222</v>
      </c>
    </row>
    <row r="416" spans="1:95" x14ac:dyDescent="0.25">
      <c r="A416" s="5677" t="s">
        <v>5223</v>
      </c>
    </row>
    <row r="417" spans="1:1" x14ac:dyDescent="0.25">
      <c r="A417" s="5677" t="s">
        <v>5224</v>
      </c>
    </row>
    <row r="418" spans="1:1" x14ac:dyDescent="0.25">
      <c r="A418" s="5677" t="s">
        <v>5225</v>
      </c>
    </row>
    <row r="419" spans="1:1" x14ac:dyDescent="0.25">
      <c r="A419" s="5640" t="s">
        <v>5226</v>
      </c>
    </row>
    <row r="420" spans="1:1" x14ac:dyDescent="0.25">
      <c r="A420" s="5640" t="s">
        <v>5227</v>
      </c>
    </row>
    <row r="421" spans="1:1" x14ac:dyDescent="0.25">
      <c r="A421" s="5640" t="s">
        <v>5228</v>
      </c>
    </row>
    <row r="422" spans="1:1" x14ac:dyDescent="0.25">
      <c r="A422" s="5640" t="s">
        <v>5229</v>
      </c>
    </row>
    <row r="423" spans="1:1" x14ac:dyDescent="0.25">
      <c r="A423" s="5640" t="s">
        <v>5230</v>
      </c>
    </row>
    <row r="424" spans="1:1" x14ac:dyDescent="0.25">
      <c r="A424" s="5640" t="s">
        <v>5231</v>
      </c>
    </row>
    <row r="425" spans="1:1" x14ac:dyDescent="0.25">
      <c r="A425" s="5640" t="s">
        <v>5232</v>
      </c>
    </row>
    <row r="426" spans="1:1" x14ac:dyDescent="0.25">
      <c r="A426" s="5640" t="s">
        <v>5233</v>
      </c>
    </row>
    <row r="427" spans="1:1" x14ac:dyDescent="0.25">
      <c r="A427" s="5682" t="s">
        <v>4566</v>
      </c>
    </row>
    <row r="428" spans="1:1" x14ac:dyDescent="0.25">
      <c r="A428" s="5637" t="s">
        <v>4965</v>
      </c>
    </row>
    <row r="429" spans="1:1" x14ac:dyDescent="0.25">
      <c r="A429" s="5637" t="s">
        <v>5010</v>
      </c>
    </row>
    <row r="430" spans="1:1" x14ac:dyDescent="0.25">
      <c r="A430" s="5637" t="s">
        <v>5011</v>
      </c>
    </row>
    <row r="431" spans="1:1" x14ac:dyDescent="0.25">
      <c r="A431" s="5637" t="s">
        <v>5020</v>
      </c>
    </row>
    <row r="432" spans="1:1" x14ac:dyDescent="0.25">
      <c r="A432" s="5637" t="s">
        <v>5021</v>
      </c>
    </row>
    <row r="433" spans="1:3" x14ac:dyDescent="0.25">
      <c r="A433" s="5637" t="s">
        <v>5052</v>
      </c>
    </row>
    <row r="434" spans="1:3" x14ac:dyDescent="0.25">
      <c r="A434" s="5637" t="s">
        <v>5053</v>
      </c>
    </row>
    <row r="435" spans="1:3" x14ac:dyDescent="0.25">
      <c r="A435" s="5637" t="s">
        <v>5054</v>
      </c>
    </row>
    <row r="436" spans="1:3" x14ac:dyDescent="0.25">
      <c r="A436" s="5637" t="s">
        <v>5055</v>
      </c>
    </row>
    <row r="437" spans="1:3" hidden="1" x14ac:dyDescent="0.25">
      <c r="A437" s="5637" t="s">
        <v>5056</v>
      </c>
      <c r="B437" s="3032">
        <f>SUM(D11:D14,D18:E31,D36:D51,D55:D59,D63:D83,C86,D89,D95:F98,D103:F106,D112:F114,D119:F128,D133:F141,D146:F150,D154:F163,D167:F176,D180:F187,D193:F241,D245:F293,D298:F301,D306:F324,D329:F339,D344:F346,C351:E352,D357:F366,C372:E373,C375:E376,C378:E382,C384:E389,C394:C404,C409:C411)</f>
        <v>0</v>
      </c>
      <c r="C437" s="3033" t="e">
        <f>SUM(CP11:CZ411)</f>
        <v>#VALUE!</v>
      </c>
    </row>
    <row r="438" spans="1:3" x14ac:dyDescent="0.25">
      <c r="A438" s="5637" t="s">
        <v>5057</v>
      </c>
    </row>
    <row r="439" spans="1:3" x14ac:dyDescent="0.25">
      <c r="A439" s="5637" t="s">
        <v>5100</v>
      </c>
    </row>
    <row r="440" spans="1:3" x14ac:dyDescent="0.25">
      <c r="A440" s="5637" t="s">
        <v>5101</v>
      </c>
    </row>
    <row r="441" spans="1:3" x14ac:dyDescent="0.25">
      <c r="A441" s="5637" t="s">
        <v>5102</v>
      </c>
    </row>
    <row r="442" spans="1:3" x14ac:dyDescent="0.25">
      <c r="A442" s="5637" t="s">
        <v>5103</v>
      </c>
    </row>
    <row r="443" spans="1:3" x14ac:dyDescent="0.25">
      <c r="A443" s="5637" t="s">
        <v>5104</v>
      </c>
    </row>
    <row r="444" spans="1:3" x14ac:dyDescent="0.25">
      <c r="A444" s="5637" t="s">
        <v>5105</v>
      </c>
    </row>
    <row r="445" spans="1:3" x14ac:dyDescent="0.25">
      <c r="A445" s="5637" t="s">
        <v>5200</v>
      </c>
    </row>
    <row r="446" spans="1:3" x14ac:dyDescent="0.25">
      <c r="A446" s="5637" t="s">
        <v>5201</v>
      </c>
    </row>
    <row r="447" spans="1:3" x14ac:dyDescent="0.25">
      <c r="A447" s="5637" t="s">
        <v>5202</v>
      </c>
    </row>
    <row r="448" spans="1:3" x14ac:dyDescent="0.25">
      <c r="A448" s="5637" t="s">
        <v>5203</v>
      </c>
    </row>
    <row r="449" spans="1:1" x14ac:dyDescent="0.25">
      <c r="A449" s="5637" t="s">
        <v>5204</v>
      </c>
    </row>
    <row r="450" spans="1:1" x14ac:dyDescent="0.25">
      <c r="A450" s="5637" t="s">
        <v>5205</v>
      </c>
    </row>
    <row r="451" spans="1:1" x14ac:dyDescent="0.25">
      <c r="A451" s="5637" t="s">
        <v>5206</v>
      </c>
    </row>
    <row r="452" spans="1:1" x14ac:dyDescent="0.25">
      <c r="A452" s="5637" t="s">
        <v>5207</v>
      </c>
    </row>
    <row r="453" spans="1:1" x14ac:dyDescent="0.25">
      <c r="A453" s="5637" t="s">
        <v>5208</v>
      </c>
    </row>
    <row r="454" spans="1:1" x14ac:dyDescent="0.25">
      <c r="A454" s="5637" t="s">
        <v>5209</v>
      </c>
    </row>
    <row r="455" spans="1:1" x14ac:dyDescent="0.25">
      <c r="A455" s="5637" t="s">
        <v>5210</v>
      </c>
    </row>
    <row r="456" spans="1:1" x14ac:dyDescent="0.25">
      <c r="A456" s="5637" t="s">
        <v>5211</v>
      </c>
    </row>
    <row r="457" spans="1:1" x14ac:dyDescent="0.25">
      <c r="A457" s="5637" t="s">
        <v>5212</v>
      </c>
    </row>
    <row r="458" spans="1:1" x14ac:dyDescent="0.25">
      <c r="A458" s="5637" t="s">
        <v>5213</v>
      </c>
    </row>
    <row r="459" spans="1:1" x14ac:dyDescent="0.25">
      <c r="A459" s="5637" t="s">
        <v>5214</v>
      </c>
    </row>
    <row r="460" spans="1:1" x14ac:dyDescent="0.25">
      <c r="A460" s="5637" t="s">
        <v>5215</v>
      </c>
    </row>
    <row r="461" spans="1:1" x14ac:dyDescent="0.25">
      <c r="A461" s="5637" t="s">
        <v>5216</v>
      </c>
    </row>
    <row r="462" spans="1:1" x14ac:dyDescent="0.25">
      <c r="A462" s="5637" t="s">
        <v>5217</v>
      </c>
    </row>
    <row r="463" spans="1:1" x14ac:dyDescent="0.25">
      <c r="A463" s="5637" t="s">
        <v>5218</v>
      </c>
    </row>
    <row r="464" spans="1:1" x14ac:dyDescent="0.25">
      <c r="A464" s="5637" t="s">
        <v>5219</v>
      </c>
    </row>
    <row r="465" spans="1:1" x14ac:dyDescent="0.25">
      <c r="A465" s="5637" t="s">
        <v>5220</v>
      </c>
    </row>
    <row r="466" spans="1:1" x14ac:dyDescent="0.25">
      <c r="A466" s="5637" t="s">
        <v>5221</v>
      </c>
    </row>
  </sheetData>
  <mergeCells count="583">
    <mergeCell ref="G101:H101"/>
    <mergeCell ref="I101:J101"/>
    <mergeCell ref="K101:L101"/>
    <mergeCell ref="G100:R100"/>
    <mergeCell ref="AK93:AL93"/>
    <mergeCell ref="AM93:AN93"/>
    <mergeCell ref="AO93:AP93"/>
    <mergeCell ref="B98:C98"/>
    <mergeCell ref="AE91:AU91"/>
    <mergeCell ref="S93:T93"/>
    <mergeCell ref="U93:V93"/>
    <mergeCell ref="W93:X93"/>
    <mergeCell ref="Y93:Z93"/>
    <mergeCell ref="AA93:AB93"/>
    <mergeCell ref="AE93:AF93"/>
    <mergeCell ref="AG93:AH93"/>
    <mergeCell ref="AV91:AV94"/>
    <mergeCell ref="B95:C95"/>
    <mergeCell ref="B96:C96"/>
    <mergeCell ref="B97:C97"/>
    <mergeCell ref="D91:F93"/>
    <mergeCell ref="G91:AD91"/>
    <mergeCell ref="AC93:AD93"/>
    <mergeCell ref="AW91:AW94"/>
    <mergeCell ref="AX91:AX94"/>
    <mergeCell ref="G92:R92"/>
    <mergeCell ref="S92:X92"/>
    <mergeCell ref="Y92:AD92"/>
    <mergeCell ref="AE92:AP92"/>
    <mergeCell ref="AQ92:AQ94"/>
    <mergeCell ref="AR92:AR94"/>
    <mergeCell ref="AS92:AS94"/>
    <mergeCell ref="AT92:AT94"/>
    <mergeCell ref="AU92:AU94"/>
    <mergeCell ref="G93:H93"/>
    <mergeCell ref="I93:J93"/>
    <mergeCell ref="K93:L93"/>
    <mergeCell ref="M93:N93"/>
    <mergeCell ref="O93:P93"/>
    <mergeCell ref="Q93:R93"/>
    <mergeCell ref="B344:C344"/>
    <mergeCell ref="B345:C345"/>
    <mergeCell ref="B346:C346"/>
    <mergeCell ref="N349:O349"/>
    <mergeCell ref="Q348:Q350"/>
    <mergeCell ref="B348:B350"/>
    <mergeCell ref="C348:E349"/>
    <mergeCell ref="F348:N348"/>
    <mergeCell ref="T348:T350"/>
    <mergeCell ref="F349:G349"/>
    <mergeCell ref="H349:I349"/>
    <mergeCell ref="J349:K349"/>
    <mergeCell ref="L349:M349"/>
    <mergeCell ref="R348:R350"/>
    <mergeCell ref="P348:P350"/>
    <mergeCell ref="S348:S350"/>
    <mergeCell ref="B357:B359"/>
    <mergeCell ref="B360:B362"/>
    <mergeCell ref="B363:B366"/>
    <mergeCell ref="AC355:AD355"/>
    <mergeCell ref="AK355:AK356"/>
    <mergeCell ref="AL355:AL356"/>
    <mergeCell ref="B354:B356"/>
    <mergeCell ref="C354:C356"/>
    <mergeCell ref="D354:F355"/>
    <mergeCell ref="G355:H355"/>
    <mergeCell ref="I355:J355"/>
    <mergeCell ref="K355:L355"/>
    <mergeCell ref="M355:N355"/>
    <mergeCell ref="O355:P355"/>
    <mergeCell ref="Q355:R355"/>
    <mergeCell ref="S355:T355"/>
    <mergeCell ref="G354:AH354"/>
    <mergeCell ref="AI354:AI356"/>
    <mergeCell ref="U355:V355"/>
    <mergeCell ref="W355:X355"/>
    <mergeCell ref="Y355:Z355"/>
    <mergeCell ref="AA355:AB355"/>
    <mergeCell ref="AE355:AF355"/>
    <mergeCell ref="AG355:AH355"/>
    <mergeCell ref="AI341:AJ342"/>
    <mergeCell ref="AK341:AK343"/>
    <mergeCell ref="AL341:AL343"/>
    <mergeCell ref="G342:H342"/>
    <mergeCell ref="I342:J342"/>
    <mergeCell ref="K342:L342"/>
    <mergeCell ref="M342:N342"/>
    <mergeCell ref="O342:P342"/>
    <mergeCell ref="Q342:R342"/>
    <mergeCell ref="S342:T342"/>
    <mergeCell ref="B333:C333"/>
    <mergeCell ref="B334:C334"/>
    <mergeCell ref="B335:B339"/>
    <mergeCell ref="B341:C343"/>
    <mergeCell ref="D341:F342"/>
    <mergeCell ref="G341:AH341"/>
    <mergeCell ref="U342:V342"/>
    <mergeCell ref="W342:X342"/>
    <mergeCell ref="Y342:Z342"/>
    <mergeCell ref="AA342:AB342"/>
    <mergeCell ref="AC342:AD342"/>
    <mergeCell ref="AE342:AF342"/>
    <mergeCell ref="AG342:AH342"/>
    <mergeCell ref="AS326:AT327"/>
    <mergeCell ref="S327:T327"/>
    <mergeCell ref="U327:V327"/>
    <mergeCell ref="W327:X327"/>
    <mergeCell ref="Y327:Z327"/>
    <mergeCell ref="AU326:AU328"/>
    <mergeCell ref="B329:B330"/>
    <mergeCell ref="B331:C331"/>
    <mergeCell ref="B332:C332"/>
    <mergeCell ref="AA327:AB327"/>
    <mergeCell ref="AC327:AD327"/>
    <mergeCell ref="AE327:AF327"/>
    <mergeCell ref="AG327:AH327"/>
    <mergeCell ref="AI327:AJ327"/>
    <mergeCell ref="AK327:AL327"/>
    <mergeCell ref="B326:C328"/>
    <mergeCell ref="D326:F327"/>
    <mergeCell ref="G327:H327"/>
    <mergeCell ref="I327:J327"/>
    <mergeCell ref="K327:L327"/>
    <mergeCell ref="M327:N327"/>
    <mergeCell ref="O327:P327"/>
    <mergeCell ref="Q327:R327"/>
    <mergeCell ref="AM327:AN327"/>
    <mergeCell ref="B306:C306"/>
    <mergeCell ref="Y304:Z304"/>
    <mergeCell ref="AA304:AB304"/>
    <mergeCell ref="AC304:AD304"/>
    <mergeCell ref="AE304:AF304"/>
    <mergeCell ref="AG304:AH304"/>
    <mergeCell ref="AI304:AJ304"/>
    <mergeCell ref="B307:B315"/>
    <mergeCell ref="B316:B324"/>
    <mergeCell ref="B298:B299"/>
    <mergeCell ref="B300:B301"/>
    <mergeCell ref="B303:C305"/>
    <mergeCell ref="D303:F304"/>
    <mergeCell ref="G303:AN303"/>
    <mergeCell ref="AO303:AQ303"/>
    <mergeCell ref="Q304:R304"/>
    <mergeCell ref="S304:T304"/>
    <mergeCell ref="U304:V304"/>
    <mergeCell ref="W304:X304"/>
    <mergeCell ref="G304:H304"/>
    <mergeCell ref="I304:J304"/>
    <mergeCell ref="K304:L304"/>
    <mergeCell ref="M304:N304"/>
    <mergeCell ref="O304:P304"/>
    <mergeCell ref="AK304:AL304"/>
    <mergeCell ref="AM304:AN304"/>
    <mergeCell ref="AO304:AO305"/>
    <mergeCell ref="AP304:AP305"/>
    <mergeCell ref="AQ304:AQ305"/>
    <mergeCell ref="D295:F296"/>
    <mergeCell ref="G295:AL295"/>
    <mergeCell ref="AM295:AM297"/>
    <mergeCell ref="AN295:AN297"/>
    <mergeCell ref="AO295:AO297"/>
    <mergeCell ref="AP295:AP297"/>
    <mergeCell ref="G296:H296"/>
    <mergeCell ref="I296:J296"/>
    <mergeCell ref="K296:L296"/>
    <mergeCell ref="M296:N296"/>
    <mergeCell ref="AA296:AB296"/>
    <mergeCell ref="AC296:AD296"/>
    <mergeCell ref="AE296:AF296"/>
    <mergeCell ref="AG296:AH296"/>
    <mergeCell ref="AI296:AJ296"/>
    <mergeCell ref="AK296:AL296"/>
    <mergeCell ref="O296:P296"/>
    <mergeCell ref="Q296:R296"/>
    <mergeCell ref="S296:T296"/>
    <mergeCell ref="U296:V296"/>
    <mergeCell ref="W296:X296"/>
    <mergeCell ref="Y296:Z296"/>
    <mergeCell ref="B285:C285"/>
    <mergeCell ref="B286:C286"/>
    <mergeCell ref="B287:B291"/>
    <mergeCell ref="B292:C292"/>
    <mergeCell ref="B293:C293"/>
    <mergeCell ref="B295:B297"/>
    <mergeCell ref="C295:C297"/>
    <mergeCell ref="B270:B273"/>
    <mergeCell ref="B274:B278"/>
    <mergeCell ref="B279:B281"/>
    <mergeCell ref="B282:C282"/>
    <mergeCell ref="B283:C283"/>
    <mergeCell ref="B284:C284"/>
    <mergeCell ref="B246:C246"/>
    <mergeCell ref="B251:B252"/>
    <mergeCell ref="B253:C253"/>
    <mergeCell ref="B254:B255"/>
    <mergeCell ref="B257:B264"/>
    <mergeCell ref="B265:B269"/>
    <mergeCell ref="AT243:AU243"/>
    <mergeCell ref="AV243:AV244"/>
    <mergeCell ref="AW243:AW244"/>
    <mergeCell ref="B245:C245"/>
    <mergeCell ref="AI243:AJ243"/>
    <mergeCell ref="AK243:AL243"/>
    <mergeCell ref="AM243:AN243"/>
    <mergeCell ref="AO243:AQ243"/>
    <mergeCell ref="AR243:AR244"/>
    <mergeCell ref="AS243:AS244"/>
    <mergeCell ref="W243:X243"/>
    <mergeCell ref="Y243:Z243"/>
    <mergeCell ref="AA243:AB243"/>
    <mergeCell ref="AC243:AD243"/>
    <mergeCell ref="AE243:AF243"/>
    <mergeCell ref="AG243:AH243"/>
    <mergeCell ref="K243:L243"/>
    <mergeCell ref="M243:N243"/>
    <mergeCell ref="O243:P243"/>
    <mergeCell ref="Q243:R243"/>
    <mergeCell ref="S243:T243"/>
    <mergeCell ref="U243:V243"/>
    <mergeCell ref="B240:C240"/>
    <mergeCell ref="B241:C241"/>
    <mergeCell ref="B243:C244"/>
    <mergeCell ref="D243:F243"/>
    <mergeCell ref="G243:H243"/>
    <mergeCell ref="I243:J243"/>
    <mergeCell ref="B230:C230"/>
    <mergeCell ref="B231:C231"/>
    <mergeCell ref="B232:C232"/>
    <mergeCell ref="B233:C233"/>
    <mergeCell ref="B234:C234"/>
    <mergeCell ref="B235:B239"/>
    <mergeCell ref="B202:B203"/>
    <mergeCell ref="B205:B212"/>
    <mergeCell ref="B213:B217"/>
    <mergeCell ref="B218:B221"/>
    <mergeCell ref="B222:B226"/>
    <mergeCell ref="B227:B229"/>
    <mergeCell ref="AU191:AV191"/>
    <mergeCell ref="AW191:AX191"/>
    <mergeCell ref="B193:C193"/>
    <mergeCell ref="B194:C194"/>
    <mergeCell ref="B199:B200"/>
    <mergeCell ref="B201:C201"/>
    <mergeCell ref="AM191:AN191"/>
    <mergeCell ref="AO191:AO192"/>
    <mergeCell ref="AP191:AP192"/>
    <mergeCell ref="AQ191:AR191"/>
    <mergeCell ref="AS191:AS192"/>
    <mergeCell ref="AT191:AT192"/>
    <mergeCell ref="AA191:AB191"/>
    <mergeCell ref="AC191:AD191"/>
    <mergeCell ref="AE191:AF191"/>
    <mergeCell ref="AG191:AH191"/>
    <mergeCell ref="AI191:AJ191"/>
    <mergeCell ref="AK191:AL191"/>
    <mergeCell ref="B197:B198"/>
    <mergeCell ref="B195:B196"/>
    <mergeCell ref="B191:C192"/>
    <mergeCell ref="D191:F191"/>
    <mergeCell ref="G191:H191"/>
    <mergeCell ref="I191:J191"/>
    <mergeCell ref="K191:L191"/>
    <mergeCell ref="M191:N191"/>
    <mergeCell ref="D178:F178"/>
    <mergeCell ref="G178:H178"/>
    <mergeCell ref="I178:J178"/>
    <mergeCell ref="K178:L178"/>
    <mergeCell ref="M178:N178"/>
    <mergeCell ref="B171:B174"/>
    <mergeCell ref="B175:C175"/>
    <mergeCell ref="B176:C176"/>
    <mergeCell ref="B178:C179"/>
    <mergeCell ref="K165:L165"/>
    <mergeCell ref="M165:N165"/>
    <mergeCell ref="B180:B183"/>
    <mergeCell ref="B184:B187"/>
    <mergeCell ref="O165:Q165"/>
    <mergeCell ref="B158:B161"/>
    <mergeCell ref="B162:C162"/>
    <mergeCell ref="B163:C163"/>
    <mergeCell ref="B165:C166"/>
    <mergeCell ref="D165:F165"/>
    <mergeCell ref="G165:H165"/>
    <mergeCell ref="B167:B169"/>
    <mergeCell ref="B170:C170"/>
    <mergeCell ref="B154:B156"/>
    <mergeCell ref="B157:C157"/>
    <mergeCell ref="B148:B149"/>
    <mergeCell ref="B150:C150"/>
    <mergeCell ref="B152:C153"/>
    <mergeCell ref="D152:F152"/>
    <mergeCell ref="G152:H152"/>
    <mergeCell ref="I152:J152"/>
    <mergeCell ref="I165:J165"/>
    <mergeCell ref="B146:C146"/>
    <mergeCell ref="B147:C147"/>
    <mergeCell ref="AA144:AB144"/>
    <mergeCell ref="AC144:AD144"/>
    <mergeCell ref="AE144:AF144"/>
    <mergeCell ref="AG144:AH144"/>
    <mergeCell ref="AI144:AJ144"/>
    <mergeCell ref="AK144:AL144"/>
    <mergeCell ref="K152:L152"/>
    <mergeCell ref="M152:N152"/>
    <mergeCell ref="O152:O153"/>
    <mergeCell ref="P152:P153"/>
    <mergeCell ref="B133:C133"/>
    <mergeCell ref="B134:B141"/>
    <mergeCell ref="B143:C145"/>
    <mergeCell ref="D143:F144"/>
    <mergeCell ref="G143:AN143"/>
    <mergeCell ref="U144:V144"/>
    <mergeCell ref="W144:X144"/>
    <mergeCell ref="Y144:Z144"/>
    <mergeCell ref="AA131:AB131"/>
    <mergeCell ref="AC131:AD131"/>
    <mergeCell ref="AE131:AF131"/>
    <mergeCell ref="AG131:AH131"/>
    <mergeCell ref="AI131:AI132"/>
    <mergeCell ref="AJ131:AJ132"/>
    <mergeCell ref="G144:H144"/>
    <mergeCell ref="I144:J144"/>
    <mergeCell ref="K144:L144"/>
    <mergeCell ref="M144:N144"/>
    <mergeCell ref="O144:P144"/>
    <mergeCell ref="Q144:R144"/>
    <mergeCell ref="S144:T144"/>
    <mergeCell ref="AM144:AN144"/>
    <mergeCell ref="AN130:AN132"/>
    <mergeCell ref="B119:C119"/>
    <mergeCell ref="B120:B127"/>
    <mergeCell ref="B128:C128"/>
    <mergeCell ref="B130:C132"/>
    <mergeCell ref="D130:F131"/>
    <mergeCell ref="G130:AH130"/>
    <mergeCell ref="U131:V131"/>
    <mergeCell ref="W131:X131"/>
    <mergeCell ref="Y131:Z131"/>
    <mergeCell ref="G131:H131"/>
    <mergeCell ref="I131:J131"/>
    <mergeCell ref="K131:L131"/>
    <mergeCell ref="M131:N131"/>
    <mergeCell ref="O131:P131"/>
    <mergeCell ref="Q131:R131"/>
    <mergeCell ref="S131:T131"/>
    <mergeCell ref="D116:F117"/>
    <mergeCell ref="B108:C110"/>
    <mergeCell ref="D108:F109"/>
    <mergeCell ref="G116:AH116"/>
    <mergeCell ref="AI116:AI118"/>
    <mergeCell ref="G117:H117"/>
    <mergeCell ref="I117:J117"/>
    <mergeCell ref="K117:L117"/>
    <mergeCell ref="M117:N117"/>
    <mergeCell ref="O117:P117"/>
    <mergeCell ref="Q117:R117"/>
    <mergeCell ref="S117:T117"/>
    <mergeCell ref="AG117:AH117"/>
    <mergeCell ref="U117:V117"/>
    <mergeCell ref="W117:X117"/>
    <mergeCell ref="Y117:Z117"/>
    <mergeCell ref="AA117:AB117"/>
    <mergeCell ref="AC117:AD117"/>
    <mergeCell ref="AE117:AF117"/>
    <mergeCell ref="G108:N108"/>
    <mergeCell ref="B111:C111"/>
    <mergeCell ref="G109:H109"/>
    <mergeCell ref="I109:J109"/>
    <mergeCell ref="K109:L109"/>
    <mergeCell ref="B113:C113"/>
    <mergeCell ref="B114:C114"/>
    <mergeCell ref="B116:C118"/>
    <mergeCell ref="B47:B48"/>
    <mergeCell ref="B50:C50"/>
    <mergeCell ref="B51:C51"/>
    <mergeCell ref="B49:C49"/>
    <mergeCell ref="B83:C83"/>
    <mergeCell ref="B81:B82"/>
    <mergeCell ref="B91:C94"/>
    <mergeCell ref="R61:R62"/>
    <mergeCell ref="B88:C88"/>
    <mergeCell ref="B89:C89"/>
    <mergeCell ref="D100:F101"/>
    <mergeCell ref="B100:C102"/>
    <mergeCell ref="AJ116:AJ118"/>
    <mergeCell ref="AI130:AL130"/>
    <mergeCell ref="AM130:AM132"/>
    <mergeCell ref="AK131:AK132"/>
    <mergeCell ref="AL131:AL132"/>
    <mergeCell ref="M109:N109"/>
    <mergeCell ref="Y100:AD100"/>
    <mergeCell ref="S100:X100"/>
    <mergeCell ref="B73:B74"/>
    <mergeCell ref="AL100:AL102"/>
    <mergeCell ref="AK100:AK102"/>
    <mergeCell ref="AM100:AM102"/>
    <mergeCell ref="S101:T101"/>
    <mergeCell ref="U101:V101"/>
    <mergeCell ref="B106:C106"/>
    <mergeCell ref="B105:C105"/>
    <mergeCell ref="B104:C104"/>
    <mergeCell ref="B103:C103"/>
    <mergeCell ref="B112:C112"/>
    <mergeCell ref="AS143:AS145"/>
    <mergeCell ref="B6:Q6"/>
    <mergeCell ref="B9:C10"/>
    <mergeCell ref="D9:D10"/>
    <mergeCell ref="P9:P10"/>
    <mergeCell ref="B16:C17"/>
    <mergeCell ref="D16:D17"/>
    <mergeCell ref="E16:E17"/>
    <mergeCell ref="F16:F17"/>
    <mergeCell ref="G16:G17"/>
    <mergeCell ref="E9:O9"/>
    <mergeCell ref="Q9:Q10"/>
    <mergeCell ref="D61:D62"/>
    <mergeCell ref="E61:Q61"/>
    <mergeCell ref="Q101:R101"/>
    <mergeCell ref="O101:P101"/>
    <mergeCell ref="M101:N101"/>
    <mergeCell ref="W101:X101"/>
    <mergeCell ref="Y101:Z101"/>
    <mergeCell ref="AA101:AB101"/>
    <mergeCell ref="AC101:AD101"/>
    <mergeCell ref="AE101:AH101"/>
    <mergeCell ref="AI101:AJ101"/>
    <mergeCell ref="AE100:AJ100"/>
    <mergeCell ref="AY191:AY192"/>
    <mergeCell ref="U348:V349"/>
    <mergeCell ref="R165:R166"/>
    <mergeCell ref="S165:S166"/>
    <mergeCell ref="O191:P191"/>
    <mergeCell ref="Q191:R191"/>
    <mergeCell ref="S191:T191"/>
    <mergeCell ref="U191:V191"/>
    <mergeCell ref="W191:X191"/>
    <mergeCell ref="Y191:Z191"/>
    <mergeCell ref="Q178:Q179"/>
    <mergeCell ref="R178:R179"/>
    <mergeCell ref="O178:P178"/>
    <mergeCell ref="AX243:AX244"/>
    <mergeCell ref="AY243:AY244"/>
    <mergeCell ref="AR303:AS304"/>
    <mergeCell ref="AT303:AT305"/>
    <mergeCell ref="AU303:AU305"/>
    <mergeCell ref="AV303:AV305"/>
    <mergeCell ref="AW303:AW305"/>
    <mergeCell ref="AV326:AV328"/>
    <mergeCell ref="AW326:AW328"/>
    <mergeCell ref="AX326:AX328"/>
    <mergeCell ref="G326:AR326"/>
    <mergeCell ref="B36:C36"/>
    <mergeCell ref="B37:C37"/>
    <mergeCell ref="B57:B58"/>
    <mergeCell ref="B59:C59"/>
    <mergeCell ref="B61:C62"/>
    <mergeCell ref="B63:C63"/>
    <mergeCell ref="B64:C64"/>
    <mergeCell ref="B65:C65"/>
    <mergeCell ref="B66:B72"/>
    <mergeCell ref="R9:R10"/>
    <mergeCell ref="B11:C11"/>
    <mergeCell ref="B12:C12"/>
    <mergeCell ref="B13:C13"/>
    <mergeCell ref="B14:C14"/>
    <mergeCell ref="B25:C25"/>
    <mergeCell ref="B18:C18"/>
    <mergeCell ref="B31:C31"/>
    <mergeCell ref="B33:C34"/>
    <mergeCell ref="D33:D34"/>
    <mergeCell ref="E33:Q33"/>
    <mergeCell ref="R33:R34"/>
    <mergeCell ref="B19:C19"/>
    <mergeCell ref="B20:C20"/>
    <mergeCell ref="B21:C21"/>
    <mergeCell ref="B22:C22"/>
    <mergeCell ref="B23:C23"/>
    <mergeCell ref="B24:C24"/>
    <mergeCell ref="B26:C26"/>
    <mergeCell ref="B27:C27"/>
    <mergeCell ref="B28:C28"/>
    <mergeCell ref="B29:C29"/>
    <mergeCell ref="B30:C30"/>
    <mergeCell ref="AO143:AQ143"/>
    <mergeCell ref="AO327:AP327"/>
    <mergeCell ref="AQ327:AR327"/>
    <mergeCell ref="AR143:AR145"/>
    <mergeCell ref="AM355:AM356"/>
    <mergeCell ref="S9:S10"/>
    <mergeCell ref="T9:U9"/>
    <mergeCell ref="V9:V10"/>
    <mergeCell ref="S53:S54"/>
    <mergeCell ref="W9:W10"/>
    <mergeCell ref="S33:S34"/>
    <mergeCell ref="T33:T34"/>
    <mergeCell ref="W33:W34"/>
    <mergeCell ref="AO144:AO145"/>
    <mergeCell ref="S61:S62"/>
    <mergeCell ref="AP144:AP145"/>
    <mergeCell ref="AQ144:AQ145"/>
    <mergeCell ref="AN354:AN356"/>
    <mergeCell ref="AJ354:AJ356"/>
    <mergeCell ref="AK354:AM354"/>
    <mergeCell ref="X9:Y9"/>
    <mergeCell ref="U33:V33"/>
    <mergeCell ref="T53:U53"/>
    <mergeCell ref="AI93:AJ93"/>
    <mergeCell ref="X33:X34"/>
    <mergeCell ref="Y33:AA33"/>
    <mergeCell ref="AB33:AB34"/>
    <mergeCell ref="V53:X53"/>
    <mergeCell ref="Y53:Y54"/>
    <mergeCell ref="B247:B248"/>
    <mergeCell ref="B249:B250"/>
    <mergeCell ref="B368:B370"/>
    <mergeCell ref="C368:E369"/>
    <mergeCell ref="F368:AM368"/>
    <mergeCell ref="AJ369:AK369"/>
    <mergeCell ref="AL369:AM369"/>
    <mergeCell ref="E53:Q53"/>
    <mergeCell ref="R53:R54"/>
    <mergeCell ref="B38:B44"/>
    <mergeCell ref="B45:B46"/>
    <mergeCell ref="B53:C54"/>
    <mergeCell ref="D53:D54"/>
    <mergeCell ref="B79:B80"/>
    <mergeCell ref="B78:C78"/>
    <mergeCell ref="B77:C77"/>
    <mergeCell ref="B75:B76"/>
    <mergeCell ref="B55:B56"/>
    <mergeCell ref="B35:C35"/>
    <mergeCell ref="AS368:AS370"/>
    <mergeCell ref="AT368:AT370"/>
    <mergeCell ref="F369:G369"/>
    <mergeCell ref="H369:I369"/>
    <mergeCell ref="J369:K369"/>
    <mergeCell ref="L369:M369"/>
    <mergeCell ref="N369:O369"/>
    <mergeCell ref="P369:Q369"/>
    <mergeCell ref="R369:S369"/>
    <mergeCell ref="T369:U369"/>
    <mergeCell ref="V369:W369"/>
    <mergeCell ref="X369:Y369"/>
    <mergeCell ref="Z369:AA369"/>
    <mergeCell ref="AB369:AC369"/>
    <mergeCell ref="AD369:AE369"/>
    <mergeCell ref="AF369:AG369"/>
    <mergeCell ref="AH369:AI369"/>
    <mergeCell ref="AN368:AQ368"/>
    <mergeCell ref="AR368:AR370"/>
    <mergeCell ref="AN369:AN370"/>
    <mergeCell ref="AO369:AO370"/>
    <mergeCell ref="AP369:AP370"/>
    <mergeCell ref="AQ369:AQ370"/>
    <mergeCell ref="B390:M390"/>
    <mergeCell ref="L391:L393"/>
    <mergeCell ref="M391:M393"/>
    <mergeCell ref="F406:F408"/>
    <mergeCell ref="G406:G408"/>
    <mergeCell ref="B391:B393"/>
    <mergeCell ref="C391:C393"/>
    <mergeCell ref="D391:I391"/>
    <mergeCell ref="J391:K391"/>
    <mergeCell ref="D392:F392"/>
    <mergeCell ref="G392:I392"/>
    <mergeCell ref="J392:J393"/>
    <mergeCell ref="K392:K393"/>
    <mergeCell ref="B406:B408"/>
    <mergeCell ref="C406:C408"/>
    <mergeCell ref="D406:E406"/>
    <mergeCell ref="D407:D408"/>
    <mergeCell ref="E407:E408"/>
    <mergeCell ref="N391:S391"/>
    <mergeCell ref="T391:V391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V392:V393"/>
  </mergeCells>
  <dataValidations count="12">
    <dataValidation type="whole" operator="greaterThanOrEqual" allowBlank="1" showInputMessage="1" showErrorMessage="1" sqref="G344:AL346 G245:AY245 G357:AN366 E11:Y14 E55:Y59 G133:AN141 G111:N114 E89:F89 G146:AS150 G154:P156 G119:AJ128 C86:E86 G158:P161 G298:AP301 G193:AY193 D18:G31 G171:S174 E52:V52 G167:S169 G103:AM106 G247:AY293" xr:uid="{00000000-0002-0000-0500-000001000000}">
      <formula1>0</formula1>
    </dataValidation>
    <dataValidation type="whole" allowBlank="1" showInputMessage="1" showErrorMessage="1" sqref="F351:V352" xr:uid="{F6068E7C-D587-4C3D-AFD1-26416CD57BA4}">
      <formula1>0</formula1>
      <formula2>9.99999999999999E+35</formula2>
    </dataValidation>
    <dataValidation type="whole" allowBlank="1" showInputMessage="1" showErrorMessage="1" sqref="G307:AW324 G180:R182 G184:R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B33:AB34 Y33 Y53:Y54 V53" xr:uid="{BE44FCD2-44C5-4543-B1CE-07511789F317}"/>
    <dataValidation type="whole" operator="greaterThanOrEqual" allowBlank="1" showInputMessage="1" showErrorMessage="1" error="Valor no Permitido" sqref="D399:V399 C384:AT389 C372:AT373 C375:AT376 C378:AT382 L395:V395 C395:C402 D395:J395 C409:C411" xr:uid="{CDE80A49-DFE6-4D3E-B80B-BD1C9F79C663}">
      <formula1>0</formula1>
    </dataValidation>
    <dataValidation type="whole" operator="equal" allowBlank="1" showInputMessage="1" showErrorMessage="1" sqref="D246:AY246 E208 E329 D194:AY194 O37" xr:uid="{8D616405-5CBD-405D-AA06-769AC393917F}">
      <formula1>0</formula1>
    </dataValidation>
    <dataValidation type="whole" operator="equal" allowBlank="1" showInputMessage="1" showErrorMessage="1" error="Valor no Permitido" sqref="C371:AT371 C374:AT374 C377:AT377 C383:AT383 K395" xr:uid="{B60E6065-56B9-4A1A-9866-747E983EC01A}">
      <formula1>0</formula1>
    </dataValidation>
    <dataValidation type="whole" allowBlank="1" showInputMessage="1" showErrorMessage="1" sqref="E36:N51 P36:AB51 O36 O38:O51" xr:uid="{DBB21B34-D4C2-45F9-80C8-8233DB6DF892}">
      <formula1>0</formula1>
      <formula2>9.99999999999999E+32</formula2>
    </dataValidation>
    <dataValidation type="whole" allowBlank="1" showInputMessage="1" showErrorMessage="1" sqref="E64:S83" xr:uid="{6A839F51-C2D2-4321-89DB-96F1913E2EC2}">
      <formula1>0</formula1>
      <formula2>9.99999999999999E+28</formula2>
    </dataValidation>
    <dataValidation type="whole" allowBlank="1" showInputMessage="1" showErrorMessage="1" sqref="G95:AX98" xr:uid="{C05902A4-5E6B-4B10-88DB-5E0708EE5F8F}">
      <formula1>0</formula1>
      <formula2>9.99999999999999E+39</formula2>
    </dataValidation>
    <dataValidation type="whole" allowBlank="1" showInputMessage="1" showErrorMessage="1" sqref="G195:AY241 G329:AX339" xr:uid="{A27D7D4E-70AF-4216-A49A-12DB3BF43390}">
      <formula1>0</formula1>
      <formula2>9.99999999999999E+37</formula2>
    </dataValidation>
    <dataValidation type="whole" allowBlank="1" showInputMessage="1" showErrorMessage="1" sqref="D394:V394 D396:V398 D400:V404 D409:G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T205"/>
  <sheetViews>
    <sheetView showGridLines="0" workbookViewId="0"/>
  </sheetViews>
  <sheetFormatPr baseColWidth="10" defaultColWidth="11.42578125" defaultRowHeight="15" x14ac:dyDescent="0.25"/>
  <cols>
    <col min="1" max="1" width="17.28515625" customWidth="1"/>
    <col min="2" max="2" width="48.140625" customWidth="1"/>
    <col min="3" max="3" width="32.140625" customWidth="1"/>
    <col min="4" max="5" width="18.85546875" customWidth="1"/>
    <col min="6" max="6" width="17.140625" customWidth="1"/>
    <col min="7" max="7" width="13.85546875" customWidth="1"/>
    <col min="8" max="8" width="14.140625" customWidth="1"/>
    <col min="9" max="9" width="13.42578125" customWidth="1"/>
    <col min="10" max="10" width="13.28515625" customWidth="1"/>
    <col min="11" max="11" width="12.28515625" customWidth="1"/>
    <col min="12" max="12" width="13.42578125" customWidth="1"/>
    <col min="13" max="14" width="12" customWidth="1"/>
    <col min="19" max="46" width="11.42578125" customWidth="1"/>
    <col min="47" max="47" width="11" customWidth="1"/>
    <col min="48" max="79" width="11.42578125" customWidth="1"/>
    <col min="80" max="92" width="11.42578125" hidden="1" customWidth="1"/>
    <col min="93" max="96" width="12.140625" hidden="1" customWidth="1"/>
    <col min="97" max="97" width="12.28515625" hidden="1" customWidth="1"/>
    <col min="98" max="98" width="11.42578125" hidden="1" customWidth="1"/>
    <col min="99" max="149" width="11.42578125" customWidth="1"/>
  </cols>
  <sheetData>
    <row r="1" spans="1:98" x14ac:dyDescent="0.25">
      <c r="B1" s="50" t="s">
        <v>23</v>
      </c>
    </row>
    <row r="2" spans="1:98" x14ac:dyDescent="0.25">
      <c r="B2" s="50" t="str">
        <f>CONCATENATE("COMUNA: ",NOMBRE!B2, " (",NOMBRE!C2,NOMBRE!D2,NOMBRE!E2,NOMBRE!F2,NOMBRE!G2,")")</f>
        <v>COMUNA:  ()</v>
      </c>
    </row>
    <row r="3" spans="1:98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B4" s="50" t="str">
        <f>CONCATENATE("MES: ",NOMBRE!B6, " (",NOMBRE!C6,NOMBRE!D6,")")</f>
        <v>MES:  ()</v>
      </c>
    </row>
    <row r="5" spans="1:98" x14ac:dyDescent="0.25">
      <c r="B5" s="50" t="str">
        <f>CONCATENATE("AÑO: ",NOMBRE!B7)</f>
        <v>AÑO: 2025</v>
      </c>
    </row>
    <row r="6" spans="1:98" s="88" customFormat="1" ht="18" customHeight="1" x14ac:dyDescent="0.2">
      <c r="B6" s="6087" t="s">
        <v>1028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  <c r="X6" s="608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9"/>
      <c r="AS6" s="9"/>
      <c r="AT6" s="9"/>
      <c r="AU6" s="9"/>
      <c r="AV6" s="9"/>
    </row>
    <row r="8" spans="1:98" s="6" customFormat="1" ht="18" customHeight="1" x14ac:dyDescent="0.2">
      <c r="B8" s="13" t="s">
        <v>1029</v>
      </c>
      <c r="C8" s="1"/>
      <c r="D8" s="1"/>
      <c r="E8" s="1"/>
      <c r="F8" s="1"/>
      <c r="G8" s="1"/>
      <c r="H8" s="1"/>
      <c r="I8" s="1"/>
      <c r="J8" s="1"/>
      <c r="K8" s="1"/>
      <c r="L8" s="14"/>
      <c r="M8" s="1"/>
      <c r="N8" s="1"/>
      <c r="O8" s="1"/>
      <c r="P8" s="8"/>
      <c r="Q8" s="8"/>
      <c r="R8" s="8"/>
      <c r="S8" s="8"/>
      <c r="T8" s="8"/>
      <c r="U8" s="8"/>
      <c r="V8" s="8"/>
      <c r="W8" s="14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5"/>
      <c r="AR8" s="5"/>
      <c r="AS8" s="5"/>
      <c r="AT8" s="5"/>
      <c r="AU8" s="5"/>
      <c r="AV8" s="5"/>
      <c r="AW8" s="4"/>
    </row>
    <row r="9" spans="1:98" ht="15" customHeight="1" x14ac:dyDescent="0.25">
      <c r="B9" s="6444" t="s">
        <v>219</v>
      </c>
      <c r="C9" s="6444" t="s">
        <v>27</v>
      </c>
      <c r="D9" s="6212" t="s">
        <v>452</v>
      </c>
      <c r="E9" s="6510"/>
      <c r="F9" s="6511"/>
      <c r="G9" s="6704" t="s">
        <v>101</v>
      </c>
      <c r="H9" s="6515"/>
      <c r="I9" s="6515"/>
      <c r="J9" s="6515"/>
      <c r="K9" s="6515"/>
      <c r="L9" s="6515"/>
      <c r="M9" s="6515"/>
      <c r="N9" s="6515"/>
      <c r="O9" s="6515"/>
      <c r="P9" s="6515"/>
      <c r="Q9" s="6515"/>
      <c r="R9" s="6515"/>
      <c r="S9" s="6515"/>
      <c r="T9" s="6515"/>
      <c r="U9" s="6515"/>
      <c r="V9" s="6515"/>
      <c r="W9" s="6515"/>
      <c r="X9" s="6515"/>
      <c r="Y9" s="6515"/>
      <c r="Z9" s="6515"/>
      <c r="AA9" s="6515"/>
      <c r="AB9" s="6515"/>
      <c r="AC9" s="6515"/>
      <c r="AD9" s="6515"/>
      <c r="AE9" s="6515"/>
      <c r="AF9" s="6515"/>
      <c r="AG9" s="6515"/>
      <c r="AH9" s="6515"/>
      <c r="AI9" s="6515"/>
      <c r="AJ9" s="6515"/>
      <c r="AK9" s="6515"/>
      <c r="AL9" s="6515"/>
      <c r="AM9" s="6515"/>
      <c r="AN9" s="6455"/>
      <c r="AO9" s="6517" t="s">
        <v>597</v>
      </c>
      <c r="AP9" s="6645" t="s">
        <v>34</v>
      </c>
      <c r="AQ9" s="6645" t="s">
        <v>35</v>
      </c>
      <c r="AR9" s="6511" t="s">
        <v>36</v>
      </c>
      <c r="AS9" s="6492" t="s">
        <v>37</v>
      </c>
      <c r="AT9" s="6511" t="s">
        <v>1030</v>
      </c>
      <c r="AU9" s="6575" t="s">
        <v>1031</v>
      </c>
      <c r="AV9" s="6576"/>
      <c r="AW9" s="6458" t="s">
        <v>1032</v>
      </c>
    </row>
    <row r="10" spans="1:98" x14ac:dyDescent="0.25">
      <c r="B10" s="6350"/>
      <c r="C10" s="6350"/>
      <c r="D10" s="6064"/>
      <c r="E10" s="6150"/>
      <c r="F10" s="6703"/>
      <c r="G10" s="6704" t="s">
        <v>343</v>
      </c>
      <c r="H10" s="6451"/>
      <c r="I10" s="6704" t="s">
        <v>326</v>
      </c>
      <c r="J10" s="6451"/>
      <c r="K10" s="6704" t="s">
        <v>94</v>
      </c>
      <c r="L10" s="6451"/>
      <c r="M10" s="6704" t="s">
        <v>44</v>
      </c>
      <c r="N10" s="6451"/>
      <c r="O10" s="6704" t="s">
        <v>45</v>
      </c>
      <c r="P10" s="6451"/>
      <c r="Q10" s="6705" t="s">
        <v>46</v>
      </c>
      <c r="R10" s="6448"/>
      <c r="S10" s="6705" t="s">
        <v>47</v>
      </c>
      <c r="T10" s="6448"/>
      <c r="U10" s="6705" t="s">
        <v>48</v>
      </c>
      <c r="V10" s="6448"/>
      <c r="W10" s="6705" t="s">
        <v>49</v>
      </c>
      <c r="X10" s="6448"/>
      <c r="Y10" s="6705" t="s">
        <v>50</v>
      </c>
      <c r="Z10" s="6448"/>
      <c r="AA10" s="6705" t="s">
        <v>51</v>
      </c>
      <c r="AB10" s="6448"/>
      <c r="AC10" s="6705" t="s">
        <v>52</v>
      </c>
      <c r="AD10" s="6448"/>
      <c r="AE10" s="6705" t="s">
        <v>53</v>
      </c>
      <c r="AF10" s="6448"/>
      <c r="AG10" s="6705" t="s">
        <v>54</v>
      </c>
      <c r="AH10" s="6448"/>
      <c r="AI10" s="6705" t="s">
        <v>55</v>
      </c>
      <c r="AJ10" s="6448"/>
      <c r="AK10" s="6705" t="s">
        <v>56</v>
      </c>
      <c r="AL10" s="6448"/>
      <c r="AM10" s="6705" t="s">
        <v>57</v>
      </c>
      <c r="AN10" s="6447"/>
      <c r="AO10" s="6034"/>
      <c r="AP10" s="6386"/>
      <c r="AQ10" s="6386"/>
      <c r="AR10" s="6027"/>
      <c r="AS10" s="6105"/>
      <c r="AT10" s="6027"/>
      <c r="AU10" s="6706" t="s">
        <v>462</v>
      </c>
      <c r="AV10" s="6474" t="s">
        <v>463</v>
      </c>
      <c r="AW10" s="6119"/>
    </row>
    <row r="11" spans="1:98" ht="19.5" customHeight="1" x14ac:dyDescent="0.25">
      <c r="B11" s="6040"/>
      <c r="C11" s="6040"/>
      <c r="D11" s="463" t="s">
        <v>79</v>
      </c>
      <c r="E11" s="718" t="s">
        <v>58</v>
      </c>
      <c r="F11" s="90" t="s">
        <v>59</v>
      </c>
      <c r="G11" s="744" t="s">
        <v>58</v>
      </c>
      <c r="H11" s="90" t="s">
        <v>59</v>
      </c>
      <c r="I11" s="744" t="s">
        <v>58</v>
      </c>
      <c r="J11" s="90" t="s">
        <v>59</v>
      </c>
      <c r="K11" s="744" t="s">
        <v>58</v>
      </c>
      <c r="L11" s="90" t="s">
        <v>59</v>
      </c>
      <c r="M11" s="744" t="s">
        <v>58</v>
      </c>
      <c r="N11" s="90" t="s">
        <v>59</v>
      </c>
      <c r="O11" s="744" t="s">
        <v>58</v>
      </c>
      <c r="P11" s="90" t="s">
        <v>59</v>
      </c>
      <c r="Q11" s="744" t="s">
        <v>58</v>
      </c>
      <c r="R11" s="90" t="s">
        <v>59</v>
      </c>
      <c r="S11" s="744" t="s">
        <v>58</v>
      </c>
      <c r="T11" s="90" t="s">
        <v>59</v>
      </c>
      <c r="U11" s="744" t="s">
        <v>58</v>
      </c>
      <c r="V11" s="90" t="s">
        <v>59</v>
      </c>
      <c r="W11" s="744" t="s">
        <v>58</v>
      </c>
      <c r="X11" s="90" t="s">
        <v>59</v>
      </c>
      <c r="Y11" s="744" t="s">
        <v>58</v>
      </c>
      <c r="Z11" s="90" t="s">
        <v>59</v>
      </c>
      <c r="AA11" s="744" t="s">
        <v>58</v>
      </c>
      <c r="AB11" s="90" t="s">
        <v>59</v>
      </c>
      <c r="AC11" s="744" t="s">
        <v>58</v>
      </c>
      <c r="AD11" s="90" t="s">
        <v>59</v>
      </c>
      <c r="AE11" s="744" t="s">
        <v>58</v>
      </c>
      <c r="AF11" s="90" t="s">
        <v>59</v>
      </c>
      <c r="AG11" s="744" t="s">
        <v>58</v>
      </c>
      <c r="AH11" s="90" t="s">
        <v>59</v>
      </c>
      <c r="AI11" s="744" t="s">
        <v>58</v>
      </c>
      <c r="AJ11" s="90" t="s">
        <v>59</v>
      </c>
      <c r="AK11" s="744" t="s">
        <v>58</v>
      </c>
      <c r="AL11" s="90" t="s">
        <v>59</v>
      </c>
      <c r="AM11" s="744" t="s">
        <v>58</v>
      </c>
      <c r="AN11" s="12" t="s">
        <v>59</v>
      </c>
      <c r="AO11" s="6035"/>
      <c r="AP11" s="6086"/>
      <c r="AQ11" s="6086"/>
      <c r="AR11" s="6703"/>
      <c r="AS11" s="6106"/>
      <c r="AT11" s="6703"/>
      <c r="AU11" s="6706"/>
      <c r="AV11" s="6474"/>
      <c r="AW11" s="6024"/>
    </row>
    <row r="12" spans="1:98" ht="15" customHeight="1" x14ac:dyDescent="0.25">
      <c r="A12" s="5602" t="s">
        <v>5238</v>
      </c>
      <c r="B12" s="6453" t="s">
        <v>1033</v>
      </c>
      <c r="C12" s="745" t="s">
        <v>64</v>
      </c>
      <c r="D12" s="733" t="s">
        <v>4567</v>
      </c>
      <c r="E12" s="746" t="s">
        <v>4568</v>
      </c>
      <c r="F12" s="606" t="s">
        <v>4569</v>
      </c>
      <c r="G12" s="747" t="s">
        <v>4570</v>
      </c>
      <c r="H12" s="566" t="s">
        <v>4571</v>
      </c>
      <c r="I12" s="747" t="s">
        <v>4572</v>
      </c>
      <c r="J12" s="566" t="s">
        <v>4573</v>
      </c>
      <c r="K12" s="747" t="s">
        <v>4574</v>
      </c>
      <c r="L12" s="748" t="s">
        <v>4575</v>
      </c>
      <c r="M12" s="747" t="s">
        <v>4576</v>
      </c>
      <c r="N12" s="748" t="s">
        <v>4577</v>
      </c>
      <c r="O12" s="747" t="s">
        <v>4578</v>
      </c>
      <c r="P12" s="748" t="s">
        <v>4579</v>
      </c>
      <c r="Q12" s="747" t="s">
        <v>4580</v>
      </c>
      <c r="R12" s="748" t="s">
        <v>4581</v>
      </c>
      <c r="S12" s="747" t="s">
        <v>4582</v>
      </c>
      <c r="T12" s="748" t="s">
        <v>4583</v>
      </c>
      <c r="U12" s="747" t="s">
        <v>4584</v>
      </c>
      <c r="V12" s="748" t="s">
        <v>4585</v>
      </c>
      <c r="W12" s="747" t="s">
        <v>4586</v>
      </c>
      <c r="X12" s="748" t="s">
        <v>4587</v>
      </c>
      <c r="Y12" s="747" t="s">
        <v>4588</v>
      </c>
      <c r="Z12" s="748" t="s">
        <v>4589</v>
      </c>
      <c r="AA12" s="747" t="s">
        <v>4590</v>
      </c>
      <c r="AB12" s="748" t="s">
        <v>4591</v>
      </c>
      <c r="AC12" s="747" t="s">
        <v>4592</v>
      </c>
      <c r="AD12" s="748" t="s">
        <v>4593</v>
      </c>
      <c r="AE12" s="747" t="s">
        <v>4594</v>
      </c>
      <c r="AF12" s="748" t="s">
        <v>4595</v>
      </c>
      <c r="AG12" s="747" t="s">
        <v>4596</v>
      </c>
      <c r="AH12" s="748" t="s">
        <v>4597</v>
      </c>
      <c r="AI12" s="747" t="s">
        <v>4598</v>
      </c>
      <c r="AJ12" s="748" t="s">
        <v>4599</v>
      </c>
      <c r="AK12" s="747" t="s">
        <v>4600</v>
      </c>
      <c r="AL12" s="748" t="s">
        <v>4601</v>
      </c>
      <c r="AM12" s="749" t="s">
        <v>4602</v>
      </c>
      <c r="AN12" s="736" t="s">
        <v>4603</v>
      </c>
      <c r="AO12" s="735" t="s">
        <v>4604</v>
      </c>
      <c r="AP12" s="750" t="s">
        <v>4605</v>
      </c>
      <c r="AQ12" s="750" t="s">
        <v>4606</v>
      </c>
      <c r="AR12" s="566" t="s">
        <v>4934</v>
      </c>
      <c r="AS12" s="476" t="s">
        <v>4935</v>
      </c>
      <c r="AT12" s="566" t="s">
        <v>4936</v>
      </c>
      <c r="AU12" s="747" t="s">
        <v>4937</v>
      </c>
      <c r="AV12" s="748" t="s">
        <v>5234</v>
      </c>
      <c r="AW12" s="566" t="s">
        <v>5235</v>
      </c>
      <c r="AX12" t="str">
        <f>CB12&amp;CC12&amp;CD12&amp;CE12&amp;CF12&amp;CG12&amp;CH12&amp;CI12&amp;CJ12</f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2" s="2946" t="str">
        <f>IF(AND($D12&gt;0,AO12="")," * No olvide digitar la variable Beneficiarios. Digite Cero si no tiene.",IF(AO12&gt;$D12," * La variable Beneficiarios No puede ser mayor al Total Ambos Sexos.",""))</f>
        <v xml:space="preserve"> * La variable Beneficiarios No puede ser mayor al Total Ambos Sexos.</v>
      </c>
      <c r="CC12" s="2946" t="str">
        <f>IF(AND($D12&gt;0,AP12="")," * No olvide digitar la variable Niños, Niñas, adolescentes y Jóvenes SENAME. Digite Cero si no tiene.",IF(AP12&gt;$D12," * La variable Niños, Niñas, adolescentes y Jóvenes SENAME No puede ser mayor al Total Ambos Sexos.",""))</f>
        <v xml:space="preserve"> * La variable Niños, Niñas, adolescentes y Jóvenes SENAME No puede ser mayor al Total Ambos Sexos.</v>
      </c>
      <c r="CD12" s="2946" t="str">
        <f>IF(AND($D12&gt;0,AQ12="")," * No olvide digitar la variable Niños, Niñas, adolescentes y Jóvenes Mejor Niñez. Digite Cero si no tiene.",IF(AQ12&gt;$D12,"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12" s="2946" t="str">
        <f>IF(AND($D12&gt;0,AR12="")," * No olvide digitar la variable Pueblos originarios. Digite Cero si no tiene.",IF(AR12&gt;$D12," * La variable Pueblos Originarios No puede ser mayor al Total Ambos Sexos.",""))</f>
        <v xml:space="preserve"> * La variable Pueblos Originarios No puede ser mayor al Total Ambos Sexos.</v>
      </c>
      <c r="CF12" s="2946" t="str">
        <f>IF(AND($D12&gt;0,AS12="")," * No olvide digitar la variable Migrantes. Digite Cero si no tiene.",IF(AS12&gt;$D12," * La variable Migrantes No puede ser mayor al Total Ambos Sexos.",""))</f>
        <v xml:space="preserve"> * La variable Migrantes No puede ser mayor al Total Ambos Sexos.</v>
      </c>
      <c r="CG12" s="2946" t="str">
        <f>IF(AND($D12&gt;0,AT12="")," * No olvide digitar la variable Demencia. Digite Cero si no tiene.",IF(AT12&gt;$D12," * La variable Demencia No puede ser mayor al Total Ambos Sexos.",""))</f>
        <v xml:space="preserve"> * La variable Demencia No puede ser mayor al Total Ambos Sexos.</v>
      </c>
      <c r="CH12" s="2946" t="str">
        <f>IF(AND($F12&gt;0,OR(AU12=""))," * No olvide digitar la variable Trans (Masculino). Digite Cero si no tiene.",IF((AU12)&gt;$F12," * La variable Trans (Masculino) No puede ser mayor al Total Mujeres.",""))</f>
        <v xml:space="preserve"> * La variable Trans (Masculino) No puede ser mayor al Total Mujeres.</v>
      </c>
      <c r="CI12" s="2946" t="str">
        <f>IF(AND(E12&gt;0,OR(AV12=""))," * No olvide digitar la variable Trans (Femenino). Digite Cero si no tiene.",IF((AV12)&gt;E12," * La variable Trans (Femenino) No puede ser mayor al Total Hombres.",""))</f>
        <v xml:space="preserve"> * La variable Trans (Femenino) No puede ser mayor al Total Hombres.</v>
      </c>
      <c r="CJ12" s="2946" t="str">
        <f>IF(AND($D12&gt;0,AW12="")," * No olvide digitar la variable Cuidadores de personas con demencia. Digite Cero si no tiene.",IF(AW12&gt;$D12," * La variable Cuidadores de personas con demencia No puede ser mayor al Total Ambos Sexos.",""))</f>
        <v xml:space="preserve"> * La variable Cuidadores de personas con demencia No puede ser mayor al Total Ambos Sexos.</v>
      </c>
      <c r="CL12" s="1867">
        <f t="shared" ref="CL12:CQ12" si="0">IF(AND($D12&gt;0,AO12=""),1,IF(AO12&gt;$D12,1,0))</f>
        <v>1</v>
      </c>
      <c r="CM12" s="1867">
        <f t="shared" si="0"/>
        <v>1</v>
      </c>
      <c r="CN12" s="1867">
        <f t="shared" si="0"/>
        <v>1</v>
      </c>
      <c r="CO12" s="1867">
        <f t="shared" si="0"/>
        <v>1</v>
      </c>
      <c r="CP12" s="1867">
        <f t="shared" si="0"/>
        <v>1</v>
      </c>
      <c r="CQ12" s="1867">
        <f t="shared" si="0"/>
        <v>1</v>
      </c>
      <c r="CR12" s="1867">
        <f>IF(AND($F12&gt;0,OR(AU12="")),1,IF((AU12)&gt;$F12,1,0))</f>
        <v>1</v>
      </c>
      <c r="CS12" s="1867">
        <f>IF(AND($E12&gt;0,OR(AV12="")),1,IF((AV12)&gt;$E12,1,0))</f>
        <v>1</v>
      </c>
      <c r="CT12" s="1867">
        <f>IF(AND($D12&gt;0,AW12=""),1,IF(AW12&gt;$D12,1,0))</f>
        <v>1</v>
      </c>
    </row>
    <row r="13" spans="1:98" ht="15" customHeight="1" x14ac:dyDescent="0.25">
      <c r="A13" s="5601" t="s">
        <v>5239</v>
      </c>
      <c r="B13" s="6112"/>
      <c r="C13" s="332" t="s">
        <v>1034</v>
      </c>
      <c r="D13" s="737" t="s">
        <v>4567</v>
      </c>
      <c r="E13" s="751" t="s">
        <v>4568</v>
      </c>
      <c r="F13" s="344" t="s">
        <v>4569</v>
      </c>
      <c r="G13" s="345" t="s">
        <v>4570</v>
      </c>
      <c r="H13" s="346" t="s">
        <v>4571</v>
      </c>
      <c r="I13" s="345" t="s">
        <v>4572</v>
      </c>
      <c r="J13" s="346" t="s">
        <v>4573</v>
      </c>
      <c r="K13" s="345" t="s">
        <v>4574</v>
      </c>
      <c r="L13" s="349" t="s">
        <v>4575</v>
      </c>
      <c r="M13" s="345" t="s">
        <v>4576</v>
      </c>
      <c r="N13" s="349" t="s">
        <v>4577</v>
      </c>
      <c r="O13" s="345" t="s">
        <v>4578</v>
      </c>
      <c r="P13" s="349" t="s">
        <v>4579</v>
      </c>
      <c r="Q13" s="345" t="s">
        <v>4580</v>
      </c>
      <c r="R13" s="349" t="s">
        <v>4581</v>
      </c>
      <c r="S13" s="345" t="s">
        <v>4582</v>
      </c>
      <c r="T13" s="349" t="s">
        <v>4583</v>
      </c>
      <c r="U13" s="345" t="s">
        <v>4584</v>
      </c>
      <c r="V13" s="349" t="s">
        <v>4585</v>
      </c>
      <c r="W13" s="345" t="s">
        <v>4586</v>
      </c>
      <c r="X13" s="349" t="s">
        <v>4587</v>
      </c>
      <c r="Y13" s="345" t="s">
        <v>4588</v>
      </c>
      <c r="Z13" s="349" t="s">
        <v>4589</v>
      </c>
      <c r="AA13" s="345" t="s">
        <v>4590</v>
      </c>
      <c r="AB13" s="349" t="s">
        <v>4591</v>
      </c>
      <c r="AC13" s="345" t="s">
        <v>4592</v>
      </c>
      <c r="AD13" s="349" t="s">
        <v>4593</v>
      </c>
      <c r="AE13" s="345" t="s">
        <v>4594</v>
      </c>
      <c r="AF13" s="349" t="s">
        <v>4595</v>
      </c>
      <c r="AG13" s="345" t="s">
        <v>4596</v>
      </c>
      <c r="AH13" s="349" t="s">
        <v>4597</v>
      </c>
      <c r="AI13" s="345" t="s">
        <v>4598</v>
      </c>
      <c r="AJ13" s="349" t="s">
        <v>4599</v>
      </c>
      <c r="AK13" s="345" t="s">
        <v>4600</v>
      </c>
      <c r="AL13" s="349" t="s">
        <v>4601</v>
      </c>
      <c r="AM13" s="350" t="s">
        <v>4602</v>
      </c>
      <c r="AN13" s="351" t="s">
        <v>4603</v>
      </c>
      <c r="AO13" s="429" t="s">
        <v>4604</v>
      </c>
      <c r="AP13" s="368" t="s">
        <v>4605</v>
      </c>
      <c r="AQ13" s="368" t="s">
        <v>4606</v>
      </c>
      <c r="AR13" s="346" t="s">
        <v>4934</v>
      </c>
      <c r="AS13" s="347" t="s">
        <v>4935</v>
      </c>
      <c r="AT13" s="346" t="s">
        <v>4936</v>
      </c>
      <c r="AU13" s="345" t="s">
        <v>4937</v>
      </c>
      <c r="AV13" s="349" t="s">
        <v>5234</v>
      </c>
      <c r="AW13" s="346" t="s">
        <v>5235</v>
      </c>
      <c r="AX13" t="str">
        <f t="shared" ref="AX13:AX26" si="1">CB13&amp;CC13&amp;CD13&amp;CE13&amp;CF13&amp;CG13&amp;CH13&amp;CI13&amp;CJ13</f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3" s="2946" t="str">
        <f t="shared" ref="CB13:CB21" si="2">IF(AND($D13&gt;0,AO13="")," * No olvide digitar la variable Beneficiarios. Digite Cero si no tiene.",IF(AO13&gt;$D13," * La variable Beneficiarios No puede ser mayor al Total Ambos Sexos.",""))</f>
        <v xml:space="preserve"> * La variable Beneficiarios No puede ser mayor al Total Ambos Sexos.</v>
      </c>
      <c r="CC13" s="2946" t="str">
        <f t="shared" ref="CC13:CC21" si="3">IF(AND($D13&gt;0,AP13="")," * No olvide digitar la variable Niños, Niñas, adolescentes y Jóvenes SENAME. Digite Cero si no tiene.",IF(AP13&gt;$D13,"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D13" s="2946" t="str">
        <f t="shared" ref="CD13:CD21" si="4">IF(AND($D13&gt;0,AQ13="")," * No olvide digitar la variable Niños, Niñas, adolescentes y Jóvenes Mejor Niñez. Digite Cero si no tiene.",IF(AQ13&gt;$D13,"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13" s="2946" t="str">
        <f t="shared" ref="CE13:CE21" si="5">IF(AND($D13&gt;0,AR13="")," * No olvide digitar la variable Pueblos originarios. Digite Cero si no tiene.",IF(AR13&gt;$D13," * La variable Pueblos Originarios No puede ser mayor al Total Ambos Sexos.",""))</f>
        <v xml:space="preserve"> * La variable Pueblos Originarios No puede ser mayor al Total Ambos Sexos.</v>
      </c>
      <c r="CF13" s="2946" t="str">
        <f t="shared" ref="CF13:CF21" si="6">IF(AND($D13&gt;0,AS13="")," * No olvide digitar la variable Migrantes. Digite Cero si no tiene.",IF(AS13&gt;$D13," * La variable Migrantes No puede ser mayor al Total Ambos Sexos.",""))</f>
        <v xml:space="preserve"> * La variable Migrantes No puede ser mayor al Total Ambos Sexos.</v>
      </c>
      <c r="CG13" s="2946" t="str">
        <f t="shared" ref="CG13:CG21" si="7">IF(AND($D13&gt;0,AT13="")," * No olvide digitar la variable Demencia. Digite Cero si no tiene.",IF(AT13&gt;$D13," * La variable Demencia No puede ser mayor al Total Ambos Sexos.",""))</f>
        <v xml:space="preserve"> * La variable Demencia No puede ser mayor al Total Ambos Sexos.</v>
      </c>
      <c r="CH13" s="2946" t="str">
        <f t="shared" ref="CH13:CH21" si="8">IF(AND($F13&gt;0,OR(AU13=""))," * No olvide digitar la variable Trans (Masculino). Digite Cero si no tiene.",IF((AU13)&gt;$F13," * La variable Trans (Masculino) No puede ser mayor al Total Mujeres.",""))</f>
        <v xml:space="preserve"> * La variable Trans (Masculino) No puede ser mayor al Total Mujeres.</v>
      </c>
      <c r="CI13" s="2946" t="str">
        <f t="shared" ref="CI13:CI21" si="9">IF(AND(E13&gt;0,OR(AV13=""))," * No olvide digitar la variable Trans (Femenino). Digite Cero si no tiene.",IF((AV13)&gt;E13," * La variable Trans (Femenino) No puede ser mayor al Total Hombres.",""))</f>
        <v xml:space="preserve"> * La variable Trans (Femenino) No puede ser mayor al Total Hombres.</v>
      </c>
      <c r="CJ13" s="2946" t="str">
        <f t="shared" ref="CJ13:CJ21" si="10">IF(AND($D13&gt;0,AW13="")," * No olvide digitar la variable Cuidadores de personas con demencia. Digite Cero si no tiene.",IF(AW13&gt;$D13," * La variable Cuidadores de personas con demencia No puede ser mayor al Total Ambos Sexos.",""))</f>
        <v xml:space="preserve"> * La variable Cuidadores de personas con demencia No puede ser mayor al Total Ambos Sexos.</v>
      </c>
      <c r="CL13" s="1867">
        <f t="shared" ref="CL13:CL21" si="11">IF(AND(D13&gt;0,AO13=""),1,IF(AO13&gt;D13,1,0))</f>
        <v>1</v>
      </c>
      <c r="CM13" s="1867">
        <f t="shared" ref="CM13:CM21" si="12">IF(AND(D13&gt;0,AP13=""),1,IF(AP13&gt;D13,1,0))</f>
        <v>1</v>
      </c>
      <c r="CN13" s="1867">
        <f t="shared" ref="CN13:CN21" si="13">IF(AND(D13&gt;0,AQ13=""),1,IF(AQ13&gt;D13,1,0))</f>
        <v>1</v>
      </c>
      <c r="CO13" s="1867">
        <f t="shared" ref="CO13:CO21" si="14">IF(AND(D13&gt;0,AR13=""),1,IF(AR13&gt;D13,1,0))</f>
        <v>1</v>
      </c>
      <c r="CP13" s="1867">
        <f t="shared" ref="CP13:CP21" si="15">IF(AND(D13&gt;0,AS13=""),1,IF(AS13&gt;D13,1,0))</f>
        <v>1</v>
      </c>
      <c r="CQ13" s="1867">
        <f t="shared" ref="CQ13:CQ21" si="16">IF(AND(D13&gt;0,AT13=""),1,IF(AT13&gt;D13,1,0))</f>
        <v>1</v>
      </c>
      <c r="CR13" s="1867">
        <f t="shared" ref="CR13:CR21" si="17">IF(AND(F13&gt;0,OR(AU13="")),1,IF((AU13)&gt;F13,1,0))</f>
        <v>1</v>
      </c>
      <c r="CS13" s="1867">
        <f t="shared" ref="CS13:CS21" si="18">IF(AND(E13&gt;0,OR(AV13="")),1,IF((AV13)&gt;E13,1,0))</f>
        <v>1</v>
      </c>
      <c r="CT13" s="1867">
        <f t="shared" ref="CT13:CT26" si="19">IF(AND($D13&gt;0,AW13=""),1,IF(AW13&gt;$D13,1,0))</f>
        <v>1</v>
      </c>
    </row>
    <row r="14" spans="1:98" ht="15" customHeight="1" x14ac:dyDescent="0.25">
      <c r="A14" s="5601" t="s">
        <v>5240</v>
      </c>
      <c r="B14" s="6112"/>
      <c r="C14" s="332" t="s">
        <v>98</v>
      </c>
      <c r="D14" s="737" t="s">
        <v>4567</v>
      </c>
      <c r="E14" s="751" t="s">
        <v>4568</v>
      </c>
      <c r="F14" s="344" t="s">
        <v>4569</v>
      </c>
      <c r="G14" s="345" t="s">
        <v>4570</v>
      </c>
      <c r="H14" s="346" t="s">
        <v>4571</v>
      </c>
      <c r="I14" s="345" t="s">
        <v>4572</v>
      </c>
      <c r="J14" s="346" t="s">
        <v>4573</v>
      </c>
      <c r="K14" s="345" t="s">
        <v>4574</v>
      </c>
      <c r="L14" s="349" t="s">
        <v>4575</v>
      </c>
      <c r="M14" s="345" t="s">
        <v>4576</v>
      </c>
      <c r="N14" s="349" t="s">
        <v>4577</v>
      </c>
      <c r="O14" s="345" t="s">
        <v>4578</v>
      </c>
      <c r="P14" s="349" t="s">
        <v>4579</v>
      </c>
      <c r="Q14" s="345" t="s">
        <v>4580</v>
      </c>
      <c r="R14" s="349" t="s">
        <v>4581</v>
      </c>
      <c r="S14" s="345" t="s">
        <v>4582</v>
      </c>
      <c r="T14" s="349" t="s">
        <v>4583</v>
      </c>
      <c r="U14" s="345" t="s">
        <v>4584</v>
      </c>
      <c r="V14" s="349" t="s">
        <v>4585</v>
      </c>
      <c r="W14" s="345" t="s">
        <v>4586</v>
      </c>
      <c r="X14" s="349" t="s">
        <v>4587</v>
      </c>
      <c r="Y14" s="345" t="s">
        <v>4588</v>
      </c>
      <c r="Z14" s="349" t="s">
        <v>4589</v>
      </c>
      <c r="AA14" s="345" t="s">
        <v>4590</v>
      </c>
      <c r="AB14" s="349" t="s">
        <v>4591</v>
      </c>
      <c r="AC14" s="345" t="s">
        <v>4592</v>
      </c>
      <c r="AD14" s="349" t="s">
        <v>4593</v>
      </c>
      <c r="AE14" s="345" t="s">
        <v>4594</v>
      </c>
      <c r="AF14" s="349" t="s">
        <v>4595</v>
      </c>
      <c r="AG14" s="345" t="s">
        <v>4596</v>
      </c>
      <c r="AH14" s="349" t="s">
        <v>4597</v>
      </c>
      <c r="AI14" s="345" t="s">
        <v>4598</v>
      </c>
      <c r="AJ14" s="349" t="s">
        <v>4599</v>
      </c>
      <c r="AK14" s="345" t="s">
        <v>4600</v>
      </c>
      <c r="AL14" s="349" t="s">
        <v>4601</v>
      </c>
      <c r="AM14" s="350" t="s">
        <v>4602</v>
      </c>
      <c r="AN14" s="351" t="s">
        <v>4603</v>
      </c>
      <c r="AO14" s="429" t="s">
        <v>4604</v>
      </c>
      <c r="AP14" s="368" t="s">
        <v>4605</v>
      </c>
      <c r="AQ14" s="368" t="s">
        <v>4606</v>
      </c>
      <c r="AR14" s="346" t="s">
        <v>4934</v>
      </c>
      <c r="AS14" s="347" t="s">
        <v>4935</v>
      </c>
      <c r="AT14" s="346" t="s">
        <v>4936</v>
      </c>
      <c r="AU14" s="345" t="s">
        <v>4937</v>
      </c>
      <c r="AV14" s="349" t="s">
        <v>5234</v>
      </c>
      <c r="AW14" s="346" t="s">
        <v>5235</v>
      </c>
      <c r="AX14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4" s="2946" t="str">
        <f t="shared" si="2"/>
        <v xml:space="preserve"> * La variable Beneficiarios No puede ser mayor al Total Ambos Sexos.</v>
      </c>
      <c r="CC14" s="2946" t="str">
        <f t="shared" si="3"/>
        <v xml:space="preserve"> * La variable Niños, Niñas, adolescentes y Jóvenes SENAME No puede ser mayor al Total Ambos Sexos.</v>
      </c>
      <c r="CD14" s="2946" t="str">
        <f t="shared" si="4"/>
        <v xml:space="preserve"> * La variable Niños, Niñas, adolescentes y Jóvenes Mejor Niñez No puede ser mayor al Total Ambos Sexos.</v>
      </c>
      <c r="CE14" s="2946" t="str">
        <f t="shared" si="5"/>
        <v xml:space="preserve"> * La variable Pueblos Originarios No puede ser mayor al Total Ambos Sexos.</v>
      </c>
      <c r="CF14" s="2946" t="str">
        <f t="shared" si="6"/>
        <v xml:space="preserve"> * La variable Migrantes No puede ser mayor al Total Ambos Sexos.</v>
      </c>
      <c r="CG14" s="2946" t="str">
        <f t="shared" si="7"/>
        <v xml:space="preserve"> * La variable Demencia No puede ser mayor al Total Ambos Sexos.</v>
      </c>
      <c r="CH14" s="2946" t="str">
        <f t="shared" si="8"/>
        <v xml:space="preserve"> * La variable Trans (Masculino) No puede ser mayor al Total Mujeres.</v>
      </c>
      <c r="CI14" s="2946" t="str">
        <f t="shared" si="9"/>
        <v xml:space="preserve"> * La variable Trans (Femenino) No puede ser mayor al Total Hombres.</v>
      </c>
      <c r="CJ14" s="2946" t="str">
        <f t="shared" si="10"/>
        <v xml:space="preserve"> * La variable Cuidadores de personas con demencia No puede ser mayor al Total Ambos Sexos.</v>
      </c>
      <c r="CL14" s="1867">
        <f t="shared" si="11"/>
        <v>1</v>
      </c>
      <c r="CM14" s="1867">
        <f t="shared" si="12"/>
        <v>1</v>
      </c>
      <c r="CN14" s="1867">
        <f t="shared" si="13"/>
        <v>1</v>
      </c>
      <c r="CO14" s="1867">
        <f t="shared" si="14"/>
        <v>1</v>
      </c>
      <c r="CP14" s="1867">
        <f t="shared" si="15"/>
        <v>1</v>
      </c>
      <c r="CQ14" s="1867">
        <f t="shared" si="16"/>
        <v>1</v>
      </c>
      <c r="CR14" s="1867">
        <f t="shared" si="17"/>
        <v>1</v>
      </c>
      <c r="CS14" s="1867">
        <f t="shared" si="18"/>
        <v>1</v>
      </c>
      <c r="CT14" s="1867">
        <f t="shared" si="19"/>
        <v>1</v>
      </c>
    </row>
    <row r="15" spans="1:98" ht="15" customHeight="1" x14ac:dyDescent="0.25">
      <c r="A15" s="5601" t="s">
        <v>5241</v>
      </c>
      <c r="B15" s="6112"/>
      <c r="C15" s="332" t="s">
        <v>65</v>
      </c>
      <c r="D15" s="737" t="s">
        <v>4567</v>
      </c>
      <c r="E15" s="751" t="s">
        <v>4568</v>
      </c>
      <c r="F15" s="344" t="s">
        <v>4569</v>
      </c>
      <c r="G15" s="345" t="s">
        <v>4570</v>
      </c>
      <c r="H15" s="346" t="s">
        <v>4571</v>
      </c>
      <c r="I15" s="345" t="s">
        <v>4572</v>
      </c>
      <c r="J15" s="346" t="s">
        <v>4573</v>
      </c>
      <c r="K15" s="345" t="s">
        <v>4574</v>
      </c>
      <c r="L15" s="349" t="s">
        <v>4575</v>
      </c>
      <c r="M15" s="345" t="s">
        <v>4576</v>
      </c>
      <c r="N15" s="349" t="s">
        <v>4577</v>
      </c>
      <c r="O15" s="345" t="s">
        <v>4578</v>
      </c>
      <c r="P15" s="349" t="s">
        <v>4579</v>
      </c>
      <c r="Q15" s="345" t="s">
        <v>4580</v>
      </c>
      <c r="R15" s="349" t="s">
        <v>4581</v>
      </c>
      <c r="S15" s="345" t="s">
        <v>4582</v>
      </c>
      <c r="T15" s="349" t="s">
        <v>4583</v>
      </c>
      <c r="U15" s="345" t="s">
        <v>4584</v>
      </c>
      <c r="V15" s="349" t="s">
        <v>4585</v>
      </c>
      <c r="W15" s="345" t="s">
        <v>4586</v>
      </c>
      <c r="X15" s="349" t="s">
        <v>4587</v>
      </c>
      <c r="Y15" s="345" t="s">
        <v>4588</v>
      </c>
      <c r="Z15" s="349" t="s">
        <v>4589</v>
      </c>
      <c r="AA15" s="345" t="s">
        <v>4590</v>
      </c>
      <c r="AB15" s="349" t="s">
        <v>4591</v>
      </c>
      <c r="AC15" s="345" t="s">
        <v>4592</v>
      </c>
      <c r="AD15" s="349" t="s">
        <v>4593</v>
      </c>
      <c r="AE15" s="345" t="s">
        <v>4594</v>
      </c>
      <c r="AF15" s="349" t="s">
        <v>4595</v>
      </c>
      <c r="AG15" s="345" t="s">
        <v>4596</v>
      </c>
      <c r="AH15" s="349" t="s">
        <v>4597</v>
      </c>
      <c r="AI15" s="345" t="s">
        <v>4598</v>
      </c>
      <c r="AJ15" s="349" t="s">
        <v>4599</v>
      </c>
      <c r="AK15" s="345" t="s">
        <v>4600</v>
      </c>
      <c r="AL15" s="349" t="s">
        <v>4601</v>
      </c>
      <c r="AM15" s="350" t="s">
        <v>4602</v>
      </c>
      <c r="AN15" s="351" t="s">
        <v>4603</v>
      </c>
      <c r="AO15" s="429" t="s">
        <v>4604</v>
      </c>
      <c r="AP15" s="368" t="s">
        <v>4605</v>
      </c>
      <c r="AQ15" s="368" t="s">
        <v>4606</v>
      </c>
      <c r="AR15" s="346" t="s">
        <v>4934</v>
      </c>
      <c r="AS15" s="347" t="s">
        <v>4935</v>
      </c>
      <c r="AT15" s="346" t="s">
        <v>4936</v>
      </c>
      <c r="AU15" s="345" t="s">
        <v>4937</v>
      </c>
      <c r="AV15" s="349" t="s">
        <v>5234</v>
      </c>
      <c r="AW15" s="346" t="s">
        <v>5235</v>
      </c>
      <c r="AX15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5" s="2946" t="str">
        <f t="shared" si="2"/>
        <v xml:space="preserve"> * La variable Beneficiarios No puede ser mayor al Total Ambos Sexos.</v>
      </c>
      <c r="CC15" s="2946" t="str">
        <f t="shared" si="3"/>
        <v xml:space="preserve"> * La variable Niños, Niñas, adolescentes y Jóvenes SENAME No puede ser mayor al Total Ambos Sexos.</v>
      </c>
      <c r="CD15" s="2946" t="str">
        <f t="shared" si="4"/>
        <v xml:space="preserve"> * La variable Niños, Niñas, adolescentes y Jóvenes Mejor Niñez No puede ser mayor al Total Ambos Sexos.</v>
      </c>
      <c r="CE15" s="2946" t="str">
        <f t="shared" si="5"/>
        <v xml:space="preserve"> * La variable Pueblos Originarios No puede ser mayor al Total Ambos Sexos.</v>
      </c>
      <c r="CF15" s="2946" t="str">
        <f t="shared" si="6"/>
        <v xml:space="preserve"> * La variable Migrantes No puede ser mayor al Total Ambos Sexos.</v>
      </c>
      <c r="CG15" s="2946" t="str">
        <f t="shared" si="7"/>
        <v xml:space="preserve"> * La variable Demencia No puede ser mayor al Total Ambos Sexos.</v>
      </c>
      <c r="CH15" s="2946" t="str">
        <f t="shared" si="8"/>
        <v xml:space="preserve"> * La variable Trans (Masculino) No puede ser mayor al Total Mujeres.</v>
      </c>
      <c r="CI15" s="2946" t="str">
        <f t="shared" si="9"/>
        <v xml:space="preserve"> * La variable Trans (Femenino) No puede ser mayor al Total Hombres.</v>
      </c>
      <c r="CJ15" s="2946" t="str">
        <f t="shared" si="10"/>
        <v xml:space="preserve"> * La variable Cuidadores de personas con demencia No puede ser mayor al Total Ambos Sexos.</v>
      </c>
      <c r="CL15" s="1867">
        <f t="shared" si="11"/>
        <v>1</v>
      </c>
      <c r="CM15" s="1867">
        <f t="shared" si="12"/>
        <v>1</v>
      </c>
      <c r="CN15" s="1867">
        <f t="shared" si="13"/>
        <v>1</v>
      </c>
      <c r="CO15" s="1867">
        <f t="shared" si="14"/>
        <v>1</v>
      </c>
      <c r="CP15" s="1867">
        <f t="shared" si="15"/>
        <v>1</v>
      </c>
      <c r="CQ15" s="1867">
        <f t="shared" si="16"/>
        <v>1</v>
      </c>
      <c r="CR15" s="1867">
        <f t="shared" si="17"/>
        <v>1</v>
      </c>
      <c r="CS15" s="1867">
        <f t="shared" si="18"/>
        <v>1</v>
      </c>
      <c r="CT15" s="1867">
        <f t="shared" si="19"/>
        <v>1</v>
      </c>
    </row>
    <row r="16" spans="1:98" ht="15" customHeight="1" x14ac:dyDescent="0.25">
      <c r="A16" s="5601" t="s">
        <v>5242</v>
      </c>
      <c r="B16" s="6112"/>
      <c r="C16" s="332" t="s">
        <v>1035</v>
      </c>
      <c r="D16" s="737" t="s">
        <v>4567</v>
      </c>
      <c r="E16" s="751" t="s">
        <v>4568</v>
      </c>
      <c r="F16" s="344" t="s">
        <v>4569</v>
      </c>
      <c r="G16" s="345" t="s">
        <v>4570</v>
      </c>
      <c r="H16" s="346" t="s">
        <v>4571</v>
      </c>
      <c r="I16" s="345" t="s">
        <v>4572</v>
      </c>
      <c r="J16" s="346" t="s">
        <v>4573</v>
      </c>
      <c r="K16" s="345" t="s">
        <v>4574</v>
      </c>
      <c r="L16" s="349" t="s">
        <v>4575</v>
      </c>
      <c r="M16" s="345" t="s">
        <v>4576</v>
      </c>
      <c r="N16" s="349" t="s">
        <v>4577</v>
      </c>
      <c r="O16" s="345" t="s">
        <v>4578</v>
      </c>
      <c r="P16" s="349" t="s">
        <v>4579</v>
      </c>
      <c r="Q16" s="345" t="s">
        <v>4580</v>
      </c>
      <c r="R16" s="349" t="s">
        <v>4581</v>
      </c>
      <c r="S16" s="345" t="s">
        <v>4582</v>
      </c>
      <c r="T16" s="349" t="s">
        <v>4583</v>
      </c>
      <c r="U16" s="345" t="s">
        <v>4584</v>
      </c>
      <c r="V16" s="349" t="s">
        <v>4585</v>
      </c>
      <c r="W16" s="345" t="s">
        <v>4586</v>
      </c>
      <c r="X16" s="349" t="s">
        <v>4587</v>
      </c>
      <c r="Y16" s="345" t="s">
        <v>4588</v>
      </c>
      <c r="Z16" s="349" t="s">
        <v>4589</v>
      </c>
      <c r="AA16" s="345" t="s">
        <v>4590</v>
      </c>
      <c r="AB16" s="349" t="s">
        <v>4591</v>
      </c>
      <c r="AC16" s="345" t="s">
        <v>4592</v>
      </c>
      <c r="AD16" s="349" t="s">
        <v>4593</v>
      </c>
      <c r="AE16" s="345" t="s">
        <v>4594</v>
      </c>
      <c r="AF16" s="349" t="s">
        <v>4595</v>
      </c>
      <c r="AG16" s="345" t="s">
        <v>4596</v>
      </c>
      <c r="AH16" s="349" t="s">
        <v>4597</v>
      </c>
      <c r="AI16" s="345" t="s">
        <v>4598</v>
      </c>
      <c r="AJ16" s="349" t="s">
        <v>4599</v>
      </c>
      <c r="AK16" s="345" t="s">
        <v>4600</v>
      </c>
      <c r="AL16" s="349" t="s">
        <v>4601</v>
      </c>
      <c r="AM16" s="350" t="s">
        <v>4602</v>
      </c>
      <c r="AN16" s="351" t="s">
        <v>4603</v>
      </c>
      <c r="AO16" s="429" t="s">
        <v>4604</v>
      </c>
      <c r="AP16" s="368" t="s">
        <v>4605</v>
      </c>
      <c r="AQ16" s="368" t="s">
        <v>4606</v>
      </c>
      <c r="AR16" s="346" t="s">
        <v>4934</v>
      </c>
      <c r="AS16" s="347" t="s">
        <v>4935</v>
      </c>
      <c r="AT16" s="346" t="s">
        <v>4936</v>
      </c>
      <c r="AU16" s="345" t="s">
        <v>4937</v>
      </c>
      <c r="AV16" s="349" t="s">
        <v>5234</v>
      </c>
      <c r="AW16" s="346" t="s">
        <v>5235</v>
      </c>
      <c r="AX16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6" s="2946" t="str">
        <f t="shared" si="2"/>
        <v xml:space="preserve"> * La variable Beneficiarios No puede ser mayor al Total Ambos Sexos.</v>
      </c>
      <c r="CC16" s="2946" t="str">
        <f t="shared" si="3"/>
        <v xml:space="preserve"> * La variable Niños, Niñas, adolescentes y Jóvenes SENAME No puede ser mayor al Total Ambos Sexos.</v>
      </c>
      <c r="CD16" s="2946" t="str">
        <f t="shared" si="4"/>
        <v xml:space="preserve"> * La variable Niños, Niñas, adolescentes y Jóvenes Mejor Niñez No puede ser mayor al Total Ambos Sexos.</v>
      </c>
      <c r="CE16" s="2946" t="str">
        <f t="shared" si="5"/>
        <v xml:space="preserve"> * La variable Pueblos Originarios No puede ser mayor al Total Ambos Sexos.</v>
      </c>
      <c r="CF16" s="2946" t="str">
        <f t="shared" si="6"/>
        <v xml:space="preserve"> * La variable Migrantes No puede ser mayor al Total Ambos Sexos.</v>
      </c>
      <c r="CG16" s="2946" t="str">
        <f t="shared" si="7"/>
        <v xml:space="preserve"> * La variable Demencia No puede ser mayor al Total Ambos Sexos.</v>
      </c>
      <c r="CH16" s="2946" t="str">
        <f t="shared" si="8"/>
        <v xml:space="preserve"> * La variable Trans (Masculino) No puede ser mayor al Total Mujeres.</v>
      </c>
      <c r="CI16" s="2946" t="str">
        <f t="shared" si="9"/>
        <v xml:space="preserve"> * La variable Trans (Femenino) No puede ser mayor al Total Hombres.</v>
      </c>
      <c r="CJ16" s="2946" t="str">
        <f t="shared" si="10"/>
        <v xml:space="preserve"> * La variable Cuidadores de personas con demencia No puede ser mayor al Total Ambos Sexos.</v>
      </c>
      <c r="CL16" s="1867">
        <f t="shared" si="11"/>
        <v>1</v>
      </c>
      <c r="CM16" s="1867">
        <f t="shared" si="12"/>
        <v>1</v>
      </c>
      <c r="CN16" s="1867">
        <f t="shared" si="13"/>
        <v>1</v>
      </c>
      <c r="CO16" s="1867">
        <f t="shared" si="14"/>
        <v>1</v>
      </c>
      <c r="CP16" s="1867">
        <f t="shared" si="15"/>
        <v>1</v>
      </c>
      <c r="CQ16" s="1867">
        <f t="shared" si="16"/>
        <v>1</v>
      </c>
      <c r="CR16" s="1867">
        <f t="shared" si="17"/>
        <v>1</v>
      </c>
      <c r="CS16" s="1867">
        <f t="shared" si="18"/>
        <v>1</v>
      </c>
      <c r="CT16" s="1867">
        <f t="shared" si="19"/>
        <v>1</v>
      </c>
    </row>
    <row r="17" spans="1:98" ht="21" x14ac:dyDescent="0.25">
      <c r="A17" s="5601" t="s">
        <v>5243</v>
      </c>
      <c r="B17" s="6112"/>
      <c r="C17" s="332" t="s">
        <v>1036</v>
      </c>
      <c r="D17" s="737" t="s">
        <v>4567</v>
      </c>
      <c r="E17" s="751" t="s">
        <v>4568</v>
      </c>
      <c r="F17" s="344" t="s">
        <v>4569</v>
      </c>
      <c r="G17" s="345" t="s">
        <v>4570</v>
      </c>
      <c r="H17" s="346" t="s">
        <v>4571</v>
      </c>
      <c r="I17" s="345" t="s">
        <v>4572</v>
      </c>
      <c r="J17" s="346" t="s">
        <v>4573</v>
      </c>
      <c r="K17" s="345" t="s">
        <v>4574</v>
      </c>
      <c r="L17" s="349" t="s">
        <v>4575</v>
      </c>
      <c r="M17" s="345" t="s">
        <v>4576</v>
      </c>
      <c r="N17" s="349" t="s">
        <v>4577</v>
      </c>
      <c r="O17" s="345" t="s">
        <v>4578</v>
      </c>
      <c r="P17" s="349" t="s">
        <v>4579</v>
      </c>
      <c r="Q17" s="345" t="s">
        <v>4580</v>
      </c>
      <c r="R17" s="349" t="s">
        <v>4581</v>
      </c>
      <c r="S17" s="345" t="s">
        <v>4582</v>
      </c>
      <c r="T17" s="349" t="s">
        <v>4583</v>
      </c>
      <c r="U17" s="345" t="s">
        <v>4584</v>
      </c>
      <c r="V17" s="349" t="s">
        <v>4585</v>
      </c>
      <c r="W17" s="345" t="s">
        <v>4586</v>
      </c>
      <c r="X17" s="349" t="s">
        <v>4587</v>
      </c>
      <c r="Y17" s="345" t="s">
        <v>4588</v>
      </c>
      <c r="Z17" s="349" t="s">
        <v>4589</v>
      </c>
      <c r="AA17" s="345" t="s">
        <v>4590</v>
      </c>
      <c r="AB17" s="349" t="s">
        <v>4591</v>
      </c>
      <c r="AC17" s="345" t="s">
        <v>4592</v>
      </c>
      <c r="AD17" s="349" t="s">
        <v>4593</v>
      </c>
      <c r="AE17" s="345" t="s">
        <v>4594</v>
      </c>
      <c r="AF17" s="349" t="s">
        <v>4595</v>
      </c>
      <c r="AG17" s="345" t="s">
        <v>4596</v>
      </c>
      <c r="AH17" s="349" t="s">
        <v>4597</v>
      </c>
      <c r="AI17" s="345" t="s">
        <v>4598</v>
      </c>
      <c r="AJ17" s="349" t="s">
        <v>4599</v>
      </c>
      <c r="AK17" s="345" t="s">
        <v>4600</v>
      </c>
      <c r="AL17" s="349" t="s">
        <v>4601</v>
      </c>
      <c r="AM17" s="350" t="s">
        <v>4602</v>
      </c>
      <c r="AN17" s="351" t="s">
        <v>4603</v>
      </c>
      <c r="AO17" s="429" t="s">
        <v>4604</v>
      </c>
      <c r="AP17" s="368" t="s">
        <v>4605</v>
      </c>
      <c r="AQ17" s="368" t="s">
        <v>4606</v>
      </c>
      <c r="AR17" s="346" t="s">
        <v>4934</v>
      </c>
      <c r="AS17" s="347" t="s">
        <v>4935</v>
      </c>
      <c r="AT17" s="346" t="s">
        <v>4936</v>
      </c>
      <c r="AU17" s="345" t="s">
        <v>4937</v>
      </c>
      <c r="AV17" s="349" t="s">
        <v>5234</v>
      </c>
      <c r="AW17" s="346" t="s">
        <v>5235</v>
      </c>
      <c r="AX17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7" s="2946" t="str">
        <f t="shared" si="2"/>
        <v xml:space="preserve"> * La variable Beneficiarios No puede ser mayor al Total Ambos Sexos.</v>
      </c>
      <c r="CC17" s="2946" t="str">
        <f t="shared" si="3"/>
        <v xml:space="preserve"> * La variable Niños, Niñas, adolescentes y Jóvenes SENAME No puede ser mayor al Total Ambos Sexos.</v>
      </c>
      <c r="CD17" s="2946" t="str">
        <f t="shared" si="4"/>
        <v xml:space="preserve"> * La variable Niños, Niñas, adolescentes y Jóvenes Mejor Niñez No puede ser mayor al Total Ambos Sexos.</v>
      </c>
      <c r="CE17" s="2946" t="str">
        <f t="shared" si="5"/>
        <v xml:space="preserve"> * La variable Pueblos Originarios No puede ser mayor al Total Ambos Sexos.</v>
      </c>
      <c r="CF17" s="2946" t="str">
        <f t="shared" si="6"/>
        <v xml:space="preserve"> * La variable Migrantes No puede ser mayor al Total Ambos Sexos.</v>
      </c>
      <c r="CG17" s="2946" t="str">
        <f t="shared" si="7"/>
        <v xml:space="preserve"> * La variable Demencia No puede ser mayor al Total Ambos Sexos.</v>
      </c>
      <c r="CH17" s="2946" t="str">
        <f t="shared" si="8"/>
        <v xml:space="preserve"> * La variable Trans (Masculino) No puede ser mayor al Total Mujeres.</v>
      </c>
      <c r="CI17" s="2946" t="str">
        <f t="shared" si="9"/>
        <v xml:space="preserve"> * La variable Trans (Femenino) No puede ser mayor al Total Hombres.</v>
      </c>
      <c r="CJ17" s="2946" t="str">
        <f t="shared" si="10"/>
        <v xml:space="preserve"> * La variable Cuidadores de personas con demencia No puede ser mayor al Total Ambos Sexos.</v>
      </c>
      <c r="CL17" s="1867">
        <f t="shared" si="11"/>
        <v>1</v>
      </c>
      <c r="CM17" s="1867">
        <f t="shared" si="12"/>
        <v>1</v>
      </c>
      <c r="CN17" s="1867">
        <f t="shared" si="13"/>
        <v>1</v>
      </c>
      <c r="CO17" s="1867">
        <f t="shared" si="14"/>
        <v>1</v>
      </c>
      <c r="CP17" s="1867">
        <f t="shared" si="15"/>
        <v>1</v>
      </c>
      <c r="CQ17" s="1867">
        <f t="shared" si="16"/>
        <v>1</v>
      </c>
      <c r="CR17" s="1867">
        <f t="shared" si="17"/>
        <v>1</v>
      </c>
      <c r="CS17" s="1867">
        <f t="shared" si="18"/>
        <v>1</v>
      </c>
      <c r="CT17" s="1867">
        <f t="shared" si="19"/>
        <v>1</v>
      </c>
    </row>
    <row r="18" spans="1:98" ht="15" customHeight="1" x14ac:dyDescent="0.25">
      <c r="A18" s="5601" t="s">
        <v>5244</v>
      </c>
      <c r="B18" s="6112"/>
      <c r="C18" s="332" t="s">
        <v>1037</v>
      </c>
      <c r="D18" s="202" t="s">
        <v>4567</v>
      </c>
      <c r="E18" s="752" t="s">
        <v>4568</v>
      </c>
      <c r="F18" s="10" t="s">
        <v>4569</v>
      </c>
      <c r="G18" s="192" t="s">
        <v>4570</v>
      </c>
      <c r="H18" s="2" t="s">
        <v>4571</v>
      </c>
      <c r="I18" s="192" t="s">
        <v>4572</v>
      </c>
      <c r="J18" s="2" t="s">
        <v>4573</v>
      </c>
      <c r="K18" s="192" t="s">
        <v>4574</v>
      </c>
      <c r="L18" s="382" t="s">
        <v>4575</v>
      </c>
      <c r="M18" s="192" t="s">
        <v>4576</v>
      </c>
      <c r="N18" s="382" t="s">
        <v>4577</v>
      </c>
      <c r="O18" s="192" t="s">
        <v>4578</v>
      </c>
      <c r="P18" s="382" t="s">
        <v>4579</v>
      </c>
      <c r="Q18" s="192" t="s">
        <v>4580</v>
      </c>
      <c r="R18" s="382" t="s">
        <v>4581</v>
      </c>
      <c r="S18" s="192" t="s">
        <v>4582</v>
      </c>
      <c r="T18" s="382" t="s">
        <v>4583</v>
      </c>
      <c r="U18" s="192" t="s">
        <v>4584</v>
      </c>
      <c r="V18" s="382" t="s">
        <v>4585</v>
      </c>
      <c r="W18" s="192" t="s">
        <v>4586</v>
      </c>
      <c r="X18" s="382" t="s">
        <v>4587</v>
      </c>
      <c r="Y18" s="192" t="s">
        <v>4588</v>
      </c>
      <c r="Z18" s="382" t="s">
        <v>4589</v>
      </c>
      <c r="AA18" s="192" t="s">
        <v>4590</v>
      </c>
      <c r="AB18" s="382" t="s">
        <v>4591</v>
      </c>
      <c r="AC18" s="192" t="s">
        <v>4592</v>
      </c>
      <c r="AD18" s="382" t="s">
        <v>4593</v>
      </c>
      <c r="AE18" s="192" t="s">
        <v>4594</v>
      </c>
      <c r="AF18" s="382" t="s">
        <v>4595</v>
      </c>
      <c r="AG18" s="192" t="s">
        <v>4596</v>
      </c>
      <c r="AH18" s="382" t="s">
        <v>4597</v>
      </c>
      <c r="AI18" s="192" t="s">
        <v>4598</v>
      </c>
      <c r="AJ18" s="382" t="s">
        <v>4599</v>
      </c>
      <c r="AK18" s="192" t="s">
        <v>4600</v>
      </c>
      <c r="AL18" s="382" t="s">
        <v>4601</v>
      </c>
      <c r="AM18" s="753" t="s">
        <v>4602</v>
      </c>
      <c r="AN18" s="383" t="s">
        <v>4603</v>
      </c>
      <c r="AO18" s="376" t="s">
        <v>4604</v>
      </c>
      <c r="AP18" s="580" t="s">
        <v>4605</v>
      </c>
      <c r="AQ18" s="580" t="s">
        <v>4606</v>
      </c>
      <c r="AR18" s="2" t="s">
        <v>4934</v>
      </c>
      <c r="AS18" s="481" t="s">
        <v>4935</v>
      </c>
      <c r="AT18" s="2" t="s">
        <v>4936</v>
      </c>
      <c r="AU18" s="192" t="s">
        <v>4937</v>
      </c>
      <c r="AV18" s="382" t="s">
        <v>5234</v>
      </c>
      <c r="AW18" s="2" t="s">
        <v>5235</v>
      </c>
      <c r="AX18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8" s="2946" t="str">
        <f t="shared" si="2"/>
        <v xml:space="preserve"> * La variable Beneficiarios No puede ser mayor al Total Ambos Sexos.</v>
      </c>
      <c r="CC18" s="2946" t="str">
        <f t="shared" si="3"/>
        <v xml:space="preserve"> * La variable Niños, Niñas, adolescentes y Jóvenes SENAME No puede ser mayor al Total Ambos Sexos.</v>
      </c>
      <c r="CD18" s="2946" t="str">
        <f t="shared" si="4"/>
        <v xml:space="preserve"> * La variable Niños, Niñas, adolescentes y Jóvenes Mejor Niñez No puede ser mayor al Total Ambos Sexos.</v>
      </c>
      <c r="CE18" s="2946" t="str">
        <f t="shared" si="5"/>
        <v xml:space="preserve"> * La variable Pueblos Originarios No puede ser mayor al Total Ambos Sexos.</v>
      </c>
      <c r="CF18" s="2946" t="str">
        <f t="shared" si="6"/>
        <v xml:space="preserve"> * La variable Migrantes No puede ser mayor al Total Ambos Sexos.</v>
      </c>
      <c r="CG18" s="2946" t="str">
        <f t="shared" si="7"/>
        <v xml:space="preserve"> * La variable Demencia No puede ser mayor al Total Ambos Sexos.</v>
      </c>
      <c r="CH18" s="2946" t="str">
        <f t="shared" si="8"/>
        <v xml:space="preserve"> * La variable Trans (Masculino) No puede ser mayor al Total Mujeres.</v>
      </c>
      <c r="CI18" s="2946" t="str">
        <f t="shared" si="9"/>
        <v xml:space="preserve"> * La variable Trans (Femenino) No puede ser mayor al Total Hombres.</v>
      </c>
      <c r="CJ18" s="2946" t="str">
        <f t="shared" si="10"/>
        <v xml:space="preserve"> * La variable Cuidadores de personas con demencia No puede ser mayor al Total Ambos Sexos.</v>
      </c>
      <c r="CL18" s="1867">
        <f t="shared" si="11"/>
        <v>1</v>
      </c>
      <c r="CM18" s="1867">
        <f t="shared" si="12"/>
        <v>1</v>
      </c>
      <c r="CN18" s="1867">
        <f t="shared" si="13"/>
        <v>1</v>
      </c>
      <c r="CO18" s="1867">
        <f t="shared" si="14"/>
        <v>1</v>
      </c>
      <c r="CP18" s="1867">
        <f t="shared" si="15"/>
        <v>1</v>
      </c>
      <c r="CQ18" s="1867">
        <f t="shared" si="16"/>
        <v>1</v>
      </c>
      <c r="CR18" s="1867">
        <f t="shared" si="17"/>
        <v>1</v>
      </c>
      <c r="CS18" s="1867">
        <f t="shared" si="18"/>
        <v>1</v>
      </c>
      <c r="CT18" s="1867">
        <f t="shared" si="19"/>
        <v>1</v>
      </c>
    </row>
    <row r="19" spans="1:98" ht="21" x14ac:dyDescent="0.25">
      <c r="A19" s="5601" t="s">
        <v>5245</v>
      </c>
      <c r="B19" s="6112"/>
      <c r="C19" s="332" t="s">
        <v>1038</v>
      </c>
      <c r="D19" s="202" t="s">
        <v>4567</v>
      </c>
      <c r="E19" s="752" t="s">
        <v>4568</v>
      </c>
      <c r="F19" s="10" t="s">
        <v>4569</v>
      </c>
      <c r="G19" s="192" t="s">
        <v>4570</v>
      </c>
      <c r="H19" s="2" t="s">
        <v>4571</v>
      </c>
      <c r="I19" s="192" t="s">
        <v>4572</v>
      </c>
      <c r="J19" s="2" t="s">
        <v>4573</v>
      </c>
      <c r="K19" s="192" t="s">
        <v>4574</v>
      </c>
      <c r="L19" s="382" t="s">
        <v>4575</v>
      </c>
      <c r="M19" s="192" t="s">
        <v>4576</v>
      </c>
      <c r="N19" s="382" t="s">
        <v>4577</v>
      </c>
      <c r="O19" s="192" t="s">
        <v>4578</v>
      </c>
      <c r="P19" s="382" t="s">
        <v>4579</v>
      </c>
      <c r="Q19" s="192" t="s">
        <v>4580</v>
      </c>
      <c r="R19" s="382" t="s">
        <v>4581</v>
      </c>
      <c r="S19" s="192" t="s">
        <v>4582</v>
      </c>
      <c r="T19" s="382" t="s">
        <v>4583</v>
      </c>
      <c r="U19" s="192" t="s">
        <v>4584</v>
      </c>
      <c r="V19" s="382" t="s">
        <v>4585</v>
      </c>
      <c r="W19" s="192" t="s">
        <v>4586</v>
      </c>
      <c r="X19" s="382" t="s">
        <v>4587</v>
      </c>
      <c r="Y19" s="192" t="s">
        <v>4588</v>
      </c>
      <c r="Z19" s="382" t="s">
        <v>4589</v>
      </c>
      <c r="AA19" s="192" t="s">
        <v>4590</v>
      </c>
      <c r="AB19" s="382" t="s">
        <v>4591</v>
      </c>
      <c r="AC19" s="192" t="s">
        <v>4592</v>
      </c>
      <c r="AD19" s="382" t="s">
        <v>4593</v>
      </c>
      <c r="AE19" s="192" t="s">
        <v>4594</v>
      </c>
      <c r="AF19" s="382" t="s">
        <v>4595</v>
      </c>
      <c r="AG19" s="192" t="s">
        <v>4596</v>
      </c>
      <c r="AH19" s="382" t="s">
        <v>4597</v>
      </c>
      <c r="AI19" s="192" t="s">
        <v>4598</v>
      </c>
      <c r="AJ19" s="382" t="s">
        <v>4599</v>
      </c>
      <c r="AK19" s="192" t="s">
        <v>4600</v>
      </c>
      <c r="AL19" s="382" t="s">
        <v>4601</v>
      </c>
      <c r="AM19" s="753" t="s">
        <v>4602</v>
      </c>
      <c r="AN19" s="383" t="s">
        <v>4603</v>
      </c>
      <c r="AO19" s="376" t="s">
        <v>4604</v>
      </c>
      <c r="AP19" s="580" t="s">
        <v>4605</v>
      </c>
      <c r="AQ19" s="580" t="s">
        <v>4606</v>
      </c>
      <c r="AR19" s="2" t="s">
        <v>4934</v>
      </c>
      <c r="AS19" s="481" t="s">
        <v>4935</v>
      </c>
      <c r="AT19" s="2" t="s">
        <v>4936</v>
      </c>
      <c r="AU19" s="192" t="s">
        <v>4937</v>
      </c>
      <c r="AV19" s="382" t="s">
        <v>5234</v>
      </c>
      <c r="AW19" s="2" t="s">
        <v>5235</v>
      </c>
      <c r="AX19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9" s="2946" t="str">
        <f t="shared" si="2"/>
        <v xml:space="preserve"> * La variable Beneficiarios No puede ser mayor al Total Ambos Sexos.</v>
      </c>
      <c r="CC19" s="2946" t="str">
        <f t="shared" si="3"/>
        <v xml:space="preserve"> * La variable Niños, Niñas, adolescentes y Jóvenes SENAME No puede ser mayor al Total Ambos Sexos.</v>
      </c>
      <c r="CD19" s="2946" t="str">
        <f t="shared" si="4"/>
        <v xml:space="preserve"> * La variable Niños, Niñas, adolescentes y Jóvenes Mejor Niñez No puede ser mayor al Total Ambos Sexos.</v>
      </c>
      <c r="CE19" s="2946" t="str">
        <f t="shared" si="5"/>
        <v xml:space="preserve"> * La variable Pueblos Originarios No puede ser mayor al Total Ambos Sexos.</v>
      </c>
      <c r="CF19" s="2946" t="str">
        <f t="shared" si="6"/>
        <v xml:space="preserve"> * La variable Migrantes No puede ser mayor al Total Ambos Sexos.</v>
      </c>
      <c r="CG19" s="2946" t="str">
        <f t="shared" si="7"/>
        <v xml:space="preserve"> * La variable Demencia No puede ser mayor al Total Ambos Sexos.</v>
      </c>
      <c r="CH19" s="2946" t="str">
        <f t="shared" si="8"/>
        <v xml:space="preserve"> * La variable Trans (Masculino) No puede ser mayor al Total Mujeres.</v>
      </c>
      <c r="CI19" s="2946" t="str">
        <f t="shared" si="9"/>
        <v xml:space="preserve"> * La variable Trans (Femenino) No puede ser mayor al Total Hombres.</v>
      </c>
      <c r="CJ19" s="2946" t="str">
        <f t="shared" si="10"/>
        <v xml:space="preserve"> * La variable Cuidadores de personas con demencia No puede ser mayor al Total Ambos Sexos.</v>
      </c>
      <c r="CL19" s="1867">
        <f t="shared" si="11"/>
        <v>1</v>
      </c>
      <c r="CM19" s="1867">
        <f t="shared" si="12"/>
        <v>1</v>
      </c>
      <c r="CN19" s="1867">
        <f t="shared" si="13"/>
        <v>1</v>
      </c>
      <c r="CO19" s="1867">
        <f t="shared" si="14"/>
        <v>1</v>
      </c>
      <c r="CP19" s="1867">
        <f t="shared" si="15"/>
        <v>1</v>
      </c>
      <c r="CQ19" s="1867">
        <f t="shared" si="16"/>
        <v>1</v>
      </c>
      <c r="CR19" s="1867">
        <f t="shared" si="17"/>
        <v>1</v>
      </c>
      <c r="CS19" s="1867">
        <f t="shared" si="18"/>
        <v>1</v>
      </c>
      <c r="CT19" s="1867">
        <f t="shared" si="19"/>
        <v>1</v>
      </c>
    </row>
    <row r="20" spans="1:98" ht="15" customHeight="1" x14ac:dyDescent="0.25">
      <c r="A20" s="5601" t="s">
        <v>5246</v>
      </c>
      <c r="B20" s="6112"/>
      <c r="C20" s="332" t="s">
        <v>1039</v>
      </c>
      <c r="D20" s="202" t="s">
        <v>4567</v>
      </c>
      <c r="E20" s="752" t="s">
        <v>4568</v>
      </c>
      <c r="F20" s="10" t="s">
        <v>4569</v>
      </c>
      <c r="G20" s="192" t="s">
        <v>4570</v>
      </c>
      <c r="H20" s="2" t="s">
        <v>4571</v>
      </c>
      <c r="I20" s="192" t="s">
        <v>4572</v>
      </c>
      <c r="J20" s="2" t="s">
        <v>4573</v>
      </c>
      <c r="K20" s="192" t="s">
        <v>4574</v>
      </c>
      <c r="L20" s="382" t="s">
        <v>4575</v>
      </c>
      <c r="M20" s="192" t="s">
        <v>4576</v>
      </c>
      <c r="N20" s="382" t="s">
        <v>4577</v>
      </c>
      <c r="O20" s="192" t="s">
        <v>4578</v>
      </c>
      <c r="P20" s="382" t="s">
        <v>4579</v>
      </c>
      <c r="Q20" s="192" t="s">
        <v>4580</v>
      </c>
      <c r="R20" s="382" t="s">
        <v>4581</v>
      </c>
      <c r="S20" s="192" t="s">
        <v>4582</v>
      </c>
      <c r="T20" s="382" t="s">
        <v>4583</v>
      </c>
      <c r="U20" s="192" t="s">
        <v>4584</v>
      </c>
      <c r="V20" s="382" t="s">
        <v>4585</v>
      </c>
      <c r="W20" s="192" t="s">
        <v>4586</v>
      </c>
      <c r="X20" s="382" t="s">
        <v>4587</v>
      </c>
      <c r="Y20" s="192" t="s">
        <v>4588</v>
      </c>
      <c r="Z20" s="382" t="s">
        <v>4589</v>
      </c>
      <c r="AA20" s="192" t="s">
        <v>4590</v>
      </c>
      <c r="AB20" s="382" t="s">
        <v>4591</v>
      </c>
      <c r="AC20" s="192" t="s">
        <v>4592</v>
      </c>
      <c r="AD20" s="382" t="s">
        <v>4593</v>
      </c>
      <c r="AE20" s="192" t="s">
        <v>4594</v>
      </c>
      <c r="AF20" s="382" t="s">
        <v>4595</v>
      </c>
      <c r="AG20" s="192" t="s">
        <v>4596</v>
      </c>
      <c r="AH20" s="382" t="s">
        <v>4597</v>
      </c>
      <c r="AI20" s="192" t="s">
        <v>4598</v>
      </c>
      <c r="AJ20" s="382" t="s">
        <v>4599</v>
      </c>
      <c r="AK20" s="192" t="s">
        <v>4600</v>
      </c>
      <c r="AL20" s="382" t="s">
        <v>4601</v>
      </c>
      <c r="AM20" s="753" t="s">
        <v>4602</v>
      </c>
      <c r="AN20" s="383" t="s">
        <v>4603</v>
      </c>
      <c r="AO20" s="376" t="s">
        <v>4604</v>
      </c>
      <c r="AP20" s="580" t="s">
        <v>4605</v>
      </c>
      <c r="AQ20" s="580" t="s">
        <v>4606</v>
      </c>
      <c r="AR20" s="2" t="s">
        <v>4934</v>
      </c>
      <c r="AS20" s="481" t="s">
        <v>4935</v>
      </c>
      <c r="AT20" s="2" t="s">
        <v>4936</v>
      </c>
      <c r="AU20" s="192" t="s">
        <v>4937</v>
      </c>
      <c r="AV20" s="382" t="s">
        <v>5234</v>
      </c>
      <c r="AW20" s="2" t="s">
        <v>5235</v>
      </c>
      <c r="AX20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0" s="2946" t="str">
        <f t="shared" si="2"/>
        <v xml:space="preserve"> * La variable Beneficiarios No puede ser mayor al Total Ambos Sexos.</v>
      </c>
      <c r="CC20" s="2946" t="str">
        <f t="shared" si="3"/>
        <v xml:space="preserve"> * La variable Niños, Niñas, adolescentes y Jóvenes SENAME No puede ser mayor al Total Ambos Sexos.</v>
      </c>
      <c r="CD20" s="2946" t="str">
        <f t="shared" si="4"/>
        <v xml:space="preserve"> * La variable Niños, Niñas, adolescentes y Jóvenes Mejor Niñez No puede ser mayor al Total Ambos Sexos.</v>
      </c>
      <c r="CE20" s="2946" t="str">
        <f t="shared" si="5"/>
        <v xml:space="preserve"> * La variable Pueblos Originarios No puede ser mayor al Total Ambos Sexos.</v>
      </c>
      <c r="CF20" s="2946" t="str">
        <f t="shared" si="6"/>
        <v xml:space="preserve"> * La variable Migrantes No puede ser mayor al Total Ambos Sexos.</v>
      </c>
      <c r="CG20" s="2946" t="str">
        <f t="shared" si="7"/>
        <v xml:space="preserve"> * La variable Demencia No puede ser mayor al Total Ambos Sexos.</v>
      </c>
      <c r="CH20" s="2946" t="str">
        <f t="shared" si="8"/>
        <v xml:space="preserve"> * La variable Trans (Masculino) No puede ser mayor al Total Mujeres.</v>
      </c>
      <c r="CI20" s="2946" t="str">
        <f t="shared" si="9"/>
        <v xml:space="preserve"> * La variable Trans (Femenino) No puede ser mayor al Total Hombres.</v>
      </c>
      <c r="CJ20" s="2946" t="str">
        <f t="shared" si="10"/>
        <v xml:space="preserve"> * La variable Cuidadores de personas con demencia No puede ser mayor al Total Ambos Sexos.</v>
      </c>
      <c r="CL20" s="1867">
        <f t="shared" si="11"/>
        <v>1</v>
      </c>
      <c r="CM20" s="1867">
        <f t="shared" si="12"/>
        <v>1</v>
      </c>
      <c r="CN20" s="1867">
        <f t="shared" si="13"/>
        <v>1</v>
      </c>
      <c r="CO20" s="1867">
        <f t="shared" si="14"/>
        <v>1</v>
      </c>
      <c r="CP20" s="1867">
        <f t="shared" si="15"/>
        <v>1</v>
      </c>
      <c r="CQ20" s="1867">
        <f t="shared" si="16"/>
        <v>1</v>
      </c>
      <c r="CR20" s="1867">
        <f t="shared" si="17"/>
        <v>1</v>
      </c>
      <c r="CS20" s="1867">
        <f t="shared" si="18"/>
        <v>1</v>
      </c>
      <c r="CT20" s="1867">
        <f t="shared" si="19"/>
        <v>1</v>
      </c>
    </row>
    <row r="21" spans="1:98" ht="21" x14ac:dyDescent="0.25">
      <c r="A21" s="5601" t="s">
        <v>5247</v>
      </c>
      <c r="B21" s="6112"/>
      <c r="C21" s="332" t="s">
        <v>1040</v>
      </c>
      <c r="D21" s="202" t="s">
        <v>4567</v>
      </c>
      <c r="E21" s="704" t="s">
        <v>4568</v>
      </c>
      <c r="F21" s="10" t="s">
        <v>4569</v>
      </c>
      <c r="G21" s="192" t="s">
        <v>4570</v>
      </c>
      <c r="H21" s="2" t="s">
        <v>4571</v>
      </c>
      <c r="I21" s="192" t="s">
        <v>4572</v>
      </c>
      <c r="J21" s="2" t="s">
        <v>4573</v>
      </c>
      <c r="K21" s="192" t="s">
        <v>4574</v>
      </c>
      <c r="L21" s="382" t="s">
        <v>4575</v>
      </c>
      <c r="M21" s="192" t="s">
        <v>4576</v>
      </c>
      <c r="N21" s="382" t="s">
        <v>4577</v>
      </c>
      <c r="O21" s="192" t="s">
        <v>4578</v>
      </c>
      <c r="P21" s="382" t="s">
        <v>4579</v>
      </c>
      <c r="Q21" s="192" t="s">
        <v>4580</v>
      </c>
      <c r="R21" s="382" t="s">
        <v>4581</v>
      </c>
      <c r="S21" s="192" t="s">
        <v>4582</v>
      </c>
      <c r="T21" s="382" t="s">
        <v>4583</v>
      </c>
      <c r="U21" s="192" t="s">
        <v>4584</v>
      </c>
      <c r="V21" s="382" t="s">
        <v>4585</v>
      </c>
      <c r="W21" s="192" t="s">
        <v>4586</v>
      </c>
      <c r="X21" s="382" t="s">
        <v>4587</v>
      </c>
      <c r="Y21" s="192" t="s">
        <v>4588</v>
      </c>
      <c r="Z21" s="382" t="s">
        <v>4589</v>
      </c>
      <c r="AA21" s="192" t="s">
        <v>4590</v>
      </c>
      <c r="AB21" s="382" t="s">
        <v>4591</v>
      </c>
      <c r="AC21" s="192" t="s">
        <v>4592</v>
      </c>
      <c r="AD21" s="382" t="s">
        <v>4593</v>
      </c>
      <c r="AE21" s="192" t="s">
        <v>4594</v>
      </c>
      <c r="AF21" s="382" t="s">
        <v>4595</v>
      </c>
      <c r="AG21" s="192" t="s">
        <v>4596</v>
      </c>
      <c r="AH21" s="382" t="s">
        <v>4597</v>
      </c>
      <c r="AI21" s="192" t="s">
        <v>4598</v>
      </c>
      <c r="AJ21" s="382" t="s">
        <v>4599</v>
      </c>
      <c r="AK21" s="192" t="s">
        <v>4600</v>
      </c>
      <c r="AL21" s="382" t="s">
        <v>4601</v>
      </c>
      <c r="AM21" s="753" t="s">
        <v>4602</v>
      </c>
      <c r="AN21" s="383" t="s">
        <v>4603</v>
      </c>
      <c r="AO21" s="376" t="s">
        <v>4604</v>
      </c>
      <c r="AP21" s="580" t="s">
        <v>4605</v>
      </c>
      <c r="AQ21" s="580" t="s">
        <v>4606</v>
      </c>
      <c r="AR21" s="2" t="s">
        <v>4934</v>
      </c>
      <c r="AS21" s="481" t="s">
        <v>4935</v>
      </c>
      <c r="AT21" s="2" t="s">
        <v>4936</v>
      </c>
      <c r="AU21" s="192" t="s">
        <v>4937</v>
      </c>
      <c r="AV21" s="382" t="s">
        <v>5234</v>
      </c>
      <c r="AW21" s="2" t="s">
        <v>5235</v>
      </c>
      <c r="AX21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1" s="2946" t="str">
        <f t="shared" si="2"/>
        <v xml:space="preserve"> * La variable Beneficiarios No puede ser mayor al Total Ambos Sexos.</v>
      </c>
      <c r="CC21" s="2946" t="str">
        <f t="shared" si="3"/>
        <v xml:space="preserve"> * La variable Niños, Niñas, adolescentes y Jóvenes SENAME No puede ser mayor al Total Ambos Sexos.</v>
      </c>
      <c r="CD21" s="2946" t="str">
        <f t="shared" si="4"/>
        <v xml:space="preserve"> * La variable Niños, Niñas, adolescentes y Jóvenes Mejor Niñez No puede ser mayor al Total Ambos Sexos.</v>
      </c>
      <c r="CE21" s="2946" t="str">
        <f t="shared" si="5"/>
        <v xml:space="preserve"> * La variable Pueblos Originarios No puede ser mayor al Total Ambos Sexos.</v>
      </c>
      <c r="CF21" s="2946" t="str">
        <f t="shared" si="6"/>
        <v xml:space="preserve"> * La variable Migrantes No puede ser mayor al Total Ambos Sexos.</v>
      </c>
      <c r="CG21" s="2946" t="str">
        <f t="shared" si="7"/>
        <v xml:space="preserve"> * La variable Demencia No puede ser mayor al Total Ambos Sexos.</v>
      </c>
      <c r="CH21" s="2946" t="str">
        <f t="shared" si="8"/>
        <v xml:space="preserve"> * La variable Trans (Masculino) No puede ser mayor al Total Mujeres.</v>
      </c>
      <c r="CI21" s="2946" t="str">
        <f t="shared" si="9"/>
        <v xml:space="preserve"> * La variable Trans (Femenino) No puede ser mayor al Total Hombres.</v>
      </c>
      <c r="CJ21" s="2946" t="str">
        <f t="shared" si="10"/>
        <v xml:space="preserve"> * La variable Cuidadores de personas con demencia No puede ser mayor al Total Ambos Sexos.</v>
      </c>
      <c r="CL21" s="1867">
        <f t="shared" si="11"/>
        <v>1</v>
      </c>
      <c r="CM21" s="1867">
        <f t="shared" si="12"/>
        <v>1</v>
      </c>
      <c r="CN21" s="1867">
        <f t="shared" si="13"/>
        <v>1</v>
      </c>
      <c r="CO21" s="1867">
        <f t="shared" si="14"/>
        <v>1</v>
      </c>
      <c r="CP21" s="1867">
        <f t="shared" si="15"/>
        <v>1</v>
      </c>
      <c r="CQ21" s="1867">
        <f t="shared" si="16"/>
        <v>1</v>
      </c>
      <c r="CR21" s="1867">
        <f t="shared" si="17"/>
        <v>1</v>
      </c>
      <c r="CS21" s="1867">
        <f t="shared" si="18"/>
        <v>1</v>
      </c>
      <c r="CT21" s="1867">
        <f t="shared" si="19"/>
        <v>1</v>
      </c>
    </row>
    <row r="22" spans="1:98" ht="15" customHeight="1" x14ac:dyDescent="0.25">
      <c r="A22" s="5780"/>
      <c r="B22" s="6059"/>
      <c r="C22" s="754" t="s">
        <v>77</v>
      </c>
      <c r="D22" s="755">
        <f>SUM(E22+F22)</f>
        <v>0</v>
      </c>
      <c r="E22" s="610">
        <f t="shared" ref="E22" si="20">SUM(G22+I22+K22+M22+O22+Q22+S22+U22+W22+Y22+AA22+AC22+AE22+AG22+AI22+AK22+AM22)</f>
        <v>0</v>
      </c>
      <c r="F22" s="611">
        <f>SUM(H22+J22+L22+N22+P22+R22+T22+V22+X22+Z22+AB22+AD22+AF22+AH22+AJ22+AL22+AN22)</f>
        <v>0</v>
      </c>
      <c r="G22" s="756">
        <f>SUM(G12:G21)</f>
        <v>0</v>
      </c>
      <c r="H22" s="514">
        <f t="shared" ref="H22:AT22" si="21">SUM(H12:H21)</f>
        <v>0</v>
      </c>
      <c r="I22" s="756">
        <f t="shared" si="21"/>
        <v>0</v>
      </c>
      <c r="J22" s="514">
        <f t="shared" si="21"/>
        <v>0</v>
      </c>
      <c r="K22" s="756">
        <f t="shared" si="21"/>
        <v>0</v>
      </c>
      <c r="L22" s="572">
        <f t="shared" si="21"/>
        <v>0</v>
      </c>
      <c r="M22" s="756">
        <f t="shared" si="21"/>
        <v>0</v>
      </c>
      <c r="N22" s="572">
        <f t="shared" si="21"/>
        <v>0</v>
      </c>
      <c r="O22" s="756">
        <f t="shared" si="21"/>
        <v>0</v>
      </c>
      <c r="P22" s="572">
        <f t="shared" si="21"/>
        <v>0</v>
      </c>
      <c r="Q22" s="756">
        <f t="shared" si="21"/>
        <v>0</v>
      </c>
      <c r="R22" s="572">
        <f t="shared" si="21"/>
        <v>0</v>
      </c>
      <c r="S22" s="756">
        <f t="shared" si="21"/>
        <v>0</v>
      </c>
      <c r="T22" s="572">
        <f t="shared" si="21"/>
        <v>0</v>
      </c>
      <c r="U22" s="756">
        <f t="shared" si="21"/>
        <v>0</v>
      </c>
      <c r="V22" s="572">
        <f t="shared" si="21"/>
        <v>0</v>
      </c>
      <c r="W22" s="756">
        <f t="shared" si="21"/>
        <v>0</v>
      </c>
      <c r="X22" s="572">
        <f t="shared" si="21"/>
        <v>0</v>
      </c>
      <c r="Y22" s="756">
        <f t="shared" si="21"/>
        <v>0</v>
      </c>
      <c r="Z22" s="572">
        <f t="shared" si="21"/>
        <v>0</v>
      </c>
      <c r="AA22" s="756">
        <f t="shared" si="21"/>
        <v>0</v>
      </c>
      <c r="AB22" s="572">
        <f t="shared" si="21"/>
        <v>0</v>
      </c>
      <c r="AC22" s="756">
        <f t="shared" si="21"/>
        <v>0</v>
      </c>
      <c r="AD22" s="572">
        <f t="shared" si="21"/>
        <v>0</v>
      </c>
      <c r="AE22" s="756">
        <f t="shared" si="21"/>
        <v>0</v>
      </c>
      <c r="AF22" s="572">
        <f t="shared" si="21"/>
        <v>0</v>
      </c>
      <c r="AG22" s="756">
        <f t="shared" si="21"/>
        <v>0</v>
      </c>
      <c r="AH22" s="572">
        <f t="shared" si="21"/>
        <v>0</v>
      </c>
      <c r="AI22" s="756">
        <f t="shared" si="21"/>
        <v>0</v>
      </c>
      <c r="AJ22" s="572">
        <f t="shared" si="21"/>
        <v>0</v>
      </c>
      <c r="AK22" s="756">
        <f t="shared" si="21"/>
        <v>0</v>
      </c>
      <c r="AL22" s="572">
        <f t="shared" si="21"/>
        <v>0</v>
      </c>
      <c r="AM22" s="757">
        <f t="shared" si="21"/>
        <v>0</v>
      </c>
      <c r="AN22" s="512">
        <f t="shared" si="21"/>
        <v>0</v>
      </c>
      <c r="AO22" s="513">
        <f t="shared" si="21"/>
        <v>0</v>
      </c>
      <c r="AP22" s="511">
        <f t="shared" si="21"/>
        <v>0</v>
      </c>
      <c r="AQ22" s="511">
        <f>SUM(AQ12:AQ21)</f>
        <v>0</v>
      </c>
      <c r="AR22" s="514">
        <f t="shared" si="21"/>
        <v>0</v>
      </c>
      <c r="AS22" s="565">
        <f t="shared" si="21"/>
        <v>0</v>
      </c>
      <c r="AT22" s="514">
        <f t="shared" si="21"/>
        <v>0</v>
      </c>
      <c r="AU22" s="756">
        <f>SUM(AU12:AU21)</f>
        <v>0</v>
      </c>
      <c r="AV22" s="572">
        <f>SUM(AV12:AV21)</f>
        <v>0</v>
      </c>
      <c r="AW22" s="514">
        <f>SUM(AW12:AW21)</f>
        <v>0</v>
      </c>
    </row>
    <row r="23" spans="1:98" ht="15" customHeight="1" x14ac:dyDescent="0.25">
      <c r="A23" s="5601" t="s">
        <v>5248</v>
      </c>
      <c r="B23" s="6707" t="s">
        <v>1041</v>
      </c>
      <c r="C23" s="6595"/>
      <c r="D23" s="758" t="s">
        <v>4567</v>
      </c>
      <c r="E23" s="759" t="s">
        <v>4568</v>
      </c>
      <c r="F23" s="611" t="s">
        <v>4569</v>
      </c>
      <c r="G23" s="760" t="s">
        <v>4570</v>
      </c>
      <c r="H23" s="507" t="s">
        <v>4571</v>
      </c>
      <c r="I23" s="760" t="s">
        <v>4572</v>
      </c>
      <c r="J23" s="507" t="s">
        <v>4573</v>
      </c>
      <c r="K23" s="760" t="s">
        <v>4574</v>
      </c>
      <c r="L23" s="633" t="s">
        <v>4575</v>
      </c>
      <c r="M23" s="760" t="s">
        <v>4576</v>
      </c>
      <c r="N23" s="633" t="s">
        <v>4577</v>
      </c>
      <c r="O23" s="760" t="s">
        <v>4578</v>
      </c>
      <c r="P23" s="633" t="s">
        <v>4579</v>
      </c>
      <c r="Q23" s="760" t="s">
        <v>4580</v>
      </c>
      <c r="R23" s="633" t="s">
        <v>4581</v>
      </c>
      <c r="S23" s="760" t="s">
        <v>4582</v>
      </c>
      <c r="T23" s="633" t="s">
        <v>4583</v>
      </c>
      <c r="U23" s="760" t="s">
        <v>4584</v>
      </c>
      <c r="V23" s="633" t="s">
        <v>4585</v>
      </c>
      <c r="W23" s="760" t="s">
        <v>4586</v>
      </c>
      <c r="X23" s="633" t="s">
        <v>4587</v>
      </c>
      <c r="Y23" s="760" t="s">
        <v>4588</v>
      </c>
      <c r="Z23" s="633" t="s">
        <v>4589</v>
      </c>
      <c r="AA23" s="760" t="s">
        <v>4590</v>
      </c>
      <c r="AB23" s="633" t="s">
        <v>4591</v>
      </c>
      <c r="AC23" s="760" t="s">
        <v>4592</v>
      </c>
      <c r="AD23" s="633" t="s">
        <v>4593</v>
      </c>
      <c r="AE23" s="760" t="s">
        <v>4594</v>
      </c>
      <c r="AF23" s="633" t="s">
        <v>4595</v>
      </c>
      <c r="AG23" s="760" t="s">
        <v>4596</v>
      </c>
      <c r="AH23" s="633" t="s">
        <v>4597</v>
      </c>
      <c r="AI23" s="760" t="s">
        <v>4598</v>
      </c>
      <c r="AJ23" s="633" t="s">
        <v>4599</v>
      </c>
      <c r="AK23" s="760" t="s">
        <v>4600</v>
      </c>
      <c r="AL23" s="633" t="s">
        <v>4601</v>
      </c>
      <c r="AM23" s="761" t="s">
        <v>4602</v>
      </c>
      <c r="AN23" s="505" t="s">
        <v>4603</v>
      </c>
      <c r="AO23" s="530" t="s">
        <v>4604</v>
      </c>
      <c r="AP23" s="528" t="s">
        <v>4605</v>
      </c>
      <c r="AQ23" s="528" t="s">
        <v>4606</v>
      </c>
      <c r="AR23" s="507" t="s">
        <v>4934</v>
      </c>
      <c r="AS23" s="506" t="s">
        <v>4935</v>
      </c>
      <c r="AT23" s="507" t="s">
        <v>4936</v>
      </c>
      <c r="AU23" s="760" t="s">
        <v>4937</v>
      </c>
      <c r="AV23" s="633" t="s">
        <v>5234</v>
      </c>
      <c r="AW23" s="507" t="s">
        <v>5235</v>
      </c>
      <c r="AX23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3" s="2946" t="str">
        <f t="shared" ref="CB23:CB26" si="22">IF(AND($D23&gt;0,AO23="")," * No olvide digitar la variable Beneficiarios. Digite Cero si no tiene.",IF(AO23&gt;$D23," * La variable Beneficiarios No puede ser mayor al Total Ambos Sexos.",""))</f>
        <v xml:space="preserve"> * La variable Beneficiarios No puede ser mayor al Total Ambos Sexos.</v>
      </c>
      <c r="CC23" s="2946" t="str">
        <f t="shared" ref="CC23:CC26" si="23">IF(AND($D23&gt;0,AP23="")," * No olvide digitar la variable Niños, Niñas, adolescentes y Jóvenes SENAME. Digite Cero si no tiene.",IF(AP23&gt;$D23," * La variable Niños, Niñas, adolescentes y Jóvenes SENAME No puede ser mayor al Total Ambos Sexos.",""))</f>
        <v xml:space="preserve"> * La variable Niños, Niñas, adolescentes y Jóvenes SENAME No puede ser mayor al Total Ambos Sexos.</v>
      </c>
      <c r="CD23" s="2946" t="str">
        <f t="shared" ref="CD23:CD26" si="24">IF(AND($D23&gt;0,AQ23="")," * No olvide digitar la variable Niños, Niñas, adolescentes y Jóvenes Mejor Niñez. Digite Cero si no tiene.",IF(AQ23&gt;$D23,"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23" s="2946" t="str">
        <f t="shared" ref="CE23:CE26" si="25">IF(AND($D23&gt;0,AR23="")," * No olvide digitar la variable Pueblos originarios. Digite Cero si no tiene.",IF(AR23&gt;$D23," * La variable Pueblos Originarios No puede ser mayor al Total Ambos Sexos.",""))</f>
        <v xml:space="preserve"> * La variable Pueblos Originarios No puede ser mayor al Total Ambos Sexos.</v>
      </c>
      <c r="CF23" s="2946" t="str">
        <f t="shared" ref="CF23:CF26" si="26">IF(AND($D23&gt;0,AS23="")," * No olvide digitar la variable Migrantes. Digite Cero si no tiene.",IF(AS23&gt;$D23," * La variable Migrantes No puede ser mayor al Total Ambos Sexos.",""))</f>
        <v xml:space="preserve"> * La variable Migrantes No puede ser mayor al Total Ambos Sexos.</v>
      </c>
      <c r="CG23" s="2946" t="str">
        <f t="shared" ref="CG23:CG26" si="27">IF(AND($D23&gt;0,AT23="")," * No olvide digitar la variable Demencia. Digite Cero si no tiene.",IF(AT23&gt;$D23," * La variable Demencia No puede ser mayor al Total Ambos Sexos.",""))</f>
        <v xml:space="preserve"> * La variable Demencia No puede ser mayor al Total Ambos Sexos.</v>
      </c>
      <c r="CH23" s="2946" t="str">
        <f t="shared" ref="CH23:CH26" si="28">IF(AND($F23&gt;0,OR(AU23=""))," * No olvide digitar la variable Trans (Masculino). Digite Cero si no tiene.",IF((AU23)&gt;$F23," * La variable Trans (Masculino) No puede ser mayor al Total Mujeres.",""))</f>
        <v xml:space="preserve"> * La variable Trans (Masculino) No puede ser mayor al Total Mujeres.</v>
      </c>
      <c r="CI23" s="2946" t="str">
        <f t="shared" ref="CI23:CI26" si="29">IF(AND(E23&gt;0,OR(AV23=""))," * No olvide digitar la variable Trans (Femenino). Digite Cero si no tiene.",IF((AV23)&gt;E23," * La variable Trans (Femenino) No puede ser mayor al Total Hombres.",""))</f>
        <v xml:space="preserve"> * La variable Trans (Femenino) No puede ser mayor al Total Hombres.</v>
      </c>
      <c r="CJ23" s="2946" t="str">
        <f t="shared" ref="CJ23:CJ26" si="30">IF(AND($D23&gt;0,AW23="")," * No olvide digitar la variable Cuidadores de personas con demencia. Digite Cero si no tiene.",IF(AW23&gt;$D23," * La variable Cuidadores de personas con demencia No puede ser mayor al Total Ambos Sexos.",""))</f>
        <v xml:space="preserve"> * La variable Cuidadores de personas con demencia No puede ser mayor al Total Ambos Sexos.</v>
      </c>
      <c r="CL23" s="1867">
        <f>IF(AND(D23&gt;0,AO23=""),1,IF(AO23&gt;D23,1,0))</f>
        <v>1</v>
      </c>
      <c r="CM23" s="1867">
        <f>IF(AND(D23&gt;0,AP23=""),1,IF(AP23&gt;D23,1,0))</f>
        <v>1</v>
      </c>
      <c r="CN23" s="1867">
        <f>IF(AND(D23&gt;0,AQ23=""),1,IF(AQ23&gt;D23,1,0))</f>
        <v>1</v>
      </c>
      <c r="CO23" s="1867">
        <f>IF(AND(D23&gt;0,AR23=""),1,IF(AR23&gt;D23,1,0))</f>
        <v>1</v>
      </c>
      <c r="CP23" s="1867">
        <f>IF(AND(D23&gt;0,AS23=""),1,IF(AS23&gt;D23,1,0))</f>
        <v>1</v>
      </c>
      <c r="CQ23" s="1867">
        <f>IF(AND(D23&gt;0,AT23=""),1,IF(AT23&gt;D23,1,0))</f>
        <v>1</v>
      </c>
      <c r="CR23" s="1867">
        <f>IF(AND(F23&gt;0,OR(AU23="")),1,IF((AU23)&gt;F23,1,0))</f>
        <v>1</v>
      </c>
      <c r="CS23" s="1867">
        <f>IF(AND(E23&gt;0,OR(AV23="")),1,IF((AV23)&gt;E23,1,0))</f>
        <v>1</v>
      </c>
      <c r="CT23" s="1867">
        <f t="shared" si="19"/>
        <v>1</v>
      </c>
    </row>
    <row r="24" spans="1:98" ht="15" customHeight="1" x14ac:dyDescent="0.25">
      <c r="A24" s="5601" t="s">
        <v>5249</v>
      </c>
      <c r="B24" s="762" t="s">
        <v>1042</v>
      </c>
      <c r="C24" s="763" t="s">
        <v>1034</v>
      </c>
      <c r="D24" s="699" t="s">
        <v>4567</v>
      </c>
      <c r="E24" s="700" t="s">
        <v>4568</v>
      </c>
      <c r="F24" s="764" t="s">
        <v>4569</v>
      </c>
      <c r="G24" s="653" t="s">
        <v>4570</v>
      </c>
      <c r="H24" s="652" t="s">
        <v>4571</v>
      </c>
      <c r="I24" s="653" t="s">
        <v>4572</v>
      </c>
      <c r="J24" s="652" t="s">
        <v>4573</v>
      </c>
      <c r="K24" s="653" t="s">
        <v>4574</v>
      </c>
      <c r="L24" s="655" t="s">
        <v>4575</v>
      </c>
      <c r="M24" s="653" t="s">
        <v>4576</v>
      </c>
      <c r="N24" s="655" t="s">
        <v>4577</v>
      </c>
      <c r="O24" s="653" t="s">
        <v>4578</v>
      </c>
      <c r="P24" s="655" t="s">
        <v>4579</v>
      </c>
      <c r="Q24" s="653" t="s">
        <v>4580</v>
      </c>
      <c r="R24" s="655" t="s">
        <v>4581</v>
      </c>
      <c r="S24" s="653" t="s">
        <v>4582</v>
      </c>
      <c r="T24" s="655" t="s">
        <v>4583</v>
      </c>
      <c r="U24" s="653" t="s">
        <v>4584</v>
      </c>
      <c r="V24" s="655" t="s">
        <v>4585</v>
      </c>
      <c r="W24" s="653" t="s">
        <v>4586</v>
      </c>
      <c r="X24" s="655" t="s">
        <v>4587</v>
      </c>
      <c r="Y24" s="653" t="s">
        <v>4588</v>
      </c>
      <c r="Z24" s="655" t="s">
        <v>4589</v>
      </c>
      <c r="AA24" s="653" t="s">
        <v>4590</v>
      </c>
      <c r="AB24" s="655" t="s">
        <v>4591</v>
      </c>
      <c r="AC24" s="653" t="s">
        <v>4592</v>
      </c>
      <c r="AD24" s="655" t="s">
        <v>4593</v>
      </c>
      <c r="AE24" s="653" t="s">
        <v>4594</v>
      </c>
      <c r="AF24" s="655" t="s">
        <v>4595</v>
      </c>
      <c r="AG24" s="653" t="s">
        <v>4596</v>
      </c>
      <c r="AH24" s="655" t="s">
        <v>4597</v>
      </c>
      <c r="AI24" s="653" t="s">
        <v>4598</v>
      </c>
      <c r="AJ24" s="655" t="s">
        <v>4599</v>
      </c>
      <c r="AK24" s="653" t="s">
        <v>4600</v>
      </c>
      <c r="AL24" s="655" t="s">
        <v>4601</v>
      </c>
      <c r="AM24" s="765" t="s">
        <v>4602</v>
      </c>
      <c r="AN24" s="766" t="s">
        <v>4603</v>
      </c>
      <c r="AO24" s="767" t="s">
        <v>4604</v>
      </c>
      <c r="AP24" s="768" t="s">
        <v>4605</v>
      </c>
      <c r="AQ24" s="768" t="s">
        <v>4606</v>
      </c>
      <c r="AR24" s="652" t="s">
        <v>4934</v>
      </c>
      <c r="AS24" s="769" t="s">
        <v>4935</v>
      </c>
      <c r="AT24" s="652" t="s">
        <v>4936</v>
      </c>
      <c r="AU24" s="653" t="s">
        <v>4937</v>
      </c>
      <c r="AV24" s="655" t="s">
        <v>5234</v>
      </c>
      <c r="AW24" s="652" t="s">
        <v>5235</v>
      </c>
      <c r="AX24" t="str">
        <f>CB24&amp;CC24&amp;CD24&amp;CE24&amp;CF24&amp;CG24&amp;CH24&amp;CI24&amp;CJ24</f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4" s="2946" t="str">
        <f t="shared" si="22"/>
        <v xml:space="preserve"> * La variable Beneficiarios No puede ser mayor al Total Ambos Sexos.</v>
      </c>
      <c r="CC24" s="2946" t="str">
        <f t="shared" si="23"/>
        <v xml:space="preserve"> * La variable Niños, Niñas, adolescentes y Jóvenes SENAME No puede ser mayor al Total Ambos Sexos.</v>
      </c>
      <c r="CD24" s="2946" t="str">
        <f t="shared" si="24"/>
        <v xml:space="preserve"> * La variable Niños, Niñas, adolescentes y Jóvenes Mejor Niñez No puede ser mayor al Total Ambos Sexos.</v>
      </c>
      <c r="CE24" s="2946" t="str">
        <f t="shared" si="25"/>
        <v xml:space="preserve"> * La variable Pueblos Originarios No puede ser mayor al Total Ambos Sexos.</v>
      </c>
      <c r="CF24" s="2946" t="str">
        <f t="shared" si="26"/>
        <v xml:space="preserve"> * La variable Migrantes No puede ser mayor al Total Ambos Sexos.</v>
      </c>
      <c r="CG24" s="2946" t="str">
        <f t="shared" si="27"/>
        <v xml:space="preserve"> * La variable Demencia No puede ser mayor al Total Ambos Sexos.</v>
      </c>
      <c r="CH24" s="2946" t="str">
        <f t="shared" si="28"/>
        <v xml:space="preserve"> * La variable Trans (Masculino) No puede ser mayor al Total Mujeres.</v>
      </c>
      <c r="CI24" s="2946" t="str">
        <f t="shared" si="29"/>
        <v xml:space="preserve"> * La variable Trans (Femenino) No puede ser mayor al Total Hombres.</v>
      </c>
      <c r="CJ24" s="2946" t="str">
        <f t="shared" si="30"/>
        <v xml:space="preserve"> * La variable Cuidadores de personas con demencia No puede ser mayor al Total Ambos Sexos.</v>
      </c>
      <c r="CL24" s="1867">
        <f>IF(AND(D24&gt;0,AO24=""),1,IF(AO24&gt;D24,1,0))</f>
        <v>1</v>
      </c>
      <c r="CM24" s="1867">
        <f>IF(AND(D24&gt;0,AP24=""),1,IF(AP24&gt;D24,1,0))</f>
        <v>1</v>
      </c>
      <c r="CN24" s="1867">
        <f>IF(AND(D24&gt;0,AQ24=""),1,IF(AQ24&gt;D24,1,0))</f>
        <v>1</v>
      </c>
      <c r="CO24" s="1867">
        <f>IF(AND(D24&gt;0,AR24=""),1,IF(AR24&gt;D24,1,0))</f>
        <v>1</v>
      </c>
      <c r="CP24" s="1867">
        <f>IF(AND(D24&gt;0,AS24=""),1,IF(AS24&gt;D24,1,0))</f>
        <v>1</v>
      </c>
      <c r="CQ24" s="1867">
        <f>IF(AND(D24&gt;0,AT24=""),1,IF(AT24&gt;D24,1,0))</f>
        <v>1</v>
      </c>
      <c r="CR24" s="1867">
        <f>IF(AND(F24&gt;0,OR(AU24="")),1,IF((AU24)&gt;F24,1,0))</f>
        <v>1</v>
      </c>
      <c r="CS24" s="1867">
        <f>IF(AND(E24&gt;0,OR(AV24="")),1,IF((AV24)&gt;E24,1,0))</f>
        <v>1</v>
      </c>
      <c r="CT24" s="1867">
        <f t="shared" si="19"/>
        <v>1</v>
      </c>
    </row>
    <row r="25" spans="1:98" ht="15" customHeight="1" x14ac:dyDescent="0.25">
      <c r="A25" s="5601" t="s">
        <v>5250</v>
      </c>
      <c r="B25" s="6453" t="s">
        <v>1043</v>
      </c>
      <c r="C25" s="770" t="s">
        <v>1034</v>
      </c>
      <c r="D25" s="733" t="s">
        <v>4567</v>
      </c>
      <c r="E25" s="746" t="s">
        <v>4568</v>
      </c>
      <c r="F25" s="606" t="s">
        <v>4569</v>
      </c>
      <c r="G25" s="747" t="s">
        <v>4570</v>
      </c>
      <c r="H25" s="566" t="s">
        <v>4571</v>
      </c>
      <c r="I25" s="747" t="s">
        <v>4572</v>
      </c>
      <c r="J25" s="566" t="s">
        <v>4573</v>
      </c>
      <c r="K25" s="747" t="s">
        <v>4574</v>
      </c>
      <c r="L25" s="748" t="s">
        <v>4575</v>
      </c>
      <c r="M25" s="747" t="s">
        <v>4576</v>
      </c>
      <c r="N25" s="748" t="s">
        <v>4577</v>
      </c>
      <c r="O25" s="747" t="s">
        <v>4578</v>
      </c>
      <c r="P25" s="748" t="s">
        <v>4579</v>
      </c>
      <c r="Q25" s="747" t="s">
        <v>4580</v>
      </c>
      <c r="R25" s="748" t="s">
        <v>4581</v>
      </c>
      <c r="S25" s="747" t="s">
        <v>4582</v>
      </c>
      <c r="T25" s="748" t="s">
        <v>4583</v>
      </c>
      <c r="U25" s="747" t="s">
        <v>4584</v>
      </c>
      <c r="V25" s="748" t="s">
        <v>4585</v>
      </c>
      <c r="W25" s="747" t="s">
        <v>4586</v>
      </c>
      <c r="X25" s="748" t="s">
        <v>4587</v>
      </c>
      <c r="Y25" s="747" t="s">
        <v>4588</v>
      </c>
      <c r="Z25" s="748" t="s">
        <v>4589</v>
      </c>
      <c r="AA25" s="747" t="s">
        <v>4590</v>
      </c>
      <c r="AB25" s="748" t="s">
        <v>4591</v>
      </c>
      <c r="AC25" s="747" t="s">
        <v>4592</v>
      </c>
      <c r="AD25" s="748" t="s">
        <v>4593</v>
      </c>
      <c r="AE25" s="747" t="s">
        <v>4594</v>
      </c>
      <c r="AF25" s="748" t="s">
        <v>4595</v>
      </c>
      <c r="AG25" s="747" t="s">
        <v>4596</v>
      </c>
      <c r="AH25" s="748" t="s">
        <v>4597</v>
      </c>
      <c r="AI25" s="747" t="s">
        <v>4598</v>
      </c>
      <c r="AJ25" s="748" t="s">
        <v>4599</v>
      </c>
      <c r="AK25" s="747" t="s">
        <v>4600</v>
      </c>
      <c r="AL25" s="748" t="s">
        <v>4601</v>
      </c>
      <c r="AM25" s="749" t="s">
        <v>4602</v>
      </c>
      <c r="AN25" s="736" t="s">
        <v>4603</v>
      </c>
      <c r="AO25" s="735" t="s">
        <v>4604</v>
      </c>
      <c r="AP25" s="750" t="s">
        <v>4605</v>
      </c>
      <c r="AQ25" s="750" t="s">
        <v>4606</v>
      </c>
      <c r="AR25" s="566" t="s">
        <v>4934</v>
      </c>
      <c r="AS25" s="476" t="s">
        <v>4935</v>
      </c>
      <c r="AT25" s="566" t="s">
        <v>4936</v>
      </c>
      <c r="AU25" s="747" t="s">
        <v>4937</v>
      </c>
      <c r="AV25" s="748" t="s">
        <v>5234</v>
      </c>
      <c r="AW25" s="566" t="s">
        <v>5235</v>
      </c>
      <c r="AX25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5" s="2946" t="str">
        <f t="shared" si="22"/>
        <v xml:space="preserve"> * La variable Beneficiarios No puede ser mayor al Total Ambos Sexos.</v>
      </c>
      <c r="CC25" s="2946" t="str">
        <f t="shared" si="23"/>
        <v xml:space="preserve"> * La variable Niños, Niñas, adolescentes y Jóvenes SENAME No puede ser mayor al Total Ambos Sexos.</v>
      </c>
      <c r="CD25" s="2946" t="str">
        <f t="shared" si="24"/>
        <v xml:space="preserve"> * La variable Niños, Niñas, adolescentes y Jóvenes Mejor Niñez No puede ser mayor al Total Ambos Sexos.</v>
      </c>
      <c r="CE25" s="2946" t="str">
        <f t="shared" si="25"/>
        <v xml:space="preserve"> * La variable Pueblos Originarios No puede ser mayor al Total Ambos Sexos.</v>
      </c>
      <c r="CF25" s="2946" t="str">
        <f t="shared" si="26"/>
        <v xml:space="preserve"> * La variable Migrantes No puede ser mayor al Total Ambos Sexos.</v>
      </c>
      <c r="CG25" s="2946" t="str">
        <f t="shared" si="27"/>
        <v xml:space="preserve"> * La variable Demencia No puede ser mayor al Total Ambos Sexos.</v>
      </c>
      <c r="CH25" s="2946" t="str">
        <f t="shared" si="28"/>
        <v xml:space="preserve"> * La variable Trans (Masculino) No puede ser mayor al Total Mujeres.</v>
      </c>
      <c r="CI25" s="2946" t="str">
        <f t="shared" si="29"/>
        <v xml:space="preserve"> * La variable Trans (Femenino) No puede ser mayor al Total Hombres.</v>
      </c>
      <c r="CJ25" s="2946" t="str">
        <f t="shared" si="30"/>
        <v xml:space="preserve"> * La variable Cuidadores de personas con demencia No puede ser mayor al Total Ambos Sexos.</v>
      </c>
      <c r="CL25" s="1867">
        <f>IF(AND(D25&gt;0,AO25=""),1,IF(AO25&gt;D25,1,0))</f>
        <v>1</v>
      </c>
      <c r="CM25" s="1867">
        <f>IF(AND(D25&gt;0,AP25=""),1,IF(AP25&gt;D25,1,0))</f>
        <v>1</v>
      </c>
      <c r="CN25" s="1867">
        <f>IF(AND(D25&gt;0,AQ25=""),1,IF(AQ25&gt;D25,1,0))</f>
        <v>1</v>
      </c>
      <c r="CO25" s="1867">
        <f>IF(AND(D25&gt;0,AR25=""),1,IF(AR25&gt;D25,1,0))</f>
        <v>1</v>
      </c>
      <c r="CP25" s="1867">
        <f>IF(AND(D25&gt;0,AS25=""),1,IF(AS25&gt;D25,1,0))</f>
        <v>1</v>
      </c>
      <c r="CQ25" s="1867">
        <f>IF(AND(D25&gt;0,AT25=""),1,IF(AT25&gt;D25,1,0))</f>
        <v>1</v>
      </c>
      <c r="CR25" s="1867">
        <f>IF(AND(F25&gt;0,OR(AU25="")),1,IF((AU25)&gt;F25,1,0))</f>
        <v>1</v>
      </c>
      <c r="CS25" s="1867">
        <f>IF(AND(E25&gt;0,OR(AV25="")),1,IF((AV25)&gt;E25,1,0))</f>
        <v>1</v>
      </c>
      <c r="CT25" s="1867">
        <f>IF(AND($D25&gt;0,AW25=""),1,IF(AW25&gt;$D25,1,0))</f>
        <v>1</v>
      </c>
    </row>
    <row r="26" spans="1:98" ht="15" customHeight="1" x14ac:dyDescent="0.25">
      <c r="A26" s="5601" t="s">
        <v>5251</v>
      </c>
      <c r="B26" s="6059"/>
      <c r="C26" s="771" t="s">
        <v>1044</v>
      </c>
      <c r="D26" s="323" t="s">
        <v>4567</v>
      </c>
      <c r="E26" s="317" t="s">
        <v>4568</v>
      </c>
      <c r="F26" s="617" t="s">
        <v>4569</v>
      </c>
      <c r="G26" s="379" t="s">
        <v>4570</v>
      </c>
      <c r="H26" s="726" t="s">
        <v>4571</v>
      </c>
      <c r="I26" s="379" t="s">
        <v>4572</v>
      </c>
      <c r="J26" s="388" t="s">
        <v>4573</v>
      </c>
      <c r="K26" s="379" t="s">
        <v>4574</v>
      </c>
      <c r="L26" s="388" t="s">
        <v>4575</v>
      </c>
      <c r="M26" s="379" t="s">
        <v>4576</v>
      </c>
      <c r="N26" s="388" t="s">
        <v>4577</v>
      </c>
      <c r="O26" s="379" t="s">
        <v>4578</v>
      </c>
      <c r="P26" s="387" t="s">
        <v>4579</v>
      </c>
      <c r="Q26" s="379" t="s">
        <v>4580</v>
      </c>
      <c r="R26" s="726" t="s">
        <v>4581</v>
      </c>
      <c r="S26" s="772" t="s">
        <v>4582</v>
      </c>
      <c r="T26" s="388" t="s">
        <v>4583</v>
      </c>
      <c r="U26" s="379" t="s">
        <v>4584</v>
      </c>
      <c r="V26" s="388" t="s">
        <v>4585</v>
      </c>
      <c r="W26" s="379" t="s">
        <v>4586</v>
      </c>
      <c r="X26" s="388" t="s">
        <v>4587</v>
      </c>
      <c r="Y26" s="379" t="s">
        <v>4588</v>
      </c>
      <c r="Z26" s="726" t="s">
        <v>4589</v>
      </c>
      <c r="AA26" s="379" t="s">
        <v>4590</v>
      </c>
      <c r="AB26" s="726" t="s">
        <v>4591</v>
      </c>
      <c r="AC26" s="379" t="s">
        <v>4592</v>
      </c>
      <c r="AD26" s="388" t="s">
        <v>4593</v>
      </c>
      <c r="AE26" s="379" t="s">
        <v>4594</v>
      </c>
      <c r="AF26" s="726" t="s">
        <v>4595</v>
      </c>
      <c r="AG26" s="379" t="s">
        <v>4596</v>
      </c>
      <c r="AH26" s="726" t="s">
        <v>4597</v>
      </c>
      <c r="AI26" s="379" t="s">
        <v>4598</v>
      </c>
      <c r="AJ26" s="388" t="s">
        <v>4599</v>
      </c>
      <c r="AK26" s="379" t="s">
        <v>4600</v>
      </c>
      <c r="AL26" s="388" t="s">
        <v>4601</v>
      </c>
      <c r="AM26" s="666" t="s">
        <v>4602</v>
      </c>
      <c r="AN26" s="389" t="s">
        <v>4603</v>
      </c>
      <c r="AO26" s="378" t="s">
        <v>4604</v>
      </c>
      <c r="AP26" s="371" t="s">
        <v>4605</v>
      </c>
      <c r="AQ26" s="371" t="s">
        <v>4606</v>
      </c>
      <c r="AR26" s="387" t="s">
        <v>4934</v>
      </c>
      <c r="AS26" s="428" t="s">
        <v>4935</v>
      </c>
      <c r="AT26" s="387" t="s">
        <v>4936</v>
      </c>
      <c r="AU26" s="379" t="s">
        <v>4937</v>
      </c>
      <c r="AV26" s="388" t="s">
        <v>5234</v>
      </c>
      <c r="AW26" s="387" t="s">
        <v>5235</v>
      </c>
      <c r="AX26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6" s="2946" t="str">
        <f t="shared" si="22"/>
        <v xml:space="preserve"> * La variable Beneficiarios No puede ser mayor al Total Ambos Sexos.</v>
      </c>
      <c r="CC26" s="2946" t="str">
        <f t="shared" si="23"/>
        <v xml:space="preserve"> * La variable Niños, Niñas, adolescentes y Jóvenes SENAME No puede ser mayor al Total Ambos Sexos.</v>
      </c>
      <c r="CD26" s="2946" t="str">
        <f t="shared" si="24"/>
        <v xml:space="preserve"> * La variable Niños, Niñas, adolescentes y Jóvenes Mejor Niñez No puede ser mayor al Total Ambos Sexos.</v>
      </c>
      <c r="CE26" s="2946" t="str">
        <f t="shared" si="25"/>
        <v xml:space="preserve"> * La variable Pueblos Originarios No puede ser mayor al Total Ambos Sexos.</v>
      </c>
      <c r="CF26" s="2946" t="str">
        <f t="shared" si="26"/>
        <v xml:space="preserve"> * La variable Migrantes No puede ser mayor al Total Ambos Sexos.</v>
      </c>
      <c r="CG26" s="2946" t="str">
        <f t="shared" si="27"/>
        <v xml:space="preserve"> * La variable Demencia No puede ser mayor al Total Ambos Sexos.</v>
      </c>
      <c r="CH26" s="2946" t="str">
        <f t="shared" si="28"/>
        <v xml:space="preserve"> * La variable Trans (Masculino) No puede ser mayor al Total Mujeres.</v>
      </c>
      <c r="CI26" s="2946" t="str">
        <f t="shared" si="29"/>
        <v xml:space="preserve"> * La variable Trans (Femenino) No puede ser mayor al Total Hombres.</v>
      </c>
      <c r="CJ26" s="2946" t="str">
        <f t="shared" si="30"/>
        <v xml:space="preserve"> * La variable Cuidadores de personas con demencia No puede ser mayor al Total Ambos Sexos.</v>
      </c>
      <c r="CL26" s="1867">
        <f>IF(AND(D26&gt;0,AO26=""),1,IF(AO26&gt;D26,1,0))</f>
        <v>1</v>
      </c>
      <c r="CM26" s="1867">
        <f>IF(AND(D26&gt;0,AP26=""),1,IF(AP26&gt;D26,1,0))</f>
        <v>1</v>
      </c>
      <c r="CN26" s="1867">
        <f>IF(AND(D26&gt;0,AQ26=""),1,IF(AQ26&gt;D26,1,0))</f>
        <v>1</v>
      </c>
      <c r="CO26" s="1867">
        <f>IF(AND(D26&gt;0,AR26=""),1,IF(AR26&gt;D26,1,0))</f>
        <v>1</v>
      </c>
      <c r="CP26" s="1867">
        <f>IF(AND(D26&gt;0,AS26=""),1,IF(AS26&gt;D26,1,0))</f>
        <v>1</v>
      </c>
      <c r="CQ26" s="1867">
        <f>IF(AND(D26&gt;0,AT26=""),1,IF(AT26&gt;D26,1,0))</f>
        <v>1</v>
      </c>
      <c r="CR26" s="1867">
        <f>IF(AND(F26&gt;0,OR(AU26="")),1,IF((AU26)&gt;F26,1,0))</f>
        <v>1</v>
      </c>
      <c r="CS26" s="1867">
        <f>IF(AND(E26&gt;0,OR(AV26="")),1,IF((AV26)&gt;E26,1,0))</f>
        <v>1</v>
      </c>
      <c r="CT26" s="1867">
        <f t="shared" si="19"/>
        <v>1</v>
      </c>
    </row>
    <row r="27" spans="1:98" s="6" customFormat="1" ht="18" customHeight="1" x14ac:dyDescent="0.2">
      <c r="B27" s="3" t="s">
        <v>1045</v>
      </c>
      <c r="C27" s="3"/>
      <c r="D27" s="1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4"/>
      <c r="Q27" s="4"/>
      <c r="R27" s="4"/>
      <c r="S27" s="4"/>
      <c r="T27" s="4"/>
      <c r="U27" s="4"/>
      <c r="V27" s="4"/>
      <c r="W27" s="56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</row>
    <row r="28" spans="1:98" ht="21.75" customHeight="1" x14ac:dyDescent="0.25">
      <c r="A28" s="6"/>
      <c r="B28" s="6458" t="s">
        <v>219</v>
      </c>
      <c r="C28" s="6458" t="s">
        <v>1046</v>
      </c>
      <c r="D28" s="6704" t="s">
        <v>1047</v>
      </c>
      <c r="E28" s="6451"/>
      <c r="F28" s="6704" t="s">
        <v>1048</v>
      </c>
      <c r="G28" s="6515"/>
      <c r="H28" s="6451"/>
      <c r="I28" s="6704" t="s">
        <v>343</v>
      </c>
      <c r="J28" s="6451"/>
      <c r="K28" s="6704" t="s">
        <v>326</v>
      </c>
      <c r="L28" s="6451"/>
      <c r="M28" s="6704" t="s">
        <v>94</v>
      </c>
      <c r="N28" s="6451"/>
      <c r="O28" s="6704" t="s">
        <v>44</v>
      </c>
      <c r="P28" s="6451"/>
      <c r="Q28" s="6704" t="s">
        <v>45</v>
      </c>
      <c r="R28" s="6451"/>
      <c r="S28" s="6705" t="s">
        <v>46</v>
      </c>
      <c r="T28" s="6448"/>
      <c r="U28" s="6705" t="s">
        <v>47</v>
      </c>
      <c r="V28" s="6448"/>
      <c r="W28" s="6705" t="s">
        <v>48</v>
      </c>
      <c r="X28" s="6448"/>
      <c r="Y28" s="6705" t="s">
        <v>49</v>
      </c>
      <c r="Z28" s="6448"/>
      <c r="AA28" s="6705" t="s">
        <v>50</v>
      </c>
      <c r="AB28" s="6448"/>
      <c r="AC28" s="6705" t="s">
        <v>51</v>
      </c>
      <c r="AD28" s="6448"/>
      <c r="AE28" s="6705" t="s">
        <v>52</v>
      </c>
      <c r="AF28" s="6448"/>
      <c r="AG28" s="6705" t="s">
        <v>53</v>
      </c>
      <c r="AH28" s="6448"/>
      <c r="AI28" s="6705" t="s">
        <v>54</v>
      </c>
      <c r="AJ28" s="6448"/>
      <c r="AK28" s="6705" t="s">
        <v>55</v>
      </c>
      <c r="AL28" s="6448"/>
      <c r="AM28" s="6705" t="s">
        <v>56</v>
      </c>
      <c r="AN28" s="6448"/>
      <c r="AO28" s="6705" t="s">
        <v>57</v>
      </c>
      <c r="AP28" s="6447"/>
      <c r="AQ28" s="6517" t="s">
        <v>36</v>
      </c>
      <c r="AR28" s="6645" t="s">
        <v>37</v>
      </c>
      <c r="AS28" s="6645" t="s">
        <v>34</v>
      </c>
      <c r="AT28" s="6645" t="s">
        <v>35</v>
      </c>
      <c r="AU28" s="6645" t="s">
        <v>1049</v>
      </c>
      <c r="AV28" s="6511" t="s">
        <v>1050</v>
      </c>
    </row>
    <row r="29" spans="1:98" ht="42" x14ac:dyDescent="0.25">
      <c r="A29" s="6"/>
      <c r="B29" s="6024"/>
      <c r="C29" s="6024"/>
      <c r="D29" s="441" t="s">
        <v>1051</v>
      </c>
      <c r="E29" s="441" t="s">
        <v>1052</v>
      </c>
      <c r="F29" s="744" t="s">
        <v>79</v>
      </c>
      <c r="G29" s="548" t="s">
        <v>58</v>
      </c>
      <c r="H29" s="464" t="s">
        <v>59</v>
      </c>
      <c r="I29" s="744" t="s">
        <v>58</v>
      </c>
      <c r="J29" s="464" t="s">
        <v>59</v>
      </c>
      <c r="K29" s="744" t="s">
        <v>58</v>
      </c>
      <c r="L29" s="464" t="s">
        <v>59</v>
      </c>
      <c r="M29" s="744" t="s">
        <v>58</v>
      </c>
      <c r="N29" s="464" t="s">
        <v>59</v>
      </c>
      <c r="O29" s="744" t="s">
        <v>58</v>
      </c>
      <c r="P29" s="464" t="s">
        <v>59</v>
      </c>
      <c r="Q29" s="744" t="s">
        <v>58</v>
      </c>
      <c r="R29" s="464" t="s">
        <v>59</v>
      </c>
      <c r="S29" s="744" t="s">
        <v>58</v>
      </c>
      <c r="T29" s="464" t="s">
        <v>59</v>
      </c>
      <c r="U29" s="744" t="s">
        <v>58</v>
      </c>
      <c r="V29" s="590" t="s">
        <v>59</v>
      </c>
      <c r="W29" s="744" t="s">
        <v>58</v>
      </c>
      <c r="X29" s="464" t="s">
        <v>59</v>
      </c>
      <c r="Y29" s="744" t="s">
        <v>58</v>
      </c>
      <c r="Z29" s="464" t="s">
        <v>59</v>
      </c>
      <c r="AA29" s="744" t="s">
        <v>58</v>
      </c>
      <c r="AB29" s="464" t="s">
        <v>59</v>
      </c>
      <c r="AC29" s="744" t="s">
        <v>58</v>
      </c>
      <c r="AD29" s="464" t="s">
        <v>59</v>
      </c>
      <c r="AE29" s="744" t="s">
        <v>58</v>
      </c>
      <c r="AF29" s="464" t="s">
        <v>59</v>
      </c>
      <c r="AG29" s="744" t="s">
        <v>58</v>
      </c>
      <c r="AH29" s="464" t="s">
        <v>59</v>
      </c>
      <c r="AI29" s="744" t="s">
        <v>58</v>
      </c>
      <c r="AJ29" s="464" t="s">
        <v>59</v>
      </c>
      <c r="AK29" s="744" t="s">
        <v>58</v>
      </c>
      <c r="AL29" s="464" t="s">
        <v>59</v>
      </c>
      <c r="AM29" s="744" t="s">
        <v>58</v>
      </c>
      <c r="AN29" s="464" t="s">
        <v>59</v>
      </c>
      <c r="AO29" s="744" t="s">
        <v>58</v>
      </c>
      <c r="AP29" s="465" t="s">
        <v>59</v>
      </c>
      <c r="AQ29" s="6035"/>
      <c r="AR29" s="6086"/>
      <c r="AS29" s="6086"/>
      <c r="AT29" s="6086"/>
      <c r="AU29" s="6086"/>
      <c r="AV29" s="6703"/>
    </row>
    <row r="30" spans="1:98" x14ac:dyDescent="0.25">
      <c r="A30" s="5601" t="s">
        <v>5252</v>
      </c>
      <c r="B30" s="770" t="s">
        <v>1053</v>
      </c>
      <c r="C30" s="773" t="s">
        <v>4567</v>
      </c>
      <c r="D30" s="566" t="s">
        <v>4568</v>
      </c>
      <c r="E30" s="774" t="s">
        <v>4569</v>
      </c>
      <c r="F30" s="471" t="s">
        <v>4570</v>
      </c>
      <c r="G30" s="583" t="s">
        <v>4571</v>
      </c>
      <c r="H30" s="584" t="s">
        <v>4572</v>
      </c>
      <c r="I30" s="747" t="s">
        <v>4573</v>
      </c>
      <c r="J30" s="566" t="s">
        <v>4574</v>
      </c>
      <c r="K30" s="747" t="s">
        <v>4575</v>
      </c>
      <c r="L30" s="748" t="s">
        <v>4576</v>
      </c>
      <c r="M30" s="747" t="s">
        <v>4577</v>
      </c>
      <c r="N30" s="748" t="s">
        <v>4578</v>
      </c>
      <c r="O30" s="747" t="s">
        <v>4579</v>
      </c>
      <c r="P30" s="748" t="s">
        <v>4580</v>
      </c>
      <c r="Q30" s="747" t="s">
        <v>4581</v>
      </c>
      <c r="R30" s="566" t="s">
        <v>4582</v>
      </c>
      <c r="S30" s="747" t="s">
        <v>4583</v>
      </c>
      <c r="T30" s="566" t="s">
        <v>4584</v>
      </c>
      <c r="U30" s="749" t="s">
        <v>4585</v>
      </c>
      <c r="V30" s="748" t="s">
        <v>4586</v>
      </c>
      <c r="W30" s="747" t="s">
        <v>4587</v>
      </c>
      <c r="X30" s="748" t="s">
        <v>4588</v>
      </c>
      <c r="Y30" s="747" t="s">
        <v>4589</v>
      </c>
      <c r="Z30" s="748" t="s">
        <v>4590</v>
      </c>
      <c r="AA30" s="747" t="s">
        <v>4591</v>
      </c>
      <c r="AB30" s="566" t="s">
        <v>4592</v>
      </c>
      <c r="AC30" s="747" t="s">
        <v>4593</v>
      </c>
      <c r="AD30" s="566" t="s">
        <v>4594</v>
      </c>
      <c r="AE30" s="747" t="s">
        <v>4595</v>
      </c>
      <c r="AF30" s="748" t="s">
        <v>4596</v>
      </c>
      <c r="AG30" s="747" t="s">
        <v>4597</v>
      </c>
      <c r="AH30" s="566" t="s">
        <v>4598</v>
      </c>
      <c r="AI30" s="747" t="s">
        <v>4599</v>
      </c>
      <c r="AJ30" s="566" t="s">
        <v>4600</v>
      </c>
      <c r="AK30" s="747" t="s">
        <v>4601</v>
      </c>
      <c r="AL30" s="748" t="s">
        <v>4602</v>
      </c>
      <c r="AM30" s="747" t="s">
        <v>4603</v>
      </c>
      <c r="AN30" s="748" t="s">
        <v>4604</v>
      </c>
      <c r="AO30" s="749" t="s">
        <v>4605</v>
      </c>
      <c r="AP30" s="736" t="s">
        <v>4606</v>
      </c>
      <c r="AQ30" s="735" t="s">
        <v>4934</v>
      </c>
      <c r="AR30" s="750" t="s">
        <v>4935</v>
      </c>
      <c r="AS30" s="750" t="s">
        <v>4936</v>
      </c>
      <c r="AT30" s="750" t="s">
        <v>4937</v>
      </c>
      <c r="AU30" s="750" t="s">
        <v>5234</v>
      </c>
      <c r="AV30" s="566" t="s">
        <v>5235</v>
      </c>
      <c r="AW30" t="str">
        <f>CB30&amp;CC30&amp;CD30&amp;CE30&amp;CF30&amp;CG30</f>
        <v xml:space="preserve">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 * La variable Personas con sospecha de demencia No puede ser mayor al Total Ambos Sexos. * La variable Personas con diagnóstico de demencia No puede ser mayor al Total Ambos Sexos.</v>
      </c>
      <c r="CB30" s="2946" t="str">
        <f>IF(AND($F30&gt;0,AQ30=""),"  * No olvide digitar la variable Pueblos originarios. Digite Cero si no tiene.",IF(AQ30&gt;F30," * La variable Pueblos originarios No puede ser mayor al Total Ambos Sexos.",""))</f>
        <v xml:space="preserve"> * La variable Pueblos originarios No puede ser mayor al Total Ambos Sexos.</v>
      </c>
      <c r="CC30" s="2946" t="str">
        <f>IF(AND($F30&gt;0,AR30=""),"  * No olvide digitar la variable Migrantes. Digite Cero si no tiene.",IF(AR30&gt;$F30," * La variable Migrantes No puede ser mayor al Total Ambos Sexos.",""))</f>
        <v xml:space="preserve"> * La variable Migrantes No puede ser mayor al Total Ambos Sexos.</v>
      </c>
      <c r="CD30" s="2946" t="str">
        <f>IF(AND($F30&gt;0,AS30=""),"  * No olvide digitar la variable Niños, Niñas, adolescentes y jóvenes SENAME. Digite Cero si no tiene.",IF(AS30&gt;$F30," * La variable Niños, Niñas, adolescentes y jóvenes SENAME No puede ser mayor al Total Ambos Sexos.",""))</f>
        <v xml:space="preserve"> * La variable Niños, Niñas, adolescentes y jóvenes SENAME No puede ser mayor al Total Ambos Sexos.</v>
      </c>
      <c r="CE30" s="2946" t="str">
        <f>IF(AND($F30&gt;0,AT30=""),"  * No olvide digitar la variable Niños, Niñas, adolescentes y jóvenes Mejor Niñez. Digite Cero si no tiene.",IF(AT30&gt;$F30,"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F30" s="2946" t="str">
        <f>IF(AND($F30&gt;0,AU30="")," * No olvide digitar la variable Personas con sospecha de demencia. Digite Cero si no tiene.",IF(AU30&gt;$F30," * La variable Personas con sospecha de demencia No puede ser mayor al Total Ambos Sexos.",""))</f>
        <v xml:space="preserve"> * La variable Personas con sospecha de demencia No puede ser mayor al Total Ambos Sexos.</v>
      </c>
      <c r="CG30" s="2946" t="str">
        <f>IF(AND($F30&gt;0,AV30="")," * No olvide digitar la variable Personas con diagnóstico de demencia. Digite Cero si no tiene.",IF(AV30&gt;$F30," * La variable Personas con diagnóstico de demencia No puede ser mayor al Total Ambos Sexos.",""))</f>
        <v xml:space="preserve"> * La variable Personas con diagnóstico de demencia No puede ser mayor al Total Ambos Sexos.</v>
      </c>
      <c r="CL30" s="1867">
        <f>IF(AND(F30&gt;0,AQ30=""),1,IF(AQ30&gt;F30,1,0))</f>
        <v>1</v>
      </c>
      <c r="CM30" s="1867">
        <f>IF(AND(F30&gt;0,AR30=""),1,IF(AR30&gt;F30,1,0))</f>
        <v>1</v>
      </c>
      <c r="CN30" s="1867">
        <f>IF(AND(F30&gt;0,AS30=""),1,IF(AS30&gt;F30,1,0))</f>
        <v>1</v>
      </c>
      <c r="CO30" s="1867">
        <f>IF(AND(F30&gt;0,AT30=""),1,IF(AT30&gt;F30,1,0))</f>
        <v>1</v>
      </c>
      <c r="CP30" s="1867">
        <f>IF(AND(F30&gt;0,AU30=""),1,IF(AU30&gt;F30,1,0))</f>
        <v>1</v>
      </c>
      <c r="CQ30" s="1867">
        <f>IF(AND(F30&gt;0,AV30=""),1,IF(AV30&gt;F30,1,0))</f>
        <v>1</v>
      </c>
    </row>
    <row r="31" spans="1:98" x14ac:dyDescent="0.25">
      <c r="A31" s="5601" t="s">
        <v>5253</v>
      </c>
      <c r="B31" s="318" t="s">
        <v>1054</v>
      </c>
      <c r="C31" s="775" t="s">
        <v>4567</v>
      </c>
      <c r="D31" s="387" t="s">
        <v>4568</v>
      </c>
      <c r="E31" s="776" t="s">
        <v>4569</v>
      </c>
      <c r="F31" s="483" t="s">
        <v>4570</v>
      </c>
      <c r="G31" s="581" t="s">
        <v>4571</v>
      </c>
      <c r="H31" s="484" t="s">
        <v>4572</v>
      </c>
      <c r="I31" s="379" t="s">
        <v>4573</v>
      </c>
      <c r="J31" s="387" t="s">
        <v>4574</v>
      </c>
      <c r="K31" s="379" t="s">
        <v>4575</v>
      </c>
      <c r="L31" s="388" t="s">
        <v>4576</v>
      </c>
      <c r="M31" s="379" t="s">
        <v>4577</v>
      </c>
      <c r="N31" s="388" t="s">
        <v>4578</v>
      </c>
      <c r="O31" s="379" t="s">
        <v>4579</v>
      </c>
      <c r="P31" s="388" t="s">
        <v>4580</v>
      </c>
      <c r="Q31" s="379" t="s">
        <v>4581</v>
      </c>
      <c r="R31" s="387" t="s">
        <v>4582</v>
      </c>
      <c r="S31" s="379" t="s">
        <v>4583</v>
      </c>
      <c r="T31" s="387" t="s">
        <v>4584</v>
      </c>
      <c r="U31" s="666" t="s">
        <v>4585</v>
      </c>
      <c r="V31" s="388" t="s">
        <v>4586</v>
      </c>
      <c r="W31" s="379" t="s">
        <v>4587</v>
      </c>
      <c r="X31" s="388" t="s">
        <v>4588</v>
      </c>
      <c r="Y31" s="379" t="s">
        <v>4589</v>
      </c>
      <c r="Z31" s="388" t="s">
        <v>4590</v>
      </c>
      <c r="AA31" s="379" t="s">
        <v>4591</v>
      </c>
      <c r="AB31" s="387" t="s">
        <v>4592</v>
      </c>
      <c r="AC31" s="379" t="s">
        <v>4593</v>
      </c>
      <c r="AD31" s="387" t="s">
        <v>4594</v>
      </c>
      <c r="AE31" s="379" t="s">
        <v>4595</v>
      </c>
      <c r="AF31" s="388" t="s">
        <v>4596</v>
      </c>
      <c r="AG31" s="379" t="s">
        <v>4597</v>
      </c>
      <c r="AH31" s="387" t="s">
        <v>4598</v>
      </c>
      <c r="AI31" s="379" t="s">
        <v>4599</v>
      </c>
      <c r="AJ31" s="387" t="s">
        <v>4600</v>
      </c>
      <c r="AK31" s="379" t="s">
        <v>4601</v>
      </c>
      <c r="AL31" s="388" t="s">
        <v>4602</v>
      </c>
      <c r="AM31" s="379" t="s">
        <v>4603</v>
      </c>
      <c r="AN31" s="388" t="s">
        <v>4604</v>
      </c>
      <c r="AO31" s="666" t="s">
        <v>4605</v>
      </c>
      <c r="AP31" s="389" t="s">
        <v>4606</v>
      </c>
      <c r="AQ31" s="378" t="s">
        <v>4934</v>
      </c>
      <c r="AR31" s="371" t="s">
        <v>4935</v>
      </c>
      <c r="AS31" s="371" t="s">
        <v>4936</v>
      </c>
      <c r="AT31" s="371" t="s">
        <v>4937</v>
      </c>
      <c r="AU31" s="371" t="s">
        <v>5234</v>
      </c>
      <c r="AV31" s="387" t="s">
        <v>5235</v>
      </c>
      <c r="AW31" t="str">
        <f>CB31&amp;CC31&amp;CD31&amp;CE31&amp;CF31&amp;CG31</f>
        <v xml:space="preserve">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 * La variable Personas con sospecha de demencia No puede ser mayor al Total Ambos Sexos. * La variable Personas con diagnóstico de demencia No puede ser mayor al Total Ambos Sexos.</v>
      </c>
      <c r="CB31" s="2946" t="str">
        <f>IF(AND($F31&gt;0,AQ31=""),"  * No olvide digitar la variable Pueblos originarios. Digite Cero si no tiene.",IF(AQ31&gt;F31," * La variable Pueblos originarios No puede ser mayor al Total Ambos Sexos.",""))</f>
        <v xml:space="preserve"> * La variable Pueblos originarios No puede ser mayor al Total Ambos Sexos.</v>
      </c>
      <c r="CC31" s="2946" t="str">
        <f>IF(AND($F31&gt;0,AR31=""),"  * No olvide digitar la variable Migrantes. Digite Cero si no tiene.",IF(AR31&gt;$F31," * La variable Migrantes No puede ser mayor al Total Ambos Sexos.",""))</f>
        <v xml:space="preserve"> * La variable Migrantes No puede ser mayor al Total Ambos Sexos.</v>
      </c>
      <c r="CD31" s="2946" t="str">
        <f>IF(AND($F31&gt;0,AS31=""),"  * No olvide digitar la variable Niños, Niñas, adolescentes y jóvenes SENAME. Digite Cero si no tiene.",IF(AS31&gt;$F31," * La variable Niños, Niñas, adolescentes y jóvenes SENAME No puede ser mayor al Total Ambos Sexos.",""))</f>
        <v xml:space="preserve"> * La variable Niños, Niñas, adolescentes y jóvenes SENAME No puede ser mayor al Total Ambos Sexos.</v>
      </c>
      <c r="CE31" s="2946" t="str">
        <f>IF(AND($F31&gt;0,AT31=""),"  * No olvide digitar la variable Niños, Niñas, adolescentes y jóvenes Mejor Niñez. Digite Cero si no tiene.",IF(AT31&gt;$F31,"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F31" s="2946" t="str">
        <f>IF(AND($F31&gt;0,AU31="")," * No olvide digitar la variable Personas con sospecha de demencia. Digite Cero si no tiene.",IF(AU31&gt;$F31," * La variable Personas con sospecha de demencia No puede ser mayor al Total Ambos Sexos.",""))</f>
        <v xml:space="preserve"> * La variable Personas con sospecha de demencia No puede ser mayor al Total Ambos Sexos.</v>
      </c>
      <c r="CG31" s="2946" t="str">
        <f>IF(AND($F31&gt;0,AV31="")," * No olvide digitar la variable Personas con diagnóstico de demencia. Digite Cero si no tiene.",IF(AV31&gt;$F31," * La variable Personas con diagnóstico de demencia No puede ser mayor al Total Ambos Sexos.",""))</f>
        <v xml:space="preserve"> * La variable Personas con diagnóstico de demencia No puede ser mayor al Total Ambos Sexos.</v>
      </c>
      <c r="CL31" s="1867">
        <f>IF(AND(F31&gt;0,AQ31=""),1,IF(AQ31&gt;F31,1,0))</f>
        <v>1</v>
      </c>
      <c r="CM31" s="1867">
        <f>IF(AND(F31&gt;0,AR31=""),1,IF(AR31&gt;F31,1,0))</f>
        <v>1</v>
      </c>
      <c r="CN31" s="1867">
        <f>IF(AND(F31&gt;0,AS31=""),1,IF(AS31&gt;F31,1,0))</f>
        <v>1</v>
      </c>
      <c r="CO31" s="1867">
        <f>IF(AND(F31&gt;0,AT31=""),1,IF(AT31&gt;F31,1,0))</f>
        <v>1</v>
      </c>
      <c r="CP31" s="1867">
        <f>IF(AND(F31&gt;0,AU31=""),1,IF(AU31&gt;F31,1,0))</f>
        <v>1</v>
      </c>
      <c r="CQ31" s="1867">
        <f>IF(AND(F31&gt;0,AV31=""),1,IF(AV31&gt;F31,1,0))</f>
        <v>1</v>
      </c>
    </row>
    <row r="32" spans="1:98" s="19" customFormat="1" ht="15" customHeight="1" x14ac:dyDescent="0.15">
      <c r="A32" s="5781"/>
      <c r="B32" s="777" t="s">
        <v>77</v>
      </c>
      <c r="C32" s="778">
        <f t="shared" ref="C32:I32" si="31">SUM(C30:C31)</f>
        <v>0</v>
      </c>
      <c r="D32" s="514">
        <f t="shared" si="31"/>
        <v>0</v>
      </c>
      <c r="E32" s="778">
        <f t="shared" si="31"/>
        <v>0</v>
      </c>
      <c r="F32" s="565">
        <f t="shared" si="31"/>
        <v>0</v>
      </c>
      <c r="G32" s="565">
        <f t="shared" si="31"/>
        <v>0</v>
      </c>
      <c r="H32" s="565">
        <f t="shared" si="31"/>
        <v>0</v>
      </c>
      <c r="I32" s="756">
        <f t="shared" si="31"/>
        <v>0</v>
      </c>
      <c r="J32" s="565">
        <f t="shared" ref="J32:AV32" si="32">SUM(J30:J31)</f>
        <v>0</v>
      </c>
      <c r="K32" s="756">
        <f t="shared" si="32"/>
        <v>0</v>
      </c>
      <c r="L32" s="565">
        <f t="shared" si="32"/>
        <v>0</v>
      </c>
      <c r="M32" s="756">
        <f t="shared" si="32"/>
        <v>0</v>
      </c>
      <c r="N32" s="565">
        <f t="shared" si="32"/>
        <v>0</v>
      </c>
      <c r="O32" s="756">
        <f t="shared" si="32"/>
        <v>0</v>
      </c>
      <c r="P32" s="565">
        <f t="shared" si="32"/>
        <v>0</v>
      </c>
      <c r="Q32" s="756">
        <f t="shared" si="32"/>
        <v>0</v>
      </c>
      <c r="R32" s="565">
        <f t="shared" si="32"/>
        <v>0</v>
      </c>
      <c r="S32" s="756">
        <f t="shared" si="32"/>
        <v>0</v>
      </c>
      <c r="T32" s="565">
        <f t="shared" si="32"/>
        <v>0</v>
      </c>
      <c r="U32" s="756">
        <f t="shared" si="32"/>
        <v>0</v>
      </c>
      <c r="V32" s="565">
        <f t="shared" si="32"/>
        <v>0</v>
      </c>
      <c r="W32" s="756">
        <f t="shared" si="32"/>
        <v>0</v>
      </c>
      <c r="X32" s="565">
        <f t="shared" si="32"/>
        <v>0</v>
      </c>
      <c r="Y32" s="756">
        <f t="shared" si="32"/>
        <v>0</v>
      </c>
      <c r="Z32" s="565">
        <f t="shared" si="32"/>
        <v>0</v>
      </c>
      <c r="AA32" s="756">
        <f t="shared" si="32"/>
        <v>0</v>
      </c>
      <c r="AB32" s="565">
        <f t="shared" si="32"/>
        <v>0</v>
      </c>
      <c r="AC32" s="756">
        <f t="shared" si="32"/>
        <v>0</v>
      </c>
      <c r="AD32" s="565">
        <f t="shared" si="32"/>
        <v>0</v>
      </c>
      <c r="AE32" s="756">
        <f t="shared" si="32"/>
        <v>0</v>
      </c>
      <c r="AF32" s="565">
        <f t="shared" si="32"/>
        <v>0</v>
      </c>
      <c r="AG32" s="756">
        <f t="shared" si="32"/>
        <v>0</v>
      </c>
      <c r="AH32" s="565">
        <f t="shared" si="32"/>
        <v>0</v>
      </c>
      <c r="AI32" s="756">
        <f t="shared" si="32"/>
        <v>0</v>
      </c>
      <c r="AJ32" s="565">
        <f t="shared" si="32"/>
        <v>0</v>
      </c>
      <c r="AK32" s="756">
        <f t="shared" si="32"/>
        <v>0</v>
      </c>
      <c r="AL32" s="565">
        <f t="shared" si="32"/>
        <v>0</v>
      </c>
      <c r="AM32" s="756">
        <f t="shared" si="32"/>
        <v>0</v>
      </c>
      <c r="AN32" s="565">
        <f t="shared" si="32"/>
        <v>0</v>
      </c>
      <c r="AO32" s="756">
        <f t="shared" si="32"/>
        <v>0</v>
      </c>
      <c r="AP32" s="535">
        <f t="shared" si="32"/>
        <v>0</v>
      </c>
      <c r="AQ32" s="513">
        <f t="shared" si="32"/>
        <v>0</v>
      </c>
      <c r="AR32" s="511">
        <f t="shared" si="32"/>
        <v>0</v>
      </c>
      <c r="AS32" s="511">
        <f t="shared" si="32"/>
        <v>0</v>
      </c>
      <c r="AT32" s="511">
        <f t="shared" si="32"/>
        <v>0</v>
      </c>
      <c r="AU32" s="511">
        <f t="shared" si="32"/>
        <v>0</v>
      </c>
      <c r="AV32" s="514">
        <f t="shared" si="32"/>
        <v>0</v>
      </c>
    </row>
    <row r="33" spans="1:43" s="6" customFormat="1" ht="18" customHeight="1" x14ac:dyDescent="0.2">
      <c r="B33" s="3" t="s">
        <v>1055</v>
      </c>
      <c r="C33" s="3"/>
      <c r="D33" s="1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43" ht="24" customHeight="1" x14ac:dyDescent="0.25">
      <c r="A34" s="6"/>
      <c r="B34" s="6458" t="s">
        <v>219</v>
      </c>
      <c r="C34" s="6458" t="s">
        <v>1056</v>
      </c>
      <c r="D34" s="6704" t="s">
        <v>1057</v>
      </c>
      <c r="E34" s="6451"/>
      <c r="F34" s="6704" t="s">
        <v>1048</v>
      </c>
      <c r="G34" s="6515"/>
      <c r="H34" s="6451"/>
      <c r="I34" s="6720" t="s">
        <v>1058</v>
      </c>
      <c r="J34" s="6721"/>
      <c r="K34" s="6721"/>
      <c r="L34" s="6721"/>
      <c r="M34" s="6721"/>
      <c r="N34" s="6722"/>
    </row>
    <row r="35" spans="1:43" ht="42" x14ac:dyDescent="0.25">
      <c r="A35" s="6"/>
      <c r="B35" s="6024"/>
      <c r="C35" s="6024"/>
      <c r="D35" s="744" t="s">
        <v>1051</v>
      </c>
      <c r="E35" s="549" t="s">
        <v>1059</v>
      </c>
      <c r="F35" s="744" t="s">
        <v>79</v>
      </c>
      <c r="G35" s="548" t="s">
        <v>58</v>
      </c>
      <c r="H35" s="779" t="s">
        <v>59</v>
      </c>
      <c r="I35" s="780" t="s">
        <v>1060</v>
      </c>
      <c r="J35" s="781" t="s">
        <v>1061</v>
      </c>
      <c r="K35" s="781" t="s">
        <v>1062</v>
      </c>
      <c r="L35" s="781" t="s">
        <v>1063</v>
      </c>
      <c r="M35" s="781" t="s">
        <v>1064</v>
      </c>
      <c r="N35" s="782" t="s">
        <v>1065</v>
      </c>
    </row>
    <row r="36" spans="1:43" ht="15" customHeight="1" x14ac:dyDescent="0.25">
      <c r="A36" s="5601" t="s">
        <v>5254</v>
      </c>
      <c r="B36" s="770" t="s">
        <v>1053</v>
      </c>
      <c r="C36" s="773" t="s">
        <v>4567</v>
      </c>
      <c r="D36" s="747" t="s">
        <v>4568</v>
      </c>
      <c r="E36" s="566" t="s">
        <v>4569</v>
      </c>
      <c r="F36" s="783" t="s">
        <v>4570</v>
      </c>
      <c r="G36" s="476" t="s">
        <v>4571</v>
      </c>
      <c r="H36" s="566" t="s">
        <v>4572</v>
      </c>
      <c r="I36" s="747" t="s">
        <v>4573</v>
      </c>
      <c r="J36" s="750" t="s">
        <v>4574</v>
      </c>
      <c r="K36" s="750" t="s">
        <v>4575</v>
      </c>
      <c r="L36" s="750" t="s">
        <v>4576</v>
      </c>
      <c r="M36" s="750" t="s">
        <v>4577</v>
      </c>
      <c r="N36" s="748" t="s">
        <v>4578</v>
      </c>
    </row>
    <row r="37" spans="1:43" ht="15" customHeight="1" x14ac:dyDescent="0.25">
      <c r="A37" s="5601" t="s">
        <v>5255</v>
      </c>
      <c r="B37" s="397" t="s">
        <v>1054</v>
      </c>
      <c r="C37" s="426" t="s">
        <v>4567</v>
      </c>
      <c r="D37" s="372" t="s">
        <v>4568</v>
      </c>
      <c r="E37" s="726" t="s">
        <v>4569</v>
      </c>
      <c r="F37" s="555" t="s">
        <v>4570</v>
      </c>
      <c r="G37" s="541" t="s">
        <v>4571</v>
      </c>
      <c r="H37" s="726" t="s">
        <v>4572</v>
      </c>
      <c r="I37" s="372" t="s">
        <v>4573</v>
      </c>
      <c r="J37" s="262" t="s">
        <v>4574</v>
      </c>
      <c r="K37" s="262" t="s">
        <v>4575</v>
      </c>
      <c r="L37" s="262" t="s">
        <v>4576</v>
      </c>
      <c r="M37" s="262" t="s">
        <v>4577</v>
      </c>
      <c r="N37" s="310" t="s">
        <v>4578</v>
      </c>
    </row>
    <row r="38" spans="1:43" ht="15" customHeight="1" x14ac:dyDescent="0.25">
      <c r="A38" s="5604"/>
      <c r="B38" s="777" t="s">
        <v>77</v>
      </c>
      <c r="C38" s="778">
        <f t="shared" ref="C38:N38" si="33">SUM(C36:C37)</f>
        <v>0</v>
      </c>
      <c r="D38" s="784">
        <f t="shared" si="33"/>
        <v>0</v>
      </c>
      <c r="E38" s="785">
        <f t="shared" si="33"/>
        <v>0</v>
      </c>
      <c r="F38" s="784">
        <f t="shared" si="33"/>
        <v>0</v>
      </c>
      <c r="G38" s="786">
        <f t="shared" si="33"/>
        <v>0</v>
      </c>
      <c r="H38" s="786">
        <f t="shared" si="33"/>
        <v>0</v>
      </c>
      <c r="I38" s="784">
        <f t="shared" si="33"/>
        <v>0</v>
      </c>
      <c r="J38" s="787">
        <f t="shared" si="33"/>
        <v>0</v>
      </c>
      <c r="K38" s="787">
        <f t="shared" si="33"/>
        <v>0</v>
      </c>
      <c r="L38" s="787">
        <f t="shared" si="33"/>
        <v>0</v>
      </c>
      <c r="M38" s="787">
        <f t="shared" si="33"/>
        <v>0</v>
      </c>
      <c r="N38" s="788">
        <f t="shared" si="33"/>
        <v>0</v>
      </c>
    </row>
    <row r="39" spans="1:43" s="6" customFormat="1" ht="18" customHeight="1" x14ac:dyDescent="0.2">
      <c r="B39" s="15" t="s">
        <v>1066</v>
      </c>
      <c r="C39" s="1"/>
      <c r="D39" s="1"/>
    </row>
    <row r="40" spans="1:43" x14ac:dyDescent="0.25">
      <c r="A40" s="6"/>
      <c r="B40" s="743" t="s">
        <v>219</v>
      </c>
      <c r="C40" s="487" t="s">
        <v>27</v>
      </c>
      <c r="D40" s="487" t="s">
        <v>452</v>
      </c>
    </row>
    <row r="41" spans="1:43" x14ac:dyDescent="0.25">
      <c r="A41" s="5601" t="s">
        <v>5256</v>
      </c>
      <c r="B41" s="6453" t="s">
        <v>1067</v>
      </c>
      <c r="C41" s="763" t="s">
        <v>1044</v>
      </c>
      <c r="D41" s="789" t="s">
        <v>4567</v>
      </c>
    </row>
    <row r="42" spans="1:43" x14ac:dyDescent="0.25">
      <c r="A42" s="5601" t="s">
        <v>5257</v>
      </c>
      <c r="B42" s="6059"/>
      <c r="C42" s="440" t="s">
        <v>1034</v>
      </c>
      <c r="D42" s="790" t="s">
        <v>4567</v>
      </c>
    </row>
    <row r="43" spans="1:43" x14ac:dyDescent="0.25">
      <c r="A43" s="5601" t="s">
        <v>5258</v>
      </c>
      <c r="B43" s="6453" t="s">
        <v>1068</v>
      </c>
      <c r="C43" s="763" t="s">
        <v>1044</v>
      </c>
      <c r="D43" s="789" t="s">
        <v>4567</v>
      </c>
    </row>
    <row r="44" spans="1:43" x14ac:dyDescent="0.25">
      <c r="A44" s="5601" t="s">
        <v>5259</v>
      </c>
      <c r="B44" s="6059"/>
      <c r="C44" s="523" t="s">
        <v>1034</v>
      </c>
      <c r="D44" s="776" t="s">
        <v>4567</v>
      </c>
    </row>
    <row r="45" spans="1:43" s="6" customFormat="1" ht="18" customHeight="1" x14ac:dyDescent="0.2">
      <c r="B45" s="3" t="s">
        <v>1069</v>
      </c>
      <c r="C45" s="791"/>
      <c r="D45" s="791"/>
      <c r="E45" s="792"/>
      <c r="F45" s="792"/>
      <c r="G45" s="792"/>
      <c r="H45" s="792"/>
      <c r="I45" s="792"/>
      <c r="J45" s="792"/>
      <c r="K45" s="792"/>
      <c r="L45" s="792"/>
      <c r="M45" s="793"/>
      <c r="N45" s="794"/>
      <c r="O45" s="795"/>
      <c r="P45" s="796"/>
      <c r="Q45" s="796"/>
      <c r="R45" s="796"/>
      <c r="S45" s="796"/>
      <c r="T45" s="796"/>
      <c r="U45" s="796"/>
      <c r="V45" s="796"/>
      <c r="W45" s="797"/>
      <c r="X45" s="796"/>
      <c r="Y45" s="796"/>
      <c r="Z45" s="796"/>
      <c r="AA45" s="796"/>
      <c r="AB45" s="796"/>
      <c r="AC45" s="796"/>
      <c r="AD45" s="796"/>
      <c r="AE45" s="796"/>
      <c r="AF45" s="796"/>
      <c r="AG45" s="796"/>
      <c r="AH45" s="796"/>
      <c r="AI45" s="796"/>
      <c r="AJ45" s="796"/>
      <c r="AK45" s="796"/>
      <c r="AL45" s="796"/>
      <c r="AM45" s="796"/>
      <c r="AN45" s="796"/>
      <c r="AO45" s="16"/>
      <c r="AP45" s="17"/>
      <c r="AQ45" s="17"/>
    </row>
    <row r="46" spans="1:43" ht="15" customHeight="1" x14ac:dyDescent="0.25">
      <c r="A46" s="6"/>
      <c r="B46" s="6708" t="s">
        <v>277</v>
      </c>
      <c r="C46" s="6709"/>
      <c r="D46" s="6714" t="s">
        <v>452</v>
      </c>
      <c r="E46" s="6715"/>
      <c r="F46" s="6716"/>
      <c r="G46" s="6704" t="s">
        <v>101</v>
      </c>
      <c r="H46" s="6515"/>
      <c r="I46" s="6515"/>
      <c r="J46" s="6515"/>
      <c r="K46" s="6515"/>
      <c r="L46" s="6515"/>
      <c r="M46" s="6515"/>
      <c r="N46" s="6515"/>
      <c r="O46" s="6515"/>
      <c r="P46" s="6515"/>
      <c r="Q46" s="6515"/>
      <c r="R46" s="6515"/>
      <c r="S46" s="6515"/>
      <c r="T46" s="6515"/>
      <c r="U46" s="6515"/>
      <c r="V46" s="6515"/>
      <c r="W46" s="6515"/>
      <c r="X46" s="6515"/>
      <c r="Y46" s="6515"/>
      <c r="Z46" s="6515"/>
      <c r="AA46" s="6515"/>
      <c r="AB46" s="6515"/>
      <c r="AC46" s="6515"/>
      <c r="AD46" s="6515"/>
      <c r="AE46" s="6515"/>
      <c r="AF46" s="6515"/>
      <c r="AG46" s="6515"/>
      <c r="AH46" s="6515"/>
      <c r="AI46" s="6515"/>
      <c r="AJ46" s="6515"/>
      <c r="AK46" s="6515"/>
      <c r="AL46" s="6455"/>
      <c r="AM46" s="6517" t="s">
        <v>597</v>
      </c>
      <c r="AN46" s="6645" t="s">
        <v>36</v>
      </c>
      <c r="AO46" s="6511" t="s">
        <v>37</v>
      </c>
    </row>
    <row r="47" spans="1:43" x14ac:dyDescent="0.25">
      <c r="A47" s="6"/>
      <c r="B47" s="6710"/>
      <c r="C47" s="6711"/>
      <c r="D47" s="6717"/>
      <c r="E47" s="6718"/>
      <c r="F47" s="6719"/>
      <c r="G47" s="6704" t="s">
        <v>326</v>
      </c>
      <c r="H47" s="6451"/>
      <c r="I47" s="6704" t="s">
        <v>94</v>
      </c>
      <c r="J47" s="6451"/>
      <c r="K47" s="6704" t="s">
        <v>44</v>
      </c>
      <c r="L47" s="6451"/>
      <c r="M47" s="6704" t="s">
        <v>45</v>
      </c>
      <c r="N47" s="6451"/>
      <c r="O47" s="6705" t="s">
        <v>46</v>
      </c>
      <c r="P47" s="6448"/>
      <c r="Q47" s="6705" t="s">
        <v>47</v>
      </c>
      <c r="R47" s="6448"/>
      <c r="S47" s="6705" t="s">
        <v>48</v>
      </c>
      <c r="T47" s="6448"/>
      <c r="U47" s="6705" t="s">
        <v>49</v>
      </c>
      <c r="V47" s="6448"/>
      <c r="W47" s="6705" t="s">
        <v>50</v>
      </c>
      <c r="X47" s="6448"/>
      <c r="Y47" s="6705" t="s">
        <v>51</v>
      </c>
      <c r="Z47" s="6448"/>
      <c r="AA47" s="6705" t="s">
        <v>52</v>
      </c>
      <c r="AB47" s="6448"/>
      <c r="AC47" s="6705" t="s">
        <v>53</v>
      </c>
      <c r="AD47" s="6448"/>
      <c r="AE47" s="6705" t="s">
        <v>54</v>
      </c>
      <c r="AF47" s="6448"/>
      <c r="AG47" s="6705" t="s">
        <v>55</v>
      </c>
      <c r="AH47" s="6448"/>
      <c r="AI47" s="6705" t="s">
        <v>56</v>
      </c>
      <c r="AJ47" s="6448"/>
      <c r="AK47" s="6705" t="s">
        <v>57</v>
      </c>
      <c r="AL47" s="6447"/>
      <c r="AM47" s="6034"/>
      <c r="AN47" s="6386"/>
      <c r="AO47" s="6027"/>
    </row>
    <row r="48" spans="1:43" x14ac:dyDescent="0.25">
      <c r="A48" s="6"/>
      <c r="B48" s="6712"/>
      <c r="C48" s="6713"/>
      <c r="D48" s="694" t="s">
        <v>79</v>
      </c>
      <c r="E48" s="799" t="s">
        <v>58</v>
      </c>
      <c r="F48" s="798" t="s">
        <v>59</v>
      </c>
      <c r="G48" s="744" t="s">
        <v>58</v>
      </c>
      <c r="H48" s="464" t="s">
        <v>59</v>
      </c>
      <c r="I48" s="744" t="s">
        <v>58</v>
      </c>
      <c r="J48" s="464" t="s">
        <v>59</v>
      </c>
      <c r="K48" s="744" t="s">
        <v>58</v>
      </c>
      <c r="L48" s="464" t="s">
        <v>59</v>
      </c>
      <c r="M48" s="744" t="s">
        <v>58</v>
      </c>
      <c r="N48" s="464" t="s">
        <v>59</v>
      </c>
      <c r="O48" s="744" t="s">
        <v>58</v>
      </c>
      <c r="P48" s="464" t="s">
        <v>59</v>
      </c>
      <c r="Q48" s="744" t="s">
        <v>58</v>
      </c>
      <c r="R48" s="464" t="s">
        <v>59</v>
      </c>
      <c r="S48" s="744" t="s">
        <v>58</v>
      </c>
      <c r="T48" s="464" t="s">
        <v>59</v>
      </c>
      <c r="U48" s="744" t="s">
        <v>58</v>
      </c>
      <c r="V48" s="464" t="s">
        <v>59</v>
      </c>
      <c r="W48" s="744" t="s">
        <v>58</v>
      </c>
      <c r="X48" s="464" t="s">
        <v>59</v>
      </c>
      <c r="Y48" s="744" t="s">
        <v>58</v>
      </c>
      <c r="Z48" s="464" t="s">
        <v>59</v>
      </c>
      <c r="AA48" s="744" t="s">
        <v>58</v>
      </c>
      <c r="AB48" s="464" t="s">
        <v>59</v>
      </c>
      <c r="AC48" s="744" t="s">
        <v>58</v>
      </c>
      <c r="AD48" s="464" t="s">
        <v>59</v>
      </c>
      <c r="AE48" s="744" t="s">
        <v>58</v>
      </c>
      <c r="AF48" s="464" t="s">
        <v>59</v>
      </c>
      <c r="AG48" s="744" t="s">
        <v>58</v>
      </c>
      <c r="AH48" s="464" t="s">
        <v>59</v>
      </c>
      <c r="AI48" s="744" t="s">
        <v>58</v>
      </c>
      <c r="AJ48" s="464" t="s">
        <v>59</v>
      </c>
      <c r="AK48" s="547" t="s">
        <v>58</v>
      </c>
      <c r="AL48" s="465" t="s">
        <v>59</v>
      </c>
      <c r="AM48" s="6035"/>
      <c r="AN48" s="6086"/>
      <c r="AO48" s="6703"/>
    </row>
    <row r="49" spans="1:92" x14ac:dyDescent="0.25">
      <c r="A49" s="5601" t="s">
        <v>5260</v>
      </c>
      <c r="B49" s="800" t="s">
        <v>915</v>
      </c>
      <c r="C49" s="800" t="s">
        <v>1070</v>
      </c>
      <c r="D49" s="733" t="s">
        <v>4567</v>
      </c>
      <c r="E49" s="746" t="s">
        <v>4568</v>
      </c>
      <c r="F49" s="606" t="s">
        <v>4569</v>
      </c>
      <c r="G49" s="747" t="s">
        <v>4570</v>
      </c>
      <c r="H49" s="476" t="s">
        <v>4571</v>
      </c>
      <c r="I49" s="747" t="s">
        <v>4572</v>
      </c>
      <c r="J49" s="476" t="s">
        <v>4573</v>
      </c>
      <c r="K49" s="747" t="s">
        <v>4574</v>
      </c>
      <c r="L49" s="748" t="s">
        <v>4575</v>
      </c>
      <c r="M49" s="747" t="s">
        <v>4576</v>
      </c>
      <c r="N49" s="748" t="s">
        <v>4577</v>
      </c>
      <c r="O49" s="749" t="s">
        <v>4578</v>
      </c>
      <c r="P49" s="748" t="s">
        <v>4579</v>
      </c>
      <c r="Q49" s="749" t="s">
        <v>4580</v>
      </c>
      <c r="R49" s="748" t="s">
        <v>4581</v>
      </c>
      <c r="S49" s="749" t="s">
        <v>4582</v>
      </c>
      <c r="T49" s="748" t="s">
        <v>4583</v>
      </c>
      <c r="U49" s="749" t="s">
        <v>4584</v>
      </c>
      <c r="V49" s="748" t="s">
        <v>4585</v>
      </c>
      <c r="W49" s="749" t="s">
        <v>4586</v>
      </c>
      <c r="X49" s="748" t="s">
        <v>4587</v>
      </c>
      <c r="Y49" s="749" t="s">
        <v>4588</v>
      </c>
      <c r="Z49" s="748" t="s">
        <v>4589</v>
      </c>
      <c r="AA49" s="749" t="s">
        <v>4590</v>
      </c>
      <c r="AB49" s="748" t="s">
        <v>4591</v>
      </c>
      <c r="AC49" s="749" t="s">
        <v>4592</v>
      </c>
      <c r="AD49" s="748" t="s">
        <v>4593</v>
      </c>
      <c r="AE49" s="749" t="s">
        <v>4594</v>
      </c>
      <c r="AF49" s="748" t="s">
        <v>4595</v>
      </c>
      <c r="AG49" s="749" t="s">
        <v>4596</v>
      </c>
      <c r="AH49" s="748" t="s">
        <v>4597</v>
      </c>
      <c r="AI49" s="749" t="s">
        <v>4598</v>
      </c>
      <c r="AJ49" s="748" t="s">
        <v>4599</v>
      </c>
      <c r="AK49" s="552" t="s">
        <v>4600</v>
      </c>
      <c r="AL49" s="736" t="s">
        <v>4601</v>
      </c>
      <c r="AM49" s="801" t="s">
        <v>4602</v>
      </c>
      <c r="AN49" s="802" t="s">
        <v>4603</v>
      </c>
      <c r="AO49" s="803" t="s">
        <v>4604</v>
      </c>
      <c r="AP49" t="str">
        <f>CB49&amp;CC49&amp;CD49&amp;CE49</f>
        <v xml:space="preserve">  * La variable Beneficiarios No puede ser mayor al Total Ambos Sexos.  * La variable Pueblos originarios No puede ser mayor al Total Ambos Sexos.  * La variable Migrantes No puede ser mayor al Total Ambos Sexos.</v>
      </c>
      <c r="CB49" s="2946" t="str">
        <f>IF(AND($D49&gt;0,AM49="")," * No olvide digitar la variable Beneficiarios. Digite Cero si no tiene.",IF(AM49&gt;$D49,"  * La variable Beneficiarios No puede ser mayor al Total Ambos Sexos.",""))</f>
        <v xml:space="preserve">  * La variable Beneficiarios No puede ser mayor al Total Ambos Sexos.</v>
      </c>
      <c r="CC49" s="2946" t="str">
        <f>IF(AND($D49&gt;0,AN49=""),"  * No olvide digitar la variable Pueblos originarios. Digite Cero si no tiene.",IF(AN49&gt;$D49,"  * La variable Pueblos originarios No puede ser mayor al Total Ambos Sexos.",""))</f>
        <v xml:space="preserve">  * La variable Pueblos originarios No puede ser mayor al Total Ambos Sexos.</v>
      </c>
      <c r="CD49" s="2946" t="str">
        <f>IF(AND($D49&gt;0,AO49="")," * No olvide digitar la variable Migrantes. Digite Cero si no tiene.",IF(AO49&gt;$D49,"  * La variable Migrantes No puede ser mayor al Total Ambos Sexos.",""))</f>
        <v xml:space="preserve">  * La variable Migrantes No puede ser mayor al Total Ambos Sexos.</v>
      </c>
      <c r="CL49" s="1867">
        <f>IF(AND(D49&gt;0,AM49=""),1,IF(AM49&gt;D49,1,0))</f>
        <v>1</v>
      </c>
      <c r="CM49" s="1867">
        <f>IF(AND(D49&gt;0,AN49=""),1,IF(AN49&gt;D49,1,0))</f>
        <v>1</v>
      </c>
      <c r="CN49" s="1867">
        <f>IF(AND(D49&gt;0,AO49=""),1,IF(AO49&gt;D49,1,0))</f>
        <v>1</v>
      </c>
    </row>
    <row r="50" spans="1:92" x14ac:dyDescent="0.25">
      <c r="A50" s="5601" t="s">
        <v>5261</v>
      </c>
      <c r="B50" s="701" t="s">
        <v>1071</v>
      </c>
      <c r="C50" s="701" t="s">
        <v>1070</v>
      </c>
      <c r="D50" s="323" t="s">
        <v>4567</v>
      </c>
      <c r="E50" s="317" t="s">
        <v>4568</v>
      </c>
      <c r="F50" s="616" t="s">
        <v>4569</v>
      </c>
      <c r="G50" s="372" t="s">
        <v>4570</v>
      </c>
      <c r="H50" s="541" t="s">
        <v>4571</v>
      </c>
      <c r="I50" s="372" t="s">
        <v>4572</v>
      </c>
      <c r="J50" s="541" t="s">
        <v>4573</v>
      </c>
      <c r="K50" s="372" t="s">
        <v>4574</v>
      </c>
      <c r="L50" s="310" t="s">
        <v>4575</v>
      </c>
      <c r="M50" s="372" t="s">
        <v>4576</v>
      </c>
      <c r="N50" s="310" t="s">
        <v>4577</v>
      </c>
      <c r="O50" s="772" t="s">
        <v>4578</v>
      </c>
      <c r="P50" s="310" t="s">
        <v>4579</v>
      </c>
      <c r="Q50" s="772" t="s">
        <v>4580</v>
      </c>
      <c r="R50" s="310" t="s">
        <v>4581</v>
      </c>
      <c r="S50" s="772" t="s">
        <v>4582</v>
      </c>
      <c r="T50" s="310" t="s">
        <v>4583</v>
      </c>
      <c r="U50" s="772" t="s">
        <v>4584</v>
      </c>
      <c r="V50" s="310" t="s">
        <v>4585</v>
      </c>
      <c r="W50" s="772" t="s">
        <v>4586</v>
      </c>
      <c r="X50" s="310" t="s">
        <v>4587</v>
      </c>
      <c r="Y50" s="772" t="s">
        <v>4588</v>
      </c>
      <c r="Z50" s="310" t="s">
        <v>4589</v>
      </c>
      <c r="AA50" s="772" t="s">
        <v>4590</v>
      </c>
      <c r="AB50" s="310" t="s">
        <v>4591</v>
      </c>
      <c r="AC50" s="772" t="s">
        <v>4592</v>
      </c>
      <c r="AD50" s="310" t="s">
        <v>4593</v>
      </c>
      <c r="AE50" s="772" t="s">
        <v>4594</v>
      </c>
      <c r="AF50" s="310" t="s">
        <v>4595</v>
      </c>
      <c r="AG50" s="772" t="s">
        <v>4596</v>
      </c>
      <c r="AH50" s="310" t="s">
        <v>4597</v>
      </c>
      <c r="AI50" s="772" t="s">
        <v>4598</v>
      </c>
      <c r="AJ50" s="310" t="s">
        <v>4599</v>
      </c>
      <c r="AK50" s="643" t="s">
        <v>4600</v>
      </c>
      <c r="AL50" s="297" t="s">
        <v>4601</v>
      </c>
      <c r="AM50" s="319" t="s">
        <v>4602</v>
      </c>
      <c r="AN50" s="320" t="s">
        <v>4603</v>
      </c>
      <c r="AO50" s="804" t="s">
        <v>4604</v>
      </c>
      <c r="AP50" t="str">
        <f>CB50&amp;CC50&amp;CD50&amp;CE50</f>
        <v xml:space="preserve">  * La variable Beneficiarios No puede ser mayor al Total Ambos Sexos.  * La variable Pueblos originarios No puede ser mayor al Total Ambos Sexos.  * La variable Migrantes No puede ser mayor al Total Ambos Sexos.</v>
      </c>
      <c r="CB50" s="2946" t="str">
        <f>IF(AND($D50&gt;0,AM50="")," * No olvide digitar la variable Beneficiarios. Digite Cero si no tiene.",IF(AM50&gt;$D50,"  * La variable Beneficiarios No puede ser mayor al Total Ambos Sexos.",""))</f>
        <v xml:space="preserve">  * La variable Beneficiarios No puede ser mayor al Total Ambos Sexos.</v>
      </c>
      <c r="CC50" s="2946" t="str">
        <f>IF(AND($D50&gt;0,AN50=""),"  * No olvide digitar la variable Pueblos originarios. Digite Cero si no tiene.",IF(AN50&gt;$D50,"  * La variable Pueblos originarios No puede ser mayor al Total Ambos Sexos.",""))</f>
        <v xml:space="preserve">  * La variable Pueblos originarios No puede ser mayor al Total Ambos Sexos.</v>
      </c>
      <c r="CD50" s="2946" t="str">
        <f>IF(AND($D50&gt;0,AO50="")," * No olvide digitar la variable Migrantes. Digite Cero si no tiene.",IF(AO50&gt;$D50,"  * La variable Migrantes No puede ser mayor al Total Ambos Sexos.",""))</f>
        <v xml:space="preserve">  * La variable Migrantes No puede ser mayor al Total Ambos Sexos.</v>
      </c>
      <c r="CL50" s="1867">
        <f>IF(AND(D50&gt;0,AM50=""),1,IF(AM50&gt;D50,1,0))</f>
        <v>1</v>
      </c>
      <c r="CM50" s="1867">
        <f>IF(AND(D50&gt;0,AN50=""),1,IF(AN50&gt;D50,1,0))</f>
        <v>1</v>
      </c>
      <c r="CN50" s="1867">
        <f>IF(AND(D50&gt;0,AO50=""),1,IF(AO50&gt;D50,1,0))</f>
        <v>1</v>
      </c>
    </row>
    <row r="51" spans="1:92" s="6" customFormat="1" ht="18" customHeight="1" x14ac:dyDescent="0.2">
      <c r="B51" s="6723" t="s">
        <v>1072</v>
      </c>
      <c r="C51" s="6723"/>
      <c r="D51" s="6723"/>
      <c r="E51" s="6723"/>
      <c r="F51" s="6723"/>
      <c r="G51" s="6723"/>
      <c r="H51" s="6723"/>
      <c r="I51" s="6723"/>
      <c r="J51" s="6723"/>
      <c r="K51" s="6723"/>
      <c r="L51" s="6723"/>
      <c r="M51" s="6723"/>
      <c r="N51" s="6723"/>
      <c r="O51" s="57"/>
      <c r="P51" s="58"/>
      <c r="Q51" s="58"/>
      <c r="R51" s="58"/>
      <c r="S51" s="58"/>
      <c r="T51" s="58"/>
      <c r="U51" s="58"/>
      <c r="V51" s="58"/>
      <c r="W51" s="59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60"/>
    </row>
    <row r="52" spans="1:92" ht="15" customHeight="1" x14ac:dyDescent="0.25">
      <c r="A52" s="6"/>
      <c r="B52" s="6708" t="s">
        <v>219</v>
      </c>
      <c r="C52" s="6709"/>
      <c r="D52" s="6715" t="s">
        <v>452</v>
      </c>
      <c r="E52" s="6715"/>
      <c r="F52" s="6716"/>
      <c r="G52" s="6724" t="s">
        <v>101</v>
      </c>
      <c r="H52" s="6725"/>
      <c r="I52" s="6725"/>
      <c r="J52" s="6725"/>
      <c r="K52" s="6725"/>
      <c r="L52" s="6725"/>
      <c r="M52" s="6725"/>
      <c r="N52" s="6725"/>
      <c r="O52" s="6725"/>
      <c r="P52" s="6725"/>
      <c r="Q52" s="6725"/>
      <c r="R52" s="6725"/>
      <c r="S52" s="6725"/>
      <c r="T52" s="6725"/>
      <c r="U52" s="6725"/>
      <c r="V52" s="6725"/>
      <c r="W52" s="6725"/>
      <c r="X52" s="6725"/>
      <c r="Y52" s="6725"/>
      <c r="Z52" s="6725"/>
      <c r="AA52" s="6725"/>
      <c r="AB52" s="6725"/>
      <c r="AC52" s="6725"/>
      <c r="AD52" s="6725"/>
      <c r="AE52" s="6725"/>
      <c r="AF52" s="6725"/>
      <c r="AG52" s="6725"/>
      <c r="AH52" s="6725"/>
      <c r="AI52" s="6725"/>
      <c r="AJ52" s="6725"/>
      <c r="AK52" s="6725"/>
      <c r="AL52" s="6726"/>
      <c r="AM52" s="6517" t="s">
        <v>36</v>
      </c>
      <c r="AN52" s="6511" t="s">
        <v>37</v>
      </c>
    </row>
    <row r="53" spans="1:92" x14ac:dyDescent="0.25">
      <c r="A53" s="6"/>
      <c r="B53" s="6710"/>
      <c r="C53" s="6711"/>
      <c r="D53" s="6718"/>
      <c r="E53" s="6718"/>
      <c r="F53" s="6719"/>
      <c r="G53" s="6704" t="s">
        <v>326</v>
      </c>
      <c r="H53" s="6451"/>
      <c r="I53" s="6704" t="s">
        <v>94</v>
      </c>
      <c r="J53" s="6451"/>
      <c r="K53" s="6704" t="s">
        <v>44</v>
      </c>
      <c r="L53" s="6451"/>
      <c r="M53" s="6704" t="s">
        <v>45</v>
      </c>
      <c r="N53" s="6451"/>
      <c r="O53" s="6705" t="s">
        <v>46</v>
      </c>
      <c r="P53" s="6448"/>
      <c r="Q53" s="6705" t="s">
        <v>47</v>
      </c>
      <c r="R53" s="6448"/>
      <c r="S53" s="6705" t="s">
        <v>48</v>
      </c>
      <c r="T53" s="6448"/>
      <c r="U53" s="6705" t="s">
        <v>49</v>
      </c>
      <c r="V53" s="6448"/>
      <c r="W53" s="6705" t="s">
        <v>50</v>
      </c>
      <c r="X53" s="6448"/>
      <c r="Y53" s="6705" t="s">
        <v>51</v>
      </c>
      <c r="Z53" s="6448"/>
      <c r="AA53" s="6705" t="s">
        <v>52</v>
      </c>
      <c r="AB53" s="6448"/>
      <c r="AC53" s="6705" t="s">
        <v>53</v>
      </c>
      <c r="AD53" s="6448"/>
      <c r="AE53" s="6705" t="s">
        <v>54</v>
      </c>
      <c r="AF53" s="6448"/>
      <c r="AG53" s="6705" t="s">
        <v>55</v>
      </c>
      <c r="AH53" s="6448"/>
      <c r="AI53" s="6705" t="s">
        <v>56</v>
      </c>
      <c r="AJ53" s="6448"/>
      <c r="AK53" s="6705" t="s">
        <v>57</v>
      </c>
      <c r="AL53" s="6447"/>
      <c r="AM53" s="6034"/>
      <c r="AN53" s="6027"/>
    </row>
    <row r="54" spans="1:92" x14ac:dyDescent="0.25">
      <c r="A54" s="6"/>
      <c r="B54" s="6712"/>
      <c r="C54" s="6713"/>
      <c r="D54" s="807" t="s">
        <v>79</v>
      </c>
      <c r="E54" s="808" t="s">
        <v>58</v>
      </c>
      <c r="F54" s="139" t="s">
        <v>59</v>
      </c>
      <c r="G54" s="463" t="s">
        <v>58</v>
      </c>
      <c r="H54" s="486" t="s">
        <v>59</v>
      </c>
      <c r="I54" s="463" t="s">
        <v>58</v>
      </c>
      <c r="J54" s="486" t="s">
        <v>59</v>
      </c>
      <c r="K54" s="463" t="s">
        <v>58</v>
      </c>
      <c r="L54" s="486" t="s">
        <v>59</v>
      </c>
      <c r="M54" s="463" t="s">
        <v>58</v>
      </c>
      <c r="N54" s="486" t="s">
        <v>59</v>
      </c>
      <c r="O54" s="463" t="s">
        <v>58</v>
      </c>
      <c r="P54" s="486" t="s">
        <v>59</v>
      </c>
      <c r="Q54" s="463" t="s">
        <v>58</v>
      </c>
      <c r="R54" s="486" t="s">
        <v>59</v>
      </c>
      <c r="S54" s="463" t="s">
        <v>58</v>
      </c>
      <c r="T54" s="486" t="s">
        <v>59</v>
      </c>
      <c r="U54" s="463" t="s">
        <v>58</v>
      </c>
      <c r="V54" s="486" t="s">
        <v>59</v>
      </c>
      <c r="W54" s="463" t="s">
        <v>58</v>
      </c>
      <c r="X54" s="486" t="s">
        <v>59</v>
      </c>
      <c r="Y54" s="463" t="s">
        <v>58</v>
      </c>
      <c r="Z54" s="486" t="s">
        <v>59</v>
      </c>
      <c r="AA54" s="463" t="s">
        <v>58</v>
      </c>
      <c r="AB54" s="486" t="s">
        <v>59</v>
      </c>
      <c r="AC54" s="463" t="s">
        <v>58</v>
      </c>
      <c r="AD54" s="486" t="s">
        <v>59</v>
      </c>
      <c r="AE54" s="463" t="s">
        <v>58</v>
      </c>
      <c r="AF54" s="486" t="s">
        <v>59</v>
      </c>
      <c r="AG54" s="463" t="s">
        <v>58</v>
      </c>
      <c r="AH54" s="486" t="s">
        <v>59</v>
      </c>
      <c r="AI54" s="463" t="s">
        <v>58</v>
      </c>
      <c r="AJ54" s="486" t="s">
        <v>59</v>
      </c>
      <c r="AK54" s="53" t="s">
        <v>58</v>
      </c>
      <c r="AL54" s="321" t="s">
        <v>59</v>
      </c>
      <c r="AM54" s="6035"/>
      <c r="AN54" s="6703"/>
    </row>
    <row r="55" spans="1:92" x14ac:dyDescent="0.25">
      <c r="A55" s="5601" t="s">
        <v>5262</v>
      </c>
      <c r="B55" s="6633" t="s">
        <v>1073</v>
      </c>
      <c r="C55" s="809" t="s">
        <v>64</v>
      </c>
      <c r="D55" s="733" t="s">
        <v>4567</v>
      </c>
      <c r="E55" s="746" t="s">
        <v>4568</v>
      </c>
      <c r="F55" s="606" t="s">
        <v>4569</v>
      </c>
      <c r="G55" s="747" t="s">
        <v>4570</v>
      </c>
      <c r="H55" s="566" t="s">
        <v>4571</v>
      </c>
      <c r="I55" s="747" t="s">
        <v>4572</v>
      </c>
      <c r="J55" s="748" t="s">
        <v>4573</v>
      </c>
      <c r="K55" s="747" t="s">
        <v>4574</v>
      </c>
      <c r="L55" s="748" t="s">
        <v>4575</v>
      </c>
      <c r="M55" s="747" t="s">
        <v>4576</v>
      </c>
      <c r="N55" s="748" t="s">
        <v>4577</v>
      </c>
      <c r="O55" s="749" t="s">
        <v>4578</v>
      </c>
      <c r="P55" s="748" t="s">
        <v>4579</v>
      </c>
      <c r="Q55" s="749" t="s">
        <v>4580</v>
      </c>
      <c r="R55" s="748" t="s">
        <v>4581</v>
      </c>
      <c r="S55" s="749" t="s">
        <v>4582</v>
      </c>
      <c r="T55" s="748" t="s">
        <v>4583</v>
      </c>
      <c r="U55" s="749" t="s">
        <v>4584</v>
      </c>
      <c r="V55" s="748" t="s">
        <v>4585</v>
      </c>
      <c r="W55" s="749" t="s">
        <v>4586</v>
      </c>
      <c r="X55" s="748" t="s">
        <v>4587</v>
      </c>
      <c r="Y55" s="749" t="s">
        <v>4588</v>
      </c>
      <c r="Z55" s="748" t="s">
        <v>4589</v>
      </c>
      <c r="AA55" s="749" t="s">
        <v>4590</v>
      </c>
      <c r="AB55" s="748" t="s">
        <v>4591</v>
      </c>
      <c r="AC55" s="749" t="s">
        <v>4592</v>
      </c>
      <c r="AD55" s="748" t="s">
        <v>4593</v>
      </c>
      <c r="AE55" s="749" t="s">
        <v>4594</v>
      </c>
      <c r="AF55" s="748" t="s">
        <v>4595</v>
      </c>
      <c r="AG55" s="749" t="s">
        <v>4596</v>
      </c>
      <c r="AH55" s="748" t="s">
        <v>4597</v>
      </c>
      <c r="AI55" s="749" t="s">
        <v>4598</v>
      </c>
      <c r="AJ55" s="748" t="s">
        <v>4599</v>
      </c>
      <c r="AK55" s="749" t="s">
        <v>4600</v>
      </c>
      <c r="AL55" s="736" t="s">
        <v>4601</v>
      </c>
      <c r="AM55" s="801" t="s">
        <v>4602</v>
      </c>
      <c r="AN55" s="803" t="s">
        <v>4603</v>
      </c>
      <c r="AO55" t="str">
        <f t="shared" ref="AO55:AO76" si="34">CB55&amp;CC55&amp;CD55</f>
        <v xml:space="preserve"> * La variable Pueblos Originarios no puede ser mayor al Total Ambos Sexos. * La variable Migrantes no puede ser mayor al Total Ambos Sexos.</v>
      </c>
      <c r="CB55" s="2946" t="str">
        <f>IF(AND($D55&gt;0,AM55="")," * No olvide digitar la variable Pueblos Originarios. Digite cero si no tiene.",IF(AM55&gt;$D55," * La variable Pueblos Originarios no puede ser mayor al Total Ambos Sexos.",""))</f>
        <v xml:space="preserve"> * La variable Pueblos Originarios no puede ser mayor al Total Ambos Sexos.</v>
      </c>
      <c r="CC55" s="2946" t="str">
        <f>IF(AND($D55&gt;0,AN55="")," * No olvide digitar la variable Migrantes. Digite cero si no tiene.",IF(AN55&gt;$D55," * La variable Migrantes no puede ser mayor al Total Ambos Sexos.",""))</f>
        <v xml:space="preserve"> * La variable Migrantes no puede ser mayor al Total Ambos Sexos.</v>
      </c>
      <c r="CL55" s="1867">
        <f t="shared" ref="CL55:CL76" si="35">IF(AND(D55&gt;0,AM55=""),1,IF(AM55&gt;D55,1,0))</f>
        <v>1</v>
      </c>
      <c r="CM55" s="1867">
        <f t="shared" ref="CM55:CM76" si="36">IF(AND(D55&gt;0,AN55=""),1,IF(AN55&gt;D55,1,0))</f>
        <v>1</v>
      </c>
    </row>
    <row r="56" spans="1:92" x14ac:dyDescent="0.25">
      <c r="A56" s="5601" t="s">
        <v>5263</v>
      </c>
      <c r="B56" s="6727"/>
      <c r="C56" s="810" t="s">
        <v>1044</v>
      </c>
      <c r="D56" s="737" t="s">
        <v>4567</v>
      </c>
      <c r="E56" s="751" t="s">
        <v>4568</v>
      </c>
      <c r="F56" s="344" t="s">
        <v>4569</v>
      </c>
      <c r="G56" s="345" t="s">
        <v>4570</v>
      </c>
      <c r="H56" s="346" t="s">
        <v>4571</v>
      </c>
      <c r="I56" s="345" t="s">
        <v>4572</v>
      </c>
      <c r="J56" s="349" t="s">
        <v>4573</v>
      </c>
      <c r="K56" s="345" t="s">
        <v>4574</v>
      </c>
      <c r="L56" s="349" t="s">
        <v>4575</v>
      </c>
      <c r="M56" s="345" t="s">
        <v>4576</v>
      </c>
      <c r="N56" s="349" t="s">
        <v>4577</v>
      </c>
      <c r="O56" s="350" t="s">
        <v>4578</v>
      </c>
      <c r="P56" s="349" t="s">
        <v>4579</v>
      </c>
      <c r="Q56" s="350" t="s">
        <v>4580</v>
      </c>
      <c r="R56" s="349" t="s">
        <v>4581</v>
      </c>
      <c r="S56" s="350" t="s">
        <v>4582</v>
      </c>
      <c r="T56" s="349" t="s">
        <v>4583</v>
      </c>
      <c r="U56" s="350" t="s">
        <v>4584</v>
      </c>
      <c r="V56" s="349" t="s">
        <v>4585</v>
      </c>
      <c r="W56" s="350" t="s">
        <v>4586</v>
      </c>
      <c r="X56" s="349" t="s">
        <v>4587</v>
      </c>
      <c r="Y56" s="350" t="s">
        <v>4588</v>
      </c>
      <c r="Z56" s="349" t="s">
        <v>4589</v>
      </c>
      <c r="AA56" s="350" t="s">
        <v>4590</v>
      </c>
      <c r="AB56" s="349" t="s">
        <v>4591</v>
      </c>
      <c r="AC56" s="350" t="s">
        <v>4592</v>
      </c>
      <c r="AD56" s="349" t="s">
        <v>4593</v>
      </c>
      <c r="AE56" s="350" t="s">
        <v>4594</v>
      </c>
      <c r="AF56" s="349" t="s">
        <v>4595</v>
      </c>
      <c r="AG56" s="350" t="s">
        <v>4596</v>
      </c>
      <c r="AH56" s="349" t="s">
        <v>4597</v>
      </c>
      <c r="AI56" s="350" t="s">
        <v>4598</v>
      </c>
      <c r="AJ56" s="349" t="s">
        <v>4599</v>
      </c>
      <c r="AK56" s="350" t="s">
        <v>4600</v>
      </c>
      <c r="AL56" s="351" t="s">
        <v>4601</v>
      </c>
      <c r="AM56" s="811" t="s">
        <v>4602</v>
      </c>
      <c r="AN56" s="812" t="s">
        <v>4603</v>
      </c>
      <c r="AO56" t="str">
        <f t="shared" si="34"/>
        <v xml:space="preserve"> * La variable Pueblos Originarios no puede ser mayor al Total Ambos Sexos. * La variable Migrantes no puede ser mayor al Total Ambos Sexos.</v>
      </c>
      <c r="CB56" s="2946" t="str">
        <f t="shared" ref="CB56:CB76" si="37">IF(AND($D56&gt;0,AM56="")," * No olvide digitar la variable Pueblos Originarios. Digite cero si no tiene.",IF(AM56&gt;$D56," * La variable Pueblos Originarios no puede ser mayor al Total Ambos Sexos.",""))</f>
        <v xml:space="preserve"> * La variable Pueblos Originarios no puede ser mayor al Total Ambos Sexos.</v>
      </c>
      <c r="CC56" s="2946" t="str">
        <f t="shared" ref="CC56:CC76" si="38">IF(AND($D56&gt;0,AN56="")," * No olvide digitar la variable Migrantes. Digite cero si no tiene.",IF(AN56&gt;$D56," * La variable Migrantes no puede ser mayor al Total Ambos Sexos.",""))</f>
        <v xml:space="preserve"> * La variable Migrantes no puede ser mayor al Total Ambos Sexos.</v>
      </c>
      <c r="CL56" s="1867">
        <f t="shared" si="35"/>
        <v>1</v>
      </c>
      <c r="CM56" s="1867">
        <f t="shared" si="36"/>
        <v>1</v>
      </c>
    </row>
    <row r="57" spans="1:92" x14ac:dyDescent="0.25">
      <c r="A57" s="5601" t="s">
        <v>5264</v>
      </c>
      <c r="B57" s="6727"/>
      <c r="C57" s="810" t="s">
        <v>1034</v>
      </c>
      <c r="D57" s="737" t="s">
        <v>4567</v>
      </c>
      <c r="E57" s="751" t="s">
        <v>4568</v>
      </c>
      <c r="F57" s="344" t="s">
        <v>4569</v>
      </c>
      <c r="G57" s="345" t="s">
        <v>4570</v>
      </c>
      <c r="H57" s="346" t="s">
        <v>4571</v>
      </c>
      <c r="I57" s="345" t="s">
        <v>4572</v>
      </c>
      <c r="J57" s="349" t="s">
        <v>4573</v>
      </c>
      <c r="K57" s="345" t="s">
        <v>4574</v>
      </c>
      <c r="L57" s="349" t="s">
        <v>4575</v>
      </c>
      <c r="M57" s="345" t="s">
        <v>4576</v>
      </c>
      <c r="N57" s="349" t="s">
        <v>4577</v>
      </c>
      <c r="O57" s="350" t="s">
        <v>4578</v>
      </c>
      <c r="P57" s="349" t="s">
        <v>4579</v>
      </c>
      <c r="Q57" s="350" t="s">
        <v>4580</v>
      </c>
      <c r="R57" s="349" t="s">
        <v>4581</v>
      </c>
      <c r="S57" s="350" t="s">
        <v>4582</v>
      </c>
      <c r="T57" s="349" t="s">
        <v>4583</v>
      </c>
      <c r="U57" s="350" t="s">
        <v>4584</v>
      </c>
      <c r="V57" s="349" t="s">
        <v>4585</v>
      </c>
      <c r="W57" s="350" t="s">
        <v>4586</v>
      </c>
      <c r="X57" s="349" t="s">
        <v>4587</v>
      </c>
      <c r="Y57" s="350" t="s">
        <v>4588</v>
      </c>
      <c r="Z57" s="349" t="s">
        <v>4589</v>
      </c>
      <c r="AA57" s="350" t="s">
        <v>4590</v>
      </c>
      <c r="AB57" s="349" t="s">
        <v>4591</v>
      </c>
      <c r="AC57" s="350" t="s">
        <v>4592</v>
      </c>
      <c r="AD57" s="349" t="s">
        <v>4593</v>
      </c>
      <c r="AE57" s="350" t="s">
        <v>4594</v>
      </c>
      <c r="AF57" s="349" t="s">
        <v>4595</v>
      </c>
      <c r="AG57" s="350" t="s">
        <v>4596</v>
      </c>
      <c r="AH57" s="349" t="s">
        <v>4597</v>
      </c>
      <c r="AI57" s="350" t="s">
        <v>4598</v>
      </c>
      <c r="AJ57" s="349" t="s">
        <v>4599</v>
      </c>
      <c r="AK57" s="350" t="s">
        <v>4600</v>
      </c>
      <c r="AL57" s="351" t="s">
        <v>4601</v>
      </c>
      <c r="AM57" s="811" t="s">
        <v>4602</v>
      </c>
      <c r="AN57" s="812" t="s">
        <v>4603</v>
      </c>
      <c r="AO57" t="str">
        <f t="shared" si="34"/>
        <v xml:space="preserve"> * La variable Pueblos Originarios no puede ser mayor al Total Ambos Sexos. * La variable Migrantes no puede ser mayor al Total Ambos Sexos.</v>
      </c>
      <c r="CB57" s="2946" t="str">
        <f t="shared" si="37"/>
        <v xml:space="preserve"> * La variable Pueblos Originarios no puede ser mayor al Total Ambos Sexos.</v>
      </c>
      <c r="CC57" s="2946" t="str">
        <f t="shared" si="38"/>
        <v xml:space="preserve"> * La variable Migrantes no puede ser mayor al Total Ambos Sexos.</v>
      </c>
      <c r="CL57" s="1867">
        <f t="shared" si="35"/>
        <v>1</v>
      </c>
      <c r="CM57" s="1867">
        <f t="shared" si="36"/>
        <v>1</v>
      </c>
    </row>
    <row r="58" spans="1:92" x14ac:dyDescent="0.25">
      <c r="A58" s="5601" t="s">
        <v>5265</v>
      </c>
      <c r="B58" s="6727"/>
      <c r="C58" s="810" t="s">
        <v>1074</v>
      </c>
      <c r="D58" s="737" t="s">
        <v>4567</v>
      </c>
      <c r="E58" s="751" t="s">
        <v>4568</v>
      </c>
      <c r="F58" s="344" t="s">
        <v>4569</v>
      </c>
      <c r="G58" s="345" t="s">
        <v>4570</v>
      </c>
      <c r="H58" s="346" t="s">
        <v>4571</v>
      </c>
      <c r="I58" s="345" t="s">
        <v>4572</v>
      </c>
      <c r="J58" s="349" t="s">
        <v>4573</v>
      </c>
      <c r="K58" s="345" t="s">
        <v>4574</v>
      </c>
      <c r="L58" s="349" t="s">
        <v>4575</v>
      </c>
      <c r="M58" s="345" t="s">
        <v>4576</v>
      </c>
      <c r="N58" s="349" t="s">
        <v>4577</v>
      </c>
      <c r="O58" s="350" t="s">
        <v>4578</v>
      </c>
      <c r="P58" s="349" t="s">
        <v>4579</v>
      </c>
      <c r="Q58" s="350" t="s">
        <v>4580</v>
      </c>
      <c r="R58" s="349" t="s">
        <v>4581</v>
      </c>
      <c r="S58" s="350" t="s">
        <v>4582</v>
      </c>
      <c r="T58" s="349" t="s">
        <v>4583</v>
      </c>
      <c r="U58" s="350" t="s">
        <v>4584</v>
      </c>
      <c r="V58" s="349" t="s">
        <v>4585</v>
      </c>
      <c r="W58" s="350" t="s">
        <v>4586</v>
      </c>
      <c r="X58" s="349" t="s">
        <v>4587</v>
      </c>
      <c r="Y58" s="350" t="s">
        <v>4588</v>
      </c>
      <c r="Z58" s="349" t="s">
        <v>4589</v>
      </c>
      <c r="AA58" s="350" t="s">
        <v>4590</v>
      </c>
      <c r="AB58" s="349" t="s">
        <v>4591</v>
      </c>
      <c r="AC58" s="350" t="s">
        <v>4592</v>
      </c>
      <c r="AD58" s="349" t="s">
        <v>4593</v>
      </c>
      <c r="AE58" s="350" t="s">
        <v>4594</v>
      </c>
      <c r="AF58" s="349" t="s">
        <v>4595</v>
      </c>
      <c r="AG58" s="350" t="s">
        <v>4596</v>
      </c>
      <c r="AH58" s="349" t="s">
        <v>4597</v>
      </c>
      <c r="AI58" s="350" t="s">
        <v>4598</v>
      </c>
      <c r="AJ58" s="349" t="s">
        <v>4599</v>
      </c>
      <c r="AK58" s="350" t="s">
        <v>4600</v>
      </c>
      <c r="AL58" s="351" t="s">
        <v>4601</v>
      </c>
      <c r="AM58" s="811" t="s">
        <v>4602</v>
      </c>
      <c r="AN58" s="812" t="s">
        <v>4603</v>
      </c>
      <c r="AO58" t="str">
        <f t="shared" si="34"/>
        <v xml:space="preserve"> * La variable Pueblos Originarios no puede ser mayor al Total Ambos Sexos. * La variable Migrantes no puede ser mayor al Total Ambos Sexos.</v>
      </c>
      <c r="CB58" s="2946" t="str">
        <f t="shared" si="37"/>
        <v xml:space="preserve"> * La variable Pueblos Originarios no puede ser mayor al Total Ambos Sexos.</v>
      </c>
      <c r="CC58" s="2946" t="str">
        <f t="shared" si="38"/>
        <v xml:space="preserve"> * La variable Migrantes no puede ser mayor al Total Ambos Sexos.</v>
      </c>
      <c r="CL58" s="1867">
        <f t="shared" si="35"/>
        <v>1</v>
      </c>
      <c r="CM58" s="1867">
        <f t="shared" si="36"/>
        <v>1</v>
      </c>
    </row>
    <row r="59" spans="1:92" x14ac:dyDescent="0.25">
      <c r="A59" s="5601" t="s">
        <v>5266</v>
      </c>
      <c r="B59" s="6727"/>
      <c r="C59" s="810" t="s">
        <v>1035</v>
      </c>
      <c r="D59" s="737" t="s">
        <v>4567</v>
      </c>
      <c r="E59" s="751" t="s">
        <v>4568</v>
      </c>
      <c r="F59" s="344" t="s">
        <v>4569</v>
      </c>
      <c r="G59" s="345" t="s">
        <v>4570</v>
      </c>
      <c r="H59" s="346" t="s">
        <v>4571</v>
      </c>
      <c r="I59" s="345" t="s">
        <v>4572</v>
      </c>
      <c r="J59" s="349" t="s">
        <v>4573</v>
      </c>
      <c r="K59" s="345" t="s">
        <v>4574</v>
      </c>
      <c r="L59" s="349" t="s">
        <v>4575</v>
      </c>
      <c r="M59" s="345" t="s">
        <v>4576</v>
      </c>
      <c r="N59" s="349" t="s">
        <v>4577</v>
      </c>
      <c r="O59" s="350" t="s">
        <v>4578</v>
      </c>
      <c r="P59" s="349" t="s">
        <v>4579</v>
      </c>
      <c r="Q59" s="350" t="s">
        <v>4580</v>
      </c>
      <c r="R59" s="349" t="s">
        <v>4581</v>
      </c>
      <c r="S59" s="350" t="s">
        <v>4582</v>
      </c>
      <c r="T59" s="349" t="s">
        <v>4583</v>
      </c>
      <c r="U59" s="350" t="s">
        <v>4584</v>
      </c>
      <c r="V59" s="349" t="s">
        <v>4585</v>
      </c>
      <c r="W59" s="350" t="s">
        <v>4586</v>
      </c>
      <c r="X59" s="349" t="s">
        <v>4587</v>
      </c>
      <c r="Y59" s="350" t="s">
        <v>4588</v>
      </c>
      <c r="Z59" s="349" t="s">
        <v>4589</v>
      </c>
      <c r="AA59" s="350" t="s">
        <v>4590</v>
      </c>
      <c r="AB59" s="349" t="s">
        <v>4591</v>
      </c>
      <c r="AC59" s="350" t="s">
        <v>4592</v>
      </c>
      <c r="AD59" s="349" t="s">
        <v>4593</v>
      </c>
      <c r="AE59" s="350" t="s">
        <v>4594</v>
      </c>
      <c r="AF59" s="349" t="s">
        <v>4595</v>
      </c>
      <c r="AG59" s="350" t="s">
        <v>4596</v>
      </c>
      <c r="AH59" s="349" t="s">
        <v>4597</v>
      </c>
      <c r="AI59" s="350" t="s">
        <v>4598</v>
      </c>
      <c r="AJ59" s="349" t="s">
        <v>4599</v>
      </c>
      <c r="AK59" s="350" t="s">
        <v>4600</v>
      </c>
      <c r="AL59" s="351" t="s">
        <v>4601</v>
      </c>
      <c r="AM59" s="811" t="s">
        <v>4602</v>
      </c>
      <c r="AN59" s="812" t="s">
        <v>4603</v>
      </c>
      <c r="AO59" t="str">
        <f t="shared" si="34"/>
        <v xml:space="preserve"> * La variable Pueblos Originarios no puede ser mayor al Total Ambos Sexos. * La variable Migrantes no puede ser mayor al Total Ambos Sexos.</v>
      </c>
      <c r="CB59" s="2946" t="str">
        <f t="shared" si="37"/>
        <v xml:space="preserve"> * La variable Pueblos Originarios no puede ser mayor al Total Ambos Sexos.</v>
      </c>
      <c r="CC59" s="2946" t="str">
        <f t="shared" si="38"/>
        <v xml:space="preserve"> * La variable Migrantes no puede ser mayor al Total Ambos Sexos.</v>
      </c>
      <c r="CL59" s="1867">
        <f t="shared" si="35"/>
        <v>1</v>
      </c>
      <c r="CM59" s="1867">
        <f t="shared" si="36"/>
        <v>1</v>
      </c>
    </row>
    <row r="60" spans="1:92" x14ac:dyDescent="0.25">
      <c r="A60" s="5601" t="s">
        <v>5267</v>
      </c>
      <c r="B60" s="6634"/>
      <c r="C60" s="813" t="s">
        <v>1075</v>
      </c>
      <c r="D60" s="703" t="s">
        <v>4567</v>
      </c>
      <c r="E60" s="704" t="s">
        <v>4568</v>
      </c>
      <c r="F60" s="625" t="s">
        <v>4569</v>
      </c>
      <c r="G60" s="379" t="s">
        <v>4570</v>
      </c>
      <c r="H60" s="387" t="s">
        <v>4571</v>
      </c>
      <c r="I60" s="379" t="s">
        <v>4572</v>
      </c>
      <c r="J60" s="388" t="s">
        <v>4573</v>
      </c>
      <c r="K60" s="379" t="s">
        <v>4574</v>
      </c>
      <c r="L60" s="388" t="s">
        <v>4575</v>
      </c>
      <c r="M60" s="379" t="s">
        <v>4576</v>
      </c>
      <c r="N60" s="388" t="s">
        <v>4577</v>
      </c>
      <c r="O60" s="666" t="s">
        <v>4578</v>
      </c>
      <c r="P60" s="388" t="s">
        <v>4579</v>
      </c>
      <c r="Q60" s="666" t="s">
        <v>4580</v>
      </c>
      <c r="R60" s="388" t="s">
        <v>4581</v>
      </c>
      <c r="S60" s="666" t="s">
        <v>4582</v>
      </c>
      <c r="T60" s="388" t="s">
        <v>4583</v>
      </c>
      <c r="U60" s="666" t="s">
        <v>4584</v>
      </c>
      <c r="V60" s="388" t="s">
        <v>4585</v>
      </c>
      <c r="W60" s="666" t="s">
        <v>4586</v>
      </c>
      <c r="X60" s="388" t="s">
        <v>4587</v>
      </c>
      <c r="Y60" s="666" t="s">
        <v>4588</v>
      </c>
      <c r="Z60" s="388" t="s">
        <v>4589</v>
      </c>
      <c r="AA60" s="666" t="s">
        <v>4590</v>
      </c>
      <c r="AB60" s="388" t="s">
        <v>4591</v>
      </c>
      <c r="AC60" s="666" t="s">
        <v>4592</v>
      </c>
      <c r="AD60" s="388" t="s">
        <v>4593</v>
      </c>
      <c r="AE60" s="666" t="s">
        <v>4594</v>
      </c>
      <c r="AF60" s="388" t="s">
        <v>4595</v>
      </c>
      <c r="AG60" s="666" t="s">
        <v>4596</v>
      </c>
      <c r="AH60" s="388" t="s">
        <v>4597</v>
      </c>
      <c r="AI60" s="666" t="s">
        <v>4598</v>
      </c>
      <c r="AJ60" s="388" t="s">
        <v>4599</v>
      </c>
      <c r="AK60" s="666" t="s">
        <v>4600</v>
      </c>
      <c r="AL60" s="389" t="s">
        <v>4601</v>
      </c>
      <c r="AM60" s="814" t="s">
        <v>4602</v>
      </c>
      <c r="AN60" s="815" t="s">
        <v>4603</v>
      </c>
      <c r="AO60" t="str">
        <f t="shared" si="34"/>
        <v xml:space="preserve"> * La variable Pueblos Originarios no puede ser mayor al Total Ambos Sexos. * La variable Migrantes no puede ser mayor al Total Ambos Sexos.</v>
      </c>
      <c r="CB60" s="2946" t="str">
        <f t="shared" si="37"/>
        <v xml:space="preserve"> * La variable Pueblos Originarios no puede ser mayor al Total Ambos Sexos.</v>
      </c>
      <c r="CC60" s="2946" t="str">
        <f t="shared" si="38"/>
        <v xml:space="preserve"> * La variable Migrantes no puede ser mayor al Total Ambos Sexos.</v>
      </c>
      <c r="CL60" s="1867">
        <f t="shared" si="35"/>
        <v>1</v>
      </c>
      <c r="CM60" s="1867">
        <f t="shared" si="36"/>
        <v>1</v>
      </c>
    </row>
    <row r="61" spans="1:92" x14ac:dyDescent="0.25">
      <c r="A61" s="5601" t="s">
        <v>5268</v>
      </c>
      <c r="B61" s="6633" t="s">
        <v>1076</v>
      </c>
      <c r="C61" s="809" t="s">
        <v>1034</v>
      </c>
      <c r="D61" s="733" t="s">
        <v>4567</v>
      </c>
      <c r="E61" s="746" t="s">
        <v>4568</v>
      </c>
      <c r="F61" s="606" t="s">
        <v>4569</v>
      </c>
      <c r="G61" s="816" t="s">
        <v>4570</v>
      </c>
      <c r="H61" s="817" t="s">
        <v>4571</v>
      </c>
      <c r="I61" s="747" t="s">
        <v>4572</v>
      </c>
      <c r="J61" s="748" t="s">
        <v>4573</v>
      </c>
      <c r="K61" s="747" t="s">
        <v>4574</v>
      </c>
      <c r="L61" s="748" t="s">
        <v>4575</v>
      </c>
      <c r="M61" s="747" t="s">
        <v>4576</v>
      </c>
      <c r="N61" s="748" t="s">
        <v>4577</v>
      </c>
      <c r="O61" s="818" t="s">
        <v>4578</v>
      </c>
      <c r="P61" s="819" t="s">
        <v>4579</v>
      </c>
      <c r="Q61" s="818" t="s">
        <v>4580</v>
      </c>
      <c r="R61" s="819" t="s">
        <v>4581</v>
      </c>
      <c r="S61" s="818" t="s">
        <v>4582</v>
      </c>
      <c r="T61" s="819" t="s">
        <v>4583</v>
      </c>
      <c r="U61" s="818" t="s">
        <v>4584</v>
      </c>
      <c r="V61" s="819" t="s">
        <v>4585</v>
      </c>
      <c r="W61" s="818" t="s">
        <v>4586</v>
      </c>
      <c r="X61" s="819" t="s">
        <v>4587</v>
      </c>
      <c r="Y61" s="818" t="s">
        <v>4588</v>
      </c>
      <c r="Z61" s="819" t="s">
        <v>4589</v>
      </c>
      <c r="AA61" s="818" t="s">
        <v>4590</v>
      </c>
      <c r="AB61" s="819" t="s">
        <v>4591</v>
      </c>
      <c r="AC61" s="818" t="s">
        <v>4592</v>
      </c>
      <c r="AD61" s="819" t="s">
        <v>4593</v>
      </c>
      <c r="AE61" s="818" t="s">
        <v>4594</v>
      </c>
      <c r="AF61" s="819" t="s">
        <v>4595</v>
      </c>
      <c r="AG61" s="818" t="s">
        <v>4596</v>
      </c>
      <c r="AH61" s="819" t="s">
        <v>4597</v>
      </c>
      <c r="AI61" s="816" t="s">
        <v>4598</v>
      </c>
      <c r="AJ61" s="819" t="s">
        <v>4599</v>
      </c>
      <c r="AK61" s="818" t="s">
        <v>4600</v>
      </c>
      <c r="AL61" s="820" t="s">
        <v>4601</v>
      </c>
      <c r="AM61" s="801" t="s">
        <v>4602</v>
      </c>
      <c r="AN61" s="803" t="s">
        <v>4603</v>
      </c>
      <c r="AO61" t="str">
        <f t="shared" si="34"/>
        <v xml:space="preserve"> * La variable Pueblos Originarios no puede ser mayor al Total Ambos Sexos. * La variable Migrantes no puede ser mayor al Total Ambos Sexos.</v>
      </c>
      <c r="CB61" s="2946" t="str">
        <f t="shared" si="37"/>
        <v xml:space="preserve"> * La variable Pueblos Originarios no puede ser mayor al Total Ambos Sexos.</v>
      </c>
      <c r="CC61" s="2946" t="str">
        <f t="shared" si="38"/>
        <v xml:space="preserve"> * La variable Migrantes no puede ser mayor al Total Ambos Sexos.</v>
      </c>
      <c r="CL61" s="1867">
        <f t="shared" si="35"/>
        <v>1</v>
      </c>
      <c r="CM61" s="1867">
        <f t="shared" si="36"/>
        <v>1</v>
      </c>
    </row>
    <row r="62" spans="1:92" x14ac:dyDescent="0.25">
      <c r="A62" s="5601" t="s">
        <v>5269</v>
      </c>
      <c r="B62" s="6634"/>
      <c r="C62" s="810" t="s">
        <v>1035</v>
      </c>
      <c r="D62" s="703" t="s">
        <v>4567</v>
      </c>
      <c r="E62" s="704" t="s">
        <v>4568</v>
      </c>
      <c r="F62" s="625" t="s">
        <v>4569</v>
      </c>
      <c r="G62" s="620" t="s">
        <v>4570</v>
      </c>
      <c r="H62" s="621" t="s">
        <v>4571</v>
      </c>
      <c r="I62" s="379" t="s">
        <v>4572</v>
      </c>
      <c r="J62" s="388" t="s">
        <v>4573</v>
      </c>
      <c r="K62" s="379" t="s">
        <v>4574</v>
      </c>
      <c r="L62" s="388" t="s">
        <v>4575</v>
      </c>
      <c r="M62" s="379" t="s">
        <v>4576</v>
      </c>
      <c r="N62" s="388" t="s">
        <v>4577</v>
      </c>
      <c r="O62" s="723" t="s">
        <v>4578</v>
      </c>
      <c r="P62" s="821" t="s">
        <v>4579</v>
      </c>
      <c r="Q62" s="723" t="s">
        <v>4580</v>
      </c>
      <c r="R62" s="821" t="s">
        <v>4581</v>
      </c>
      <c r="S62" s="723" t="s">
        <v>4582</v>
      </c>
      <c r="T62" s="821" t="s">
        <v>4583</v>
      </c>
      <c r="U62" s="723" t="s">
        <v>4584</v>
      </c>
      <c r="V62" s="821" t="s">
        <v>4585</v>
      </c>
      <c r="W62" s="723" t="s">
        <v>4586</v>
      </c>
      <c r="X62" s="821" t="s">
        <v>4587</v>
      </c>
      <c r="Y62" s="723" t="s">
        <v>4588</v>
      </c>
      <c r="Z62" s="821" t="s">
        <v>4589</v>
      </c>
      <c r="AA62" s="723" t="s">
        <v>4590</v>
      </c>
      <c r="AB62" s="821" t="s">
        <v>4591</v>
      </c>
      <c r="AC62" s="723" t="s">
        <v>4592</v>
      </c>
      <c r="AD62" s="821" t="s">
        <v>4593</v>
      </c>
      <c r="AE62" s="723" t="s">
        <v>4594</v>
      </c>
      <c r="AF62" s="821" t="s">
        <v>4595</v>
      </c>
      <c r="AG62" s="723" t="s">
        <v>4596</v>
      </c>
      <c r="AH62" s="821" t="s">
        <v>4597</v>
      </c>
      <c r="AI62" s="620" t="s">
        <v>4598</v>
      </c>
      <c r="AJ62" s="821" t="s">
        <v>4599</v>
      </c>
      <c r="AK62" s="723" t="s">
        <v>4600</v>
      </c>
      <c r="AL62" s="822" t="s">
        <v>4601</v>
      </c>
      <c r="AM62" s="814" t="s">
        <v>4602</v>
      </c>
      <c r="AN62" s="815" t="s">
        <v>4603</v>
      </c>
      <c r="AO62" t="str">
        <f t="shared" si="34"/>
        <v xml:space="preserve"> * La variable Pueblos Originarios no puede ser mayor al Total Ambos Sexos. * La variable Migrantes no puede ser mayor al Total Ambos Sexos.</v>
      </c>
      <c r="CB62" s="2946" t="str">
        <f t="shared" si="37"/>
        <v xml:space="preserve"> * La variable Pueblos Originarios no puede ser mayor al Total Ambos Sexos.</v>
      </c>
      <c r="CC62" s="2946" t="str">
        <f t="shared" si="38"/>
        <v xml:space="preserve"> * La variable Migrantes no puede ser mayor al Total Ambos Sexos.</v>
      </c>
      <c r="CL62" s="1867">
        <f t="shared" si="35"/>
        <v>1</v>
      </c>
      <c r="CM62" s="1867">
        <f t="shared" si="36"/>
        <v>1</v>
      </c>
    </row>
    <row r="63" spans="1:92" x14ac:dyDescent="0.25">
      <c r="A63" s="5601" t="s">
        <v>5270</v>
      </c>
      <c r="B63" s="6633" t="s">
        <v>1077</v>
      </c>
      <c r="C63" s="809" t="s">
        <v>64</v>
      </c>
      <c r="D63" s="733" t="s">
        <v>4567</v>
      </c>
      <c r="E63" s="746" t="s">
        <v>4568</v>
      </c>
      <c r="F63" s="606" t="s">
        <v>4569</v>
      </c>
      <c r="G63" s="816" t="s">
        <v>4570</v>
      </c>
      <c r="H63" s="817" t="s">
        <v>4571</v>
      </c>
      <c r="I63" s="747" t="s">
        <v>4572</v>
      </c>
      <c r="J63" s="748" t="s">
        <v>4573</v>
      </c>
      <c r="K63" s="747" t="s">
        <v>4574</v>
      </c>
      <c r="L63" s="748" t="s">
        <v>4575</v>
      </c>
      <c r="M63" s="747" t="s">
        <v>4576</v>
      </c>
      <c r="N63" s="748" t="s">
        <v>4577</v>
      </c>
      <c r="O63" s="818" t="s">
        <v>4578</v>
      </c>
      <c r="P63" s="819" t="s">
        <v>4579</v>
      </c>
      <c r="Q63" s="818" t="s">
        <v>4580</v>
      </c>
      <c r="R63" s="819" t="s">
        <v>4581</v>
      </c>
      <c r="S63" s="818" t="s">
        <v>4582</v>
      </c>
      <c r="T63" s="819" t="s">
        <v>4583</v>
      </c>
      <c r="U63" s="818" t="s">
        <v>4584</v>
      </c>
      <c r="V63" s="819" t="s">
        <v>4585</v>
      </c>
      <c r="W63" s="818" t="s">
        <v>4586</v>
      </c>
      <c r="X63" s="819" t="s">
        <v>4587</v>
      </c>
      <c r="Y63" s="818" t="s">
        <v>4588</v>
      </c>
      <c r="Z63" s="819" t="s">
        <v>4589</v>
      </c>
      <c r="AA63" s="818" t="s">
        <v>4590</v>
      </c>
      <c r="AB63" s="819" t="s">
        <v>4591</v>
      </c>
      <c r="AC63" s="818" t="s">
        <v>4592</v>
      </c>
      <c r="AD63" s="819" t="s">
        <v>4593</v>
      </c>
      <c r="AE63" s="818" t="s">
        <v>4594</v>
      </c>
      <c r="AF63" s="819" t="s">
        <v>4595</v>
      </c>
      <c r="AG63" s="818" t="s">
        <v>4596</v>
      </c>
      <c r="AH63" s="819" t="s">
        <v>4597</v>
      </c>
      <c r="AI63" s="816" t="s">
        <v>4598</v>
      </c>
      <c r="AJ63" s="819" t="s">
        <v>4599</v>
      </c>
      <c r="AK63" s="818" t="s">
        <v>4600</v>
      </c>
      <c r="AL63" s="820" t="s">
        <v>4601</v>
      </c>
      <c r="AM63" s="801" t="s">
        <v>4602</v>
      </c>
      <c r="AN63" s="803" t="s">
        <v>4603</v>
      </c>
      <c r="AO63" t="str">
        <f t="shared" si="34"/>
        <v xml:space="preserve"> * La variable Pueblos Originarios no puede ser mayor al Total Ambos Sexos. * La variable Migrantes no puede ser mayor al Total Ambos Sexos.</v>
      </c>
      <c r="CB63" s="2946" t="str">
        <f t="shared" si="37"/>
        <v xml:space="preserve"> * La variable Pueblos Originarios no puede ser mayor al Total Ambos Sexos.</v>
      </c>
      <c r="CC63" s="2946" t="str">
        <f t="shared" si="38"/>
        <v xml:space="preserve"> * La variable Migrantes no puede ser mayor al Total Ambos Sexos.</v>
      </c>
      <c r="CL63" s="1867">
        <f t="shared" si="35"/>
        <v>1</v>
      </c>
      <c r="CM63" s="1867">
        <f t="shared" si="36"/>
        <v>1</v>
      </c>
    </row>
    <row r="64" spans="1:92" x14ac:dyDescent="0.25">
      <c r="A64" s="5601" t="s">
        <v>5271</v>
      </c>
      <c r="B64" s="6727"/>
      <c r="C64" s="810" t="s">
        <v>1044</v>
      </c>
      <c r="D64" s="737" t="s">
        <v>4567</v>
      </c>
      <c r="E64" s="751" t="s">
        <v>4568</v>
      </c>
      <c r="F64" s="344" t="s">
        <v>4569</v>
      </c>
      <c r="G64" s="619" t="s">
        <v>4570</v>
      </c>
      <c r="H64" s="367" t="s">
        <v>4571</v>
      </c>
      <c r="I64" s="345" t="s">
        <v>4572</v>
      </c>
      <c r="J64" s="349" t="s">
        <v>4573</v>
      </c>
      <c r="K64" s="345" t="s">
        <v>4574</v>
      </c>
      <c r="L64" s="349" t="s">
        <v>4575</v>
      </c>
      <c r="M64" s="345" t="s">
        <v>4576</v>
      </c>
      <c r="N64" s="349" t="s">
        <v>4577</v>
      </c>
      <c r="O64" s="823" t="s">
        <v>4578</v>
      </c>
      <c r="P64" s="824" t="s">
        <v>4579</v>
      </c>
      <c r="Q64" s="823" t="s">
        <v>4580</v>
      </c>
      <c r="R64" s="824" t="s">
        <v>4581</v>
      </c>
      <c r="S64" s="823" t="s">
        <v>4582</v>
      </c>
      <c r="T64" s="824" t="s">
        <v>4583</v>
      </c>
      <c r="U64" s="823" t="s">
        <v>4584</v>
      </c>
      <c r="V64" s="824" t="s">
        <v>4585</v>
      </c>
      <c r="W64" s="823" t="s">
        <v>4586</v>
      </c>
      <c r="X64" s="824" t="s">
        <v>4587</v>
      </c>
      <c r="Y64" s="823" t="s">
        <v>4588</v>
      </c>
      <c r="Z64" s="824" t="s">
        <v>4589</v>
      </c>
      <c r="AA64" s="823" t="s">
        <v>4590</v>
      </c>
      <c r="AB64" s="824" t="s">
        <v>4591</v>
      </c>
      <c r="AC64" s="823" t="s">
        <v>4592</v>
      </c>
      <c r="AD64" s="824" t="s">
        <v>4593</v>
      </c>
      <c r="AE64" s="823" t="s">
        <v>4594</v>
      </c>
      <c r="AF64" s="824" t="s">
        <v>4595</v>
      </c>
      <c r="AG64" s="823" t="s">
        <v>4596</v>
      </c>
      <c r="AH64" s="824" t="s">
        <v>4597</v>
      </c>
      <c r="AI64" s="619" t="s">
        <v>4598</v>
      </c>
      <c r="AJ64" s="824" t="s">
        <v>4599</v>
      </c>
      <c r="AK64" s="823" t="s">
        <v>4600</v>
      </c>
      <c r="AL64" s="825" t="s">
        <v>4601</v>
      </c>
      <c r="AM64" s="811" t="s">
        <v>4602</v>
      </c>
      <c r="AN64" s="812" t="s">
        <v>4603</v>
      </c>
      <c r="AO64" t="str">
        <f t="shared" si="34"/>
        <v xml:space="preserve"> * La variable Pueblos Originarios no puede ser mayor al Total Ambos Sexos. * La variable Migrantes no puede ser mayor al Total Ambos Sexos.</v>
      </c>
      <c r="CB64" s="2946" t="str">
        <f t="shared" si="37"/>
        <v xml:space="preserve"> * La variable Pueblos Originarios no puede ser mayor al Total Ambos Sexos.</v>
      </c>
      <c r="CC64" s="2946" t="str">
        <f t="shared" si="38"/>
        <v xml:space="preserve"> * La variable Migrantes no puede ser mayor al Total Ambos Sexos.</v>
      </c>
      <c r="CL64" s="1867">
        <f t="shared" si="35"/>
        <v>1</v>
      </c>
      <c r="CM64" s="1867">
        <f t="shared" si="36"/>
        <v>1</v>
      </c>
    </row>
    <row r="65" spans="1:91" x14ac:dyDescent="0.25">
      <c r="A65" s="5601" t="s">
        <v>5272</v>
      </c>
      <c r="B65" s="6727"/>
      <c r="C65" s="810" t="s">
        <v>1034</v>
      </c>
      <c r="D65" s="737" t="s">
        <v>4567</v>
      </c>
      <c r="E65" s="751" t="s">
        <v>4568</v>
      </c>
      <c r="F65" s="344" t="s">
        <v>4569</v>
      </c>
      <c r="G65" s="619" t="s">
        <v>4570</v>
      </c>
      <c r="H65" s="367" t="s">
        <v>4571</v>
      </c>
      <c r="I65" s="345" t="s">
        <v>4572</v>
      </c>
      <c r="J65" s="349" t="s">
        <v>4573</v>
      </c>
      <c r="K65" s="345" t="s">
        <v>4574</v>
      </c>
      <c r="L65" s="349" t="s">
        <v>4575</v>
      </c>
      <c r="M65" s="345" t="s">
        <v>4576</v>
      </c>
      <c r="N65" s="349" t="s">
        <v>4577</v>
      </c>
      <c r="O65" s="823" t="s">
        <v>4578</v>
      </c>
      <c r="P65" s="824" t="s">
        <v>4579</v>
      </c>
      <c r="Q65" s="823" t="s">
        <v>4580</v>
      </c>
      <c r="R65" s="824" t="s">
        <v>4581</v>
      </c>
      <c r="S65" s="823" t="s">
        <v>4582</v>
      </c>
      <c r="T65" s="824" t="s">
        <v>4583</v>
      </c>
      <c r="U65" s="823" t="s">
        <v>4584</v>
      </c>
      <c r="V65" s="824" t="s">
        <v>4585</v>
      </c>
      <c r="W65" s="823" t="s">
        <v>4586</v>
      </c>
      <c r="X65" s="824" t="s">
        <v>4587</v>
      </c>
      <c r="Y65" s="823" t="s">
        <v>4588</v>
      </c>
      <c r="Z65" s="824" t="s">
        <v>4589</v>
      </c>
      <c r="AA65" s="823" t="s">
        <v>4590</v>
      </c>
      <c r="AB65" s="824" t="s">
        <v>4591</v>
      </c>
      <c r="AC65" s="823" t="s">
        <v>4592</v>
      </c>
      <c r="AD65" s="824" t="s">
        <v>4593</v>
      </c>
      <c r="AE65" s="823" t="s">
        <v>4594</v>
      </c>
      <c r="AF65" s="824" t="s">
        <v>4595</v>
      </c>
      <c r="AG65" s="823" t="s">
        <v>4596</v>
      </c>
      <c r="AH65" s="824" t="s">
        <v>4597</v>
      </c>
      <c r="AI65" s="619" t="s">
        <v>4598</v>
      </c>
      <c r="AJ65" s="824" t="s">
        <v>4599</v>
      </c>
      <c r="AK65" s="823" t="s">
        <v>4600</v>
      </c>
      <c r="AL65" s="825" t="s">
        <v>4601</v>
      </c>
      <c r="AM65" s="811" t="s">
        <v>4602</v>
      </c>
      <c r="AN65" s="812" t="s">
        <v>4603</v>
      </c>
      <c r="AO65" t="str">
        <f t="shared" si="34"/>
        <v xml:space="preserve"> * La variable Pueblos Originarios no puede ser mayor al Total Ambos Sexos. * La variable Migrantes no puede ser mayor al Total Ambos Sexos.</v>
      </c>
      <c r="CB65" s="2946" t="str">
        <f t="shared" si="37"/>
        <v xml:space="preserve"> * La variable Pueblos Originarios no puede ser mayor al Total Ambos Sexos.</v>
      </c>
      <c r="CC65" s="2946" t="str">
        <f t="shared" si="38"/>
        <v xml:space="preserve"> * La variable Migrantes no puede ser mayor al Total Ambos Sexos.</v>
      </c>
      <c r="CL65" s="1867">
        <f t="shared" si="35"/>
        <v>1</v>
      </c>
      <c r="CM65" s="1867">
        <f t="shared" si="36"/>
        <v>1</v>
      </c>
    </row>
    <row r="66" spans="1:91" x14ac:dyDescent="0.25">
      <c r="A66" s="5601" t="s">
        <v>5273</v>
      </c>
      <c r="B66" s="6634"/>
      <c r="C66" s="810" t="s">
        <v>1035</v>
      </c>
      <c r="D66" s="703" t="s">
        <v>4567</v>
      </c>
      <c r="E66" s="704" t="s">
        <v>4568</v>
      </c>
      <c r="F66" s="625" t="s">
        <v>4569</v>
      </c>
      <c r="G66" s="620" t="s">
        <v>4570</v>
      </c>
      <c r="H66" s="621" t="s">
        <v>4571</v>
      </c>
      <c r="I66" s="379" t="s">
        <v>4572</v>
      </c>
      <c r="J66" s="388" t="s">
        <v>4573</v>
      </c>
      <c r="K66" s="379" t="s">
        <v>4574</v>
      </c>
      <c r="L66" s="388" t="s">
        <v>4575</v>
      </c>
      <c r="M66" s="379" t="s">
        <v>4576</v>
      </c>
      <c r="N66" s="388" t="s">
        <v>4577</v>
      </c>
      <c r="O66" s="723" t="s">
        <v>4578</v>
      </c>
      <c r="P66" s="821" t="s">
        <v>4579</v>
      </c>
      <c r="Q66" s="723" t="s">
        <v>4580</v>
      </c>
      <c r="R66" s="821" t="s">
        <v>4581</v>
      </c>
      <c r="S66" s="723" t="s">
        <v>4582</v>
      </c>
      <c r="T66" s="821" t="s">
        <v>4583</v>
      </c>
      <c r="U66" s="723" t="s">
        <v>4584</v>
      </c>
      <c r="V66" s="821" t="s">
        <v>4585</v>
      </c>
      <c r="W66" s="723" t="s">
        <v>4586</v>
      </c>
      <c r="X66" s="821" t="s">
        <v>4587</v>
      </c>
      <c r="Y66" s="723" t="s">
        <v>4588</v>
      </c>
      <c r="Z66" s="821" t="s">
        <v>4589</v>
      </c>
      <c r="AA66" s="723" t="s">
        <v>4590</v>
      </c>
      <c r="AB66" s="821" t="s">
        <v>4591</v>
      </c>
      <c r="AC66" s="723" t="s">
        <v>4592</v>
      </c>
      <c r="AD66" s="821" t="s">
        <v>4593</v>
      </c>
      <c r="AE66" s="723" t="s">
        <v>4594</v>
      </c>
      <c r="AF66" s="821" t="s">
        <v>4595</v>
      </c>
      <c r="AG66" s="723" t="s">
        <v>4596</v>
      </c>
      <c r="AH66" s="821" t="s">
        <v>4597</v>
      </c>
      <c r="AI66" s="620" t="s">
        <v>4598</v>
      </c>
      <c r="AJ66" s="821" t="s">
        <v>4599</v>
      </c>
      <c r="AK66" s="723" t="s">
        <v>4600</v>
      </c>
      <c r="AL66" s="822" t="s">
        <v>4601</v>
      </c>
      <c r="AM66" s="814" t="s">
        <v>4602</v>
      </c>
      <c r="AN66" s="815" t="s">
        <v>4603</v>
      </c>
      <c r="AO66" t="str">
        <f t="shared" si="34"/>
        <v xml:space="preserve"> * La variable Pueblos Originarios no puede ser mayor al Total Ambos Sexos. * La variable Migrantes no puede ser mayor al Total Ambos Sexos.</v>
      </c>
      <c r="CB66" s="2946" t="str">
        <f t="shared" si="37"/>
        <v xml:space="preserve"> * La variable Pueblos Originarios no puede ser mayor al Total Ambos Sexos.</v>
      </c>
      <c r="CC66" s="2946" t="str">
        <f t="shared" si="38"/>
        <v xml:space="preserve"> * La variable Migrantes no puede ser mayor al Total Ambos Sexos.</v>
      </c>
      <c r="CL66" s="1867">
        <f t="shared" si="35"/>
        <v>1</v>
      </c>
      <c r="CM66" s="1867">
        <f t="shared" si="36"/>
        <v>1</v>
      </c>
    </row>
    <row r="67" spans="1:91" x14ac:dyDescent="0.25">
      <c r="A67" s="5601" t="s">
        <v>5274</v>
      </c>
      <c r="B67" s="6633" t="s">
        <v>1078</v>
      </c>
      <c r="C67" s="809" t="s">
        <v>64</v>
      </c>
      <c r="D67" s="733" t="s">
        <v>4567</v>
      </c>
      <c r="E67" s="746" t="s">
        <v>4568</v>
      </c>
      <c r="F67" s="606" t="s">
        <v>4569</v>
      </c>
      <c r="G67" s="816" t="s">
        <v>4570</v>
      </c>
      <c r="H67" s="819" t="s">
        <v>4571</v>
      </c>
      <c r="I67" s="747" t="s">
        <v>4572</v>
      </c>
      <c r="J67" s="748" t="s">
        <v>4573</v>
      </c>
      <c r="K67" s="747" t="s">
        <v>4574</v>
      </c>
      <c r="L67" s="748" t="s">
        <v>4575</v>
      </c>
      <c r="M67" s="747" t="s">
        <v>4576</v>
      </c>
      <c r="N67" s="748" t="s">
        <v>4577</v>
      </c>
      <c r="O67" s="747" t="s">
        <v>4578</v>
      </c>
      <c r="P67" s="748" t="s">
        <v>4579</v>
      </c>
      <c r="Q67" s="747" t="s">
        <v>4580</v>
      </c>
      <c r="R67" s="748" t="s">
        <v>4581</v>
      </c>
      <c r="S67" s="747" t="s">
        <v>4582</v>
      </c>
      <c r="T67" s="748" t="s">
        <v>4583</v>
      </c>
      <c r="U67" s="747" t="s">
        <v>4584</v>
      </c>
      <c r="V67" s="748" t="s">
        <v>4585</v>
      </c>
      <c r="W67" s="747" t="s">
        <v>4586</v>
      </c>
      <c r="X67" s="748" t="s">
        <v>4587</v>
      </c>
      <c r="Y67" s="747" t="s">
        <v>4588</v>
      </c>
      <c r="Z67" s="748" t="s">
        <v>4589</v>
      </c>
      <c r="AA67" s="747" t="s">
        <v>4590</v>
      </c>
      <c r="AB67" s="748" t="s">
        <v>4591</v>
      </c>
      <c r="AC67" s="747" t="s">
        <v>4592</v>
      </c>
      <c r="AD67" s="748" t="s">
        <v>4593</v>
      </c>
      <c r="AE67" s="747" t="s">
        <v>4594</v>
      </c>
      <c r="AF67" s="748" t="s">
        <v>4595</v>
      </c>
      <c r="AG67" s="747" t="s">
        <v>4596</v>
      </c>
      <c r="AH67" s="748" t="s">
        <v>4597</v>
      </c>
      <c r="AI67" s="747" t="s">
        <v>4598</v>
      </c>
      <c r="AJ67" s="748" t="s">
        <v>4599</v>
      </c>
      <c r="AK67" s="747" t="s">
        <v>4600</v>
      </c>
      <c r="AL67" s="736" t="s">
        <v>4601</v>
      </c>
      <c r="AM67" s="801" t="s">
        <v>4602</v>
      </c>
      <c r="AN67" s="803" t="s">
        <v>4603</v>
      </c>
      <c r="AO67" t="str">
        <f t="shared" si="34"/>
        <v xml:space="preserve"> * La variable Pueblos Originarios no puede ser mayor al Total Ambos Sexos. * La variable Migrantes no puede ser mayor al Total Ambos Sexos.</v>
      </c>
      <c r="CB67" s="2946" t="str">
        <f t="shared" si="37"/>
        <v xml:space="preserve"> * La variable Pueblos Originarios no puede ser mayor al Total Ambos Sexos.</v>
      </c>
      <c r="CC67" s="2946" t="str">
        <f t="shared" si="38"/>
        <v xml:space="preserve"> * La variable Migrantes no puede ser mayor al Total Ambos Sexos.</v>
      </c>
      <c r="CL67" s="1867">
        <f t="shared" si="35"/>
        <v>1</v>
      </c>
      <c r="CM67" s="1867">
        <f t="shared" si="36"/>
        <v>1</v>
      </c>
    </row>
    <row r="68" spans="1:91" x14ac:dyDescent="0.25">
      <c r="A68" s="5601" t="s">
        <v>5275</v>
      </c>
      <c r="B68" s="6634"/>
      <c r="C68" s="810" t="s">
        <v>1044</v>
      </c>
      <c r="D68" s="202" t="s">
        <v>4567</v>
      </c>
      <c r="E68" s="752" t="s">
        <v>4568</v>
      </c>
      <c r="F68" s="625" t="s">
        <v>4569</v>
      </c>
      <c r="G68" s="620" t="s">
        <v>4570</v>
      </c>
      <c r="H68" s="821" t="s">
        <v>4571</v>
      </c>
      <c r="I68" s="379" t="s">
        <v>4572</v>
      </c>
      <c r="J68" s="388" t="s">
        <v>4573</v>
      </c>
      <c r="K68" s="379" t="s">
        <v>4574</v>
      </c>
      <c r="L68" s="388" t="s">
        <v>4575</v>
      </c>
      <c r="M68" s="379" t="s">
        <v>4576</v>
      </c>
      <c r="N68" s="388" t="s">
        <v>4577</v>
      </c>
      <c r="O68" s="379" t="s">
        <v>4578</v>
      </c>
      <c r="P68" s="388" t="s">
        <v>4579</v>
      </c>
      <c r="Q68" s="379" t="s">
        <v>4580</v>
      </c>
      <c r="R68" s="388" t="s">
        <v>4581</v>
      </c>
      <c r="S68" s="379" t="s">
        <v>4582</v>
      </c>
      <c r="T68" s="388" t="s">
        <v>4583</v>
      </c>
      <c r="U68" s="379" t="s">
        <v>4584</v>
      </c>
      <c r="V68" s="388" t="s">
        <v>4585</v>
      </c>
      <c r="W68" s="379" t="s">
        <v>4586</v>
      </c>
      <c r="X68" s="388" t="s">
        <v>4587</v>
      </c>
      <c r="Y68" s="379" t="s">
        <v>4588</v>
      </c>
      <c r="Z68" s="388" t="s">
        <v>4589</v>
      </c>
      <c r="AA68" s="379" t="s">
        <v>4590</v>
      </c>
      <c r="AB68" s="388" t="s">
        <v>4591</v>
      </c>
      <c r="AC68" s="379" t="s">
        <v>4592</v>
      </c>
      <c r="AD68" s="388" t="s">
        <v>4593</v>
      </c>
      <c r="AE68" s="379" t="s">
        <v>4594</v>
      </c>
      <c r="AF68" s="388" t="s">
        <v>4595</v>
      </c>
      <c r="AG68" s="379" t="s">
        <v>4596</v>
      </c>
      <c r="AH68" s="388" t="s">
        <v>4597</v>
      </c>
      <c r="AI68" s="379" t="s">
        <v>4598</v>
      </c>
      <c r="AJ68" s="388" t="s">
        <v>4599</v>
      </c>
      <c r="AK68" s="379" t="s">
        <v>4600</v>
      </c>
      <c r="AL68" s="389" t="s">
        <v>4601</v>
      </c>
      <c r="AM68" s="814" t="s">
        <v>4602</v>
      </c>
      <c r="AN68" s="815" t="s">
        <v>4603</v>
      </c>
      <c r="AO68" t="str">
        <f t="shared" si="34"/>
        <v xml:space="preserve"> * La variable Pueblos Originarios no puede ser mayor al Total Ambos Sexos. * La variable Migrantes no puede ser mayor al Total Ambos Sexos.</v>
      </c>
      <c r="CB68" s="2946" t="str">
        <f t="shared" si="37"/>
        <v xml:space="preserve"> * La variable Pueblos Originarios no puede ser mayor al Total Ambos Sexos.</v>
      </c>
      <c r="CC68" s="2946" t="str">
        <f t="shared" si="38"/>
        <v xml:space="preserve"> * La variable Migrantes no puede ser mayor al Total Ambos Sexos.</v>
      </c>
      <c r="CL68" s="1867">
        <f t="shared" si="35"/>
        <v>1</v>
      </c>
      <c r="CM68" s="1867">
        <f t="shared" si="36"/>
        <v>1</v>
      </c>
    </row>
    <row r="69" spans="1:91" x14ac:dyDescent="0.25">
      <c r="A69" s="5601" t="s">
        <v>5276</v>
      </c>
      <c r="B69" s="6633" t="s">
        <v>1079</v>
      </c>
      <c r="C69" s="809" t="s">
        <v>64</v>
      </c>
      <c r="D69" s="733" t="s">
        <v>4567</v>
      </c>
      <c r="E69" s="746" t="s">
        <v>4568</v>
      </c>
      <c r="F69" s="606" t="s">
        <v>4569</v>
      </c>
      <c r="G69" s="816" t="s">
        <v>4570</v>
      </c>
      <c r="H69" s="817" t="s">
        <v>4571</v>
      </c>
      <c r="I69" s="747" t="s">
        <v>4572</v>
      </c>
      <c r="J69" s="748" t="s">
        <v>4573</v>
      </c>
      <c r="K69" s="747" t="s">
        <v>4574</v>
      </c>
      <c r="L69" s="748" t="s">
        <v>4575</v>
      </c>
      <c r="M69" s="747" t="s">
        <v>4576</v>
      </c>
      <c r="N69" s="748" t="s">
        <v>4577</v>
      </c>
      <c r="O69" s="747" t="s">
        <v>4578</v>
      </c>
      <c r="P69" s="748" t="s">
        <v>4579</v>
      </c>
      <c r="Q69" s="747" t="s">
        <v>4580</v>
      </c>
      <c r="R69" s="748" t="s">
        <v>4581</v>
      </c>
      <c r="S69" s="747" t="s">
        <v>4582</v>
      </c>
      <c r="T69" s="748" t="s">
        <v>4583</v>
      </c>
      <c r="U69" s="747" t="s">
        <v>4584</v>
      </c>
      <c r="V69" s="748" t="s">
        <v>4585</v>
      </c>
      <c r="W69" s="747" t="s">
        <v>4586</v>
      </c>
      <c r="X69" s="748" t="s">
        <v>4587</v>
      </c>
      <c r="Y69" s="747" t="s">
        <v>4588</v>
      </c>
      <c r="Z69" s="748" t="s">
        <v>4589</v>
      </c>
      <c r="AA69" s="747" t="s">
        <v>4590</v>
      </c>
      <c r="AB69" s="748" t="s">
        <v>4591</v>
      </c>
      <c r="AC69" s="747" t="s">
        <v>4592</v>
      </c>
      <c r="AD69" s="748" t="s">
        <v>4593</v>
      </c>
      <c r="AE69" s="747" t="s">
        <v>4594</v>
      </c>
      <c r="AF69" s="748" t="s">
        <v>4595</v>
      </c>
      <c r="AG69" s="747" t="s">
        <v>4596</v>
      </c>
      <c r="AH69" s="748" t="s">
        <v>4597</v>
      </c>
      <c r="AI69" s="747" t="s">
        <v>4598</v>
      </c>
      <c r="AJ69" s="748" t="s">
        <v>4599</v>
      </c>
      <c r="AK69" s="747" t="s">
        <v>4600</v>
      </c>
      <c r="AL69" s="736" t="s">
        <v>4601</v>
      </c>
      <c r="AM69" s="801" t="s">
        <v>4602</v>
      </c>
      <c r="AN69" s="803" t="s">
        <v>4603</v>
      </c>
      <c r="AO69" t="str">
        <f t="shared" si="34"/>
        <v xml:space="preserve"> * La variable Pueblos Originarios no puede ser mayor al Total Ambos Sexos. * La variable Migrantes no puede ser mayor al Total Ambos Sexos.</v>
      </c>
      <c r="CB69" s="2946" t="str">
        <f t="shared" si="37"/>
        <v xml:space="preserve"> * La variable Pueblos Originarios no puede ser mayor al Total Ambos Sexos.</v>
      </c>
      <c r="CC69" s="2946" t="str">
        <f t="shared" si="38"/>
        <v xml:space="preserve"> * La variable Migrantes no puede ser mayor al Total Ambos Sexos.</v>
      </c>
      <c r="CL69" s="1867">
        <f t="shared" si="35"/>
        <v>1</v>
      </c>
      <c r="CM69" s="1867">
        <f t="shared" si="36"/>
        <v>1</v>
      </c>
    </row>
    <row r="70" spans="1:91" x14ac:dyDescent="0.25">
      <c r="A70" s="5601" t="s">
        <v>5277</v>
      </c>
      <c r="B70" s="6634"/>
      <c r="C70" s="810" t="s">
        <v>1044</v>
      </c>
      <c r="D70" s="703" t="s">
        <v>4567</v>
      </c>
      <c r="E70" s="704" t="s">
        <v>4568</v>
      </c>
      <c r="F70" s="625" t="s">
        <v>4569</v>
      </c>
      <c r="G70" s="620" t="s">
        <v>4570</v>
      </c>
      <c r="H70" s="621" t="s">
        <v>4571</v>
      </c>
      <c r="I70" s="379" t="s">
        <v>4572</v>
      </c>
      <c r="J70" s="388" t="s">
        <v>4573</v>
      </c>
      <c r="K70" s="379" t="s">
        <v>4574</v>
      </c>
      <c r="L70" s="388" t="s">
        <v>4575</v>
      </c>
      <c r="M70" s="379" t="s">
        <v>4576</v>
      </c>
      <c r="N70" s="388" t="s">
        <v>4577</v>
      </c>
      <c r="O70" s="379" t="s">
        <v>4578</v>
      </c>
      <c r="P70" s="388" t="s">
        <v>4579</v>
      </c>
      <c r="Q70" s="379" t="s">
        <v>4580</v>
      </c>
      <c r="R70" s="388" t="s">
        <v>4581</v>
      </c>
      <c r="S70" s="379" t="s">
        <v>4582</v>
      </c>
      <c r="T70" s="388" t="s">
        <v>4583</v>
      </c>
      <c r="U70" s="379" t="s">
        <v>4584</v>
      </c>
      <c r="V70" s="388" t="s">
        <v>4585</v>
      </c>
      <c r="W70" s="379" t="s">
        <v>4586</v>
      </c>
      <c r="X70" s="388" t="s">
        <v>4587</v>
      </c>
      <c r="Y70" s="379" t="s">
        <v>4588</v>
      </c>
      <c r="Z70" s="388" t="s">
        <v>4589</v>
      </c>
      <c r="AA70" s="379" t="s">
        <v>4590</v>
      </c>
      <c r="AB70" s="388" t="s">
        <v>4591</v>
      </c>
      <c r="AC70" s="379" t="s">
        <v>4592</v>
      </c>
      <c r="AD70" s="388" t="s">
        <v>4593</v>
      </c>
      <c r="AE70" s="379" t="s">
        <v>4594</v>
      </c>
      <c r="AF70" s="388" t="s">
        <v>4595</v>
      </c>
      <c r="AG70" s="379" t="s">
        <v>4596</v>
      </c>
      <c r="AH70" s="388" t="s">
        <v>4597</v>
      </c>
      <c r="AI70" s="379" t="s">
        <v>4598</v>
      </c>
      <c r="AJ70" s="388" t="s">
        <v>4599</v>
      </c>
      <c r="AK70" s="379" t="s">
        <v>4600</v>
      </c>
      <c r="AL70" s="389" t="s">
        <v>4601</v>
      </c>
      <c r="AM70" s="814" t="s">
        <v>4602</v>
      </c>
      <c r="AN70" s="815" t="s">
        <v>4603</v>
      </c>
      <c r="AO70" t="str">
        <f t="shared" si="34"/>
        <v xml:space="preserve"> * La variable Pueblos Originarios no puede ser mayor al Total Ambos Sexos. * La variable Migrantes no puede ser mayor al Total Ambos Sexos.</v>
      </c>
      <c r="CB70" s="2946" t="str">
        <f t="shared" si="37"/>
        <v xml:space="preserve"> * La variable Pueblos Originarios no puede ser mayor al Total Ambos Sexos.</v>
      </c>
      <c r="CC70" s="2946" t="str">
        <f t="shared" si="38"/>
        <v xml:space="preserve"> * La variable Migrantes no puede ser mayor al Total Ambos Sexos.</v>
      </c>
      <c r="CL70" s="1867">
        <f t="shared" si="35"/>
        <v>1</v>
      </c>
      <c r="CM70" s="1867">
        <f t="shared" si="36"/>
        <v>1</v>
      </c>
    </row>
    <row r="71" spans="1:91" x14ac:dyDescent="0.25">
      <c r="A71" s="5601" t="s">
        <v>5278</v>
      </c>
      <c r="B71" s="6633" t="s">
        <v>1080</v>
      </c>
      <c r="C71" s="809" t="s">
        <v>64</v>
      </c>
      <c r="D71" s="733" t="s">
        <v>4567</v>
      </c>
      <c r="E71" s="746" t="s">
        <v>4568</v>
      </c>
      <c r="F71" s="606" t="s">
        <v>4569</v>
      </c>
      <c r="G71" s="816" t="s">
        <v>4570</v>
      </c>
      <c r="H71" s="817" t="s">
        <v>4571</v>
      </c>
      <c r="I71" s="747" t="s">
        <v>4572</v>
      </c>
      <c r="J71" s="748" t="s">
        <v>4573</v>
      </c>
      <c r="K71" s="747" t="s">
        <v>4574</v>
      </c>
      <c r="L71" s="748" t="s">
        <v>4575</v>
      </c>
      <c r="M71" s="747" t="s">
        <v>4576</v>
      </c>
      <c r="N71" s="748" t="s">
        <v>4577</v>
      </c>
      <c r="O71" s="747" t="s">
        <v>4578</v>
      </c>
      <c r="P71" s="748" t="s">
        <v>4579</v>
      </c>
      <c r="Q71" s="747" t="s">
        <v>4580</v>
      </c>
      <c r="R71" s="748" t="s">
        <v>4581</v>
      </c>
      <c r="S71" s="747" t="s">
        <v>4582</v>
      </c>
      <c r="T71" s="748" t="s">
        <v>4583</v>
      </c>
      <c r="U71" s="747" t="s">
        <v>4584</v>
      </c>
      <c r="V71" s="748" t="s">
        <v>4585</v>
      </c>
      <c r="W71" s="747" t="s">
        <v>4586</v>
      </c>
      <c r="X71" s="748" t="s">
        <v>4587</v>
      </c>
      <c r="Y71" s="747" t="s">
        <v>4588</v>
      </c>
      <c r="Z71" s="748" t="s">
        <v>4589</v>
      </c>
      <c r="AA71" s="747" t="s">
        <v>4590</v>
      </c>
      <c r="AB71" s="748" t="s">
        <v>4591</v>
      </c>
      <c r="AC71" s="747" t="s">
        <v>4592</v>
      </c>
      <c r="AD71" s="748" t="s">
        <v>4593</v>
      </c>
      <c r="AE71" s="747" t="s">
        <v>4594</v>
      </c>
      <c r="AF71" s="748" t="s">
        <v>4595</v>
      </c>
      <c r="AG71" s="747" t="s">
        <v>4596</v>
      </c>
      <c r="AH71" s="748" t="s">
        <v>4597</v>
      </c>
      <c r="AI71" s="747" t="s">
        <v>4598</v>
      </c>
      <c r="AJ71" s="748" t="s">
        <v>4599</v>
      </c>
      <c r="AK71" s="747" t="s">
        <v>4600</v>
      </c>
      <c r="AL71" s="736" t="s">
        <v>4601</v>
      </c>
      <c r="AM71" s="801" t="s">
        <v>4602</v>
      </c>
      <c r="AN71" s="803" t="s">
        <v>4603</v>
      </c>
      <c r="AO71" t="str">
        <f t="shared" si="34"/>
        <v xml:space="preserve"> * La variable Pueblos Originarios no puede ser mayor al Total Ambos Sexos. * La variable Migrantes no puede ser mayor al Total Ambos Sexos.</v>
      </c>
      <c r="CB71" s="2946" t="str">
        <f t="shared" si="37"/>
        <v xml:space="preserve"> * La variable Pueblos Originarios no puede ser mayor al Total Ambos Sexos.</v>
      </c>
      <c r="CC71" s="2946" t="str">
        <f t="shared" si="38"/>
        <v xml:space="preserve"> * La variable Migrantes no puede ser mayor al Total Ambos Sexos.</v>
      </c>
      <c r="CL71" s="1867">
        <f t="shared" si="35"/>
        <v>1</v>
      </c>
      <c r="CM71" s="1867">
        <f t="shared" si="36"/>
        <v>1</v>
      </c>
    </row>
    <row r="72" spans="1:91" x14ac:dyDescent="0.25">
      <c r="A72" s="5601" t="s">
        <v>5279</v>
      </c>
      <c r="B72" s="6727"/>
      <c r="C72" s="810" t="s">
        <v>1044</v>
      </c>
      <c r="D72" s="737" t="s">
        <v>4567</v>
      </c>
      <c r="E72" s="751" t="s">
        <v>4568</v>
      </c>
      <c r="F72" s="344" t="s">
        <v>4569</v>
      </c>
      <c r="G72" s="619" t="s">
        <v>4570</v>
      </c>
      <c r="H72" s="367" t="s">
        <v>4571</v>
      </c>
      <c r="I72" s="345" t="s">
        <v>4572</v>
      </c>
      <c r="J72" s="349" t="s">
        <v>4573</v>
      </c>
      <c r="K72" s="345" t="s">
        <v>4574</v>
      </c>
      <c r="L72" s="349" t="s">
        <v>4575</v>
      </c>
      <c r="M72" s="345" t="s">
        <v>4576</v>
      </c>
      <c r="N72" s="349" t="s">
        <v>4577</v>
      </c>
      <c r="O72" s="345" t="s">
        <v>4578</v>
      </c>
      <c r="P72" s="349" t="s">
        <v>4579</v>
      </c>
      <c r="Q72" s="345" t="s">
        <v>4580</v>
      </c>
      <c r="R72" s="349" t="s">
        <v>4581</v>
      </c>
      <c r="S72" s="345" t="s">
        <v>4582</v>
      </c>
      <c r="T72" s="349" t="s">
        <v>4583</v>
      </c>
      <c r="U72" s="345" t="s">
        <v>4584</v>
      </c>
      <c r="V72" s="349" t="s">
        <v>4585</v>
      </c>
      <c r="W72" s="345" t="s">
        <v>4586</v>
      </c>
      <c r="X72" s="349" t="s">
        <v>4587</v>
      </c>
      <c r="Y72" s="345" t="s">
        <v>4588</v>
      </c>
      <c r="Z72" s="349" t="s">
        <v>4589</v>
      </c>
      <c r="AA72" s="345" t="s">
        <v>4590</v>
      </c>
      <c r="AB72" s="349" t="s">
        <v>4591</v>
      </c>
      <c r="AC72" s="345" t="s">
        <v>4592</v>
      </c>
      <c r="AD72" s="349" t="s">
        <v>4593</v>
      </c>
      <c r="AE72" s="345" t="s">
        <v>4594</v>
      </c>
      <c r="AF72" s="349" t="s">
        <v>4595</v>
      </c>
      <c r="AG72" s="345" t="s">
        <v>4596</v>
      </c>
      <c r="AH72" s="349" t="s">
        <v>4597</v>
      </c>
      <c r="AI72" s="345" t="s">
        <v>4598</v>
      </c>
      <c r="AJ72" s="349" t="s">
        <v>4599</v>
      </c>
      <c r="AK72" s="345" t="s">
        <v>4600</v>
      </c>
      <c r="AL72" s="351" t="s">
        <v>4601</v>
      </c>
      <c r="AM72" s="811" t="s">
        <v>4602</v>
      </c>
      <c r="AN72" s="812" t="s">
        <v>4603</v>
      </c>
      <c r="AO72" t="str">
        <f t="shared" si="34"/>
        <v xml:space="preserve"> * La variable Pueblos Originarios no puede ser mayor al Total Ambos Sexos. * La variable Migrantes no puede ser mayor al Total Ambos Sexos.</v>
      </c>
      <c r="CB72" s="2946" t="str">
        <f t="shared" si="37"/>
        <v xml:space="preserve"> * La variable Pueblos Originarios no puede ser mayor al Total Ambos Sexos.</v>
      </c>
      <c r="CC72" s="2946" t="str">
        <f t="shared" si="38"/>
        <v xml:space="preserve"> * La variable Migrantes no puede ser mayor al Total Ambos Sexos.</v>
      </c>
      <c r="CL72" s="1867">
        <f t="shared" si="35"/>
        <v>1</v>
      </c>
      <c r="CM72" s="1867">
        <f t="shared" si="36"/>
        <v>1</v>
      </c>
    </row>
    <row r="73" spans="1:91" x14ac:dyDescent="0.25">
      <c r="A73" s="5601" t="s">
        <v>5280</v>
      </c>
      <c r="B73" s="6727"/>
      <c r="C73" s="810" t="s">
        <v>1034</v>
      </c>
      <c r="D73" s="737" t="s">
        <v>4567</v>
      </c>
      <c r="E73" s="751" t="s">
        <v>4568</v>
      </c>
      <c r="F73" s="344" t="s">
        <v>4569</v>
      </c>
      <c r="G73" s="619" t="s">
        <v>4570</v>
      </c>
      <c r="H73" s="367" t="s">
        <v>4571</v>
      </c>
      <c r="I73" s="345" t="s">
        <v>4572</v>
      </c>
      <c r="J73" s="349" t="s">
        <v>4573</v>
      </c>
      <c r="K73" s="345" t="s">
        <v>4574</v>
      </c>
      <c r="L73" s="349" t="s">
        <v>4575</v>
      </c>
      <c r="M73" s="345" t="s">
        <v>4576</v>
      </c>
      <c r="N73" s="349" t="s">
        <v>4577</v>
      </c>
      <c r="O73" s="345" t="s">
        <v>4578</v>
      </c>
      <c r="P73" s="349" t="s">
        <v>4579</v>
      </c>
      <c r="Q73" s="345" t="s">
        <v>4580</v>
      </c>
      <c r="R73" s="349" t="s">
        <v>4581</v>
      </c>
      <c r="S73" s="345" t="s">
        <v>4582</v>
      </c>
      <c r="T73" s="349" t="s">
        <v>4583</v>
      </c>
      <c r="U73" s="345" t="s">
        <v>4584</v>
      </c>
      <c r="V73" s="349" t="s">
        <v>4585</v>
      </c>
      <c r="W73" s="345" t="s">
        <v>4586</v>
      </c>
      <c r="X73" s="349" t="s">
        <v>4587</v>
      </c>
      <c r="Y73" s="345" t="s">
        <v>4588</v>
      </c>
      <c r="Z73" s="349" t="s">
        <v>4589</v>
      </c>
      <c r="AA73" s="345" t="s">
        <v>4590</v>
      </c>
      <c r="AB73" s="349" t="s">
        <v>4591</v>
      </c>
      <c r="AC73" s="345" t="s">
        <v>4592</v>
      </c>
      <c r="AD73" s="349" t="s">
        <v>4593</v>
      </c>
      <c r="AE73" s="345" t="s">
        <v>4594</v>
      </c>
      <c r="AF73" s="349" t="s">
        <v>4595</v>
      </c>
      <c r="AG73" s="345" t="s">
        <v>4596</v>
      </c>
      <c r="AH73" s="349" t="s">
        <v>4597</v>
      </c>
      <c r="AI73" s="345" t="s">
        <v>4598</v>
      </c>
      <c r="AJ73" s="349" t="s">
        <v>4599</v>
      </c>
      <c r="AK73" s="345" t="s">
        <v>4600</v>
      </c>
      <c r="AL73" s="351" t="s">
        <v>4601</v>
      </c>
      <c r="AM73" s="811" t="s">
        <v>4602</v>
      </c>
      <c r="AN73" s="812" t="s">
        <v>4603</v>
      </c>
      <c r="AO73" t="str">
        <f t="shared" si="34"/>
        <v xml:space="preserve"> * La variable Pueblos Originarios no puede ser mayor al Total Ambos Sexos. * La variable Migrantes no puede ser mayor al Total Ambos Sexos.</v>
      </c>
      <c r="CB73" s="2946" t="str">
        <f t="shared" si="37"/>
        <v xml:space="preserve"> * La variable Pueblos Originarios no puede ser mayor al Total Ambos Sexos.</v>
      </c>
      <c r="CC73" s="2946" t="str">
        <f t="shared" si="38"/>
        <v xml:space="preserve"> * La variable Migrantes no puede ser mayor al Total Ambos Sexos.</v>
      </c>
      <c r="CL73" s="1867">
        <f t="shared" si="35"/>
        <v>1</v>
      </c>
      <c r="CM73" s="1867">
        <f t="shared" si="36"/>
        <v>1</v>
      </c>
    </row>
    <row r="74" spans="1:91" x14ac:dyDescent="0.25">
      <c r="A74" s="5601" t="s">
        <v>5281</v>
      </c>
      <c r="B74" s="6727"/>
      <c r="C74" s="810" t="s">
        <v>1074</v>
      </c>
      <c r="D74" s="737" t="s">
        <v>4567</v>
      </c>
      <c r="E74" s="751" t="s">
        <v>4568</v>
      </c>
      <c r="F74" s="344" t="s">
        <v>4569</v>
      </c>
      <c r="G74" s="619" t="s">
        <v>4570</v>
      </c>
      <c r="H74" s="367" t="s">
        <v>4571</v>
      </c>
      <c r="I74" s="345" t="s">
        <v>4572</v>
      </c>
      <c r="J74" s="349" t="s">
        <v>4573</v>
      </c>
      <c r="K74" s="345" t="s">
        <v>4574</v>
      </c>
      <c r="L74" s="349" t="s">
        <v>4575</v>
      </c>
      <c r="M74" s="345" t="s">
        <v>4576</v>
      </c>
      <c r="N74" s="349" t="s">
        <v>4577</v>
      </c>
      <c r="O74" s="345" t="s">
        <v>4578</v>
      </c>
      <c r="P74" s="349" t="s">
        <v>4579</v>
      </c>
      <c r="Q74" s="345" t="s">
        <v>4580</v>
      </c>
      <c r="R74" s="349" t="s">
        <v>4581</v>
      </c>
      <c r="S74" s="345" t="s">
        <v>4582</v>
      </c>
      <c r="T74" s="349" t="s">
        <v>4583</v>
      </c>
      <c r="U74" s="345" t="s">
        <v>4584</v>
      </c>
      <c r="V74" s="349" t="s">
        <v>4585</v>
      </c>
      <c r="W74" s="345" t="s">
        <v>4586</v>
      </c>
      <c r="X74" s="349" t="s">
        <v>4587</v>
      </c>
      <c r="Y74" s="345" t="s">
        <v>4588</v>
      </c>
      <c r="Z74" s="349" t="s">
        <v>4589</v>
      </c>
      <c r="AA74" s="345" t="s">
        <v>4590</v>
      </c>
      <c r="AB74" s="349" t="s">
        <v>4591</v>
      </c>
      <c r="AC74" s="345" t="s">
        <v>4592</v>
      </c>
      <c r="AD74" s="349" t="s">
        <v>4593</v>
      </c>
      <c r="AE74" s="345" t="s">
        <v>4594</v>
      </c>
      <c r="AF74" s="349" t="s">
        <v>4595</v>
      </c>
      <c r="AG74" s="345" t="s">
        <v>4596</v>
      </c>
      <c r="AH74" s="349" t="s">
        <v>4597</v>
      </c>
      <c r="AI74" s="345" t="s">
        <v>4598</v>
      </c>
      <c r="AJ74" s="349" t="s">
        <v>4599</v>
      </c>
      <c r="AK74" s="345" t="s">
        <v>4600</v>
      </c>
      <c r="AL74" s="351" t="s">
        <v>4601</v>
      </c>
      <c r="AM74" s="811" t="s">
        <v>4602</v>
      </c>
      <c r="AN74" s="812" t="s">
        <v>4603</v>
      </c>
      <c r="AO74" t="str">
        <f t="shared" si="34"/>
        <v xml:space="preserve"> * La variable Pueblos Originarios no puede ser mayor al Total Ambos Sexos. * La variable Migrantes no puede ser mayor al Total Ambos Sexos.</v>
      </c>
      <c r="CB74" s="2946" t="str">
        <f t="shared" si="37"/>
        <v xml:space="preserve"> * La variable Pueblos Originarios no puede ser mayor al Total Ambos Sexos.</v>
      </c>
      <c r="CC74" s="2946" t="str">
        <f t="shared" si="38"/>
        <v xml:space="preserve"> * La variable Migrantes no puede ser mayor al Total Ambos Sexos.</v>
      </c>
      <c r="CL74" s="1867">
        <f t="shared" si="35"/>
        <v>1</v>
      </c>
      <c r="CM74" s="1867">
        <f t="shared" si="36"/>
        <v>1</v>
      </c>
    </row>
    <row r="75" spans="1:91" x14ac:dyDescent="0.25">
      <c r="A75" s="5601" t="s">
        <v>5282</v>
      </c>
      <c r="B75" s="6727"/>
      <c r="C75" s="810" t="s">
        <v>1035</v>
      </c>
      <c r="D75" s="737" t="s">
        <v>4567</v>
      </c>
      <c r="E75" s="751" t="s">
        <v>4568</v>
      </c>
      <c r="F75" s="344" t="s">
        <v>4569</v>
      </c>
      <c r="G75" s="619" t="s">
        <v>4570</v>
      </c>
      <c r="H75" s="367" t="s">
        <v>4571</v>
      </c>
      <c r="I75" s="345" t="s">
        <v>4572</v>
      </c>
      <c r="J75" s="349" t="s">
        <v>4573</v>
      </c>
      <c r="K75" s="345" t="s">
        <v>4574</v>
      </c>
      <c r="L75" s="349" t="s">
        <v>4575</v>
      </c>
      <c r="M75" s="345" t="s">
        <v>4576</v>
      </c>
      <c r="N75" s="349" t="s">
        <v>4577</v>
      </c>
      <c r="O75" s="345" t="s">
        <v>4578</v>
      </c>
      <c r="P75" s="349" t="s">
        <v>4579</v>
      </c>
      <c r="Q75" s="345" t="s">
        <v>4580</v>
      </c>
      <c r="R75" s="349" t="s">
        <v>4581</v>
      </c>
      <c r="S75" s="345" t="s">
        <v>4582</v>
      </c>
      <c r="T75" s="349" t="s">
        <v>4583</v>
      </c>
      <c r="U75" s="345" t="s">
        <v>4584</v>
      </c>
      <c r="V75" s="349" t="s">
        <v>4585</v>
      </c>
      <c r="W75" s="345" t="s">
        <v>4586</v>
      </c>
      <c r="X75" s="349" t="s">
        <v>4587</v>
      </c>
      <c r="Y75" s="345" t="s">
        <v>4588</v>
      </c>
      <c r="Z75" s="349" t="s">
        <v>4589</v>
      </c>
      <c r="AA75" s="345" t="s">
        <v>4590</v>
      </c>
      <c r="AB75" s="349" t="s">
        <v>4591</v>
      </c>
      <c r="AC75" s="345" t="s">
        <v>4592</v>
      </c>
      <c r="AD75" s="349" t="s">
        <v>4593</v>
      </c>
      <c r="AE75" s="345" t="s">
        <v>4594</v>
      </c>
      <c r="AF75" s="349" t="s">
        <v>4595</v>
      </c>
      <c r="AG75" s="345" t="s">
        <v>4596</v>
      </c>
      <c r="AH75" s="349" t="s">
        <v>4597</v>
      </c>
      <c r="AI75" s="345" t="s">
        <v>4598</v>
      </c>
      <c r="AJ75" s="349" t="s">
        <v>4599</v>
      </c>
      <c r="AK75" s="345" t="s">
        <v>4600</v>
      </c>
      <c r="AL75" s="351" t="s">
        <v>4601</v>
      </c>
      <c r="AM75" s="811" t="s">
        <v>4602</v>
      </c>
      <c r="AN75" s="812" t="s">
        <v>4603</v>
      </c>
      <c r="AO75" t="str">
        <f t="shared" si="34"/>
        <v xml:space="preserve"> * La variable Pueblos Originarios no puede ser mayor al Total Ambos Sexos. * La variable Migrantes no puede ser mayor al Total Ambos Sexos.</v>
      </c>
      <c r="CB75" s="2946" t="str">
        <f t="shared" si="37"/>
        <v xml:space="preserve"> * La variable Pueblos Originarios no puede ser mayor al Total Ambos Sexos.</v>
      </c>
      <c r="CC75" s="2946" t="str">
        <f t="shared" si="38"/>
        <v xml:space="preserve"> * La variable Migrantes no puede ser mayor al Total Ambos Sexos.</v>
      </c>
      <c r="CL75" s="1867">
        <f t="shared" si="35"/>
        <v>1</v>
      </c>
      <c r="CM75" s="1867">
        <f t="shared" si="36"/>
        <v>1</v>
      </c>
    </row>
    <row r="76" spans="1:91" x14ac:dyDescent="0.25">
      <c r="A76" s="5601" t="s">
        <v>5283</v>
      </c>
      <c r="B76" s="6634"/>
      <c r="C76" s="813" t="s">
        <v>1075</v>
      </c>
      <c r="D76" s="703" t="s">
        <v>4567</v>
      </c>
      <c r="E76" s="704" t="s">
        <v>4568</v>
      </c>
      <c r="F76" s="625" t="s">
        <v>4569</v>
      </c>
      <c r="G76" s="620" t="s">
        <v>4570</v>
      </c>
      <c r="H76" s="621" t="s">
        <v>4571</v>
      </c>
      <c r="I76" s="379" t="s">
        <v>4572</v>
      </c>
      <c r="J76" s="388" t="s">
        <v>4573</v>
      </c>
      <c r="K76" s="379" t="s">
        <v>4574</v>
      </c>
      <c r="L76" s="388" t="s">
        <v>4575</v>
      </c>
      <c r="M76" s="379" t="s">
        <v>4576</v>
      </c>
      <c r="N76" s="388" t="s">
        <v>4577</v>
      </c>
      <c r="O76" s="379" t="s">
        <v>4578</v>
      </c>
      <c r="P76" s="388" t="s">
        <v>4579</v>
      </c>
      <c r="Q76" s="379" t="s">
        <v>4580</v>
      </c>
      <c r="R76" s="388" t="s">
        <v>4581</v>
      </c>
      <c r="S76" s="379" t="s">
        <v>4582</v>
      </c>
      <c r="T76" s="388" t="s">
        <v>4583</v>
      </c>
      <c r="U76" s="379" t="s">
        <v>4584</v>
      </c>
      <c r="V76" s="388" t="s">
        <v>4585</v>
      </c>
      <c r="W76" s="379" t="s">
        <v>4586</v>
      </c>
      <c r="X76" s="388" t="s">
        <v>4587</v>
      </c>
      <c r="Y76" s="379" t="s">
        <v>4588</v>
      </c>
      <c r="Z76" s="388" t="s">
        <v>4589</v>
      </c>
      <c r="AA76" s="379" t="s">
        <v>4590</v>
      </c>
      <c r="AB76" s="388" t="s">
        <v>4591</v>
      </c>
      <c r="AC76" s="379" t="s">
        <v>4592</v>
      </c>
      <c r="AD76" s="388" t="s">
        <v>4593</v>
      </c>
      <c r="AE76" s="379" t="s">
        <v>4594</v>
      </c>
      <c r="AF76" s="388" t="s">
        <v>4595</v>
      </c>
      <c r="AG76" s="379" t="s">
        <v>4596</v>
      </c>
      <c r="AH76" s="388" t="s">
        <v>4597</v>
      </c>
      <c r="AI76" s="379" t="s">
        <v>4598</v>
      </c>
      <c r="AJ76" s="388" t="s">
        <v>4599</v>
      </c>
      <c r="AK76" s="379" t="s">
        <v>4600</v>
      </c>
      <c r="AL76" s="389" t="s">
        <v>4601</v>
      </c>
      <c r="AM76" s="814" t="s">
        <v>4602</v>
      </c>
      <c r="AN76" s="815" t="s">
        <v>4603</v>
      </c>
      <c r="AO76" t="str">
        <f t="shared" si="34"/>
        <v xml:space="preserve"> * La variable Pueblos Originarios no puede ser mayor al Total Ambos Sexos. * La variable Migrantes no puede ser mayor al Total Ambos Sexos.</v>
      </c>
      <c r="CB76" s="2946" t="str">
        <f t="shared" si="37"/>
        <v xml:space="preserve"> * La variable Pueblos Originarios no puede ser mayor al Total Ambos Sexos.</v>
      </c>
      <c r="CC76" s="2946" t="str">
        <f t="shared" si="38"/>
        <v xml:space="preserve"> * La variable Migrantes no puede ser mayor al Total Ambos Sexos.</v>
      </c>
      <c r="CL76" s="1867">
        <f t="shared" si="35"/>
        <v>1</v>
      </c>
      <c r="CM76" s="1867">
        <f t="shared" si="36"/>
        <v>1</v>
      </c>
    </row>
    <row r="77" spans="1:91" s="6" customFormat="1" ht="18" customHeight="1" x14ac:dyDescent="0.2">
      <c r="A77" s="4567"/>
      <c r="B77" s="826" t="s">
        <v>1081</v>
      </c>
      <c r="C77" s="805"/>
      <c r="D77" s="805"/>
      <c r="E77" s="827"/>
      <c r="F77" s="827"/>
      <c r="G77" s="827"/>
      <c r="H77" s="59"/>
      <c r="I77" s="59"/>
      <c r="J77" s="59"/>
    </row>
    <row r="78" spans="1:91" ht="23.25" customHeight="1" x14ac:dyDescent="0.25">
      <c r="A78" s="4567"/>
      <c r="B78" s="6627" t="s">
        <v>1082</v>
      </c>
      <c r="C78" s="6737" t="s">
        <v>1083</v>
      </c>
      <c r="D78" s="6737"/>
      <c r="E78" s="6737" t="s">
        <v>1084</v>
      </c>
      <c r="F78" s="6738"/>
      <c r="G78" s="6732" t="s">
        <v>1085</v>
      </c>
      <c r="H78" s="6737"/>
      <c r="I78" s="6732" t="s">
        <v>1086</v>
      </c>
      <c r="J78" s="6737"/>
    </row>
    <row r="79" spans="1:91" ht="23.25" customHeight="1" x14ac:dyDescent="0.25">
      <c r="A79" s="4567"/>
      <c r="B79" s="6629"/>
      <c r="C79" s="830" t="s">
        <v>1087</v>
      </c>
      <c r="D79" s="831" t="s">
        <v>706</v>
      </c>
      <c r="E79" s="830" t="s">
        <v>1087</v>
      </c>
      <c r="F79" s="832" t="s">
        <v>706</v>
      </c>
      <c r="G79" s="833" t="s">
        <v>1087</v>
      </c>
      <c r="H79" s="831" t="s">
        <v>706</v>
      </c>
      <c r="I79" s="833" t="s">
        <v>1087</v>
      </c>
      <c r="J79" s="831" t="s">
        <v>706</v>
      </c>
    </row>
    <row r="80" spans="1:91" ht="15" customHeight="1" x14ac:dyDescent="0.25">
      <c r="A80" s="5601" t="s">
        <v>5284</v>
      </c>
      <c r="B80" s="834" t="s">
        <v>1088</v>
      </c>
      <c r="C80" s="835" t="s">
        <v>4567</v>
      </c>
      <c r="D80" s="836" t="s">
        <v>4568</v>
      </c>
      <c r="E80" s="835" t="s">
        <v>4569</v>
      </c>
      <c r="F80" s="837" t="s">
        <v>4570</v>
      </c>
      <c r="G80" s="838" t="s">
        <v>4571</v>
      </c>
      <c r="H80" s="836" t="s">
        <v>4572</v>
      </c>
      <c r="I80" s="838" t="s">
        <v>4573</v>
      </c>
      <c r="J80" s="836" t="s">
        <v>4574</v>
      </c>
    </row>
    <row r="81" spans="1:10" ht="15" customHeight="1" x14ac:dyDescent="0.25">
      <c r="A81" s="5601" t="s">
        <v>5285</v>
      </c>
      <c r="B81" s="839" t="s">
        <v>1089</v>
      </c>
      <c r="C81" s="840" t="s">
        <v>4567</v>
      </c>
      <c r="D81" s="841" t="s">
        <v>4568</v>
      </c>
      <c r="E81" s="840" t="s">
        <v>4569</v>
      </c>
      <c r="F81" s="842" t="s">
        <v>4570</v>
      </c>
      <c r="G81" s="843" t="s">
        <v>4571</v>
      </c>
      <c r="H81" s="841" t="s">
        <v>4572</v>
      </c>
      <c r="I81" s="843" t="s">
        <v>4573</v>
      </c>
      <c r="J81" s="841" t="s">
        <v>4574</v>
      </c>
    </row>
    <row r="82" spans="1:10" ht="15" customHeight="1" x14ac:dyDescent="0.25">
      <c r="A82" s="5601" t="s">
        <v>5286</v>
      </c>
      <c r="B82" s="839" t="s">
        <v>1090</v>
      </c>
      <c r="C82" s="840" t="s">
        <v>4567</v>
      </c>
      <c r="D82" s="841" t="s">
        <v>4568</v>
      </c>
      <c r="E82" s="840" t="s">
        <v>4569</v>
      </c>
      <c r="F82" s="842" t="s">
        <v>4570</v>
      </c>
      <c r="G82" s="843" t="s">
        <v>4571</v>
      </c>
      <c r="H82" s="841" t="s">
        <v>4572</v>
      </c>
      <c r="I82" s="843" t="s">
        <v>4573</v>
      </c>
      <c r="J82" s="841" t="s">
        <v>4574</v>
      </c>
    </row>
    <row r="83" spans="1:10" ht="15" customHeight="1" x14ac:dyDescent="0.25">
      <c r="A83" s="5601" t="s">
        <v>5287</v>
      </c>
      <c r="B83" s="844" t="s">
        <v>1091</v>
      </c>
      <c r="C83" s="379" t="s">
        <v>4567</v>
      </c>
      <c r="D83" s="821" t="s">
        <v>4568</v>
      </c>
      <c r="E83" s="379" t="s">
        <v>4569</v>
      </c>
      <c r="F83" s="822" t="s">
        <v>4570</v>
      </c>
      <c r="G83" s="428" t="s">
        <v>4571</v>
      </c>
      <c r="H83" s="821" t="s">
        <v>4572</v>
      </c>
      <c r="I83" s="428" t="s">
        <v>4573</v>
      </c>
      <c r="J83" s="821" t="s">
        <v>4574</v>
      </c>
    </row>
    <row r="84" spans="1:10" s="6" customFormat="1" ht="18" customHeight="1" x14ac:dyDescent="0.2">
      <c r="B84" s="3" t="s">
        <v>1092</v>
      </c>
      <c r="C84" s="792"/>
      <c r="D84" s="792"/>
      <c r="E84" s="792"/>
    </row>
    <row r="85" spans="1:10" ht="31.5" x14ac:dyDescent="0.25">
      <c r="A85" s="6"/>
      <c r="B85" s="828" t="s">
        <v>1093</v>
      </c>
      <c r="C85" s="691" t="s">
        <v>1094</v>
      </c>
      <c r="D85" s="692" t="s">
        <v>1095</v>
      </c>
      <c r="E85" s="845" t="s">
        <v>1096</v>
      </c>
    </row>
    <row r="86" spans="1:10" x14ac:dyDescent="0.25">
      <c r="A86" s="5601" t="s">
        <v>5288</v>
      </c>
      <c r="B86" s="322" t="s">
        <v>1097</v>
      </c>
      <c r="C86" s="846" t="s">
        <v>4567</v>
      </c>
      <c r="D86" s="847" t="s">
        <v>4568</v>
      </c>
      <c r="E86" s="848" t="s">
        <v>4569</v>
      </c>
    </row>
    <row r="87" spans="1:10" x14ac:dyDescent="0.25">
      <c r="A87" s="5609" t="s">
        <v>5289</v>
      </c>
      <c r="B87" s="839" t="s">
        <v>1098</v>
      </c>
      <c r="C87" s="849" t="s">
        <v>4567</v>
      </c>
      <c r="D87" s="328" t="s">
        <v>4568</v>
      </c>
      <c r="E87" s="329" t="s">
        <v>4569</v>
      </c>
    </row>
    <row r="88" spans="1:10" x14ac:dyDescent="0.25">
      <c r="A88" s="5609" t="s">
        <v>5290</v>
      </c>
      <c r="B88" s="839" t="s">
        <v>1099</v>
      </c>
      <c r="C88" s="849" t="s">
        <v>4567</v>
      </c>
      <c r="D88" s="328" t="s">
        <v>4568</v>
      </c>
      <c r="E88" s="329" t="s">
        <v>4569</v>
      </c>
    </row>
    <row r="89" spans="1:10" x14ac:dyDescent="0.25">
      <c r="A89" s="5609" t="s">
        <v>5291</v>
      </c>
      <c r="B89" s="850" t="s">
        <v>1100</v>
      </c>
      <c r="C89" s="849" t="s">
        <v>4567</v>
      </c>
      <c r="D89" s="328" t="s">
        <v>4568</v>
      </c>
      <c r="E89" s="329" t="s">
        <v>4569</v>
      </c>
    </row>
    <row r="90" spans="1:10" ht="22.5" x14ac:dyDescent="0.25">
      <c r="A90" s="5609" t="s">
        <v>5292</v>
      </c>
      <c r="B90" s="356" t="s">
        <v>1101</v>
      </c>
      <c r="C90" s="849" t="s">
        <v>4567</v>
      </c>
      <c r="D90" s="328" t="s">
        <v>4568</v>
      </c>
      <c r="E90" s="329" t="s">
        <v>4569</v>
      </c>
    </row>
    <row r="91" spans="1:10" ht="22.5" x14ac:dyDescent="0.25">
      <c r="A91" s="5609" t="s">
        <v>5293</v>
      </c>
      <c r="B91" s="356" t="s">
        <v>1102</v>
      </c>
      <c r="C91" s="851" t="s">
        <v>4567</v>
      </c>
      <c r="D91" s="328" t="s">
        <v>4568</v>
      </c>
      <c r="E91" s="329" t="s">
        <v>4569</v>
      </c>
    </row>
    <row r="92" spans="1:10" ht="22.5" x14ac:dyDescent="0.25">
      <c r="A92" s="5609" t="s">
        <v>5294</v>
      </c>
      <c r="B92" s="356" t="s">
        <v>1103</v>
      </c>
      <c r="C92" s="849" t="s">
        <v>4567</v>
      </c>
      <c r="D92" s="328" t="s">
        <v>4568</v>
      </c>
      <c r="E92" s="329" t="s">
        <v>4569</v>
      </c>
    </row>
    <row r="93" spans="1:10" x14ac:dyDescent="0.25">
      <c r="A93" s="5782" t="s">
        <v>5295</v>
      </c>
      <c r="B93" s="674" t="s">
        <v>1104</v>
      </c>
      <c r="C93" s="852" t="s">
        <v>4567</v>
      </c>
      <c r="D93" s="853" t="s">
        <v>4568</v>
      </c>
      <c r="E93" s="854" t="s">
        <v>4569</v>
      </c>
    </row>
    <row r="94" spans="1:10" s="6" customFormat="1" ht="18" customHeight="1" x14ac:dyDescent="0.2">
      <c r="B94" s="795" t="s">
        <v>1105</v>
      </c>
      <c r="C94" s="16"/>
      <c r="D94" s="16"/>
      <c r="E94" s="16"/>
      <c r="F94" s="8"/>
      <c r="G94" s="16"/>
    </row>
    <row r="95" spans="1:10" x14ac:dyDescent="0.25">
      <c r="A95" s="6"/>
      <c r="B95" s="6458" t="s">
        <v>1106</v>
      </c>
      <c r="C95" s="6728" t="s">
        <v>1107</v>
      </c>
      <c r="D95" s="6730" t="s">
        <v>1108</v>
      </c>
      <c r="E95" s="6716" t="s">
        <v>1109</v>
      </c>
      <c r="F95" s="6724" t="s">
        <v>1110</v>
      </c>
      <c r="G95" s="6732"/>
    </row>
    <row r="96" spans="1:10" x14ac:dyDescent="0.25">
      <c r="A96" s="6"/>
      <c r="B96" s="6024"/>
      <c r="C96" s="6729"/>
      <c r="D96" s="6731"/>
      <c r="E96" s="6719"/>
      <c r="F96" s="830" t="s">
        <v>1111</v>
      </c>
      <c r="G96" s="829" t="s">
        <v>1112</v>
      </c>
    </row>
    <row r="97" spans="1:17" x14ac:dyDescent="0.25">
      <c r="A97" s="5601" t="s">
        <v>5296</v>
      </c>
      <c r="B97" s="855" t="s">
        <v>1113</v>
      </c>
      <c r="C97" s="345" t="s">
        <v>4567</v>
      </c>
      <c r="D97" s="368" t="s">
        <v>4568</v>
      </c>
      <c r="E97" s="566" t="s">
        <v>4569</v>
      </c>
      <c r="F97" s="747" t="s">
        <v>4570</v>
      </c>
      <c r="G97" s="566" t="s">
        <v>4571</v>
      </c>
    </row>
    <row r="98" spans="1:17" x14ac:dyDescent="0.25">
      <c r="A98" s="5601" t="s">
        <v>5297</v>
      </c>
      <c r="B98" s="360" t="s">
        <v>1114</v>
      </c>
      <c r="C98" s="345" t="s">
        <v>4567</v>
      </c>
      <c r="D98" s="368" t="s">
        <v>4568</v>
      </c>
      <c r="E98" s="346" t="s">
        <v>4569</v>
      </c>
      <c r="F98" s="345" t="s">
        <v>4570</v>
      </c>
      <c r="G98" s="346" t="s">
        <v>4571</v>
      </c>
    </row>
    <row r="99" spans="1:17" x14ac:dyDescent="0.25">
      <c r="A99" s="5601" t="s">
        <v>5298</v>
      </c>
      <c r="B99" s="360" t="s">
        <v>1115</v>
      </c>
      <c r="C99" s="345" t="s">
        <v>4567</v>
      </c>
      <c r="D99" s="368" t="s">
        <v>4568</v>
      </c>
      <c r="E99" s="346" t="s">
        <v>4569</v>
      </c>
      <c r="F99" s="345" t="s">
        <v>4570</v>
      </c>
      <c r="G99" s="346" t="s">
        <v>4571</v>
      </c>
    </row>
    <row r="100" spans="1:17" x14ac:dyDescent="0.25">
      <c r="A100" s="5601" t="s">
        <v>5299</v>
      </c>
      <c r="B100" s="360" t="s">
        <v>1116</v>
      </c>
      <c r="C100" s="345" t="s">
        <v>4567</v>
      </c>
      <c r="D100" s="368" t="s">
        <v>4568</v>
      </c>
      <c r="E100" s="346" t="s">
        <v>4569</v>
      </c>
      <c r="F100" s="345" t="s">
        <v>4570</v>
      </c>
      <c r="G100" s="346" t="s">
        <v>4571</v>
      </c>
    </row>
    <row r="101" spans="1:17" x14ac:dyDescent="0.25">
      <c r="A101" s="5601" t="s">
        <v>5300</v>
      </c>
      <c r="B101" s="360" t="s">
        <v>1117</v>
      </c>
      <c r="C101" s="345" t="s">
        <v>4567</v>
      </c>
      <c r="D101" s="368" t="s">
        <v>4568</v>
      </c>
      <c r="E101" s="346" t="s">
        <v>4569</v>
      </c>
      <c r="F101" s="345" t="s">
        <v>4570</v>
      </c>
      <c r="G101" s="346" t="s">
        <v>4571</v>
      </c>
    </row>
    <row r="102" spans="1:17" x14ac:dyDescent="0.25">
      <c r="A102" s="5604"/>
      <c r="B102" s="806" t="s">
        <v>77</v>
      </c>
      <c r="C102" s="856">
        <f>SUM(C97:C101)</f>
        <v>0</v>
      </c>
      <c r="D102" s="857">
        <f>SUM(D97:D101)</f>
        <v>0</v>
      </c>
      <c r="E102" s="858">
        <f>SUM(E97:E101)</f>
        <v>0</v>
      </c>
      <c r="F102" s="856">
        <f>SUM(F97:F101)</f>
        <v>0</v>
      </c>
      <c r="G102" s="859">
        <f>SUM(G97:G101)</f>
        <v>0</v>
      </c>
    </row>
    <row r="103" spans="1:17" x14ac:dyDescent="0.25">
      <c r="A103" s="6"/>
      <c r="B103" s="795" t="s">
        <v>1118</v>
      </c>
      <c r="C103" s="16"/>
      <c r="D103" s="16"/>
      <c r="E103" s="16"/>
      <c r="F103" s="8"/>
      <c r="G103" s="16"/>
    </row>
    <row r="104" spans="1:17" x14ac:dyDescent="0.25">
      <c r="A104" s="6"/>
      <c r="B104" s="6458" t="s">
        <v>1119</v>
      </c>
      <c r="C104" s="6728" t="s">
        <v>1107</v>
      </c>
      <c r="D104" s="6716" t="s">
        <v>1108</v>
      </c>
      <c r="E104" s="6714" t="s">
        <v>1109</v>
      </c>
      <c r="F104" s="6755" t="s">
        <v>34</v>
      </c>
      <c r="G104" s="6757" t="s">
        <v>35</v>
      </c>
    </row>
    <row r="105" spans="1:17" ht="29.25" customHeight="1" x14ac:dyDescent="0.25">
      <c r="A105" s="6"/>
      <c r="B105" s="6024"/>
      <c r="C105" s="6729"/>
      <c r="D105" s="6719"/>
      <c r="E105" s="6717"/>
      <c r="F105" s="6756"/>
      <c r="G105" s="6758"/>
    </row>
    <row r="106" spans="1:17" x14ac:dyDescent="0.25">
      <c r="A106" s="5782" t="s">
        <v>5301</v>
      </c>
      <c r="B106" s="855" t="s">
        <v>1120</v>
      </c>
      <c r="C106" s="747" t="s">
        <v>4567</v>
      </c>
      <c r="D106" s="346" t="s">
        <v>4568</v>
      </c>
      <c r="E106" s="2964" t="s">
        <v>4569</v>
      </c>
      <c r="F106" s="735" t="s">
        <v>4570</v>
      </c>
      <c r="G106" s="566" t="s">
        <v>4571</v>
      </c>
    </row>
    <row r="107" spans="1:17" ht="21" x14ac:dyDescent="0.25">
      <c r="A107" s="5782" t="s">
        <v>5302</v>
      </c>
      <c r="B107" s="360" t="s">
        <v>1121</v>
      </c>
      <c r="C107" s="345" t="s">
        <v>4567</v>
      </c>
      <c r="D107" s="346" t="s">
        <v>4568</v>
      </c>
      <c r="E107" s="2745" t="s">
        <v>4569</v>
      </c>
      <c r="F107" s="429" t="s">
        <v>4570</v>
      </c>
      <c r="G107" s="346" t="s">
        <v>4571</v>
      </c>
    </row>
    <row r="108" spans="1:17" x14ac:dyDescent="0.25">
      <c r="A108" s="5782" t="s">
        <v>5303</v>
      </c>
      <c r="B108" s="360" t="s">
        <v>1122</v>
      </c>
      <c r="C108" s="345" t="s">
        <v>4567</v>
      </c>
      <c r="D108" s="346" t="s">
        <v>4568</v>
      </c>
      <c r="E108" s="2745" t="s">
        <v>4569</v>
      </c>
      <c r="F108" s="347" t="s">
        <v>4570</v>
      </c>
      <c r="G108" s="346" t="s">
        <v>4571</v>
      </c>
    </row>
    <row r="109" spans="1:17" x14ac:dyDescent="0.25">
      <c r="A109" s="5604"/>
      <c r="B109" s="806" t="s">
        <v>77</v>
      </c>
      <c r="C109" s="856">
        <f>SUM(C106:C108)</f>
        <v>0</v>
      </c>
      <c r="D109" s="858">
        <f>SUM(D106:D108)</f>
        <v>0</v>
      </c>
      <c r="E109" s="3034">
        <f>SUM(E106:E108)</f>
        <v>0</v>
      </c>
      <c r="F109" s="3035">
        <f>SUM(F106:F108)</f>
        <v>0</v>
      </c>
      <c r="G109" s="859">
        <f>SUM(G106:G108)</f>
        <v>0</v>
      </c>
    </row>
    <row r="110" spans="1:17" s="6" customFormat="1" ht="18" customHeight="1" x14ac:dyDescent="0.2">
      <c r="B110" s="860" t="s">
        <v>1123</v>
      </c>
      <c r="C110" s="4"/>
      <c r="D110" s="4"/>
      <c r="E110" s="4"/>
      <c r="F110" s="796"/>
      <c r="G110" s="861"/>
      <c r="H110" s="796"/>
      <c r="I110" s="796"/>
      <c r="J110" s="796"/>
      <c r="K110" s="796"/>
      <c r="L110" s="796"/>
      <c r="M110" s="796"/>
      <c r="N110" s="796"/>
      <c r="O110" s="16"/>
      <c r="P110" s="16"/>
      <c r="Q110" s="16"/>
    </row>
    <row r="111" spans="1:17" x14ac:dyDescent="0.25">
      <c r="A111" s="6"/>
      <c r="B111" s="6444" t="s">
        <v>219</v>
      </c>
      <c r="C111" s="6212" t="s">
        <v>452</v>
      </c>
      <c r="D111" s="6510"/>
      <c r="E111" s="6511"/>
      <c r="F111" s="6704" t="s">
        <v>101</v>
      </c>
      <c r="G111" s="6515"/>
      <c r="H111" s="6515"/>
      <c r="I111" s="6515"/>
      <c r="J111" s="6515"/>
      <c r="K111" s="6515"/>
      <c r="L111" s="6515"/>
      <c r="M111" s="6515"/>
      <c r="N111" s="6515"/>
      <c r="O111" s="862"/>
      <c r="P111" s="6511" t="s">
        <v>36</v>
      </c>
      <c r="Q111" s="6511" t="s">
        <v>37</v>
      </c>
    </row>
    <row r="112" spans="1:17" x14ac:dyDescent="0.25">
      <c r="A112" s="6"/>
      <c r="B112" s="6350"/>
      <c r="C112" s="6734"/>
      <c r="D112" s="6735"/>
      <c r="E112" s="6736"/>
      <c r="F112" s="6704" t="s">
        <v>343</v>
      </c>
      <c r="G112" s="6451"/>
      <c r="H112" s="6704" t="s">
        <v>326</v>
      </c>
      <c r="I112" s="6451"/>
      <c r="J112" s="6704" t="s">
        <v>94</v>
      </c>
      <c r="K112" s="6451"/>
      <c r="L112" s="6704" t="s">
        <v>44</v>
      </c>
      <c r="M112" s="6451"/>
      <c r="N112" s="6704" t="s">
        <v>45</v>
      </c>
      <c r="O112" s="6455"/>
      <c r="P112" s="6027"/>
      <c r="Q112" s="6027"/>
    </row>
    <row r="113" spans="1:91" x14ac:dyDescent="0.25">
      <c r="A113" s="6"/>
      <c r="B113" s="6733"/>
      <c r="C113" s="866" t="s">
        <v>79</v>
      </c>
      <c r="D113" s="508" t="s">
        <v>58</v>
      </c>
      <c r="E113" s="864" t="s">
        <v>59</v>
      </c>
      <c r="F113" s="744" t="s">
        <v>58</v>
      </c>
      <c r="G113" s="464" t="s">
        <v>59</v>
      </c>
      <c r="H113" s="744" t="s">
        <v>58</v>
      </c>
      <c r="I113" s="464" t="s">
        <v>59</v>
      </c>
      <c r="J113" s="744" t="s">
        <v>58</v>
      </c>
      <c r="K113" s="464" t="s">
        <v>59</v>
      </c>
      <c r="L113" s="744" t="s">
        <v>58</v>
      </c>
      <c r="M113" s="464" t="s">
        <v>59</v>
      </c>
      <c r="N113" s="744" t="s">
        <v>58</v>
      </c>
      <c r="O113" s="465" t="s">
        <v>59</v>
      </c>
      <c r="P113" s="6736"/>
      <c r="Q113" s="6736"/>
    </row>
    <row r="114" spans="1:91" x14ac:dyDescent="0.25">
      <c r="A114" s="5601" t="s">
        <v>5304</v>
      </c>
      <c r="B114" s="770" t="s">
        <v>1124</v>
      </c>
      <c r="C114" s="733" t="s">
        <v>4567</v>
      </c>
      <c r="D114" s="730" t="s">
        <v>4568</v>
      </c>
      <c r="E114" s="606" t="s">
        <v>4569</v>
      </c>
      <c r="F114" s="847" t="s">
        <v>4570</v>
      </c>
      <c r="G114" s="848" t="s">
        <v>4571</v>
      </c>
      <c r="H114" s="847" t="s">
        <v>4572</v>
      </c>
      <c r="I114" s="848" t="s">
        <v>4573</v>
      </c>
      <c r="J114" s="847" t="s">
        <v>4574</v>
      </c>
      <c r="K114" s="867" t="s">
        <v>4575</v>
      </c>
      <c r="L114" s="847" t="s">
        <v>4576</v>
      </c>
      <c r="M114" s="867" t="s">
        <v>4577</v>
      </c>
      <c r="N114" s="868" t="s">
        <v>4578</v>
      </c>
      <c r="O114" s="869" t="s">
        <v>4579</v>
      </c>
      <c r="P114" s="848" t="s">
        <v>4580</v>
      </c>
      <c r="Q114" s="848" t="s">
        <v>4581</v>
      </c>
      <c r="R114" t="str">
        <f>CB114&amp;CC114</f>
        <v>* La variable Pueblos Originarios no puede ser mayor al Total Ambos Sexos.* La variable Migrantes no puede ser mayor al Total Ambos Sexos.</v>
      </c>
      <c r="CB114" s="2946" t="str">
        <f>IF(AND($C114&gt;0,P114="")," * No olvide digitar la variable Pueblos Originarios. Digite cero si no tiene.",IF(P114&gt;$C114,"* La variable Pueblos Originarios no puede ser mayor al Total Ambos Sexos.",""))</f>
        <v>* La variable Pueblos Originarios no puede ser mayor al Total Ambos Sexos.</v>
      </c>
      <c r="CC114" s="2946" t="str">
        <f>IF(AND($C114&gt;0,Q114="")," * No olvide digitar la variable Migrantes. Digite cero si no tiene.",IF(Q114&gt;$C114,"* La variable Migrantes no puede ser mayor al Total Ambos Sexos.",""))</f>
        <v>* La variable Migrantes no puede ser mayor al Total Ambos Sexos.</v>
      </c>
      <c r="CL114" s="1867">
        <f>IF(AND(C114&gt;0,P114=""),1,IF(P114&gt;C114,1,0))</f>
        <v>1</v>
      </c>
      <c r="CM114" s="1867">
        <f>IF(AND(C114&gt;0,Q114=""),1,IF(Q114&gt;C114,1,0))</f>
        <v>1</v>
      </c>
    </row>
    <row r="115" spans="1:91" ht="21.75" customHeight="1" x14ac:dyDescent="0.25">
      <c r="A115" s="5601" t="s">
        <v>5305</v>
      </c>
      <c r="B115" s="360" t="s">
        <v>1125</v>
      </c>
      <c r="C115" s="737" t="s">
        <v>4567</v>
      </c>
      <c r="D115" s="738" t="s">
        <v>4568</v>
      </c>
      <c r="E115" s="344" t="s">
        <v>4569</v>
      </c>
      <c r="F115" s="328" t="s">
        <v>4570</v>
      </c>
      <c r="G115" s="329" t="s">
        <v>4571</v>
      </c>
      <c r="H115" s="328" t="s">
        <v>4572</v>
      </c>
      <c r="I115" s="329" t="s">
        <v>4573</v>
      </c>
      <c r="J115" s="328" t="s">
        <v>4574</v>
      </c>
      <c r="K115" s="329" t="s">
        <v>4575</v>
      </c>
      <c r="L115" s="328" t="s">
        <v>4576</v>
      </c>
      <c r="M115" s="329" t="s">
        <v>4577</v>
      </c>
      <c r="N115" s="330" t="s">
        <v>4578</v>
      </c>
      <c r="O115" s="331" t="s">
        <v>4579</v>
      </c>
      <c r="P115" s="329" t="s">
        <v>4580</v>
      </c>
      <c r="Q115" s="329" t="s">
        <v>4581</v>
      </c>
      <c r="R115" t="str">
        <f>CB115&amp;CC115</f>
        <v>* La variable Pueblos Originarios no puede ser mayor al Total Ambos Sexos.* La variable Migrantes no puede ser mayor al Total Ambos Sexos.</v>
      </c>
      <c r="CB115" s="2946" t="str">
        <f t="shared" ref="CB115:CB116" si="39">IF(AND($C115&gt;0,P115="")," * No olvide digitar la variable Pueblos Originarios. Digite cero si no tiene.",IF(P115&gt;$C115,"* La variable Pueblos Originarios no puede ser mayor al Total Ambos Sexos.",""))</f>
        <v>* La variable Pueblos Originarios no puede ser mayor al Total Ambos Sexos.</v>
      </c>
      <c r="CC115" s="2946" t="str">
        <f t="shared" ref="CC115:CC116" si="40">IF(AND($C115&gt;0,Q115="")," * No olvide digitar la variable Migrantes. Digite cero si no tiene.",IF(Q115&gt;$C115,"* La variable Migrantes no puede ser mayor al Total Ambos Sexos.",""))</f>
        <v>* La variable Migrantes no puede ser mayor al Total Ambos Sexos.</v>
      </c>
      <c r="CL115" s="1867">
        <f>IF(AND(C115&gt;0,P115=""),1,IF(P115&gt;C115,1,0))</f>
        <v>1</v>
      </c>
      <c r="CM115" s="1867">
        <f>IF(AND(C115&gt;0,Q115=""),1,IF(Q115&gt;C115,1,0))</f>
        <v>1</v>
      </c>
    </row>
    <row r="116" spans="1:91" ht="21.75" customHeight="1" x14ac:dyDescent="0.25">
      <c r="A116" s="5601" t="s">
        <v>5306</v>
      </c>
      <c r="B116" s="870" t="s">
        <v>1126</v>
      </c>
      <c r="C116" s="871" t="s">
        <v>4567</v>
      </c>
      <c r="D116" s="872" t="s">
        <v>4568</v>
      </c>
      <c r="E116" s="873" t="s">
        <v>4569</v>
      </c>
      <c r="F116" s="874" t="s">
        <v>4570</v>
      </c>
      <c r="G116" s="875" t="s">
        <v>4571</v>
      </c>
      <c r="H116" s="874" t="s">
        <v>4572</v>
      </c>
      <c r="I116" s="324" t="s">
        <v>4573</v>
      </c>
      <c r="J116" s="874" t="s">
        <v>4574</v>
      </c>
      <c r="K116" s="875" t="s">
        <v>4575</v>
      </c>
      <c r="L116" s="874" t="s">
        <v>4576</v>
      </c>
      <c r="M116" s="875" t="s">
        <v>4577</v>
      </c>
      <c r="N116" s="876" t="s">
        <v>4578</v>
      </c>
      <c r="O116" s="325" t="s">
        <v>4579</v>
      </c>
      <c r="P116" s="875" t="s">
        <v>4580</v>
      </c>
      <c r="Q116" s="875" t="s">
        <v>4581</v>
      </c>
      <c r="R116" t="str">
        <f>CB116&amp;CC116</f>
        <v>* La variable Pueblos Originarios no puede ser mayor al Total Ambos Sexos.* La variable Migrantes no puede ser mayor al Total Ambos Sexos.</v>
      </c>
      <c r="CB116" s="2946" t="str">
        <f t="shared" si="39"/>
        <v>* La variable Pueblos Originarios no puede ser mayor al Total Ambos Sexos.</v>
      </c>
      <c r="CC116" s="2946" t="str">
        <f t="shared" si="40"/>
        <v>* La variable Migrantes no puede ser mayor al Total Ambos Sexos.</v>
      </c>
      <c r="CL116" s="1867">
        <f>IF(AND(C116&gt;0,P116=""),1,IF(P116&gt;C116,1,0))</f>
        <v>1</v>
      </c>
      <c r="CM116" s="1867">
        <f>IF(AND(C116&gt;0,Q116=""),1,IF(Q116&gt;C116,1,0))</f>
        <v>1</v>
      </c>
    </row>
    <row r="117" spans="1:91" s="6" customFormat="1" ht="18" customHeight="1" x14ac:dyDescent="0.2">
      <c r="B117" s="13" t="s">
        <v>1127</v>
      </c>
      <c r="E117" s="4"/>
    </row>
    <row r="118" spans="1:91" x14ac:dyDescent="0.25">
      <c r="A118" s="6"/>
      <c r="B118" s="6458" t="s">
        <v>1128</v>
      </c>
      <c r="C118" s="6705" t="s">
        <v>1129</v>
      </c>
      <c r="D118" s="6534"/>
      <c r="E118" s="6447"/>
      <c r="F118" s="6740" t="s">
        <v>1130</v>
      </c>
    </row>
    <row r="119" spans="1:91" x14ac:dyDescent="0.25">
      <c r="A119" s="6"/>
      <c r="B119" s="6739"/>
      <c r="C119" s="866" t="s">
        <v>1131</v>
      </c>
      <c r="D119" s="490" t="s">
        <v>1132</v>
      </c>
      <c r="E119" s="488" t="s">
        <v>1133</v>
      </c>
      <c r="F119" s="6741"/>
    </row>
    <row r="120" spans="1:91" x14ac:dyDescent="0.25">
      <c r="A120" s="5601" t="s">
        <v>5307</v>
      </c>
      <c r="B120" s="806" t="s">
        <v>77</v>
      </c>
      <c r="C120" s="877" t="s">
        <v>4567</v>
      </c>
      <c r="D120" s="878" t="s">
        <v>4568</v>
      </c>
      <c r="E120" s="879" t="s">
        <v>4569</v>
      </c>
      <c r="F120" s="880" t="s">
        <v>4570</v>
      </c>
    </row>
    <row r="121" spans="1:91" s="6" customFormat="1" ht="18" customHeight="1" x14ac:dyDescent="0.2">
      <c r="B121" s="860" t="s">
        <v>1134</v>
      </c>
      <c r="C121" s="4"/>
      <c r="D121" s="4"/>
      <c r="E121" s="8"/>
      <c r="F121" s="8"/>
      <c r="G121" s="8"/>
      <c r="H121" s="8"/>
      <c r="I121" s="881"/>
      <c r="J121" s="881"/>
      <c r="K121" s="881"/>
    </row>
    <row r="122" spans="1:91" x14ac:dyDescent="0.25">
      <c r="A122" s="6"/>
      <c r="B122" s="6444" t="s">
        <v>219</v>
      </c>
      <c r="C122" s="6212" t="s">
        <v>452</v>
      </c>
      <c r="D122" s="6510"/>
      <c r="E122" s="6511"/>
      <c r="F122" s="6742" t="s">
        <v>1135</v>
      </c>
      <c r="G122" s="6742"/>
      <c r="H122" s="6742" t="s">
        <v>1136</v>
      </c>
      <c r="I122" s="6742"/>
      <c r="J122" s="6742" t="s">
        <v>1137</v>
      </c>
      <c r="K122" s="6742"/>
    </row>
    <row r="123" spans="1:91" x14ac:dyDescent="0.25">
      <c r="A123" s="6"/>
      <c r="B123" s="6733"/>
      <c r="C123" s="866" t="s">
        <v>79</v>
      </c>
      <c r="D123" s="490" t="s">
        <v>58</v>
      </c>
      <c r="E123" s="464" t="s">
        <v>59</v>
      </c>
      <c r="F123" s="744" t="s">
        <v>58</v>
      </c>
      <c r="G123" s="464" t="s">
        <v>59</v>
      </c>
      <c r="H123" s="744" t="s">
        <v>58</v>
      </c>
      <c r="I123" s="464" t="s">
        <v>59</v>
      </c>
      <c r="J123" s="744" t="s">
        <v>58</v>
      </c>
      <c r="K123" s="464" t="s">
        <v>59</v>
      </c>
    </row>
    <row r="124" spans="1:91" ht="21" x14ac:dyDescent="0.25">
      <c r="A124" s="5601" t="s">
        <v>5308</v>
      </c>
      <c r="B124" s="318" t="s">
        <v>1138</v>
      </c>
      <c r="C124" s="733" t="s">
        <v>4567</v>
      </c>
      <c r="D124" s="730" t="s">
        <v>4568</v>
      </c>
      <c r="E124" s="606" t="s">
        <v>4569</v>
      </c>
      <c r="F124" s="847" t="s">
        <v>4570</v>
      </c>
      <c r="G124" s="848" t="s">
        <v>4571</v>
      </c>
      <c r="H124" s="847" t="s">
        <v>4572</v>
      </c>
      <c r="I124" s="848" t="s">
        <v>4573</v>
      </c>
      <c r="J124" s="847" t="s">
        <v>4574</v>
      </c>
      <c r="K124" s="867" t="s">
        <v>4575</v>
      </c>
    </row>
    <row r="125" spans="1:91" ht="21" x14ac:dyDescent="0.25">
      <c r="A125" s="5601" t="s">
        <v>5309</v>
      </c>
      <c r="B125" s="203" t="s">
        <v>4337</v>
      </c>
      <c r="C125" s="316" t="s">
        <v>4567</v>
      </c>
      <c r="D125" s="140" t="s">
        <v>4568</v>
      </c>
      <c r="E125" s="141" t="s">
        <v>4569</v>
      </c>
      <c r="F125" s="326" t="s">
        <v>4570</v>
      </c>
      <c r="G125" s="142" t="s">
        <v>4571</v>
      </c>
      <c r="H125" s="326" t="s">
        <v>4572</v>
      </c>
      <c r="I125" s="142" t="s">
        <v>4573</v>
      </c>
      <c r="J125" s="326" t="s">
        <v>4574</v>
      </c>
      <c r="K125" s="882" t="s">
        <v>4575</v>
      </c>
    </row>
    <row r="126" spans="1:91" ht="31.5" x14ac:dyDescent="0.25">
      <c r="A126" s="5601" t="s">
        <v>5310</v>
      </c>
      <c r="B126" s="523" t="s">
        <v>4338</v>
      </c>
      <c r="C126" s="871" t="s">
        <v>4567</v>
      </c>
      <c r="D126" s="872" t="s">
        <v>4568</v>
      </c>
      <c r="E126" s="873" t="s">
        <v>4569</v>
      </c>
      <c r="F126" s="874" t="s">
        <v>4570</v>
      </c>
      <c r="G126" s="875" t="s">
        <v>4571</v>
      </c>
      <c r="H126" s="874" t="s">
        <v>4572</v>
      </c>
      <c r="I126" s="324" t="s">
        <v>4573</v>
      </c>
      <c r="J126" s="874" t="s">
        <v>4574</v>
      </c>
      <c r="K126" s="875" t="s">
        <v>4575</v>
      </c>
    </row>
    <row r="127" spans="1:91" s="6" customFormat="1" ht="18" customHeight="1" x14ac:dyDescent="0.2">
      <c r="B127" s="860" t="s">
        <v>1139</v>
      </c>
      <c r="C127" s="883"/>
      <c r="D127" s="18"/>
      <c r="E127" s="18"/>
      <c r="F127" s="8"/>
      <c r="G127" s="884"/>
      <c r="H127" s="885"/>
      <c r="I127" s="885"/>
    </row>
    <row r="128" spans="1:91" ht="23.25" customHeight="1" x14ac:dyDescent="0.25">
      <c r="A128" s="5783"/>
      <c r="B128" s="6511" t="s">
        <v>219</v>
      </c>
      <c r="C128" s="6444" t="s">
        <v>77</v>
      </c>
      <c r="D128" s="6212" t="s">
        <v>1140</v>
      </c>
      <c r="E128" s="6511"/>
      <c r="F128" s="6212" t="s">
        <v>1141</v>
      </c>
      <c r="G128" s="6511"/>
      <c r="H128" s="6704" t="s">
        <v>1142</v>
      </c>
      <c r="I128" s="6515"/>
      <c r="J128" s="6451"/>
    </row>
    <row r="129" spans="1:94" ht="42" x14ac:dyDescent="0.25">
      <c r="A129" s="5783"/>
      <c r="B129" s="6736"/>
      <c r="C129" s="6733"/>
      <c r="D129" s="744" t="s">
        <v>58</v>
      </c>
      <c r="E129" s="468" t="s">
        <v>59</v>
      </c>
      <c r="F129" s="547" t="s">
        <v>1143</v>
      </c>
      <c r="G129" s="464" t="s">
        <v>1144</v>
      </c>
      <c r="H129" s="547" t="s">
        <v>1145</v>
      </c>
      <c r="I129" s="548" t="s">
        <v>1146</v>
      </c>
      <c r="J129" s="464" t="s">
        <v>1147</v>
      </c>
    </row>
    <row r="130" spans="1:94" x14ac:dyDescent="0.25">
      <c r="A130" s="5601" t="s">
        <v>5311</v>
      </c>
      <c r="B130" s="886" t="s">
        <v>1148</v>
      </c>
      <c r="C130" s="5785" t="s">
        <v>4567</v>
      </c>
      <c r="D130" s="5786" t="s">
        <v>4568</v>
      </c>
      <c r="E130" s="5356" t="s">
        <v>4569</v>
      </c>
      <c r="F130" s="5786" t="s">
        <v>4570</v>
      </c>
      <c r="G130" s="5619" t="s">
        <v>4571</v>
      </c>
      <c r="H130" s="5786" t="s">
        <v>4572</v>
      </c>
      <c r="I130" s="5786" t="s">
        <v>4573</v>
      </c>
      <c r="J130" s="5619" t="s">
        <v>4574</v>
      </c>
    </row>
    <row r="131" spans="1:94" s="6" customFormat="1" ht="18" customHeight="1" x14ac:dyDescent="0.2">
      <c r="B131" s="11" t="s">
        <v>1149</v>
      </c>
      <c r="D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</row>
    <row r="132" spans="1:94" x14ac:dyDescent="0.25">
      <c r="A132" s="6"/>
      <c r="B132" s="6444" t="s">
        <v>219</v>
      </c>
      <c r="C132" s="6444" t="s">
        <v>27</v>
      </c>
      <c r="D132" s="6212" t="s">
        <v>452</v>
      </c>
      <c r="E132" s="6510"/>
      <c r="F132" s="6511"/>
      <c r="G132" s="6704" t="s">
        <v>101</v>
      </c>
      <c r="H132" s="6515"/>
      <c r="I132" s="6515"/>
      <c r="J132" s="6515"/>
      <c r="K132" s="6515"/>
      <c r="L132" s="6515"/>
      <c r="M132" s="6515"/>
      <c r="N132" s="6515"/>
      <c r="O132" s="6515"/>
      <c r="P132" s="6515"/>
      <c r="Q132" s="6515"/>
      <c r="R132" s="6515"/>
      <c r="S132" s="6515"/>
      <c r="T132" s="6515"/>
      <c r="U132" s="6515"/>
      <c r="V132" s="6515"/>
      <c r="W132" s="6515"/>
      <c r="X132" s="6515"/>
      <c r="Y132" s="6515"/>
      <c r="Z132" s="6515"/>
      <c r="AA132" s="6515"/>
      <c r="AB132" s="6515"/>
      <c r="AC132" s="6515"/>
      <c r="AD132" s="6515"/>
      <c r="AE132" s="6515"/>
      <c r="AF132" s="6515"/>
      <c r="AG132" s="6515"/>
      <c r="AH132" s="6515"/>
      <c r="AI132" s="6515"/>
      <c r="AJ132" s="6515"/>
      <c r="AK132" s="6515"/>
      <c r="AL132" s="6515"/>
      <c r="AM132" s="6515"/>
      <c r="AN132" s="6455"/>
      <c r="AO132" s="6517" t="s">
        <v>597</v>
      </c>
      <c r="AP132" s="6645" t="s">
        <v>455</v>
      </c>
      <c r="AQ132" s="6645" t="s">
        <v>35</v>
      </c>
      <c r="AR132" s="6645" t="s">
        <v>36</v>
      </c>
      <c r="AS132" s="6511" t="s">
        <v>37</v>
      </c>
    </row>
    <row r="133" spans="1:94" x14ac:dyDescent="0.25">
      <c r="A133" s="6"/>
      <c r="B133" s="6350"/>
      <c r="C133" s="6350"/>
      <c r="D133" s="6734"/>
      <c r="E133" s="6735"/>
      <c r="F133" s="6736"/>
      <c r="G133" s="6704" t="s">
        <v>343</v>
      </c>
      <c r="H133" s="6451"/>
      <c r="I133" s="6704" t="s">
        <v>326</v>
      </c>
      <c r="J133" s="6451"/>
      <c r="K133" s="6704" t="s">
        <v>94</v>
      </c>
      <c r="L133" s="6451"/>
      <c r="M133" s="6704" t="s">
        <v>44</v>
      </c>
      <c r="N133" s="6451"/>
      <c r="O133" s="6704" t="s">
        <v>45</v>
      </c>
      <c r="P133" s="6451"/>
      <c r="Q133" s="6705" t="s">
        <v>46</v>
      </c>
      <c r="R133" s="6448"/>
      <c r="S133" s="6705" t="s">
        <v>47</v>
      </c>
      <c r="T133" s="6448"/>
      <c r="U133" s="6705" t="s">
        <v>48</v>
      </c>
      <c r="V133" s="6448"/>
      <c r="W133" s="6705" t="s">
        <v>49</v>
      </c>
      <c r="X133" s="6448"/>
      <c r="Y133" s="6705" t="s">
        <v>50</v>
      </c>
      <c r="Z133" s="6448"/>
      <c r="AA133" s="6705" t="s">
        <v>51</v>
      </c>
      <c r="AB133" s="6448"/>
      <c r="AC133" s="6705" t="s">
        <v>52</v>
      </c>
      <c r="AD133" s="6448"/>
      <c r="AE133" s="6705" t="s">
        <v>53</v>
      </c>
      <c r="AF133" s="6448"/>
      <c r="AG133" s="6705" t="s">
        <v>54</v>
      </c>
      <c r="AH133" s="6448"/>
      <c r="AI133" s="6705" t="s">
        <v>55</v>
      </c>
      <c r="AJ133" s="6448"/>
      <c r="AK133" s="6705" t="s">
        <v>56</v>
      </c>
      <c r="AL133" s="6448"/>
      <c r="AM133" s="6705" t="s">
        <v>476</v>
      </c>
      <c r="AN133" s="6447"/>
      <c r="AO133" s="6034"/>
      <c r="AP133" s="6386"/>
      <c r="AQ133" s="6386"/>
      <c r="AR133" s="6386"/>
      <c r="AS133" s="6027"/>
    </row>
    <row r="134" spans="1:94" ht="27" customHeight="1" x14ac:dyDescent="0.25">
      <c r="A134" s="6"/>
      <c r="B134" s="6733"/>
      <c r="C134" s="6733"/>
      <c r="D134" s="463" t="s">
        <v>79</v>
      </c>
      <c r="E134" s="718" t="s">
        <v>58</v>
      </c>
      <c r="F134" s="90" t="s">
        <v>59</v>
      </c>
      <c r="G134" s="744" t="s">
        <v>58</v>
      </c>
      <c r="H134" s="90" t="s">
        <v>59</v>
      </c>
      <c r="I134" s="744" t="s">
        <v>58</v>
      </c>
      <c r="J134" s="90" t="s">
        <v>59</v>
      </c>
      <c r="K134" s="744" t="s">
        <v>58</v>
      </c>
      <c r="L134" s="90" t="s">
        <v>59</v>
      </c>
      <c r="M134" s="744" t="s">
        <v>58</v>
      </c>
      <c r="N134" s="90" t="s">
        <v>59</v>
      </c>
      <c r="O134" s="744" t="s">
        <v>58</v>
      </c>
      <c r="P134" s="90" t="s">
        <v>59</v>
      </c>
      <c r="Q134" s="744" t="s">
        <v>58</v>
      </c>
      <c r="R134" s="90" t="s">
        <v>59</v>
      </c>
      <c r="S134" s="744" t="s">
        <v>58</v>
      </c>
      <c r="T134" s="90" t="s">
        <v>59</v>
      </c>
      <c r="U134" s="744" t="s">
        <v>58</v>
      </c>
      <c r="V134" s="90" t="s">
        <v>59</v>
      </c>
      <c r="W134" s="744" t="s">
        <v>58</v>
      </c>
      <c r="X134" s="90" t="s">
        <v>59</v>
      </c>
      <c r="Y134" s="744" t="s">
        <v>58</v>
      </c>
      <c r="Z134" s="90" t="s">
        <v>59</v>
      </c>
      <c r="AA134" s="744" t="s">
        <v>58</v>
      </c>
      <c r="AB134" s="90" t="s">
        <v>59</v>
      </c>
      <c r="AC134" s="744" t="s">
        <v>58</v>
      </c>
      <c r="AD134" s="90" t="s">
        <v>59</v>
      </c>
      <c r="AE134" s="744" t="s">
        <v>58</v>
      </c>
      <c r="AF134" s="90" t="s">
        <v>59</v>
      </c>
      <c r="AG134" s="744" t="s">
        <v>58</v>
      </c>
      <c r="AH134" s="90" t="s">
        <v>59</v>
      </c>
      <c r="AI134" s="744" t="s">
        <v>58</v>
      </c>
      <c r="AJ134" s="90" t="s">
        <v>59</v>
      </c>
      <c r="AK134" s="744" t="s">
        <v>58</v>
      </c>
      <c r="AL134" s="90" t="s">
        <v>59</v>
      </c>
      <c r="AM134" s="744" t="s">
        <v>58</v>
      </c>
      <c r="AN134" s="12" t="s">
        <v>59</v>
      </c>
      <c r="AO134" s="6035"/>
      <c r="AP134" s="6086"/>
      <c r="AQ134" s="6086"/>
      <c r="AR134" s="6086"/>
      <c r="AS134" s="6736"/>
    </row>
    <row r="135" spans="1:94" x14ac:dyDescent="0.25">
      <c r="A135" s="5601" t="s">
        <v>5312</v>
      </c>
      <c r="B135" s="6745" t="s">
        <v>1150</v>
      </c>
      <c r="C135" s="889" t="s">
        <v>1151</v>
      </c>
      <c r="D135" s="890" t="s">
        <v>4567</v>
      </c>
      <c r="E135" s="891" t="s">
        <v>4568</v>
      </c>
      <c r="F135" s="892" t="s">
        <v>4569</v>
      </c>
      <c r="G135" s="747" t="s">
        <v>4570</v>
      </c>
      <c r="H135" s="748" t="s">
        <v>4571</v>
      </c>
      <c r="I135" s="747" t="s">
        <v>4572</v>
      </c>
      <c r="J135" s="748" t="s">
        <v>4573</v>
      </c>
      <c r="K135" s="747" t="s">
        <v>4574</v>
      </c>
      <c r="L135" s="748" t="s">
        <v>4575</v>
      </c>
      <c r="M135" s="747" t="s">
        <v>4576</v>
      </c>
      <c r="N135" s="748" t="s">
        <v>4577</v>
      </c>
      <c r="O135" s="747" t="s">
        <v>4578</v>
      </c>
      <c r="P135" s="748" t="s">
        <v>4579</v>
      </c>
      <c r="Q135" s="747" t="s">
        <v>4580</v>
      </c>
      <c r="R135" s="748" t="s">
        <v>4581</v>
      </c>
      <c r="S135" s="747" t="s">
        <v>4582</v>
      </c>
      <c r="T135" s="748" t="s">
        <v>4583</v>
      </c>
      <c r="U135" s="747" t="s">
        <v>4584</v>
      </c>
      <c r="V135" s="748" t="s">
        <v>4585</v>
      </c>
      <c r="W135" s="747" t="s">
        <v>4586</v>
      </c>
      <c r="X135" s="748" t="s">
        <v>4587</v>
      </c>
      <c r="Y135" s="747" t="s">
        <v>4588</v>
      </c>
      <c r="Z135" s="748" t="s">
        <v>4589</v>
      </c>
      <c r="AA135" s="747" t="s">
        <v>4590</v>
      </c>
      <c r="AB135" s="748" t="s">
        <v>4591</v>
      </c>
      <c r="AC135" s="747" t="s">
        <v>4592</v>
      </c>
      <c r="AD135" s="748" t="s">
        <v>4593</v>
      </c>
      <c r="AE135" s="747" t="s">
        <v>4594</v>
      </c>
      <c r="AF135" s="748" t="s">
        <v>4595</v>
      </c>
      <c r="AG135" s="747" t="s">
        <v>4596</v>
      </c>
      <c r="AH135" s="748" t="s">
        <v>4597</v>
      </c>
      <c r="AI135" s="747" t="s">
        <v>4598</v>
      </c>
      <c r="AJ135" s="748" t="s">
        <v>4599</v>
      </c>
      <c r="AK135" s="747" t="s">
        <v>4600</v>
      </c>
      <c r="AL135" s="748" t="s">
        <v>4601</v>
      </c>
      <c r="AM135" s="747" t="s">
        <v>4602</v>
      </c>
      <c r="AN135" s="736" t="s">
        <v>4603</v>
      </c>
      <c r="AO135" s="735" t="s">
        <v>4604</v>
      </c>
      <c r="AP135" s="750" t="s">
        <v>4605</v>
      </c>
      <c r="AQ135" s="750" t="s">
        <v>4606</v>
      </c>
      <c r="AR135" s="750" t="s">
        <v>4934</v>
      </c>
      <c r="AS135" s="566" t="s">
        <v>4935</v>
      </c>
      <c r="AT135" t="str">
        <f>CB135&amp;CC135&amp;CD135&amp;CE135&amp;CF135&amp;CG135&amp;CH135</f>
        <v xml:space="preserve"> * 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</v>
      </c>
      <c r="CB135" s="2946" t="str">
        <f>IF(AND($D135&gt;0,AO135="")," No olvide digitar la variable Beneficiarios. Digite cero si no tiene.",IF(AO135&gt;$D135," *  La variable Beneficiarios no puede ser mayor al Total Ambos sexos.",""))</f>
        <v xml:space="preserve"> *  La variable Beneficiarios no puede ser mayor al Total Ambos sexos.</v>
      </c>
      <c r="CC135" s="2946" t="str">
        <f>IF(AND($D135&gt;0,AP135="")," No olvide digitar la variable Niños, Niñas, adolescentes y jóvenes SENAME. Digite cero si no tiene.",IF(AP135&gt;$D135," * La variable Niños, Niñas, adolescentes y jóvenes SENAME no puede ser mayor al Total Ambos sexos.",""))</f>
        <v xml:space="preserve"> * La variable Niños, Niñas, adolescentes y jóvenes SENAME no puede ser mayor al Total Ambos sexos.</v>
      </c>
      <c r="CD135" s="2946" t="str">
        <f>IF(AND($D135&gt;0,AQ135="")," No olvide digitar la variable Niños, Niñas, adolescentes y jóvenes mejor Niñez. Digite cero si no tiene.",IF(AQ135&gt;$D135,"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135" s="2946" t="str">
        <f>IF(AND($D135&gt;0,AR135="")," No olvide digitar la variable Pueblos originarios. Digite cero si no tiene.",IF(AR135&gt;$D135," * La variable Pueblos originarios no puede ser mayor al Total Ambos sexos.",""))</f>
        <v xml:space="preserve"> * La variable Pueblos originarios no puede ser mayor al Total Ambos sexos.</v>
      </c>
      <c r="CF135" s="2946" t="str">
        <f>IF(AND($D135&gt;0,AS135="")," No olvide digitar la variable Migrantes. Digite cero si no tiene.",IF(AS135&gt;$D135," * La variable Migrantes no puede ser mayor al Total Ambos sexos.",""))</f>
        <v xml:space="preserve"> * La variable Migrantes no puede ser mayor al Total Ambos sexos.</v>
      </c>
      <c r="CL135" s="1867">
        <f>IF(AND(D135&gt;0,AO135=""),1,IF(AO135&gt;D135,1,0))</f>
        <v>1</v>
      </c>
      <c r="CM135" s="1867">
        <f>IF(AND(D135&gt;0,AP135=""),1,IF(AP135&gt;D135,1,0))</f>
        <v>1</v>
      </c>
      <c r="CN135" s="1867">
        <f>IF(AND(D135&gt;0,AQ135=""),1,IF(AQ135&gt;D135,1,0))</f>
        <v>1</v>
      </c>
      <c r="CO135" s="1867">
        <f>IF(AND(D135&gt;0,AR135=""),1,IF(AR135&gt;D135,1,0))</f>
        <v>1</v>
      </c>
      <c r="CP135" s="1867">
        <f>IF(AND(D135&gt;0,AS135=""),1,IF(AS135&gt;D135,1,0))</f>
        <v>1</v>
      </c>
    </row>
    <row r="136" spans="1:94" x14ac:dyDescent="0.25">
      <c r="A136" s="5601" t="s">
        <v>5313</v>
      </c>
      <c r="B136" s="6746"/>
      <c r="C136" s="893" t="s">
        <v>1152</v>
      </c>
      <c r="D136" s="894" t="s">
        <v>4567</v>
      </c>
      <c r="E136" s="895" t="s">
        <v>4568</v>
      </c>
      <c r="F136" s="896" t="s">
        <v>4569</v>
      </c>
      <c r="G136" s="345" t="s">
        <v>4570</v>
      </c>
      <c r="H136" s="349" t="s">
        <v>4571</v>
      </c>
      <c r="I136" s="345" t="s">
        <v>4572</v>
      </c>
      <c r="J136" s="349" t="s">
        <v>4573</v>
      </c>
      <c r="K136" s="345" t="s">
        <v>4574</v>
      </c>
      <c r="L136" s="349" t="s">
        <v>4575</v>
      </c>
      <c r="M136" s="345" t="s">
        <v>4576</v>
      </c>
      <c r="N136" s="349" t="s">
        <v>4577</v>
      </c>
      <c r="O136" s="345" t="s">
        <v>4578</v>
      </c>
      <c r="P136" s="349" t="s">
        <v>4579</v>
      </c>
      <c r="Q136" s="345" t="s">
        <v>4580</v>
      </c>
      <c r="R136" s="349" t="s">
        <v>4581</v>
      </c>
      <c r="S136" s="345" t="s">
        <v>4582</v>
      </c>
      <c r="T136" s="349" t="s">
        <v>4583</v>
      </c>
      <c r="U136" s="345" t="s">
        <v>4584</v>
      </c>
      <c r="V136" s="349" t="s">
        <v>4585</v>
      </c>
      <c r="W136" s="345" t="s">
        <v>4586</v>
      </c>
      <c r="X136" s="349" t="s">
        <v>4587</v>
      </c>
      <c r="Y136" s="345" t="s">
        <v>4588</v>
      </c>
      <c r="Z136" s="349" t="s">
        <v>4589</v>
      </c>
      <c r="AA136" s="345" t="s">
        <v>4590</v>
      </c>
      <c r="AB136" s="349" t="s">
        <v>4591</v>
      </c>
      <c r="AC136" s="345" t="s">
        <v>4592</v>
      </c>
      <c r="AD136" s="349" t="s">
        <v>4593</v>
      </c>
      <c r="AE136" s="345" t="s">
        <v>4594</v>
      </c>
      <c r="AF136" s="349" t="s">
        <v>4595</v>
      </c>
      <c r="AG136" s="345" t="s">
        <v>4596</v>
      </c>
      <c r="AH136" s="349" t="s">
        <v>4597</v>
      </c>
      <c r="AI136" s="345" t="s">
        <v>4598</v>
      </c>
      <c r="AJ136" s="349" t="s">
        <v>4599</v>
      </c>
      <c r="AK136" s="345" t="s">
        <v>4600</v>
      </c>
      <c r="AL136" s="349" t="s">
        <v>4601</v>
      </c>
      <c r="AM136" s="345" t="s">
        <v>4602</v>
      </c>
      <c r="AN136" s="351" t="s">
        <v>4603</v>
      </c>
      <c r="AO136" s="429" t="s">
        <v>4604</v>
      </c>
      <c r="AP136" s="368" t="s">
        <v>4605</v>
      </c>
      <c r="AQ136" s="368" t="s">
        <v>4606</v>
      </c>
      <c r="AR136" s="368" t="s">
        <v>4934</v>
      </c>
      <c r="AS136" s="346" t="s">
        <v>4935</v>
      </c>
      <c r="AT136" t="str">
        <f>CB136&amp;CC136&amp;CD136&amp;CE136&amp;CF136&amp;CG136&amp;CH136</f>
        <v xml:space="preserve"> * 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</v>
      </c>
      <c r="CB136" s="2946" t="str">
        <f t="shared" ref="CB136:CB137" si="41">IF(AND($D136&gt;0,AO136="")," No olvide digitar la variable Beneficiarios. Digite cero si no tiene.",IF(AO136&gt;$D136," *  La variable Beneficiarios no puede ser mayor al Total Ambos sexos.",""))</f>
        <v xml:space="preserve"> *  La variable Beneficiarios no puede ser mayor al Total Ambos sexos.</v>
      </c>
      <c r="CC136" s="2946" t="str">
        <f t="shared" ref="CC136:CC137" si="42">IF(AND($D136&gt;0,AP136="")," No olvide digitar la variable Niños, Niñas, adolescentes y jóvenes SENAME. Digite cero si no tiene.",IF(AP136&gt;$D136," * La variable Niños, Niñas, adolescentes y jóvenes SENAME no puede ser mayor al Total Ambos sexos.",""))</f>
        <v xml:space="preserve"> * La variable Niños, Niñas, adolescentes y jóvenes SENAME no puede ser mayor al Total Ambos sexos.</v>
      </c>
      <c r="CD136" s="2946" t="str">
        <f t="shared" ref="CD136:CD137" si="43">IF(AND($D136&gt;0,AQ136="")," No olvide digitar la variable Niños, Niñas, adolescentes y jóvenes mejor Niñez. Digite cero si no tiene.",IF(AQ136&gt;$D136,"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136" s="2946" t="str">
        <f t="shared" ref="CE136:CE137" si="44">IF(AND($D136&gt;0,AR136="")," No olvide digitar la variable Pueblos originarios. Digite cero si no tiene.",IF(AR136&gt;$D136," * La variable Pueblos originarios no puede ser mayor al Total Ambos sexos.",""))</f>
        <v xml:space="preserve"> * La variable Pueblos originarios no puede ser mayor al Total Ambos sexos.</v>
      </c>
      <c r="CF136" s="2946" t="str">
        <f t="shared" ref="CF136:CF137" si="45">IF(AND($D136&gt;0,AS136="")," No olvide digitar la variable Migrantes. Digite cero si no tiene.",IF(AS136&gt;$D136," * La variable Migrantes no puede ser mayor al Total Ambos sexos.",""))</f>
        <v xml:space="preserve"> * La variable Migrantes no puede ser mayor al Total Ambos sexos.</v>
      </c>
      <c r="CL136" s="1867">
        <f>IF(AND(D136&gt;0,AO136=""),1,IF(AO136&gt;D136,1,0))</f>
        <v>1</v>
      </c>
      <c r="CM136" s="1867">
        <f>IF(AND(D136&gt;0,AP136=""),1,IF(AP136&gt;D136,1,0))</f>
        <v>1</v>
      </c>
      <c r="CN136" s="1867">
        <f>IF(AND(D136&gt;0,AQ136=""),1,IF(AQ136&gt;D136,1,0))</f>
        <v>1</v>
      </c>
      <c r="CO136" s="1867">
        <f>IF(AND(D136&gt;0,AR136=""),1,IF(AR136&gt;D136,1,0))</f>
        <v>1</v>
      </c>
      <c r="CP136" s="1867">
        <f>IF(AND(D136&gt;0,AS136=""),1,IF(AS136&gt;D136,1,0))</f>
        <v>1</v>
      </c>
    </row>
    <row r="137" spans="1:94" x14ac:dyDescent="0.25">
      <c r="A137" s="5601" t="s">
        <v>5314</v>
      </c>
      <c r="B137" s="6746"/>
      <c r="C137" s="893" t="s">
        <v>1153</v>
      </c>
      <c r="D137" s="894" t="s">
        <v>4567</v>
      </c>
      <c r="E137" s="895" t="s">
        <v>4568</v>
      </c>
      <c r="F137" s="896" t="s">
        <v>4569</v>
      </c>
      <c r="G137" s="379" t="s">
        <v>4570</v>
      </c>
      <c r="H137" s="388" t="s">
        <v>4571</v>
      </c>
      <c r="I137" s="379" t="s">
        <v>4572</v>
      </c>
      <c r="J137" s="388" t="s">
        <v>4573</v>
      </c>
      <c r="K137" s="379" t="s">
        <v>4574</v>
      </c>
      <c r="L137" s="388" t="s">
        <v>4575</v>
      </c>
      <c r="M137" s="379" t="s">
        <v>4576</v>
      </c>
      <c r="N137" s="388" t="s">
        <v>4577</v>
      </c>
      <c r="O137" s="379" t="s">
        <v>4578</v>
      </c>
      <c r="P137" s="388" t="s">
        <v>4579</v>
      </c>
      <c r="Q137" s="379" t="s">
        <v>4580</v>
      </c>
      <c r="R137" s="388" t="s">
        <v>4581</v>
      </c>
      <c r="S137" s="379" t="s">
        <v>4582</v>
      </c>
      <c r="T137" s="388" t="s">
        <v>4583</v>
      </c>
      <c r="U137" s="379" t="s">
        <v>4584</v>
      </c>
      <c r="V137" s="388" t="s">
        <v>4585</v>
      </c>
      <c r="W137" s="379" t="s">
        <v>4586</v>
      </c>
      <c r="X137" s="388" t="s">
        <v>4587</v>
      </c>
      <c r="Y137" s="379" t="s">
        <v>4588</v>
      </c>
      <c r="Z137" s="388" t="s">
        <v>4589</v>
      </c>
      <c r="AA137" s="379" t="s">
        <v>4590</v>
      </c>
      <c r="AB137" s="388" t="s">
        <v>4591</v>
      </c>
      <c r="AC137" s="379" t="s">
        <v>4592</v>
      </c>
      <c r="AD137" s="388" t="s">
        <v>4593</v>
      </c>
      <c r="AE137" s="379" t="s">
        <v>4594</v>
      </c>
      <c r="AF137" s="388" t="s">
        <v>4595</v>
      </c>
      <c r="AG137" s="379" t="s">
        <v>4596</v>
      </c>
      <c r="AH137" s="388" t="s">
        <v>4597</v>
      </c>
      <c r="AI137" s="379" t="s">
        <v>4598</v>
      </c>
      <c r="AJ137" s="388" t="s">
        <v>4599</v>
      </c>
      <c r="AK137" s="379" t="s">
        <v>4600</v>
      </c>
      <c r="AL137" s="388" t="s">
        <v>4601</v>
      </c>
      <c r="AM137" s="379" t="s">
        <v>4602</v>
      </c>
      <c r="AN137" s="389" t="s">
        <v>4603</v>
      </c>
      <c r="AO137" s="378" t="s">
        <v>4604</v>
      </c>
      <c r="AP137" s="371" t="s">
        <v>4605</v>
      </c>
      <c r="AQ137" s="371" t="s">
        <v>4606</v>
      </c>
      <c r="AR137" s="371" t="s">
        <v>4934</v>
      </c>
      <c r="AS137" s="387" t="s">
        <v>4935</v>
      </c>
      <c r="AT137" t="str">
        <f>CB137&amp;CC137&amp;CD137&amp;CE137&amp;CF137&amp;CG137&amp;CH137</f>
        <v xml:space="preserve"> * 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</v>
      </c>
      <c r="CB137" s="2946" t="str">
        <f t="shared" si="41"/>
        <v xml:space="preserve"> *  La variable Beneficiarios no puede ser mayor al Total Ambos sexos.</v>
      </c>
      <c r="CC137" s="2946" t="str">
        <f t="shared" si="42"/>
        <v xml:space="preserve"> * La variable Niños, Niñas, adolescentes y jóvenes SENAME no puede ser mayor al Total Ambos sexos.</v>
      </c>
      <c r="CD137" s="2946" t="str">
        <f t="shared" si="43"/>
        <v xml:space="preserve"> * La variable Niños, Niñas, adolescentes y jóvenes mejor Niñez no puede ser mayor al Total Ambos sexos.</v>
      </c>
      <c r="CE137" s="2946" t="str">
        <f t="shared" si="44"/>
        <v xml:space="preserve"> * La variable Pueblos originarios no puede ser mayor al Total Ambos sexos.</v>
      </c>
      <c r="CF137" s="2946" t="str">
        <f t="shared" si="45"/>
        <v xml:space="preserve"> * La variable Migrantes no puede ser mayor al Total Ambos sexos.</v>
      </c>
      <c r="CL137" s="1867">
        <f>IF(AND(D137&gt;0,AO137=""),1,IF(AO137&gt;D137,1,0))</f>
        <v>1</v>
      </c>
      <c r="CM137" s="1867">
        <f>IF(AND(D137&gt;0,AP137=""),1,IF(AP137&gt;D137,1,0))</f>
        <v>1</v>
      </c>
      <c r="CN137" s="1867">
        <f>IF(AND(D137&gt;0,AQ137=""),1,IF(AQ137&gt;D137,1,0))</f>
        <v>1</v>
      </c>
      <c r="CO137" s="1867">
        <f>IF(AND(D137&gt;0,AR137=""),1,IF(AR137&gt;D137,1,0))</f>
        <v>1</v>
      </c>
      <c r="CP137" s="1867">
        <f>IF(AND(D137&gt;0,AS137=""),1,IF(AS137&gt;D137,1,0))</f>
        <v>1</v>
      </c>
    </row>
    <row r="138" spans="1:94" x14ac:dyDescent="0.25">
      <c r="A138" s="5604"/>
      <c r="B138" s="6747"/>
      <c r="C138" s="754" t="s">
        <v>77</v>
      </c>
      <c r="D138" s="755">
        <f>SUM(E138+F138)</f>
        <v>0</v>
      </c>
      <c r="E138" s="610">
        <f t="shared" ref="E138:F138" si="46">SUM(G138+I138+K138+M138+O138+Q138+S138+U138+W138+Y138+AA138+AC138+AE138+AG138+AI138+AK138+AM138)</f>
        <v>0</v>
      </c>
      <c r="F138" s="611">
        <f t="shared" si="46"/>
        <v>0</v>
      </c>
      <c r="G138" s="756">
        <f>SUM(G135:G137)</f>
        <v>0</v>
      </c>
      <c r="H138" s="514">
        <f t="shared" ref="H138:AS138" si="47">SUM(H135:H137)</f>
        <v>0</v>
      </c>
      <c r="I138" s="756">
        <f t="shared" si="47"/>
        <v>0</v>
      </c>
      <c r="J138" s="514">
        <f t="shared" si="47"/>
        <v>0</v>
      </c>
      <c r="K138" s="756">
        <f t="shared" si="47"/>
        <v>0</v>
      </c>
      <c r="L138" s="572">
        <f t="shared" si="47"/>
        <v>0</v>
      </c>
      <c r="M138" s="756">
        <f t="shared" si="47"/>
        <v>0</v>
      </c>
      <c r="N138" s="572">
        <f t="shared" si="47"/>
        <v>0</v>
      </c>
      <c r="O138" s="756">
        <f t="shared" si="47"/>
        <v>0</v>
      </c>
      <c r="P138" s="572">
        <f t="shared" si="47"/>
        <v>0</v>
      </c>
      <c r="Q138" s="756">
        <f t="shared" si="47"/>
        <v>0</v>
      </c>
      <c r="R138" s="572">
        <f t="shared" si="47"/>
        <v>0</v>
      </c>
      <c r="S138" s="756">
        <f t="shared" si="47"/>
        <v>0</v>
      </c>
      <c r="T138" s="572">
        <f t="shared" si="47"/>
        <v>0</v>
      </c>
      <c r="U138" s="756">
        <f t="shared" si="47"/>
        <v>0</v>
      </c>
      <c r="V138" s="572">
        <f t="shared" si="47"/>
        <v>0</v>
      </c>
      <c r="W138" s="756">
        <f t="shared" si="47"/>
        <v>0</v>
      </c>
      <c r="X138" s="572">
        <f t="shared" si="47"/>
        <v>0</v>
      </c>
      <c r="Y138" s="756">
        <f t="shared" si="47"/>
        <v>0</v>
      </c>
      <c r="Z138" s="572">
        <f t="shared" si="47"/>
        <v>0</v>
      </c>
      <c r="AA138" s="756">
        <f t="shared" si="47"/>
        <v>0</v>
      </c>
      <c r="AB138" s="572">
        <f t="shared" si="47"/>
        <v>0</v>
      </c>
      <c r="AC138" s="756">
        <f t="shared" si="47"/>
        <v>0</v>
      </c>
      <c r="AD138" s="572">
        <f t="shared" si="47"/>
        <v>0</v>
      </c>
      <c r="AE138" s="756">
        <f t="shared" si="47"/>
        <v>0</v>
      </c>
      <c r="AF138" s="572">
        <f t="shared" si="47"/>
        <v>0</v>
      </c>
      <c r="AG138" s="756">
        <f t="shared" si="47"/>
        <v>0</v>
      </c>
      <c r="AH138" s="572">
        <f t="shared" si="47"/>
        <v>0</v>
      </c>
      <c r="AI138" s="756">
        <f t="shared" si="47"/>
        <v>0</v>
      </c>
      <c r="AJ138" s="572">
        <f t="shared" si="47"/>
        <v>0</v>
      </c>
      <c r="AK138" s="756">
        <f t="shared" si="47"/>
        <v>0</v>
      </c>
      <c r="AL138" s="572">
        <f t="shared" si="47"/>
        <v>0</v>
      </c>
      <c r="AM138" s="757">
        <f t="shared" si="47"/>
        <v>0</v>
      </c>
      <c r="AN138" s="512">
        <f t="shared" si="47"/>
        <v>0</v>
      </c>
      <c r="AO138" s="513">
        <f t="shared" si="47"/>
        <v>0</v>
      </c>
      <c r="AP138" s="511">
        <f t="shared" si="47"/>
        <v>0</v>
      </c>
      <c r="AQ138" s="511">
        <f>SUM(AQ135:AQ137)</f>
        <v>0</v>
      </c>
      <c r="AR138" s="511">
        <f t="shared" si="47"/>
        <v>0</v>
      </c>
      <c r="AS138" s="514">
        <f t="shared" si="47"/>
        <v>0</v>
      </c>
    </row>
    <row r="139" spans="1:94" s="6" customFormat="1" ht="18" customHeight="1" x14ac:dyDescent="0.2">
      <c r="B139" s="897" t="s">
        <v>1154</v>
      </c>
      <c r="C139" s="897"/>
      <c r="D139" s="897"/>
      <c r="E139" s="897"/>
      <c r="F139" s="897"/>
      <c r="G139" s="897"/>
      <c r="H139" s="897"/>
      <c r="I139" s="861"/>
      <c r="J139" s="4"/>
    </row>
    <row r="140" spans="1:94" ht="15" customHeight="1" x14ac:dyDescent="0.25">
      <c r="A140" s="6"/>
      <c r="B140" s="6444" t="s">
        <v>29</v>
      </c>
      <c r="C140" s="6705" t="s">
        <v>1155</v>
      </c>
      <c r="D140" s="6534"/>
      <c r="E140" s="6534"/>
      <c r="F140" s="6534"/>
      <c r="G140" s="6448"/>
      <c r="H140" s="6522" t="s">
        <v>1156</v>
      </c>
      <c r="I140" s="6491" t="s">
        <v>1157</v>
      </c>
      <c r="J140" s="6742"/>
    </row>
    <row r="141" spans="1:94" ht="15" customHeight="1" x14ac:dyDescent="0.25">
      <c r="A141" s="6"/>
      <c r="B141" s="6350"/>
      <c r="C141" s="6575" t="s">
        <v>77</v>
      </c>
      <c r="D141" s="6705" t="s">
        <v>1158</v>
      </c>
      <c r="E141" s="6534"/>
      <c r="F141" s="6534"/>
      <c r="G141" s="6448"/>
      <c r="H141" s="6523"/>
      <c r="I141" s="6749"/>
      <c r="J141" s="6742"/>
    </row>
    <row r="142" spans="1:94" ht="31.5" x14ac:dyDescent="0.25">
      <c r="A142" s="6"/>
      <c r="B142" s="6733"/>
      <c r="C142" s="6750"/>
      <c r="D142" s="744" t="s">
        <v>1159</v>
      </c>
      <c r="E142" s="547" t="s">
        <v>99</v>
      </c>
      <c r="F142" s="548" t="s">
        <v>1160</v>
      </c>
      <c r="G142" s="468" t="s">
        <v>1161</v>
      </c>
      <c r="H142" s="6748"/>
      <c r="I142" s="550" t="s">
        <v>1162</v>
      </c>
      <c r="J142" s="464" t="s">
        <v>1156</v>
      </c>
    </row>
    <row r="143" spans="1:94" ht="15" customHeight="1" x14ac:dyDescent="0.25">
      <c r="A143" s="5601" t="s">
        <v>5315</v>
      </c>
      <c r="B143" s="343" t="s">
        <v>475</v>
      </c>
      <c r="C143" s="355" t="s">
        <v>4567</v>
      </c>
      <c r="D143" s="345" t="s">
        <v>4568</v>
      </c>
      <c r="E143" s="347" t="s">
        <v>4569</v>
      </c>
      <c r="F143" s="368" t="s">
        <v>4570</v>
      </c>
      <c r="G143" s="349" t="s">
        <v>4571</v>
      </c>
      <c r="H143" s="350" t="s">
        <v>4572</v>
      </c>
      <c r="I143" s="429" t="s">
        <v>4573</v>
      </c>
      <c r="J143" s="346" t="s">
        <v>4574</v>
      </c>
    </row>
    <row r="144" spans="1:94" ht="15" customHeight="1" x14ac:dyDescent="0.25">
      <c r="A144" s="5601" t="s">
        <v>5316</v>
      </c>
      <c r="B144" s="343" t="s">
        <v>326</v>
      </c>
      <c r="C144" s="355" t="s">
        <v>4567</v>
      </c>
      <c r="D144" s="345" t="s">
        <v>4568</v>
      </c>
      <c r="E144" s="347" t="s">
        <v>4569</v>
      </c>
      <c r="F144" s="368" t="s">
        <v>4570</v>
      </c>
      <c r="G144" s="349" t="s">
        <v>4571</v>
      </c>
      <c r="H144" s="350" t="s">
        <v>4572</v>
      </c>
      <c r="I144" s="429" t="s">
        <v>4573</v>
      </c>
      <c r="J144" s="346" t="s">
        <v>4574</v>
      </c>
    </row>
    <row r="145" spans="1:96" ht="15" customHeight="1" x14ac:dyDescent="0.25">
      <c r="A145" s="5601" t="s">
        <v>5317</v>
      </c>
      <c r="B145" s="899" t="s">
        <v>94</v>
      </c>
      <c r="C145" s="355" t="s">
        <v>4567</v>
      </c>
      <c r="D145" s="345" t="s">
        <v>4568</v>
      </c>
      <c r="E145" s="347" t="s">
        <v>4569</v>
      </c>
      <c r="F145" s="368" t="s">
        <v>4570</v>
      </c>
      <c r="G145" s="349" t="s">
        <v>4571</v>
      </c>
      <c r="H145" s="350" t="s">
        <v>4572</v>
      </c>
      <c r="I145" s="429" t="s">
        <v>4573</v>
      </c>
      <c r="J145" s="346" t="s">
        <v>4574</v>
      </c>
    </row>
    <row r="146" spans="1:96" ht="15" customHeight="1" x14ac:dyDescent="0.25">
      <c r="A146" s="5601" t="s">
        <v>5318</v>
      </c>
      <c r="B146" s="899" t="s">
        <v>44</v>
      </c>
      <c r="C146" s="355" t="s">
        <v>4567</v>
      </c>
      <c r="D146" s="345" t="s">
        <v>4568</v>
      </c>
      <c r="E146" s="347" t="s">
        <v>4569</v>
      </c>
      <c r="F146" s="368" t="s">
        <v>4570</v>
      </c>
      <c r="G146" s="349" t="s">
        <v>4571</v>
      </c>
      <c r="H146" s="350" t="s">
        <v>4572</v>
      </c>
      <c r="I146" s="429" t="s">
        <v>4573</v>
      </c>
      <c r="J146" s="346" t="s">
        <v>4574</v>
      </c>
    </row>
    <row r="147" spans="1:96" ht="15" customHeight="1" x14ac:dyDescent="0.25">
      <c r="A147" s="5601" t="s">
        <v>5319</v>
      </c>
      <c r="B147" s="343" t="s">
        <v>45</v>
      </c>
      <c r="C147" s="355" t="s">
        <v>4567</v>
      </c>
      <c r="D147" s="345" t="s">
        <v>4568</v>
      </c>
      <c r="E147" s="347" t="s">
        <v>4569</v>
      </c>
      <c r="F147" s="368" t="s">
        <v>4570</v>
      </c>
      <c r="G147" s="349" t="s">
        <v>4571</v>
      </c>
      <c r="H147" s="350" t="s">
        <v>4572</v>
      </c>
      <c r="I147" s="429" t="s">
        <v>4573</v>
      </c>
      <c r="J147" s="346" t="s">
        <v>4574</v>
      </c>
    </row>
    <row r="148" spans="1:96" ht="15" customHeight="1" x14ac:dyDescent="0.25">
      <c r="A148" s="5601" t="s">
        <v>5320</v>
      </c>
      <c r="B148" s="343" t="s">
        <v>327</v>
      </c>
      <c r="C148" s="355" t="s">
        <v>4567</v>
      </c>
      <c r="D148" s="345" t="s">
        <v>4568</v>
      </c>
      <c r="E148" s="347" t="s">
        <v>4569</v>
      </c>
      <c r="F148" s="368" t="s">
        <v>4570</v>
      </c>
      <c r="G148" s="349" t="s">
        <v>4571</v>
      </c>
      <c r="H148" s="350" t="s">
        <v>4572</v>
      </c>
      <c r="I148" s="429" t="s">
        <v>4573</v>
      </c>
      <c r="J148" s="346" t="s">
        <v>4574</v>
      </c>
    </row>
    <row r="149" spans="1:96" ht="15" customHeight="1" x14ac:dyDescent="0.25">
      <c r="A149" s="5601" t="s">
        <v>5321</v>
      </c>
      <c r="B149" s="357" t="s">
        <v>460</v>
      </c>
      <c r="C149" s="900" t="s">
        <v>4567</v>
      </c>
      <c r="D149" s="192" t="s">
        <v>4568</v>
      </c>
      <c r="E149" s="481" t="s">
        <v>4569</v>
      </c>
      <c r="F149" s="580" t="s">
        <v>4570</v>
      </c>
      <c r="G149" s="382" t="s">
        <v>4571</v>
      </c>
      <c r="H149" s="753" t="s">
        <v>4572</v>
      </c>
      <c r="I149" s="376" t="s">
        <v>4573</v>
      </c>
      <c r="J149" s="2" t="s">
        <v>4574</v>
      </c>
    </row>
    <row r="150" spans="1:96" ht="15" customHeight="1" x14ac:dyDescent="0.25">
      <c r="A150" s="5601" t="s">
        <v>5322</v>
      </c>
      <c r="B150" s="901" t="s">
        <v>57</v>
      </c>
      <c r="C150" s="902" t="s">
        <v>4567</v>
      </c>
      <c r="D150" s="379" t="s">
        <v>4568</v>
      </c>
      <c r="E150" s="428" t="s">
        <v>4569</v>
      </c>
      <c r="F150" s="371" t="s">
        <v>4570</v>
      </c>
      <c r="G150" s="388" t="s">
        <v>4571</v>
      </c>
      <c r="H150" s="666" t="s">
        <v>4572</v>
      </c>
      <c r="I150" s="378" t="s">
        <v>4573</v>
      </c>
      <c r="J150" s="387" t="s">
        <v>4574</v>
      </c>
    </row>
    <row r="151" spans="1:96" ht="18" customHeight="1" x14ac:dyDescent="0.25">
      <c r="A151" s="6"/>
      <c r="B151" s="50" t="s">
        <v>1163</v>
      </c>
    </row>
    <row r="152" spans="1:96" s="6" customFormat="1" ht="18" customHeight="1" x14ac:dyDescent="0.2">
      <c r="B152" s="903" t="s">
        <v>1164</v>
      </c>
      <c r="C152" s="8"/>
      <c r="D152" s="8"/>
    </row>
    <row r="153" spans="1:96" ht="21" x14ac:dyDescent="0.25">
      <c r="A153" s="6"/>
      <c r="B153" s="904" t="s">
        <v>1165</v>
      </c>
      <c r="C153" s="905" t="s">
        <v>1166</v>
      </c>
      <c r="D153" s="905" t="s">
        <v>1167</v>
      </c>
    </row>
    <row r="154" spans="1:96" ht="21" x14ac:dyDescent="0.25">
      <c r="A154" s="5601" t="s">
        <v>5323</v>
      </c>
      <c r="B154" s="3036" t="s">
        <v>1168</v>
      </c>
      <c r="C154" s="346" t="s">
        <v>4567</v>
      </c>
      <c r="D154" s="790" t="s">
        <v>4568</v>
      </c>
    </row>
    <row r="155" spans="1:96" x14ac:dyDescent="0.25">
      <c r="A155" s="5601" t="s">
        <v>5324</v>
      </c>
      <c r="B155" s="2523" t="s">
        <v>1169</v>
      </c>
      <c r="C155" s="387" t="s">
        <v>4567</v>
      </c>
      <c r="D155" s="776" t="s">
        <v>4568</v>
      </c>
    </row>
    <row r="156" spans="1:96" s="6" customFormat="1" ht="18" customHeight="1" x14ac:dyDescent="0.2">
      <c r="B156" s="6743" t="s">
        <v>1170</v>
      </c>
      <c r="C156" s="6743"/>
      <c r="D156" s="6743"/>
      <c r="E156" s="6743"/>
      <c r="F156" s="6743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4"/>
      <c r="R156" s="4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</row>
    <row r="157" spans="1:96" x14ac:dyDescent="0.25">
      <c r="A157" s="6"/>
      <c r="B157" s="6444" t="s">
        <v>219</v>
      </c>
      <c r="C157" s="6444" t="s">
        <v>27</v>
      </c>
      <c r="D157" s="6212" t="s">
        <v>1171</v>
      </c>
      <c r="E157" s="6510"/>
      <c r="F157" s="6511"/>
      <c r="G157" s="6742" t="s">
        <v>101</v>
      </c>
      <c r="H157" s="6742"/>
      <c r="I157" s="6742"/>
      <c r="J157" s="6742"/>
      <c r="K157" s="6742"/>
      <c r="L157" s="6742"/>
      <c r="M157" s="6742"/>
      <c r="N157" s="6744"/>
      <c r="O157" s="6517" t="s">
        <v>1172</v>
      </c>
      <c r="P157" s="6645" t="s">
        <v>1173</v>
      </c>
      <c r="Q157" s="6645" t="s">
        <v>1174</v>
      </c>
      <c r="R157" s="6518" t="s">
        <v>1175</v>
      </c>
      <c r="S157" s="6517" t="s">
        <v>597</v>
      </c>
      <c r="T157" s="6645" t="s">
        <v>35</v>
      </c>
      <c r="U157" s="6645" t="s">
        <v>1176</v>
      </c>
      <c r="V157" s="6645" t="s">
        <v>36</v>
      </c>
      <c r="W157" s="6511" t="s">
        <v>37</v>
      </c>
      <c r="X157" s="6704" t="s">
        <v>457</v>
      </c>
      <c r="Y157" s="6451"/>
    </row>
    <row r="158" spans="1:96" x14ac:dyDescent="0.25">
      <c r="A158" s="6"/>
      <c r="B158" s="6350"/>
      <c r="C158" s="6350"/>
      <c r="D158" s="6734"/>
      <c r="E158" s="6735"/>
      <c r="F158" s="6736"/>
      <c r="G158" s="6742" t="s">
        <v>458</v>
      </c>
      <c r="H158" s="6742"/>
      <c r="I158" s="6742" t="s">
        <v>1177</v>
      </c>
      <c r="J158" s="6742"/>
      <c r="K158" s="6742" t="s">
        <v>1178</v>
      </c>
      <c r="L158" s="6742"/>
      <c r="M158" s="6742" t="s">
        <v>1179</v>
      </c>
      <c r="N158" s="6744"/>
      <c r="O158" s="6034"/>
      <c r="P158" s="6386"/>
      <c r="Q158" s="6386"/>
      <c r="R158" s="6552"/>
      <c r="S158" s="6034"/>
      <c r="T158" s="6386"/>
      <c r="U158" s="6386"/>
      <c r="V158" s="6386"/>
      <c r="W158" s="6027"/>
      <c r="X158" s="6454" t="s">
        <v>462</v>
      </c>
      <c r="Y158" s="6511" t="s">
        <v>463</v>
      </c>
    </row>
    <row r="159" spans="1:96" ht="23.25" customHeight="1" x14ac:dyDescent="0.25">
      <c r="A159" s="6"/>
      <c r="B159" s="6733"/>
      <c r="C159" s="6733"/>
      <c r="D159" s="463" t="s">
        <v>79</v>
      </c>
      <c r="E159" s="718" t="s">
        <v>58</v>
      </c>
      <c r="F159" s="90" t="s">
        <v>59</v>
      </c>
      <c r="G159" s="744" t="s">
        <v>58</v>
      </c>
      <c r="H159" s="464" t="s">
        <v>59</v>
      </c>
      <c r="I159" s="744" t="s">
        <v>58</v>
      </c>
      <c r="J159" s="464" t="s">
        <v>59</v>
      </c>
      <c r="K159" s="744" t="s">
        <v>58</v>
      </c>
      <c r="L159" s="464" t="s">
        <v>59</v>
      </c>
      <c r="M159" s="744" t="s">
        <v>58</v>
      </c>
      <c r="N159" s="465" t="s">
        <v>59</v>
      </c>
      <c r="O159" s="6035"/>
      <c r="P159" s="6086"/>
      <c r="Q159" s="6086"/>
      <c r="R159" s="6759"/>
      <c r="S159" s="6035"/>
      <c r="T159" s="6086"/>
      <c r="U159" s="6086"/>
      <c r="V159" s="6086"/>
      <c r="W159" s="6736"/>
      <c r="X159" s="6751"/>
      <c r="Y159" s="6736"/>
    </row>
    <row r="160" spans="1:96" x14ac:dyDescent="0.25">
      <c r="A160" s="5601" t="s">
        <v>5325</v>
      </c>
      <c r="B160" s="6752" t="s">
        <v>1180</v>
      </c>
      <c r="C160" s="745" t="s">
        <v>64</v>
      </c>
      <c r="D160" s="733" t="s">
        <v>4567</v>
      </c>
      <c r="E160" s="746" t="s">
        <v>4568</v>
      </c>
      <c r="F160" s="3037" t="s">
        <v>4569</v>
      </c>
      <c r="G160" s="747" t="s">
        <v>4570</v>
      </c>
      <c r="H160" s="476" t="s">
        <v>4571</v>
      </c>
      <c r="I160" s="747" t="s">
        <v>4572</v>
      </c>
      <c r="J160" s="476" t="s">
        <v>4573</v>
      </c>
      <c r="K160" s="747" t="s">
        <v>4574</v>
      </c>
      <c r="L160" s="476" t="s">
        <v>4575</v>
      </c>
      <c r="M160" s="747" t="s">
        <v>4576</v>
      </c>
      <c r="N160" s="475" t="s">
        <v>4577</v>
      </c>
      <c r="O160" s="735" t="s">
        <v>4578</v>
      </c>
      <c r="P160" s="750" t="s">
        <v>4579</v>
      </c>
      <c r="Q160" s="750" t="s">
        <v>4580</v>
      </c>
      <c r="R160" s="475" t="s">
        <v>4581</v>
      </c>
      <c r="S160" s="735" t="s">
        <v>4582</v>
      </c>
      <c r="T160" s="750" t="s">
        <v>4583</v>
      </c>
      <c r="U160" s="750" t="s">
        <v>4584</v>
      </c>
      <c r="V160" s="750" t="s">
        <v>4585</v>
      </c>
      <c r="W160" s="566" t="s">
        <v>4586</v>
      </c>
      <c r="X160" s="747" t="s">
        <v>4587</v>
      </c>
      <c r="Y160" s="566" t="s">
        <v>4588</v>
      </c>
      <c r="Z160" t="str">
        <f>CB160&amp;CC160&amp;CD160&amp;CE160&amp;CF160&amp;CG160&amp;CH160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0" s="2946" t="str">
        <f>IF(AND($D160&gt;0,S160="")," * No olvide digitar la variable Beneficiarios. Digite cero si no tiene.",IF(S160&gt;$D160," * La variable Beneficiarios no puede ser mayor al Total Ambos Sexos.",""))</f>
        <v xml:space="preserve"> * La variable Beneficiarios no puede ser mayor al Total Ambos Sexos.</v>
      </c>
      <c r="CC160" s="2946" t="str">
        <f>IF(AND($D160&gt;0,T160="")," * No olvide digitar la variable Niños, Niñas, Adolescentes y Jóvenes Mejor Niñez. Digite cero si no tiene.",IF(T160&gt;$D160,"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D160" s="2946" t="str">
        <f>IF(AND($D160&gt;0,U160="")," * No olvide digitar la variable Niños, Niñas, Adolescentes y Jóvenes SENAME. Digite cero si no tiene.",IF(U160&gt;$D160," * La variable Niños, Niñas, Adolescentes y Jóvenes SENAME no puede ser mayor al Total Ambos Sexos.",""))</f>
        <v xml:space="preserve"> * La variable Niños, Niñas, Adolescentes y Jóvenes SENAME no puede ser mayor al Total Ambos Sexos.</v>
      </c>
      <c r="CE160" s="2946" t="str">
        <f>IF(AND($D160&gt;0,V160="")," * No olvide digitar la variable Pueblos Originarios. Digite cero si no tiene.",IF(V160&gt;$D160," * La variable Pueblos Originarios no puede ser mayor al Total Ambos Sexos.",""))</f>
        <v xml:space="preserve"> * La variable Pueblos Originarios no puede ser mayor al Total Ambos Sexos.</v>
      </c>
      <c r="CF160" s="2946" t="str">
        <f>IF(AND($D160&gt;0,W160="")," * No olvide digitar la variable Migrantes. Digite cero si no tiene.",IF(W160&gt;$D160," * La variable Migrantes no puede ser mayor al Total Ambos Sexos.",""))</f>
        <v xml:space="preserve"> * La variable Migrantes no puede ser mayor al Total Ambos Sexos.</v>
      </c>
      <c r="CG160" s="2946" t="str">
        <f>IF(AND($F160&gt;0,OR(X160=""))," * No olvide digitar la variable Trans (Masculino). Digite cero si no tiene.",IF((X160)&gt;$F160," * La variable Trans (Masculino) no puede ser mayor al Total Mujeres.",""))</f>
        <v xml:space="preserve"> * La variable Trans (Masculino) no puede ser mayor al Total Mujeres.</v>
      </c>
      <c r="CH160" s="2946" t="str">
        <f>IF(AND($E160&gt;0,OR(Y160=""))," * No olvide digitar la variable Trans (Femenino). Digite cero si no tiene.",IF((Y160)&gt;$E160," * La variable Trans (Femenino) no puede ser mayor al Total Hombres.",""))</f>
        <v xml:space="preserve"> * La variable Trans (Femenino) no puede ser mayor al Total Hombres.</v>
      </c>
      <c r="CL160" s="1867">
        <f>IF(AND(D160&gt;0,S160=""),1,IF(S160&gt;D160,1,0))</f>
        <v>1</v>
      </c>
      <c r="CM160" s="1867">
        <f>IF(AND(D160&gt;0,T160=""),1,IF(T160&gt;D160,1,0))</f>
        <v>1</v>
      </c>
      <c r="CN160" s="1867">
        <f>IF(AND(D160&gt;0,U160=""),1,IF(U160&gt;D160,1,0))</f>
        <v>1</v>
      </c>
      <c r="CO160" s="1867">
        <f>IF(AND(D160&gt;0,V160=""),1,IF(V160&gt;D160,1,0))</f>
        <v>1</v>
      </c>
      <c r="CP160" s="1867">
        <f>IF(AND(D160&gt;0,W160=""),1,IF(W160&gt;D160,1,0))</f>
        <v>1</v>
      </c>
      <c r="CQ160" s="1867">
        <f>IF(AND(F160&gt;0,OR(X160="")),1,IF((X160)&gt;F160,1,0))</f>
        <v>1</v>
      </c>
      <c r="CR160" s="1867">
        <f>IF(AND(E160&gt;0,OR(Y160="")),1,IF((Y160)&gt;E160,1,0))</f>
        <v>1</v>
      </c>
    </row>
    <row r="161" spans="1:96" x14ac:dyDescent="0.25">
      <c r="A161" s="5601" t="s">
        <v>5326</v>
      </c>
      <c r="B161" s="6752"/>
      <c r="C161" s="332" t="s">
        <v>960</v>
      </c>
      <c r="D161" s="737" t="s">
        <v>4567</v>
      </c>
      <c r="E161" s="751" t="s">
        <v>4568</v>
      </c>
      <c r="F161" s="3038" t="s">
        <v>4569</v>
      </c>
      <c r="G161" s="345" t="s">
        <v>4570</v>
      </c>
      <c r="H161" s="347" t="s">
        <v>4571</v>
      </c>
      <c r="I161" s="345" t="s">
        <v>4572</v>
      </c>
      <c r="J161" s="347" t="s">
        <v>4573</v>
      </c>
      <c r="K161" s="345" t="s">
        <v>4574</v>
      </c>
      <c r="L161" s="347" t="s">
        <v>4575</v>
      </c>
      <c r="M161" s="345" t="s">
        <v>4576</v>
      </c>
      <c r="N161" s="480" t="s">
        <v>4577</v>
      </c>
      <c r="O161" s="429" t="s">
        <v>4578</v>
      </c>
      <c r="P161" s="368" t="s">
        <v>4579</v>
      </c>
      <c r="Q161" s="368" t="s">
        <v>4580</v>
      </c>
      <c r="R161" s="480" t="s">
        <v>4581</v>
      </c>
      <c r="S161" s="429" t="s">
        <v>4582</v>
      </c>
      <c r="T161" s="368" t="s">
        <v>4583</v>
      </c>
      <c r="U161" s="368" t="s">
        <v>4584</v>
      </c>
      <c r="V161" s="368" t="s">
        <v>4585</v>
      </c>
      <c r="W161" s="346" t="s">
        <v>4586</v>
      </c>
      <c r="X161" s="345" t="s">
        <v>4587</v>
      </c>
      <c r="Y161" s="346" t="s">
        <v>4588</v>
      </c>
      <c r="Z161" t="str">
        <f>CB161&amp;CC161&amp;CD161&amp;CE161&amp;CF161&amp;CG161&amp;CH161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1" s="2946" t="str">
        <f t="shared" ref="CB161:CB162" si="48">IF(AND($D161&gt;0,S161="")," * No olvide digitar la variable Beneficiarios. Digite cero si no tiene.",IF(S161&gt;$D161," * La variable Beneficiarios no puede ser mayor al Total Ambos Sexos.",""))</f>
        <v xml:space="preserve"> * La variable Beneficiarios no puede ser mayor al Total Ambos Sexos.</v>
      </c>
      <c r="CC161" s="2946" t="str">
        <f t="shared" ref="CC161:CC162" si="49">IF(AND($D161&gt;0,T161="")," * No olvide digitar la variable Niños, Niñas, Adolescentes y Jóvenes Mejor Niñez. Digite cero si no tiene.",IF(T161&gt;$D161,"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D161" s="2946" t="str">
        <f t="shared" ref="CD161:CD162" si="50">IF(AND($D161&gt;0,U161="")," * No olvide digitar la variable Niños, Niñas, Adolescentes y Jóvenes SENAME. Digite cero si no tiene.",IF(U161&gt;$D161," * La variable Niños, Niñas, Adolescentes y Jóvenes SENAME no puede ser mayor al Total Ambos Sexos.",""))</f>
        <v xml:space="preserve"> * La variable Niños, Niñas, Adolescentes y Jóvenes SENAME no puede ser mayor al Total Ambos Sexos.</v>
      </c>
      <c r="CE161" s="2946" t="str">
        <f t="shared" ref="CE161:CE162" si="51">IF(AND($D161&gt;0,V161="")," * No olvide digitar la variable Pueblos Originarios. Digite cero si no tiene.",IF(V161&gt;$D161," * La variable Pueblos Originarios no puede ser mayor al Total Ambos Sexos.",""))</f>
        <v xml:space="preserve"> * La variable Pueblos Originarios no puede ser mayor al Total Ambos Sexos.</v>
      </c>
      <c r="CF161" s="2946" t="str">
        <f t="shared" ref="CF161:CF162" si="52">IF(AND($D161&gt;0,W161="")," * No olvide digitar la variable Migrantes. Digite cero si no tiene.",IF(W161&gt;$D161," * La variable Migrantes no puede ser mayor al Total Ambos Sexos.",""))</f>
        <v xml:space="preserve"> * La variable Migrantes no puede ser mayor al Total Ambos Sexos.</v>
      </c>
      <c r="CG161" s="2946" t="str">
        <f t="shared" ref="CG161:CG162" si="53">IF(AND($F161&gt;0,OR(X161=""))," * No olvide digitar la variable Trans (Masculino). Digite cero si no tiene.",IF((X161)&gt;$F161," * La variable Trans (Masculino) no puede ser mayor al Total Mujeres.",""))</f>
        <v xml:space="preserve"> * La variable Trans (Masculino) no puede ser mayor al Total Mujeres.</v>
      </c>
      <c r="CH161" s="2946" t="str">
        <f t="shared" ref="CH161:CH162" si="54">IF(AND($E161&gt;0,OR(Y161=""))," * No olvide digitar la variable Trans (Femenino). Digite cero si no tiene.",IF((Y161)&gt;$E161," * La variable Trans (Femenino) no puede ser mayor al Total Hombres.",""))</f>
        <v xml:space="preserve"> * La variable Trans (Femenino) no puede ser mayor al Total Hombres.</v>
      </c>
      <c r="CL161" s="1867">
        <f>IF(AND(D161&gt;0,S161=""),1,IF(S161&gt;D161,1,0))</f>
        <v>1</v>
      </c>
      <c r="CM161" s="1867">
        <f>IF(AND(D161&gt;0,T161=""),1,IF(T161&gt;D161,1,0))</f>
        <v>1</v>
      </c>
      <c r="CN161" s="1867">
        <f>IF(AND(D161&gt;0,U161=""),1,IF(U161&gt;D161,1,0))</f>
        <v>1</v>
      </c>
      <c r="CO161" s="1867">
        <f>IF(AND(D161&gt;0,V161=""),1,IF(V161&gt;D161,1,0))</f>
        <v>1</v>
      </c>
      <c r="CP161" s="1867">
        <f>IF(AND(D161&gt;0,W161=""),1,IF(W161&gt;D161,1,0))</f>
        <v>1</v>
      </c>
      <c r="CQ161" s="1867">
        <f>IF(AND(F161&gt;0,OR(X161="")),1,IF((X161)&gt;F161,1,0))</f>
        <v>1</v>
      </c>
      <c r="CR161" s="1867">
        <f>IF(AND(E161&gt;0,OR(Y161="")),1,IF((Y161)&gt;E161,1,0))</f>
        <v>1</v>
      </c>
    </row>
    <row r="162" spans="1:96" x14ac:dyDescent="0.25">
      <c r="A162" s="5601" t="s">
        <v>5327</v>
      </c>
      <c r="B162" s="6752"/>
      <c r="C162" s="332" t="s">
        <v>99</v>
      </c>
      <c r="D162" s="703" t="s">
        <v>4567</v>
      </c>
      <c r="E162" s="704" t="s">
        <v>4568</v>
      </c>
      <c r="F162" s="3039" t="s">
        <v>4569</v>
      </c>
      <c r="G162" s="345" t="s">
        <v>4570</v>
      </c>
      <c r="H162" s="347" t="s">
        <v>4571</v>
      </c>
      <c r="I162" s="345" t="s">
        <v>4572</v>
      </c>
      <c r="J162" s="347" t="s">
        <v>4573</v>
      </c>
      <c r="K162" s="345" t="s">
        <v>4574</v>
      </c>
      <c r="L162" s="347" t="s">
        <v>4575</v>
      </c>
      <c r="M162" s="345" t="s">
        <v>4576</v>
      </c>
      <c r="N162" s="480" t="s">
        <v>4577</v>
      </c>
      <c r="O162" s="429" t="s">
        <v>4578</v>
      </c>
      <c r="P162" s="368" t="s">
        <v>4579</v>
      </c>
      <c r="Q162" s="368" t="s">
        <v>4580</v>
      </c>
      <c r="R162" s="480" t="s">
        <v>4581</v>
      </c>
      <c r="S162" s="429" t="s">
        <v>4582</v>
      </c>
      <c r="T162" s="368" t="s">
        <v>4583</v>
      </c>
      <c r="U162" s="368" t="s">
        <v>4584</v>
      </c>
      <c r="V162" s="368" t="s">
        <v>4585</v>
      </c>
      <c r="W162" s="346" t="s">
        <v>4586</v>
      </c>
      <c r="X162" s="345" t="s">
        <v>4587</v>
      </c>
      <c r="Y162" s="346" t="s">
        <v>4588</v>
      </c>
      <c r="Z162" t="str">
        <f>CB162&amp;CC162&amp;CD162&amp;CE162&amp;CF162&amp;CG162&amp;CH162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2" s="2946" t="str">
        <f t="shared" si="48"/>
        <v xml:space="preserve"> * La variable Beneficiarios no puede ser mayor al Total Ambos Sexos.</v>
      </c>
      <c r="CC162" s="2946" t="str">
        <f t="shared" si="49"/>
        <v xml:space="preserve"> * La variable Niños, Niñas, Adolescentes y Jóvenes Mejor Niñez no puede ser mayor al Total Ambos Sexos.</v>
      </c>
      <c r="CD162" s="2946" t="str">
        <f t="shared" si="50"/>
        <v xml:space="preserve"> * La variable Niños, Niñas, Adolescentes y Jóvenes SENAME no puede ser mayor al Total Ambos Sexos.</v>
      </c>
      <c r="CE162" s="2946" t="str">
        <f t="shared" si="51"/>
        <v xml:space="preserve"> * La variable Pueblos Originarios no puede ser mayor al Total Ambos Sexos.</v>
      </c>
      <c r="CF162" s="2946" t="str">
        <f t="shared" si="52"/>
        <v xml:space="preserve"> * La variable Migrantes no puede ser mayor al Total Ambos Sexos.</v>
      </c>
      <c r="CG162" s="2946" t="str">
        <f t="shared" si="53"/>
        <v xml:space="preserve"> * La variable Trans (Masculino) no puede ser mayor al Total Mujeres.</v>
      </c>
      <c r="CH162" s="2946" t="str">
        <f t="shared" si="54"/>
        <v xml:space="preserve"> * La variable Trans (Femenino) no puede ser mayor al Total Hombres.</v>
      </c>
      <c r="CL162" s="1867">
        <f>IF(AND(D162&gt;0,S162=""),1,IF(S162&gt;D162,1,0))</f>
        <v>1</v>
      </c>
      <c r="CM162" s="1867">
        <f>IF(AND(D162&gt;0,T162=""),1,IF(T162&gt;D162,1,0))</f>
        <v>1</v>
      </c>
      <c r="CN162" s="1867">
        <f>IF(AND(D162&gt;0,U162=""),1,IF(U162&gt;D162,1,0))</f>
        <v>1</v>
      </c>
      <c r="CO162" s="1867">
        <f>IF(AND(D162&gt;0,V162=""),1,IF(V162&gt;D162,1,0))</f>
        <v>1</v>
      </c>
      <c r="CP162" s="1867">
        <f>IF(AND(D162&gt;0,W162=""),1,IF(W162&gt;D162,1,0))</f>
        <v>1</v>
      </c>
      <c r="CQ162" s="1867">
        <f>IF(AND(F162&gt;0,OR(X162="")),1,IF((X162)&gt;F162,1,0))</f>
        <v>1</v>
      </c>
      <c r="CR162" s="1867">
        <f>IF(AND(E162&gt;0,OR(Y162="")),1,IF((Y162)&gt;E162,1,0))</f>
        <v>1</v>
      </c>
    </row>
    <row r="163" spans="1:96" x14ac:dyDescent="0.25">
      <c r="A163" s="5604"/>
      <c r="B163" s="1368"/>
      <c r="C163" s="754" t="s">
        <v>77</v>
      </c>
      <c r="D163" s="755">
        <f>SUM(D160:D162)</f>
        <v>0</v>
      </c>
      <c r="E163" s="610">
        <f t="shared" ref="E163:R163" si="55">SUM(E160:E162)</f>
        <v>0</v>
      </c>
      <c r="F163" s="3040">
        <f t="shared" si="55"/>
        <v>0</v>
      </c>
      <c r="G163" s="756">
        <f t="shared" si="55"/>
        <v>0</v>
      </c>
      <c r="H163" s="565">
        <f t="shared" si="55"/>
        <v>0</v>
      </c>
      <c r="I163" s="756">
        <f t="shared" si="55"/>
        <v>0</v>
      </c>
      <c r="J163" s="565">
        <f t="shared" si="55"/>
        <v>0</v>
      </c>
      <c r="K163" s="756">
        <f t="shared" si="55"/>
        <v>0</v>
      </c>
      <c r="L163" s="565">
        <f t="shared" si="55"/>
        <v>0</v>
      </c>
      <c r="M163" s="756">
        <f t="shared" si="55"/>
        <v>0</v>
      </c>
      <c r="N163" s="535">
        <f t="shared" si="55"/>
        <v>0</v>
      </c>
      <c r="O163" s="513">
        <f t="shared" si="55"/>
        <v>0</v>
      </c>
      <c r="P163" s="511">
        <f t="shared" si="55"/>
        <v>0</v>
      </c>
      <c r="Q163" s="511">
        <f t="shared" si="55"/>
        <v>0</v>
      </c>
      <c r="R163" s="535">
        <f t="shared" si="55"/>
        <v>0</v>
      </c>
      <c r="S163" s="513">
        <f>SUM(S160:S162)</f>
        <v>0</v>
      </c>
      <c r="T163" s="511">
        <f t="shared" ref="T163:Y163" si="56">SUM(T160:T162)</f>
        <v>0</v>
      </c>
      <c r="U163" s="511">
        <f t="shared" si="56"/>
        <v>0</v>
      </c>
      <c r="V163" s="511">
        <f t="shared" si="56"/>
        <v>0</v>
      </c>
      <c r="W163" s="514">
        <f t="shared" si="56"/>
        <v>0</v>
      </c>
      <c r="X163" s="756">
        <f t="shared" si="56"/>
        <v>0</v>
      </c>
      <c r="Y163" s="514">
        <f t="shared" si="56"/>
        <v>0</v>
      </c>
    </row>
    <row r="164" spans="1:96" x14ac:dyDescent="0.25">
      <c r="A164" s="5601" t="s">
        <v>5328</v>
      </c>
      <c r="B164" s="6752" t="s">
        <v>1181</v>
      </c>
      <c r="C164" s="745" t="s">
        <v>64</v>
      </c>
      <c r="D164" s="316" t="s">
        <v>4567</v>
      </c>
      <c r="E164" s="2199" t="s">
        <v>4568</v>
      </c>
      <c r="F164" s="3041" t="s">
        <v>4569</v>
      </c>
      <c r="G164" s="747" t="s">
        <v>4570</v>
      </c>
      <c r="H164" s="476" t="s">
        <v>4571</v>
      </c>
      <c r="I164" s="747" t="s">
        <v>4572</v>
      </c>
      <c r="J164" s="476" t="s">
        <v>4573</v>
      </c>
      <c r="K164" s="747" t="s">
        <v>4574</v>
      </c>
      <c r="L164" s="476" t="s">
        <v>4575</v>
      </c>
      <c r="M164" s="747" t="s">
        <v>4576</v>
      </c>
      <c r="N164" s="475" t="s">
        <v>4577</v>
      </c>
      <c r="O164" s="429" t="s">
        <v>4578</v>
      </c>
      <c r="P164" s="368" t="s">
        <v>4579</v>
      </c>
      <c r="Q164" s="368" t="s">
        <v>4580</v>
      </c>
      <c r="R164" s="480" t="s">
        <v>4581</v>
      </c>
      <c r="S164" s="429" t="s">
        <v>4582</v>
      </c>
      <c r="T164" s="368" t="s">
        <v>4583</v>
      </c>
      <c r="U164" s="368" t="s">
        <v>4584</v>
      </c>
      <c r="V164" s="368" t="s">
        <v>4585</v>
      </c>
      <c r="W164" s="346" t="s">
        <v>4586</v>
      </c>
      <c r="X164" s="345" t="s">
        <v>4587</v>
      </c>
      <c r="Y164" s="346" t="s">
        <v>4588</v>
      </c>
      <c r="Z164" t="str">
        <f>CB164&amp;CC164&amp;CD164&amp;CE164&amp;CF164&amp;CG164&amp;CH164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4" s="2946" t="str">
        <f t="shared" ref="CB164:CB166" si="57">IF(AND($D164&gt;0,S164="")," * No olvide digitar la variable Beneficiarios. Digite cero si no tiene.",IF(S164&gt;$D164," * La variable Beneficiarios no puede ser mayor al Total Ambos Sexos.",""))</f>
        <v xml:space="preserve"> * La variable Beneficiarios no puede ser mayor al Total Ambos Sexos.</v>
      </c>
      <c r="CC164" s="2946" t="str">
        <f t="shared" ref="CC164:CC166" si="58">IF(AND($D164&gt;0,T164="")," * No olvide digitar la variable Niños, Niñas, Adolescentes y Jóvenes Mejor Niñez. Digite cero si no tiene.",IF(T164&gt;$D164,"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D164" s="2946" t="str">
        <f t="shared" ref="CD164:CD166" si="59">IF(AND($D164&gt;0,U164="")," * No olvide digitar la variable Niños, Niñas, Adolescentes y Jóvenes SENAME. Digite cero si no tiene.",IF(U164&gt;$D164," * La variable Niños, Niñas, Adolescentes y Jóvenes SENAME no puede ser mayor al Total Ambos Sexos.",""))</f>
        <v xml:space="preserve"> * La variable Niños, Niñas, Adolescentes y Jóvenes SENAME no puede ser mayor al Total Ambos Sexos.</v>
      </c>
      <c r="CE164" s="2946" t="str">
        <f t="shared" ref="CE164:CE166" si="60">IF(AND($D164&gt;0,V164="")," * No olvide digitar la variable Pueblos Originarios. Digite cero si no tiene.",IF(V164&gt;$D164," * La variable Pueblos Originarios no puede ser mayor al Total Ambos Sexos.",""))</f>
        <v xml:space="preserve"> * La variable Pueblos Originarios no puede ser mayor al Total Ambos Sexos.</v>
      </c>
      <c r="CF164" s="2946" t="str">
        <f t="shared" ref="CF164:CF166" si="61">IF(AND($D164&gt;0,W164="")," * No olvide digitar la variable Migrantes. Digite cero si no tiene.",IF(W164&gt;$D164," * La variable Migrantes no puede ser mayor al Total Ambos Sexos.",""))</f>
        <v xml:space="preserve"> * La variable Migrantes no puede ser mayor al Total Ambos Sexos.</v>
      </c>
      <c r="CG164" s="2946" t="str">
        <f t="shared" ref="CG164:CG166" si="62">IF(AND($F164&gt;0,OR(X164=""))," * No olvide digitar la variable Trans (Masculino). Digite cero si no tiene.",IF((X164)&gt;$F164," * La variable Trans (Masculino) no puede ser mayor al Total Mujeres.",""))</f>
        <v xml:space="preserve"> * La variable Trans (Masculino) no puede ser mayor al Total Mujeres.</v>
      </c>
      <c r="CH164" s="2946" t="str">
        <f t="shared" ref="CH164:CH166" si="63">IF(AND($E164&gt;0,OR(Y164=""))," * No olvide digitar la variable Trans (Femenino). Digite cero si no tiene.",IF((Y164)&gt;$E164," * La variable Trans (Femenino) no puede ser mayor al Total Hombres.",""))</f>
        <v xml:space="preserve"> * La variable Trans (Femenino) no puede ser mayor al Total Hombres.</v>
      </c>
      <c r="CL164" s="1867">
        <f>IF(AND(D164&gt;0,S164=""),1,IF(S164&gt;D164,1,0))</f>
        <v>1</v>
      </c>
      <c r="CM164" s="1867">
        <f>IF(AND(D164&gt;0,T164=""),1,IF(T164&gt;D164,1,0))</f>
        <v>1</v>
      </c>
      <c r="CN164" s="1867">
        <f>IF(AND(D164&gt;0,U164=""),1,IF(U164&gt;D164,1,0))</f>
        <v>1</v>
      </c>
      <c r="CO164" s="1867">
        <f>IF(AND(D164&gt;0,V164=""),1,IF(V164&gt;D164,1,0))</f>
        <v>1</v>
      </c>
      <c r="CP164" s="1867">
        <f>IF(AND(D164&gt;0,W164=""),1,IF(W164&gt;D164,1,0))</f>
        <v>1</v>
      </c>
      <c r="CQ164" s="1867">
        <f>IF(AND(F164&gt;0,OR(X164="")),1,IF((X164)&gt;F164,1,0))</f>
        <v>1</v>
      </c>
      <c r="CR164" s="1867">
        <f>IF(AND(E164&gt;0,OR(Y164="")),1,IF((Y164)&gt;E164,1,0))</f>
        <v>1</v>
      </c>
    </row>
    <row r="165" spans="1:96" x14ac:dyDescent="0.25">
      <c r="A165" s="5601" t="s">
        <v>5329</v>
      </c>
      <c r="B165" s="6752"/>
      <c r="C165" s="332" t="s">
        <v>960</v>
      </c>
      <c r="D165" s="737" t="s">
        <v>4567</v>
      </c>
      <c r="E165" s="751" t="s">
        <v>4568</v>
      </c>
      <c r="F165" s="3038" t="s">
        <v>4569</v>
      </c>
      <c r="G165" s="345" t="s">
        <v>4570</v>
      </c>
      <c r="H165" s="347" t="s">
        <v>4571</v>
      </c>
      <c r="I165" s="345" t="s">
        <v>4572</v>
      </c>
      <c r="J165" s="347" t="s">
        <v>4573</v>
      </c>
      <c r="K165" s="345" t="s">
        <v>4574</v>
      </c>
      <c r="L165" s="347" t="s">
        <v>4575</v>
      </c>
      <c r="M165" s="345" t="s">
        <v>4576</v>
      </c>
      <c r="N165" s="480" t="s">
        <v>4577</v>
      </c>
      <c r="O165" s="429" t="s">
        <v>4578</v>
      </c>
      <c r="P165" s="368" t="s">
        <v>4579</v>
      </c>
      <c r="Q165" s="368" t="s">
        <v>4580</v>
      </c>
      <c r="R165" s="480" t="s">
        <v>4581</v>
      </c>
      <c r="S165" s="429" t="s">
        <v>4582</v>
      </c>
      <c r="T165" s="368" t="s">
        <v>4583</v>
      </c>
      <c r="U165" s="368" t="s">
        <v>4584</v>
      </c>
      <c r="V165" s="368" t="s">
        <v>4585</v>
      </c>
      <c r="W165" s="346" t="s">
        <v>4586</v>
      </c>
      <c r="X165" s="345" t="s">
        <v>4587</v>
      </c>
      <c r="Y165" s="346" t="s">
        <v>4588</v>
      </c>
      <c r="Z165" t="str">
        <f>CB165&amp;CC165&amp;CD165&amp;CE165&amp;CF165&amp;CG165&amp;CH165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5" s="2946" t="str">
        <f t="shared" si="57"/>
        <v xml:space="preserve"> * La variable Beneficiarios no puede ser mayor al Total Ambos Sexos.</v>
      </c>
      <c r="CC165" s="2946" t="str">
        <f t="shared" si="58"/>
        <v xml:space="preserve"> * La variable Niños, Niñas, Adolescentes y Jóvenes Mejor Niñez no puede ser mayor al Total Ambos Sexos.</v>
      </c>
      <c r="CD165" s="2946" t="str">
        <f t="shared" si="59"/>
        <v xml:space="preserve"> * La variable Niños, Niñas, Adolescentes y Jóvenes SENAME no puede ser mayor al Total Ambos Sexos.</v>
      </c>
      <c r="CE165" s="2946" t="str">
        <f t="shared" si="60"/>
        <v xml:space="preserve"> * La variable Pueblos Originarios no puede ser mayor al Total Ambos Sexos.</v>
      </c>
      <c r="CF165" s="2946" t="str">
        <f t="shared" si="61"/>
        <v xml:space="preserve"> * La variable Migrantes no puede ser mayor al Total Ambos Sexos.</v>
      </c>
      <c r="CG165" s="2946" t="str">
        <f t="shared" si="62"/>
        <v xml:space="preserve"> * La variable Trans (Masculino) no puede ser mayor al Total Mujeres.</v>
      </c>
      <c r="CH165" s="2946" t="str">
        <f t="shared" si="63"/>
        <v xml:space="preserve"> * La variable Trans (Femenino) no puede ser mayor al Total Hombres.</v>
      </c>
      <c r="CL165" s="1867">
        <f>IF(AND(D165&gt;0,S165=""),1,IF(S165&gt;D165,1,0))</f>
        <v>1</v>
      </c>
      <c r="CM165" s="1867">
        <f>IF(AND(D165&gt;0,T165=""),1,IF(T165&gt;D165,1,0))</f>
        <v>1</v>
      </c>
      <c r="CN165" s="1867">
        <f>IF(AND(D165&gt;0,U165=""),1,IF(U165&gt;D165,1,0))</f>
        <v>1</v>
      </c>
      <c r="CO165" s="1867">
        <f>IF(AND(D165&gt;0,V165=""),1,IF(V165&gt;D165,1,0))</f>
        <v>1</v>
      </c>
      <c r="CP165" s="1867">
        <f>IF(AND(D165&gt;0,W165=""),1,IF(W165&gt;D165,1,0))</f>
        <v>1</v>
      </c>
      <c r="CQ165" s="1867">
        <f>IF(AND(F165&gt;0,OR(X165="")),1,IF((X165)&gt;F165,1,0))</f>
        <v>1</v>
      </c>
      <c r="CR165" s="1867">
        <f>IF(AND(E165&gt;0,OR(Y165="")),1,IF((Y165)&gt;E165,1,0))</f>
        <v>1</v>
      </c>
    </row>
    <row r="166" spans="1:96" x14ac:dyDescent="0.25">
      <c r="A166" s="5601" t="s">
        <v>5330</v>
      </c>
      <c r="B166" s="6752"/>
      <c r="C166" s="332" t="s">
        <v>99</v>
      </c>
      <c r="D166" s="703" t="s">
        <v>4567</v>
      </c>
      <c r="E166" s="704" t="s">
        <v>4568</v>
      </c>
      <c r="F166" s="3039" t="s">
        <v>4569</v>
      </c>
      <c r="G166" s="345" t="s">
        <v>4570</v>
      </c>
      <c r="H166" s="347" t="s">
        <v>4571</v>
      </c>
      <c r="I166" s="345" t="s">
        <v>4572</v>
      </c>
      <c r="J166" s="347" t="s">
        <v>4573</v>
      </c>
      <c r="K166" s="345" t="s">
        <v>4574</v>
      </c>
      <c r="L166" s="347" t="s">
        <v>4575</v>
      </c>
      <c r="M166" s="345" t="s">
        <v>4576</v>
      </c>
      <c r="N166" s="480" t="s">
        <v>4577</v>
      </c>
      <c r="O166" s="429" t="s">
        <v>4578</v>
      </c>
      <c r="P166" s="368" t="s">
        <v>4579</v>
      </c>
      <c r="Q166" s="368" t="s">
        <v>4580</v>
      </c>
      <c r="R166" s="480" t="s">
        <v>4581</v>
      </c>
      <c r="S166" s="429" t="s">
        <v>4582</v>
      </c>
      <c r="T166" s="368" t="s">
        <v>4583</v>
      </c>
      <c r="U166" s="368" t="s">
        <v>4584</v>
      </c>
      <c r="V166" s="368" t="s">
        <v>4585</v>
      </c>
      <c r="W166" s="346" t="s">
        <v>4586</v>
      </c>
      <c r="X166" s="345" t="s">
        <v>4587</v>
      </c>
      <c r="Y166" s="346" t="s">
        <v>4588</v>
      </c>
      <c r="Z166" t="str">
        <f>CB166&amp;CC166&amp;CD166&amp;CE166&amp;CF166&amp;CG166&amp;CH166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6" s="2946" t="str">
        <f t="shared" si="57"/>
        <v xml:space="preserve"> * La variable Beneficiarios no puede ser mayor al Total Ambos Sexos.</v>
      </c>
      <c r="CC166" s="2946" t="str">
        <f t="shared" si="58"/>
        <v xml:space="preserve"> * La variable Niños, Niñas, Adolescentes y Jóvenes Mejor Niñez no puede ser mayor al Total Ambos Sexos.</v>
      </c>
      <c r="CD166" s="2946" t="str">
        <f t="shared" si="59"/>
        <v xml:space="preserve"> * La variable Niños, Niñas, Adolescentes y Jóvenes SENAME no puede ser mayor al Total Ambos Sexos.</v>
      </c>
      <c r="CE166" s="2946" t="str">
        <f t="shared" si="60"/>
        <v xml:space="preserve"> * La variable Pueblos Originarios no puede ser mayor al Total Ambos Sexos.</v>
      </c>
      <c r="CF166" s="2946" t="str">
        <f t="shared" si="61"/>
        <v xml:space="preserve"> * La variable Migrantes no puede ser mayor al Total Ambos Sexos.</v>
      </c>
      <c r="CG166" s="2946" t="str">
        <f t="shared" si="62"/>
        <v xml:space="preserve"> * La variable Trans (Masculino) no puede ser mayor al Total Mujeres.</v>
      </c>
      <c r="CH166" s="2946" t="str">
        <f t="shared" si="63"/>
        <v xml:space="preserve"> * La variable Trans (Femenino) no puede ser mayor al Total Hombres.</v>
      </c>
      <c r="CL166" s="1867">
        <f>IF(AND(D166&gt;0,S166=""),1,IF(S166&gt;D166,1,0))</f>
        <v>1</v>
      </c>
      <c r="CM166" s="1867">
        <f>IF(AND(D166&gt;0,T166=""),1,IF(T166&gt;D166,1,0))</f>
        <v>1</v>
      </c>
      <c r="CN166" s="1867">
        <f>IF(AND(D166&gt;0,U166=""),1,IF(U166&gt;D166,1,0))</f>
        <v>1</v>
      </c>
      <c r="CO166" s="1867">
        <f>IF(AND(D166&gt;0,V166=""),1,IF(V166&gt;D166,1,0))</f>
        <v>1</v>
      </c>
      <c r="CP166" s="1867">
        <f>IF(AND(D166&gt;0,W166=""),1,IF(W166&gt;D166,1,0))</f>
        <v>1</v>
      </c>
      <c r="CQ166" s="1867">
        <f>IF(AND(F166&gt;0,OR(X166="")),1,IF((X166)&gt;F166,1,0))</f>
        <v>1</v>
      </c>
      <c r="CR166" s="1867">
        <f>IF(AND(E166&gt;0,OR(Y166="")),1,IF((Y166)&gt;E166,1,0))</f>
        <v>1</v>
      </c>
    </row>
    <row r="167" spans="1:96" x14ac:dyDescent="0.25">
      <c r="A167" s="5604"/>
      <c r="B167" s="1368"/>
      <c r="C167" s="754" t="s">
        <v>77</v>
      </c>
      <c r="D167" s="703">
        <f>SUM(E167:F167)</f>
        <v>0</v>
      </c>
      <c r="E167" s="704">
        <f>SUM(G167+I167+K167+M167)</f>
        <v>0</v>
      </c>
      <c r="F167" s="3039">
        <f t="shared" ref="F167" si="64">SUM(H167+J167+L167+N167)</f>
        <v>0</v>
      </c>
      <c r="G167" s="756">
        <f t="shared" ref="G167:R167" si="65">SUM(G164:G166)</f>
        <v>0</v>
      </c>
      <c r="H167" s="565">
        <f t="shared" si="65"/>
        <v>0</v>
      </c>
      <c r="I167" s="756">
        <f t="shared" si="65"/>
        <v>0</v>
      </c>
      <c r="J167" s="565">
        <f t="shared" si="65"/>
        <v>0</v>
      </c>
      <c r="K167" s="756">
        <f t="shared" si="65"/>
        <v>0</v>
      </c>
      <c r="L167" s="565">
        <f t="shared" si="65"/>
        <v>0</v>
      </c>
      <c r="M167" s="756">
        <f t="shared" si="65"/>
        <v>0</v>
      </c>
      <c r="N167" s="535">
        <f t="shared" si="65"/>
        <v>0</v>
      </c>
      <c r="O167" s="513">
        <f t="shared" si="65"/>
        <v>0</v>
      </c>
      <c r="P167" s="511">
        <f t="shared" si="65"/>
        <v>0</v>
      </c>
      <c r="Q167" s="511">
        <f t="shared" si="65"/>
        <v>0</v>
      </c>
      <c r="R167" s="535">
        <f t="shared" si="65"/>
        <v>0</v>
      </c>
      <c r="S167" s="513">
        <f>SUM(S164:S166)</f>
        <v>0</v>
      </c>
      <c r="T167" s="511">
        <f t="shared" ref="T167:Y167" si="66">SUM(T164:T166)</f>
        <v>0</v>
      </c>
      <c r="U167" s="511">
        <f t="shared" si="66"/>
        <v>0</v>
      </c>
      <c r="V167" s="511">
        <f t="shared" si="66"/>
        <v>0</v>
      </c>
      <c r="W167" s="514">
        <f t="shared" si="66"/>
        <v>0</v>
      </c>
      <c r="X167" s="756">
        <f t="shared" si="66"/>
        <v>0</v>
      </c>
      <c r="Y167" s="514">
        <f t="shared" si="66"/>
        <v>0</v>
      </c>
    </row>
    <row r="168" spans="1:96" x14ac:dyDescent="0.25">
      <c r="A168" s="5601" t="s">
        <v>5331</v>
      </c>
      <c r="B168" s="6752" t="s">
        <v>1041</v>
      </c>
      <c r="C168" s="6752"/>
      <c r="D168" s="703" t="s">
        <v>4567</v>
      </c>
      <c r="E168" s="704" t="s">
        <v>4568</v>
      </c>
      <c r="F168" s="3039" t="s">
        <v>4569</v>
      </c>
      <c r="G168" s="760" t="s">
        <v>4570</v>
      </c>
      <c r="H168" s="507" t="s">
        <v>4571</v>
      </c>
      <c r="I168" s="760" t="s">
        <v>4572</v>
      </c>
      <c r="J168" s="507" t="s">
        <v>4573</v>
      </c>
      <c r="K168" s="760" t="s">
        <v>4574</v>
      </c>
      <c r="L168" s="507" t="s">
        <v>4575</v>
      </c>
      <c r="M168" s="760" t="s">
        <v>4576</v>
      </c>
      <c r="N168" s="722" t="s">
        <v>4577</v>
      </c>
      <c r="O168" s="530" t="s">
        <v>4578</v>
      </c>
      <c r="P168" s="528" t="s">
        <v>4579</v>
      </c>
      <c r="Q168" s="528" t="s">
        <v>4580</v>
      </c>
      <c r="R168" s="722" t="s">
        <v>4581</v>
      </c>
      <c r="S168" s="530" t="s">
        <v>4582</v>
      </c>
      <c r="T168" s="528" t="s">
        <v>4583</v>
      </c>
      <c r="U168" s="528" t="s">
        <v>4584</v>
      </c>
      <c r="V168" s="528" t="s">
        <v>4585</v>
      </c>
      <c r="W168" s="507" t="s">
        <v>4586</v>
      </c>
      <c r="X168" s="760" t="s">
        <v>4587</v>
      </c>
      <c r="Y168" s="507" t="s">
        <v>4588</v>
      </c>
      <c r="Z168" t="str">
        <f>CB168&amp;CC168&amp;CD168&amp;CE168&amp;CF168&amp;CG168&amp;CH168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8" s="2946" t="str">
        <f>IF(AND($D168&gt;0,S168="")," * No olvide digitar la variable Beneficiarios. Digite cero si no tiene.",IF(S168&gt;$D168," * La variable Beneficiarios no puede ser mayor al Total Ambos Sexos.",""))</f>
        <v xml:space="preserve"> * La variable Beneficiarios no puede ser mayor al Total Ambos Sexos.</v>
      </c>
      <c r="CC168" s="2946" t="str">
        <f>IF(AND($D168&gt;0,T168="")," * No olvide digitar la variable Niños, Niñas, Adolescentes y Jóvenes Mejor Niñez. Digite cero si no tiene.",IF(T168&gt;$D168,"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D168" s="2946" t="str">
        <f>IF(AND($D168&gt;0,U168="")," * No olvide digitar la variable Niños, Niñas, Adolescentes y Jóvenes SENAME. Digite cero si no tiene.",IF(U168&gt;$D168," * La variable Niños, Niñas, Adolescentes y Jóvenes SENAME no puede ser mayor al Total Ambos Sexos.",""))</f>
        <v xml:space="preserve"> * La variable Niños, Niñas, Adolescentes y Jóvenes SENAME no puede ser mayor al Total Ambos Sexos.</v>
      </c>
      <c r="CE168" s="2946" t="str">
        <f>IF(AND($D168&gt;0,V168="")," * No olvide digitar la variable Pueblos Originarios. Digite cero si no tiene.",IF(V168&gt;$D168," * La variable Pueblos Originarios no puede ser mayor al Total Ambos Sexos.",""))</f>
        <v xml:space="preserve"> * La variable Pueblos Originarios no puede ser mayor al Total Ambos Sexos.</v>
      </c>
      <c r="CF168" s="2946" t="str">
        <f>IF(AND($D168&gt;0,W168="")," * No olvide digitar la variable Migrantes. Digite cero si no tiene.",IF(W168&gt;$D168," * La variable Migrantes no puede ser mayor al Total Ambos Sexos.",""))</f>
        <v xml:space="preserve"> * La variable Migrantes no puede ser mayor al Total Ambos Sexos.</v>
      </c>
      <c r="CG168" s="2946" t="str">
        <f>IF(AND($F168&gt;0,OR(X168=""))," * No olvide digitar la variable Trans (Masculino). Digite cero si no tiene.",IF((X168)&gt;$F168," * La variable Trans (Masculino) no puede ser mayor al Total Mujeres.",""))</f>
        <v xml:space="preserve"> * La variable Trans (Masculino) no puede ser mayor al Total Mujeres.</v>
      </c>
      <c r="CH168" s="2946" t="str">
        <f>IF(AND($E168&gt;0,OR(Y168=""))," * No olvide digitar la variable Trans (Femenino). Digite cero si no tiene.",IF((Y168)&gt;$E168," * La variable Trans (Femenino) no puede ser mayor al Total Hombres.",""))</f>
        <v xml:space="preserve"> * La variable Trans (Femenino) no puede ser mayor al Total Hombres.</v>
      </c>
      <c r="CL168" s="1867">
        <f>IF(AND(D168&gt;0,S168=""),1,IF(S168&gt;D168,1,0))</f>
        <v>1</v>
      </c>
      <c r="CM168" s="1867">
        <f>IF(AND(D168&gt;0,T168=""),1,IF(T168&gt;D168,1,0))</f>
        <v>1</v>
      </c>
      <c r="CN168" s="1867">
        <f>IF(AND(D168&gt;0,U168=""),1,IF(U168&gt;D168,1,0))</f>
        <v>1</v>
      </c>
      <c r="CO168" s="1867">
        <f>IF(AND(D168&gt;0,V168=""),1,IF(V168&gt;D168,1,0))</f>
        <v>1</v>
      </c>
      <c r="CP168" s="1867">
        <f>IF(AND(D168&gt;0,W168=""),1,IF(W168&gt;D168,1,0))</f>
        <v>1</v>
      </c>
      <c r="CQ168" s="1867">
        <f>IF(AND(F168&gt;0,OR(X168="")),1,IF((X168)&gt;F168,1,0))</f>
        <v>1</v>
      </c>
      <c r="CR168" s="1867">
        <f>IF(AND(E168&gt;0,OR(Y168="")),1,IF((Y168)&gt;E168,1,0))</f>
        <v>1</v>
      </c>
    </row>
    <row r="169" spans="1:96" ht="18" customHeight="1" x14ac:dyDescent="0.25">
      <c r="A169" s="6"/>
      <c r="B169" s="3" t="s">
        <v>1182</v>
      </c>
      <c r="C169" s="3042"/>
      <c r="D169" s="3042"/>
      <c r="E169" s="3042"/>
    </row>
    <row r="170" spans="1:96" x14ac:dyDescent="0.25">
      <c r="A170" s="6"/>
      <c r="B170" s="6458" t="s">
        <v>1093</v>
      </c>
      <c r="C170" s="6458" t="s">
        <v>1094</v>
      </c>
      <c r="D170" s="6753" t="s">
        <v>1183</v>
      </c>
      <c r="E170" s="6533" t="s">
        <v>1184</v>
      </c>
    </row>
    <row r="171" spans="1:96" ht="18.75" customHeight="1" x14ac:dyDescent="0.25">
      <c r="A171" s="6"/>
      <c r="B171" s="6739"/>
      <c r="C171" s="6739"/>
      <c r="D171" s="6754"/>
      <c r="E171" s="6067"/>
    </row>
    <row r="172" spans="1:96" x14ac:dyDescent="0.25">
      <c r="A172" s="5601" t="s">
        <v>5332</v>
      </c>
      <c r="B172" s="2998" t="s">
        <v>1097</v>
      </c>
      <c r="C172" s="846" t="s">
        <v>4567</v>
      </c>
      <c r="D172" s="847" t="s">
        <v>4568</v>
      </c>
      <c r="E172" s="848" t="s">
        <v>4569</v>
      </c>
    </row>
    <row r="173" spans="1:96" x14ac:dyDescent="0.25">
      <c r="A173" s="5601" t="s">
        <v>5333</v>
      </c>
      <c r="B173" s="2905" t="s">
        <v>1185</v>
      </c>
      <c r="C173" s="849" t="s">
        <v>4567</v>
      </c>
      <c r="D173" s="328" t="s">
        <v>4568</v>
      </c>
      <c r="E173" s="329" t="s">
        <v>4569</v>
      </c>
    </row>
    <row r="174" spans="1:96" x14ac:dyDescent="0.25">
      <c r="A174" s="5601" t="s">
        <v>5334</v>
      </c>
      <c r="B174" s="2284" t="s">
        <v>1186</v>
      </c>
      <c r="C174" s="852" t="s">
        <v>4567</v>
      </c>
      <c r="D174" s="853" t="s">
        <v>4568</v>
      </c>
      <c r="E174" s="854" t="s">
        <v>4569</v>
      </c>
    </row>
    <row r="175" spans="1:96" ht="18" customHeight="1" x14ac:dyDescent="0.25">
      <c r="A175" s="6"/>
      <c r="B175" s="3" t="s">
        <v>1187</v>
      </c>
    </row>
    <row r="176" spans="1:96" x14ac:dyDescent="0.25">
      <c r="A176" s="6"/>
      <c r="B176" s="6444" t="s">
        <v>1188</v>
      </c>
      <c r="C176" s="6212" t="s">
        <v>1171</v>
      </c>
      <c r="D176" s="6510"/>
      <c r="E176" s="6511"/>
      <c r="F176" s="6704" t="s">
        <v>101</v>
      </c>
      <c r="G176" s="6515"/>
      <c r="H176" s="6515"/>
      <c r="I176" s="6515"/>
      <c r="J176" s="6515"/>
      <c r="K176" s="6515"/>
      <c r="L176" s="6515"/>
      <c r="M176" s="3043"/>
      <c r="N176" s="6517" t="s">
        <v>581</v>
      </c>
      <c r="O176" s="6511" t="s">
        <v>580</v>
      </c>
    </row>
    <row r="177" spans="1:15" x14ac:dyDescent="0.25">
      <c r="A177" s="6"/>
      <c r="B177" s="6350"/>
      <c r="C177" s="6734"/>
      <c r="D177" s="6735"/>
      <c r="E177" s="6736"/>
      <c r="F177" s="6704" t="s">
        <v>1189</v>
      </c>
      <c r="G177" s="6451"/>
      <c r="H177" s="6704" t="s">
        <v>1190</v>
      </c>
      <c r="I177" s="6451"/>
      <c r="J177" s="6704" t="s">
        <v>1191</v>
      </c>
      <c r="K177" s="6451"/>
      <c r="L177" s="6704" t="s">
        <v>1179</v>
      </c>
      <c r="M177" s="6515"/>
      <c r="N177" s="6034"/>
      <c r="O177" s="6027"/>
    </row>
    <row r="178" spans="1:15" x14ac:dyDescent="0.25">
      <c r="A178" s="6"/>
      <c r="B178" s="6733"/>
      <c r="C178" s="463" t="s">
        <v>79</v>
      </c>
      <c r="D178" s="1743" t="s">
        <v>58</v>
      </c>
      <c r="E178" s="90" t="s">
        <v>59</v>
      </c>
      <c r="F178" s="744" t="s">
        <v>58</v>
      </c>
      <c r="G178" s="464" t="s">
        <v>59</v>
      </c>
      <c r="H178" s="744" t="s">
        <v>58</v>
      </c>
      <c r="I178" s="464" t="s">
        <v>59</v>
      </c>
      <c r="J178" s="744" t="s">
        <v>58</v>
      </c>
      <c r="K178" s="464" t="s">
        <v>59</v>
      </c>
      <c r="L178" s="744" t="s">
        <v>58</v>
      </c>
      <c r="M178" s="590" t="s">
        <v>59</v>
      </c>
      <c r="N178" s="6035"/>
      <c r="O178" s="6736"/>
    </row>
    <row r="179" spans="1:15" x14ac:dyDescent="0.25">
      <c r="A179" s="5784" t="s">
        <v>5335</v>
      </c>
      <c r="B179" s="2998" t="s">
        <v>1192</v>
      </c>
      <c r="C179" s="733" t="s">
        <v>4567</v>
      </c>
      <c r="D179" s="746" t="s">
        <v>4568</v>
      </c>
      <c r="E179" s="606" t="s">
        <v>4569</v>
      </c>
      <c r="F179" s="747" t="s">
        <v>4570</v>
      </c>
      <c r="G179" s="476" t="s">
        <v>4571</v>
      </c>
      <c r="H179" s="747" t="s">
        <v>4572</v>
      </c>
      <c r="I179" s="476" t="s">
        <v>4573</v>
      </c>
      <c r="J179" s="747" t="s">
        <v>4574</v>
      </c>
      <c r="K179" s="476" t="s">
        <v>4575</v>
      </c>
      <c r="L179" s="747" t="s">
        <v>4576</v>
      </c>
      <c r="M179" s="552" t="s">
        <v>4577</v>
      </c>
      <c r="N179" s="3044" t="s">
        <v>4578</v>
      </c>
      <c r="O179" s="848" t="s">
        <v>4579</v>
      </c>
    </row>
    <row r="180" spans="1:15" x14ac:dyDescent="0.25">
      <c r="A180" s="5784" t="s">
        <v>5336</v>
      </c>
      <c r="B180" s="1368" t="s">
        <v>1193</v>
      </c>
      <c r="C180" s="703" t="s">
        <v>4567</v>
      </c>
      <c r="D180" s="751" t="s">
        <v>4568</v>
      </c>
      <c r="E180" s="344" t="s">
        <v>4569</v>
      </c>
      <c r="F180" s="345" t="s">
        <v>4570</v>
      </c>
      <c r="G180" s="347" t="s">
        <v>4571</v>
      </c>
      <c r="H180" s="345" t="s">
        <v>4572</v>
      </c>
      <c r="I180" s="347" t="s">
        <v>4573</v>
      </c>
      <c r="J180" s="345" t="s">
        <v>4574</v>
      </c>
      <c r="K180" s="347" t="s">
        <v>4575</v>
      </c>
      <c r="L180" s="345" t="s">
        <v>4576</v>
      </c>
      <c r="M180" s="389" t="s">
        <v>4577</v>
      </c>
      <c r="N180" s="1970" t="s">
        <v>4578</v>
      </c>
      <c r="O180" s="329" t="s">
        <v>4579</v>
      </c>
    </row>
    <row r="181" spans="1:15" x14ac:dyDescent="0.25">
      <c r="A181" s="5604"/>
      <c r="B181" s="1764" t="s">
        <v>77</v>
      </c>
      <c r="C181" s="755">
        <f>SUM(C179:C180)</f>
        <v>0</v>
      </c>
      <c r="D181" s="610">
        <f t="shared" ref="D181:O181" si="67">SUM(D179:D180)</f>
        <v>0</v>
      </c>
      <c r="E181" s="3045">
        <f t="shared" si="67"/>
        <v>0</v>
      </c>
      <c r="F181" s="755">
        <f>SUM(F179:F180)</f>
        <v>0</v>
      </c>
      <c r="G181" s="3045">
        <f t="shared" si="67"/>
        <v>0</v>
      </c>
      <c r="H181" s="755">
        <f t="shared" si="67"/>
        <v>0</v>
      </c>
      <c r="I181" s="3045">
        <f t="shared" si="67"/>
        <v>0</v>
      </c>
      <c r="J181" s="755">
        <f t="shared" si="67"/>
        <v>0</v>
      </c>
      <c r="K181" s="3045">
        <f t="shared" si="67"/>
        <v>0</v>
      </c>
      <c r="L181" s="755">
        <f t="shared" si="67"/>
        <v>0</v>
      </c>
      <c r="M181" s="3045">
        <f t="shared" si="67"/>
        <v>0</v>
      </c>
      <c r="N181" s="613">
        <f t="shared" si="67"/>
        <v>0</v>
      </c>
      <c r="O181" s="611">
        <f t="shared" si="67"/>
        <v>0</v>
      </c>
    </row>
    <row r="182" spans="1:15" x14ac:dyDescent="0.25">
      <c r="A182" s="5603"/>
    </row>
    <row r="183" spans="1:15" x14ac:dyDescent="0.25">
      <c r="A183" s="5603"/>
    </row>
    <row r="184" spans="1:15" x14ac:dyDescent="0.25">
      <c r="A184" s="6" t="s">
        <v>4566</v>
      </c>
    </row>
    <row r="185" spans="1:15" x14ac:dyDescent="0.25">
      <c r="A185" s="5782" t="s">
        <v>5295</v>
      </c>
    </row>
    <row r="186" spans="1:15" x14ac:dyDescent="0.25">
      <c r="A186" s="5782" t="s">
        <v>5301</v>
      </c>
    </row>
    <row r="187" spans="1:15" x14ac:dyDescent="0.25">
      <c r="A187" s="5782" t="s">
        <v>5302</v>
      </c>
    </row>
    <row r="188" spans="1:15" x14ac:dyDescent="0.25">
      <c r="A188" s="5782" t="s">
        <v>5303</v>
      </c>
    </row>
    <row r="189" spans="1:15" x14ac:dyDescent="0.25">
      <c r="A189" s="5784" t="s">
        <v>5335</v>
      </c>
    </row>
    <row r="190" spans="1:15" x14ac:dyDescent="0.25">
      <c r="A190" s="5784" t="s">
        <v>5336</v>
      </c>
    </row>
    <row r="205" spans="2:3" ht="48.75" hidden="1" customHeight="1" x14ac:dyDescent="0.25">
      <c r="B205" s="3032">
        <f>SUM(D12:D21,D23:D26,C30:C32,F30:F32,C36:C38,F36:F38,D41:D44,D49:D50,D55:D76,C80:J83,C86:E93,C97:G101,C106:G108,C114:C116,C120:F120,C124:C126,C130,D135:D138,C143:C150,C154:D155,D160:D168,C172:E174,C179:C181)</f>
        <v>0</v>
      </c>
      <c r="C205" s="3033">
        <f>SUM(CL12:CT168)</f>
        <v>258</v>
      </c>
    </row>
  </sheetData>
  <mergeCells count="228">
    <mergeCell ref="AW9:AW11"/>
    <mergeCell ref="B104:B105"/>
    <mergeCell ref="C104:C105"/>
    <mergeCell ref="D104:D105"/>
    <mergeCell ref="E104:E105"/>
    <mergeCell ref="F104:F105"/>
    <mergeCell ref="G104:G105"/>
    <mergeCell ref="B176:B178"/>
    <mergeCell ref="C176:E177"/>
    <mergeCell ref="F176:L176"/>
    <mergeCell ref="N176:N178"/>
    <mergeCell ref="O176:O178"/>
    <mergeCell ref="F177:G177"/>
    <mergeCell ref="H177:I177"/>
    <mergeCell ref="J177:K177"/>
    <mergeCell ref="L177:M177"/>
    <mergeCell ref="Y158:Y159"/>
    <mergeCell ref="P157:P159"/>
    <mergeCell ref="Q157:Q159"/>
    <mergeCell ref="R157:R159"/>
    <mergeCell ref="S157:S159"/>
    <mergeCell ref="T157:T159"/>
    <mergeCell ref="U157:U159"/>
    <mergeCell ref="E170:E171"/>
    <mergeCell ref="B160:B162"/>
    <mergeCell ref="B164:B166"/>
    <mergeCell ref="B168:C168"/>
    <mergeCell ref="B170:B171"/>
    <mergeCell ref="C170:C171"/>
    <mergeCell ref="D170:D171"/>
    <mergeCell ref="V157:V159"/>
    <mergeCell ref="W157:W159"/>
    <mergeCell ref="AQ132:AQ134"/>
    <mergeCell ref="I133:J133"/>
    <mergeCell ref="K133:L133"/>
    <mergeCell ref="M133:N133"/>
    <mergeCell ref="O133:P133"/>
    <mergeCell ref="Q133:R133"/>
    <mergeCell ref="S133:T133"/>
    <mergeCell ref="B132:B134"/>
    <mergeCell ref="C132:C134"/>
    <mergeCell ref="D132:F133"/>
    <mergeCell ref="G132:AN132"/>
    <mergeCell ref="U133:V133"/>
    <mergeCell ref="W133:X133"/>
    <mergeCell ref="Y133:Z133"/>
    <mergeCell ref="AA133:AB133"/>
    <mergeCell ref="AC133:AD133"/>
    <mergeCell ref="AR132:AR134"/>
    <mergeCell ref="AS132:AS134"/>
    <mergeCell ref="AO132:AO134"/>
    <mergeCell ref="AP132:AP134"/>
    <mergeCell ref="B156:F156"/>
    <mergeCell ref="B157:B159"/>
    <mergeCell ref="C157:C159"/>
    <mergeCell ref="D157:F158"/>
    <mergeCell ref="G157:N157"/>
    <mergeCell ref="O157:O159"/>
    <mergeCell ref="B135:B138"/>
    <mergeCell ref="B140:B142"/>
    <mergeCell ref="C140:G140"/>
    <mergeCell ref="H140:H142"/>
    <mergeCell ref="I140:J141"/>
    <mergeCell ref="C141:C142"/>
    <mergeCell ref="D141:G141"/>
    <mergeCell ref="X157:Y157"/>
    <mergeCell ref="G158:H158"/>
    <mergeCell ref="I158:J158"/>
    <mergeCell ref="K158:L158"/>
    <mergeCell ref="M158:N158"/>
    <mergeCell ref="X158:X159"/>
    <mergeCell ref="G133:H133"/>
    <mergeCell ref="AE133:AF133"/>
    <mergeCell ref="AG133:AH133"/>
    <mergeCell ref="AI133:AJ133"/>
    <mergeCell ref="AK133:AL133"/>
    <mergeCell ref="AM133:AN133"/>
    <mergeCell ref="H122:I122"/>
    <mergeCell ref="J122:K122"/>
    <mergeCell ref="B128:B129"/>
    <mergeCell ref="C128:C129"/>
    <mergeCell ref="D128:E128"/>
    <mergeCell ref="F128:G128"/>
    <mergeCell ref="H128:J128"/>
    <mergeCell ref="B118:B119"/>
    <mergeCell ref="C118:E118"/>
    <mergeCell ref="F118:F119"/>
    <mergeCell ref="B122:B123"/>
    <mergeCell ref="C122:E122"/>
    <mergeCell ref="F122:G122"/>
    <mergeCell ref="P111:P113"/>
    <mergeCell ref="Q111:Q113"/>
    <mergeCell ref="F112:G112"/>
    <mergeCell ref="H112:I112"/>
    <mergeCell ref="J112:K112"/>
    <mergeCell ref="L112:M112"/>
    <mergeCell ref="N112:O112"/>
    <mergeCell ref="B95:B96"/>
    <mergeCell ref="C95:C96"/>
    <mergeCell ref="D95:D96"/>
    <mergeCell ref="E95:E96"/>
    <mergeCell ref="F95:G95"/>
    <mergeCell ref="B111:B113"/>
    <mergeCell ref="C111:E112"/>
    <mergeCell ref="F111:N111"/>
    <mergeCell ref="B78:B79"/>
    <mergeCell ref="C78:D78"/>
    <mergeCell ref="E78:F78"/>
    <mergeCell ref="G78:H78"/>
    <mergeCell ref="I78:J78"/>
    <mergeCell ref="B55:B60"/>
    <mergeCell ref="B61:B62"/>
    <mergeCell ref="B63:B66"/>
    <mergeCell ref="B67:B68"/>
    <mergeCell ref="B69:B70"/>
    <mergeCell ref="B71:B76"/>
    <mergeCell ref="AM52:AM54"/>
    <mergeCell ref="AN52:AN54"/>
    <mergeCell ref="G53:H53"/>
    <mergeCell ref="I53:J53"/>
    <mergeCell ref="K53:L53"/>
    <mergeCell ref="M53:N53"/>
    <mergeCell ref="O53:P53"/>
    <mergeCell ref="Q53:R53"/>
    <mergeCell ref="S53:T53"/>
    <mergeCell ref="U53:V53"/>
    <mergeCell ref="B51:N51"/>
    <mergeCell ref="B52:C54"/>
    <mergeCell ref="D52:F53"/>
    <mergeCell ref="G52:AL52"/>
    <mergeCell ref="W53:X53"/>
    <mergeCell ref="Y53:Z53"/>
    <mergeCell ref="S47:T47"/>
    <mergeCell ref="U47:V47"/>
    <mergeCell ref="W47:X47"/>
    <mergeCell ref="Y47:Z47"/>
    <mergeCell ref="AA47:AB47"/>
    <mergeCell ref="AC47:AD47"/>
    <mergeCell ref="AA53:AB53"/>
    <mergeCell ref="AC53:AD53"/>
    <mergeCell ref="AE53:AF53"/>
    <mergeCell ref="AG53:AH53"/>
    <mergeCell ref="AI53:AJ53"/>
    <mergeCell ref="AK53:AL53"/>
    <mergeCell ref="G46:AL46"/>
    <mergeCell ref="AM46:AM48"/>
    <mergeCell ref="AN46:AN48"/>
    <mergeCell ref="AO46:AO48"/>
    <mergeCell ref="G47:H47"/>
    <mergeCell ref="I47:J47"/>
    <mergeCell ref="K47:L47"/>
    <mergeCell ref="M47:N47"/>
    <mergeCell ref="O47:P47"/>
    <mergeCell ref="Q47:R47"/>
    <mergeCell ref="AE47:AF47"/>
    <mergeCell ref="AG47:AH47"/>
    <mergeCell ref="AI47:AJ47"/>
    <mergeCell ref="AK47:AL47"/>
    <mergeCell ref="B41:B42"/>
    <mergeCell ref="B43:B44"/>
    <mergeCell ref="B46:C48"/>
    <mergeCell ref="D46:F47"/>
    <mergeCell ref="AT28:AT29"/>
    <mergeCell ref="AU28:AU29"/>
    <mergeCell ref="AV28:AV29"/>
    <mergeCell ref="B34:B35"/>
    <mergeCell ref="C34:C35"/>
    <mergeCell ref="D34:E34"/>
    <mergeCell ref="F34:H34"/>
    <mergeCell ref="I34:N34"/>
    <mergeCell ref="AK28:AL28"/>
    <mergeCell ref="AM28:AN28"/>
    <mergeCell ref="AO28:AP28"/>
    <mergeCell ref="AQ28:AQ29"/>
    <mergeCell ref="AR28:AR29"/>
    <mergeCell ref="AS28:AS29"/>
    <mergeCell ref="Y28:Z28"/>
    <mergeCell ref="AA28:AB28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B28:B29"/>
    <mergeCell ref="C28:C29"/>
    <mergeCell ref="D28:E28"/>
    <mergeCell ref="F28:H28"/>
    <mergeCell ref="I28:J28"/>
    <mergeCell ref="K28:L28"/>
    <mergeCell ref="AU10:AU11"/>
    <mergeCell ref="AV10:AV11"/>
    <mergeCell ref="B12:B22"/>
    <mergeCell ref="B23:C23"/>
    <mergeCell ref="B25:B26"/>
    <mergeCell ref="AA10:AB10"/>
    <mergeCell ref="AC10:AD10"/>
    <mergeCell ref="AE10:AF10"/>
    <mergeCell ref="AG10:AH10"/>
    <mergeCell ref="AI10:AJ10"/>
    <mergeCell ref="AK10:AL10"/>
    <mergeCell ref="O10:P10"/>
    <mergeCell ref="Q10:R10"/>
    <mergeCell ref="S10:T10"/>
    <mergeCell ref="U10:V10"/>
    <mergeCell ref="W10:X10"/>
    <mergeCell ref="Y10:Z10"/>
    <mergeCell ref="AP9:AP11"/>
    <mergeCell ref="AQ9:AQ11"/>
    <mergeCell ref="AR9:AR11"/>
    <mergeCell ref="AS9:AS11"/>
    <mergeCell ref="AT9:AT11"/>
    <mergeCell ref="AU9:AV9"/>
    <mergeCell ref="B6:X6"/>
    <mergeCell ref="B9:B11"/>
    <mergeCell ref="C9:C11"/>
    <mergeCell ref="D9:F10"/>
    <mergeCell ref="G9:AN9"/>
    <mergeCell ref="AO9:AO11"/>
    <mergeCell ref="G10:H10"/>
    <mergeCell ref="I10:J10"/>
    <mergeCell ref="K10:L10"/>
    <mergeCell ref="M10:N10"/>
    <mergeCell ref="AM10:AN10"/>
  </mergeCells>
  <dataValidations count="4">
    <dataValidation type="whole" allowBlank="1" showInputMessage="1" showErrorMessage="1" sqref="G156:AT156 T157" xr:uid="{00000000-0002-0000-0600-000000000000}">
      <formula1>0</formula1>
      <formula2>1E+30</formula2>
    </dataValidation>
    <dataValidation type="whole" operator="greaterThanOrEqual" allowBlank="1" showInputMessage="1" showErrorMessage="1" sqref="C172:E174 C97:G101 C86:E93 C106:G108 F114:Q116 C120:F120 F124:K126 F179:O180 G135:AS137 D143:J150 D41:D44 G49:AO50 C154:D155 G168:Y168 G12:AW26 D30:AV31 D36:N37 G160:Y162 G164:Y166 D130:J130" xr:uid="{00000000-0002-0000-0600-000001000000}">
      <formula1>0</formula1>
    </dataValidation>
    <dataValidation type="whole" allowBlank="1" showInputMessage="1" showErrorMessage="1" sqref="G55:AN76" xr:uid="{31805F1B-B0E4-4505-9DF6-28C7187661A2}">
      <formula1>0</formula1>
      <formula2>9.99999999999999E+36</formula2>
    </dataValidation>
    <dataValidation type="whole" allowBlank="1" showInputMessage="1" showErrorMessage="1" sqref="C80:J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V318"/>
  <sheetViews>
    <sheetView showGridLines="0" zoomScaleNormal="100" workbookViewId="0"/>
  </sheetViews>
  <sheetFormatPr baseColWidth="10" defaultColWidth="11.42578125" defaultRowHeight="15" x14ac:dyDescent="0.25"/>
  <cols>
    <col min="1" max="1" width="22.5703125" customWidth="1"/>
    <col min="2" max="2" width="55.42578125" customWidth="1"/>
    <col min="3" max="3" width="31.5703125" customWidth="1"/>
    <col min="4" max="47" width="15.7109375" customWidth="1"/>
    <col min="48" max="56" width="14.42578125" customWidth="1"/>
    <col min="57" max="57" width="11.42578125" customWidth="1"/>
    <col min="80" max="80" width="14" customWidth="1"/>
    <col min="81" max="81" width="11.42578125" style="19" hidden="1" customWidth="1"/>
    <col min="82" max="85" width="13.42578125" style="19" hidden="1" customWidth="1"/>
    <col min="86" max="97" width="11.42578125" style="19" hidden="1" customWidth="1"/>
    <col min="98" max="98" width="9" style="19" hidden="1" customWidth="1"/>
    <col min="99" max="99" width="11.42578125" style="19" hidden="1" customWidth="1"/>
    <col min="100" max="100" width="11.42578125" hidden="1" customWidth="1"/>
    <col min="101" max="142" width="11.42578125" customWidth="1"/>
  </cols>
  <sheetData>
    <row r="1" spans="1:99" x14ac:dyDescent="0.25">
      <c r="B1" s="50" t="s">
        <v>23</v>
      </c>
    </row>
    <row r="2" spans="1:99" x14ac:dyDescent="0.25">
      <c r="B2" s="50" t="str">
        <f>CONCATENATE("COMUNA: ",NOMBRE!B2, " (",NOMBRE!C2,NOMBRE!D2,NOMBRE!E2,NOMBRE!F2,NOMBRE!G2,")")</f>
        <v>COMUNA:  ()</v>
      </c>
    </row>
    <row r="3" spans="1:99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B4" s="50" t="str">
        <f>CONCATENATE("MES: ",NOMBRE!B6, " (",NOMBRE!C6,NOMBRE!D6,")")</f>
        <v>MES:  ()</v>
      </c>
    </row>
    <row r="5" spans="1:99" x14ac:dyDescent="0.25">
      <c r="B5" s="50" t="str">
        <f>CONCATENATE("AÑO: ",NOMBRE!B7)</f>
        <v>AÑO: 2025</v>
      </c>
    </row>
    <row r="6" spans="1:99" s="9" customFormat="1" ht="18" customHeight="1" x14ac:dyDescent="0.25">
      <c r="B6" s="6807" t="s">
        <v>1194</v>
      </c>
      <c r="C6" s="6807"/>
      <c r="D6" s="6807"/>
      <c r="E6" s="6807"/>
      <c r="F6" s="6807"/>
      <c r="G6" s="6807"/>
      <c r="H6" s="6807"/>
      <c r="I6" s="6807"/>
      <c r="J6" s="6807"/>
      <c r="K6" s="6807"/>
      <c r="L6" s="6807"/>
      <c r="M6" s="6807"/>
      <c r="N6" s="6807"/>
      <c r="O6" s="6807"/>
      <c r="P6" s="6807"/>
      <c r="Q6" s="6807"/>
      <c r="R6" s="6807"/>
      <c r="S6" s="6807"/>
      <c r="T6" s="6807"/>
      <c r="U6" s="6807"/>
      <c r="V6" s="6807"/>
      <c r="W6" s="6807"/>
      <c r="X6" s="6807"/>
      <c r="Y6" s="6807"/>
      <c r="Z6" s="6807"/>
      <c r="AA6" s="6807"/>
      <c r="AB6" s="6807"/>
      <c r="AC6" s="6807"/>
      <c r="AD6" s="6807"/>
      <c r="AE6" s="6807"/>
      <c r="AF6" s="7"/>
      <c r="AG6" s="7"/>
      <c r="AH6" s="7"/>
      <c r="AI6" s="2395"/>
      <c r="AJ6" s="7"/>
      <c r="AK6" s="7"/>
      <c r="AL6" s="2395"/>
      <c r="AM6" s="7"/>
      <c r="AN6" s="7"/>
      <c r="AO6" s="3046"/>
      <c r="AQ6"/>
      <c r="AR6"/>
      <c r="AS6"/>
      <c r="CB6" s="88"/>
      <c r="CC6" s="24"/>
      <c r="CD6" s="24"/>
      <c r="CE6" s="24"/>
      <c r="CF6" s="24"/>
      <c r="CG6" s="24"/>
      <c r="CH6" s="24"/>
      <c r="CI6" s="7"/>
      <c r="CJ6" s="7"/>
      <c r="CK6" s="7"/>
      <c r="CL6" s="24"/>
      <c r="CM6" s="24"/>
      <c r="CN6" s="24"/>
      <c r="CO6" s="7"/>
      <c r="CP6" s="7"/>
      <c r="CQ6" s="7"/>
      <c r="CR6" s="7"/>
      <c r="CS6" s="7"/>
      <c r="CT6" s="7"/>
      <c r="CU6" s="7"/>
    </row>
    <row r="8" spans="1:99" s="6" customFormat="1" ht="18" customHeight="1" x14ac:dyDescent="0.2">
      <c r="B8" s="3" t="s">
        <v>1195</v>
      </c>
      <c r="C8" s="1"/>
      <c r="D8" s="3047"/>
      <c r="E8" s="3047"/>
      <c r="F8" s="3047"/>
      <c r="G8" s="3047"/>
      <c r="H8" s="3047"/>
      <c r="I8" s="3047"/>
      <c r="J8" s="3047"/>
      <c r="K8" s="3047"/>
      <c r="L8" s="3047"/>
      <c r="M8" s="3047"/>
      <c r="N8" s="3047"/>
      <c r="O8" s="3047"/>
      <c r="P8" s="3047"/>
      <c r="Q8" s="3047"/>
      <c r="R8" s="3047"/>
      <c r="S8" s="3047"/>
      <c r="T8" s="3047"/>
      <c r="U8" s="3047"/>
      <c r="V8" s="3047"/>
      <c r="W8" s="3047"/>
      <c r="X8" s="3047"/>
      <c r="Y8" s="3047"/>
      <c r="Z8" s="3047"/>
      <c r="AA8" s="3047"/>
      <c r="AB8" s="3047"/>
      <c r="AC8" s="3047"/>
      <c r="AD8" s="3047"/>
      <c r="AE8" s="3048"/>
      <c r="AF8" s="8"/>
      <c r="AG8" s="8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ht="15" customHeight="1" x14ac:dyDescent="0.25">
      <c r="B9" s="6212" t="s">
        <v>1196</v>
      </c>
      <c r="C9" s="6813" t="s">
        <v>1197</v>
      </c>
      <c r="D9" s="6810"/>
      <c r="E9" s="6810"/>
      <c r="F9" s="6810"/>
      <c r="G9" s="6810"/>
      <c r="H9" s="6810"/>
      <c r="I9" s="6810"/>
      <c r="J9" s="6810"/>
      <c r="K9" s="6810"/>
      <c r="L9" s="6810"/>
      <c r="M9" s="6810"/>
      <c r="N9" s="6810"/>
      <c r="O9" s="6810"/>
      <c r="P9" s="6810"/>
      <c r="Q9" s="6810"/>
      <c r="R9" s="6810"/>
      <c r="S9" s="6810"/>
      <c r="T9" s="6810"/>
      <c r="U9" s="6810"/>
      <c r="V9" s="6810"/>
      <c r="W9" s="6810"/>
      <c r="X9" s="6811"/>
      <c r="Y9" s="6817" t="s">
        <v>1198</v>
      </c>
      <c r="Z9" s="6815"/>
      <c r="AA9" s="6815"/>
      <c r="AB9" s="6815"/>
      <c r="AC9" s="6815"/>
      <c r="AD9" s="6815"/>
      <c r="AE9" s="6815"/>
      <c r="AF9" s="6816"/>
      <c r="AG9" s="6823" t="s">
        <v>1199</v>
      </c>
      <c r="AH9" s="6820"/>
    </row>
    <row r="10" spans="1:99" ht="15" customHeight="1" x14ac:dyDescent="0.25">
      <c r="B10" s="6044"/>
      <c r="C10" s="6023" t="s">
        <v>452</v>
      </c>
      <c r="D10" s="6814" t="s">
        <v>29</v>
      </c>
      <c r="E10" s="6815"/>
      <c r="F10" s="6815"/>
      <c r="G10" s="6815"/>
      <c r="H10" s="6815"/>
      <c r="I10" s="6815"/>
      <c r="J10" s="6815"/>
      <c r="K10" s="6815"/>
      <c r="L10" s="6815"/>
      <c r="M10" s="6815"/>
      <c r="N10" s="6815"/>
      <c r="O10" s="6815"/>
      <c r="P10" s="6815"/>
      <c r="Q10" s="6815"/>
      <c r="R10" s="6815"/>
      <c r="S10" s="6815"/>
      <c r="T10" s="6815"/>
      <c r="U10" s="6816"/>
      <c r="V10" s="6812" t="s">
        <v>597</v>
      </c>
      <c r="W10" s="6813" t="s">
        <v>1200</v>
      </c>
      <c r="X10" s="6811"/>
      <c r="Y10" s="6809" t="s">
        <v>1201</v>
      </c>
      <c r="Z10" s="6810"/>
      <c r="AA10" s="6810"/>
      <c r="AB10" s="6811"/>
      <c r="AC10" s="6810" t="s">
        <v>1202</v>
      </c>
      <c r="AD10" s="6810"/>
      <c r="AE10" s="6810"/>
      <c r="AF10" s="6811"/>
      <c r="AG10" s="6824"/>
      <c r="AH10" s="6825"/>
    </row>
    <row r="11" spans="1:99" ht="32.25" customHeight="1" x14ac:dyDescent="0.25">
      <c r="B11" s="6734"/>
      <c r="C11" s="6808"/>
      <c r="D11" s="1803" t="s">
        <v>343</v>
      </c>
      <c r="E11" s="1805" t="s">
        <v>326</v>
      </c>
      <c r="F11" s="1630" t="s">
        <v>94</v>
      </c>
      <c r="G11" s="1630" t="s">
        <v>1203</v>
      </c>
      <c r="H11" s="1630" t="s">
        <v>1204</v>
      </c>
      <c r="I11" s="1630" t="s">
        <v>45</v>
      </c>
      <c r="J11" s="3053" t="s">
        <v>46</v>
      </c>
      <c r="K11" s="3053" t="s">
        <v>47</v>
      </c>
      <c r="L11" s="3053" t="s">
        <v>48</v>
      </c>
      <c r="M11" s="3053" t="s">
        <v>49</v>
      </c>
      <c r="N11" s="3053" t="s">
        <v>50</v>
      </c>
      <c r="O11" s="3053" t="s">
        <v>51</v>
      </c>
      <c r="P11" s="3053" t="s">
        <v>52</v>
      </c>
      <c r="Q11" s="3053" t="s">
        <v>53</v>
      </c>
      <c r="R11" s="3053" t="s">
        <v>54</v>
      </c>
      <c r="S11" s="3053" t="s">
        <v>55</v>
      </c>
      <c r="T11" s="3053" t="s">
        <v>56</v>
      </c>
      <c r="U11" s="3054" t="s">
        <v>57</v>
      </c>
      <c r="V11" s="6507"/>
      <c r="W11" s="1790" t="s">
        <v>58</v>
      </c>
      <c r="X11" s="3054" t="s">
        <v>59</v>
      </c>
      <c r="Y11" s="3051" t="s">
        <v>919</v>
      </c>
      <c r="Z11" s="3055" t="s">
        <v>1007</v>
      </c>
      <c r="AA11" s="1630" t="s">
        <v>1205</v>
      </c>
      <c r="AB11" s="3054" t="s">
        <v>1206</v>
      </c>
      <c r="AC11" s="3056" t="s">
        <v>919</v>
      </c>
      <c r="AD11" s="3055" t="s">
        <v>1007</v>
      </c>
      <c r="AE11" s="1630" t="s">
        <v>1205</v>
      </c>
      <c r="AF11" s="3054" t="s">
        <v>554</v>
      </c>
      <c r="AG11" s="1805" t="s">
        <v>1207</v>
      </c>
      <c r="AH11" s="468" t="s">
        <v>1202</v>
      </c>
    </row>
    <row r="12" spans="1:99" x14ac:dyDescent="0.25">
      <c r="A12" s="5787" t="s">
        <v>5337</v>
      </c>
      <c r="B12" s="250" t="s">
        <v>1208</v>
      </c>
      <c r="C12" s="295" t="s">
        <v>4567</v>
      </c>
      <c r="D12" s="1726" t="s">
        <v>4568</v>
      </c>
      <c r="E12" s="750" t="s">
        <v>4569</v>
      </c>
      <c r="F12" s="750" t="s">
        <v>4570</v>
      </c>
      <c r="G12" s="750" t="s">
        <v>4571</v>
      </c>
      <c r="H12" s="750" t="s">
        <v>4572</v>
      </c>
      <c r="I12" s="3057" t="s">
        <v>4573</v>
      </c>
      <c r="J12" s="3057" t="s">
        <v>4574</v>
      </c>
      <c r="K12" s="3057" t="s">
        <v>4575</v>
      </c>
      <c r="L12" s="3057" t="s">
        <v>4576</v>
      </c>
      <c r="M12" s="3057" t="s">
        <v>4577</v>
      </c>
      <c r="N12" s="3057" t="s">
        <v>4578</v>
      </c>
      <c r="O12" s="3057" t="s">
        <v>4579</v>
      </c>
      <c r="P12" s="3057" t="s">
        <v>4580</v>
      </c>
      <c r="Q12" s="3057" t="s">
        <v>4581</v>
      </c>
      <c r="R12" s="3057" t="s">
        <v>4582</v>
      </c>
      <c r="S12" s="3057" t="s">
        <v>4583</v>
      </c>
      <c r="T12" s="3057" t="s">
        <v>4584</v>
      </c>
      <c r="U12" s="3058" t="s">
        <v>4585</v>
      </c>
      <c r="V12" s="3004" t="s">
        <v>4586</v>
      </c>
      <c r="W12" s="290" t="s">
        <v>4587</v>
      </c>
      <c r="X12" s="430" t="s">
        <v>4588</v>
      </c>
      <c r="Y12" s="3059" t="s">
        <v>4589</v>
      </c>
      <c r="Z12" s="290" t="s">
        <v>4590</v>
      </c>
      <c r="AA12" s="531" t="s">
        <v>4591</v>
      </c>
      <c r="AB12" s="430" t="s">
        <v>4592</v>
      </c>
      <c r="AC12" s="3060" t="s">
        <v>4593</v>
      </c>
      <c r="AD12" s="290" t="s">
        <v>4594</v>
      </c>
      <c r="AE12" s="531" t="s">
        <v>4595</v>
      </c>
      <c r="AF12" s="430" t="s">
        <v>4596</v>
      </c>
      <c r="AG12" s="1311" t="s">
        <v>4597</v>
      </c>
      <c r="AH12" s="349" t="s">
        <v>4598</v>
      </c>
      <c r="AI12" t="e">
        <f>CC12&amp;CD12&amp;CE12</f>
        <v>#VALUE!</v>
      </c>
      <c r="CC12" s="135" t="e">
        <f>IF(W12+X12&lt;&gt;C12," * La suma por Sexo (Hombres + Mujeres) NO DEBEN ser diferente al Total","")</f>
        <v>#VALUE!</v>
      </c>
      <c r="CD12" s="135" t="str">
        <f>IF(AND(C12&gt;0,V12="")," * No olvide digitar la variable Beneficiarios. Digite CERO si no tiene",IF(V12&gt;C12," * La variable Beneficiarios No puede ser mayor al Total.",""))</f>
        <v xml:space="preserve"> * La variable Beneficiarios No puede ser mayor al Total.</v>
      </c>
      <c r="CE12" s="135" t="e">
        <f t="shared" ref="CE12:CE42" si="0">IF((Y12+AC12)&gt;C12," * La suma del Total de Consultas Nuevas según Origen NO DEBE ser MAYOR que el total de Consultas y Controles médicos.","")</f>
        <v>#VALUE!</v>
      </c>
      <c r="CN12" s="84" t="e">
        <f t="shared" ref="CN12:CN42" si="1">IF(W12+X12&lt;&gt;C12,1,0)</f>
        <v>#VALUE!</v>
      </c>
      <c r="CO12" s="84">
        <f t="shared" ref="CO12:CO42" si="2">IF(AND(C12&gt;0,V12=""),1,IF(V12&gt;C12,1,0))</f>
        <v>1</v>
      </c>
      <c r="CP12" s="84" t="e">
        <f t="shared" ref="CP12:CP42" si="3">IF((Y12+AC12)&gt;C12,1,0)</f>
        <v>#VALUE!</v>
      </c>
    </row>
    <row r="13" spans="1:99" x14ac:dyDescent="0.25">
      <c r="A13" s="5787" t="s">
        <v>5338</v>
      </c>
      <c r="B13" s="343" t="s">
        <v>1209</v>
      </c>
      <c r="C13" s="295" t="s">
        <v>4567</v>
      </c>
      <c r="D13" s="1089" t="s">
        <v>4568</v>
      </c>
      <c r="E13" s="1253" t="s">
        <v>4569</v>
      </c>
      <c r="F13" s="1253" t="s">
        <v>4570</v>
      </c>
      <c r="G13" s="1253" t="s">
        <v>4571</v>
      </c>
      <c r="H13" s="1253" t="s">
        <v>4572</v>
      </c>
      <c r="I13" s="1253" t="s">
        <v>4573</v>
      </c>
      <c r="J13" s="1253" t="s">
        <v>4574</v>
      </c>
      <c r="K13" s="1253" t="s">
        <v>4575</v>
      </c>
      <c r="L13" s="1253" t="s">
        <v>4576</v>
      </c>
      <c r="M13" s="1253" t="s">
        <v>4577</v>
      </c>
      <c r="N13" s="1253" t="s">
        <v>4578</v>
      </c>
      <c r="O13" s="1253" t="s">
        <v>4579</v>
      </c>
      <c r="P13" s="1253" t="s">
        <v>4580</v>
      </c>
      <c r="Q13" s="1253" t="s">
        <v>4581</v>
      </c>
      <c r="R13" s="1253" t="s">
        <v>4582</v>
      </c>
      <c r="S13" s="1253" t="s">
        <v>4583</v>
      </c>
      <c r="T13" s="1253" t="s">
        <v>4584</v>
      </c>
      <c r="U13" s="1095" t="s">
        <v>4585</v>
      </c>
      <c r="V13" s="1090" t="s">
        <v>4586</v>
      </c>
      <c r="W13" s="1089" t="s">
        <v>4587</v>
      </c>
      <c r="X13" s="1095" t="s">
        <v>4588</v>
      </c>
      <c r="Y13" s="3061" t="s">
        <v>4589</v>
      </c>
      <c r="Z13" s="1089" t="s">
        <v>4590</v>
      </c>
      <c r="AA13" s="1253" t="s">
        <v>4591</v>
      </c>
      <c r="AB13" s="1095" t="s">
        <v>4592</v>
      </c>
      <c r="AC13" s="3062" t="s">
        <v>4593</v>
      </c>
      <c r="AD13" s="1089" t="s">
        <v>4594</v>
      </c>
      <c r="AE13" s="3063" t="s">
        <v>4595</v>
      </c>
      <c r="AF13" s="1095" t="s">
        <v>4596</v>
      </c>
      <c r="AG13" s="1311" t="s">
        <v>4597</v>
      </c>
      <c r="AH13" s="349" t="s">
        <v>4598</v>
      </c>
      <c r="AI13" t="e">
        <f t="shared" ref="AI13:AI42" si="4">CC13&amp;CD13&amp;CE13</f>
        <v>#VALUE!</v>
      </c>
      <c r="CC13" s="135" t="e">
        <f t="shared" ref="CC13:CC42" si="5">IF(W13+X13&lt;&gt;C13," * La suma por Sexo (Hombres + Mujeres) NO DEBEN ser diferente al Total","")</f>
        <v>#VALUE!</v>
      </c>
      <c r="CD13" s="135" t="str">
        <f t="shared" ref="CD13:CD42" si="6">IF(AND(C13&gt;0,V13="")," * No olvide digitar la variable Beneficiarios. Digite CERO si no tiene",IF(V13&gt;C13," * La variable Beneficiarios No puede ser mayor al Total.",""))</f>
        <v xml:space="preserve"> * La variable Beneficiarios No puede ser mayor al Total.</v>
      </c>
      <c r="CE13" s="135" t="e">
        <f t="shared" si="0"/>
        <v>#VALUE!</v>
      </c>
      <c r="CN13" s="84" t="e">
        <f t="shared" si="1"/>
        <v>#VALUE!</v>
      </c>
      <c r="CO13" s="84">
        <f t="shared" si="2"/>
        <v>1</v>
      </c>
      <c r="CP13" s="84" t="e">
        <f t="shared" si="3"/>
        <v>#VALUE!</v>
      </c>
    </row>
    <row r="14" spans="1:99" x14ac:dyDescent="0.25">
      <c r="A14" s="5787" t="s">
        <v>5339</v>
      </c>
      <c r="B14" s="343" t="s">
        <v>1210</v>
      </c>
      <c r="C14" s="295" t="s">
        <v>4567</v>
      </c>
      <c r="D14" s="1089" t="s">
        <v>4568</v>
      </c>
      <c r="E14" s="1253" t="s">
        <v>4569</v>
      </c>
      <c r="F14" s="3064" t="s">
        <v>4570</v>
      </c>
      <c r="G14" s="3064" t="s">
        <v>4571</v>
      </c>
      <c r="H14" s="3064" t="s">
        <v>4572</v>
      </c>
      <c r="I14" s="3064" t="s">
        <v>4573</v>
      </c>
      <c r="J14" s="3064" t="s">
        <v>4574</v>
      </c>
      <c r="K14" s="3064" t="s">
        <v>4575</v>
      </c>
      <c r="L14" s="3064" t="s">
        <v>4576</v>
      </c>
      <c r="M14" s="3064" t="s">
        <v>4577</v>
      </c>
      <c r="N14" s="3064" t="s">
        <v>4578</v>
      </c>
      <c r="O14" s="3064" t="s">
        <v>4579</v>
      </c>
      <c r="P14" s="3064" t="s">
        <v>4580</v>
      </c>
      <c r="Q14" s="3064" t="s">
        <v>4581</v>
      </c>
      <c r="R14" s="3064" t="s">
        <v>4582</v>
      </c>
      <c r="S14" s="3064" t="s">
        <v>4583</v>
      </c>
      <c r="T14" s="3064" t="s">
        <v>4584</v>
      </c>
      <c r="U14" s="3065" t="s">
        <v>4585</v>
      </c>
      <c r="V14" s="1090" t="s">
        <v>4586</v>
      </c>
      <c r="W14" s="1089" t="s">
        <v>4587</v>
      </c>
      <c r="X14" s="1095" t="s">
        <v>4588</v>
      </c>
      <c r="Y14" s="3061" t="s">
        <v>4589</v>
      </c>
      <c r="Z14" s="1089" t="s">
        <v>4590</v>
      </c>
      <c r="AA14" s="1253" t="s">
        <v>4591</v>
      </c>
      <c r="AB14" s="1095" t="s">
        <v>4592</v>
      </c>
      <c r="AC14" s="3062" t="s">
        <v>4593</v>
      </c>
      <c r="AD14" s="1089" t="s">
        <v>4594</v>
      </c>
      <c r="AE14" s="3063" t="s">
        <v>4595</v>
      </c>
      <c r="AF14" s="1095" t="s">
        <v>4596</v>
      </c>
      <c r="AG14" s="1311" t="s">
        <v>4597</v>
      </c>
      <c r="AH14" s="349" t="s">
        <v>4598</v>
      </c>
      <c r="AI14" t="e">
        <f t="shared" si="4"/>
        <v>#VALUE!</v>
      </c>
      <c r="CC14" s="135" t="e">
        <f t="shared" si="5"/>
        <v>#VALUE!</v>
      </c>
      <c r="CD14" s="135" t="str">
        <f t="shared" si="6"/>
        <v xml:space="preserve"> * La variable Beneficiarios No puede ser mayor al Total.</v>
      </c>
      <c r="CE14" s="135" t="e">
        <f t="shared" si="0"/>
        <v>#VALUE!</v>
      </c>
      <c r="CN14" s="84" t="e">
        <f t="shared" si="1"/>
        <v>#VALUE!</v>
      </c>
      <c r="CO14" s="84">
        <f t="shared" si="2"/>
        <v>1</v>
      </c>
      <c r="CP14" s="84" t="e">
        <f t="shared" si="3"/>
        <v>#VALUE!</v>
      </c>
    </row>
    <row r="15" spans="1:99" x14ac:dyDescent="0.25">
      <c r="A15" s="5787" t="s">
        <v>5340</v>
      </c>
      <c r="B15" s="343" t="s">
        <v>1211</v>
      </c>
      <c r="C15" s="295" t="s">
        <v>4567</v>
      </c>
      <c r="D15" s="1089" t="s">
        <v>4568</v>
      </c>
      <c r="E15" s="1253" t="s">
        <v>4569</v>
      </c>
      <c r="F15" s="1253" t="s">
        <v>4570</v>
      </c>
      <c r="G15" s="1253" t="s">
        <v>4571</v>
      </c>
      <c r="H15" s="1253" t="s">
        <v>4572</v>
      </c>
      <c r="I15" s="1253" t="s">
        <v>4573</v>
      </c>
      <c r="J15" s="1253" t="s">
        <v>4574</v>
      </c>
      <c r="K15" s="1253" t="s">
        <v>4575</v>
      </c>
      <c r="L15" s="1253" t="s">
        <v>4576</v>
      </c>
      <c r="M15" s="1253" t="s">
        <v>4577</v>
      </c>
      <c r="N15" s="1253" t="s">
        <v>4578</v>
      </c>
      <c r="O15" s="1253" t="s">
        <v>4579</v>
      </c>
      <c r="P15" s="1253" t="s">
        <v>4580</v>
      </c>
      <c r="Q15" s="1253" t="s">
        <v>4581</v>
      </c>
      <c r="R15" s="1253" t="s">
        <v>4582</v>
      </c>
      <c r="S15" s="1253" t="s">
        <v>4583</v>
      </c>
      <c r="T15" s="1253" t="s">
        <v>4584</v>
      </c>
      <c r="U15" s="1095" t="s">
        <v>4585</v>
      </c>
      <c r="V15" s="1090" t="s">
        <v>4586</v>
      </c>
      <c r="W15" s="1089" t="s">
        <v>4587</v>
      </c>
      <c r="X15" s="1095" t="s">
        <v>4588</v>
      </c>
      <c r="Y15" s="3061" t="s">
        <v>4589</v>
      </c>
      <c r="Z15" s="1089" t="s">
        <v>4590</v>
      </c>
      <c r="AA15" s="1253" t="s">
        <v>4591</v>
      </c>
      <c r="AB15" s="1095" t="s">
        <v>4592</v>
      </c>
      <c r="AC15" s="3062" t="s">
        <v>4593</v>
      </c>
      <c r="AD15" s="1089" t="s">
        <v>4594</v>
      </c>
      <c r="AE15" s="3063" t="s">
        <v>4595</v>
      </c>
      <c r="AF15" s="1095" t="s">
        <v>4596</v>
      </c>
      <c r="AG15" s="1311" t="s">
        <v>4597</v>
      </c>
      <c r="AH15" s="349" t="s">
        <v>4598</v>
      </c>
      <c r="AI15" t="e">
        <f t="shared" si="4"/>
        <v>#VALUE!</v>
      </c>
      <c r="CC15" s="135" t="e">
        <f t="shared" si="5"/>
        <v>#VALUE!</v>
      </c>
      <c r="CD15" s="135" t="str">
        <f t="shared" si="6"/>
        <v xml:space="preserve"> * La variable Beneficiarios No puede ser mayor al Total.</v>
      </c>
      <c r="CE15" s="135" t="e">
        <f t="shared" si="0"/>
        <v>#VALUE!</v>
      </c>
      <c r="CN15" s="84" t="e">
        <f t="shared" si="1"/>
        <v>#VALUE!</v>
      </c>
      <c r="CO15" s="84">
        <f t="shared" si="2"/>
        <v>1</v>
      </c>
      <c r="CP15" s="84" t="e">
        <f t="shared" si="3"/>
        <v>#VALUE!</v>
      </c>
    </row>
    <row r="16" spans="1:99" x14ac:dyDescent="0.25">
      <c r="A16" s="5787" t="s">
        <v>5341</v>
      </c>
      <c r="B16" s="343" t="s">
        <v>1212</v>
      </c>
      <c r="C16" s="295" t="s">
        <v>4567</v>
      </c>
      <c r="D16" s="1089" t="s">
        <v>4568</v>
      </c>
      <c r="E16" s="1253" t="s">
        <v>4569</v>
      </c>
      <c r="F16" s="1253" t="s">
        <v>4570</v>
      </c>
      <c r="G16" s="1253" t="s">
        <v>4571</v>
      </c>
      <c r="H16" s="1253" t="s">
        <v>4572</v>
      </c>
      <c r="I16" s="1253" t="s">
        <v>4573</v>
      </c>
      <c r="J16" s="1253" t="s">
        <v>4574</v>
      </c>
      <c r="K16" s="1253" t="s">
        <v>4575</v>
      </c>
      <c r="L16" s="1253" t="s">
        <v>4576</v>
      </c>
      <c r="M16" s="1253" t="s">
        <v>4577</v>
      </c>
      <c r="N16" s="1253" t="s">
        <v>4578</v>
      </c>
      <c r="O16" s="1253" t="s">
        <v>4579</v>
      </c>
      <c r="P16" s="1253" t="s">
        <v>4580</v>
      </c>
      <c r="Q16" s="1253" t="s">
        <v>4581</v>
      </c>
      <c r="R16" s="1253" t="s">
        <v>4582</v>
      </c>
      <c r="S16" s="1253" t="s">
        <v>4583</v>
      </c>
      <c r="T16" s="1253" t="s">
        <v>4584</v>
      </c>
      <c r="U16" s="1095" t="s">
        <v>4585</v>
      </c>
      <c r="V16" s="1090" t="s">
        <v>4586</v>
      </c>
      <c r="W16" s="1089" t="s">
        <v>4587</v>
      </c>
      <c r="X16" s="1095" t="s">
        <v>4588</v>
      </c>
      <c r="Y16" s="3061" t="s">
        <v>4589</v>
      </c>
      <c r="Z16" s="1089" t="s">
        <v>4590</v>
      </c>
      <c r="AA16" s="1253" t="s">
        <v>4591</v>
      </c>
      <c r="AB16" s="1095" t="s">
        <v>4592</v>
      </c>
      <c r="AC16" s="3066" t="s">
        <v>4593</v>
      </c>
      <c r="AD16" s="1089" t="s">
        <v>4594</v>
      </c>
      <c r="AE16" s="3063" t="s">
        <v>4595</v>
      </c>
      <c r="AF16" s="1095" t="s">
        <v>4596</v>
      </c>
      <c r="AG16" s="1311" t="s">
        <v>4597</v>
      </c>
      <c r="AH16" s="349" t="s">
        <v>4598</v>
      </c>
      <c r="AI16" t="e">
        <f t="shared" si="4"/>
        <v>#VALUE!</v>
      </c>
      <c r="CC16" s="135" t="e">
        <f t="shared" si="5"/>
        <v>#VALUE!</v>
      </c>
      <c r="CD16" s="135" t="str">
        <f t="shared" si="6"/>
        <v xml:space="preserve"> * La variable Beneficiarios No puede ser mayor al Total.</v>
      </c>
      <c r="CE16" s="135" t="e">
        <f t="shared" si="0"/>
        <v>#VALUE!</v>
      </c>
      <c r="CN16" s="84" t="e">
        <f t="shared" si="1"/>
        <v>#VALUE!</v>
      </c>
      <c r="CO16" s="84">
        <f t="shared" si="2"/>
        <v>1</v>
      </c>
      <c r="CP16" s="84" t="e">
        <f t="shared" si="3"/>
        <v>#VALUE!</v>
      </c>
    </row>
    <row r="17" spans="1:94" x14ac:dyDescent="0.25">
      <c r="A17" s="5788" t="s">
        <v>5342</v>
      </c>
      <c r="B17" s="343" t="s">
        <v>1434</v>
      </c>
      <c r="C17" s="295" t="s">
        <v>4567</v>
      </c>
      <c r="D17" s="1089" t="s">
        <v>4568</v>
      </c>
      <c r="E17" s="1253" t="s">
        <v>4569</v>
      </c>
      <c r="F17" s="1253" t="s">
        <v>4570</v>
      </c>
      <c r="G17" s="1253" t="s">
        <v>4571</v>
      </c>
      <c r="H17" s="1253" t="s">
        <v>4572</v>
      </c>
      <c r="I17" s="1253" t="s">
        <v>4573</v>
      </c>
      <c r="J17" s="1253" t="s">
        <v>4574</v>
      </c>
      <c r="K17" s="1253" t="s">
        <v>4575</v>
      </c>
      <c r="L17" s="1253" t="s">
        <v>4576</v>
      </c>
      <c r="M17" s="1253" t="s">
        <v>4577</v>
      </c>
      <c r="N17" s="1253" t="s">
        <v>4578</v>
      </c>
      <c r="O17" s="1253" t="s">
        <v>4579</v>
      </c>
      <c r="P17" s="1253" t="s">
        <v>4580</v>
      </c>
      <c r="Q17" s="1253" t="s">
        <v>4581</v>
      </c>
      <c r="R17" s="1253" t="s">
        <v>4582</v>
      </c>
      <c r="S17" s="1253" t="s">
        <v>4583</v>
      </c>
      <c r="T17" s="1253" t="s">
        <v>4584</v>
      </c>
      <c r="U17" s="1095" t="s">
        <v>4585</v>
      </c>
      <c r="V17" s="1090" t="s">
        <v>4586</v>
      </c>
      <c r="W17" s="1089" t="s">
        <v>4587</v>
      </c>
      <c r="X17" s="1095" t="s">
        <v>4588</v>
      </c>
      <c r="Y17" s="3061" t="s">
        <v>4589</v>
      </c>
      <c r="Z17" s="1089" t="s">
        <v>4590</v>
      </c>
      <c r="AA17" s="1253" t="s">
        <v>4591</v>
      </c>
      <c r="AB17" s="1095" t="s">
        <v>4592</v>
      </c>
      <c r="AC17" s="3066" t="s">
        <v>4593</v>
      </c>
      <c r="AD17" s="1089" t="s">
        <v>4594</v>
      </c>
      <c r="AE17" s="3063" t="s">
        <v>4595</v>
      </c>
      <c r="AF17" s="1095" t="s">
        <v>4596</v>
      </c>
      <c r="AG17" s="1311" t="s">
        <v>4597</v>
      </c>
      <c r="AH17" s="349" t="s">
        <v>4598</v>
      </c>
      <c r="AI17" t="e">
        <f t="shared" si="4"/>
        <v>#VALUE!</v>
      </c>
      <c r="CC17" s="135" t="e">
        <f t="shared" si="5"/>
        <v>#VALUE!</v>
      </c>
      <c r="CD17" s="135" t="str">
        <f t="shared" si="6"/>
        <v xml:space="preserve"> * La variable Beneficiarios No puede ser mayor al Total.</v>
      </c>
      <c r="CE17" s="135" t="e">
        <f t="shared" si="0"/>
        <v>#VALUE!</v>
      </c>
      <c r="CN17" s="84" t="e">
        <f t="shared" si="1"/>
        <v>#VALUE!</v>
      </c>
      <c r="CO17" s="84">
        <f t="shared" si="2"/>
        <v>1</v>
      </c>
      <c r="CP17" s="84" t="e">
        <f t="shared" si="3"/>
        <v>#VALUE!</v>
      </c>
    </row>
    <row r="18" spans="1:94" x14ac:dyDescent="0.25">
      <c r="A18" s="5788" t="s">
        <v>5343</v>
      </c>
      <c r="B18" s="343" t="s">
        <v>4308</v>
      </c>
      <c r="C18" s="295" t="s">
        <v>4567</v>
      </c>
      <c r="D18" s="1089" t="s">
        <v>4568</v>
      </c>
      <c r="E18" s="1253" t="s">
        <v>4569</v>
      </c>
      <c r="F18" s="1253" t="s">
        <v>4570</v>
      </c>
      <c r="G18" s="1253" t="s">
        <v>4571</v>
      </c>
      <c r="H18" s="1253" t="s">
        <v>4572</v>
      </c>
      <c r="I18" s="1253" t="s">
        <v>4573</v>
      </c>
      <c r="J18" s="1253" t="s">
        <v>4574</v>
      </c>
      <c r="K18" s="1253" t="s">
        <v>4575</v>
      </c>
      <c r="L18" s="1253" t="s">
        <v>4576</v>
      </c>
      <c r="M18" s="1253" t="s">
        <v>4577</v>
      </c>
      <c r="N18" s="1253" t="s">
        <v>4578</v>
      </c>
      <c r="O18" s="1253" t="s">
        <v>4579</v>
      </c>
      <c r="P18" s="1253" t="s">
        <v>4580</v>
      </c>
      <c r="Q18" s="1253" t="s">
        <v>4581</v>
      </c>
      <c r="R18" s="1253" t="s">
        <v>4582</v>
      </c>
      <c r="S18" s="1253" t="s">
        <v>4583</v>
      </c>
      <c r="T18" s="1253" t="s">
        <v>4584</v>
      </c>
      <c r="U18" s="1095" t="s">
        <v>4585</v>
      </c>
      <c r="V18" s="1090" t="s">
        <v>4586</v>
      </c>
      <c r="W18" s="1089" t="s">
        <v>4587</v>
      </c>
      <c r="X18" s="1095" t="s">
        <v>4588</v>
      </c>
      <c r="Y18" s="3061" t="s">
        <v>4589</v>
      </c>
      <c r="Z18" s="1089" t="s">
        <v>4590</v>
      </c>
      <c r="AA18" s="1253" t="s">
        <v>4591</v>
      </c>
      <c r="AB18" s="1095" t="s">
        <v>4592</v>
      </c>
      <c r="AC18" s="3066" t="s">
        <v>4593</v>
      </c>
      <c r="AD18" s="1089" t="s">
        <v>4594</v>
      </c>
      <c r="AE18" s="3063" t="s">
        <v>4595</v>
      </c>
      <c r="AF18" s="1095" t="s">
        <v>4596</v>
      </c>
      <c r="AG18" s="1311" t="s">
        <v>4597</v>
      </c>
      <c r="AH18" s="349" t="s">
        <v>4598</v>
      </c>
      <c r="AI18" t="e">
        <f t="shared" si="4"/>
        <v>#VALUE!</v>
      </c>
      <c r="CC18" s="135" t="e">
        <f t="shared" si="5"/>
        <v>#VALUE!</v>
      </c>
      <c r="CD18" s="135" t="str">
        <f t="shared" si="6"/>
        <v xml:space="preserve"> * La variable Beneficiarios No puede ser mayor al Total.</v>
      </c>
      <c r="CE18" s="135" t="e">
        <f t="shared" si="0"/>
        <v>#VALUE!</v>
      </c>
      <c r="CN18" s="84" t="e">
        <f t="shared" si="1"/>
        <v>#VALUE!</v>
      </c>
      <c r="CO18" s="84">
        <f t="shared" si="2"/>
        <v>1</v>
      </c>
      <c r="CP18" s="84" t="e">
        <f t="shared" si="3"/>
        <v>#VALUE!</v>
      </c>
    </row>
    <row r="19" spans="1:94" x14ac:dyDescent="0.25">
      <c r="A19" s="5787" t="s">
        <v>5344</v>
      </c>
      <c r="B19" s="343" t="s">
        <v>1213</v>
      </c>
      <c r="C19" s="295" t="s">
        <v>4567</v>
      </c>
      <c r="D19" s="1089" t="s">
        <v>4568</v>
      </c>
      <c r="E19" s="1253" t="s">
        <v>4569</v>
      </c>
      <c r="F19" s="1253" t="s">
        <v>4570</v>
      </c>
      <c r="G19" s="1253" t="s">
        <v>4571</v>
      </c>
      <c r="H19" s="1253" t="s">
        <v>4572</v>
      </c>
      <c r="I19" s="1253" t="s">
        <v>4573</v>
      </c>
      <c r="J19" s="1253" t="s">
        <v>4574</v>
      </c>
      <c r="K19" s="1253" t="s">
        <v>4575</v>
      </c>
      <c r="L19" s="1253" t="s">
        <v>4576</v>
      </c>
      <c r="M19" s="1253" t="s">
        <v>4577</v>
      </c>
      <c r="N19" s="1253" t="s">
        <v>4578</v>
      </c>
      <c r="O19" s="1253" t="s">
        <v>4579</v>
      </c>
      <c r="P19" s="1253" t="s">
        <v>4580</v>
      </c>
      <c r="Q19" s="1253" t="s">
        <v>4581</v>
      </c>
      <c r="R19" s="1253" t="s">
        <v>4582</v>
      </c>
      <c r="S19" s="1253" t="s">
        <v>4583</v>
      </c>
      <c r="T19" s="1253" t="s">
        <v>4584</v>
      </c>
      <c r="U19" s="1095" t="s">
        <v>4585</v>
      </c>
      <c r="V19" s="1090" t="s">
        <v>4586</v>
      </c>
      <c r="W19" s="1089" t="s">
        <v>4587</v>
      </c>
      <c r="X19" s="1095" t="s">
        <v>4588</v>
      </c>
      <c r="Y19" s="3061" t="s">
        <v>4589</v>
      </c>
      <c r="Z19" s="1089" t="s">
        <v>4590</v>
      </c>
      <c r="AA19" s="1253" t="s">
        <v>4591</v>
      </c>
      <c r="AB19" s="1095" t="s">
        <v>4592</v>
      </c>
      <c r="AC19" s="3066" t="s">
        <v>4593</v>
      </c>
      <c r="AD19" s="1089" t="s">
        <v>4594</v>
      </c>
      <c r="AE19" s="3063" t="s">
        <v>4595</v>
      </c>
      <c r="AF19" s="1095" t="s">
        <v>4596</v>
      </c>
      <c r="AG19" s="1311" t="s">
        <v>4597</v>
      </c>
      <c r="AH19" s="349" t="s">
        <v>4598</v>
      </c>
      <c r="AI19" t="e">
        <f t="shared" si="4"/>
        <v>#VALUE!</v>
      </c>
      <c r="CC19" s="135" t="e">
        <f t="shared" si="5"/>
        <v>#VALUE!</v>
      </c>
      <c r="CD19" s="135" t="str">
        <f t="shared" si="6"/>
        <v xml:space="preserve"> * La variable Beneficiarios No puede ser mayor al Total.</v>
      </c>
      <c r="CE19" s="135" t="e">
        <f t="shared" si="0"/>
        <v>#VALUE!</v>
      </c>
      <c r="CN19" s="84" t="e">
        <f t="shared" si="1"/>
        <v>#VALUE!</v>
      </c>
      <c r="CO19" s="84">
        <f t="shared" si="2"/>
        <v>1</v>
      </c>
      <c r="CP19" s="84" t="e">
        <f t="shared" si="3"/>
        <v>#VALUE!</v>
      </c>
    </row>
    <row r="20" spans="1:94" x14ac:dyDescent="0.25">
      <c r="A20" s="5787" t="s">
        <v>5345</v>
      </c>
      <c r="B20" s="343" t="s">
        <v>1214</v>
      </c>
      <c r="C20" s="295" t="s">
        <v>4567</v>
      </c>
      <c r="D20" s="1089" t="s">
        <v>4568</v>
      </c>
      <c r="E20" s="1253" t="s">
        <v>4569</v>
      </c>
      <c r="F20" s="1253" t="s">
        <v>4570</v>
      </c>
      <c r="G20" s="1253" t="s">
        <v>4571</v>
      </c>
      <c r="H20" s="1253" t="s">
        <v>4572</v>
      </c>
      <c r="I20" s="1253" t="s">
        <v>4573</v>
      </c>
      <c r="J20" s="1253" t="s">
        <v>4574</v>
      </c>
      <c r="K20" s="1253" t="s">
        <v>4575</v>
      </c>
      <c r="L20" s="1253" t="s">
        <v>4576</v>
      </c>
      <c r="M20" s="1253" t="s">
        <v>4577</v>
      </c>
      <c r="N20" s="1253" t="s">
        <v>4578</v>
      </c>
      <c r="O20" s="1253" t="s">
        <v>4579</v>
      </c>
      <c r="P20" s="1253" t="s">
        <v>4580</v>
      </c>
      <c r="Q20" s="1253" t="s">
        <v>4581</v>
      </c>
      <c r="R20" s="1253" t="s">
        <v>4582</v>
      </c>
      <c r="S20" s="1253" t="s">
        <v>4583</v>
      </c>
      <c r="T20" s="1253" t="s">
        <v>4584</v>
      </c>
      <c r="U20" s="1095" t="s">
        <v>4585</v>
      </c>
      <c r="V20" s="1090" t="s">
        <v>4586</v>
      </c>
      <c r="W20" s="1089" t="s">
        <v>4587</v>
      </c>
      <c r="X20" s="1095" t="s">
        <v>4588</v>
      </c>
      <c r="Y20" s="3061" t="s">
        <v>4589</v>
      </c>
      <c r="Z20" s="1089" t="s">
        <v>4590</v>
      </c>
      <c r="AA20" s="1253" t="s">
        <v>4591</v>
      </c>
      <c r="AB20" s="1095" t="s">
        <v>4592</v>
      </c>
      <c r="AC20" s="3066" t="s">
        <v>4593</v>
      </c>
      <c r="AD20" s="1089" t="s">
        <v>4594</v>
      </c>
      <c r="AE20" s="3063" t="s">
        <v>4595</v>
      </c>
      <c r="AF20" s="1095" t="s">
        <v>4596</v>
      </c>
      <c r="AG20" s="1311" t="s">
        <v>4597</v>
      </c>
      <c r="AH20" s="349" t="s">
        <v>4598</v>
      </c>
      <c r="AI20" t="e">
        <f t="shared" si="4"/>
        <v>#VALUE!</v>
      </c>
      <c r="CC20" s="135" t="e">
        <f t="shared" si="5"/>
        <v>#VALUE!</v>
      </c>
      <c r="CD20" s="135" t="str">
        <f t="shared" si="6"/>
        <v xml:space="preserve"> * La variable Beneficiarios No puede ser mayor al Total.</v>
      </c>
      <c r="CE20" s="135" t="e">
        <f t="shared" si="0"/>
        <v>#VALUE!</v>
      </c>
      <c r="CN20" s="84" t="e">
        <f t="shared" si="1"/>
        <v>#VALUE!</v>
      </c>
      <c r="CO20" s="84">
        <f t="shared" si="2"/>
        <v>1</v>
      </c>
      <c r="CP20" s="84" t="e">
        <f t="shared" si="3"/>
        <v>#VALUE!</v>
      </c>
    </row>
    <row r="21" spans="1:94" x14ac:dyDescent="0.25">
      <c r="A21" s="5787" t="s">
        <v>5346</v>
      </c>
      <c r="B21" s="343" t="s">
        <v>1215</v>
      </c>
      <c r="C21" s="295" t="s">
        <v>4567</v>
      </c>
      <c r="D21" s="1089" t="s">
        <v>4568</v>
      </c>
      <c r="E21" s="1253" t="s">
        <v>4569</v>
      </c>
      <c r="F21" s="1253" t="s">
        <v>4570</v>
      </c>
      <c r="G21" s="1253" t="s">
        <v>4571</v>
      </c>
      <c r="H21" s="1253" t="s">
        <v>4572</v>
      </c>
      <c r="I21" s="1253" t="s">
        <v>4573</v>
      </c>
      <c r="J21" s="1253" t="s">
        <v>4574</v>
      </c>
      <c r="K21" s="1253" t="s">
        <v>4575</v>
      </c>
      <c r="L21" s="1253" t="s">
        <v>4576</v>
      </c>
      <c r="M21" s="1253" t="s">
        <v>4577</v>
      </c>
      <c r="N21" s="1253" t="s">
        <v>4578</v>
      </c>
      <c r="O21" s="1253" t="s">
        <v>4579</v>
      </c>
      <c r="P21" s="1253" t="s">
        <v>4580</v>
      </c>
      <c r="Q21" s="1253" t="s">
        <v>4581</v>
      </c>
      <c r="R21" s="1253" t="s">
        <v>4582</v>
      </c>
      <c r="S21" s="1253" t="s">
        <v>4583</v>
      </c>
      <c r="T21" s="1253" t="s">
        <v>4584</v>
      </c>
      <c r="U21" s="1095" t="s">
        <v>4585</v>
      </c>
      <c r="V21" s="1090" t="s">
        <v>4586</v>
      </c>
      <c r="W21" s="1089" t="s">
        <v>4587</v>
      </c>
      <c r="X21" s="1095" t="s">
        <v>4588</v>
      </c>
      <c r="Y21" s="3061" t="s">
        <v>4589</v>
      </c>
      <c r="Z21" s="1089" t="s">
        <v>4590</v>
      </c>
      <c r="AA21" s="1253" t="s">
        <v>4591</v>
      </c>
      <c r="AB21" s="1095" t="s">
        <v>4592</v>
      </c>
      <c r="AC21" s="3066" t="s">
        <v>4593</v>
      </c>
      <c r="AD21" s="1089" t="s">
        <v>4594</v>
      </c>
      <c r="AE21" s="3063" t="s">
        <v>4595</v>
      </c>
      <c r="AF21" s="1095" t="s">
        <v>4596</v>
      </c>
      <c r="AG21" s="1311" t="s">
        <v>4597</v>
      </c>
      <c r="AH21" s="349" t="s">
        <v>4598</v>
      </c>
      <c r="AI21" t="e">
        <f t="shared" si="4"/>
        <v>#VALUE!</v>
      </c>
      <c r="CC21" s="135" t="e">
        <f t="shared" si="5"/>
        <v>#VALUE!</v>
      </c>
      <c r="CD21" s="135" t="str">
        <f t="shared" si="6"/>
        <v xml:space="preserve"> * La variable Beneficiarios No puede ser mayor al Total.</v>
      </c>
      <c r="CE21" s="135" t="e">
        <f t="shared" si="0"/>
        <v>#VALUE!</v>
      </c>
      <c r="CN21" s="84" t="e">
        <f t="shared" si="1"/>
        <v>#VALUE!</v>
      </c>
      <c r="CO21" s="84">
        <f t="shared" si="2"/>
        <v>1</v>
      </c>
      <c r="CP21" s="84" t="e">
        <f t="shared" si="3"/>
        <v>#VALUE!</v>
      </c>
    </row>
    <row r="22" spans="1:94" x14ac:dyDescent="0.25">
      <c r="A22" s="5787" t="s">
        <v>5347</v>
      </c>
      <c r="B22" s="343" t="s">
        <v>1216</v>
      </c>
      <c r="C22" s="295" t="s">
        <v>4567</v>
      </c>
      <c r="D22" s="1089" t="s">
        <v>4568</v>
      </c>
      <c r="E22" s="1253" t="s">
        <v>4569</v>
      </c>
      <c r="F22" s="1253" t="s">
        <v>4570</v>
      </c>
      <c r="G22" s="1253" t="s">
        <v>4571</v>
      </c>
      <c r="H22" s="1253" t="s">
        <v>4572</v>
      </c>
      <c r="I22" s="1253" t="s">
        <v>4573</v>
      </c>
      <c r="J22" s="1253" t="s">
        <v>4574</v>
      </c>
      <c r="K22" s="1253" t="s">
        <v>4575</v>
      </c>
      <c r="L22" s="1253" t="s">
        <v>4576</v>
      </c>
      <c r="M22" s="1253" t="s">
        <v>4577</v>
      </c>
      <c r="N22" s="1253" t="s">
        <v>4578</v>
      </c>
      <c r="O22" s="1253" t="s">
        <v>4579</v>
      </c>
      <c r="P22" s="1253" t="s">
        <v>4580</v>
      </c>
      <c r="Q22" s="1253" t="s">
        <v>4581</v>
      </c>
      <c r="R22" s="1253" t="s">
        <v>4582</v>
      </c>
      <c r="S22" s="1253" t="s">
        <v>4583</v>
      </c>
      <c r="T22" s="1253" t="s">
        <v>4584</v>
      </c>
      <c r="U22" s="1095" t="s">
        <v>4585</v>
      </c>
      <c r="V22" s="1090" t="s">
        <v>4586</v>
      </c>
      <c r="W22" s="1089" t="s">
        <v>4587</v>
      </c>
      <c r="X22" s="1095" t="s">
        <v>4588</v>
      </c>
      <c r="Y22" s="3061" t="s">
        <v>4589</v>
      </c>
      <c r="Z22" s="1089" t="s">
        <v>4590</v>
      </c>
      <c r="AA22" s="1253" t="s">
        <v>4591</v>
      </c>
      <c r="AB22" s="1095" t="s">
        <v>4592</v>
      </c>
      <c r="AC22" s="3066" t="s">
        <v>4593</v>
      </c>
      <c r="AD22" s="1089" t="s">
        <v>4594</v>
      </c>
      <c r="AE22" s="3063" t="s">
        <v>4595</v>
      </c>
      <c r="AF22" s="1095" t="s">
        <v>4596</v>
      </c>
      <c r="AG22" s="1311" t="s">
        <v>4597</v>
      </c>
      <c r="AH22" s="349" t="s">
        <v>4598</v>
      </c>
      <c r="AI22" t="e">
        <f t="shared" si="4"/>
        <v>#VALUE!</v>
      </c>
      <c r="CC22" s="135" t="e">
        <f t="shared" si="5"/>
        <v>#VALUE!</v>
      </c>
      <c r="CD22" s="135" t="str">
        <f t="shared" si="6"/>
        <v xml:space="preserve"> * La variable Beneficiarios No puede ser mayor al Total.</v>
      </c>
      <c r="CE22" s="135" t="e">
        <f t="shared" si="0"/>
        <v>#VALUE!</v>
      </c>
      <c r="CN22" s="84" t="e">
        <f t="shared" si="1"/>
        <v>#VALUE!</v>
      </c>
      <c r="CO22" s="84">
        <f t="shared" si="2"/>
        <v>1</v>
      </c>
      <c r="CP22" s="84" t="e">
        <f t="shared" si="3"/>
        <v>#VALUE!</v>
      </c>
    </row>
    <row r="23" spans="1:94" x14ac:dyDescent="0.25">
      <c r="A23" s="5787" t="s">
        <v>5348</v>
      </c>
      <c r="B23" s="343" t="s">
        <v>1217</v>
      </c>
      <c r="C23" s="295" t="s">
        <v>4567</v>
      </c>
      <c r="D23" s="1089" t="s">
        <v>4568</v>
      </c>
      <c r="E23" s="1253" t="s">
        <v>4569</v>
      </c>
      <c r="F23" s="1253" t="s">
        <v>4570</v>
      </c>
      <c r="G23" s="1253" t="s">
        <v>4571</v>
      </c>
      <c r="H23" s="1253" t="s">
        <v>4572</v>
      </c>
      <c r="I23" s="1253" t="s">
        <v>4573</v>
      </c>
      <c r="J23" s="1253" t="s">
        <v>4574</v>
      </c>
      <c r="K23" s="1253" t="s">
        <v>4575</v>
      </c>
      <c r="L23" s="1253" t="s">
        <v>4576</v>
      </c>
      <c r="M23" s="1253" t="s">
        <v>4577</v>
      </c>
      <c r="N23" s="1253" t="s">
        <v>4578</v>
      </c>
      <c r="O23" s="1253" t="s">
        <v>4579</v>
      </c>
      <c r="P23" s="1253" t="s">
        <v>4580</v>
      </c>
      <c r="Q23" s="1253" t="s">
        <v>4581</v>
      </c>
      <c r="R23" s="1253" t="s">
        <v>4582</v>
      </c>
      <c r="S23" s="1253" t="s">
        <v>4583</v>
      </c>
      <c r="T23" s="1253" t="s">
        <v>4584</v>
      </c>
      <c r="U23" s="1095" t="s">
        <v>4585</v>
      </c>
      <c r="V23" s="1090" t="s">
        <v>4586</v>
      </c>
      <c r="W23" s="1089" t="s">
        <v>4587</v>
      </c>
      <c r="X23" s="1095" t="s">
        <v>4588</v>
      </c>
      <c r="Y23" s="3061" t="s">
        <v>4589</v>
      </c>
      <c r="Z23" s="1089" t="s">
        <v>4590</v>
      </c>
      <c r="AA23" s="1253" t="s">
        <v>4591</v>
      </c>
      <c r="AB23" s="1095" t="s">
        <v>4592</v>
      </c>
      <c r="AC23" s="3066" t="s">
        <v>4593</v>
      </c>
      <c r="AD23" s="1089" t="s">
        <v>4594</v>
      </c>
      <c r="AE23" s="3063" t="s">
        <v>4595</v>
      </c>
      <c r="AF23" s="1095" t="s">
        <v>4596</v>
      </c>
      <c r="AG23" s="1311" t="s">
        <v>4597</v>
      </c>
      <c r="AH23" s="349" t="s">
        <v>4598</v>
      </c>
      <c r="AI23" t="e">
        <f t="shared" si="4"/>
        <v>#VALUE!</v>
      </c>
      <c r="CC23" s="135" t="e">
        <f t="shared" si="5"/>
        <v>#VALUE!</v>
      </c>
      <c r="CD23" s="135" t="str">
        <f t="shared" si="6"/>
        <v xml:space="preserve"> * La variable Beneficiarios No puede ser mayor al Total.</v>
      </c>
      <c r="CE23" s="135" t="e">
        <f t="shared" si="0"/>
        <v>#VALUE!</v>
      </c>
      <c r="CN23" s="84" t="e">
        <f t="shared" si="1"/>
        <v>#VALUE!</v>
      </c>
      <c r="CO23" s="84">
        <f t="shared" si="2"/>
        <v>1</v>
      </c>
      <c r="CP23" s="84" t="e">
        <f t="shared" si="3"/>
        <v>#VALUE!</v>
      </c>
    </row>
    <row r="24" spans="1:94" x14ac:dyDescent="0.25">
      <c r="A24" s="5789" t="s">
        <v>5349</v>
      </c>
      <c r="B24" s="343" t="s">
        <v>4409</v>
      </c>
      <c r="C24" s="295" t="s">
        <v>4567</v>
      </c>
      <c r="D24" s="1089" t="s">
        <v>4568</v>
      </c>
      <c r="E24" s="1253" t="s">
        <v>4569</v>
      </c>
      <c r="F24" s="1253" t="s">
        <v>4570</v>
      </c>
      <c r="G24" s="1253" t="s">
        <v>4571</v>
      </c>
      <c r="H24" s="1253" t="s">
        <v>4572</v>
      </c>
      <c r="I24" s="1253" t="s">
        <v>4573</v>
      </c>
      <c r="J24" s="1253" t="s">
        <v>4574</v>
      </c>
      <c r="K24" s="1253" t="s">
        <v>4575</v>
      </c>
      <c r="L24" s="1253" t="s">
        <v>4576</v>
      </c>
      <c r="M24" s="1253" t="s">
        <v>4577</v>
      </c>
      <c r="N24" s="1253" t="s">
        <v>4578</v>
      </c>
      <c r="O24" s="1253" t="s">
        <v>4579</v>
      </c>
      <c r="P24" s="1253" t="s">
        <v>4580</v>
      </c>
      <c r="Q24" s="1253" t="s">
        <v>4581</v>
      </c>
      <c r="R24" s="1253" t="s">
        <v>4582</v>
      </c>
      <c r="S24" s="1253" t="s">
        <v>4583</v>
      </c>
      <c r="T24" s="1253" t="s">
        <v>4584</v>
      </c>
      <c r="U24" s="1095" t="s">
        <v>4585</v>
      </c>
      <c r="V24" s="1090" t="s">
        <v>4586</v>
      </c>
      <c r="W24" s="1089" t="s">
        <v>4587</v>
      </c>
      <c r="X24" s="1095" t="s">
        <v>4588</v>
      </c>
      <c r="Y24" s="3061" t="s">
        <v>4589</v>
      </c>
      <c r="Z24" s="1089" t="s">
        <v>4590</v>
      </c>
      <c r="AA24" s="1253" t="s">
        <v>4591</v>
      </c>
      <c r="AB24" s="1095" t="s">
        <v>4592</v>
      </c>
      <c r="AC24" s="3066" t="s">
        <v>4593</v>
      </c>
      <c r="AD24" s="1089" t="s">
        <v>4594</v>
      </c>
      <c r="AE24" s="3063" t="s">
        <v>4595</v>
      </c>
      <c r="AF24" s="1095" t="s">
        <v>4596</v>
      </c>
      <c r="AG24" s="1311" t="s">
        <v>4597</v>
      </c>
      <c r="AH24" s="349" t="s">
        <v>4598</v>
      </c>
      <c r="AI24" t="e">
        <f>CC24&amp;CD24&amp;CE24</f>
        <v>#VALUE!</v>
      </c>
      <c r="CC24" s="135" t="e">
        <f t="shared" si="5"/>
        <v>#VALUE!</v>
      </c>
      <c r="CD24" s="135" t="str">
        <f t="shared" si="6"/>
        <v xml:space="preserve"> * La variable Beneficiarios No puede ser mayor al Total.</v>
      </c>
      <c r="CE24" s="135" t="e">
        <f t="shared" si="0"/>
        <v>#VALUE!</v>
      </c>
      <c r="CN24" s="84" t="e">
        <f t="shared" si="1"/>
        <v>#VALUE!</v>
      </c>
      <c r="CO24" s="84">
        <f t="shared" si="2"/>
        <v>1</v>
      </c>
      <c r="CP24" s="84" t="e">
        <f t="shared" si="3"/>
        <v>#VALUE!</v>
      </c>
    </row>
    <row r="25" spans="1:94" x14ac:dyDescent="0.25">
      <c r="A25" s="5789" t="s">
        <v>5350</v>
      </c>
      <c r="B25" s="3067" t="s">
        <v>4314</v>
      </c>
      <c r="C25" s="295" t="s">
        <v>4567</v>
      </c>
      <c r="D25" s="1089" t="s">
        <v>4568</v>
      </c>
      <c r="E25" s="1253" t="s">
        <v>4569</v>
      </c>
      <c r="F25" s="1253" t="s">
        <v>4570</v>
      </c>
      <c r="G25" s="1253" t="s">
        <v>4571</v>
      </c>
      <c r="H25" s="1253" t="s">
        <v>4572</v>
      </c>
      <c r="I25" s="1253" t="s">
        <v>4573</v>
      </c>
      <c r="J25" s="1253" t="s">
        <v>4574</v>
      </c>
      <c r="K25" s="1253" t="s">
        <v>4575</v>
      </c>
      <c r="L25" s="1253" t="s">
        <v>4576</v>
      </c>
      <c r="M25" s="1253" t="s">
        <v>4577</v>
      </c>
      <c r="N25" s="1253" t="s">
        <v>4578</v>
      </c>
      <c r="O25" s="1253" t="s">
        <v>4579</v>
      </c>
      <c r="P25" s="1253" t="s">
        <v>4580</v>
      </c>
      <c r="Q25" s="1253" t="s">
        <v>4581</v>
      </c>
      <c r="R25" s="1253" t="s">
        <v>4582</v>
      </c>
      <c r="S25" s="1253" t="s">
        <v>4583</v>
      </c>
      <c r="T25" s="1253" t="s">
        <v>4584</v>
      </c>
      <c r="U25" s="1095" t="s">
        <v>4585</v>
      </c>
      <c r="V25" s="1090" t="s">
        <v>4586</v>
      </c>
      <c r="W25" s="1089" t="s">
        <v>4587</v>
      </c>
      <c r="X25" s="1095" t="s">
        <v>4588</v>
      </c>
      <c r="Y25" s="3061" t="s">
        <v>4589</v>
      </c>
      <c r="Z25" s="1089" t="s">
        <v>4590</v>
      </c>
      <c r="AA25" s="1253" t="s">
        <v>4591</v>
      </c>
      <c r="AB25" s="1095" t="s">
        <v>4592</v>
      </c>
      <c r="AC25" s="3066" t="s">
        <v>4593</v>
      </c>
      <c r="AD25" s="1089" t="s">
        <v>4594</v>
      </c>
      <c r="AE25" s="3063" t="s">
        <v>4595</v>
      </c>
      <c r="AF25" s="1095" t="s">
        <v>4596</v>
      </c>
      <c r="AG25" s="1311" t="s">
        <v>4597</v>
      </c>
      <c r="AH25" s="349" t="s">
        <v>4598</v>
      </c>
      <c r="AI25" t="e">
        <f t="shared" si="4"/>
        <v>#VALUE!</v>
      </c>
      <c r="CC25" s="135" t="e">
        <f t="shared" si="5"/>
        <v>#VALUE!</v>
      </c>
      <c r="CD25" s="135" t="str">
        <f t="shared" si="6"/>
        <v xml:space="preserve"> * La variable Beneficiarios No puede ser mayor al Total.</v>
      </c>
      <c r="CE25" s="135" t="e">
        <f t="shared" si="0"/>
        <v>#VALUE!</v>
      </c>
      <c r="CN25" s="84" t="e">
        <f t="shared" si="1"/>
        <v>#VALUE!</v>
      </c>
      <c r="CO25" s="84">
        <f t="shared" si="2"/>
        <v>1</v>
      </c>
      <c r="CP25" s="84" t="e">
        <f t="shared" si="3"/>
        <v>#VALUE!</v>
      </c>
    </row>
    <row r="26" spans="1:94" x14ac:dyDescent="0.25">
      <c r="A26" s="5787" t="s">
        <v>5351</v>
      </c>
      <c r="B26" s="343" t="s">
        <v>1218</v>
      </c>
      <c r="C26" s="295" t="s">
        <v>4567</v>
      </c>
      <c r="D26" s="1089" t="s">
        <v>4568</v>
      </c>
      <c r="E26" s="1253" t="s">
        <v>4569</v>
      </c>
      <c r="F26" s="1253" t="s">
        <v>4570</v>
      </c>
      <c r="G26" s="1253" t="s">
        <v>4571</v>
      </c>
      <c r="H26" s="1253" t="s">
        <v>4572</v>
      </c>
      <c r="I26" s="1253" t="s">
        <v>4573</v>
      </c>
      <c r="J26" s="1253" t="s">
        <v>4574</v>
      </c>
      <c r="K26" s="1253" t="s">
        <v>4575</v>
      </c>
      <c r="L26" s="1253" t="s">
        <v>4576</v>
      </c>
      <c r="M26" s="1253" t="s">
        <v>4577</v>
      </c>
      <c r="N26" s="1253" t="s">
        <v>4578</v>
      </c>
      <c r="O26" s="1253" t="s">
        <v>4579</v>
      </c>
      <c r="P26" s="1253" t="s">
        <v>4580</v>
      </c>
      <c r="Q26" s="1253" t="s">
        <v>4581</v>
      </c>
      <c r="R26" s="1253" t="s">
        <v>4582</v>
      </c>
      <c r="S26" s="1253" t="s">
        <v>4583</v>
      </c>
      <c r="T26" s="1253" t="s">
        <v>4584</v>
      </c>
      <c r="U26" s="1095" t="s">
        <v>4585</v>
      </c>
      <c r="V26" s="1090" t="s">
        <v>4586</v>
      </c>
      <c r="W26" s="1089" t="s">
        <v>4587</v>
      </c>
      <c r="X26" s="1095" t="s">
        <v>4588</v>
      </c>
      <c r="Y26" s="3061" t="s">
        <v>4589</v>
      </c>
      <c r="Z26" s="1089" t="s">
        <v>4590</v>
      </c>
      <c r="AA26" s="1253" t="s">
        <v>4591</v>
      </c>
      <c r="AB26" s="1095" t="s">
        <v>4592</v>
      </c>
      <c r="AC26" s="3066" t="s">
        <v>4593</v>
      </c>
      <c r="AD26" s="1089" t="s">
        <v>4594</v>
      </c>
      <c r="AE26" s="3063" t="s">
        <v>4595</v>
      </c>
      <c r="AF26" s="1095" t="s">
        <v>4596</v>
      </c>
      <c r="AG26" s="1311" t="s">
        <v>4597</v>
      </c>
      <c r="AH26" s="349" t="s">
        <v>4598</v>
      </c>
      <c r="AI26" t="e">
        <f t="shared" si="4"/>
        <v>#VALUE!</v>
      </c>
      <c r="CC26" s="135" t="e">
        <f t="shared" si="5"/>
        <v>#VALUE!</v>
      </c>
      <c r="CD26" s="135" t="str">
        <f t="shared" si="6"/>
        <v xml:space="preserve"> * La variable Beneficiarios No puede ser mayor al Total.</v>
      </c>
      <c r="CE26" s="135" t="e">
        <f t="shared" si="0"/>
        <v>#VALUE!</v>
      </c>
      <c r="CN26" s="84" t="e">
        <f t="shared" si="1"/>
        <v>#VALUE!</v>
      </c>
      <c r="CO26" s="84">
        <f t="shared" si="2"/>
        <v>1</v>
      </c>
      <c r="CP26" s="84" t="e">
        <f t="shared" si="3"/>
        <v>#VALUE!</v>
      </c>
    </row>
    <row r="27" spans="1:94" x14ac:dyDescent="0.25">
      <c r="A27" s="5787" t="s">
        <v>5352</v>
      </c>
      <c r="B27" s="343" t="s">
        <v>1219</v>
      </c>
      <c r="C27" s="295" t="s">
        <v>4567</v>
      </c>
      <c r="D27" s="1089" t="s">
        <v>4568</v>
      </c>
      <c r="E27" s="1253" t="s">
        <v>4569</v>
      </c>
      <c r="F27" s="1253" t="s">
        <v>4570</v>
      </c>
      <c r="G27" s="1253" t="s">
        <v>4571</v>
      </c>
      <c r="H27" s="1253" t="s">
        <v>4572</v>
      </c>
      <c r="I27" s="1253" t="s">
        <v>4573</v>
      </c>
      <c r="J27" s="1253" t="s">
        <v>4574</v>
      </c>
      <c r="K27" s="1253" t="s">
        <v>4575</v>
      </c>
      <c r="L27" s="1253" t="s">
        <v>4576</v>
      </c>
      <c r="M27" s="1253" t="s">
        <v>4577</v>
      </c>
      <c r="N27" s="1253" t="s">
        <v>4578</v>
      </c>
      <c r="O27" s="1253" t="s">
        <v>4579</v>
      </c>
      <c r="P27" s="1253" t="s">
        <v>4580</v>
      </c>
      <c r="Q27" s="1253" t="s">
        <v>4581</v>
      </c>
      <c r="R27" s="1253" t="s">
        <v>4582</v>
      </c>
      <c r="S27" s="1253" t="s">
        <v>4583</v>
      </c>
      <c r="T27" s="1253" t="s">
        <v>4584</v>
      </c>
      <c r="U27" s="1095" t="s">
        <v>4585</v>
      </c>
      <c r="V27" s="1090" t="s">
        <v>4586</v>
      </c>
      <c r="W27" s="1089" t="s">
        <v>4587</v>
      </c>
      <c r="X27" s="1095" t="s">
        <v>4588</v>
      </c>
      <c r="Y27" s="3061" t="s">
        <v>4589</v>
      </c>
      <c r="Z27" s="1089" t="s">
        <v>4590</v>
      </c>
      <c r="AA27" s="1253" t="s">
        <v>4591</v>
      </c>
      <c r="AB27" s="1095" t="s">
        <v>4592</v>
      </c>
      <c r="AC27" s="3066" t="s">
        <v>4593</v>
      </c>
      <c r="AD27" s="1089" t="s">
        <v>4594</v>
      </c>
      <c r="AE27" s="3063" t="s">
        <v>4595</v>
      </c>
      <c r="AF27" s="1095" t="s">
        <v>4596</v>
      </c>
      <c r="AG27" s="1311" t="s">
        <v>4597</v>
      </c>
      <c r="AH27" s="349" t="s">
        <v>4598</v>
      </c>
      <c r="AI27" t="e">
        <f t="shared" si="4"/>
        <v>#VALUE!</v>
      </c>
      <c r="CC27" s="135" t="e">
        <f t="shared" si="5"/>
        <v>#VALUE!</v>
      </c>
      <c r="CD27" s="135" t="str">
        <f t="shared" si="6"/>
        <v xml:space="preserve"> * La variable Beneficiarios No puede ser mayor al Total.</v>
      </c>
      <c r="CE27" s="135" t="e">
        <f t="shared" si="0"/>
        <v>#VALUE!</v>
      </c>
      <c r="CN27" s="84" t="e">
        <f t="shared" si="1"/>
        <v>#VALUE!</v>
      </c>
      <c r="CO27" s="84">
        <f t="shared" si="2"/>
        <v>1</v>
      </c>
      <c r="CP27" s="84" t="e">
        <f t="shared" si="3"/>
        <v>#VALUE!</v>
      </c>
    </row>
    <row r="28" spans="1:94" x14ac:dyDescent="0.25">
      <c r="A28" s="5789" t="s">
        <v>5353</v>
      </c>
      <c r="B28" s="343" t="s">
        <v>4307</v>
      </c>
      <c r="C28" s="295" t="s">
        <v>4567</v>
      </c>
      <c r="D28" s="1089" t="s">
        <v>4568</v>
      </c>
      <c r="E28" s="1253" t="s">
        <v>4569</v>
      </c>
      <c r="F28" s="1253" t="s">
        <v>4570</v>
      </c>
      <c r="G28" s="1253" t="s">
        <v>4571</v>
      </c>
      <c r="H28" s="1253" t="s">
        <v>4572</v>
      </c>
      <c r="I28" s="1253" t="s">
        <v>4573</v>
      </c>
      <c r="J28" s="1253" t="s">
        <v>4574</v>
      </c>
      <c r="K28" s="1253" t="s">
        <v>4575</v>
      </c>
      <c r="L28" s="1253" t="s">
        <v>4576</v>
      </c>
      <c r="M28" s="1253" t="s">
        <v>4577</v>
      </c>
      <c r="N28" s="1253" t="s">
        <v>4578</v>
      </c>
      <c r="O28" s="1253" t="s">
        <v>4579</v>
      </c>
      <c r="P28" s="1253" t="s">
        <v>4580</v>
      </c>
      <c r="Q28" s="1253" t="s">
        <v>4581</v>
      </c>
      <c r="R28" s="1253" t="s">
        <v>4582</v>
      </c>
      <c r="S28" s="1253" t="s">
        <v>4583</v>
      </c>
      <c r="T28" s="1253" t="s">
        <v>4584</v>
      </c>
      <c r="U28" s="1095" t="s">
        <v>4585</v>
      </c>
      <c r="V28" s="1090" t="s">
        <v>4586</v>
      </c>
      <c r="W28" s="1089" t="s">
        <v>4587</v>
      </c>
      <c r="X28" s="1095" t="s">
        <v>4588</v>
      </c>
      <c r="Y28" s="3061" t="s">
        <v>4589</v>
      </c>
      <c r="Z28" s="1089" t="s">
        <v>4590</v>
      </c>
      <c r="AA28" s="1253" t="s">
        <v>4591</v>
      </c>
      <c r="AB28" s="1095" t="s">
        <v>4592</v>
      </c>
      <c r="AC28" s="3066" t="s">
        <v>4593</v>
      </c>
      <c r="AD28" s="1089" t="s">
        <v>4594</v>
      </c>
      <c r="AE28" s="3063" t="s">
        <v>4595</v>
      </c>
      <c r="AF28" s="1095" t="s">
        <v>4596</v>
      </c>
      <c r="AG28" s="1311" t="s">
        <v>4597</v>
      </c>
      <c r="AH28" s="349" t="s">
        <v>4598</v>
      </c>
      <c r="AI28" t="e">
        <f>CC28&amp;CD28&amp;CE28</f>
        <v>#VALUE!</v>
      </c>
      <c r="CC28" s="135" t="e">
        <f t="shared" si="5"/>
        <v>#VALUE!</v>
      </c>
      <c r="CD28" s="135" t="str">
        <f t="shared" si="6"/>
        <v xml:space="preserve"> * La variable Beneficiarios No puede ser mayor al Total.</v>
      </c>
      <c r="CE28" s="135" t="e">
        <f t="shared" si="0"/>
        <v>#VALUE!</v>
      </c>
      <c r="CN28" s="84" t="e">
        <f t="shared" si="1"/>
        <v>#VALUE!</v>
      </c>
      <c r="CO28" s="84">
        <f t="shared" si="2"/>
        <v>1</v>
      </c>
      <c r="CP28" s="84" t="e">
        <f t="shared" si="3"/>
        <v>#VALUE!</v>
      </c>
    </row>
    <row r="29" spans="1:94" x14ac:dyDescent="0.25">
      <c r="A29" s="5789" t="s">
        <v>5354</v>
      </c>
      <c r="B29" s="343" t="s">
        <v>4309</v>
      </c>
      <c r="C29" s="295" t="s">
        <v>4567</v>
      </c>
      <c r="D29" s="1089" t="s">
        <v>4568</v>
      </c>
      <c r="E29" s="1253" t="s">
        <v>4569</v>
      </c>
      <c r="F29" s="1253" t="s">
        <v>4570</v>
      </c>
      <c r="G29" s="1253" t="s">
        <v>4571</v>
      </c>
      <c r="H29" s="1253" t="s">
        <v>4572</v>
      </c>
      <c r="I29" s="1253" t="s">
        <v>4573</v>
      </c>
      <c r="J29" s="1253" t="s">
        <v>4574</v>
      </c>
      <c r="K29" s="1253" t="s">
        <v>4575</v>
      </c>
      <c r="L29" s="1253" t="s">
        <v>4576</v>
      </c>
      <c r="M29" s="1253" t="s">
        <v>4577</v>
      </c>
      <c r="N29" s="1253" t="s">
        <v>4578</v>
      </c>
      <c r="O29" s="1253" t="s">
        <v>4579</v>
      </c>
      <c r="P29" s="1253" t="s">
        <v>4580</v>
      </c>
      <c r="Q29" s="1253" t="s">
        <v>4581</v>
      </c>
      <c r="R29" s="1253" t="s">
        <v>4582</v>
      </c>
      <c r="S29" s="1253" t="s">
        <v>4583</v>
      </c>
      <c r="T29" s="1253" t="s">
        <v>4584</v>
      </c>
      <c r="U29" s="1095" t="s">
        <v>4585</v>
      </c>
      <c r="V29" s="1090" t="s">
        <v>4586</v>
      </c>
      <c r="W29" s="1089" t="s">
        <v>4587</v>
      </c>
      <c r="X29" s="1095" t="s">
        <v>4588</v>
      </c>
      <c r="Y29" s="3061" t="s">
        <v>4589</v>
      </c>
      <c r="Z29" s="1089" t="s">
        <v>4590</v>
      </c>
      <c r="AA29" s="1253" t="s">
        <v>4591</v>
      </c>
      <c r="AB29" s="1095" t="s">
        <v>4592</v>
      </c>
      <c r="AC29" s="3066" t="s">
        <v>4593</v>
      </c>
      <c r="AD29" s="1089" t="s">
        <v>4594</v>
      </c>
      <c r="AE29" s="3063" t="s">
        <v>4595</v>
      </c>
      <c r="AF29" s="1095" t="s">
        <v>4596</v>
      </c>
      <c r="AG29" s="1311" t="s">
        <v>4597</v>
      </c>
      <c r="AH29" s="349" t="s">
        <v>4598</v>
      </c>
      <c r="AI29" t="e">
        <f t="shared" si="4"/>
        <v>#VALUE!</v>
      </c>
      <c r="CC29" s="135" t="e">
        <f t="shared" si="5"/>
        <v>#VALUE!</v>
      </c>
      <c r="CD29" s="135" t="str">
        <f t="shared" si="6"/>
        <v xml:space="preserve"> * La variable Beneficiarios No puede ser mayor al Total.</v>
      </c>
      <c r="CE29" s="135" t="e">
        <f t="shared" si="0"/>
        <v>#VALUE!</v>
      </c>
      <c r="CN29" s="84" t="e">
        <f t="shared" si="1"/>
        <v>#VALUE!</v>
      </c>
      <c r="CO29" s="84">
        <f t="shared" si="2"/>
        <v>1</v>
      </c>
      <c r="CP29" s="84" t="e">
        <f t="shared" si="3"/>
        <v>#VALUE!</v>
      </c>
    </row>
    <row r="30" spans="1:94" x14ac:dyDescent="0.25">
      <c r="A30" s="5789" t="s">
        <v>5355</v>
      </c>
      <c r="B30" s="343" t="s">
        <v>3790</v>
      </c>
      <c r="C30" s="295" t="s">
        <v>4567</v>
      </c>
      <c r="D30" s="1089" t="s">
        <v>4568</v>
      </c>
      <c r="E30" s="1253" t="s">
        <v>4569</v>
      </c>
      <c r="F30" s="1253" t="s">
        <v>4570</v>
      </c>
      <c r="G30" s="1253" t="s">
        <v>4571</v>
      </c>
      <c r="H30" s="1253" t="s">
        <v>4572</v>
      </c>
      <c r="I30" s="1253" t="s">
        <v>4573</v>
      </c>
      <c r="J30" s="1253" t="s">
        <v>4574</v>
      </c>
      <c r="K30" s="1253" t="s">
        <v>4575</v>
      </c>
      <c r="L30" s="1253" t="s">
        <v>4576</v>
      </c>
      <c r="M30" s="1253" t="s">
        <v>4577</v>
      </c>
      <c r="N30" s="1253" t="s">
        <v>4578</v>
      </c>
      <c r="O30" s="1253" t="s">
        <v>4579</v>
      </c>
      <c r="P30" s="1253" t="s">
        <v>4580</v>
      </c>
      <c r="Q30" s="1253" t="s">
        <v>4581</v>
      </c>
      <c r="R30" s="1253" t="s">
        <v>4582</v>
      </c>
      <c r="S30" s="1253" t="s">
        <v>4583</v>
      </c>
      <c r="T30" s="1253" t="s">
        <v>4584</v>
      </c>
      <c r="U30" s="1095" t="s">
        <v>4585</v>
      </c>
      <c r="V30" s="1090" t="s">
        <v>4586</v>
      </c>
      <c r="W30" s="1089" t="s">
        <v>4587</v>
      </c>
      <c r="X30" s="1095" t="s">
        <v>4588</v>
      </c>
      <c r="Y30" s="3061" t="s">
        <v>4589</v>
      </c>
      <c r="Z30" s="1089" t="s">
        <v>4590</v>
      </c>
      <c r="AA30" s="1253" t="s">
        <v>4591</v>
      </c>
      <c r="AB30" s="1095" t="s">
        <v>4592</v>
      </c>
      <c r="AC30" s="3066" t="s">
        <v>4593</v>
      </c>
      <c r="AD30" s="1089" t="s">
        <v>4594</v>
      </c>
      <c r="AE30" s="3063" t="s">
        <v>4595</v>
      </c>
      <c r="AF30" s="1095" t="s">
        <v>4596</v>
      </c>
      <c r="AG30" s="1311" t="s">
        <v>4597</v>
      </c>
      <c r="AH30" s="349" t="s">
        <v>4598</v>
      </c>
      <c r="AI30" t="e">
        <f t="shared" si="4"/>
        <v>#VALUE!</v>
      </c>
      <c r="CC30" s="135" t="e">
        <f t="shared" si="5"/>
        <v>#VALUE!</v>
      </c>
      <c r="CD30" s="135" t="str">
        <f t="shared" si="6"/>
        <v xml:space="preserve"> * La variable Beneficiarios No puede ser mayor al Total.</v>
      </c>
      <c r="CE30" s="135" t="e">
        <f t="shared" si="0"/>
        <v>#VALUE!</v>
      </c>
      <c r="CN30" s="84" t="e">
        <f t="shared" si="1"/>
        <v>#VALUE!</v>
      </c>
      <c r="CO30" s="84">
        <f t="shared" si="2"/>
        <v>1</v>
      </c>
      <c r="CP30" s="84" t="e">
        <f t="shared" si="3"/>
        <v>#VALUE!</v>
      </c>
    </row>
    <row r="31" spans="1:94" x14ac:dyDescent="0.25">
      <c r="A31" s="5789" t="s">
        <v>5356</v>
      </c>
      <c r="B31" s="3068" t="s">
        <v>4410</v>
      </c>
      <c r="C31" s="295" t="s">
        <v>4567</v>
      </c>
      <c r="D31" s="1089" t="s">
        <v>4568</v>
      </c>
      <c r="E31" s="1253" t="s">
        <v>4569</v>
      </c>
      <c r="F31" s="1253" t="s">
        <v>4570</v>
      </c>
      <c r="G31" s="1253" t="s">
        <v>4571</v>
      </c>
      <c r="H31" s="1253" t="s">
        <v>4572</v>
      </c>
      <c r="I31" s="1253" t="s">
        <v>4573</v>
      </c>
      <c r="J31" s="1253" t="s">
        <v>4574</v>
      </c>
      <c r="K31" s="1253" t="s">
        <v>4575</v>
      </c>
      <c r="L31" s="1253" t="s">
        <v>4576</v>
      </c>
      <c r="M31" s="1253" t="s">
        <v>4577</v>
      </c>
      <c r="N31" s="1253" t="s">
        <v>4578</v>
      </c>
      <c r="O31" s="1253" t="s">
        <v>4579</v>
      </c>
      <c r="P31" s="1253" t="s">
        <v>4580</v>
      </c>
      <c r="Q31" s="1253" t="s">
        <v>4581</v>
      </c>
      <c r="R31" s="1253" t="s">
        <v>4582</v>
      </c>
      <c r="S31" s="1253" t="s">
        <v>4583</v>
      </c>
      <c r="T31" s="1253" t="s">
        <v>4584</v>
      </c>
      <c r="U31" s="1095" t="s">
        <v>4585</v>
      </c>
      <c r="V31" s="1090" t="s">
        <v>4586</v>
      </c>
      <c r="W31" s="1089" t="s">
        <v>4587</v>
      </c>
      <c r="X31" s="1095" t="s">
        <v>4588</v>
      </c>
      <c r="Y31" s="3061" t="s">
        <v>4589</v>
      </c>
      <c r="Z31" s="1089" t="s">
        <v>4590</v>
      </c>
      <c r="AA31" s="1253" t="s">
        <v>4591</v>
      </c>
      <c r="AB31" s="1095" t="s">
        <v>4592</v>
      </c>
      <c r="AC31" s="3066" t="s">
        <v>4593</v>
      </c>
      <c r="AD31" s="1089" t="s">
        <v>4594</v>
      </c>
      <c r="AE31" s="3063" t="s">
        <v>4595</v>
      </c>
      <c r="AF31" s="1095" t="s">
        <v>4596</v>
      </c>
      <c r="AG31" s="1311" t="s">
        <v>4597</v>
      </c>
      <c r="AH31" s="349" t="s">
        <v>4598</v>
      </c>
      <c r="AI31" t="e">
        <f t="shared" si="4"/>
        <v>#VALUE!</v>
      </c>
      <c r="CC31" s="135" t="e">
        <f t="shared" si="5"/>
        <v>#VALUE!</v>
      </c>
      <c r="CD31" s="135" t="str">
        <f t="shared" si="6"/>
        <v xml:space="preserve"> * La variable Beneficiarios No puede ser mayor al Total.</v>
      </c>
      <c r="CE31" s="135" t="e">
        <f t="shared" si="0"/>
        <v>#VALUE!</v>
      </c>
      <c r="CN31" s="84" t="e">
        <f t="shared" si="1"/>
        <v>#VALUE!</v>
      </c>
      <c r="CO31" s="84">
        <f t="shared" si="2"/>
        <v>1</v>
      </c>
      <c r="CP31" s="84" t="e">
        <f t="shared" si="3"/>
        <v>#VALUE!</v>
      </c>
    </row>
    <row r="32" spans="1:94" x14ac:dyDescent="0.25">
      <c r="A32" s="5790" t="s">
        <v>5357</v>
      </c>
      <c r="B32" s="343" t="s">
        <v>1220</v>
      </c>
      <c r="C32" s="295" t="s">
        <v>4567</v>
      </c>
      <c r="D32" s="1089" t="s">
        <v>4568</v>
      </c>
      <c r="E32" s="1253" t="s">
        <v>4569</v>
      </c>
      <c r="F32" s="1253" t="s">
        <v>4570</v>
      </c>
      <c r="G32" s="1253" t="s">
        <v>4571</v>
      </c>
      <c r="H32" s="1253" t="s">
        <v>4572</v>
      </c>
      <c r="I32" s="1253" t="s">
        <v>4573</v>
      </c>
      <c r="J32" s="1253" t="s">
        <v>4574</v>
      </c>
      <c r="K32" s="1253" t="s">
        <v>4575</v>
      </c>
      <c r="L32" s="1253" t="s">
        <v>4576</v>
      </c>
      <c r="M32" s="1253" t="s">
        <v>4577</v>
      </c>
      <c r="N32" s="1253" t="s">
        <v>4578</v>
      </c>
      <c r="O32" s="1253" t="s">
        <v>4579</v>
      </c>
      <c r="P32" s="1253" t="s">
        <v>4580</v>
      </c>
      <c r="Q32" s="1253" t="s">
        <v>4581</v>
      </c>
      <c r="R32" s="1253" t="s">
        <v>4582</v>
      </c>
      <c r="S32" s="1253" t="s">
        <v>4583</v>
      </c>
      <c r="T32" s="1253" t="s">
        <v>4584</v>
      </c>
      <c r="U32" s="1095" t="s">
        <v>4585</v>
      </c>
      <c r="V32" s="1090" t="s">
        <v>4586</v>
      </c>
      <c r="W32" s="1089" t="s">
        <v>4587</v>
      </c>
      <c r="X32" s="1095" t="s">
        <v>4588</v>
      </c>
      <c r="Y32" s="3061" t="s">
        <v>4589</v>
      </c>
      <c r="Z32" s="1089" t="s">
        <v>4590</v>
      </c>
      <c r="AA32" s="1253" t="s">
        <v>4591</v>
      </c>
      <c r="AB32" s="1095" t="s">
        <v>4592</v>
      </c>
      <c r="AC32" s="3066" t="s">
        <v>4593</v>
      </c>
      <c r="AD32" s="1089" t="s">
        <v>4594</v>
      </c>
      <c r="AE32" s="3063" t="s">
        <v>4595</v>
      </c>
      <c r="AF32" s="1095" t="s">
        <v>4596</v>
      </c>
      <c r="AG32" s="1311" t="s">
        <v>4597</v>
      </c>
      <c r="AH32" s="349" t="s">
        <v>4598</v>
      </c>
      <c r="AI32" t="e">
        <f t="shared" si="4"/>
        <v>#VALUE!</v>
      </c>
      <c r="CC32" s="135" t="e">
        <f t="shared" si="5"/>
        <v>#VALUE!</v>
      </c>
      <c r="CD32" s="135" t="str">
        <f t="shared" si="6"/>
        <v xml:space="preserve"> * La variable Beneficiarios No puede ser mayor al Total.</v>
      </c>
      <c r="CE32" s="135" t="e">
        <f t="shared" si="0"/>
        <v>#VALUE!</v>
      </c>
      <c r="CN32" s="84" t="e">
        <f t="shared" si="1"/>
        <v>#VALUE!</v>
      </c>
      <c r="CO32" s="84">
        <f t="shared" si="2"/>
        <v>1</v>
      </c>
      <c r="CP32" s="84" t="e">
        <f t="shared" si="3"/>
        <v>#VALUE!</v>
      </c>
    </row>
    <row r="33" spans="1:94" x14ac:dyDescent="0.25">
      <c r="A33" s="5789" t="s">
        <v>5358</v>
      </c>
      <c r="B33" s="343" t="s">
        <v>4417</v>
      </c>
      <c r="C33" s="295" t="s">
        <v>4567</v>
      </c>
      <c r="D33" s="1089" t="s">
        <v>4568</v>
      </c>
      <c r="E33" s="1253" t="s">
        <v>4569</v>
      </c>
      <c r="F33" s="1253" t="s">
        <v>4570</v>
      </c>
      <c r="G33" s="1253" t="s">
        <v>4571</v>
      </c>
      <c r="H33" s="1253" t="s">
        <v>4572</v>
      </c>
      <c r="I33" s="1253" t="s">
        <v>4573</v>
      </c>
      <c r="J33" s="1253" t="s">
        <v>4574</v>
      </c>
      <c r="K33" s="1253" t="s">
        <v>4575</v>
      </c>
      <c r="L33" s="1253" t="s">
        <v>4576</v>
      </c>
      <c r="M33" s="1253" t="s">
        <v>4577</v>
      </c>
      <c r="N33" s="1253" t="s">
        <v>4578</v>
      </c>
      <c r="O33" s="1253" t="s">
        <v>4579</v>
      </c>
      <c r="P33" s="1253" t="s">
        <v>4580</v>
      </c>
      <c r="Q33" s="1253" t="s">
        <v>4581</v>
      </c>
      <c r="R33" s="1253" t="s">
        <v>4582</v>
      </c>
      <c r="S33" s="1253" t="s">
        <v>4583</v>
      </c>
      <c r="T33" s="1253" t="s">
        <v>4584</v>
      </c>
      <c r="U33" s="1095" t="s">
        <v>4585</v>
      </c>
      <c r="V33" s="1090" t="s">
        <v>4586</v>
      </c>
      <c r="W33" s="1089" t="s">
        <v>4587</v>
      </c>
      <c r="X33" s="1095" t="s">
        <v>4588</v>
      </c>
      <c r="Y33" s="3061" t="s">
        <v>4589</v>
      </c>
      <c r="Z33" s="1089" t="s">
        <v>4590</v>
      </c>
      <c r="AA33" s="1253" t="s">
        <v>4591</v>
      </c>
      <c r="AB33" s="1095" t="s">
        <v>4592</v>
      </c>
      <c r="AC33" s="3066" t="s">
        <v>4593</v>
      </c>
      <c r="AD33" s="1089" t="s">
        <v>4594</v>
      </c>
      <c r="AE33" s="3063" t="s">
        <v>4595</v>
      </c>
      <c r="AF33" s="1095" t="s">
        <v>4596</v>
      </c>
      <c r="AG33" s="1311" t="s">
        <v>4597</v>
      </c>
      <c r="AH33" s="349" t="s">
        <v>4598</v>
      </c>
      <c r="AI33" t="e">
        <f t="shared" si="4"/>
        <v>#VALUE!</v>
      </c>
      <c r="CC33" s="135" t="e">
        <f t="shared" si="5"/>
        <v>#VALUE!</v>
      </c>
      <c r="CD33" s="135" t="str">
        <f t="shared" si="6"/>
        <v xml:space="preserve"> * La variable Beneficiarios No puede ser mayor al Total.</v>
      </c>
      <c r="CE33" s="135" t="e">
        <f t="shared" si="0"/>
        <v>#VALUE!</v>
      </c>
      <c r="CN33" s="84" t="e">
        <f t="shared" si="1"/>
        <v>#VALUE!</v>
      </c>
      <c r="CO33" s="84">
        <f t="shared" si="2"/>
        <v>1</v>
      </c>
      <c r="CP33" s="84" t="e">
        <f t="shared" si="3"/>
        <v>#VALUE!</v>
      </c>
    </row>
    <row r="34" spans="1:94" x14ac:dyDescent="0.25">
      <c r="A34" s="5790" t="s">
        <v>5359</v>
      </c>
      <c r="B34" s="343" t="s">
        <v>1221</v>
      </c>
      <c r="C34" s="295" t="s">
        <v>4567</v>
      </c>
      <c r="D34" s="1089" t="s">
        <v>4568</v>
      </c>
      <c r="E34" s="1253" t="s">
        <v>4569</v>
      </c>
      <c r="F34" s="1253" t="s">
        <v>4570</v>
      </c>
      <c r="G34" s="1253" t="s">
        <v>4571</v>
      </c>
      <c r="H34" s="1253" t="s">
        <v>4572</v>
      </c>
      <c r="I34" s="1253" t="s">
        <v>4573</v>
      </c>
      <c r="J34" s="1253" t="s">
        <v>4574</v>
      </c>
      <c r="K34" s="1253" t="s">
        <v>4575</v>
      </c>
      <c r="L34" s="1253" t="s">
        <v>4576</v>
      </c>
      <c r="M34" s="1253" t="s">
        <v>4577</v>
      </c>
      <c r="N34" s="1253" t="s">
        <v>4578</v>
      </c>
      <c r="O34" s="1253" t="s">
        <v>4579</v>
      </c>
      <c r="P34" s="1253" t="s">
        <v>4580</v>
      </c>
      <c r="Q34" s="1253" t="s">
        <v>4581</v>
      </c>
      <c r="R34" s="1253" t="s">
        <v>4582</v>
      </c>
      <c r="S34" s="1253" t="s">
        <v>4583</v>
      </c>
      <c r="T34" s="1253" t="s">
        <v>4584</v>
      </c>
      <c r="U34" s="1095" t="s">
        <v>4585</v>
      </c>
      <c r="V34" s="1090" t="s">
        <v>4586</v>
      </c>
      <c r="W34" s="1089" t="s">
        <v>4587</v>
      </c>
      <c r="X34" s="1095" t="s">
        <v>4588</v>
      </c>
      <c r="Y34" s="3061" t="s">
        <v>4589</v>
      </c>
      <c r="Z34" s="1089" t="s">
        <v>4590</v>
      </c>
      <c r="AA34" s="1253" t="s">
        <v>4591</v>
      </c>
      <c r="AB34" s="1095" t="s">
        <v>4592</v>
      </c>
      <c r="AC34" s="3066" t="s">
        <v>4593</v>
      </c>
      <c r="AD34" s="1089" t="s">
        <v>4594</v>
      </c>
      <c r="AE34" s="3063" t="s">
        <v>4595</v>
      </c>
      <c r="AF34" s="1095" t="s">
        <v>4596</v>
      </c>
      <c r="AG34" s="1311" t="s">
        <v>4597</v>
      </c>
      <c r="AH34" s="349" t="s">
        <v>4598</v>
      </c>
      <c r="AI34" t="e">
        <f t="shared" si="4"/>
        <v>#VALUE!</v>
      </c>
      <c r="CC34" s="135" t="e">
        <f t="shared" si="5"/>
        <v>#VALUE!</v>
      </c>
      <c r="CD34" s="135" t="str">
        <f t="shared" si="6"/>
        <v xml:space="preserve"> * La variable Beneficiarios No puede ser mayor al Total.</v>
      </c>
      <c r="CE34" s="135" t="e">
        <f t="shared" si="0"/>
        <v>#VALUE!</v>
      </c>
      <c r="CN34" s="84" t="e">
        <f t="shared" si="1"/>
        <v>#VALUE!</v>
      </c>
      <c r="CO34" s="84">
        <f t="shared" si="2"/>
        <v>1</v>
      </c>
      <c r="CP34" s="84" t="e">
        <f t="shared" si="3"/>
        <v>#VALUE!</v>
      </c>
    </row>
    <row r="35" spans="1:94" x14ac:dyDescent="0.25">
      <c r="A35" s="5791" t="s">
        <v>5360</v>
      </c>
      <c r="B35" s="343" t="s">
        <v>1222</v>
      </c>
      <c r="C35" s="295" t="s">
        <v>4567</v>
      </c>
      <c r="D35" s="3069" t="s">
        <v>4568</v>
      </c>
      <c r="E35" s="3064" t="s">
        <v>4569</v>
      </c>
      <c r="F35" s="3064" t="s">
        <v>4570</v>
      </c>
      <c r="G35" s="3064" t="s">
        <v>4571</v>
      </c>
      <c r="H35" s="3064" t="s">
        <v>4572</v>
      </c>
      <c r="I35" s="3064" t="s">
        <v>4573</v>
      </c>
      <c r="J35" s="3064" t="s">
        <v>4574</v>
      </c>
      <c r="K35" s="3064" t="s">
        <v>4575</v>
      </c>
      <c r="L35" s="3064" t="s">
        <v>4576</v>
      </c>
      <c r="M35" s="3064" t="s">
        <v>4577</v>
      </c>
      <c r="N35" s="3064" t="s">
        <v>4578</v>
      </c>
      <c r="O35" s="3064" t="s">
        <v>4579</v>
      </c>
      <c r="P35" s="3064" t="s">
        <v>4580</v>
      </c>
      <c r="Q35" s="1253" t="s">
        <v>4581</v>
      </c>
      <c r="R35" s="1253" t="s">
        <v>4582</v>
      </c>
      <c r="S35" s="1253" t="s">
        <v>4583</v>
      </c>
      <c r="T35" s="1253" t="s">
        <v>4584</v>
      </c>
      <c r="U35" s="1095" t="s">
        <v>4585</v>
      </c>
      <c r="V35" s="1090" t="s">
        <v>4586</v>
      </c>
      <c r="W35" s="1089" t="s">
        <v>4587</v>
      </c>
      <c r="X35" s="1095" t="s">
        <v>4588</v>
      </c>
      <c r="Y35" s="3061" t="s">
        <v>4589</v>
      </c>
      <c r="Z35" s="1089" t="s">
        <v>4590</v>
      </c>
      <c r="AA35" s="1253" t="s">
        <v>4591</v>
      </c>
      <c r="AB35" s="1095" t="s">
        <v>4592</v>
      </c>
      <c r="AC35" s="3066" t="s">
        <v>4593</v>
      </c>
      <c r="AD35" s="1089" t="s">
        <v>4594</v>
      </c>
      <c r="AE35" s="3063" t="s">
        <v>4595</v>
      </c>
      <c r="AF35" s="1095" t="s">
        <v>4596</v>
      </c>
      <c r="AG35" s="1311" t="s">
        <v>4597</v>
      </c>
      <c r="AH35" s="349" t="s">
        <v>4598</v>
      </c>
      <c r="AI35" t="e">
        <f t="shared" si="4"/>
        <v>#VALUE!</v>
      </c>
      <c r="CC35" s="135" t="e">
        <f t="shared" si="5"/>
        <v>#VALUE!</v>
      </c>
      <c r="CD35" s="135" t="str">
        <f t="shared" si="6"/>
        <v xml:space="preserve"> * La variable Beneficiarios No puede ser mayor al Total.</v>
      </c>
      <c r="CE35" s="135" t="e">
        <f t="shared" si="0"/>
        <v>#VALUE!</v>
      </c>
      <c r="CN35" s="84" t="e">
        <f t="shared" si="1"/>
        <v>#VALUE!</v>
      </c>
      <c r="CO35" s="84">
        <f t="shared" si="2"/>
        <v>1</v>
      </c>
      <c r="CP35" s="84" t="e">
        <f t="shared" si="3"/>
        <v>#VALUE!</v>
      </c>
    </row>
    <row r="36" spans="1:94" x14ac:dyDescent="0.25">
      <c r="A36" s="5789" t="s">
        <v>5361</v>
      </c>
      <c r="B36" s="343" t="s">
        <v>4311</v>
      </c>
      <c r="C36" s="295" t="s">
        <v>4567</v>
      </c>
      <c r="D36" s="1089" t="s">
        <v>4568</v>
      </c>
      <c r="E36" s="1253" t="s">
        <v>4569</v>
      </c>
      <c r="F36" s="1253" t="s">
        <v>4570</v>
      </c>
      <c r="G36" s="1253" t="s">
        <v>4571</v>
      </c>
      <c r="H36" s="3070" t="s">
        <v>4572</v>
      </c>
      <c r="I36" s="3070" t="s">
        <v>4573</v>
      </c>
      <c r="J36" s="3070" t="s">
        <v>4574</v>
      </c>
      <c r="K36" s="3070" t="s">
        <v>4575</v>
      </c>
      <c r="L36" s="3070" t="s">
        <v>4576</v>
      </c>
      <c r="M36" s="3070" t="s">
        <v>4577</v>
      </c>
      <c r="N36" s="1253" t="s">
        <v>4578</v>
      </c>
      <c r="O36" s="1253" t="s">
        <v>4579</v>
      </c>
      <c r="P36" s="1253" t="s">
        <v>4580</v>
      </c>
      <c r="Q36" s="1253" t="s">
        <v>4581</v>
      </c>
      <c r="R36" s="1253" t="s">
        <v>4582</v>
      </c>
      <c r="S36" s="1253" t="s">
        <v>4583</v>
      </c>
      <c r="T36" s="1253" t="s">
        <v>4584</v>
      </c>
      <c r="U36" s="1095" t="s">
        <v>4585</v>
      </c>
      <c r="V36" s="1090" t="s">
        <v>4586</v>
      </c>
      <c r="W36" s="1089" t="s">
        <v>4587</v>
      </c>
      <c r="X36" s="1095" t="s">
        <v>4588</v>
      </c>
      <c r="Y36" s="3061" t="s">
        <v>4589</v>
      </c>
      <c r="Z36" s="1089" t="s">
        <v>4590</v>
      </c>
      <c r="AA36" s="1253" t="s">
        <v>4591</v>
      </c>
      <c r="AB36" s="1095" t="s">
        <v>4592</v>
      </c>
      <c r="AC36" s="3066" t="s">
        <v>4593</v>
      </c>
      <c r="AD36" s="1089" t="s">
        <v>4594</v>
      </c>
      <c r="AE36" s="3063" t="s">
        <v>4595</v>
      </c>
      <c r="AF36" s="1095" t="s">
        <v>4596</v>
      </c>
      <c r="AG36" s="1311" t="s">
        <v>4597</v>
      </c>
      <c r="AH36" s="349" t="s">
        <v>4598</v>
      </c>
      <c r="AI36" t="e">
        <f t="shared" si="4"/>
        <v>#VALUE!</v>
      </c>
      <c r="CC36" s="135" t="e">
        <f t="shared" si="5"/>
        <v>#VALUE!</v>
      </c>
      <c r="CD36" s="135" t="str">
        <f t="shared" si="6"/>
        <v xml:space="preserve"> * La variable Beneficiarios No puede ser mayor al Total.</v>
      </c>
      <c r="CE36" s="135" t="e">
        <f t="shared" si="0"/>
        <v>#VALUE!</v>
      </c>
      <c r="CN36" s="84" t="e">
        <f t="shared" si="1"/>
        <v>#VALUE!</v>
      </c>
      <c r="CO36" s="84">
        <f t="shared" si="2"/>
        <v>1</v>
      </c>
      <c r="CP36" s="84" t="e">
        <f t="shared" si="3"/>
        <v>#VALUE!</v>
      </c>
    </row>
    <row r="37" spans="1:94" x14ac:dyDescent="0.25">
      <c r="A37" s="5789" t="s">
        <v>5362</v>
      </c>
      <c r="B37" s="3068" t="s">
        <v>4411</v>
      </c>
      <c r="C37" s="295" t="s">
        <v>4567</v>
      </c>
      <c r="D37" s="3071" t="s">
        <v>4568</v>
      </c>
      <c r="E37" s="3070" t="s">
        <v>4569</v>
      </c>
      <c r="F37" s="3070" t="s">
        <v>4570</v>
      </c>
      <c r="G37" s="3070" t="s">
        <v>4571</v>
      </c>
      <c r="H37" s="3070" t="s">
        <v>4572</v>
      </c>
      <c r="I37" s="1253" t="s">
        <v>4573</v>
      </c>
      <c r="J37" s="1253" t="s">
        <v>4574</v>
      </c>
      <c r="K37" s="1253" t="s">
        <v>4575</v>
      </c>
      <c r="L37" s="1253" t="s">
        <v>4576</v>
      </c>
      <c r="M37" s="1253" t="s">
        <v>4577</v>
      </c>
      <c r="N37" s="1253" t="s">
        <v>4578</v>
      </c>
      <c r="O37" s="1253" t="s">
        <v>4579</v>
      </c>
      <c r="P37" s="1253" t="s">
        <v>4580</v>
      </c>
      <c r="Q37" s="1253" t="s">
        <v>4581</v>
      </c>
      <c r="R37" s="1253" t="s">
        <v>4582</v>
      </c>
      <c r="S37" s="1253" t="s">
        <v>4583</v>
      </c>
      <c r="T37" s="1253" t="s">
        <v>4584</v>
      </c>
      <c r="U37" s="1095" t="s">
        <v>4585</v>
      </c>
      <c r="V37" s="1090" t="s">
        <v>4586</v>
      </c>
      <c r="W37" s="1089" t="s">
        <v>4587</v>
      </c>
      <c r="X37" s="1095" t="s">
        <v>4588</v>
      </c>
      <c r="Y37" s="3061" t="s">
        <v>4589</v>
      </c>
      <c r="Z37" s="1089" t="s">
        <v>4590</v>
      </c>
      <c r="AA37" s="1253" t="s">
        <v>4591</v>
      </c>
      <c r="AB37" s="1095" t="s">
        <v>4592</v>
      </c>
      <c r="AC37" s="3066" t="s">
        <v>4593</v>
      </c>
      <c r="AD37" s="1089" t="s">
        <v>4594</v>
      </c>
      <c r="AE37" s="3063" t="s">
        <v>4595</v>
      </c>
      <c r="AF37" s="1095" t="s">
        <v>4596</v>
      </c>
      <c r="AG37" s="1311" t="s">
        <v>4597</v>
      </c>
      <c r="AH37" s="349" t="s">
        <v>4598</v>
      </c>
      <c r="AI37" t="e">
        <f t="shared" si="4"/>
        <v>#VALUE!</v>
      </c>
      <c r="CC37" s="135" t="e">
        <f t="shared" si="5"/>
        <v>#VALUE!</v>
      </c>
      <c r="CD37" s="135" t="str">
        <f t="shared" si="6"/>
        <v xml:space="preserve"> * La variable Beneficiarios No puede ser mayor al Total.</v>
      </c>
      <c r="CE37" s="135" t="e">
        <f t="shared" si="0"/>
        <v>#VALUE!</v>
      </c>
      <c r="CN37" s="84" t="e">
        <f t="shared" si="1"/>
        <v>#VALUE!</v>
      </c>
      <c r="CO37" s="84">
        <f t="shared" si="2"/>
        <v>1</v>
      </c>
      <c r="CP37" s="84" t="e">
        <f t="shared" si="3"/>
        <v>#VALUE!</v>
      </c>
    </row>
    <row r="38" spans="1:94" x14ac:dyDescent="0.25">
      <c r="A38" s="5790" t="s">
        <v>5363</v>
      </c>
      <c r="B38" s="343" t="s">
        <v>1223</v>
      </c>
      <c r="C38" s="295" t="s">
        <v>4567</v>
      </c>
      <c r="D38" s="3071" t="s">
        <v>4568</v>
      </c>
      <c r="E38" s="3070" t="s">
        <v>4569</v>
      </c>
      <c r="F38" s="3070" t="s">
        <v>4570</v>
      </c>
      <c r="G38" s="3070" t="s">
        <v>4571</v>
      </c>
      <c r="H38" s="3070" t="s">
        <v>4572</v>
      </c>
      <c r="I38" s="3070" t="s">
        <v>4573</v>
      </c>
      <c r="J38" s="3070" t="s">
        <v>4574</v>
      </c>
      <c r="K38" s="3070" t="s">
        <v>4575</v>
      </c>
      <c r="L38" s="3070" t="s">
        <v>4576</v>
      </c>
      <c r="M38" s="3070" t="s">
        <v>4577</v>
      </c>
      <c r="N38" s="1253" t="s">
        <v>4578</v>
      </c>
      <c r="O38" s="1253" t="s">
        <v>4579</v>
      </c>
      <c r="P38" s="1253" t="s">
        <v>4580</v>
      </c>
      <c r="Q38" s="1253" t="s">
        <v>4581</v>
      </c>
      <c r="R38" s="1253" t="s">
        <v>4582</v>
      </c>
      <c r="S38" s="1253" t="s">
        <v>4583</v>
      </c>
      <c r="T38" s="1253" t="s">
        <v>4584</v>
      </c>
      <c r="U38" s="1095" t="s">
        <v>4585</v>
      </c>
      <c r="V38" s="1090" t="s">
        <v>4586</v>
      </c>
      <c r="W38" s="1089" t="s">
        <v>4587</v>
      </c>
      <c r="X38" s="1095" t="s">
        <v>4588</v>
      </c>
      <c r="Y38" s="3061" t="s">
        <v>4589</v>
      </c>
      <c r="Z38" s="1089" t="s">
        <v>4590</v>
      </c>
      <c r="AA38" s="1253" t="s">
        <v>4591</v>
      </c>
      <c r="AB38" s="1095" t="s">
        <v>4592</v>
      </c>
      <c r="AC38" s="3066" t="s">
        <v>4593</v>
      </c>
      <c r="AD38" s="1089" t="s">
        <v>4594</v>
      </c>
      <c r="AE38" s="3063" t="s">
        <v>4595</v>
      </c>
      <c r="AF38" s="1095" t="s">
        <v>4596</v>
      </c>
      <c r="AG38" s="1311" t="s">
        <v>4597</v>
      </c>
      <c r="AH38" s="349" t="s">
        <v>4598</v>
      </c>
      <c r="AI38" t="e">
        <f t="shared" si="4"/>
        <v>#VALUE!</v>
      </c>
      <c r="CC38" s="135" t="e">
        <f t="shared" si="5"/>
        <v>#VALUE!</v>
      </c>
      <c r="CD38" s="135" t="str">
        <f t="shared" si="6"/>
        <v xml:space="preserve"> * La variable Beneficiarios No puede ser mayor al Total.</v>
      </c>
      <c r="CE38" s="135" t="e">
        <f t="shared" si="0"/>
        <v>#VALUE!</v>
      </c>
      <c r="CN38" s="84" t="e">
        <f t="shared" si="1"/>
        <v>#VALUE!</v>
      </c>
      <c r="CO38" s="84">
        <f t="shared" si="2"/>
        <v>1</v>
      </c>
      <c r="CP38" s="84" t="e">
        <f t="shared" si="3"/>
        <v>#VALUE!</v>
      </c>
    </row>
    <row r="39" spans="1:94" x14ac:dyDescent="0.25">
      <c r="A39" s="5791" t="s">
        <v>5364</v>
      </c>
      <c r="B39" s="343" t="s">
        <v>1224</v>
      </c>
      <c r="C39" s="295" t="s">
        <v>4567</v>
      </c>
      <c r="D39" s="3071" t="s">
        <v>4568</v>
      </c>
      <c r="E39" s="3070" t="s">
        <v>4569</v>
      </c>
      <c r="F39" s="3070" t="s">
        <v>4570</v>
      </c>
      <c r="G39" s="3070" t="s">
        <v>4571</v>
      </c>
      <c r="H39" s="1253" t="s">
        <v>4572</v>
      </c>
      <c r="I39" s="1253" t="s">
        <v>4573</v>
      </c>
      <c r="J39" s="1253" t="s">
        <v>4574</v>
      </c>
      <c r="K39" s="1253" t="s">
        <v>4575</v>
      </c>
      <c r="L39" s="1253" t="s">
        <v>4576</v>
      </c>
      <c r="M39" s="1253" t="s">
        <v>4577</v>
      </c>
      <c r="N39" s="1253" t="s">
        <v>4578</v>
      </c>
      <c r="O39" s="1253" t="s">
        <v>4579</v>
      </c>
      <c r="P39" s="1253" t="s">
        <v>4580</v>
      </c>
      <c r="Q39" s="1253" t="s">
        <v>4581</v>
      </c>
      <c r="R39" s="1253" t="s">
        <v>4582</v>
      </c>
      <c r="S39" s="1253" t="s">
        <v>4583</v>
      </c>
      <c r="T39" s="1253" t="s">
        <v>4584</v>
      </c>
      <c r="U39" s="1095" t="s">
        <v>4585</v>
      </c>
      <c r="V39" s="1090" t="s">
        <v>4586</v>
      </c>
      <c r="W39" s="1089" t="s">
        <v>4587</v>
      </c>
      <c r="X39" s="1095" t="s">
        <v>4588</v>
      </c>
      <c r="Y39" s="3061" t="s">
        <v>4589</v>
      </c>
      <c r="Z39" s="1089" t="s">
        <v>4590</v>
      </c>
      <c r="AA39" s="1253" t="s">
        <v>4591</v>
      </c>
      <c r="AB39" s="1095" t="s">
        <v>4592</v>
      </c>
      <c r="AC39" s="3066" t="s">
        <v>4593</v>
      </c>
      <c r="AD39" s="1089" t="s">
        <v>4594</v>
      </c>
      <c r="AE39" s="3063" t="s">
        <v>4595</v>
      </c>
      <c r="AF39" s="1095" t="s">
        <v>4596</v>
      </c>
      <c r="AG39" s="1311" t="s">
        <v>4597</v>
      </c>
      <c r="AH39" s="349" t="s">
        <v>4598</v>
      </c>
      <c r="AI39" t="e">
        <f t="shared" si="4"/>
        <v>#VALUE!</v>
      </c>
      <c r="CC39" s="135" t="e">
        <f t="shared" si="5"/>
        <v>#VALUE!</v>
      </c>
      <c r="CD39" s="135" t="str">
        <f t="shared" si="6"/>
        <v xml:space="preserve"> * La variable Beneficiarios No puede ser mayor al Total.</v>
      </c>
      <c r="CE39" s="135" t="e">
        <f t="shared" si="0"/>
        <v>#VALUE!</v>
      </c>
      <c r="CN39" s="84" t="e">
        <f t="shared" si="1"/>
        <v>#VALUE!</v>
      </c>
      <c r="CO39" s="84">
        <f t="shared" si="2"/>
        <v>1</v>
      </c>
      <c r="CP39" s="84" t="e">
        <f t="shared" si="3"/>
        <v>#VALUE!</v>
      </c>
    </row>
    <row r="40" spans="1:94" x14ac:dyDescent="0.25">
      <c r="A40" s="5790" t="s">
        <v>5365</v>
      </c>
      <c r="B40" s="343" t="s">
        <v>1225</v>
      </c>
      <c r="C40" s="295" t="s">
        <v>4567</v>
      </c>
      <c r="D40" s="3071" t="s">
        <v>4568</v>
      </c>
      <c r="E40" s="3070" t="s">
        <v>4569</v>
      </c>
      <c r="F40" s="3070" t="s">
        <v>4570</v>
      </c>
      <c r="G40" s="3070" t="s">
        <v>4571</v>
      </c>
      <c r="H40" s="1253" t="s">
        <v>4572</v>
      </c>
      <c r="I40" s="1253" t="s">
        <v>4573</v>
      </c>
      <c r="J40" s="1253" t="s">
        <v>4574</v>
      </c>
      <c r="K40" s="1253" t="s">
        <v>4575</v>
      </c>
      <c r="L40" s="1253" t="s">
        <v>4576</v>
      </c>
      <c r="M40" s="1253" t="s">
        <v>4577</v>
      </c>
      <c r="N40" s="1253" t="s">
        <v>4578</v>
      </c>
      <c r="O40" s="1253" t="s">
        <v>4579</v>
      </c>
      <c r="P40" s="1253" t="s">
        <v>4580</v>
      </c>
      <c r="Q40" s="1253" t="s">
        <v>4581</v>
      </c>
      <c r="R40" s="1253" t="s">
        <v>4582</v>
      </c>
      <c r="S40" s="1253" t="s">
        <v>4583</v>
      </c>
      <c r="T40" s="1253" t="s">
        <v>4584</v>
      </c>
      <c r="U40" s="1095" t="s">
        <v>4585</v>
      </c>
      <c r="V40" s="1090" t="s">
        <v>4586</v>
      </c>
      <c r="W40" s="1089" t="s">
        <v>4587</v>
      </c>
      <c r="X40" s="1095" t="s">
        <v>4588</v>
      </c>
      <c r="Y40" s="3061" t="s">
        <v>4589</v>
      </c>
      <c r="Z40" s="1089" t="s">
        <v>4590</v>
      </c>
      <c r="AA40" s="1253" t="s">
        <v>4591</v>
      </c>
      <c r="AB40" s="1095" t="s">
        <v>4592</v>
      </c>
      <c r="AC40" s="3066" t="s">
        <v>4593</v>
      </c>
      <c r="AD40" s="1089" t="s">
        <v>4594</v>
      </c>
      <c r="AE40" s="3063" t="s">
        <v>4595</v>
      </c>
      <c r="AF40" s="1095" t="s">
        <v>4596</v>
      </c>
      <c r="AG40" s="1311" t="s">
        <v>4597</v>
      </c>
      <c r="AH40" s="349" t="s">
        <v>4598</v>
      </c>
      <c r="AI40" t="e">
        <f t="shared" si="4"/>
        <v>#VALUE!</v>
      </c>
      <c r="CC40" s="135" t="e">
        <f t="shared" si="5"/>
        <v>#VALUE!</v>
      </c>
      <c r="CD40" s="135" t="str">
        <f t="shared" si="6"/>
        <v xml:space="preserve"> * La variable Beneficiarios No puede ser mayor al Total.</v>
      </c>
      <c r="CE40" s="135" t="e">
        <f t="shared" si="0"/>
        <v>#VALUE!</v>
      </c>
      <c r="CN40" s="84" t="e">
        <f t="shared" si="1"/>
        <v>#VALUE!</v>
      </c>
      <c r="CO40" s="84">
        <f t="shared" si="2"/>
        <v>1</v>
      </c>
      <c r="CP40" s="84" t="e">
        <f t="shared" si="3"/>
        <v>#VALUE!</v>
      </c>
    </row>
    <row r="41" spans="1:94" x14ac:dyDescent="0.25">
      <c r="A41" s="5787" t="s">
        <v>5366</v>
      </c>
      <c r="B41" s="343" t="s">
        <v>1226</v>
      </c>
      <c r="C41" s="295" t="s">
        <v>4567</v>
      </c>
      <c r="D41" s="3071" t="s">
        <v>4568</v>
      </c>
      <c r="E41" s="3070" t="s">
        <v>4569</v>
      </c>
      <c r="F41" s="3070" t="s">
        <v>4570</v>
      </c>
      <c r="G41" s="3070" t="s">
        <v>4571</v>
      </c>
      <c r="H41" s="1253" t="s">
        <v>4572</v>
      </c>
      <c r="I41" s="1253" t="s">
        <v>4573</v>
      </c>
      <c r="J41" s="1253" t="s">
        <v>4574</v>
      </c>
      <c r="K41" s="1253" t="s">
        <v>4575</v>
      </c>
      <c r="L41" s="1253" t="s">
        <v>4576</v>
      </c>
      <c r="M41" s="1253" t="s">
        <v>4577</v>
      </c>
      <c r="N41" s="1253" t="s">
        <v>4578</v>
      </c>
      <c r="O41" s="1253" t="s">
        <v>4579</v>
      </c>
      <c r="P41" s="1253" t="s">
        <v>4580</v>
      </c>
      <c r="Q41" s="1253" t="s">
        <v>4581</v>
      </c>
      <c r="R41" s="1253" t="s">
        <v>4582</v>
      </c>
      <c r="S41" s="1253" t="s">
        <v>4583</v>
      </c>
      <c r="T41" s="1253" t="s">
        <v>4584</v>
      </c>
      <c r="U41" s="1095" t="s">
        <v>4585</v>
      </c>
      <c r="V41" s="1090" t="s">
        <v>4586</v>
      </c>
      <c r="W41" s="1089" t="s">
        <v>4587</v>
      </c>
      <c r="X41" s="1095" t="s">
        <v>4588</v>
      </c>
      <c r="Y41" s="3061" t="s">
        <v>4589</v>
      </c>
      <c r="Z41" s="1089" t="s">
        <v>4590</v>
      </c>
      <c r="AA41" s="1253" t="s">
        <v>4591</v>
      </c>
      <c r="AB41" s="1095" t="s">
        <v>4592</v>
      </c>
      <c r="AC41" s="3066" t="s">
        <v>4593</v>
      </c>
      <c r="AD41" s="1089" t="s">
        <v>4594</v>
      </c>
      <c r="AE41" s="3063" t="s">
        <v>4595</v>
      </c>
      <c r="AF41" s="1095" t="s">
        <v>4596</v>
      </c>
      <c r="AG41" s="1311" t="s">
        <v>4597</v>
      </c>
      <c r="AH41" s="349" t="s">
        <v>4598</v>
      </c>
      <c r="AI41" t="e">
        <f t="shared" si="4"/>
        <v>#VALUE!</v>
      </c>
      <c r="CC41" s="135" t="e">
        <f t="shared" si="5"/>
        <v>#VALUE!</v>
      </c>
      <c r="CD41" s="135" t="str">
        <f t="shared" si="6"/>
        <v xml:space="preserve"> * La variable Beneficiarios No puede ser mayor al Total.</v>
      </c>
      <c r="CE41" s="135" t="e">
        <f t="shared" si="0"/>
        <v>#VALUE!</v>
      </c>
      <c r="CN41" s="84" t="e">
        <f t="shared" si="1"/>
        <v>#VALUE!</v>
      </c>
      <c r="CO41" s="84">
        <f t="shared" si="2"/>
        <v>1</v>
      </c>
      <c r="CP41" s="84" t="e">
        <f t="shared" si="3"/>
        <v>#VALUE!</v>
      </c>
    </row>
    <row r="42" spans="1:94" x14ac:dyDescent="0.25">
      <c r="A42" s="5787" t="s">
        <v>5367</v>
      </c>
      <c r="B42" s="343" t="s">
        <v>1227</v>
      </c>
      <c r="C42" s="295" t="s">
        <v>4567</v>
      </c>
      <c r="D42" s="1089" t="s">
        <v>4568</v>
      </c>
      <c r="E42" s="1253" t="s">
        <v>4569</v>
      </c>
      <c r="F42" s="1253" t="s">
        <v>4570</v>
      </c>
      <c r="G42" s="1253" t="s">
        <v>4571</v>
      </c>
      <c r="H42" s="1253" t="s">
        <v>4572</v>
      </c>
      <c r="I42" s="1253" t="s">
        <v>4573</v>
      </c>
      <c r="J42" s="1253" t="s">
        <v>4574</v>
      </c>
      <c r="K42" s="1253" t="s">
        <v>4575</v>
      </c>
      <c r="L42" s="1253" t="s">
        <v>4576</v>
      </c>
      <c r="M42" s="1253" t="s">
        <v>4577</v>
      </c>
      <c r="N42" s="1253" t="s">
        <v>4578</v>
      </c>
      <c r="O42" s="1253" t="s">
        <v>4579</v>
      </c>
      <c r="P42" s="1253" t="s">
        <v>4580</v>
      </c>
      <c r="Q42" s="1253" t="s">
        <v>4581</v>
      </c>
      <c r="R42" s="1253" t="s">
        <v>4582</v>
      </c>
      <c r="S42" s="1253" t="s">
        <v>4583</v>
      </c>
      <c r="T42" s="1253" t="s">
        <v>4584</v>
      </c>
      <c r="U42" s="1095" t="s">
        <v>4585</v>
      </c>
      <c r="V42" s="1090" t="s">
        <v>4586</v>
      </c>
      <c r="W42" s="1089" t="s">
        <v>4587</v>
      </c>
      <c r="X42" s="1095" t="s">
        <v>4588</v>
      </c>
      <c r="Y42" s="3061" t="s">
        <v>4589</v>
      </c>
      <c r="Z42" s="1089" t="s">
        <v>4590</v>
      </c>
      <c r="AA42" s="1253" t="s">
        <v>4591</v>
      </c>
      <c r="AB42" s="1095" t="s">
        <v>4592</v>
      </c>
      <c r="AC42" s="3066" t="s">
        <v>4593</v>
      </c>
      <c r="AD42" s="1089" t="s">
        <v>4594</v>
      </c>
      <c r="AE42" s="3063" t="s">
        <v>4595</v>
      </c>
      <c r="AF42" s="1095" t="s">
        <v>4596</v>
      </c>
      <c r="AG42" s="1311" t="s">
        <v>4597</v>
      </c>
      <c r="AH42" s="349" t="s">
        <v>4598</v>
      </c>
      <c r="AI42" t="e">
        <f t="shared" si="4"/>
        <v>#VALUE!</v>
      </c>
      <c r="CC42" s="135" t="e">
        <f t="shared" si="5"/>
        <v>#VALUE!</v>
      </c>
      <c r="CD42" s="135" t="str">
        <f t="shared" si="6"/>
        <v xml:space="preserve"> * La variable Beneficiarios No puede ser mayor al Total.</v>
      </c>
      <c r="CE42" s="135" t="e">
        <f t="shared" si="0"/>
        <v>#VALUE!</v>
      </c>
      <c r="CN42" s="84" t="e">
        <f t="shared" si="1"/>
        <v>#VALUE!</v>
      </c>
      <c r="CO42" s="84">
        <f t="shared" si="2"/>
        <v>1</v>
      </c>
      <c r="CP42" s="84" t="e">
        <f t="shared" si="3"/>
        <v>#VALUE!</v>
      </c>
    </row>
    <row r="43" spans="1:94" x14ac:dyDescent="0.25">
      <c r="A43" s="5787" t="s">
        <v>5368</v>
      </c>
      <c r="B43" s="3072" t="s">
        <v>1228</v>
      </c>
      <c r="C43" s="295" t="s">
        <v>4567</v>
      </c>
      <c r="D43" s="1089" t="s">
        <v>4568</v>
      </c>
      <c r="E43" s="1253" t="s">
        <v>4569</v>
      </c>
      <c r="F43" s="1253" t="s">
        <v>4570</v>
      </c>
      <c r="G43" s="1253" t="s">
        <v>4571</v>
      </c>
      <c r="H43" s="1253" t="s">
        <v>4572</v>
      </c>
      <c r="I43" s="1253" t="s">
        <v>4573</v>
      </c>
      <c r="J43" s="1253" t="s">
        <v>4574</v>
      </c>
      <c r="K43" s="1253" t="s">
        <v>4575</v>
      </c>
      <c r="L43" s="1253" t="s">
        <v>4576</v>
      </c>
      <c r="M43" s="1253" t="s">
        <v>4577</v>
      </c>
      <c r="N43" s="1253" t="s">
        <v>4578</v>
      </c>
      <c r="O43" s="1253" t="s">
        <v>4579</v>
      </c>
      <c r="P43" s="1253" t="s">
        <v>4580</v>
      </c>
      <c r="Q43" s="1253" t="s">
        <v>4581</v>
      </c>
      <c r="R43" s="1253" t="s">
        <v>4582</v>
      </c>
      <c r="S43" s="1253" t="s">
        <v>4583</v>
      </c>
      <c r="T43" s="1253" t="s">
        <v>4584</v>
      </c>
      <c r="U43" s="1095" t="s">
        <v>4585</v>
      </c>
      <c r="V43" s="1090" t="s">
        <v>4586</v>
      </c>
      <c r="W43" s="1089" t="s">
        <v>4587</v>
      </c>
      <c r="X43" s="1095" t="s">
        <v>4588</v>
      </c>
      <c r="Y43" s="3061" t="s">
        <v>4589</v>
      </c>
      <c r="Z43" s="1089" t="s">
        <v>4590</v>
      </c>
      <c r="AA43" s="1253" t="s">
        <v>4591</v>
      </c>
      <c r="AB43" s="1095" t="s">
        <v>4592</v>
      </c>
      <c r="AC43" s="3066" t="s">
        <v>4593</v>
      </c>
      <c r="AD43" s="1089" t="s">
        <v>4594</v>
      </c>
      <c r="AE43" s="3063" t="s">
        <v>4595</v>
      </c>
      <c r="AF43" s="1095" t="s">
        <v>4596</v>
      </c>
      <c r="AG43" s="1311" t="s">
        <v>4597</v>
      </c>
      <c r="AH43" s="349" t="s">
        <v>4598</v>
      </c>
      <c r="AI43" t="e">
        <f t="shared" ref="AI43:AI66" si="7">CC43&amp;CD43&amp;CE43</f>
        <v>#VALUE!</v>
      </c>
      <c r="CC43" s="135" t="e">
        <f t="shared" ref="CC43:CC66" si="8">IF(W43+X43&lt;&gt;C43," * La suma por Sexo (Hombres + Mujeres) NO DEBEN ser diferente al Total","")</f>
        <v>#VALUE!</v>
      </c>
      <c r="CD43" s="135" t="str">
        <f t="shared" ref="CD43:CD66" si="9">IF(AND(C43&gt;0,V43="")," * No olvide digitar la variable Beneficiarios. Digite CERO si no tiene",IF(V43&gt;C43," * La variable Beneficiarios No puede ser mayor al Total.",""))</f>
        <v xml:space="preserve"> * La variable Beneficiarios No puede ser mayor al Total.</v>
      </c>
      <c r="CE43" s="135" t="e">
        <f t="shared" ref="CE43:CE66" si="10">IF((Y43+AC43)&gt;C43," * La suma del Total de Consultas Nuevas según Origen NO DEBE ser MAYOR que el total de Consultas y Controles médicos.","")</f>
        <v>#VALUE!</v>
      </c>
      <c r="CN43" s="84" t="e">
        <f t="shared" ref="CN43:CN66" si="11">IF(W43+X43&lt;&gt;C43,1,0)</f>
        <v>#VALUE!</v>
      </c>
      <c r="CO43" s="84">
        <f t="shared" ref="CO43:CO66" si="12">IF(AND(C43&gt;0,V43=""),1,IF(V43&gt;C43,1,0))</f>
        <v>1</v>
      </c>
      <c r="CP43" s="84" t="e">
        <f t="shared" ref="CP43:CP66" si="13">IF((Y43+AC43)&gt;C43,1,0)</f>
        <v>#VALUE!</v>
      </c>
    </row>
    <row r="44" spans="1:94" x14ac:dyDescent="0.25">
      <c r="A44" s="5789" t="s">
        <v>5369</v>
      </c>
      <c r="B44" s="343" t="s">
        <v>4312</v>
      </c>
      <c r="C44" s="295" t="s">
        <v>4567</v>
      </c>
      <c r="D44" s="1089" t="s">
        <v>4568</v>
      </c>
      <c r="E44" s="1253" t="s">
        <v>4569</v>
      </c>
      <c r="F44" s="1253" t="s">
        <v>4570</v>
      </c>
      <c r="G44" s="1253" t="s">
        <v>4571</v>
      </c>
      <c r="H44" s="1253" t="s">
        <v>4572</v>
      </c>
      <c r="I44" s="1253" t="s">
        <v>4573</v>
      </c>
      <c r="J44" s="1253" t="s">
        <v>4574</v>
      </c>
      <c r="K44" s="1253" t="s">
        <v>4575</v>
      </c>
      <c r="L44" s="1253" t="s">
        <v>4576</v>
      </c>
      <c r="M44" s="1253" t="s">
        <v>4577</v>
      </c>
      <c r="N44" s="1253" t="s">
        <v>4578</v>
      </c>
      <c r="O44" s="1253" t="s">
        <v>4579</v>
      </c>
      <c r="P44" s="1253" t="s">
        <v>4580</v>
      </c>
      <c r="Q44" s="1253" t="s">
        <v>4581</v>
      </c>
      <c r="R44" s="1253" t="s">
        <v>4582</v>
      </c>
      <c r="S44" s="1253" t="s">
        <v>4583</v>
      </c>
      <c r="T44" s="1253" t="s">
        <v>4584</v>
      </c>
      <c r="U44" s="1095" t="s">
        <v>4585</v>
      </c>
      <c r="V44" s="1090" t="s">
        <v>4586</v>
      </c>
      <c r="W44" s="1089" t="s">
        <v>4587</v>
      </c>
      <c r="X44" s="1095" t="s">
        <v>4588</v>
      </c>
      <c r="Y44" s="3061" t="s">
        <v>4589</v>
      </c>
      <c r="Z44" s="1089" t="s">
        <v>4590</v>
      </c>
      <c r="AA44" s="1253" t="s">
        <v>4591</v>
      </c>
      <c r="AB44" s="1095" t="s">
        <v>4592</v>
      </c>
      <c r="AC44" s="3066" t="s">
        <v>4593</v>
      </c>
      <c r="AD44" s="1089" t="s">
        <v>4594</v>
      </c>
      <c r="AE44" s="3063" t="s">
        <v>4595</v>
      </c>
      <c r="AF44" s="1095" t="s">
        <v>4596</v>
      </c>
      <c r="AG44" s="1311" t="s">
        <v>4597</v>
      </c>
      <c r="AH44" s="349" t="s">
        <v>4598</v>
      </c>
      <c r="AI44" t="e">
        <f t="shared" si="7"/>
        <v>#VALUE!</v>
      </c>
      <c r="CC44" s="135" t="e">
        <f t="shared" si="8"/>
        <v>#VALUE!</v>
      </c>
      <c r="CD44" s="135" t="str">
        <f t="shared" si="9"/>
        <v xml:space="preserve"> * La variable Beneficiarios No puede ser mayor al Total.</v>
      </c>
      <c r="CE44" s="135" t="e">
        <f t="shared" si="10"/>
        <v>#VALUE!</v>
      </c>
      <c r="CN44" s="84" t="e">
        <f t="shared" si="11"/>
        <v>#VALUE!</v>
      </c>
      <c r="CO44" s="84">
        <f t="shared" si="12"/>
        <v>1</v>
      </c>
      <c r="CP44" s="84" t="e">
        <f t="shared" si="13"/>
        <v>#VALUE!</v>
      </c>
    </row>
    <row r="45" spans="1:94" x14ac:dyDescent="0.25">
      <c r="A45" s="5790" t="s">
        <v>5370</v>
      </c>
      <c r="B45" s="24" t="s">
        <v>1229</v>
      </c>
      <c r="C45" s="295" t="s">
        <v>4567</v>
      </c>
      <c r="D45" s="3071" t="s">
        <v>4568</v>
      </c>
      <c r="E45" s="3070" t="s">
        <v>4569</v>
      </c>
      <c r="F45" s="3070" t="s">
        <v>4570</v>
      </c>
      <c r="G45" s="3070" t="s">
        <v>4571</v>
      </c>
      <c r="H45" s="3070" t="s">
        <v>4572</v>
      </c>
      <c r="I45" s="1253" t="s">
        <v>4573</v>
      </c>
      <c r="J45" s="1253" t="s">
        <v>4574</v>
      </c>
      <c r="K45" s="1253" t="s">
        <v>4575</v>
      </c>
      <c r="L45" s="1253" t="s">
        <v>4576</v>
      </c>
      <c r="M45" s="1253" t="s">
        <v>4577</v>
      </c>
      <c r="N45" s="1253" t="s">
        <v>4578</v>
      </c>
      <c r="O45" s="1253" t="s">
        <v>4579</v>
      </c>
      <c r="P45" s="1253" t="s">
        <v>4580</v>
      </c>
      <c r="Q45" s="1253" t="s">
        <v>4581</v>
      </c>
      <c r="R45" s="1253" t="s">
        <v>4582</v>
      </c>
      <c r="S45" s="1253" t="s">
        <v>4583</v>
      </c>
      <c r="T45" s="1253" t="s">
        <v>4584</v>
      </c>
      <c r="U45" s="1095" t="s">
        <v>4585</v>
      </c>
      <c r="V45" s="1090" t="s">
        <v>4586</v>
      </c>
      <c r="W45" s="1089" t="s">
        <v>4587</v>
      </c>
      <c r="X45" s="1095" t="s">
        <v>4588</v>
      </c>
      <c r="Y45" s="3061" t="s">
        <v>4589</v>
      </c>
      <c r="Z45" s="1089" t="s">
        <v>4590</v>
      </c>
      <c r="AA45" s="1253" t="s">
        <v>4591</v>
      </c>
      <c r="AB45" s="1095" t="s">
        <v>4592</v>
      </c>
      <c r="AC45" s="3066" t="s">
        <v>4593</v>
      </c>
      <c r="AD45" s="1089" t="s">
        <v>4594</v>
      </c>
      <c r="AE45" s="3063" t="s">
        <v>4595</v>
      </c>
      <c r="AF45" s="1095" t="s">
        <v>4596</v>
      </c>
      <c r="AG45" s="1311" t="s">
        <v>4597</v>
      </c>
      <c r="AH45" s="349" t="s">
        <v>4598</v>
      </c>
      <c r="AI45" t="e">
        <f t="shared" si="7"/>
        <v>#VALUE!</v>
      </c>
      <c r="CC45" s="135" t="e">
        <f t="shared" si="8"/>
        <v>#VALUE!</v>
      </c>
      <c r="CD45" s="135" t="str">
        <f t="shared" si="9"/>
        <v xml:space="preserve"> * La variable Beneficiarios No puede ser mayor al Total.</v>
      </c>
      <c r="CE45" s="135" t="e">
        <f t="shared" si="10"/>
        <v>#VALUE!</v>
      </c>
      <c r="CN45" s="84" t="e">
        <f t="shared" si="11"/>
        <v>#VALUE!</v>
      </c>
      <c r="CO45" s="84">
        <f t="shared" si="12"/>
        <v>1</v>
      </c>
      <c r="CP45" s="84" t="e">
        <f t="shared" si="13"/>
        <v>#VALUE!</v>
      </c>
    </row>
    <row r="46" spans="1:94" x14ac:dyDescent="0.25">
      <c r="A46" s="5787" t="s">
        <v>5371</v>
      </c>
      <c r="B46" s="498" t="s">
        <v>1230</v>
      </c>
      <c r="C46" s="295" t="s">
        <v>4567</v>
      </c>
      <c r="D46" s="3071" t="s">
        <v>4568</v>
      </c>
      <c r="E46" s="3070" t="s">
        <v>4569</v>
      </c>
      <c r="F46" s="3070" t="s">
        <v>4570</v>
      </c>
      <c r="G46" s="3070" t="s">
        <v>4571</v>
      </c>
      <c r="H46" s="3070" t="s">
        <v>4572</v>
      </c>
      <c r="I46" s="1253" t="s">
        <v>4573</v>
      </c>
      <c r="J46" s="1253" t="s">
        <v>4574</v>
      </c>
      <c r="K46" s="1253" t="s">
        <v>4575</v>
      </c>
      <c r="L46" s="1253" t="s">
        <v>4576</v>
      </c>
      <c r="M46" s="1253" t="s">
        <v>4577</v>
      </c>
      <c r="N46" s="1253" t="s">
        <v>4578</v>
      </c>
      <c r="O46" s="1253" t="s">
        <v>4579</v>
      </c>
      <c r="P46" s="1253" t="s">
        <v>4580</v>
      </c>
      <c r="Q46" s="1253" t="s">
        <v>4581</v>
      </c>
      <c r="R46" s="1253" t="s">
        <v>4582</v>
      </c>
      <c r="S46" s="1253" t="s">
        <v>4583</v>
      </c>
      <c r="T46" s="1253" t="s">
        <v>4584</v>
      </c>
      <c r="U46" s="1095" t="s">
        <v>4585</v>
      </c>
      <c r="V46" s="1090" t="s">
        <v>4586</v>
      </c>
      <c r="W46" s="1089" t="s">
        <v>4587</v>
      </c>
      <c r="X46" s="1095" t="s">
        <v>4588</v>
      </c>
      <c r="Y46" s="3061" t="s">
        <v>4589</v>
      </c>
      <c r="Z46" s="1089" t="s">
        <v>4590</v>
      </c>
      <c r="AA46" s="1253" t="s">
        <v>4591</v>
      </c>
      <c r="AB46" s="1095" t="s">
        <v>4592</v>
      </c>
      <c r="AC46" s="3066" t="s">
        <v>4593</v>
      </c>
      <c r="AD46" s="1089" t="s">
        <v>4594</v>
      </c>
      <c r="AE46" s="3063" t="s">
        <v>4595</v>
      </c>
      <c r="AF46" s="1095" t="s">
        <v>4596</v>
      </c>
      <c r="AG46" s="1311" t="s">
        <v>4597</v>
      </c>
      <c r="AH46" s="349" t="s">
        <v>4598</v>
      </c>
      <c r="AI46" t="e">
        <f t="shared" si="7"/>
        <v>#VALUE!</v>
      </c>
      <c r="CC46" s="135" t="e">
        <f t="shared" si="8"/>
        <v>#VALUE!</v>
      </c>
      <c r="CD46" s="135" t="str">
        <f t="shared" si="9"/>
        <v xml:space="preserve"> * La variable Beneficiarios No puede ser mayor al Total.</v>
      </c>
      <c r="CE46" s="135" t="e">
        <f t="shared" si="10"/>
        <v>#VALUE!</v>
      </c>
      <c r="CN46" s="84" t="e">
        <f t="shared" si="11"/>
        <v>#VALUE!</v>
      </c>
      <c r="CO46" s="84">
        <f t="shared" si="12"/>
        <v>1</v>
      </c>
      <c r="CP46" s="84" t="e">
        <f t="shared" si="13"/>
        <v>#VALUE!</v>
      </c>
    </row>
    <row r="47" spans="1:94" x14ac:dyDescent="0.25">
      <c r="A47" s="5789" t="s">
        <v>5372</v>
      </c>
      <c r="B47" s="343" t="s">
        <v>4313</v>
      </c>
      <c r="C47" s="295" t="s">
        <v>4567</v>
      </c>
      <c r="D47" s="3071" t="s">
        <v>4568</v>
      </c>
      <c r="E47" s="3070" t="s">
        <v>4569</v>
      </c>
      <c r="F47" s="3070" t="s">
        <v>4570</v>
      </c>
      <c r="G47" s="3070" t="s">
        <v>4571</v>
      </c>
      <c r="H47" s="3070" t="s">
        <v>4572</v>
      </c>
      <c r="I47" s="3070" t="s">
        <v>4573</v>
      </c>
      <c r="J47" s="3070" t="s">
        <v>4574</v>
      </c>
      <c r="K47" s="3070" t="s">
        <v>4575</v>
      </c>
      <c r="L47" s="3070" t="s">
        <v>4576</v>
      </c>
      <c r="M47" s="3070" t="s">
        <v>4577</v>
      </c>
      <c r="N47" s="1253" t="s">
        <v>4578</v>
      </c>
      <c r="O47" s="1253" t="s">
        <v>4579</v>
      </c>
      <c r="P47" s="1253" t="s">
        <v>4580</v>
      </c>
      <c r="Q47" s="1253" t="s">
        <v>4581</v>
      </c>
      <c r="R47" s="1253" t="s">
        <v>4582</v>
      </c>
      <c r="S47" s="1253" t="s">
        <v>4583</v>
      </c>
      <c r="T47" s="1253" t="s">
        <v>4584</v>
      </c>
      <c r="U47" s="1095" t="s">
        <v>4585</v>
      </c>
      <c r="V47" s="1090" t="s">
        <v>4586</v>
      </c>
      <c r="W47" s="1089" t="s">
        <v>4587</v>
      </c>
      <c r="X47" s="1095" t="s">
        <v>4588</v>
      </c>
      <c r="Y47" s="3061" t="s">
        <v>4589</v>
      </c>
      <c r="Z47" s="1089" t="s">
        <v>4590</v>
      </c>
      <c r="AA47" s="1253" t="s">
        <v>4591</v>
      </c>
      <c r="AB47" s="1095" t="s">
        <v>4592</v>
      </c>
      <c r="AC47" s="3066" t="s">
        <v>4593</v>
      </c>
      <c r="AD47" s="1089" t="s">
        <v>4594</v>
      </c>
      <c r="AE47" s="3063" t="s">
        <v>4595</v>
      </c>
      <c r="AF47" s="1095" t="s">
        <v>4596</v>
      </c>
      <c r="AG47" s="1311" t="s">
        <v>4597</v>
      </c>
      <c r="AH47" s="349" t="s">
        <v>4598</v>
      </c>
      <c r="AI47" t="e">
        <f t="shared" si="7"/>
        <v>#VALUE!</v>
      </c>
      <c r="CC47" s="135" t="e">
        <f t="shared" si="8"/>
        <v>#VALUE!</v>
      </c>
      <c r="CD47" s="135" t="str">
        <f t="shared" si="9"/>
        <v xml:space="preserve"> * La variable Beneficiarios No puede ser mayor al Total.</v>
      </c>
      <c r="CE47" s="135" t="e">
        <f t="shared" si="10"/>
        <v>#VALUE!</v>
      </c>
      <c r="CN47" s="84" t="e">
        <f t="shared" si="11"/>
        <v>#VALUE!</v>
      </c>
      <c r="CO47" s="84">
        <f t="shared" si="12"/>
        <v>1</v>
      </c>
      <c r="CP47" s="84" t="e">
        <f t="shared" si="13"/>
        <v>#VALUE!</v>
      </c>
    </row>
    <row r="48" spans="1:94" x14ac:dyDescent="0.25">
      <c r="A48" s="5789" t="s">
        <v>5373</v>
      </c>
      <c r="B48" s="343" t="s">
        <v>4315</v>
      </c>
      <c r="C48" s="295" t="s">
        <v>4567</v>
      </c>
      <c r="D48" s="3071" t="s">
        <v>4568</v>
      </c>
      <c r="E48" s="3070" t="s">
        <v>4569</v>
      </c>
      <c r="F48" s="3070" t="s">
        <v>4570</v>
      </c>
      <c r="G48" s="3070" t="s">
        <v>4571</v>
      </c>
      <c r="H48" s="3070" t="s">
        <v>4572</v>
      </c>
      <c r="I48" s="1253" t="s">
        <v>4573</v>
      </c>
      <c r="J48" s="1253" t="s">
        <v>4574</v>
      </c>
      <c r="K48" s="1253" t="s">
        <v>4575</v>
      </c>
      <c r="L48" s="1253" t="s">
        <v>4576</v>
      </c>
      <c r="M48" s="1253" t="s">
        <v>4577</v>
      </c>
      <c r="N48" s="1253" t="s">
        <v>4578</v>
      </c>
      <c r="O48" s="1253" t="s">
        <v>4579</v>
      </c>
      <c r="P48" s="1253" t="s">
        <v>4580</v>
      </c>
      <c r="Q48" s="1253" t="s">
        <v>4581</v>
      </c>
      <c r="R48" s="1253" t="s">
        <v>4582</v>
      </c>
      <c r="S48" s="1253" t="s">
        <v>4583</v>
      </c>
      <c r="T48" s="1253" t="s">
        <v>4584</v>
      </c>
      <c r="U48" s="1095" t="s">
        <v>4585</v>
      </c>
      <c r="V48" s="3004" t="s">
        <v>4586</v>
      </c>
      <c r="W48" s="290" t="s">
        <v>4587</v>
      </c>
      <c r="X48" s="430" t="s">
        <v>4588</v>
      </c>
      <c r="Y48" s="3059" t="s">
        <v>4589</v>
      </c>
      <c r="Z48" s="1089" t="s">
        <v>4590</v>
      </c>
      <c r="AA48" s="1253" t="s">
        <v>4591</v>
      </c>
      <c r="AB48" s="1095" t="s">
        <v>4592</v>
      </c>
      <c r="AC48" s="3066" t="s">
        <v>4593</v>
      </c>
      <c r="AD48" s="1089" t="s">
        <v>4594</v>
      </c>
      <c r="AE48" s="3063" t="s">
        <v>4595</v>
      </c>
      <c r="AF48" s="1095" t="s">
        <v>4596</v>
      </c>
      <c r="AG48" s="1311" t="s">
        <v>4597</v>
      </c>
      <c r="AH48" s="349" t="s">
        <v>4598</v>
      </c>
      <c r="AI48" t="e">
        <f t="shared" si="7"/>
        <v>#VALUE!</v>
      </c>
      <c r="CC48" s="135" t="e">
        <f t="shared" si="8"/>
        <v>#VALUE!</v>
      </c>
      <c r="CD48" s="135" t="str">
        <f t="shared" si="9"/>
        <v xml:space="preserve"> * La variable Beneficiarios No puede ser mayor al Total.</v>
      </c>
      <c r="CE48" s="135" t="e">
        <f t="shared" si="10"/>
        <v>#VALUE!</v>
      </c>
      <c r="CN48" s="84" t="e">
        <f t="shared" si="11"/>
        <v>#VALUE!</v>
      </c>
      <c r="CO48" s="84">
        <f t="shared" si="12"/>
        <v>1</v>
      </c>
      <c r="CP48" s="84" t="e">
        <f t="shared" si="13"/>
        <v>#VALUE!</v>
      </c>
    </row>
    <row r="49" spans="1:94" x14ac:dyDescent="0.25">
      <c r="A49" s="5787" t="s">
        <v>5374</v>
      </c>
      <c r="B49" s="343" t="s">
        <v>1231</v>
      </c>
      <c r="C49" s="295" t="s">
        <v>4567</v>
      </c>
      <c r="D49" s="1089" t="s">
        <v>4568</v>
      </c>
      <c r="E49" s="1253" t="s">
        <v>4569</v>
      </c>
      <c r="F49" s="1253" t="s">
        <v>4570</v>
      </c>
      <c r="G49" s="1253" t="s">
        <v>4571</v>
      </c>
      <c r="H49" s="1253" t="s">
        <v>4572</v>
      </c>
      <c r="I49" s="1253" t="s">
        <v>4573</v>
      </c>
      <c r="J49" s="1253" t="s">
        <v>4574</v>
      </c>
      <c r="K49" s="1253" t="s">
        <v>4575</v>
      </c>
      <c r="L49" s="1253" t="s">
        <v>4576</v>
      </c>
      <c r="M49" s="1253" t="s">
        <v>4577</v>
      </c>
      <c r="N49" s="1253" t="s">
        <v>4578</v>
      </c>
      <c r="O49" s="1253" t="s">
        <v>4579</v>
      </c>
      <c r="P49" s="1253" t="s">
        <v>4580</v>
      </c>
      <c r="Q49" s="1253" t="s">
        <v>4581</v>
      </c>
      <c r="R49" s="1253" t="s">
        <v>4582</v>
      </c>
      <c r="S49" s="1253" t="s">
        <v>4583</v>
      </c>
      <c r="T49" s="1253" t="s">
        <v>4584</v>
      </c>
      <c r="U49" s="1095" t="s">
        <v>4585</v>
      </c>
      <c r="V49" s="1090" t="s">
        <v>4586</v>
      </c>
      <c r="W49" s="1089" t="s">
        <v>4587</v>
      </c>
      <c r="X49" s="1095" t="s">
        <v>4588</v>
      </c>
      <c r="Y49" s="3061" t="s">
        <v>4589</v>
      </c>
      <c r="Z49" s="1089" t="s">
        <v>4590</v>
      </c>
      <c r="AA49" s="1253" t="s">
        <v>4591</v>
      </c>
      <c r="AB49" s="1095" t="s">
        <v>4592</v>
      </c>
      <c r="AC49" s="3066" t="s">
        <v>4593</v>
      </c>
      <c r="AD49" s="1089" t="s">
        <v>4594</v>
      </c>
      <c r="AE49" s="3063" t="s">
        <v>4595</v>
      </c>
      <c r="AF49" s="1095" t="s">
        <v>4596</v>
      </c>
      <c r="AG49" s="1311" t="s">
        <v>4597</v>
      </c>
      <c r="AH49" s="349" t="s">
        <v>4598</v>
      </c>
      <c r="AI49" t="e">
        <f t="shared" si="7"/>
        <v>#VALUE!</v>
      </c>
      <c r="CC49" s="135" t="e">
        <f t="shared" si="8"/>
        <v>#VALUE!</v>
      </c>
      <c r="CD49" s="135" t="str">
        <f t="shared" si="9"/>
        <v xml:space="preserve"> * La variable Beneficiarios No puede ser mayor al Total.</v>
      </c>
      <c r="CE49" s="135" t="e">
        <f t="shared" si="10"/>
        <v>#VALUE!</v>
      </c>
      <c r="CN49" s="84" t="e">
        <f t="shared" si="11"/>
        <v>#VALUE!</v>
      </c>
      <c r="CO49" s="84">
        <f t="shared" si="12"/>
        <v>1</v>
      </c>
      <c r="CP49" s="84" t="e">
        <f t="shared" si="13"/>
        <v>#VALUE!</v>
      </c>
    </row>
    <row r="50" spans="1:94" x14ac:dyDescent="0.25">
      <c r="A50" s="5787" t="s">
        <v>5375</v>
      </c>
      <c r="B50" s="343" t="s">
        <v>1232</v>
      </c>
      <c r="C50" s="295" t="s">
        <v>4567</v>
      </c>
      <c r="D50" s="1089" t="s">
        <v>4568</v>
      </c>
      <c r="E50" s="1253" t="s">
        <v>4569</v>
      </c>
      <c r="F50" s="1253" t="s">
        <v>4570</v>
      </c>
      <c r="G50" s="1253" t="s">
        <v>4571</v>
      </c>
      <c r="H50" s="1253" t="s">
        <v>4572</v>
      </c>
      <c r="I50" s="1253" t="s">
        <v>4573</v>
      </c>
      <c r="J50" s="1253" t="s">
        <v>4574</v>
      </c>
      <c r="K50" s="1253" t="s">
        <v>4575</v>
      </c>
      <c r="L50" s="1253" t="s">
        <v>4576</v>
      </c>
      <c r="M50" s="1253" t="s">
        <v>4577</v>
      </c>
      <c r="N50" s="1253" t="s">
        <v>4578</v>
      </c>
      <c r="O50" s="1253" t="s">
        <v>4579</v>
      </c>
      <c r="P50" s="1253" t="s">
        <v>4580</v>
      </c>
      <c r="Q50" s="1253" t="s">
        <v>4581</v>
      </c>
      <c r="R50" s="1253" t="s">
        <v>4582</v>
      </c>
      <c r="S50" s="1253" t="s">
        <v>4583</v>
      </c>
      <c r="T50" s="1253" t="s">
        <v>4584</v>
      </c>
      <c r="U50" s="1095" t="s">
        <v>4585</v>
      </c>
      <c r="V50" s="1090" t="s">
        <v>4586</v>
      </c>
      <c r="W50" s="1089" t="s">
        <v>4587</v>
      </c>
      <c r="X50" s="1095" t="s">
        <v>4588</v>
      </c>
      <c r="Y50" s="3061" t="s">
        <v>4589</v>
      </c>
      <c r="Z50" s="1089" t="s">
        <v>4590</v>
      </c>
      <c r="AA50" s="1253" t="s">
        <v>4591</v>
      </c>
      <c r="AB50" s="1095" t="s">
        <v>4592</v>
      </c>
      <c r="AC50" s="3066" t="s">
        <v>4593</v>
      </c>
      <c r="AD50" s="1089" t="s">
        <v>4594</v>
      </c>
      <c r="AE50" s="3063" t="s">
        <v>4595</v>
      </c>
      <c r="AF50" s="1095" t="s">
        <v>4596</v>
      </c>
      <c r="AG50" s="1311" t="s">
        <v>4597</v>
      </c>
      <c r="AH50" s="349" t="s">
        <v>4598</v>
      </c>
      <c r="AI50" t="e">
        <f t="shared" si="7"/>
        <v>#VALUE!</v>
      </c>
      <c r="CC50" s="135" t="e">
        <f t="shared" si="8"/>
        <v>#VALUE!</v>
      </c>
      <c r="CD50" s="135" t="str">
        <f t="shared" si="9"/>
        <v xml:space="preserve"> * La variable Beneficiarios No puede ser mayor al Total.</v>
      </c>
      <c r="CE50" s="135" t="e">
        <f t="shared" si="10"/>
        <v>#VALUE!</v>
      </c>
      <c r="CN50" s="84" t="e">
        <f t="shared" si="11"/>
        <v>#VALUE!</v>
      </c>
      <c r="CO50" s="84">
        <f t="shared" si="12"/>
        <v>1</v>
      </c>
      <c r="CP50" s="84" t="e">
        <f t="shared" si="13"/>
        <v>#VALUE!</v>
      </c>
    </row>
    <row r="51" spans="1:94" x14ac:dyDescent="0.25">
      <c r="A51" s="5787" t="s">
        <v>5376</v>
      </c>
      <c r="B51" s="343" t="s">
        <v>1233</v>
      </c>
      <c r="C51" s="295" t="s">
        <v>4567</v>
      </c>
      <c r="D51" s="1089" t="s">
        <v>4568</v>
      </c>
      <c r="E51" s="1253" t="s">
        <v>4569</v>
      </c>
      <c r="F51" s="1253" t="s">
        <v>4570</v>
      </c>
      <c r="G51" s="1253" t="s">
        <v>4571</v>
      </c>
      <c r="H51" s="1253" t="s">
        <v>4572</v>
      </c>
      <c r="I51" s="1253" t="s">
        <v>4573</v>
      </c>
      <c r="J51" s="1253" t="s">
        <v>4574</v>
      </c>
      <c r="K51" s="1253" t="s">
        <v>4575</v>
      </c>
      <c r="L51" s="1253" t="s">
        <v>4576</v>
      </c>
      <c r="M51" s="1253" t="s">
        <v>4577</v>
      </c>
      <c r="N51" s="1253" t="s">
        <v>4578</v>
      </c>
      <c r="O51" s="1253" t="s">
        <v>4579</v>
      </c>
      <c r="P51" s="1253" t="s">
        <v>4580</v>
      </c>
      <c r="Q51" s="1253" t="s">
        <v>4581</v>
      </c>
      <c r="R51" s="1253" t="s">
        <v>4582</v>
      </c>
      <c r="S51" s="1253" t="s">
        <v>4583</v>
      </c>
      <c r="T51" s="1253" t="s">
        <v>4584</v>
      </c>
      <c r="U51" s="1095" t="s">
        <v>4585</v>
      </c>
      <c r="V51" s="1090" t="s">
        <v>4586</v>
      </c>
      <c r="W51" s="1089" t="s">
        <v>4587</v>
      </c>
      <c r="X51" s="1095" t="s">
        <v>4588</v>
      </c>
      <c r="Y51" s="3061" t="s">
        <v>4589</v>
      </c>
      <c r="Z51" s="1089" t="s">
        <v>4590</v>
      </c>
      <c r="AA51" s="1253" t="s">
        <v>4591</v>
      </c>
      <c r="AB51" s="1095" t="s">
        <v>4592</v>
      </c>
      <c r="AC51" s="3066" t="s">
        <v>4593</v>
      </c>
      <c r="AD51" s="1089" t="s">
        <v>4594</v>
      </c>
      <c r="AE51" s="3063" t="s">
        <v>4595</v>
      </c>
      <c r="AF51" s="1095" t="s">
        <v>4596</v>
      </c>
      <c r="AG51" s="1311" t="s">
        <v>4597</v>
      </c>
      <c r="AH51" s="349" t="s">
        <v>4598</v>
      </c>
      <c r="AI51" t="e">
        <f t="shared" si="7"/>
        <v>#VALUE!</v>
      </c>
      <c r="CC51" s="135" t="e">
        <f t="shared" si="8"/>
        <v>#VALUE!</v>
      </c>
      <c r="CD51" s="135" t="str">
        <f t="shared" si="9"/>
        <v xml:space="preserve"> * La variable Beneficiarios No puede ser mayor al Total.</v>
      </c>
      <c r="CE51" s="135" t="e">
        <f t="shared" si="10"/>
        <v>#VALUE!</v>
      </c>
      <c r="CN51" s="84" t="e">
        <f t="shared" si="11"/>
        <v>#VALUE!</v>
      </c>
      <c r="CO51" s="84">
        <f t="shared" si="12"/>
        <v>1</v>
      </c>
      <c r="CP51" s="84" t="e">
        <f t="shared" si="13"/>
        <v>#VALUE!</v>
      </c>
    </row>
    <row r="52" spans="1:94" x14ac:dyDescent="0.25">
      <c r="A52" s="5792" t="s">
        <v>5377</v>
      </c>
      <c r="B52" s="343" t="s">
        <v>1234</v>
      </c>
      <c r="C52" s="295" t="s">
        <v>4567</v>
      </c>
      <c r="D52" s="1089" t="s">
        <v>4568</v>
      </c>
      <c r="E52" s="1253" t="s">
        <v>4569</v>
      </c>
      <c r="F52" s="1253" t="s">
        <v>4570</v>
      </c>
      <c r="G52" s="1253" t="s">
        <v>4571</v>
      </c>
      <c r="H52" s="1253" t="s">
        <v>4572</v>
      </c>
      <c r="I52" s="1253" t="s">
        <v>4573</v>
      </c>
      <c r="J52" s="1253" t="s">
        <v>4574</v>
      </c>
      <c r="K52" s="1253" t="s">
        <v>4575</v>
      </c>
      <c r="L52" s="1253" t="s">
        <v>4576</v>
      </c>
      <c r="M52" s="1253" t="s">
        <v>4577</v>
      </c>
      <c r="N52" s="1253" t="s">
        <v>4578</v>
      </c>
      <c r="O52" s="1253" t="s">
        <v>4579</v>
      </c>
      <c r="P52" s="1253" t="s">
        <v>4580</v>
      </c>
      <c r="Q52" s="1253" t="s">
        <v>4581</v>
      </c>
      <c r="R52" s="1253" t="s">
        <v>4582</v>
      </c>
      <c r="S52" s="1253" t="s">
        <v>4583</v>
      </c>
      <c r="T52" s="1253" t="s">
        <v>4584</v>
      </c>
      <c r="U52" s="1095" t="s">
        <v>4585</v>
      </c>
      <c r="V52" s="1090" t="s">
        <v>4586</v>
      </c>
      <c r="W52" s="1089" t="s">
        <v>4587</v>
      </c>
      <c r="X52" s="1095" t="s">
        <v>4588</v>
      </c>
      <c r="Y52" s="3061" t="s">
        <v>4589</v>
      </c>
      <c r="Z52" s="1089" t="s">
        <v>4590</v>
      </c>
      <c r="AA52" s="1253" t="s">
        <v>4591</v>
      </c>
      <c r="AB52" s="1095" t="s">
        <v>4592</v>
      </c>
      <c r="AC52" s="3066" t="s">
        <v>4593</v>
      </c>
      <c r="AD52" s="1089" t="s">
        <v>4594</v>
      </c>
      <c r="AE52" s="3063" t="s">
        <v>4595</v>
      </c>
      <c r="AF52" s="1095" t="s">
        <v>4596</v>
      </c>
      <c r="AG52" s="1311" t="s">
        <v>4597</v>
      </c>
      <c r="AH52" s="349" t="s">
        <v>4598</v>
      </c>
      <c r="AI52" t="e">
        <f t="shared" si="7"/>
        <v>#VALUE!</v>
      </c>
      <c r="CC52" s="135" t="e">
        <f t="shared" si="8"/>
        <v>#VALUE!</v>
      </c>
      <c r="CD52" s="135" t="str">
        <f t="shared" si="9"/>
        <v xml:space="preserve"> * La variable Beneficiarios No puede ser mayor al Total.</v>
      </c>
      <c r="CE52" s="135" t="e">
        <f t="shared" si="10"/>
        <v>#VALUE!</v>
      </c>
      <c r="CN52" s="84" t="e">
        <f t="shared" si="11"/>
        <v>#VALUE!</v>
      </c>
      <c r="CO52" s="84">
        <f t="shared" si="12"/>
        <v>1</v>
      </c>
      <c r="CP52" s="84" t="e">
        <f t="shared" si="13"/>
        <v>#VALUE!</v>
      </c>
    </row>
    <row r="53" spans="1:94" x14ac:dyDescent="0.25">
      <c r="A53" s="5787" t="s">
        <v>5378</v>
      </c>
      <c r="B53" s="343" t="s">
        <v>1235</v>
      </c>
      <c r="C53" s="295" t="s">
        <v>4567</v>
      </c>
      <c r="D53" s="1089" t="s">
        <v>4568</v>
      </c>
      <c r="E53" s="1253" t="s">
        <v>4569</v>
      </c>
      <c r="F53" s="1253" t="s">
        <v>4570</v>
      </c>
      <c r="G53" s="1253" t="s">
        <v>4571</v>
      </c>
      <c r="H53" s="1253" t="s">
        <v>4572</v>
      </c>
      <c r="I53" s="1253" t="s">
        <v>4573</v>
      </c>
      <c r="J53" s="1253" t="s">
        <v>4574</v>
      </c>
      <c r="K53" s="1253" t="s">
        <v>4575</v>
      </c>
      <c r="L53" s="1253" t="s">
        <v>4576</v>
      </c>
      <c r="M53" s="1253" t="s">
        <v>4577</v>
      </c>
      <c r="N53" s="1253" t="s">
        <v>4578</v>
      </c>
      <c r="O53" s="1253" t="s">
        <v>4579</v>
      </c>
      <c r="P53" s="1253" t="s">
        <v>4580</v>
      </c>
      <c r="Q53" s="1253" t="s">
        <v>4581</v>
      </c>
      <c r="R53" s="1253" t="s">
        <v>4582</v>
      </c>
      <c r="S53" s="1253" t="s">
        <v>4583</v>
      </c>
      <c r="T53" s="1253" t="s">
        <v>4584</v>
      </c>
      <c r="U53" s="1095" t="s">
        <v>4585</v>
      </c>
      <c r="V53" s="1090" t="s">
        <v>4586</v>
      </c>
      <c r="W53" s="1089" t="s">
        <v>4587</v>
      </c>
      <c r="X53" s="1095" t="s">
        <v>4588</v>
      </c>
      <c r="Y53" s="3061" t="s">
        <v>4589</v>
      </c>
      <c r="Z53" s="1089" t="s">
        <v>4590</v>
      </c>
      <c r="AA53" s="1253" t="s">
        <v>4591</v>
      </c>
      <c r="AB53" s="1095" t="s">
        <v>4592</v>
      </c>
      <c r="AC53" s="3066" t="s">
        <v>4593</v>
      </c>
      <c r="AD53" s="1089" t="s">
        <v>4594</v>
      </c>
      <c r="AE53" s="3063" t="s">
        <v>4595</v>
      </c>
      <c r="AF53" s="1095" t="s">
        <v>4596</v>
      </c>
      <c r="AG53" s="1311" t="s">
        <v>4597</v>
      </c>
      <c r="AH53" s="349" t="s">
        <v>4598</v>
      </c>
      <c r="AI53" t="e">
        <f t="shared" si="7"/>
        <v>#VALUE!</v>
      </c>
      <c r="CC53" s="135" t="e">
        <f t="shared" si="8"/>
        <v>#VALUE!</v>
      </c>
      <c r="CD53" s="135" t="str">
        <f t="shared" si="9"/>
        <v xml:space="preserve"> * La variable Beneficiarios No puede ser mayor al Total.</v>
      </c>
      <c r="CE53" s="135" t="e">
        <f t="shared" si="10"/>
        <v>#VALUE!</v>
      </c>
      <c r="CN53" s="84" t="e">
        <f t="shared" si="11"/>
        <v>#VALUE!</v>
      </c>
      <c r="CO53" s="84">
        <f t="shared" si="12"/>
        <v>1</v>
      </c>
      <c r="CP53" s="84" t="e">
        <f t="shared" si="13"/>
        <v>#VALUE!</v>
      </c>
    </row>
    <row r="54" spans="1:94" x14ac:dyDescent="0.25">
      <c r="A54" s="5787" t="s">
        <v>5379</v>
      </c>
      <c r="B54" s="250" t="s">
        <v>1236</v>
      </c>
      <c r="C54" s="295" t="s">
        <v>4567</v>
      </c>
      <c r="D54" s="1089" t="s">
        <v>4568</v>
      </c>
      <c r="E54" s="1253" t="s">
        <v>4569</v>
      </c>
      <c r="F54" s="1253" t="s">
        <v>4570</v>
      </c>
      <c r="G54" s="1253" t="s">
        <v>4571</v>
      </c>
      <c r="H54" s="1253" t="s">
        <v>4572</v>
      </c>
      <c r="I54" s="1253" t="s">
        <v>4573</v>
      </c>
      <c r="J54" s="1253" t="s">
        <v>4574</v>
      </c>
      <c r="K54" s="1253" t="s">
        <v>4575</v>
      </c>
      <c r="L54" s="1253" t="s">
        <v>4576</v>
      </c>
      <c r="M54" s="1253" t="s">
        <v>4577</v>
      </c>
      <c r="N54" s="1253" t="s">
        <v>4578</v>
      </c>
      <c r="O54" s="1253" t="s">
        <v>4579</v>
      </c>
      <c r="P54" s="1253" t="s">
        <v>4580</v>
      </c>
      <c r="Q54" s="1253" t="s">
        <v>4581</v>
      </c>
      <c r="R54" s="1253" t="s">
        <v>4582</v>
      </c>
      <c r="S54" s="1253" t="s">
        <v>4583</v>
      </c>
      <c r="T54" s="1253" t="s">
        <v>4584</v>
      </c>
      <c r="U54" s="1095" t="s">
        <v>4585</v>
      </c>
      <c r="V54" s="1090" t="s">
        <v>4586</v>
      </c>
      <c r="W54" s="1089" t="s">
        <v>4587</v>
      </c>
      <c r="X54" s="1095" t="s">
        <v>4588</v>
      </c>
      <c r="Y54" s="3061" t="s">
        <v>4589</v>
      </c>
      <c r="Z54" s="1089" t="s">
        <v>4590</v>
      </c>
      <c r="AA54" s="1253" t="s">
        <v>4591</v>
      </c>
      <c r="AB54" s="1095" t="s">
        <v>4592</v>
      </c>
      <c r="AC54" s="3066" t="s">
        <v>4593</v>
      </c>
      <c r="AD54" s="1089" t="s">
        <v>4594</v>
      </c>
      <c r="AE54" s="3063" t="s">
        <v>4595</v>
      </c>
      <c r="AF54" s="1095" t="s">
        <v>4596</v>
      </c>
      <c r="AG54" s="1311" t="s">
        <v>4597</v>
      </c>
      <c r="AH54" s="349" t="s">
        <v>4598</v>
      </c>
      <c r="AI54" t="e">
        <f t="shared" si="7"/>
        <v>#VALUE!</v>
      </c>
      <c r="CC54" s="135" t="e">
        <f t="shared" si="8"/>
        <v>#VALUE!</v>
      </c>
      <c r="CD54" s="135" t="str">
        <f t="shared" si="9"/>
        <v xml:space="preserve"> * La variable Beneficiarios No puede ser mayor al Total.</v>
      </c>
      <c r="CE54" s="135" t="e">
        <f t="shared" si="10"/>
        <v>#VALUE!</v>
      </c>
      <c r="CN54" s="84" t="e">
        <f t="shared" si="11"/>
        <v>#VALUE!</v>
      </c>
      <c r="CO54" s="84">
        <f t="shared" si="12"/>
        <v>1</v>
      </c>
      <c r="CP54" s="84" t="e">
        <f t="shared" si="13"/>
        <v>#VALUE!</v>
      </c>
    </row>
    <row r="55" spans="1:94" x14ac:dyDescent="0.25">
      <c r="A55" s="5789" t="s">
        <v>5380</v>
      </c>
      <c r="B55" s="498" t="s">
        <v>1427</v>
      </c>
      <c r="C55" s="295" t="s">
        <v>4567</v>
      </c>
      <c r="D55" s="1089" t="s">
        <v>4568</v>
      </c>
      <c r="E55" s="1253" t="s">
        <v>4569</v>
      </c>
      <c r="F55" s="1253" t="s">
        <v>4570</v>
      </c>
      <c r="G55" s="1253" t="s">
        <v>4571</v>
      </c>
      <c r="H55" s="1253" t="s">
        <v>4572</v>
      </c>
      <c r="I55" s="1253" t="s">
        <v>4573</v>
      </c>
      <c r="J55" s="1253" t="s">
        <v>4574</v>
      </c>
      <c r="K55" s="1253" t="s">
        <v>4575</v>
      </c>
      <c r="L55" s="1253" t="s">
        <v>4576</v>
      </c>
      <c r="M55" s="1253" t="s">
        <v>4577</v>
      </c>
      <c r="N55" s="1253" t="s">
        <v>4578</v>
      </c>
      <c r="O55" s="1253" t="s">
        <v>4579</v>
      </c>
      <c r="P55" s="1253" t="s">
        <v>4580</v>
      </c>
      <c r="Q55" s="1253" t="s">
        <v>4581</v>
      </c>
      <c r="R55" s="1253" t="s">
        <v>4582</v>
      </c>
      <c r="S55" s="1253" t="s">
        <v>4583</v>
      </c>
      <c r="T55" s="1253" t="s">
        <v>4584</v>
      </c>
      <c r="U55" s="1095" t="s">
        <v>4585</v>
      </c>
      <c r="V55" s="1090" t="s">
        <v>4586</v>
      </c>
      <c r="W55" s="1089" t="s">
        <v>4587</v>
      </c>
      <c r="X55" s="1095" t="s">
        <v>4588</v>
      </c>
      <c r="Y55" s="3061" t="s">
        <v>4589</v>
      </c>
      <c r="Z55" s="1089" t="s">
        <v>4590</v>
      </c>
      <c r="AA55" s="1253" t="s">
        <v>4591</v>
      </c>
      <c r="AB55" s="1095" t="s">
        <v>4592</v>
      </c>
      <c r="AC55" s="3066" t="s">
        <v>4593</v>
      </c>
      <c r="AD55" s="1089" t="s">
        <v>4594</v>
      </c>
      <c r="AE55" s="3063" t="s">
        <v>4595</v>
      </c>
      <c r="AF55" s="1095" t="s">
        <v>4596</v>
      </c>
      <c r="AG55" s="1311" t="s">
        <v>4597</v>
      </c>
      <c r="AH55" s="349" t="s">
        <v>4598</v>
      </c>
      <c r="AI55" t="e">
        <f t="shared" si="7"/>
        <v>#VALUE!</v>
      </c>
      <c r="CC55" s="135" t="e">
        <f t="shared" si="8"/>
        <v>#VALUE!</v>
      </c>
      <c r="CD55" s="135" t="str">
        <f t="shared" si="9"/>
        <v xml:space="preserve"> * La variable Beneficiarios No puede ser mayor al Total.</v>
      </c>
      <c r="CE55" s="135" t="e">
        <f t="shared" si="10"/>
        <v>#VALUE!</v>
      </c>
      <c r="CN55" s="84" t="e">
        <f t="shared" si="11"/>
        <v>#VALUE!</v>
      </c>
      <c r="CO55" s="84">
        <f t="shared" si="12"/>
        <v>1</v>
      </c>
      <c r="CP55" s="84" t="e">
        <f t="shared" si="13"/>
        <v>#VALUE!</v>
      </c>
    </row>
    <row r="56" spans="1:94" x14ac:dyDescent="0.25">
      <c r="A56" s="5789" t="s">
        <v>5381</v>
      </c>
      <c r="B56" s="498" t="s">
        <v>4306</v>
      </c>
      <c r="C56" s="295" t="s">
        <v>4567</v>
      </c>
      <c r="D56" s="1089" t="s">
        <v>4568</v>
      </c>
      <c r="E56" s="1253" t="s">
        <v>4569</v>
      </c>
      <c r="F56" s="1253" t="s">
        <v>4570</v>
      </c>
      <c r="G56" s="1253" t="s">
        <v>4571</v>
      </c>
      <c r="H56" s="1253" t="s">
        <v>4572</v>
      </c>
      <c r="I56" s="1253" t="s">
        <v>4573</v>
      </c>
      <c r="J56" s="1253" t="s">
        <v>4574</v>
      </c>
      <c r="K56" s="1253" t="s">
        <v>4575</v>
      </c>
      <c r="L56" s="1253" t="s">
        <v>4576</v>
      </c>
      <c r="M56" s="1253" t="s">
        <v>4577</v>
      </c>
      <c r="N56" s="1253" t="s">
        <v>4578</v>
      </c>
      <c r="O56" s="1253" t="s">
        <v>4579</v>
      </c>
      <c r="P56" s="1253" t="s">
        <v>4580</v>
      </c>
      <c r="Q56" s="1253" t="s">
        <v>4581</v>
      </c>
      <c r="R56" s="1253" t="s">
        <v>4582</v>
      </c>
      <c r="S56" s="1253" t="s">
        <v>4583</v>
      </c>
      <c r="T56" s="1253" t="s">
        <v>4584</v>
      </c>
      <c r="U56" s="1095" t="s">
        <v>4585</v>
      </c>
      <c r="V56" s="1090" t="s">
        <v>4586</v>
      </c>
      <c r="W56" s="1089" t="s">
        <v>4587</v>
      </c>
      <c r="X56" s="1095" t="s">
        <v>4588</v>
      </c>
      <c r="Y56" s="3061" t="s">
        <v>4589</v>
      </c>
      <c r="Z56" s="1089" t="s">
        <v>4590</v>
      </c>
      <c r="AA56" s="1253" t="s">
        <v>4591</v>
      </c>
      <c r="AB56" s="1095" t="s">
        <v>4592</v>
      </c>
      <c r="AC56" s="3066" t="s">
        <v>4593</v>
      </c>
      <c r="AD56" s="1089" t="s">
        <v>4594</v>
      </c>
      <c r="AE56" s="3063" t="s">
        <v>4595</v>
      </c>
      <c r="AF56" s="1095" t="s">
        <v>4596</v>
      </c>
      <c r="AG56" s="1311" t="s">
        <v>4597</v>
      </c>
      <c r="AH56" s="349" t="s">
        <v>4598</v>
      </c>
      <c r="AI56" t="e">
        <f t="shared" si="7"/>
        <v>#VALUE!</v>
      </c>
      <c r="CC56" s="135" t="e">
        <f t="shared" si="8"/>
        <v>#VALUE!</v>
      </c>
      <c r="CD56" s="135" t="str">
        <f t="shared" si="9"/>
        <v xml:space="preserve"> * La variable Beneficiarios No puede ser mayor al Total.</v>
      </c>
      <c r="CE56" s="135" t="e">
        <f t="shared" si="10"/>
        <v>#VALUE!</v>
      </c>
      <c r="CN56" s="84" t="e">
        <f t="shared" si="11"/>
        <v>#VALUE!</v>
      </c>
      <c r="CO56" s="84">
        <f t="shared" si="12"/>
        <v>1</v>
      </c>
      <c r="CP56" s="84" t="e">
        <f t="shared" si="13"/>
        <v>#VALUE!</v>
      </c>
    </row>
    <row r="57" spans="1:94" x14ac:dyDescent="0.25">
      <c r="A57" s="5789" t="s">
        <v>5382</v>
      </c>
      <c r="B57" s="3068" t="s">
        <v>4319</v>
      </c>
      <c r="C57" s="295" t="s">
        <v>4567</v>
      </c>
      <c r="D57" s="1089" t="s">
        <v>4568</v>
      </c>
      <c r="E57" s="1253" t="s">
        <v>4569</v>
      </c>
      <c r="F57" s="1253" t="s">
        <v>4570</v>
      </c>
      <c r="G57" s="1253" t="s">
        <v>4571</v>
      </c>
      <c r="H57" s="1253" t="s">
        <v>4572</v>
      </c>
      <c r="I57" s="1253" t="s">
        <v>4573</v>
      </c>
      <c r="J57" s="1253" t="s">
        <v>4574</v>
      </c>
      <c r="K57" s="1253" t="s">
        <v>4575</v>
      </c>
      <c r="L57" s="1253" t="s">
        <v>4576</v>
      </c>
      <c r="M57" s="1253" t="s">
        <v>4577</v>
      </c>
      <c r="N57" s="1253" t="s">
        <v>4578</v>
      </c>
      <c r="O57" s="1253" t="s">
        <v>4579</v>
      </c>
      <c r="P57" s="1253" t="s">
        <v>4580</v>
      </c>
      <c r="Q57" s="1253" t="s">
        <v>4581</v>
      </c>
      <c r="R57" s="1253" t="s">
        <v>4582</v>
      </c>
      <c r="S57" s="1253" t="s">
        <v>4583</v>
      </c>
      <c r="T57" s="1253" t="s">
        <v>4584</v>
      </c>
      <c r="U57" s="1095" t="s">
        <v>4585</v>
      </c>
      <c r="V57" s="1090" t="s">
        <v>4586</v>
      </c>
      <c r="W57" s="1089" t="s">
        <v>4587</v>
      </c>
      <c r="X57" s="1095" t="s">
        <v>4588</v>
      </c>
      <c r="Y57" s="3061" t="s">
        <v>4589</v>
      </c>
      <c r="Z57" s="1089" t="s">
        <v>4590</v>
      </c>
      <c r="AA57" s="1253" t="s">
        <v>4591</v>
      </c>
      <c r="AB57" s="1095" t="s">
        <v>4592</v>
      </c>
      <c r="AC57" s="3066" t="s">
        <v>4593</v>
      </c>
      <c r="AD57" s="1089" t="s">
        <v>4594</v>
      </c>
      <c r="AE57" s="3063" t="s">
        <v>4595</v>
      </c>
      <c r="AF57" s="1095" t="s">
        <v>4596</v>
      </c>
      <c r="AG57" s="1311" t="s">
        <v>4597</v>
      </c>
      <c r="AH57" s="349" t="s">
        <v>4598</v>
      </c>
      <c r="AI57" t="e">
        <f t="shared" si="7"/>
        <v>#VALUE!</v>
      </c>
      <c r="CC57" s="135" t="e">
        <f t="shared" si="8"/>
        <v>#VALUE!</v>
      </c>
      <c r="CD57" s="135" t="str">
        <f t="shared" si="9"/>
        <v xml:space="preserve"> * La variable Beneficiarios No puede ser mayor al Total.</v>
      </c>
      <c r="CE57" s="135" t="e">
        <f t="shared" si="10"/>
        <v>#VALUE!</v>
      </c>
      <c r="CN57" s="84" t="e">
        <f t="shared" si="11"/>
        <v>#VALUE!</v>
      </c>
      <c r="CO57" s="84">
        <f t="shared" si="12"/>
        <v>1</v>
      </c>
      <c r="CP57" s="84" t="e">
        <f t="shared" si="13"/>
        <v>#VALUE!</v>
      </c>
    </row>
    <row r="58" spans="1:94" x14ac:dyDescent="0.25">
      <c r="A58" s="5790" t="s">
        <v>5383</v>
      </c>
      <c r="B58" s="343" t="s">
        <v>1237</v>
      </c>
      <c r="C58" s="295" t="s">
        <v>4567</v>
      </c>
      <c r="D58" s="1089" t="s">
        <v>4568</v>
      </c>
      <c r="E58" s="1253" t="s">
        <v>4569</v>
      </c>
      <c r="F58" s="1253" t="s">
        <v>4570</v>
      </c>
      <c r="G58" s="1253" t="s">
        <v>4571</v>
      </c>
      <c r="H58" s="1253" t="s">
        <v>4572</v>
      </c>
      <c r="I58" s="1253" t="s">
        <v>4573</v>
      </c>
      <c r="J58" s="1253" t="s">
        <v>4574</v>
      </c>
      <c r="K58" s="1253" t="s">
        <v>4575</v>
      </c>
      <c r="L58" s="1253" t="s">
        <v>4576</v>
      </c>
      <c r="M58" s="1253" t="s">
        <v>4577</v>
      </c>
      <c r="N58" s="1253" t="s">
        <v>4578</v>
      </c>
      <c r="O58" s="1253" t="s">
        <v>4579</v>
      </c>
      <c r="P58" s="1253" t="s">
        <v>4580</v>
      </c>
      <c r="Q58" s="1253" t="s">
        <v>4581</v>
      </c>
      <c r="R58" s="1253" t="s">
        <v>4582</v>
      </c>
      <c r="S58" s="1253" t="s">
        <v>4583</v>
      </c>
      <c r="T58" s="1253" t="s">
        <v>4584</v>
      </c>
      <c r="U58" s="1095" t="s">
        <v>4585</v>
      </c>
      <c r="V58" s="1090" t="s">
        <v>4586</v>
      </c>
      <c r="W58" s="1089" t="s">
        <v>4587</v>
      </c>
      <c r="X58" s="1095" t="s">
        <v>4588</v>
      </c>
      <c r="Y58" s="3061" t="s">
        <v>4589</v>
      </c>
      <c r="Z58" s="1089" t="s">
        <v>4590</v>
      </c>
      <c r="AA58" s="1253" t="s">
        <v>4591</v>
      </c>
      <c r="AB58" s="1095" t="s">
        <v>4592</v>
      </c>
      <c r="AC58" s="3066" t="s">
        <v>4593</v>
      </c>
      <c r="AD58" s="1089" t="s">
        <v>4594</v>
      </c>
      <c r="AE58" s="3063" t="s">
        <v>4595</v>
      </c>
      <c r="AF58" s="1095" t="s">
        <v>4596</v>
      </c>
      <c r="AG58" s="1311" t="s">
        <v>4597</v>
      </c>
      <c r="AH58" s="349" t="s">
        <v>4598</v>
      </c>
      <c r="AI58" t="e">
        <f t="shared" si="7"/>
        <v>#VALUE!</v>
      </c>
      <c r="CC58" s="135" t="e">
        <f t="shared" si="8"/>
        <v>#VALUE!</v>
      </c>
      <c r="CD58" s="135" t="str">
        <f t="shared" si="9"/>
        <v xml:space="preserve"> * La variable Beneficiarios No puede ser mayor al Total.</v>
      </c>
      <c r="CE58" s="135" t="e">
        <f t="shared" si="10"/>
        <v>#VALUE!</v>
      </c>
      <c r="CN58" s="84" t="e">
        <f t="shared" si="11"/>
        <v>#VALUE!</v>
      </c>
      <c r="CO58" s="84">
        <f t="shared" si="12"/>
        <v>1</v>
      </c>
      <c r="CP58" s="84" t="e">
        <f t="shared" si="13"/>
        <v>#VALUE!</v>
      </c>
    </row>
    <row r="59" spans="1:94" x14ac:dyDescent="0.25">
      <c r="A59" s="5787" t="s">
        <v>5384</v>
      </c>
      <c r="B59" s="343" t="s">
        <v>1238</v>
      </c>
      <c r="C59" s="295" t="s">
        <v>4567</v>
      </c>
      <c r="D59" s="1089" t="s">
        <v>4568</v>
      </c>
      <c r="E59" s="1253" t="s">
        <v>4569</v>
      </c>
      <c r="F59" s="1253" t="s">
        <v>4570</v>
      </c>
      <c r="G59" s="1253" t="s">
        <v>4571</v>
      </c>
      <c r="H59" s="1253" t="s">
        <v>4572</v>
      </c>
      <c r="I59" s="1253" t="s">
        <v>4573</v>
      </c>
      <c r="J59" s="1253" t="s">
        <v>4574</v>
      </c>
      <c r="K59" s="1253" t="s">
        <v>4575</v>
      </c>
      <c r="L59" s="1253" t="s">
        <v>4576</v>
      </c>
      <c r="M59" s="1253" t="s">
        <v>4577</v>
      </c>
      <c r="N59" s="1253" t="s">
        <v>4578</v>
      </c>
      <c r="O59" s="1253" t="s">
        <v>4579</v>
      </c>
      <c r="P59" s="1253" t="s">
        <v>4580</v>
      </c>
      <c r="Q59" s="1253" t="s">
        <v>4581</v>
      </c>
      <c r="R59" s="1253" t="s">
        <v>4582</v>
      </c>
      <c r="S59" s="1253" t="s">
        <v>4583</v>
      </c>
      <c r="T59" s="1253" t="s">
        <v>4584</v>
      </c>
      <c r="U59" s="1095" t="s">
        <v>4585</v>
      </c>
      <c r="V59" s="1090" t="s">
        <v>4586</v>
      </c>
      <c r="W59" s="1089" t="s">
        <v>4587</v>
      </c>
      <c r="X59" s="1095" t="s">
        <v>4588</v>
      </c>
      <c r="Y59" s="3061" t="s">
        <v>4589</v>
      </c>
      <c r="Z59" s="1089" t="s">
        <v>4590</v>
      </c>
      <c r="AA59" s="1253" t="s">
        <v>4591</v>
      </c>
      <c r="AB59" s="1095" t="s">
        <v>4592</v>
      </c>
      <c r="AC59" s="3066" t="s">
        <v>4593</v>
      </c>
      <c r="AD59" s="1089" t="s">
        <v>4594</v>
      </c>
      <c r="AE59" s="3063" t="s">
        <v>4595</v>
      </c>
      <c r="AF59" s="1095" t="s">
        <v>4596</v>
      </c>
      <c r="AG59" s="1311" t="s">
        <v>4597</v>
      </c>
      <c r="AH59" s="349" t="s">
        <v>4598</v>
      </c>
      <c r="AI59" t="e">
        <f t="shared" si="7"/>
        <v>#VALUE!</v>
      </c>
      <c r="CC59" s="135" t="e">
        <f t="shared" si="8"/>
        <v>#VALUE!</v>
      </c>
      <c r="CD59" s="135" t="str">
        <f t="shared" si="9"/>
        <v xml:space="preserve"> * La variable Beneficiarios No puede ser mayor al Total.</v>
      </c>
      <c r="CE59" s="135" t="e">
        <f t="shared" si="10"/>
        <v>#VALUE!</v>
      </c>
      <c r="CN59" s="84" t="e">
        <f t="shared" si="11"/>
        <v>#VALUE!</v>
      </c>
      <c r="CO59" s="84">
        <f t="shared" si="12"/>
        <v>1</v>
      </c>
      <c r="CP59" s="84" t="e">
        <f t="shared" si="13"/>
        <v>#VALUE!</v>
      </c>
    </row>
    <row r="60" spans="1:94" x14ac:dyDescent="0.25">
      <c r="A60" s="5789" t="s">
        <v>5385</v>
      </c>
      <c r="B60" s="343" t="s">
        <v>1428</v>
      </c>
      <c r="C60" s="295" t="s">
        <v>4567</v>
      </c>
      <c r="D60" s="1089" t="s">
        <v>4568</v>
      </c>
      <c r="E60" s="1253" t="s">
        <v>4569</v>
      </c>
      <c r="F60" s="1253" t="s">
        <v>4570</v>
      </c>
      <c r="G60" s="1253" t="s">
        <v>4571</v>
      </c>
      <c r="H60" s="1253" t="s">
        <v>4572</v>
      </c>
      <c r="I60" s="1253" t="s">
        <v>4573</v>
      </c>
      <c r="J60" s="1253" t="s">
        <v>4574</v>
      </c>
      <c r="K60" s="1253" t="s">
        <v>4575</v>
      </c>
      <c r="L60" s="1253" t="s">
        <v>4576</v>
      </c>
      <c r="M60" s="1253" t="s">
        <v>4577</v>
      </c>
      <c r="N60" s="1253" t="s">
        <v>4578</v>
      </c>
      <c r="O60" s="1253" t="s">
        <v>4579</v>
      </c>
      <c r="P60" s="1253" t="s">
        <v>4580</v>
      </c>
      <c r="Q60" s="1253" t="s">
        <v>4581</v>
      </c>
      <c r="R60" s="1253" t="s">
        <v>4582</v>
      </c>
      <c r="S60" s="1253" t="s">
        <v>4583</v>
      </c>
      <c r="T60" s="1253" t="s">
        <v>4584</v>
      </c>
      <c r="U60" s="1095" t="s">
        <v>4585</v>
      </c>
      <c r="V60" s="1090" t="s">
        <v>4586</v>
      </c>
      <c r="W60" s="1089" t="s">
        <v>4587</v>
      </c>
      <c r="X60" s="1095" t="s">
        <v>4588</v>
      </c>
      <c r="Y60" s="3061" t="s">
        <v>4589</v>
      </c>
      <c r="Z60" s="1089" t="s">
        <v>4590</v>
      </c>
      <c r="AA60" s="1253" t="s">
        <v>4591</v>
      </c>
      <c r="AB60" s="1095" t="s">
        <v>4592</v>
      </c>
      <c r="AC60" s="3066" t="s">
        <v>4593</v>
      </c>
      <c r="AD60" s="1089" t="s">
        <v>4594</v>
      </c>
      <c r="AE60" s="3063" t="s">
        <v>4595</v>
      </c>
      <c r="AF60" s="1095" t="s">
        <v>4596</v>
      </c>
      <c r="AG60" s="1311" t="s">
        <v>4597</v>
      </c>
      <c r="AH60" s="349" t="s">
        <v>4598</v>
      </c>
      <c r="AI60" t="e">
        <f t="shared" si="7"/>
        <v>#VALUE!</v>
      </c>
      <c r="CC60" s="135" t="e">
        <f t="shared" si="8"/>
        <v>#VALUE!</v>
      </c>
      <c r="CD60" s="135" t="str">
        <f t="shared" si="9"/>
        <v xml:space="preserve"> * La variable Beneficiarios No puede ser mayor al Total.</v>
      </c>
      <c r="CE60" s="135" t="e">
        <f t="shared" si="10"/>
        <v>#VALUE!</v>
      </c>
      <c r="CN60" s="84" t="e">
        <f t="shared" si="11"/>
        <v>#VALUE!</v>
      </c>
      <c r="CO60" s="84">
        <f t="shared" si="12"/>
        <v>1</v>
      </c>
      <c r="CP60" s="84" t="e">
        <f t="shared" si="13"/>
        <v>#VALUE!</v>
      </c>
    </row>
    <row r="61" spans="1:94" x14ac:dyDescent="0.25">
      <c r="A61" s="5789" t="s">
        <v>5386</v>
      </c>
      <c r="B61" s="343" t="s">
        <v>1431</v>
      </c>
      <c r="C61" s="295" t="s">
        <v>4567</v>
      </c>
      <c r="D61" s="1089" t="s">
        <v>4568</v>
      </c>
      <c r="E61" s="1253" t="s">
        <v>4569</v>
      </c>
      <c r="F61" s="1253" t="s">
        <v>4570</v>
      </c>
      <c r="G61" s="1253" t="s">
        <v>4571</v>
      </c>
      <c r="H61" s="1253" t="s">
        <v>4572</v>
      </c>
      <c r="I61" s="1253" t="s">
        <v>4573</v>
      </c>
      <c r="J61" s="1253" t="s">
        <v>4574</v>
      </c>
      <c r="K61" s="1253" t="s">
        <v>4575</v>
      </c>
      <c r="L61" s="1253" t="s">
        <v>4576</v>
      </c>
      <c r="M61" s="1253" t="s">
        <v>4577</v>
      </c>
      <c r="N61" s="1253" t="s">
        <v>4578</v>
      </c>
      <c r="O61" s="1253" t="s">
        <v>4579</v>
      </c>
      <c r="P61" s="1253" t="s">
        <v>4580</v>
      </c>
      <c r="Q61" s="1253" t="s">
        <v>4581</v>
      </c>
      <c r="R61" s="1253" t="s">
        <v>4582</v>
      </c>
      <c r="S61" s="1253" t="s">
        <v>4583</v>
      </c>
      <c r="T61" s="1253" t="s">
        <v>4584</v>
      </c>
      <c r="U61" s="1095" t="s">
        <v>4585</v>
      </c>
      <c r="V61" s="1090" t="s">
        <v>4586</v>
      </c>
      <c r="W61" s="1089" t="s">
        <v>4587</v>
      </c>
      <c r="X61" s="1095" t="s">
        <v>4588</v>
      </c>
      <c r="Y61" s="3061" t="s">
        <v>4589</v>
      </c>
      <c r="Z61" s="1089" t="s">
        <v>4590</v>
      </c>
      <c r="AA61" s="1253" t="s">
        <v>4591</v>
      </c>
      <c r="AB61" s="1095" t="s">
        <v>4592</v>
      </c>
      <c r="AC61" s="3066" t="s">
        <v>4593</v>
      </c>
      <c r="AD61" s="1089" t="s">
        <v>4594</v>
      </c>
      <c r="AE61" s="3063" t="s">
        <v>4595</v>
      </c>
      <c r="AF61" s="1095" t="s">
        <v>4596</v>
      </c>
      <c r="AG61" s="1311" t="s">
        <v>4597</v>
      </c>
      <c r="AH61" s="349" t="s">
        <v>4598</v>
      </c>
      <c r="AI61" t="e">
        <f t="shared" si="7"/>
        <v>#VALUE!</v>
      </c>
      <c r="CC61" s="135" t="e">
        <f t="shared" si="8"/>
        <v>#VALUE!</v>
      </c>
      <c r="CD61" s="135" t="str">
        <f t="shared" si="9"/>
        <v xml:space="preserve"> * La variable Beneficiarios No puede ser mayor al Total.</v>
      </c>
      <c r="CE61" s="135" t="e">
        <f t="shared" si="10"/>
        <v>#VALUE!</v>
      </c>
      <c r="CN61" s="84" t="e">
        <f t="shared" si="11"/>
        <v>#VALUE!</v>
      </c>
      <c r="CO61" s="84">
        <f t="shared" si="12"/>
        <v>1</v>
      </c>
      <c r="CP61" s="84" t="e">
        <f t="shared" si="13"/>
        <v>#VALUE!</v>
      </c>
    </row>
    <row r="62" spans="1:94" x14ac:dyDescent="0.25">
      <c r="A62" s="5787" t="s">
        <v>5387</v>
      </c>
      <c r="B62" s="343" t="s">
        <v>1239</v>
      </c>
      <c r="C62" s="295" t="s">
        <v>4567</v>
      </c>
      <c r="D62" s="1089" t="s">
        <v>4568</v>
      </c>
      <c r="E62" s="1253" t="s">
        <v>4569</v>
      </c>
      <c r="F62" s="1253" t="s">
        <v>4570</v>
      </c>
      <c r="G62" s="1253" t="s">
        <v>4571</v>
      </c>
      <c r="H62" s="1253" t="s">
        <v>4572</v>
      </c>
      <c r="I62" s="1253" t="s">
        <v>4573</v>
      </c>
      <c r="J62" s="1253" t="s">
        <v>4574</v>
      </c>
      <c r="K62" s="1253" t="s">
        <v>4575</v>
      </c>
      <c r="L62" s="1253" t="s">
        <v>4576</v>
      </c>
      <c r="M62" s="1253" t="s">
        <v>4577</v>
      </c>
      <c r="N62" s="1253" t="s">
        <v>4578</v>
      </c>
      <c r="O62" s="1253" t="s">
        <v>4579</v>
      </c>
      <c r="P62" s="1253" t="s">
        <v>4580</v>
      </c>
      <c r="Q62" s="1253" t="s">
        <v>4581</v>
      </c>
      <c r="R62" s="1253" t="s">
        <v>4582</v>
      </c>
      <c r="S62" s="1253" t="s">
        <v>4583</v>
      </c>
      <c r="T62" s="1253" t="s">
        <v>4584</v>
      </c>
      <c r="U62" s="1095" t="s">
        <v>4585</v>
      </c>
      <c r="V62" s="1090" t="s">
        <v>4586</v>
      </c>
      <c r="W62" s="1089" t="s">
        <v>4587</v>
      </c>
      <c r="X62" s="1095" t="s">
        <v>4588</v>
      </c>
      <c r="Y62" s="3061" t="s">
        <v>4589</v>
      </c>
      <c r="Z62" s="1089" t="s">
        <v>4590</v>
      </c>
      <c r="AA62" s="1253" t="s">
        <v>4591</v>
      </c>
      <c r="AB62" s="1095" t="s">
        <v>4592</v>
      </c>
      <c r="AC62" s="3066" t="s">
        <v>4593</v>
      </c>
      <c r="AD62" s="1089" t="s">
        <v>4594</v>
      </c>
      <c r="AE62" s="3063" t="s">
        <v>4595</v>
      </c>
      <c r="AF62" s="1095" t="s">
        <v>4596</v>
      </c>
      <c r="AG62" s="1311" t="s">
        <v>4597</v>
      </c>
      <c r="AH62" s="349" t="s">
        <v>4598</v>
      </c>
      <c r="AI62" t="e">
        <f t="shared" si="7"/>
        <v>#VALUE!</v>
      </c>
      <c r="CC62" s="135" t="e">
        <f t="shared" si="8"/>
        <v>#VALUE!</v>
      </c>
      <c r="CD62" s="135" t="str">
        <f t="shared" si="9"/>
        <v xml:space="preserve"> * La variable Beneficiarios No puede ser mayor al Total.</v>
      </c>
      <c r="CE62" s="135" t="e">
        <f t="shared" si="10"/>
        <v>#VALUE!</v>
      </c>
      <c r="CN62" s="84" t="e">
        <f t="shared" si="11"/>
        <v>#VALUE!</v>
      </c>
      <c r="CO62" s="84">
        <f t="shared" si="12"/>
        <v>1</v>
      </c>
      <c r="CP62" s="84" t="e">
        <f t="shared" si="13"/>
        <v>#VALUE!</v>
      </c>
    </row>
    <row r="63" spans="1:94" x14ac:dyDescent="0.25">
      <c r="A63" s="5787" t="s">
        <v>5388</v>
      </c>
      <c r="B63" s="343" t="s">
        <v>1240</v>
      </c>
      <c r="C63" s="295" t="s">
        <v>4567</v>
      </c>
      <c r="D63" s="1089" t="s">
        <v>4568</v>
      </c>
      <c r="E63" s="1253" t="s">
        <v>4569</v>
      </c>
      <c r="F63" s="1253" t="s">
        <v>4570</v>
      </c>
      <c r="G63" s="1253" t="s">
        <v>4571</v>
      </c>
      <c r="H63" s="1253" t="s">
        <v>4572</v>
      </c>
      <c r="I63" s="1253" t="s">
        <v>4573</v>
      </c>
      <c r="J63" s="1253" t="s">
        <v>4574</v>
      </c>
      <c r="K63" s="1253" t="s">
        <v>4575</v>
      </c>
      <c r="L63" s="1253" t="s">
        <v>4576</v>
      </c>
      <c r="M63" s="1253" t="s">
        <v>4577</v>
      </c>
      <c r="N63" s="1253" t="s">
        <v>4578</v>
      </c>
      <c r="O63" s="1253" t="s">
        <v>4579</v>
      </c>
      <c r="P63" s="1253" t="s">
        <v>4580</v>
      </c>
      <c r="Q63" s="1253" t="s">
        <v>4581</v>
      </c>
      <c r="R63" s="1253" t="s">
        <v>4582</v>
      </c>
      <c r="S63" s="1253" t="s">
        <v>4583</v>
      </c>
      <c r="T63" s="1253" t="s">
        <v>4584</v>
      </c>
      <c r="U63" s="1095" t="s">
        <v>4585</v>
      </c>
      <c r="V63" s="1090" t="s">
        <v>4586</v>
      </c>
      <c r="W63" s="1089" t="s">
        <v>4587</v>
      </c>
      <c r="X63" s="1095" t="s">
        <v>4588</v>
      </c>
      <c r="Y63" s="3061" t="s">
        <v>4589</v>
      </c>
      <c r="Z63" s="1089" t="s">
        <v>4590</v>
      </c>
      <c r="AA63" s="1253" t="s">
        <v>4591</v>
      </c>
      <c r="AB63" s="1095" t="s">
        <v>4592</v>
      </c>
      <c r="AC63" s="3066" t="s">
        <v>4593</v>
      </c>
      <c r="AD63" s="1089" t="s">
        <v>4594</v>
      </c>
      <c r="AE63" s="3063" t="s">
        <v>4595</v>
      </c>
      <c r="AF63" s="1095" t="s">
        <v>4596</v>
      </c>
      <c r="AG63" s="1311" t="s">
        <v>4597</v>
      </c>
      <c r="AH63" s="349" t="s">
        <v>4598</v>
      </c>
      <c r="AI63" t="e">
        <f t="shared" si="7"/>
        <v>#VALUE!</v>
      </c>
      <c r="CC63" s="135" t="e">
        <f t="shared" si="8"/>
        <v>#VALUE!</v>
      </c>
      <c r="CD63" s="135" t="str">
        <f t="shared" si="9"/>
        <v xml:space="preserve"> * La variable Beneficiarios No puede ser mayor al Total.</v>
      </c>
      <c r="CE63" s="135" t="e">
        <f t="shared" si="10"/>
        <v>#VALUE!</v>
      </c>
      <c r="CN63" s="84" t="e">
        <f t="shared" si="11"/>
        <v>#VALUE!</v>
      </c>
      <c r="CO63" s="84">
        <f t="shared" si="12"/>
        <v>1</v>
      </c>
      <c r="CP63" s="84" t="e">
        <f t="shared" si="13"/>
        <v>#VALUE!</v>
      </c>
    </row>
    <row r="64" spans="1:94" x14ac:dyDescent="0.25">
      <c r="A64" s="5787" t="s">
        <v>5389</v>
      </c>
      <c r="B64" s="343" t="s">
        <v>1241</v>
      </c>
      <c r="C64" s="295" t="s">
        <v>4567</v>
      </c>
      <c r="D64" s="1089" t="s">
        <v>4568</v>
      </c>
      <c r="E64" s="1253" t="s">
        <v>4569</v>
      </c>
      <c r="F64" s="1253" t="s">
        <v>4570</v>
      </c>
      <c r="G64" s="1253" t="s">
        <v>4571</v>
      </c>
      <c r="H64" s="1253" t="s">
        <v>4572</v>
      </c>
      <c r="I64" s="1253" t="s">
        <v>4573</v>
      </c>
      <c r="J64" s="1253" t="s">
        <v>4574</v>
      </c>
      <c r="K64" s="1253" t="s">
        <v>4575</v>
      </c>
      <c r="L64" s="1253" t="s">
        <v>4576</v>
      </c>
      <c r="M64" s="1253" t="s">
        <v>4577</v>
      </c>
      <c r="N64" s="1253" t="s">
        <v>4578</v>
      </c>
      <c r="O64" s="1253" t="s">
        <v>4579</v>
      </c>
      <c r="P64" s="1253" t="s">
        <v>4580</v>
      </c>
      <c r="Q64" s="1253" t="s">
        <v>4581</v>
      </c>
      <c r="R64" s="1253" t="s">
        <v>4582</v>
      </c>
      <c r="S64" s="1253" t="s">
        <v>4583</v>
      </c>
      <c r="T64" s="1253" t="s">
        <v>4584</v>
      </c>
      <c r="U64" s="1095" t="s">
        <v>4585</v>
      </c>
      <c r="V64" s="1090" t="s">
        <v>4586</v>
      </c>
      <c r="W64" s="1089" t="s">
        <v>4587</v>
      </c>
      <c r="X64" s="1095" t="s">
        <v>4588</v>
      </c>
      <c r="Y64" s="3061" t="s">
        <v>4589</v>
      </c>
      <c r="Z64" s="1089" t="s">
        <v>4590</v>
      </c>
      <c r="AA64" s="1253" t="s">
        <v>4591</v>
      </c>
      <c r="AB64" s="1095" t="s">
        <v>4592</v>
      </c>
      <c r="AC64" s="3066" t="s">
        <v>4593</v>
      </c>
      <c r="AD64" s="1089" t="s">
        <v>4594</v>
      </c>
      <c r="AE64" s="3063" t="s">
        <v>4595</v>
      </c>
      <c r="AF64" s="1095" t="s">
        <v>4596</v>
      </c>
      <c r="AG64" s="1311" t="s">
        <v>4597</v>
      </c>
      <c r="AH64" s="349" t="s">
        <v>4598</v>
      </c>
      <c r="AI64" t="e">
        <f t="shared" si="7"/>
        <v>#VALUE!</v>
      </c>
      <c r="CC64" s="135" t="e">
        <f t="shared" si="8"/>
        <v>#VALUE!</v>
      </c>
      <c r="CD64" s="135" t="str">
        <f t="shared" si="9"/>
        <v xml:space="preserve"> * La variable Beneficiarios No puede ser mayor al Total.</v>
      </c>
      <c r="CE64" s="135" t="e">
        <f t="shared" si="10"/>
        <v>#VALUE!</v>
      </c>
      <c r="CN64" s="84" t="e">
        <f t="shared" si="11"/>
        <v>#VALUE!</v>
      </c>
      <c r="CO64" s="84">
        <f t="shared" si="12"/>
        <v>1</v>
      </c>
      <c r="CP64" s="84" t="e">
        <f t="shared" si="13"/>
        <v>#VALUE!</v>
      </c>
    </row>
    <row r="65" spans="1:99" x14ac:dyDescent="0.25">
      <c r="A65" s="5787" t="s">
        <v>5390</v>
      </c>
      <c r="B65" s="250" t="s">
        <v>1242</v>
      </c>
      <c r="C65" s="295" t="s">
        <v>4567</v>
      </c>
      <c r="D65" s="1089" t="s">
        <v>4568</v>
      </c>
      <c r="E65" s="1253" t="s">
        <v>4569</v>
      </c>
      <c r="F65" s="1253" t="s">
        <v>4570</v>
      </c>
      <c r="G65" s="1253" t="s">
        <v>4571</v>
      </c>
      <c r="H65" s="1253" t="s">
        <v>4572</v>
      </c>
      <c r="I65" s="1253" t="s">
        <v>4573</v>
      </c>
      <c r="J65" s="1253" t="s">
        <v>4574</v>
      </c>
      <c r="K65" s="1253" t="s">
        <v>4575</v>
      </c>
      <c r="L65" s="1253" t="s">
        <v>4576</v>
      </c>
      <c r="M65" s="1253" t="s">
        <v>4577</v>
      </c>
      <c r="N65" s="1253" t="s">
        <v>4578</v>
      </c>
      <c r="O65" s="1253" t="s">
        <v>4579</v>
      </c>
      <c r="P65" s="1253" t="s">
        <v>4580</v>
      </c>
      <c r="Q65" s="1253" t="s">
        <v>4581</v>
      </c>
      <c r="R65" s="1253" t="s">
        <v>4582</v>
      </c>
      <c r="S65" s="1253" t="s">
        <v>4583</v>
      </c>
      <c r="T65" s="1253" t="s">
        <v>4584</v>
      </c>
      <c r="U65" s="1095" t="s">
        <v>4585</v>
      </c>
      <c r="V65" s="3004" t="s">
        <v>4586</v>
      </c>
      <c r="W65" s="245" t="s">
        <v>4587</v>
      </c>
      <c r="X65" s="430" t="s">
        <v>4588</v>
      </c>
      <c r="Y65" s="3059" t="s">
        <v>4589</v>
      </c>
      <c r="Z65" s="1089" t="s">
        <v>4590</v>
      </c>
      <c r="AA65" s="1253" t="s">
        <v>4591</v>
      </c>
      <c r="AB65" s="1095" t="s">
        <v>4592</v>
      </c>
      <c r="AC65" s="3073" t="s">
        <v>4593</v>
      </c>
      <c r="AD65" s="1089" t="s">
        <v>4594</v>
      </c>
      <c r="AE65" s="3063" t="s">
        <v>4595</v>
      </c>
      <c r="AF65" s="1095" t="s">
        <v>4596</v>
      </c>
      <c r="AG65" s="1311" t="s">
        <v>4597</v>
      </c>
      <c r="AH65" s="349" t="s">
        <v>4598</v>
      </c>
      <c r="AI65" t="e">
        <f t="shared" si="7"/>
        <v>#VALUE!</v>
      </c>
      <c r="CC65" s="135" t="e">
        <f t="shared" si="8"/>
        <v>#VALUE!</v>
      </c>
      <c r="CD65" s="135" t="str">
        <f t="shared" si="9"/>
        <v xml:space="preserve"> * La variable Beneficiarios No puede ser mayor al Total.</v>
      </c>
      <c r="CE65" s="135" t="e">
        <f t="shared" si="10"/>
        <v>#VALUE!</v>
      </c>
      <c r="CN65" s="84" t="e">
        <f t="shared" si="11"/>
        <v>#VALUE!</v>
      </c>
      <c r="CO65" s="84">
        <f t="shared" si="12"/>
        <v>1</v>
      </c>
      <c r="CP65" s="84" t="e">
        <f t="shared" si="13"/>
        <v>#VALUE!</v>
      </c>
    </row>
    <row r="66" spans="1:99" x14ac:dyDescent="0.25">
      <c r="A66" s="5787" t="s">
        <v>5391</v>
      </c>
      <c r="B66" s="3067" t="s">
        <v>1243</v>
      </c>
      <c r="C66" s="352" t="s">
        <v>4567</v>
      </c>
      <c r="D66" s="1114" t="s">
        <v>4568</v>
      </c>
      <c r="E66" s="1258" t="s">
        <v>4569</v>
      </c>
      <c r="F66" s="1258" t="s">
        <v>4570</v>
      </c>
      <c r="G66" s="1258" t="s">
        <v>4571</v>
      </c>
      <c r="H66" s="1258" t="s">
        <v>4572</v>
      </c>
      <c r="I66" s="1258" t="s">
        <v>4573</v>
      </c>
      <c r="J66" s="1258" t="s">
        <v>4574</v>
      </c>
      <c r="K66" s="1258" t="s">
        <v>4575</v>
      </c>
      <c r="L66" s="1258" t="s">
        <v>4576</v>
      </c>
      <c r="M66" s="1258" t="s">
        <v>4577</v>
      </c>
      <c r="N66" s="1258" t="s">
        <v>4578</v>
      </c>
      <c r="O66" s="1258" t="s">
        <v>4579</v>
      </c>
      <c r="P66" s="1258" t="s">
        <v>4580</v>
      </c>
      <c r="Q66" s="1258" t="s">
        <v>4581</v>
      </c>
      <c r="R66" s="1258" t="s">
        <v>4582</v>
      </c>
      <c r="S66" s="1258" t="s">
        <v>4583</v>
      </c>
      <c r="T66" s="1258" t="s">
        <v>4584</v>
      </c>
      <c r="U66" s="1324" t="s">
        <v>4585</v>
      </c>
      <c r="V66" s="387" t="s">
        <v>4586</v>
      </c>
      <c r="W66" s="1129" t="s">
        <v>4587</v>
      </c>
      <c r="X66" s="1324" t="s">
        <v>4588</v>
      </c>
      <c r="Y66" s="3074" t="s">
        <v>4589</v>
      </c>
      <c r="Z66" s="1114" t="s">
        <v>4590</v>
      </c>
      <c r="AA66" s="1258" t="s">
        <v>4591</v>
      </c>
      <c r="AB66" s="1324" t="s">
        <v>4592</v>
      </c>
      <c r="AC66" s="3075" t="s">
        <v>4593</v>
      </c>
      <c r="AD66" s="1114" t="s">
        <v>4594</v>
      </c>
      <c r="AE66" s="1127" t="s">
        <v>4595</v>
      </c>
      <c r="AF66" s="1324" t="s">
        <v>4596</v>
      </c>
      <c r="AG66" s="557" t="s">
        <v>4597</v>
      </c>
      <c r="AH66" s="388" t="s">
        <v>4598</v>
      </c>
      <c r="AI66" t="e">
        <f t="shared" si="7"/>
        <v>#VALUE!</v>
      </c>
      <c r="CC66" s="135" t="e">
        <f t="shared" si="8"/>
        <v>#VALUE!</v>
      </c>
      <c r="CD66" s="135" t="str">
        <f t="shared" si="9"/>
        <v xml:space="preserve"> * La variable Beneficiarios No puede ser mayor al Total.</v>
      </c>
      <c r="CE66" s="135" t="e">
        <f t="shared" si="10"/>
        <v>#VALUE!</v>
      </c>
      <c r="CN66" s="84" t="e">
        <f t="shared" si="11"/>
        <v>#VALUE!</v>
      </c>
      <c r="CO66" s="84">
        <f t="shared" si="12"/>
        <v>1</v>
      </c>
      <c r="CP66" s="84" t="e">
        <f t="shared" si="13"/>
        <v>#VALUE!</v>
      </c>
    </row>
    <row r="67" spans="1:99" x14ac:dyDescent="0.25">
      <c r="A67" s="5616"/>
      <c r="B67" s="1763" t="s">
        <v>77</v>
      </c>
      <c r="C67" s="3076">
        <f t="shared" ref="C67:AH67" si="14">SUM(C12:C66)</f>
        <v>0</v>
      </c>
      <c r="D67" s="3077">
        <f t="shared" si="14"/>
        <v>0</v>
      </c>
      <c r="E67" s="300">
        <f t="shared" si="14"/>
        <v>0</v>
      </c>
      <c r="F67" s="300">
        <f t="shared" si="14"/>
        <v>0</v>
      </c>
      <c r="G67" s="300">
        <f t="shared" si="14"/>
        <v>0</v>
      </c>
      <c r="H67" s="300">
        <f t="shared" si="14"/>
        <v>0</v>
      </c>
      <c r="I67" s="300">
        <f t="shared" si="14"/>
        <v>0</v>
      </c>
      <c r="J67" s="300">
        <f t="shared" si="14"/>
        <v>0</v>
      </c>
      <c r="K67" s="300">
        <f t="shared" si="14"/>
        <v>0</v>
      </c>
      <c r="L67" s="300">
        <f t="shared" si="14"/>
        <v>0</v>
      </c>
      <c r="M67" s="300">
        <f t="shared" si="14"/>
        <v>0</v>
      </c>
      <c r="N67" s="300">
        <f t="shared" si="14"/>
        <v>0</v>
      </c>
      <c r="O67" s="300">
        <f t="shared" si="14"/>
        <v>0</v>
      </c>
      <c r="P67" s="300">
        <f t="shared" si="14"/>
        <v>0</v>
      </c>
      <c r="Q67" s="300">
        <f t="shared" si="14"/>
        <v>0</v>
      </c>
      <c r="R67" s="300">
        <f t="shared" si="14"/>
        <v>0</v>
      </c>
      <c r="S67" s="300">
        <f t="shared" si="14"/>
        <v>0</v>
      </c>
      <c r="T67" s="300">
        <f t="shared" si="14"/>
        <v>0</v>
      </c>
      <c r="U67" s="305">
        <f t="shared" si="14"/>
        <v>0</v>
      </c>
      <c r="V67" s="3078">
        <f t="shared" si="14"/>
        <v>0</v>
      </c>
      <c r="W67" s="3079">
        <f t="shared" si="14"/>
        <v>0</v>
      </c>
      <c r="X67" s="305">
        <f t="shared" si="14"/>
        <v>0</v>
      </c>
      <c r="Y67" s="3080">
        <f t="shared" si="14"/>
        <v>0</v>
      </c>
      <c r="Z67" s="3079">
        <f t="shared" si="14"/>
        <v>0</v>
      </c>
      <c r="AA67" s="300">
        <f t="shared" si="14"/>
        <v>0</v>
      </c>
      <c r="AB67" s="3081">
        <f t="shared" si="14"/>
        <v>0</v>
      </c>
      <c r="AC67" s="3082">
        <f t="shared" si="14"/>
        <v>0</v>
      </c>
      <c r="AD67" s="3079">
        <f t="shared" si="14"/>
        <v>0</v>
      </c>
      <c r="AE67" s="300">
        <f t="shared" si="14"/>
        <v>0</v>
      </c>
      <c r="AF67" s="305">
        <f t="shared" si="14"/>
        <v>0</v>
      </c>
      <c r="AG67" s="1711">
        <f t="shared" si="14"/>
        <v>0</v>
      </c>
      <c r="AH67" s="906">
        <f t="shared" si="14"/>
        <v>0</v>
      </c>
    </row>
    <row r="68" spans="1:99" s="6" customFormat="1" ht="18" customHeight="1" x14ac:dyDescent="0.2">
      <c r="B68" s="3083" t="s">
        <v>1244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</row>
    <row r="69" spans="1:99" ht="31.5" customHeight="1" x14ac:dyDescent="0.25">
      <c r="B69" s="6458" t="s">
        <v>1245</v>
      </c>
      <c r="C69" s="6818" t="s">
        <v>1246</v>
      </c>
      <c r="D69" s="6819"/>
      <c r="E69" s="6819"/>
      <c r="F69" s="6820"/>
      <c r="G69" s="6818" t="s">
        <v>1247</v>
      </c>
      <c r="H69" s="6819"/>
      <c r="I69" s="6819"/>
      <c r="J69" s="6820"/>
      <c r="K69" s="6819" t="s">
        <v>1248</v>
      </c>
      <c r="L69" s="6819"/>
      <c r="M69" s="6819"/>
      <c r="N69" s="6820"/>
      <c r="O69" s="6821" t="s">
        <v>1249</v>
      </c>
      <c r="P69" s="6822"/>
      <c r="Q69" s="6486"/>
      <c r="R69" s="6212" t="s">
        <v>1250</v>
      </c>
      <c r="S69" s="6511"/>
      <c r="T69" s="6212" t="s">
        <v>1251</v>
      </c>
      <c r="U69" s="6511"/>
      <c r="V69" s="6212" t="s">
        <v>1252</v>
      </c>
      <c r="W69" s="6511"/>
      <c r="X69" s="6458" t="s">
        <v>1253</v>
      </c>
      <c r="Y69" s="6212" t="s">
        <v>1254</v>
      </c>
      <c r="Z69" s="6511"/>
      <c r="AA69" s="6212" t="s">
        <v>1255</v>
      </c>
      <c r="AB69" s="6511"/>
      <c r="AC69" s="6704" t="s">
        <v>1256</v>
      </c>
      <c r="AD69" s="6451"/>
      <c r="AE69" s="6458" t="s">
        <v>1257</v>
      </c>
      <c r="AF69" s="6829" t="s">
        <v>1258</v>
      </c>
      <c r="AG69" s="6830"/>
      <c r="AH69" s="6742" t="s">
        <v>1259</v>
      </c>
      <c r="AI69" s="6742"/>
      <c r="AJ69" s="6742"/>
    </row>
    <row r="70" spans="1:99" ht="34.5" customHeight="1" x14ac:dyDescent="0.25">
      <c r="B70" s="6739"/>
      <c r="C70" s="3050" t="s">
        <v>919</v>
      </c>
      <c r="D70" s="3084" t="s">
        <v>1007</v>
      </c>
      <c r="E70" s="3085" t="s">
        <v>1260</v>
      </c>
      <c r="F70" s="2880" t="s">
        <v>554</v>
      </c>
      <c r="G70" s="3086" t="s">
        <v>919</v>
      </c>
      <c r="H70" s="3084" t="s">
        <v>1007</v>
      </c>
      <c r="I70" s="3085" t="s">
        <v>1260</v>
      </c>
      <c r="J70" s="2880" t="s">
        <v>554</v>
      </c>
      <c r="K70" s="3050" t="s">
        <v>919</v>
      </c>
      <c r="L70" s="3084" t="s">
        <v>1007</v>
      </c>
      <c r="M70" s="3085" t="s">
        <v>1260</v>
      </c>
      <c r="N70" s="3085" t="s">
        <v>554</v>
      </c>
      <c r="O70" s="2952" t="s">
        <v>919</v>
      </c>
      <c r="P70" s="3087" t="s">
        <v>1261</v>
      </c>
      <c r="Q70" s="3052" t="s">
        <v>1108</v>
      </c>
      <c r="R70" s="744" t="s">
        <v>1262</v>
      </c>
      <c r="S70" s="468" t="s">
        <v>1263</v>
      </c>
      <c r="T70" s="744" t="s">
        <v>1262</v>
      </c>
      <c r="U70" s="468" t="s">
        <v>1263</v>
      </c>
      <c r="V70" s="744" t="s">
        <v>1264</v>
      </c>
      <c r="W70" s="468" t="s">
        <v>1265</v>
      </c>
      <c r="X70" s="6739"/>
      <c r="Y70" s="744" t="s">
        <v>1262</v>
      </c>
      <c r="Z70" s="468" t="s">
        <v>1263</v>
      </c>
      <c r="AA70" s="1765" t="s">
        <v>1266</v>
      </c>
      <c r="AB70" s="1765" t="s">
        <v>1267</v>
      </c>
      <c r="AC70" s="1764" t="s">
        <v>1268</v>
      </c>
      <c r="AD70" s="1764" t="s">
        <v>1269</v>
      </c>
      <c r="AE70" s="6739"/>
      <c r="AF70" s="3088" t="s">
        <v>1261</v>
      </c>
      <c r="AG70" s="3089" t="s">
        <v>1108</v>
      </c>
      <c r="AH70" s="830" t="s">
        <v>1270</v>
      </c>
      <c r="AI70" s="3090" t="s">
        <v>1271</v>
      </c>
      <c r="AJ70" s="829" t="s">
        <v>1272</v>
      </c>
    </row>
    <row r="71" spans="1:99" x14ac:dyDescent="0.25">
      <c r="A71" s="5787" t="s">
        <v>5392</v>
      </c>
      <c r="B71" s="250" t="s">
        <v>1208</v>
      </c>
      <c r="C71" s="3091" t="s">
        <v>4567</v>
      </c>
      <c r="D71" s="653" t="s">
        <v>4568</v>
      </c>
      <c r="E71" s="768" t="s">
        <v>4569</v>
      </c>
      <c r="F71" s="768" t="s">
        <v>4570</v>
      </c>
      <c r="G71" s="3091" t="s">
        <v>4571</v>
      </c>
      <c r="H71" s="653" t="s">
        <v>4572</v>
      </c>
      <c r="I71" s="768" t="s">
        <v>4573</v>
      </c>
      <c r="J71" s="768" t="s">
        <v>4574</v>
      </c>
      <c r="K71" s="3091" t="s">
        <v>4575</v>
      </c>
      <c r="L71" s="653" t="s">
        <v>4576</v>
      </c>
      <c r="M71" s="768" t="s">
        <v>4577</v>
      </c>
      <c r="N71" s="3092" t="s">
        <v>4578</v>
      </c>
      <c r="O71" s="3093" t="s">
        <v>4579</v>
      </c>
      <c r="P71" s="686" t="s">
        <v>4580</v>
      </c>
      <c r="Q71" s="66" t="s">
        <v>4581</v>
      </c>
      <c r="R71" s="350" t="s">
        <v>4582</v>
      </c>
      <c r="S71" s="349" t="s">
        <v>4583</v>
      </c>
      <c r="T71" s="747" t="s">
        <v>4584</v>
      </c>
      <c r="U71" s="748" t="s">
        <v>4585</v>
      </c>
      <c r="V71" s="476" t="s">
        <v>4586</v>
      </c>
      <c r="W71" s="748" t="s">
        <v>4587</v>
      </c>
      <c r="X71" s="554" t="s">
        <v>4588</v>
      </c>
      <c r="Y71" s="350" t="s">
        <v>4589</v>
      </c>
      <c r="Z71" s="349" t="s">
        <v>4590</v>
      </c>
      <c r="AA71" s="622" t="s">
        <v>4591</v>
      </c>
      <c r="AB71" s="622" t="s">
        <v>4592</v>
      </c>
      <c r="AC71" s="622" t="s">
        <v>4593</v>
      </c>
      <c r="AD71" s="622" t="s">
        <v>4594</v>
      </c>
      <c r="AE71" s="622" t="s">
        <v>4595</v>
      </c>
      <c r="AF71" s="3094" t="s">
        <v>4596</v>
      </c>
      <c r="AG71" s="3095" t="s">
        <v>4597</v>
      </c>
      <c r="AH71" s="747" t="s">
        <v>4598</v>
      </c>
      <c r="AI71" s="750" t="s">
        <v>4599</v>
      </c>
      <c r="AJ71" s="107" t="s">
        <v>4600</v>
      </c>
    </row>
    <row r="72" spans="1:99" x14ac:dyDescent="0.25">
      <c r="A72" s="5787" t="s">
        <v>5393</v>
      </c>
      <c r="B72" s="343" t="s">
        <v>1209</v>
      </c>
      <c r="C72" s="3096" t="s">
        <v>4567</v>
      </c>
      <c r="D72" s="192" t="s">
        <v>4568</v>
      </c>
      <c r="E72" s="580" t="s">
        <v>4569</v>
      </c>
      <c r="F72" s="580" t="s">
        <v>4570</v>
      </c>
      <c r="G72" s="3096" t="s">
        <v>4571</v>
      </c>
      <c r="H72" s="192" t="s">
        <v>4572</v>
      </c>
      <c r="I72" s="580" t="s">
        <v>4573</v>
      </c>
      <c r="J72" s="580" t="s">
        <v>4574</v>
      </c>
      <c r="K72" s="3096" t="s">
        <v>4575</v>
      </c>
      <c r="L72" s="192" t="s">
        <v>4576</v>
      </c>
      <c r="M72" s="580" t="s">
        <v>4577</v>
      </c>
      <c r="N72" s="1098" t="s">
        <v>4578</v>
      </c>
      <c r="O72" s="3097" t="s">
        <v>4579</v>
      </c>
      <c r="P72" s="481" t="s">
        <v>4580</v>
      </c>
      <c r="Q72" s="64" t="s">
        <v>4581</v>
      </c>
      <c r="R72" s="350" t="s">
        <v>4582</v>
      </c>
      <c r="S72" s="349" t="s">
        <v>4583</v>
      </c>
      <c r="T72" s="345" t="s">
        <v>4584</v>
      </c>
      <c r="U72" s="349" t="s">
        <v>4585</v>
      </c>
      <c r="V72" s="347" t="s">
        <v>4586</v>
      </c>
      <c r="W72" s="349" t="s">
        <v>4587</v>
      </c>
      <c r="X72" s="554" t="s">
        <v>4588</v>
      </c>
      <c r="Y72" s="350" t="s">
        <v>4589</v>
      </c>
      <c r="Z72" s="349" t="s">
        <v>4590</v>
      </c>
      <c r="AA72" s="622" t="s">
        <v>4591</v>
      </c>
      <c r="AB72" s="622" t="s">
        <v>4592</v>
      </c>
      <c r="AC72" s="622" t="s">
        <v>4593</v>
      </c>
      <c r="AD72" s="622" t="s">
        <v>4594</v>
      </c>
      <c r="AE72" s="622" t="s">
        <v>4595</v>
      </c>
      <c r="AF72" s="3094" t="s">
        <v>4596</v>
      </c>
      <c r="AG72" s="3095" t="s">
        <v>4597</v>
      </c>
      <c r="AH72" s="290" t="s">
        <v>4598</v>
      </c>
      <c r="AI72" s="531" t="s">
        <v>4599</v>
      </c>
      <c r="AJ72" s="107" t="s">
        <v>4600</v>
      </c>
    </row>
    <row r="73" spans="1:99" x14ac:dyDescent="0.25">
      <c r="A73" s="5787" t="s">
        <v>5394</v>
      </c>
      <c r="B73" s="343" t="s">
        <v>1210</v>
      </c>
      <c r="C73" s="3097" t="s">
        <v>4567</v>
      </c>
      <c r="D73" s="345" t="s">
        <v>4568</v>
      </c>
      <c r="E73" s="368" t="s">
        <v>4569</v>
      </c>
      <c r="F73" s="368" t="s">
        <v>4570</v>
      </c>
      <c r="G73" s="3097" t="s">
        <v>4571</v>
      </c>
      <c r="H73" s="345" t="s">
        <v>4572</v>
      </c>
      <c r="I73" s="368" t="s">
        <v>4573</v>
      </c>
      <c r="J73" s="368" t="s">
        <v>4574</v>
      </c>
      <c r="K73" s="3097" t="s">
        <v>4575</v>
      </c>
      <c r="L73" s="345" t="s">
        <v>4576</v>
      </c>
      <c r="M73" s="368" t="s">
        <v>4577</v>
      </c>
      <c r="N73" s="348" t="s">
        <v>4578</v>
      </c>
      <c r="O73" s="3097" t="s">
        <v>4579</v>
      </c>
      <c r="P73" s="347" t="s">
        <v>4580</v>
      </c>
      <c r="Q73" s="554" t="s">
        <v>4581</v>
      </c>
      <c r="R73" s="350" t="s">
        <v>4582</v>
      </c>
      <c r="S73" s="349" t="s">
        <v>4583</v>
      </c>
      <c r="T73" s="345" t="s">
        <v>4584</v>
      </c>
      <c r="U73" s="349" t="s">
        <v>4585</v>
      </c>
      <c r="V73" s="347" t="s">
        <v>4586</v>
      </c>
      <c r="W73" s="349" t="s">
        <v>4587</v>
      </c>
      <c r="X73" s="554" t="s">
        <v>4588</v>
      </c>
      <c r="Y73" s="350" t="s">
        <v>4589</v>
      </c>
      <c r="Z73" s="349" t="s">
        <v>4590</v>
      </c>
      <c r="AA73" s="622" t="s">
        <v>4591</v>
      </c>
      <c r="AB73" s="622" t="s">
        <v>4592</v>
      </c>
      <c r="AC73" s="622" t="s">
        <v>4593</v>
      </c>
      <c r="AD73" s="622" t="s">
        <v>4594</v>
      </c>
      <c r="AE73" s="622" t="s">
        <v>4595</v>
      </c>
      <c r="AF73" s="3094" t="s">
        <v>4596</v>
      </c>
      <c r="AG73" s="3095" t="s">
        <v>4597</v>
      </c>
      <c r="AH73" s="290" t="s">
        <v>4598</v>
      </c>
      <c r="AI73" s="531" t="s">
        <v>4599</v>
      </c>
      <c r="AJ73" s="107" t="s">
        <v>4600</v>
      </c>
    </row>
    <row r="74" spans="1:99" x14ac:dyDescent="0.25">
      <c r="A74" s="5787" t="s">
        <v>5395</v>
      </c>
      <c r="B74" s="343" t="s">
        <v>1211</v>
      </c>
      <c r="C74" s="3097" t="s">
        <v>4567</v>
      </c>
      <c r="D74" s="345" t="s">
        <v>4568</v>
      </c>
      <c r="E74" s="368" t="s">
        <v>4569</v>
      </c>
      <c r="F74" s="368" t="s">
        <v>4570</v>
      </c>
      <c r="G74" s="3097" t="s">
        <v>4571</v>
      </c>
      <c r="H74" s="345" t="s">
        <v>4572</v>
      </c>
      <c r="I74" s="368" t="s">
        <v>4573</v>
      </c>
      <c r="J74" s="368" t="s">
        <v>4574</v>
      </c>
      <c r="K74" s="3097" t="s">
        <v>4575</v>
      </c>
      <c r="L74" s="345" t="s">
        <v>4576</v>
      </c>
      <c r="M74" s="368" t="s">
        <v>4577</v>
      </c>
      <c r="N74" s="348" t="s">
        <v>4578</v>
      </c>
      <c r="O74" s="3097" t="s">
        <v>4579</v>
      </c>
      <c r="P74" s="347" t="s">
        <v>4580</v>
      </c>
      <c r="Q74" s="554" t="s">
        <v>4581</v>
      </c>
      <c r="R74" s="350" t="s">
        <v>4582</v>
      </c>
      <c r="S74" s="349" t="s">
        <v>4583</v>
      </c>
      <c r="T74" s="345" t="s">
        <v>4584</v>
      </c>
      <c r="U74" s="349" t="s">
        <v>4585</v>
      </c>
      <c r="V74" s="347" t="s">
        <v>4586</v>
      </c>
      <c r="W74" s="349" t="s">
        <v>4587</v>
      </c>
      <c r="X74" s="554" t="s">
        <v>4588</v>
      </c>
      <c r="Y74" s="350" t="s">
        <v>4589</v>
      </c>
      <c r="Z74" s="349" t="s">
        <v>4590</v>
      </c>
      <c r="AA74" s="622" t="s">
        <v>4591</v>
      </c>
      <c r="AB74" s="622" t="s">
        <v>4592</v>
      </c>
      <c r="AC74" s="622" t="s">
        <v>4593</v>
      </c>
      <c r="AD74" s="622" t="s">
        <v>4594</v>
      </c>
      <c r="AE74" s="622" t="s">
        <v>4595</v>
      </c>
      <c r="AF74" s="3094" t="s">
        <v>4596</v>
      </c>
      <c r="AG74" s="3095" t="s">
        <v>4597</v>
      </c>
      <c r="AH74" s="290" t="s">
        <v>4598</v>
      </c>
      <c r="AI74" s="531" t="s">
        <v>4599</v>
      </c>
      <c r="AJ74" s="107" t="s">
        <v>4600</v>
      </c>
    </row>
    <row r="75" spans="1:99" x14ac:dyDescent="0.25">
      <c r="A75" s="5787" t="s">
        <v>5396</v>
      </c>
      <c r="B75" s="343" t="s">
        <v>1212</v>
      </c>
      <c r="C75" s="3097" t="s">
        <v>4567</v>
      </c>
      <c r="D75" s="345" t="s">
        <v>4568</v>
      </c>
      <c r="E75" s="368" t="s">
        <v>4569</v>
      </c>
      <c r="F75" s="368" t="s">
        <v>4570</v>
      </c>
      <c r="G75" s="3097" t="s">
        <v>4571</v>
      </c>
      <c r="H75" s="345" t="s">
        <v>4572</v>
      </c>
      <c r="I75" s="368" t="s">
        <v>4573</v>
      </c>
      <c r="J75" s="368" t="s">
        <v>4574</v>
      </c>
      <c r="K75" s="3097" t="s">
        <v>4575</v>
      </c>
      <c r="L75" s="345" t="s">
        <v>4576</v>
      </c>
      <c r="M75" s="368" t="s">
        <v>4577</v>
      </c>
      <c r="N75" s="348" t="s">
        <v>4578</v>
      </c>
      <c r="O75" s="3097" t="s">
        <v>4579</v>
      </c>
      <c r="P75" s="347" t="s">
        <v>4580</v>
      </c>
      <c r="Q75" s="554" t="s">
        <v>4581</v>
      </c>
      <c r="R75" s="350" t="s">
        <v>4582</v>
      </c>
      <c r="S75" s="349" t="s">
        <v>4583</v>
      </c>
      <c r="T75" s="345" t="s">
        <v>4584</v>
      </c>
      <c r="U75" s="349" t="s">
        <v>4585</v>
      </c>
      <c r="V75" s="347" t="s">
        <v>4586</v>
      </c>
      <c r="W75" s="349" t="s">
        <v>4587</v>
      </c>
      <c r="X75" s="554" t="s">
        <v>4588</v>
      </c>
      <c r="Y75" s="350" t="s">
        <v>4589</v>
      </c>
      <c r="Z75" s="349" t="s">
        <v>4590</v>
      </c>
      <c r="AA75" s="622" t="s">
        <v>4591</v>
      </c>
      <c r="AB75" s="622" t="s">
        <v>4592</v>
      </c>
      <c r="AC75" s="622" t="s">
        <v>4593</v>
      </c>
      <c r="AD75" s="622" t="s">
        <v>4594</v>
      </c>
      <c r="AE75" s="622" t="s">
        <v>4595</v>
      </c>
      <c r="AF75" s="3094" t="s">
        <v>4596</v>
      </c>
      <c r="AG75" s="3095" t="s">
        <v>4597</v>
      </c>
      <c r="AH75" s="290" t="s">
        <v>4598</v>
      </c>
      <c r="AI75" s="531" t="s">
        <v>4599</v>
      </c>
      <c r="AJ75" s="107" t="s">
        <v>4600</v>
      </c>
    </row>
    <row r="76" spans="1:99" x14ac:dyDescent="0.25">
      <c r="A76" s="5789" t="s">
        <v>5397</v>
      </c>
      <c r="B76" s="343" t="s">
        <v>4305</v>
      </c>
      <c r="C76" s="3097" t="s">
        <v>4567</v>
      </c>
      <c r="D76" s="345" t="s">
        <v>4568</v>
      </c>
      <c r="E76" s="368" t="s">
        <v>4569</v>
      </c>
      <c r="F76" s="368" t="s">
        <v>4570</v>
      </c>
      <c r="G76" s="3097" t="s">
        <v>4571</v>
      </c>
      <c r="H76" s="345" t="s">
        <v>4572</v>
      </c>
      <c r="I76" s="368" t="s">
        <v>4573</v>
      </c>
      <c r="J76" s="368" t="s">
        <v>4574</v>
      </c>
      <c r="K76" s="3097" t="s">
        <v>4575</v>
      </c>
      <c r="L76" s="345" t="s">
        <v>4576</v>
      </c>
      <c r="M76" s="368" t="s">
        <v>4577</v>
      </c>
      <c r="N76" s="348" t="s">
        <v>4578</v>
      </c>
      <c r="O76" s="3097" t="s">
        <v>4579</v>
      </c>
      <c r="P76" s="347" t="s">
        <v>4580</v>
      </c>
      <c r="Q76" s="554" t="s">
        <v>4581</v>
      </c>
      <c r="R76" s="350" t="s">
        <v>4582</v>
      </c>
      <c r="S76" s="349" t="s">
        <v>4583</v>
      </c>
      <c r="T76" s="345" t="s">
        <v>4584</v>
      </c>
      <c r="U76" s="349" t="s">
        <v>4585</v>
      </c>
      <c r="V76" s="347" t="s">
        <v>4586</v>
      </c>
      <c r="W76" s="349" t="s">
        <v>4587</v>
      </c>
      <c r="X76" s="554" t="s">
        <v>4588</v>
      </c>
      <c r="Y76" s="350" t="s">
        <v>4589</v>
      </c>
      <c r="Z76" s="349" t="s">
        <v>4590</v>
      </c>
      <c r="AA76" s="622" t="s">
        <v>4591</v>
      </c>
      <c r="AB76" s="622" t="s">
        <v>4592</v>
      </c>
      <c r="AC76" s="622" t="s">
        <v>4593</v>
      </c>
      <c r="AD76" s="622" t="s">
        <v>4594</v>
      </c>
      <c r="AE76" s="622" t="s">
        <v>4595</v>
      </c>
      <c r="AF76" s="3094" t="s">
        <v>4596</v>
      </c>
      <c r="AG76" s="3095" t="s">
        <v>4597</v>
      </c>
      <c r="AH76" s="290" t="s">
        <v>4598</v>
      </c>
      <c r="AI76" s="531" t="s">
        <v>4599</v>
      </c>
      <c r="AJ76" s="107" t="s">
        <v>4600</v>
      </c>
    </row>
    <row r="77" spans="1:99" x14ac:dyDescent="0.25">
      <c r="A77" s="5789" t="s">
        <v>5398</v>
      </c>
      <c r="B77" s="3068" t="s">
        <v>4308</v>
      </c>
      <c r="C77" s="3097" t="s">
        <v>4567</v>
      </c>
      <c r="D77" s="345" t="s">
        <v>4568</v>
      </c>
      <c r="E77" s="368" t="s">
        <v>4569</v>
      </c>
      <c r="F77" s="368" t="s">
        <v>4570</v>
      </c>
      <c r="G77" s="3097" t="s">
        <v>4571</v>
      </c>
      <c r="H77" s="345" t="s">
        <v>4572</v>
      </c>
      <c r="I77" s="368" t="s">
        <v>4573</v>
      </c>
      <c r="J77" s="368" t="s">
        <v>4574</v>
      </c>
      <c r="K77" s="3097" t="s">
        <v>4575</v>
      </c>
      <c r="L77" s="345" t="s">
        <v>4576</v>
      </c>
      <c r="M77" s="368" t="s">
        <v>4577</v>
      </c>
      <c r="N77" s="348" t="s">
        <v>4578</v>
      </c>
      <c r="O77" s="3097" t="s">
        <v>4579</v>
      </c>
      <c r="P77" s="347" t="s">
        <v>4580</v>
      </c>
      <c r="Q77" s="554" t="s">
        <v>4581</v>
      </c>
      <c r="R77" s="350" t="s">
        <v>4582</v>
      </c>
      <c r="S77" s="349" t="s">
        <v>4583</v>
      </c>
      <c r="T77" s="345" t="s">
        <v>4584</v>
      </c>
      <c r="U77" s="349" t="s">
        <v>4585</v>
      </c>
      <c r="V77" s="347" t="s">
        <v>4586</v>
      </c>
      <c r="W77" s="349" t="s">
        <v>4587</v>
      </c>
      <c r="X77" s="554" t="s">
        <v>4588</v>
      </c>
      <c r="Y77" s="350" t="s">
        <v>4589</v>
      </c>
      <c r="Z77" s="349" t="s">
        <v>4590</v>
      </c>
      <c r="AA77" s="622" t="s">
        <v>4591</v>
      </c>
      <c r="AB77" s="622" t="s">
        <v>4592</v>
      </c>
      <c r="AC77" s="622" t="s">
        <v>4593</v>
      </c>
      <c r="AD77" s="622" t="s">
        <v>4594</v>
      </c>
      <c r="AE77" s="622" t="s">
        <v>4595</v>
      </c>
      <c r="AF77" s="3094" t="s">
        <v>4596</v>
      </c>
      <c r="AG77" s="3095" t="s">
        <v>4597</v>
      </c>
      <c r="AH77" s="290" t="s">
        <v>4598</v>
      </c>
      <c r="AI77" s="531" t="s">
        <v>4599</v>
      </c>
      <c r="AJ77" s="107" t="s">
        <v>4600</v>
      </c>
    </row>
    <row r="78" spans="1:99" x14ac:dyDescent="0.25">
      <c r="A78" s="5787" t="s">
        <v>5399</v>
      </c>
      <c r="B78" s="343" t="s">
        <v>1213</v>
      </c>
      <c r="C78" s="3097" t="s">
        <v>4567</v>
      </c>
      <c r="D78" s="345" t="s">
        <v>4568</v>
      </c>
      <c r="E78" s="368" t="s">
        <v>4569</v>
      </c>
      <c r="F78" s="368" t="s">
        <v>4570</v>
      </c>
      <c r="G78" s="3097" t="s">
        <v>4571</v>
      </c>
      <c r="H78" s="345" t="s">
        <v>4572</v>
      </c>
      <c r="I78" s="368" t="s">
        <v>4573</v>
      </c>
      <c r="J78" s="368" t="s">
        <v>4574</v>
      </c>
      <c r="K78" s="3097" t="s">
        <v>4575</v>
      </c>
      <c r="L78" s="345" t="s">
        <v>4576</v>
      </c>
      <c r="M78" s="368" t="s">
        <v>4577</v>
      </c>
      <c r="N78" s="348" t="s">
        <v>4578</v>
      </c>
      <c r="O78" s="3097" t="s">
        <v>4579</v>
      </c>
      <c r="P78" s="347" t="s">
        <v>4580</v>
      </c>
      <c r="Q78" s="554" t="s">
        <v>4581</v>
      </c>
      <c r="R78" s="350" t="s">
        <v>4582</v>
      </c>
      <c r="S78" s="349" t="s">
        <v>4583</v>
      </c>
      <c r="T78" s="345" t="s">
        <v>4584</v>
      </c>
      <c r="U78" s="349" t="s">
        <v>4585</v>
      </c>
      <c r="V78" s="347" t="s">
        <v>4586</v>
      </c>
      <c r="W78" s="349" t="s">
        <v>4587</v>
      </c>
      <c r="X78" s="554" t="s">
        <v>4588</v>
      </c>
      <c r="Y78" s="350" t="s">
        <v>4589</v>
      </c>
      <c r="Z78" s="349" t="s">
        <v>4590</v>
      </c>
      <c r="AA78" s="622" t="s">
        <v>4591</v>
      </c>
      <c r="AB78" s="622" t="s">
        <v>4592</v>
      </c>
      <c r="AC78" s="622" t="s">
        <v>4593</v>
      </c>
      <c r="AD78" s="622" t="s">
        <v>4594</v>
      </c>
      <c r="AE78" s="622" t="s">
        <v>4595</v>
      </c>
      <c r="AF78" s="3094" t="s">
        <v>4596</v>
      </c>
      <c r="AG78" s="3095" t="s">
        <v>4597</v>
      </c>
      <c r="AH78" s="290" t="s">
        <v>4598</v>
      </c>
      <c r="AI78" s="531" t="s">
        <v>4599</v>
      </c>
      <c r="AJ78" s="107" t="s">
        <v>4600</v>
      </c>
    </row>
    <row r="79" spans="1:99" x14ac:dyDescent="0.25">
      <c r="A79" s="5787" t="s">
        <v>5400</v>
      </c>
      <c r="B79" s="343" t="s">
        <v>1214</v>
      </c>
      <c r="C79" s="3097" t="s">
        <v>4567</v>
      </c>
      <c r="D79" s="345" t="s">
        <v>4568</v>
      </c>
      <c r="E79" s="368" t="s">
        <v>4569</v>
      </c>
      <c r="F79" s="368" t="s">
        <v>4570</v>
      </c>
      <c r="G79" s="3097" t="s">
        <v>4571</v>
      </c>
      <c r="H79" s="345" t="s">
        <v>4572</v>
      </c>
      <c r="I79" s="368" t="s">
        <v>4573</v>
      </c>
      <c r="J79" s="368" t="s">
        <v>4574</v>
      </c>
      <c r="K79" s="3097" t="s">
        <v>4575</v>
      </c>
      <c r="L79" s="345" t="s">
        <v>4576</v>
      </c>
      <c r="M79" s="368" t="s">
        <v>4577</v>
      </c>
      <c r="N79" s="348" t="s">
        <v>4578</v>
      </c>
      <c r="O79" s="3097" t="s">
        <v>4579</v>
      </c>
      <c r="P79" s="347" t="s">
        <v>4580</v>
      </c>
      <c r="Q79" s="554" t="s">
        <v>4581</v>
      </c>
      <c r="R79" s="350" t="s">
        <v>4582</v>
      </c>
      <c r="S79" s="349" t="s">
        <v>4583</v>
      </c>
      <c r="T79" s="345" t="s">
        <v>4584</v>
      </c>
      <c r="U79" s="349" t="s">
        <v>4585</v>
      </c>
      <c r="V79" s="347" t="s">
        <v>4586</v>
      </c>
      <c r="W79" s="349" t="s">
        <v>4587</v>
      </c>
      <c r="X79" s="554" t="s">
        <v>4588</v>
      </c>
      <c r="Y79" s="350" t="s">
        <v>4589</v>
      </c>
      <c r="Z79" s="349" t="s">
        <v>4590</v>
      </c>
      <c r="AA79" s="622" t="s">
        <v>4591</v>
      </c>
      <c r="AB79" s="622" t="s">
        <v>4592</v>
      </c>
      <c r="AC79" s="622" t="s">
        <v>4593</v>
      </c>
      <c r="AD79" s="622" t="s">
        <v>4594</v>
      </c>
      <c r="AE79" s="622" t="s">
        <v>4595</v>
      </c>
      <c r="AF79" s="3094" t="s">
        <v>4596</v>
      </c>
      <c r="AG79" s="3095" t="s">
        <v>4597</v>
      </c>
      <c r="AH79" s="290" t="s">
        <v>4598</v>
      </c>
      <c r="AI79" s="531" t="s">
        <v>4599</v>
      </c>
      <c r="AJ79" s="107" t="s">
        <v>4600</v>
      </c>
    </row>
    <row r="80" spans="1:99" x14ac:dyDescent="0.25">
      <c r="A80" s="5787" t="s">
        <v>5401</v>
      </c>
      <c r="B80" s="343" t="s">
        <v>1215</v>
      </c>
      <c r="C80" s="3097" t="s">
        <v>4567</v>
      </c>
      <c r="D80" s="345" t="s">
        <v>4568</v>
      </c>
      <c r="E80" s="368" t="s">
        <v>4569</v>
      </c>
      <c r="F80" s="368" t="s">
        <v>4570</v>
      </c>
      <c r="G80" s="3097" t="s">
        <v>4571</v>
      </c>
      <c r="H80" s="345" t="s">
        <v>4572</v>
      </c>
      <c r="I80" s="368" t="s">
        <v>4573</v>
      </c>
      <c r="J80" s="368" t="s">
        <v>4574</v>
      </c>
      <c r="K80" s="3097" t="s">
        <v>4575</v>
      </c>
      <c r="L80" s="345" t="s">
        <v>4576</v>
      </c>
      <c r="M80" s="368" t="s">
        <v>4577</v>
      </c>
      <c r="N80" s="348" t="s">
        <v>4578</v>
      </c>
      <c r="O80" s="3097" t="s">
        <v>4579</v>
      </c>
      <c r="P80" s="347" t="s">
        <v>4580</v>
      </c>
      <c r="Q80" s="554" t="s">
        <v>4581</v>
      </c>
      <c r="R80" s="350" t="s">
        <v>4582</v>
      </c>
      <c r="S80" s="349" t="s">
        <v>4583</v>
      </c>
      <c r="T80" s="345" t="s">
        <v>4584</v>
      </c>
      <c r="U80" s="349" t="s">
        <v>4585</v>
      </c>
      <c r="V80" s="347" t="s">
        <v>4586</v>
      </c>
      <c r="W80" s="349" t="s">
        <v>4587</v>
      </c>
      <c r="X80" s="554" t="s">
        <v>4588</v>
      </c>
      <c r="Y80" s="350" t="s">
        <v>4589</v>
      </c>
      <c r="Z80" s="349" t="s">
        <v>4590</v>
      </c>
      <c r="AA80" s="622" t="s">
        <v>4591</v>
      </c>
      <c r="AB80" s="622" t="s">
        <v>4592</v>
      </c>
      <c r="AC80" s="622" t="s">
        <v>4593</v>
      </c>
      <c r="AD80" s="622" t="s">
        <v>4594</v>
      </c>
      <c r="AE80" s="622" t="s">
        <v>4595</v>
      </c>
      <c r="AF80" s="3094" t="s">
        <v>4596</v>
      </c>
      <c r="AG80" s="3095" t="s">
        <v>4597</v>
      </c>
      <c r="AH80" s="290" t="s">
        <v>4598</v>
      </c>
      <c r="AI80" s="531" t="s">
        <v>4599</v>
      </c>
      <c r="AJ80" s="107" t="s">
        <v>4600</v>
      </c>
    </row>
    <row r="81" spans="1:36" x14ac:dyDescent="0.25">
      <c r="A81" s="5787" t="s">
        <v>5402</v>
      </c>
      <c r="B81" s="343" t="s">
        <v>1216</v>
      </c>
      <c r="C81" s="3097" t="s">
        <v>4567</v>
      </c>
      <c r="D81" s="345" t="s">
        <v>4568</v>
      </c>
      <c r="E81" s="368" t="s">
        <v>4569</v>
      </c>
      <c r="F81" s="368" t="s">
        <v>4570</v>
      </c>
      <c r="G81" s="3097" t="s">
        <v>4571</v>
      </c>
      <c r="H81" s="345" t="s">
        <v>4572</v>
      </c>
      <c r="I81" s="368" t="s">
        <v>4573</v>
      </c>
      <c r="J81" s="368" t="s">
        <v>4574</v>
      </c>
      <c r="K81" s="3097" t="s">
        <v>4575</v>
      </c>
      <c r="L81" s="345" t="s">
        <v>4576</v>
      </c>
      <c r="M81" s="368" t="s">
        <v>4577</v>
      </c>
      <c r="N81" s="348" t="s">
        <v>4578</v>
      </c>
      <c r="O81" s="3097" t="s">
        <v>4579</v>
      </c>
      <c r="P81" s="347" t="s">
        <v>4580</v>
      </c>
      <c r="Q81" s="554" t="s">
        <v>4581</v>
      </c>
      <c r="R81" s="350" t="s">
        <v>4582</v>
      </c>
      <c r="S81" s="349" t="s">
        <v>4583</v>
      </c>
      <c r="T81" s="345" t="s">
        <v>4584</v>
      </c>
      <c r="U81" s="349" t="s">
        <v>4585</v>
      </c>
      <c r="V81" s="347" t="s">
        <v>4586</v>
      </c>
      <c r="W81" s="349" t="s">
        <v>4587</v>
      </c>
      <c r="X81" s="554" t="s">
        <v>4588</v>
      </c>
      <c r="Y81" s="350" t="s">
        <v>4589</v>
      </c>
      <c r="Z81" s="349" t="s">
        <v>4590</v>
      </c>
      <c r="AA81" s="622" t="s">
        <v>4591</v>
      </c>
      <c r="AB81" s="622" t="s">
        <v>4592</v>
      </c>
      <c r="AC81" s="622" t="s">
        <v>4593</v>
      </c>
      <c r="AD81" s="622" t="s">
        <v>4594</v>
      </c>
      <c r="AE81" s="622" t="s">
        <v>4595</v>
      </c>
      <c r="AF81" s="3094" t="s">
        <v>4596</v>
      </c>
      <c r="AG81" s="3095" t="s">
        <v>4597</v>
      </c>
      <c r="AH81" s="290" t="s">
        <v>4598</v>
      </c>
      <c r="AI81" s="531" t="s">
        <v>4599</v>
      </c>
      <c r="AJ81" s="107" t="s">
        <v>4600</v>
      </c>
    </row>
    <row r="82" spans="1:36" x14ac:dyDescent="0.25">
      <c r="A82" s="5787" t="s">
        <v>5403</v>
      </c>
      <c r="B82" s="343" t="s">
        <v>1217</v>
      </c>
      <c r="C82" s="3097" t="s">
        <v>4567</v>
      </c>
      <c r="D82" s="345" t="s">
        <v>4568</v>
      </c>
      <c r="E82" s="368" t="s">
        <v>4569</v>
      </c>
      <c r="F82" s="368" t="s">
        <v>4570</v>
      </c>
      <c r="G82" s="3097" t="s">
        <v>4571</v>
      </c>
      <c r="H82" s="345" t="s">
        <v>4572</v>
      </c>
      <c r="I82" s="368" t="s">
        <v>4573</v>
      </c>
      <c r="J82" s="368" t="s">
        <v>4574</v>
      </c>
      <c r="K82" s="3097" t="s">
        <v>4575</v>
      </c>
      <c r="L82" s="345" t="s">
        <v>4576</v>
      </c>
      <c r="M82" s="368" t="s">
        <v>4577</v>
      </c>
      <c r="N82" s="348" t="s">
        <v>4578</v>
      </c>
      <c r="O82" s="3097" t="s">
        <v>4579</v>
      </c>
      <c r="P82" s="347" t="s">
        <v>4580</v>
      </c>
      <c r="Q82" s="554" t="s">
        <v>4581</v>
      </c>
      <c r="R82" s="350" t="s">
        <v>4582</v>
      </c>
      <c r="S82" s="349" t="s">
        <v>4583</v>
      </c>
      <c r="T82" s="345" t="s">
        <v>4584</v>
      </c>
      <c r="U82" s="349" t="s">
        <v>4585</v>
      </c>
      <c r="V82" s="347" t="s">
        <v>4586</v>
      </c>
      <c r="W82" s="349" t="s">
        <v>4587</v>
      </c>
      <c r="X82" s="554" t="s">
        <v>4588</v>
      </c>
      <c r="Y82" s="350" t="s">
        <v>4589</v>
      </c>
      <c r="Z82" s="349" t="s">
        <v>4590</v>
      </c>
      <c r="AA82" s="622" t="s">
        <v>4591</v>
      </c>
      <c r="AB82" s="622" t="s">
        <v>4592</v>
      </c>
      <c r="AC82" s="622" t="s">
        <v>4593</v>
      </c>
      <c r="AD82" s="622" t="s">
        <v>4594</v>
      </c>
      <c r="AE82" s="622" t="s">
        <v>4595</v>
      </c>
      <c r="AF82" s="3094" t="s">
        <v>4596</v>
      </c>
      <c r="AG82" s="3095" t="s">
        <v>4597</v>
      </c>
      <c r="AH82" s="290" t="s">
        <v>4598</v>
      </c>
      <c r="AI82" s="531" t="s">
        <v>4599</v>
      </c>
      <c r="AJ82" s="107" t="s">
        <v>4600</v>
      </c>
    </row>
    <row r="83" spans="1:36" x14ac:dyDescent="0.25">
      <c r="A83" s="5789" t="s">
        <v>5404</v>
      </c>
      <c r="B83" s="343" t="s">
        <v>4409</v>
      </c>
      <c r="C83" s="3097" t="s">
        <v>4567</v>
      </c>
      <c r="D83" s="345" t="s">
        <v>4568</v>
      </c>
      <c r="E83" s="368" t="s">
        <v>4569</v>
      </c>
      <c r="F83" s="368" t="s">
        <v>4570</v>
      </c>
      <c r="G83" s="3097" t="s">
        <v>4571</v>
      </c>
      <c r="H83" s="345" t="s">
        <v>4572</v>
      </c>
      <c r="I83" s="368" t="s">
        <v>4573</v>
      </c>
      <c r="J83" s="368" t="s">
        <v>4574</v>
      </c>
      <c r="K83" s="3097" t="s">
        <v>4575</v>
      </c>
      <c r="L83" s="345" t="s">
        <v>4576</v>
      </c>
      <c r="M83" s="368" t="s">
        <v>4577</v>
      </c>
      <c r="N83" s="348" t="s">
        <v>4578</v>
      </c>
      <c r="O83" s="3097" t="s">
        <v>4579</v>
      </c>
      <c r="P83" s="347" t="s">
        <v>4580</v>
      </c>
      <c r="Q83" s="554" t="s">
        <v>4581</v>
      </c>
      <c r="R83" s="350" t="s">
        <v>4582</v>
      </c>
      <c r="S83" s="349" t="s">
        <v>4583</v>
      </c>
      <c r="T83" s="345" t="s">
        <v>4584</v>
      </c>
      <c r="U83" s="349" t="s">
        <v>4585</v>
      </c>
      <c r="V83" s="347" t="s">
        <v>4586</v>
      </c>
      <c r="W83" s="349" t="s">
        <v>4587</v>
      </c>
      <c r="X83" s="554" t="s">
        <v>4588</v>
      </c>
      <c r="Y83" s="350" t="s">
        <v>4589</v>
      </c>
      <c r="Z83" s="349" t="s">
        <v>4590</v>
      </c>
      <c r="AA83" s="622" t="s">
        <v>4591</v>
      </c>
      <c r="AB83" s="622" t="s">
        <v>4592</v>
      </c>
      <c r="AC83" s="622" t="s">
        <v>4593</v>
      </c>
      <c r="AD83" s="622" t="s">
        <v>4594</v>
      </c>
      <c r="AE83" s="622" t="s">
        <v>4595</v>
      </c>
      <c r="AF83" s="3094" t="s">
        <v>4596</v>
      </c>
      <c r="AG83" s="3095" t="s">
        <v>4597</v>
      </c>
      <c r="AH83" s="290" t="s">
        <v>4598</v>
      </c>
      <c r="AI83" s="531" t="s">
        <v>4599</v>
      </c>
      <c r="AJ83" s="107" t="s">
        <v>4600</v>
      </c>
    </row>
    <row r="84" spans="1:36" x14ac:dyDescent="0.25">
      <c r="A84" s="5789" t="s">
        <v>5405</v>
      </c>
      <c r="B84" s="3067" t="s">
        <v>4314</v>
      </c>
      <c r="C84" s="3097" t="s">
        <v>4567</v>
      </c>
      <c r="D84" s="345" t="s">
        <v>4568</v>
      </c>
      <c r="E84" s="368" t="s">
        <v>4569</v>
      </c>
      <c r="F84" s="368" t="s">
        <v>4570</v>
      </c>
      <c r="G84" s="3097" t="s">
        <v>4571</v>
      </c>
      <c r="H84" s="345" t="s">
        <v>4572</v>
      </c>
      <c r="I84" s="368" t="s">
        <v>4573</v>
      </c>
      <c r="J84" s="368" t="s">
        <v>4574</v>
      </c>
      <c r="K84" s="3097" t="s">
        <v>4575</v>
      </c>
      <c r="L84" s="345" t="s">
        <v>4576</v>
      </c>
      <c r="M84" s="368" t="s">
        <v>4577</v>
      </c>
      <c r="N84" s="348" t="s">
        <v>4578</v>
      </c>
      <c r="O84" s="3097" t="s">
        <v>4579</v>
      </c>
      <c r="P84" s="347" t="s">
        <v>4580</v>
      </c>
      <c r="Q84" s="554" t="s">
        <v>4581</v>
      </c>
      <c r="R84" s="350" t="s">
        <v>4582</v>
      </c>
      <c r="S84" s="349" t="s">
        <v>4583</v>
      </c>
      <c r="T84" s="345" t="s">
        <v>4584</v>
      </c>
      <c r="U84" s="349" t="s">
        <v>4585</v>
      </c>
      <c r="V84" s="347" t="s">
        <v>4586</v>
      </c>
      <c r="W84" s="349" t="s">
        <v>4587</v>
      </c>
      <c r="X84" s="554" t="s">
        <v>4588</v>
      </c>
      <c r="Y84" s="350" t="s">
        <v>4589</v>
      </c>
      <c r="Z84" s="349" t="s">
        <v>4590</v>
      </c>
      <c r="AA84" s="622" t="s">
        <v>4591</v>
      </c>
      <c r="AB84" s="622" t="s">
        <v>4592</v>
      </c>
      <c r="AC84" s="622" t="s">
        <v>4593</v>
      </c>
      <c r="AD84" s="622" t="s">
        <v>4594</v>
      </c>
      <c r="AE84" s="622" t="s">
        <v>4595</v>
      </c>
      <c r="AF84" s="3094" t="s">
        <v>4596</v>
      </c>
      <c r="AG84" s="3095" t="s">
        <v>4597</v>
      </c>
      <c r="AH84" s="290" t="s">
        <v>4598</v>
      </c>
      <c r="AI84" s="531" t="s">
        <v>4599</v>
      </c>
      <c r="AJ84" s="107" t="s">
        <v>4600</v>
      </c>
    </row>
    <row r="85" spans="1:36" x14ac:dyDescent="0.25">
      <c r="A85" s="5787" t="s">
        <v>5406</v>
      </c>
      <c r="B85" s="343" t="s">
        <v>1218</v>
      </c>
      <c r="C85" s="3097" t="s">
        <v>4567</v>
      </c>
      <c r="D85" s="345" t="s">
        <v>4568</v>
      </c>
      <c r="E85" s="368" t="s">
        <v>4569</v>
      </c>
      <c r="F85" s="368" t="s">
        <v>4570</v>
      </c>
      <c r="G85" s="3097" t="s">
        <v>4571</v>
      </c>
      <c r="H85" s="345" t="s">
        <v>4572</v>
      </c>
      <c r="I85" s="368" t="s">
        <v>4573</v>
      </c>
      <c r="J85" s="368" t="s">
        <v>4574</v>
      </c>
      <c r="K85" s="3097" t="s">
        <v>4575</v>
      </c>
      <c r="L85" s="345" t="s">
        <v>4576</v>
      </c>
      <c r="M85" s="368" t="s">
        <v>4577</v>
      </c>
      <c r="N85" s="348" t="s">
        <v>4578</v>
      </c>
      <c r="O85" s="3097" t="s">
        <v>4579</v>
      </c>
      <c r="P85" s="347" t="s">
        <v>4580</v>
      </c>
      <c r="Q85" s="554" t="s">
        <v>4581</v>
      </c>
      <c r="R85" s="350" t="s">
        <v>4582</v>
      </c>
      <c r="S85" s="349" t="s">
        <v>4583</v>
      </c>
      <c r="T85" s="345" t="s">
        <v>4584</v>
      </c>
      <c r="U85" s="349" t="s">
        <v>4585</v>
      </c>
      <c r="V85" s="347" t="s">
        <v>4586</v>
      </c>
      <c r="W85" s="349" t="s">
        <v>4587</v>
      </c>
      <c r="X85" s="554" t="s">
        <v>4588</v>
      </c>
      <c r="Y85" s="350" t="s">
        <v>4589</v>
      </c>
      <c r="Z85" s="349" t="s">
        <v>4590</v>
      </c>
      <c r="AA85" s="622" t="s">
        <v>4591</v>
      </c>
      <c r="AB85" s="622" t="s">
        <v>4592</v>
      </c>
      <c r="AC85" s="622" t="s">
        <v>4593</v>
      </c>
      <c r="AD85" s="622" t="s">
        <v>4594</v>
      </c>
      <c r="AE85" s="622" t="s">
        <v>4595</v>
      </c>
      <c r="AF85" s="3094" t="s">
        <v>4596</v>
      </c>
      <c r="AG85" s="3095" t="s">
        <v>4597</v>
      </c>
      <c r="AH85" s="290" t="s">
        <v>4598</v>
      </c>
      <c r="AI85" s="531" t="s">
        <v>4599</v>
      </c>
      <c r="AJ85" s="107" t="s">
        <v>4600</v>
      </c>
    </row>
    <row r="86" spans="1:36" x14ac:dyDescent="0.25">
      <c r="A86" s="5787" t="s">
        <v>5407</v>
      </c>
      <c r="B86" s="343" t="s">
        <v>1219</v>
      </c>
      <c r="C86" s="3097" t="s">
        <v>4567</v>
      </c>
      <c r="D86" s="345" t="s">
        <v>4568</v>
      </c>
      <c r="E86" s="368" t="s">
        <v>4569</v>
      </c>
      <c r="F86" s="368" t="s">
        <v>4570</v>
      </c>
      <c r="G86" s="3097" t="s">
        <v>4571</v>
      </c>
      <c r="H86" s="345" t="s">
        <v>4572</v>
      </c>
      <c r="I86" s="368" t="s">
        <v>4573</v>
      </c>
      <c r="J86" s="368" t="s">
        <v>4574</v>
      </c>
      <c r="K86" s="3097" t="s">
        <v>4575</v>
      </c>
      <c r="L86" s="345" t="s">
        <v>4576</v>
      </c>
      <c r="M86" s="368" t="s">
        <v>4577</v>
      </c>
      <c r="N86" s="348" t="s">
        <v>4578</v>
      </c>
      <c r="O86" s="3097" t="s">
        <v>4579</v>
      </c>
      <c r="P86" s="347" t="s">
        <v>4580</v>
      </c>
      <c r="Q86" s="554" t="s">
        <v>4581</v>
      </c>
      <c r="R86" s="350" t="s">
        <v>4582</v>
      </c>
      <c r="S86" s="349" t="s">
        <v>4583</v>
      </c>
      <c r="T86" s="345" t="s">
        <v>4584</v>
      </c>
      <c r="U86" s="349" t="s">
        <v>4585</v>
      </c>
      <c r="V86" s="347" t="s">
        <v>4586</v>
      </c>
      <c r="W86" s="349" t="s">
        <v>4587</v>
      </c>
      <c r="X86" s="554" t="s">
        <v>4588</v>
      </c>
      <c r="Y86" s="350" t="s">
        <v>4589</v>
      </c>
      <c r="Z86" s="349" t="s">
        <v>4590</v>
      </c>
      <c r="AA86" s="622" t="s">
        <v>4591</v>
      </c>
      <c r="AB86" s="622" t="s">
        <v>4592</v>
      </c>
      <c r="AC86" s="622" t="s">
        <v>4593</v>
      </c>
      <c r="AD86" s="622" t="s">
        <v>4594</v>
      </c>
      <c r="AE86" s="622" t="s">
        <v>4595</v>
      </c>
      <c r="AF86" s="3094" t="s">
        <v>4596</v>
      </c>
      <c r="AG86" s="3095" t="s">
        <v>4597</v>
      </c>
      <c r="AH86" s="290" t="s">
        <v>4598</v>
      </c>
      <c r="AI86" s="531" t="s">
        <v>4599</v>
      </c>
      <c r="AJ86" s="107" t="s">
        <v>4600</v>
      </c>
    </row>
    <row r="87" spans="1:36" x14ac:dyDescent="0.25">
      <c r="A87" s="5789" t="s">
        <v>5408</v>
      </c>
      <c r="B87" s="343" t="s">
        <v>4307</v>
      </c>
      <c r="C87" s="3097" t="s">
        <v>4567</v>
      </c>
      <c r="D87" s="345" t="s">
        <v>4568</v>
      </c>
      <c r="E87" s="368" t="s">
        <v>4569</v>
      </c>
      <c r="F87" s="368" t="s">
        <v>4570</v>
      </c>
      <c r="G87" s="3097" t="s">
        <v>4571</v>
      </c>
      <c r="H87" s="345" t="s">
        <v>4572</v>
      </c>
      <c r="I87" s="368" t="s">
        <v>4573</v>
      </c>
      <c r="J87" s="368" t="s">
        <v>4574</v>
      </c>
      <c r="K87" s="3097" t="s">
        <v>4575</v>
      </c>
      <c r="L87" s="345" t="s">
        <v>4576</v>
      </c>
      <c r="M87" s="368" t="s">
        <v>4577</v>
      </c>
      <c r="N87" s="348" t="s">
        <v>4578</v>
      </c>
      <c r="O87" s="3097" t="s">
        <v>4579</v>
      </c>
      <c r="P87" s="347" t="s">
        <v>4580</v>
      </c>
      <c r="Q87" s="554" t="s">
        <v>4581</v>
      </c>
      <c r="R87" s="350" t="s">
        <v>4582</v>
      </c>
      <c r="S87" s="349" t="s">
        <v>4583</v>
      </c>
      <c r="T87" s="345" t="s">
        <v>4584</v>
      </c>
      <c r="U87" s="349" t="s">
        <v>4585</v>
      </c>
      <c r="V87" s="347" t="s">
        <v>4586</v>
      </c>
      <c r="W87" s="349" t="s">
        <v>4587</v>
      </c>
      <c r="X87" s="554" t="s">
        <v>4588</v>
      </c>
      <c r="Y87" s="350" t="s">
        <v>4589</v>
      </c>
      <c r="Z87" s="349" t="s">
        <v>4590</v>
      </c>
      <c r="AA87" s="622" t="s">
        <v>4591</v>
      </c>
      <c r="AB87" s="622" t="s">
        <v>4592</v>
      </c>
      <c r="AC87" s="622" t="s">
        <v>4593</v>
      </c>
      <c r="AD87" s="622" t="s">
        <v>4594</v>
      </c>
      <c r="AE87" s="622" t="s">
        <v>4595</v>
      </c>
      <c r="AF87" s="3094" t="s">
        <v>4596</v>
      </c>
      <c r="AG87" s="3095" t="s">
        <v>4597</v>
      </c>
      <c r="AH87" s="290" t="s">
        <v>4598</v>
      </c>
      <c r="AI87" s="531" t="s">
        <v>4599</v>
      </c>
      <c r="AJ87" s="107" t="s">
        <v>4600</v>
      </c>
    </row>
    <row r="88" spans="1:36" x14ac:dyDescent="0.25">
      <c r="A88" s="5789" t="s">
        <v>5409</v>
      </c>
      <c r="B88" s="3068" t="s">
        <v>4309</v>
      </c>
      <c r="C88" s="3097" t="s">
        <v>4567</v>
      </c>
      <c r="D88" s="345" t="s">
        <v>4568</v>
      </c>
      <c r="E88" s="368" t="s">
        <v>4569</v>
      </c>
      <c r="F88" s="368" t="s">
        <v>4570</v>
      </c>
      <c r="G88" s="3097" t="s">
        <v>4571</v>
      </c>
      <c r="H88" s="345" t="s">
        <v>4572</v>
      </c>
      <c r="I88" s="368" t="s">
        <v>4573</v>
      </c>
      <c r="J88" s="368" t="s">
        <v>4574</v>
      </c>
      <c r="K88" s="3097" t="s">
        <v>4575</v>
      </c>
      <c r="L88" s="345" t="s">
        <v>4576</v>
      </c>
      <c r="M88" s="368" t="s">
        <v>4577</v>
      </c>
      <c r="N88" s="348" t="s">
        <v>4578</v>
      </c>
      <c r="O88" s="3097" t="s">
        <v>4579</v>
      </c>
      <c r="P88" s="347" t="s">
        <v>4580</v>
      </c>
      <c r="Q88" s="554" t="s">
        <v>4581</v>
      </c>
      <c r="R88" s="350" t="s">
        <v>4582</v>
      </c>
      <c r="S88" s="349" t="s">
        <v>4583</v>
      </c>
      <c r="T88" s="345" t="s">
        <v>4584</v>
      </c>
      <c r="U88" s="349" t="s">
        <v>4585</v>
      </c>
      <c r="V88" s="347" t="s">
        <v>4586</v>
      </c>
      <c r="W88" s="349" t="s">
        <v>4587</v>
      </c>
      <c r="X88" s="554" t="s">
        <v>4588</v>
      </c>
      <c r="Y88" s="350" t="s">
        <v>4589</v>
      </c>
      <c r="Z88" s="349" t="s">
        <v>4590</v>
      </c>
      <c r="AA88" s="622" t="s">
        <v>4591</v>
      </c>
      <c r="AB88" s="622" t="s">
        <v>4592</v>
      </c>
      <c r="AC88" s="622" t="s">
        <v>4593</v>
      </c>
      <c r="AD88" s="622" t="s">
        <v>4594</v>
      </c>
      <c r="AE88" s="622" t="s">
        <v>4595</v>
      </c>
      <c r="AF88" s="3094" t="s">
        <v>4596</v>
      </c>
      <c r="AG88" s="3095" t="s">
        <v>4597</v>
      </c>
      <c r="AH88" s="290" t="s">
        <v>4598</v>
      </c>
      <c r="AI88" s="531" t="s">
        <v>4599</v>
      </c>
      <c r="AJ88" s="107" t="s">
        <v>4600</v>
      </c>
    </row>
    <row r="89" spans="1:36" x14ac:dyDescent="0.25">
      <c r="A89" s="5789" t="s">
        <v>5410</v>
      </c>
      <c r="B89" s="343" t="s">
        <v>4310</v>
      </c>
      <c r="C89" s="3097" t="s">
        <v>4567</v>
      </c>
      <c r="D89" s="345" t="s">
        <v>4568</v>
      </c>
      <c r="E89" s="368" t="s">
        <v>4569</v>
      </c>
      <c r="F89" s="368" t="s">
        <v>4570</v>
      </c>
      <c r="G89" s="3097" t="s">
        <v>4571</v>
      </c>
      <c r="H89" s="345" t="s">
        <v>4572</v>
      </c>
      <c r="I89" s="368" t="s">
        <v>4573</v>
      </c>
      <c r="J89" s="368" t="s">
        <v>4574</v>
      </c>
      <c r="K89" s="3097" t="s">
        <v>4575</v>
      </c>
      <c r="L89" s="345" t="s">
        <v>4576</v>
      </c>
      <c r="M89" s="368" t="s">
        <v>4577</v>
      </c>
      <c r="N89" s="348" t="s">
        <v>4578</v>
      </c>
      <c r="O89" s="3097" t="s">
        <v>4579</v>
      </c>
      <c r="P89" s="347" t="s">
        <v>4580</v>
      </c>
      <c r="Q89" s="554" t="s">
        <v>4581</v>
      </c>
      <c r="R89" s="350" t="s">
        <v>4582</v>
      </c>
      <c r="S89" s="349" t="s">
        <v>4583</v>
      </c>
      <c r="T89" s="345" t="s">
        <v>4584</v>
      </c>
      <c r="U89" s="349" t="s">
        <v>4585</v>
      </c>
      <c r="V89" s="347" t="s">
        <v>4586</v>
      </c>
      <c r="W89" s="349" t="s">
        <v>4587</v>
      </c>
      <c r="X89" s="554" t="s">
        <v>4588</v>
      </c>
      <c r="Y89" s="350" t="s">
        <v>4589</v>
      </c>
      <c r="Z89" s="349" t="s">
        <v>4590</v>
      </c>
      <c r="AA89" s="622" t="s">
        <v>4591</v>
      </c>
      <c r="AB89" s="622" t="s">
        <v>4592</v>
      </c>
      <c r="AC89" s="622" t="s">
        <v>4593</v>
      </c>
      <c r="AD89" s="622" t="s">
        <v>4594</v>
      </c>
      <c r="AE89" s="622" t="s">
        <v>4595</v>
      </c>
      <c r="AF89" s="3094" t="s">
        <v>4596</v>
      </c>
      <c r="AG89" s="3095" t="s">
        <v>4597</v>
      </c>
      <c r="AH89" s="290" t="s">
        <v>4598</v>
      </c>
      <c r="AI89" s="531" t="s">
        <v>4599</v>
      </c>
      <c r="AJ89" s="107" t="s">
        <v>4600</v>
      </c>
    </row>
    <row r="90" spans="1:36" x14ac:dyDescent="0.25">
      <c r="A90" s="5789" t="s">
        <v>5411</v>
      </c>
      <c r="B90" s="343" t="s">
        <v>4410</v>
      </c>
      <c r="C90" s="3097" t="s">
        <v>4567</v>
      </c>
      <c r="D90" s="345" t="s">
        <v>4568</v>
      </c>
      <c r="E90" s="368" t="s">
        <v>4569</v>
      </c>
      <c r="F90" s="368" t="s">
        <v>4570</v>
      </c>
      <c r="G90" s="3097" t="s">
        <v>4571</v>
      </c>
      <c r="H90" s="345" t="s">
        <v>4572</v>
      </c>
      <c r="I90" s="368" t="s">
        <v>4573</v>
      </c>
      <c r="J90" s="368" t="s">
        <v>4574</v>
      </c>
      <c r="K90" s="3097" t="s">
        <v>4575</v>
      </c>
      <c r="L90" s="345" t="s">
        <v>4576</v>
      </c>
      <c r="M90" s="368" t="s">
        <v>4577</v>
      </c>
      <c r="N90" s="348" t="s">
        <v>4578</v>
      </c>
      <c r="O90" s="3097" t="s">
        <v>4579</v>
      </c>
      <c r="P90" s="347" t="s">
        <v>4580</v>
      </c>
      <c r="Q90" s="554" t="s">
        <v>4581</v>
      </c>
      <c r="R90" s="350" t="s">
        <v>4582</v>
      </c>
      <c r="S90" s="349" t="s">
        <v>4583</v>
      </c>
      <c r="T90" s="345" t="s">
        <v>4584</v>
      </c>
      <c r="U90" s="349" t="s">
        <v>4585</v>
      </c>
      <c r="V90" s="347" t="s">
        <v>4586</v>
      </c>
      <c r="W90" s="349" t="s">
        <v>4587</v>
      </c>
      <c r="X90" s="554" t="s">
        <v>4588</v>
      </c>
      <c r="Y90" s="350" t="s">
        <v>4589</v>
      </c>
      <c r="Z90" s="349" t="s">
        <v>4590</v>
      </c>
      <c r="AA90" s="622" t="s">
        <v>4591</v>
      </c>
      <c r="AB90" s="622" t="s">
        <v>4592</v>
      </c>
      <c r="AC90" s="622" t="s">
        <v>4593</v>
      </c>
      <c r="AD90" s="622" t="s">
        <v>4594</v>
      </c>
      <c r="AE90" s="622" t="s">
        <v>4595</v>
      </c>
      <c r="AF90" s="3094" t="s">
        <v>4596</v>
      </c>
      <c r="AG90" s="3095" t="s">
        <v>4597</v>
      </c>
      <c r="AH90" s="290" t="s">
        <v>4598</v>
      </c>
      <c r="AI90" s="531" t="s">
        <v>4599</v>
      </c>
      <c r="AJ90" s="107" t="s">
        <v>4600</v>
      </c>
    </row>
    <row r="91" spans="1:36" x14ac:dyDescent="0.25">
      <c r="A91" s="5787" t="s">
        <v>5412</v>
      </c>
      <c r="B91" s="343" t="s">
        <v>1220</v>
      </c>
      <c r="C91" s="3097" t="s">
        <v>4567</v>
      </c>
      <c r="D91" s="345" t="s">
        <v>4568</v>
      </c>
      <c r="E91" s="368" t="s">
        <v>4569</v>
      </c>
      <c r="F91" s="368" t="s">
        <v>4570</v>
      </c>
      <c r="G91" s="3097" t="s">
        <v>4571</v>
      </c>
      <c r="H91" s="345" t="s">
        <v>4572</v>
      </c>
      <c r="I91" s="368" t="s">
        <v>4573</v>
      </c>
      <c r="J91" s="368" t="s">
        <v>4574</v>
      </c>
      <c r="K91" s="3097" t="s">
        <v>4575</v>
      </c>
      <c r="L91" s="345" t="s">
        <v>4576</v>
      </c>
      <c r="M91" s="368" t="s">
        <v>4577</v>
      </c>
      <c r="N91" s="348" t="s">
        <v>4578</v>
      </c>
      <c r="O91" s="3097" t="s">
        <v>4579</v>
      </c>
      <c r="P91" s="347" t="s">
        <v>4580</v>
      </c>
      <c r="Q91" s="554" t="s">
        <v>4581</v>
      </c>
      <c r="R91" s="350" t="s">
        <v>4582</v>
      </c>
      <c r="S91" s="349" t="s">
        <v>4583</v>
      </c>
      <c r="T91" s="345" t="s">
        <v>4584</v>
      </c>
      <c r="U91" s="349" t="s">
        <v>4585</v>
      </c>
      <c r="V91" s="347" t="s">
        <v>4586</v>
      </c>
      <c r="W91" s="349" t="s">
        <v>4587</v>
      </c>
      <c r="X91" s="554" t="s">
        <v>4588</v>
      </c>
      <c r="Y91" s="350" t="s">
        <v>4589</v>
      </c>
      <c r="Z91" s="349" t="s">
        <v>4590</v>
      </c>
      <c r="AA91" s="622" t="s">
        <v>4591</v>
      </c>
      <c r="AB91" s="622" t="s">
        <v>4592</v>
      </c>
      <c r="AC91" s="622" t="s">
        <v>4593</v>
      </c>
      <c r="AD91" s="622" t="s">
        <v>4594</v>
      </c>
      <c r="AE91" s="622" t="s">
        <v>4595</v>
      </c>
      <c r="AF91" s="3094" t="s">
        <v>4596</v>
      </c>
      <c r="AG91" s="3095" t="s">
        <v>4597</v>
      </c>
      <c r="AH91" s="290" t="s">
        <v>4598</v>
      </c>
      <c r="AI91" s="531" t="s">
        <v>4599</v>
      </c>
      <c r="AJ91" s="107" t="s">
        <v>4600</v>
      </c>
    </row>
    <row r="92" spans="1:36" x14ac:dyDescent="0.25">
      <c r="A92" s="5789" t="s">
        <v>5413</v>
      </c>
      <c r="B92" s="343" t="s">
        <v>4417</v>
      </c>
      <c r="C92" s="3097" t="s">
        <v>4567</v>
      </c>
      <c r="D92" s="345" t="s">
        <v>4568</v>
      </c>
      <c r="E92" s="368" t="s">
        <v>4569</v>
      </c>
      <c r="F92" s="368" t="s">
        <v>4570</v>
      </c>
      <c r="G92" s="3097" t="s">
        <v>4571</v>
      </c>
      <c r="H92" s="345" t="s">
        <v>4572</v>
      </c>
      <c r="I92" s="368" t="s">
        <v>4573</v>
      </c>
      <c r="J92" s="368" t="s">
        <v>4574</v>
      </c>
      <c r="K92" s="3097" t="s">
        <v>4575</v>
      </c>
      <c r="L92" s="345" t="s">
        <v>4576</v>
      </c>
      <c r="M92" s="368" t="s">
        <v>4577</v>
      </c>
      <c r="N92" s="348" t="s">
        <v>4578</v>
      </c>
      <c r="O92" s="3097" t="s">
        <v>4579</v>
      </c>
      <c r="P92" s="347" t="s">
        <v>4580</v>
      </c>
      <c r="Q92" s="554" t="s">
        <v>4581</v>
      </c>
      <c r="R92" s="350" t="s">
        <v>4582</v>
      </c>
      <c r="S92" s="349" t="s">
        <v>4583</v>
      </c>
      <c r="T92" s="345" t="s">
        <v>4584</v>
      </c>
      <c r="U92" s="349" t="s">
        <v>4585</v>
      </c>
      <c r="V92" s="347" t="s">
        <v>4586</v>
      </c>
      <c r="W92" s="349" t="s">
        <v>4587</v>
      </c>
      <c r="X92" s="554" t="s">
        <v>4588</v>
      </c>
      <c r="Y92" s="350" t="s">
        <v>4589</v>
      </c>
      <c r="Z92" s="349" t="s">
        <v>4590</v>
      </c>
      <c r="AA92" s="622" t="s">
        <v>4591</v>
      </c>
      <c r="AB92" s="622" t="s">
        <v>4592</v>
      </c>
      <c r="AC92" s="622" t="s">
        <v>4593</v>
      </c>
      <c r="AD92" s="622" t="s">
        <v>4594</v>
      </c>
      <c r="AE92" s="622" t="s">
        <v>4595</v>
      </c>
      <c r="AF92" s="3094" t="s">
        <v>4596</v>
      </c>
      <c r="AG92" s="3095" t="s">
        <v>4597</v>
      </c>
      <c r="AH92" s="290" t="s">
        <v>4598</v>
      </c>
      <c r="AI92" s="531" t="s">
        <v>4599</v>
      </c>
      <c r="AJ92" s="107" t="s">
        <v>4600</v>
      </c>
    </row>
    <row r="93" spans="1:36" x14ac:dyDescent="0.25">
      <c r="A93" s="5787" t="s">
        <v>5414</v>
      </c>
      <c r="B93" s="343" t="s">
        <v>1221</v>
      </c>
      <c r="C93" s="3097" t="s">
        <v>4567</v>
      </c>
      <c r="D93" s="345" t="s">
        <v>4568</v>
      </c>
      <c r="E93" s="368" t="s">
        <v>4569</v>
      </c>
      <c r="F93" s="368" t="s">
        <v>4570</v>
      </c>
      <c r="G93" s="3097" t="s">
        <v>4571</v>
      </c>
      <c r="H93" s="345" t="s">
        <v>4572</v>
      </c>
      <c r="I93" s="368" t="s">
        <v>4573</v>
      </c>
      <c r="J93" s="368" t="s">
        <v>4574</v>
      </c>
      <c r="K93" s="3097" t="s">
        <v>4575</v>
      </c>
      <c r="L93" s="345" t="s">
        <v>4576</v>
      </c>
      <c r="M93" s="368" t="s">
        <v>4577</v>
      </c>
      <c r="N93" s="348" t="s">
        <v>4578</v>
      </c>
      <c r="O93" s="3097" t="s">
        <v>4579</v>
      </c>
      <c r="P93" s="347" t="s">
        <v>4580</v>
      </c>
      <c r="Q93" s="554" t="s">
        <v>4581</v>
      </c>
      <c r="R93" s="350" t="s">
        <v>4582</v>
      </c>
      <c r="S93" s="349" t="s">
        <v>4583</v>
      </c>
      <c r="T93" s="345" t="s">
        <v>4584</v>
      </c>
      <c r="U93" s="349" t="s">
        <v>4585</v>
      </c>
      <c r="V93" s="347" t="s">
        <v>4586</v>
      </c>
      <c r="W93" s="349" t="s">
        <v>4587</v>
      </c>
      <c r="X93" s="554" t="s">
        <v>4588</v>
      </c>
      <c r="Y93" s="350" t="s">
        <v>4589</v>
      </c>
      <c r="Z93" s="349" t="s">
        <v>4590</v>
      </c>
      <c r="AA93" s="622" t="s">
        <v>4591</v>
      </c>
      <c r="AB93" s="622" t="s">
        <v>4592</v>
      </c>
      <c r="AC93" s="622" t="s">
        <v>4593</v>
      </c>
      <c r="AD93" s="622" t="s">
        <v>4594</v>
      </c>
      <c r="AE93" s="622" t="s">
        <v>4595</v>
      </c>
      <c r="AF93" s="3094" t="s">
        <v>4596</v>
      </c>
      <c r="AG93" s="3095" t="s">
        <v>4597</v>
      </c>
      <c r="AH93" s="290" t="s">
        <v>4598</v>
      </c>
      <c r="AI93" s="531" t="s">
        <v>4599</v>
      </c>
      <c r="AJ93" s="107" t="s">
        <v>4600</v>
      </c>
    </row>
    <row r="94" spans="1:36" x14ac:dyDescent="0.25">
      <c r="A94" s="5787" t="s">
        <v>5415</v>
      </c>
      <c r="B94" s="343" t="s">
        <v>1222</v>
      </c>
      <c r="C94" s="3097" t="s">
        <v>4567</v>
      </c>
      <c r="D94" s="345" t="s">
        <v>4568</v>
      </c>
      <c r="E94" s="368" t="s">
        <v>4569</v>
      </c>
      <c r="F94" s="368" t="s">
        <v>4570</v>
      </c>
      <c r="G94" s="3097" t="s">
        <v>4571</v>
      </c>
      <c r="H94" s="345" t="s">
        <v>4572</v>
      </c>
      <c r="I94" s="368" t="s">
        <v>4573</v>
      </c>
      <c r="J94" s="368" t="s">
        <v>4574</v>
      </c>
      <c r="K94" s="3097" t="s">
        <v>4575</v>
      </c>
      <c r="L94" s="345" t="s">
        <v>4576</v>
      </c>
      <c r="M94" s="368" t="s">
        <v>4577</v>
      </c>
      <c r="N94" s="348" t="s">
        <v>4578</v>
      </c>
      <c r="O94" s="3097" t="s">
        <v>4579</v>
      </c>
      <c r="P94" s="347" t="s">
        <v>4580</v>
      </c>
      <c r="Q94" s="554" t="s">
        <v>4581</v>
      </c>
      <c r="R94" s="350" t="s">
        <v>4582</v>
      </c>
      <c r="S94" s="349" t="s">
        <v>4583</v>
      </c>
      <c r="T94" s="345" t="s">
        <v>4584</v>
      </c>
      <c r="U94" s="349" t="s">
        <v>4585</v>
      </c>
      <c r="V94" s="347" t="s">
        <v>4586</v>
      </c>
      <c r="W94" s="349" t="s">
        <v>4587</v>
      </c>
      <c r="X94" s="554" t="s">
        <v>4588</v>
      </c>
      <c r="Y94" s="350" t="s">
        <v>4589</v>
      </c>
      <c r="Z94" s="349" t="s">
        <v>4590</v>
      </c>
      <c r="AA94" s="622" t="s">
        <v>4591</v>
      </c>
      <c r="AB94" s="622" t="s">
        <v>4592</v>
      </c>
      <c r="AC94" s="622" t="s">
        <v>4593</v>
      </c>
      <c r="AD94" s="622" t="s">
        <v>4594</v>
      </c>
      <c r="AE94" s="622" t="s">
        <v>4595</v>
      </c>
      <c r="AF94" s="3094" t="s">
        <v>4596</v>
      </c>
      <c r="AG94" s="3095" t="s">
        <v>4597</v>
      </c>
      <c r="AH94" s="290" t="s">
        <v>4598</v>
      </c>
      <c r="AI94" s="531" t="s">
        <v>4599</v>
      </c>
      <c r="AJ94" s="107" t="s">
        <v>4600</v>
      </c>
    </row>
    <row r="95" spans="1:36" x14ac:dyDescent="0.25">
      <c r="A95" s="5789" t="s">
        <v>5416</v>
      </c>
      <c r="B95" s="343" t="s">
        <v>4311</v>
      </c>
      <c r="C95" s="3097" t="s">
        <v>4567</v>
      </c>
      <c r="D95" s="345" t="s">
        <v>4568</v>
      </c>
      <c r="E95" s="368" t="s">
        <v>4569</v>
      </c>
      <c r="F95" s="368" t="s">
        <v>4570</v>
      </c>
      <c r="G95" s="3097" t="s">
        <v>4571</v>
      </c>
      <c r="H95" s="345" t="s">
        <v>4572</v>
      </c>
      <c r="I95" s="368" t="s">
        <v>4573</v>
      </c>
      <c r="J95" s="368" t="s">
        <v>4574</v>
      </c>
      <c r="K95" s="3097" t="s">
        <v>4575</v>
      </c>
      <c r="L95" s="345" t="s">
        <v>4576</v>
      </c>
      <c r="M95" s="368" t="s">
        <v>4577</v>
      </c>
      <c r="N95" s="348" t="s">
        <v>4578</v>
      </c>
      <c r="O95" s="3097" t="s">
        <v>4579</v>
      </c>
      <c r="P95" s="347" t="s">
        <v>4580</v>
      </c>
      <c r="Q95" s="554" t="s">
        <v>4581</v>
      </c>
      <c r="R95" s="350" t="s">
        <v>4582</v>
      </c>
      <c r="S95" s="349" t="s">
        <v>4583</v>
      </c>
      <c r="T95" s="345" t="s">
        <v>4584</v>
      </c>
      <c r="U95" s="349" t="s">
        <v>4585</v>
      </c>
      <c r="V95" s="347" t="s">
        <v>4586</v>
      </c>
      <c r="W95" s="349" t="s">
        <v>4587</v>
      </c>
      <c r="X95" s="554" t="s">
        <v>4588</v>
      </c>
      <c r="Y95" s="350" t="s">
        <v>4589</v>
      </c>
      <c r="Z95" s="349" t="s">
        <v>4590</v>
      </c>
      <c r="AA95" s="622" t="s">
        <v>4591</v>
      </c>
      <c r="AB95" s="622" t="s">
        <v>4592</v>
      </c>
      <c r="AC95" s="622" t="s">
        <v>4593</v>
      </c>
      <c r="AD95" s="622" t="s">
        <v>4594</v>
      </c>
      <c r="AE95" s="622" t="s">
        <v>4595</v>
      </c>
      <c r="AF95" s="3094" t="s">
        <v>4596</v>
      </c>
      <c r="AG95" s="3095" t="s">
        <v>4597</v>
      </c>
      <c r="AH95" s="290" t="s">
        <v>4598</v>
      </c>
      <c r="AI95" s="531" t="s">
        <v>4599</v>
      </c>
      <c r="AJ95" s="107" t="s">
        <v>4600</v>
      </c>
    </row>
    <row r="96" spans="1:36" x14ac:dyDescent="0.25">
      <c r="A96" s="5789" t="s">
        <v>5417</v>
      </c>
      <c r="B96" s="3068" t="s">
        <v>4411</v>
      </c>
      <c r="C96" s="3097" t="s">
        <v>4567</v>
      </c>
      <c r="D96" s="345" t="s">
        <v>4568</v>
      </c>
      <c r="E96" s="368" t="s">
        <v>4569</v>
      </c>
      <c r="F96" s="368" t="s">
        <v>4570</v>
      </c>
      <c r="G96" s="3097" t="s">
        <v>4571</v>
      </c>
      <c r="H96" s="345" t="s">
        <v>4572</v>
      </c>
      <c r="I96" s="368" t="s">
        <v>4573</v>
      </c>
      <c r="J96" s="368" t="s">
        <v>4574</v>
      </c>
      <c r="K96" s="3097" t="s">
        <v>4575</v>
      </c>
      <c r="L96" s="345" t="s">
        <v>4576</v>
      </c>
      <c r="M96" s="368" t="s">
        <v>4577</v>
      </c>
      <c r="N96" s="348" t="s">
        <v>4578</v>
      </c>
      <c r="O96" s="3097" t="s">
        <v>4579</v>
      </c>
      <c r="P96" s="347" t="s">
        <v>4580</v>
      </c>
      <c r="Q96" s="554" t="s">
        <v>4581</v>
      </c>
      <c r="R96" s="350" t="s">
        <v>4582</v>
      </c>
      <c r="S96" s="349" t="s">
        <v>4583</v>
      </c>
      <c r="T96" s="345" t="s">
        <v>4584</v>
      </c>
      <c r="U96" s="349" t="s">
        <v>4585</v>
      </c>
      <c r="V96" s="347" t="s">
        <v>4586</v>
      </c>
      <c r="W96" s="349" t="s">
        <v>4587</v>
      </c>
      <c r="X96" s="554" t="s">
        <v>4588</v>
      </c>
      <c r="Y96" s="350" t="s">
        <v>4589</v>
      </c>
      <c r="Z96" s="349" t="s">
        <v>4590</v>
      </c>
      <c r="AA96" s="622" t="s">
        <v>4591</v>
      </c>
      <c r="AB96" s="622" t="s">
        <v>4592</v>
      </c>
      <c r="AC96" s="622" t="s">
        <v>4593</v>
      </c>
      <c r="AD96" s="622" t="s">
        <v>4594</v>
      </c>
      <c r="AE96" s="622" t="s">
        <v>4595</v>
      </c>
      <c r="AF96" s="3094" t="s">
        <v>4596</v>
      </c>
      <c r="AG96" s="3095" t="s">
        <v>4597</v>
      </c>
      <c r="AH96" s="290" t="s">
        <v>4598</v>
      </c>
      <c r="AI96" s="531" t="s">
        <v>4599</v>
      </c>
      <c r="AJ96" s="107" t="s">
        <v>4600</v>
      </c>
    </row>
    <row r="97" spans="1:36" x14ac:dyDescent="0.25">
      <c r="A97" s="5787" t="s">
        <v>5418</v>
      </c>
      <c r="B97" s="343" t="s">
        <v>1223</v>
      </c>
      <c r="C97" s="3097" t="s">
        <v>4567</v>
      </c>
      <c r="D97" s="345" t="s">
        <v>4568</v>
      </c>
      <c r="E97" s="368" t="s">
        <v>4569</v>
      </c>
      <c r="F97" s="368" t="s">
        <v>4570</v>
      </c>
      <c r="G97" s="3097" t="s">
        <v>4571</v>
      </c>
      <c r="H97" s="345" t="s">
        <v>4572</v>
      </c>
      <c r="I97" s="368" t="s">
        <v>4573</v>
      </c>
      <c r="J97" s="368" t="s">
        <v>4574</v>
      </c>
      <c r="K97" s="3097" t="s">
        <v>4575</v>
      </c>
      <c r="L97" s="345" t="s">
        <v>4576</v>
      </c>
      <c r="M97" s="368" t="s">
        <v>4577</v>
      </c>
      <c r="N97" s="348" t="s">
        <v>4578</v>
      </c>
      <c r="O97" s="3097" t="s">
        <v>4579</v>
      </c>
      <c r="P97" s="347" t="s">
        <v>4580</v>
      </c>
      <c r="Q97" s="554" t="s">
        <v>4581</v>
      </c>
      <c r="R97" s="350" t="s">
        <v>4582</v>
      </c>
      <c r="S97" s="349" t="s">
        <v>4583</v>
      </c>
      <c r="T97" s="345" t="s">
        <v>4584</v>
      </c>
      <c r="U97" s="349" t="s">
        <v>4585</v>
      </c>
      <c r="V97" s="347" t="s">
        <v>4586</v>
      </c>
      <c r="W97" s="349" t="s">
        <v>4587</v>
      </c>
      <c r="X97" s="554" t="s">
        <v>4588</v>
      </c>
      <c r="Y97" s="350" t="s">
        <v>4589</v>
      </c>
      <c r="Z97" s="349" t="s">
        <v>4590</v>
      </c>
      <c r="AA97" s="622" t="s">
        <v>4591</v>
      </c>
      <c r="AB97" s="622" t="s">
        <v>4592</v>
      </c>
      <c r="AC97" s="622" t="s">
        <v>4593</v>
      </c>
      <c r="AD97" s="622" t="s">
        <v>4594</v>
      </c>
      <c r="AE97" s="622" t="s">
        <v>4595</v>
      </c>
      <c r="AF97" s="3094" t="s">
        <v>4596</v>
      </c>
      <c r="AG97" s="3095" t="s">
        <v>4597</v>
      </c>
      <c r="AH97" s="290" t="s">
        <v>4598</v>
      </c>
      <c r="AI97" s="531" t="s">
        <v>4599</v>
      </c>
      <c r="AJ97" s="107" t="s">
        <v>4600</v>
      </c>
    </row>
    <row r="98" spans="1:36" x14ac:dyDescent="0.25">
      <c r="A98" s="5787" t="s">
        <v>5419</v>
      </c>
      <c r="B98" s="343" t="s">
        <v>1224</v>
      </c>
      <c r="C98" s="3098" t="s">
        <v>4567</v>
      </c>
      <c r="D98" s="47" t="s">
        <v>4568</v>
      </c>
      <c r="E98" s="242" t="s">
        <v>4569</v>
      </c>
      <c r="F98" s="242" t="s">
        <v>4570</v>
      </c>
      <c r="G98" s="3098" t="s">
        <v>4571</v>
      </c>
      <c r="H98" s="47" t="s">
        <v>4572</v>
      </c>
      <c r="I98" s="242" t="s">
        <v>4573</v>
      </c>
      <c r="J98" s="242" t="s">
        <v>4574</v>
      </c>
      <c r="K98" s="3098" t="s">
        <v>4575</v>
      </c>
      <c r="L98" s="47" t="s">
        <v>4576</v>
      </c>
      <c r="M98" s="242" t="s">
        <v>4577</v>
      </c>
      <c r="N98" s="3099" t="s">
        <v>4578</v>
      </c>
      <c r="O98" s="3097" t="s">
        <v>4579</v>
      </c>
      <c r="P98" s="686" t="s">
        <v>4580</v>
      </c>
      <c r="Q98" s="66" t="s">
        <v>4581</v>
      </c>
      <c r="R98" s="350" t="s">
        <v>4582</v>
      </c>
      <c r="S98" s="349" t="s">
        <v>4583</v>
      </c>
      <c r="T98" s="345" t="s">
        <v>4584</v>
      </c>
      <c r="U98" s="349" t="s">
        <v>4585</v>
      </c>
      <c r="V98" s="347" t="s">
        <v>4586</v>
      </c>
      <c r="W98" s="349" t="s">
        <v>4587</v>
      </c>
      <c r="X98" s="554" t="s">
        <v>4588</v>
      </c>
      <c r="Y98" s="350" t="s">
        <v>4589</v>
      </c>
      <c r="Z98" s="349" t="s">
        <v>4590</v>
      </c>
      <c r="AA98" s="622" t="s">
        <v>4591</v>
      </c>
      <c r="AB98" s="622" t="s">
        <v>4592</v>
      </c>
      <c r="AC98" s="622" t="s">
        <v>4593</v>
      </c>
      <c r="AD98" s="622" t="s">
        <v>4594</v>
      </c>
      <c r="AE98" s="622" t="s">
        <v>4595</v>
      </c>
      <c r="AF98" s="3094" t="s">
        <v>4596</v>
      </c>
      <c r="AG98" s="3095" t="s">
        <v>4597</v>
      </c>
      <c r="AH98" s="290" t="s">
        <v>4598</v>
      </c>
      <c r="AI98" s="531" t="s">
        <v>4599</v>
      </c>
      <c r="AJ98" s="107" t="s">
        <v>4600</v>
      </c>
    </row>
    <row r="99" spans="1:36" x14ac:dyDescent="0.25">
      <c r="A99" s="5787" t="s">
        <v>5420</v>
      </c>
      <c r="B99" s="343" t="s">
        <v>1225</v>
      </c>
      <c r="C99" s="3097" t="s">
        <v>4567</v>
      </c>
      <c r="D99" s="345" t="s">
        <v>4568</v>
      </c>
      <c r="E99" s="368" t="s">
        <v>4569</v>
      </c>
      <c r="F99" s="368" t="s">
        <v>4570</v>
      </c>
      <c r="G99" s="3097" t="s">
        <v>4571</v>
      </c>
      <c r="H99" s="345" t="s">
        <v>4572</v>
      </c>
      <c r="I99" s="368" t="s">
        <v>4573</v>
      </c>
      <c r="J99" s="368" t="s">
        <v>4574</v>
      </c>
      <c r="K99" s="3097" t="s">
        <v>4575</v>
      </c>
      <c r="L99" s="345" t="s">
        <v>4576</v>
      </c>
      <c r="M99" s="368" t="s">
        <v>4577</v>
      </c>
      <c r="N99" s="348" t="s">
        <v>4578</v>
      </c>
      <c r="O99" s="3097" t="s">
        <v>4579</v>
      </c>
      <c r="P99" s="347" t="s">
        <v>4580</v>
      </c>
      <c r="Q99" s="554" t="s">
        <v>4581</v>
      </c>
      <c r="R99" s="350" t="s">
        <v>4582</v>
      </c>
      <c r="S99" s="349" t="s">
        <v>4583</v>
      </c>
      <c r="T99" s="345" t="s">
        <v>4584</v>
      </c>
      <c r="U99" s="349" t="s">
        <v>4585</v>
      </c>
      <c r="V99" s="347" t="s">
        <v>4586</v>
      </c>
      <c r="W99" s="349" t="s">
        <v>4587</v>
      </c>
      <c r="X99" s="554" t="s">
        <v>4588</v>
      </c>
      <c r="Y99" s="350" t="s">
        <v>4589</v>
      </c>
      <c r="Z99" s="349" t="s">
        <v>4590</v>
      </c>
      <c r="AA99" s="622" t="s">
        <v>4591</v>
      </c>
      <c r="AB99" s="622" t="s">
        <v>4592</v>
      </c>
      <c r="AC99" s="622" t="s">
        <v>4593</v>
      </c>
      <c r="AD99" s="622" t="s">
        <v>4594</v>
      </c>
      <c r="AE99" s="622" t="s">
        <v>4595</v>
      </c>
      <c r="AF99" s="3094" t="s">
        <v>4596</v>
      </c>
      <c r="AG99" s="3095" t="s">
        <v>4597</v>
      </c>
      <c r="AH99" s="290" t="s">
        <v>4598</v>
      </c>
      <c r="AI99" s="531" t="s">
        <v>4599</v>
      </c>
      <c r="AJ99" s="107" t="s">
        <v>4600</v>
      </c>
    </row>
    <row r="100" spans="1:36" x14ac:dyDescent="0.25">
      <c r="A100" s="5787" t="s">
        <v>5421</v>
      </c>
      <c r="B100" s="343" t="s">
        <v>1273</v>
      </c>
      <c r="C100" s="3097" t="s">
        <v>4567</v>
      </c>
      <c r="D100" s="345" t="s">
        <v>4568</v>
      </c>
      <c r="E100" s="368" t="s">
        <v>4569</v>
      </c>
      <c r="F100" s="368" t="s">
        <v>4570</v>
      </c>
      <c r="G100" s="3097" t="s">
        <v>4571</v>
      </c>
      <c r="H100" s="345" t="s">
        <v>4572</v>
      </c>
      <c r="I100" s="368" t="s">
        <v>4573</v>
      </c>
      <c r="J100" s="368" t="s">
        <v>4574</v>
      </c>
      <c r="K100" s="3097" t="s">
        <v>4575</v>
      </c>
      <c r="L100" s="345" t="s">
        <v>4576</v>
      </c>
      <c r="M100" s="368" t="s">
        <v>4577</v>
      </c>
      <c r="N100" s="348" t="s">
        <v>4578</v>
      </c>
      <c r="O100" s="3097" t="s">
        <v>4579</v>
      </c>
      <c r="P100" s="347" t="s">
        <v>4580</v>
      </c>
      <c r="Q100" s="554" t="s">
        <v>4581</v>
      </c>
      <c r="R100" s="350" t="s">
        <v>4582</v>
      </c>
      <c r="S100" s="349" t="s">
        <v>4583</v>
      </c>
      <c r="T100" s="345" t="s">
        <v>4584</v>
      </c>
      <c r="U100" s="349" t="s">
        <v>4585</v>
      </c>
      <c r="V100" s="347" t="s">
        <v>4586</v>
      </c>
      <c r="W100" s="349" t="s">
        <v>4587</v>
      </c>
      <c r="X100" s="554" t="s">
        <v>4588</v>
      </c>
      <c r="Y100" s="350" t="s">
        <v>4589</v>
      </c>
      <c r="Z100" s="349" t="s">
        <v>4590</v>
      </c>
      <c r="AA100" s="622" t="s">
        <v>4591</v>
      </c>
      <c r="AB100" s="622" t="s">
        <v>4592</v>
      </c>
      <c r="AC100" s="622" t="s">
        <v>4593</v>
      </c>
      <c r="AD100" s="622" t="s">
        <v>4594</v>
      </c>
      <c r="AE100" s="622" t="s">
        <v>4595</v>
      </c>
      <c r="AF100" s="3094" t="s">
        <v>4596</v>
      </c>
      <c r="AG100" s="3095" t="s">
        <v>4597</v>
      </c>
      <c r="AH100" s="290" t="s">
        <v>4598</v>
      </c>
      <c r="AI100" s="531" t="s">
        <v>4599</v>
      </c>
      <c r="AJ100" s="107" t="s">
        <v>4600</v>
      </c>
    </row>
    <row r="101" spans="1:36" x14ac:dyDescent="0.25">
      <c r="A101" s="5787" t="s">
        <v>5422</v>
      </c>
      <c r="B101" s="343" t="s">
        <v>1227</v>
      </c>
      <c r="C101" s="3097" t="s">
        <v>4567</v>
      </c>
      <c r="D101" s="345" t="s">
        <v>4568</v>
      </c>
      <c r="E101" s="368" t="s">
        <v>4569</v>
      </c>
      <c r="F101" s="368" t="s">
        <v>4570</v>
      </c>
      <c r="G101" s="3097" t="s">
        <v>4571</v>
      </c>
      <c r="H101" s="345" t="s">
        <v>4572</v>
      </c>
      <c r="I101" s="368" t="s">
        <v>4573</v>
      </c>
      <c r="J101" s="368" t="s">
        <v>4574</v>
      </c>
      <c r="K101" s="3097" t="s">
        <v>4575</v>
      </c>
      <c r="L101" s="345" t="s">
        <v>4576</v>
      </c>
      <c r="M101" s="368" t="s">
        <v>4577</v>
      </c>
      <c r="N101" s="348" t="s">
        <v>4578</v>
      </c>
      <c r="O101" s="3097" t="s">
        <v>4579</v>
      </c>
      <c r="P101" s="347" t="s">
        <v>4580</v>
      </c>
      <c r="Q101" s="554" t="s">
        <v>4581</v>
      </c>
      <c r="R101" s="350" t="s">
        <v>4582</v>
      </c>
      <c r="S101" s="349" t="s">
        <v>4583</v>
      </c>
      <c r="T101" s="345" t="s">
        <v>4584</v>
      </c>
      <c r="U101" s="349" t="s">
        <v>4585</v>
      </c>
      <c r="V101" s="347" t="s">
        <v>4586</v>
      </c>
      <c r="W101" s="349" t="s">
        <v>4587</v>
      </c>
      <c r="X101" s="554" t="s">
        <v>4588</v>
      </c>
      <c r="Y101" s="350" t="s">
        <v>4589</v>
      </c>
      <c r="Z101" s="349" t="s">
        <v>4590</v>
      </c>
      <c r="AA101" s="622" t="s">
        <v>4591</v>
      </c>
      <c r="AB101" s="622" t="s">
        <v>4592</v>
      </c>
      <c r="AC101" s="622" t="s">
        <v>4593</v>
      </c>
      <c r="AD101" s="622" t="s">
        <v>4594</v>
      </c>
      <c r="AE101" s="622" t="s">
        <v>4595</v>
      </c>
      <c r="AF101" s="3094" t="s">
        <v>4596</v>
      </c>
      <c r="AG101" s="3095" t="s">
        <v>4597</v>
      </c>
      <c r="AH101" s="290" t="s">
        <v>4598</v>
      </c>
      <c r="AI101" s="531" t="s">
        <v>4599</v>
      </c>
      <c r="AJ101" s="107" t="s">
        <v>4600</v>
      </c>
    </row>
    <row r="102" spans="1:36" x14ac:dyDescent="0.25">
      <c r="A102" s="5787" t="s">
        <v>5423</v>
      </c>
      <c r="B102" s="343" t="s">
        <v>1228</v>
      </c>
      <c r="C102" s="3100" t="s">
        <v>4567</v>
      </c>
      <c r="D102" s="290" t="s">
        <v>4568</v>
      </c>
      <c r="E102" s="531" t="s">
        <v>4569</v>
      </c>
      <c r="F102" s="531" t="s">
        <v>4570</v>
      </c>
      <c r="G102" s="3100" t="s">
        <v>4571</v>
      </c>
      <c r="H102" s="290" t="s">
        <v>4572</v>
      </c>
      <c r="I102" s="531" t="s">
        <v>4573</v>
      </c>
      <c r="J102" s="531" t="s">
        <v>4574</v>
      </c>
      <c r="K102" s="3100" t="s">
        <v>4575</v>
      </c>
      <c r="L102" s="290" t="s">
        <v>4576</v>
      </c>
      <c r="M102" s="531" t="s">
        <v>4577</v>
      </c>
      <c r="N102" s="714" t="s">
        <v>4578</v>
      </c>
      <c r="O102" s="3097" t="s">
        <v>4579</v>
      </c>
      <c r="P102" s="22" t="s">
        <v>4580</v>
      </c>
      <c r="Q102" s="65" t="s">
        <v>4581</v>
      </c>
      <c r="R102" s="350" t="s">
        <v>4582</v>
      </c>
      <c r="S102" s="349" t="s">
        <v>4583</v>
      </c>
      <c r="T102" s="345" t="s">
        <v>4584</v>
      </c>
      <c r="U102" s="349" t="s">
        <v>4585</v>
      </c>
      <c r="V102" s="347" t="s">
        <v>4586</v>
      </c>
      <c r="W102" s="349" t="s">
        <v>4587</v>
      </c>
      <c r="X102" s="554" t="s">
        <v>4588</v>
      </c>
      <c r="Y102" s="350" t="s">
        <v>4589</v>
      </c>
      <c r="Z102" s="349" t="s">
        <v>4590</v>
      </c>
      <c r="AA102" s="622" t="s">
        <v>4591</v>
      </c>
      <c r="AB102" s="622" t="s">
        <v>4592</v>
      </c>
      <c r="AC102" s="622" t="s">
        <v>4593</v>
      </c>
      <c r="AD102" s="622" t="s">
        <v>4594</v>
      </c>
      <c r="AE102" s="622" t="s">
        <v>4595</v>
      </c>
      <c r="AF102" s="3094" t="s">
        <v>4596</v>
      </c>
      <c r="AG102" s="3095" t="s">
        <v>4597</v>
      </c>
      <c r="AH102" s="290" t="s">
        <v>4598</v>
      </c>
      <c r="AI102" s="531" t="s">
        <v>4599</v>
      </c>
      <c r="AJ102" s="107" t="s">
        <v>4600</v>
      </c>
    </row>
    <row r="103" spans="1:36" x14ac:dyDescent="0.25">
      <c r="A103" s="5789" t="s">
        <v>5424</v>
      </c>
      <c r="B103" s="343" t="s">
        <v>1433</v>
      </c>
      <c r="C103" s="3098" t="s">
        <v>4567</v>
      </c>
      <c r="D103" s="47" t="s">
        <v>4568</v>
      </c>
      <c r="E103" s="242" t="s">
        <v>4569</v>
      </c>
      <c r="F103" s="242" t="s">
        <v>4570</v>
      </c>
      <c r="G103" s="3098" t="s">
        <v>4571</v>
      </c>
      <c r="H103" s="47" t="s">
        <v>4572</v>
      </c>
      <c r="I103" s="242" t="s">
        <v>4573</v>
      </c>
      <c r="J103" s="242" t="s">
        <v>4574</v>
      </c>
      <c r="K103" s="3098" t="s">
        <v>4575</v>
      </c>
      <c r="L103" s="47" t="s">
        <v>4576</v>
      </c>
      <c r="M103" s="242" t="s">
        <v>4577</v>
      </c>
      <c r="N103" s="3099" t="s">
        <v>4578</v>
      </c>
      <c r="O103" s="3097" t="s">
        <v>4579</v>
      </c>
      <c r="P103" s="686" t="s">
        <v>4580</v>
      </c>
      <c r="Q103" s="66" t="s">
        <v>4581</v>
      </c>
      <c r="R103" s="350" t="s">
        <v>4582</v>
      </c>
      <c r="S103" s="349" t="s">
        <v>4583</v>
      </c>
      <c r="T103" s="345" t="s">
        <v>4584</v>
      </c>
      <c r="U103" s="349" t="s">
        <v>4585</v>
      </c>
      <c r="V103" s="347" t="s">
        <v>4586</v>
      </c>
      <c r="W103" s="349" t="s">
        <v>4587</v>
      </c>
      <c r="X103" s="346" t="s">
        <v>4588</v>
      </c>
      <c r="Y103" s="350" t="s">
        <v>4589</v>
      </c>
      <c r="Z103" s="349" t="s">
        <v>4590</v>
      </c>
      <c r="AA103" s="622" t="s">
        <v>4591</v>
      </c>
      <c r="AB103" s="622" t="s">
        <v>4592</v>
      </c>
      <c r="AC103" s="622" t="s">
        <v>4593</v>
      </c>
      <c r="AD103" s="622" t="s">
        <v>4594</v>
      </c>
      <c r="AE103" s="622" t="s">
        <v>4595</v>
      </c>
      <c r="AF103" s="3094" t="s">
        <v>4596</v>
      </c>
      <c r="AG103" s="3095" t="s">
        <v>4597</v>
      </c>
      <c r="AH103" s="290" t="s">
        <v>4598</v>
      </c>
      <c r="AI103" s="531" t="s">
        <v>4599</v>
      </c>
      <c r="AJ103" s="107" t="s">
        <v>4600</v>
      </c>
    </row>
    <row r="104" spans="1:36" x14ac:dyDescent="0.25">
      <c r="A104" s="5790" t="s">
        <v>5425</v>
      </c>
      <c r="B104" s="24" t="s">
        <v>1229</v>
      </c>
      <c r="C104" s="3097" t="s">
        <v>4567</v>
      </c>
      <c r="D104" s="345" t="s">
        <v>4568</v>
      </c>
      <c r="E104" s="368" t="s">
        <v>4569</v>
      </c>
      <c r="F104" s="368" t="s">
        <v>4570</v>
      </c>
      <c r="G104" s="3097" t="s">
        <v>4571</v>
      </c>
      <c r="H104" s="345" t="s">
        <v>4572</v>
      </c>
      <c r="I104" s="368" t="s">
        <v>4573</v>
      </c>
      <c r="J104" s="368" t="s">
        <v>4574</v>
      </c>
      <c r="K104" s="3097" t="s">
        <v>4575</v>
      </c>
      <c r="L104" s="345" t="s">
        <v>4576</v>
      </c>
      <c r="M104" s="368" t="s">
        <v>4577</v>
      </c>
      <c r="N104" s="348" t="s">
        <v>4578</v>
      </c>
      <c r="O104" s="3097" t="s">
        <v>4579</v>
      </c>
      <c r="P104" s="347" t="s">
        <v>4580</v>
      </c>
      <c r="Q104" s="554" t="s">
        <v>4581</v>
      </c>
      <c r="R104" s="350" t="s">
        <v>4582</v>
      </c>
      <c r="S104" s="349" t="s">
        <v>4583</v>
      </c>
      <c r="T104" s="345" t="s">
        <v>4584</v>
      </c>
      <c r="U104" s="349" t="s">
        <v>4585</v>
      </c>
      <c r="V104" s="347" t="s">
        <v>4586</v>
      </c>
      <c r="W104" s="349" t="s">
        <v>4587</v>
      </c>
      <c r="X104" s="554" t="s">
        <v>4588</v>
      </c>
      <c r="Y104" s="350" t="s">
        <v>4589</v>
      </c>
      <c r="Z104" s="349" t="s">
        <v>4590</v>
      </c>
      <c r="AA104" s="622" t="s">
        <v>4591</v>
      </c>
      <c r="AB104" s="622" t="s">
        <v>4592</v>
      </c>
      <c r="AC104" s="622" t="s">
        <v>4593</v>
      </c>
      <c r="AD104" s="622" t="s">
        <v>4594</v>
      </c>
      <c r="AE104" s="622" t="s">
        <v>4595</v>
      </c>
      <c r="AF104" s="3094" t="s">
        <v>4596</v>
      </c>
      <c r="AG104" s="3095" t="s">
        <v>4597</v>
      </c>
      <c r="AH104" s="290" t="s">
        <v>4598</v>
      </c>
      <c r="AI104" s="531" t="s">
        <v>4599</v>
      </c>
      <c r="AJ104" s="107" t="s">
        <v>4600</v>
      </c>
    </row>
    <row r="105" spans="1:36" x14ac:dyDescent="0.25">
      <c r="A105" s="5787" t="s">
        <v>5426</v>
      </c>
      <c r="B105" s="498" t="s">
        <v>1230</v>
      </c>
      <c r="C105" s="3098" t="s">
        <v>4567</v>
      </c>
      <c r="D105" s="47" t="s">
        <v>4568</v>
      </c>
      <c r="E105" s="242" t="s">
        <v>4569</v>
      </c>
      <c r="F105" s="242" t="s">
        <v>4570</v>
      </c>
      <c r="G105" s="3098" t="s">
        <v>4571</v>
      </c>
      <c r="H105" s="47" t="s">
        <v>4572</v>
      </c>
      <c r="I105" s="242" t="s">
        <v>4573</v>
      </c>
      <c r="J105" s="242" t="s">
        <v>4574</v>
      </c>
      <c r="K105" s="3098" t="s">
        <v>4575</v>
      </c>
      <c r="L105" s="47" t="s">
        <v>4576</v>
      </c>
      <c r="M105" s="242" t="s">
        <v>4577</v>
      </c>
      <c r="N105" s="3099" t="s">
        <v>4578</v>
      </c>
      <c r="O105" s="3097" t="s">
        <v>4579</v>
      </c>
      <c r="P105" s="686" t="s">
        <v>4580</v>
      </c>
      <c r="Q105" s="66" t="s">
        <v>4581</v>
      </c>
      <c r="R105" s="350" t="s">
        <v>4582</v>
      </c>
      <c r="S105" s="349" t="s">
        <v>4583</v>
      </c>
      <c r="T105" s="345" t="s">
        <v>4584</v>
      </c>
      <c r="U105" s="349" t="s">
        <v>4585</v>
      </c>
      <c r="V105" s="347" t="s">
        <v>4586</v>
      </c>
      <c r="W105" s="349" t="s">
        <v>4587</v>
      </c>
      <c r="X105" s="554" t="s">
        <v>4588</v>
      </c>
      <c r="Y105" s="350" t="s">
        <v>4589</v>
      </c>
      <c r="Z105" s="349" t="s">
        <v>4590</v>
      </c>
      <c r="AA105" s="622" t="s">
        <v>4591</v>
      </c>
      <c r="AB105" s="622" t="s">
        <v>4592</v>
      </c>
      <c r="AC105" s="622" t="s">
        <v>4593</v>
      </c>
      <c r="AD105" s="622" t="s">
        <v>4594</v>
      </c>
      <c r="AE105" s="622" t="s">
        <v>4595</v>
      </c>
      <c r="AF105" s="3094" t="s">
        <v>4596</v>
      </c>
      <c r="AG105" s="3095" t="s">
        <v>4597</v>
      </c>
      <c r="AH105" s="290" t="s">
        <v>4598</v>
      </c>
      <c r="AI105" s="531" t="s">
        <v>4599</v>
      </c>
      <c r="AJ105" s="107" t="s">
        <v>4600</v>
      </c>
    </row>
    <row r="106" spans="1:36" x14ac:dyDescent="0.25">
      <c r="A106" s="5789" t="s">
        <v>5427</v>
      </c>
      <c r="B106" s="343" t="s">
        <v>4313</v>
      </c>
      <c r="C106" s="3097" t="s">
        <v>4567</v>
      </c>
      <c r="D106" s="345" t="s">
        <v>4568</v>
      </c>
      <c r="E106" s="368" t="s">
        <v>4569</v>
      </c>
      <c r="F106" s="368" t="s">
        <v>4570</v>
      </c>
      <c r="G106" s="3097" t="s">
        <v>4571</v>
      </c>
      <c r="H106" s="345" t="s">
        <v>4572</v>
      </c>
      <c r="I106" s="368" t="s">
        <v>4573</v>
      </c>
      <c r="J106" s="368" t="s">
        <v>4574</v>
      </c>
      <c r="K106" s="3097" t="s">
        <v>4575</v>
      </c>
      <c r="L106" s="345" t="s">
        <v>4576</v>
      </c>
      <c r="M106" s="368" t="s">
        <v>4577</v>
      </c>
      <c r="N106" s="348" t="s">
        <v>4578</v>
      </c>
      <c r="O106" s="3097" t="s">
        <v>4579</v>
      </c>
      <c r="P106" s="347" t="s">
        <v>4580</v>
      </c>
      <c r="Q106" s="554" t="s">
        <v>4581</v>
      </c>
      <c r="R106" s="350" t="s">
        <v>4582</v>
      </c>
      <c r="S106" s="349" t="s">
        <v>4583</v>
      </c>
      <c r="T106" s="345" t="s">
        <v>4584</v>
      </c>
      <c r="U106" s="349" t="s">
        <v>4585</v>
      </c>
      <c r="V106" s="347" t="s">
        <v>4586</v>
      </c>
      <c r="W106" s="349" t="s">
        <v>4587</v>
      </c>
      <c r="X106" s="554" t="s">
        <v>4588</v>
      </c>
      <c r="Y106" s="350" t="s">
        <v>4589</v>
      </c>
      <c r="Z106" s="349" t="s">
        <v>4590</v>
      </c>
      <c r="AA106" s="622" t="s">
        <v>4591</v>
      </c>
      <c r="AB106" s="622" t="s">
        <v>4592</v>
      </c>
      <c r="AC106" s="622" t="s">
        <v>4593</v>
      </c>
      <c r="AD106" s="622" t="s">
        <v>4594</v>
      </c>
      <c r="AE106" s="622" t="s">
        <v>4595</v>
      </c>
      <c r="AF106" s="3094" t="s">
        <v>4596</v>
      </c>
      <c r="AG106" s="3095" t="s">
        <v>4597</v>
      </c>
      <c r="AH106" s="290" t="s">
        <v>4598</v>
      </c>
      <c r="AI106" s="531" t="s">
        <v>4599</v>
      </c>
      <c r="AJ106" s="107" t="s">
        <v>4600</v>
      </c>
    </row>
    <row r="107" spans="1:36" x14ac:dyDescent="0.25">
      <c r="A107" s="5789" t="s">
        <v>5428</v>
      </c>
      <c r="B107" s="343" t="s">
        <v>4315</v>
      </c>
      <c r="C107" s="3097" t="s">
        <v>4567</v>
      </c>
      <c r="D107" s="345" t="s">
        <v>4568</v>
      </c>
      <c r="E107" s="368" t="s">
        <v>4569</v>
      </c>
      <c r="F107" s="368" t="s">
        <v>4570</v>
      </c>
      <c r="G107" s="3097" t="s">
        <v>4571</v>
      </c>
      <c r="H107" s="345" t="s">
        <v>4572</v>
      </c>
      <c r="I107" s="368" t="s">
        <v>4573</v>
      </c>
      <c r="J107" s="368" t="s">
        <v>4574</v>
      </c>
      <c r="K107" s="3097" t="s">
        <v>4575</v>
      </c>
      <c r="L107" s="345" t="s">
        <v>4576</v>
      </c>
      <c r="M107" s="368" t="s">
        <v>4577</v>
      </c>
      <c r="N107" s="348" t="s">
        <v>4578</v>
      </c>
      <c r="O107" s="3097" t="s">
        <v>4579</v>
      </c>
      <c r="P107" s="347" t="s">
        <v>4580</v>
      </c>
      <c r="Q107" s="554" t="s">
        <v>4581</v>
      </c>
      <c r="R107" s="350" t="s">
        <v>4582</v>
      </c>
      <c r="S107" s="349" t="s">
        <v>4583</v>
      </c>
      <c r="T107" s="345" t="s">
        <v>4584</v>
      </c>
      <c r="U107" s="349" t="s">
        <v>4585</v>
      </c>
      <c r="V107" s="347" t="s">
        <v>4586</v>
      </c>
      <c r="W107" s="349" t="s">
        <v>4587</v>
      </c>
      <c r="X107" s="554" t="s">
        <v>4588</v>
      </c>
      <c r="Y107" s="350" t="s">
        <v>4589</v>
      </c>
      <c r="Z107" s="349" t="s">
        <v>4590</v>
      </c>
      <c r="AA107" s="622" t="s">
        <v>4591</v>
      </c>
      <c r="AB107" s="622" t="s">
        <v>4592</v>
      </c>
      <c r="AC107" s="622" t="s">
        <v>4593</v>
      </c>
      <c r="AD107" s="622" t="s">
        <v>4594</v>
      </c>
      <c r="AE107" s="622" t="s">
        <v>4595</v>
      </c>
      <c r="AF107" s="3094" t="s">
        <v>4596</v>
      </c>
      <c r="AG107" s="3095" t="s">
        <v>4597</v>
      </c>
      <c r="AH107" s="290" t="s">
        <v>4598</v>
      </c>
      <c r="AI107" s="531" t="s">
        <v>4599</v>
      </c>
      <c r="AJ107" s="107" t="s">
        <v>4600</v>
      </c>
    </row>
    <row r="108" spans="1:36" x14ac:dyDescent="0.25">
      <c r="A108" s="5787" t="s">
        <v>5429</v>
      </c>
      <c r="B108" s="343" t="s">
        <v>1231</v>
      </c>
      <c r="C108" s="3098" t="s">
        <v>4567</v>
      </c>
      <c r="D108" s="47" t="s">
        <v>4568</v>
      </c>
      <c r="E108" s="242" t="s">
        <v>4569</v>
      </c>
      <c r="F108" s="242" t="s">
        <v>4570</v>
      </c>
      <c r="G108" s="3098" t="s">
        <v>4571</v>
      </c>
      <c r="H108" s="47" t="s">
        <v>4572</v>
      </c>
      <c r="I108" s="242" t="s">
        <v>4573</v>
      </c>
      <c r="J108" s="242" t="s">
        <v>4574</v>
      </c>
      <c r="K108" s="3098" t="s">
        <v>4575</v>
      </c>
      <c r="L108" s="47" t="s">
        <v>4576</v>
      </c>
      <c r="M108" s="242" t="s">
        <v>4577</v>
      </c>
      <c r="N108" s="3099" t="s">
        <v>4578</v>
      </c>
      <c r="O108" s="3097" t="s">
        <v>4579</v>
      </c>
      <c r="P108" s="686" t="s">
        <v>4580</v>
      </c>
      <c r="Q108" s="66" t="s">
        <v>4581</v>
      </c>
      <c r="R108" s="350" t="s">
        <v>4582</v>
      </c>
      <c r="S108" s="349" t="s">
        <v>4583</v>
      </c>
      <c r="T108" s="345" t="s">
        <v>4584</v>
      </c>
      <c r="U108" s="349" t="s">
        <v>4585</v>
      </c>
      <c r="V108" s="347" t="s">
        <v>4586</v>
      </c>
      <c r="W108" s="349" t="s">
        <v>4587</v>
      </c>
      <c r="X108" s="554" t="s">
        <v>4588</v>
      </c>
      <c r="Y108" s="350" t="s">
        <v>4589</v>
      </c>
      <c r="Z108" s="349" t="s">
        <v>4590</v>
      </c>
      <c r="AA108" s="622" t="s">
        <v>4591</v>
      </c>
      <c r="AB108" s="622" t="s">
        <v>4592</v>
      </c>
      <c r="AC108" s="622" t="s">
        <v>4593</v>
      </c>
      <c r="AD108" s="622" t="s">
        <v>4594</v>
      </c>
      <c r="AE108" s="622" t="s">
        <v>4595</v>
      </c>
      <c r="AF108" s="3094" t="s">
        <v>4596</v>
      </c>
      <c r="AG108" s="3095" t="s">
        <v>4597</v>
      </c>
      <c r="AH108" s="290" t="s">
        <v>4598</v>
      </c>
      <c r="AI108" s="531" t="s">
        <v>4599</v>
      </c>
      <c r="AJ108" s="107" t="s">
        <v>4600</v>
      </c>
    </row>
    <row r="109" spans="1:36" x14ac:dyDescent="0.25">
      <c r="A109" s="5787" t="s">
        <v>5430</v>
      </c>
      <c r="B109" s="343" t="s">
        <v>1232</v>
      </c>
      <c r="C109" s="3097" t="s">
        <v>4567</v>
      </c>
      <c r="D109" s="345" t="s">
        <v>4568</v>
      </c>
      <c r="E109" s="368" t="s">
        <v>4569</v>
      </c>
      <c r="F109" s="368" t="s">
        <v>4570</v>
      </c>
      <c r="G109" s="3097" t="s">
        <v>4571</v>
      </c>
      <c r="H109" s="345" t="s">
        <v>4572</v>
      </c>
      <c r="I109" s="368" t="s">
        <v>4573</v>
      </c>
      <c r="J109" s="368" t="s">
        <v>4574</v>
      </c>
      <c r="K109" s="3097" t="s">
        <v>4575</v>
      </c>
      <c r="L109" s="345" t="s">
        <v>4576</v>
      </c>
      <c r="M109" s="368" t="s">
        <v>4577</v>
      </c>
      <c r="N109" s="348" t="s">
        <v>4578</v>
      </c>
      <c r="O109" s="3097" t="s">
        <v>4579</v>
      </c>
      <c r="P109" s="347" t="s">
        <v>4580</v>
      </c>
      <c r="Q109" s="554" t="s">
        <v>4581</v>
      </c>
      <c r="R109" s="350" t="s">
        <v>4582</v>
      </c>
      <c r="S109" s="349" t="s">
        <v>4583</v>
      </c>
      <c r="T109" s="345" t="s">
        <v>4584</v>
      </c>
      <c r="U109" s="349" t="s">
        <v>4585</v>
      </c>
      <c r="V109" s="347" t="s">
        <v>4586</v>
      </c>
      <c r="W109" s="349" t="s">
        <v>4587</v>
      </c>
      <c r="X109" s="554" t="s">
        <v>4588</v>
      </c>
      <c r="Y109" s="350" t="s">
        <v>4589</v>
      </c>
      <c r="Z109" s="349" t="s">
        <v>4590</v>
      </c>
      <c r="AA109" s="622" t="s">
        <v>4591</v>
      </c>
      <c r="AB109" s="622" t="s">
        <v>4592</v>
      </c>
      <c r="AC109" s="622" t="s">
        <v>4593</v>
      </c>
      <c r="AD109" s="622" t="s">
        <v>4594</v>
      </c>
      <c r="AE109" s="622" t="s">
        <v>4595</v>
      </c>
      <c r="AF109" s="3094" t="s">
        <v>4596</v>
      </c>
      <c r="AG109" s="3095" t="s">
        <v>4597</v>
      </c>
      <c r="AH109" s="290" t="s">
        <v>4598</v>
      </c>
      <c r="AI109" s="531" t="s">
        <v>4599</v>
      </c>
      <c r="AJ109" s="107" t="s">
        <v>4600</v>
      </c>
    </row>
    <row r="110" spans="1:36" x14ac:dyDescent="0.25">
      <c r="A110" s="5787" t="s">
        <v>5431</v>
      </c>
      <c r="B110" s="343" t="s">
        <v>1233</v>
      </c>
      <c r="C110" s="3096" t="s">
        <v>4567</v>
      </c>
      <c r="D110" s="192" t="s">
        <v>4568</v>
      </c>
      <c r="E110" s="580" t="s">
        <v>4569</v>
      </c>
      <c r="F110" s="580" t="s">
        <v>4570</v>
      </c>
      <c r="G110" s="3096" t="s">
        <v>4571</v>
      </c>
      <c r="H110" s="192" t="s">
        <v>4572</v>
      </c>
      <c r="I110" s="580" t="s">
        <v>4573</v>
      </c>
      <c r="J110" s="580" t="s">
        <v>4574</v>
      </c>
      <c r="K110" s="3096" t="s">
        <v>4575</v>
      </c>
      <c r="L110" s="192" t="s">
        <v>4576</v>
      </c>
      <c r="M110" s="580" t="s">
        <v>4577</v>
      </c>
      <c r="N110" s="1098" t="s">
        <v>4578</v>
      </c>
      <c r="O110" s="3097" t="s">
        <v>4579</v>
      </c>
      <c r="P110" s="481" t="s">
        <v>4580</v>
      </c>
      <c r="Q110" s="64" t="s">
        <v>4581</v>
      </c>
      <c r="R110" s="350" t="s">
        <v>4582</v>
      </c>
      <c r="S110" s="349" t="s">
        <v>4583</v>
      </c>
      <c r="T110" s="345" t="s">
        <v>4584</v>
      </c>
      <c r="U110" s="349" t="s">
        <v>4585</v>
      </c>
      <c r="V110" s="347" t="s">
        <v>4586</v>
      </c>
      <c r="W110" s="349" t="s">
        <v>4587</v>
      </c>
      <c r="X110" s="554" t="s">
        <v>4588</v>
      </c>
      <c r="Y110" s="350" t="s">
        <v>4589</v>
      </c>
      <c r="Z110" s="349" t="s">
        <v>4590</v>
      </c>
      <c r="AA110" s="790" t="s">
        <v>4591</v>
      </c>
      <c r="AB110" s="349" t="s">
        <v>4592</v>
      </c>
      <c r="AC110" s="622" t="s">
        <v>4593</v>
      </c>
      <c r="AD110" s="622" t="s">
        <v>4594</v>
      </c>
      <c r="AE110" s="622" t="s">
        <v>4595</v>
      </c>
      <c r="AF110" s="3094" t="s">
        <v>4596</v>
      </c>
      <c r="AG110" s="3095" t="s">
        <v>4597</v>
      </c>
      <c r="AH110" s="290" t="s">
        <v>4598</v>
      </c>
      <c r="AI110" s="531" t="s">
        <v>4599</v>
      </c>
      <c r="AJ110" s="107" t="s">
        <v>4600</v>
      </c>
    </row>
    <row r="111" spans="1:36" x14ac:dyDescent="0.25">
      <c r="A111" s="5787" t="s">
        <v>5432</v>
      </c>
      <c r="B111" s="343" t="s">
        <v>1234</v>
      </c>
      <c r="C111" s="3096" t="s">
        <v>4567</v>
      </c>
      <c r="D111" s="192" t="s">
        <v>4568</v>
      </c>
      <c r="E111" s="580" t="s">
        <v>4569</v>
      </c>
      <c r="F111" s="580" t="s">
        <v>4570</v>
      </c>
      <c r="G111" s="3096" t="s">
        <v>4571</v>
      </c>
      <c r="H111" s="192" t="s">
        <v>4572</v>
      </c>
      <c r="I111" s="580" t="s">
        <v>4573</v>
      </c>
      <c r="J111" s="580" t="s">
        <v>4574</v>
      </c>
      <c r="K111" s="3096" t="s">
        <v>4575</v>
      </c>
      <c r="L111" s="192" t="s">
        <v>4576</v>
      </c>
      <c r="M111" s="580" t="s">
        <v>4577</v>
      </c>
      <c r="N111" s="1098" t="s">
        <v>4578</v>
      </c>
      <c r="O111" s="3097" t="s">
        <v>4579</v>
      </c>
      <c r="P111" s="481" t="s">
        <v>4580</v>
      </c>
      <c r="Q111" s="64" t="s">
        <v>4581</v>
      </c>
      <c r="R111" s="350" t="s">
        <v>4582</v>
      </c>
      <c r="S111" s="349" t="s">
        <v>4583</v>
      </c>
      <c r="T111" s="345" t="s">
        <v>4584</v>
      </c>
      <c r="U111" s="349" t="s">
        <v>4585</v>
      </c>
      <c r="V111" s="347" t="s">
        <v>4586</v>
      </c>
      <c r="W111" s="349" t="s">
        <v>4587</v>
      </c>
      <c r="X111" s="554" t="s">
        <v>4588</v>
      </c>
      <c r="Y111" s="350" t="s">
        <v>4589</v>
      </c>
      <c r="Z111" s="349" t="s">
        <v>4590</v>
      </c>
      <c r="AA111" s="790" t="s">
        <v>4591</v>
      </c>
      <c r="AB111" s="349" t="s">
        <v>4592</v>
      </c>
      <c r="AC111" s="622" t="s">
        <v>4593</v>
      </c>
      <c r="AD111" s="622" t="s">
        <v>4594</v>
      </c>
      <c r="AE111" s="622" t="s">
        <v>4595</v>
      </c>
      <c r="AF111" s="3094" t="s">
        <v>4596</v>
      </c>
      <c r="AG111" s="3095" t="s">
        <v>4597</v>
      </c>
      <c r="AH111" s="290" t="s">
        <v>4598</v>
      </c>
      <c r="AI111" s="531" t="s">
        <v>4599</v>
      </c>
      <c r="AJ111" s="107" t="s">
        <v>4600</v>
      </c>
    </row>
    <row r="112" spans="1:36" x14ac:dyDescent="0.25">
      <c r="A112" s="5787" t="s">
        <v>5433</v>
      </c>
      <c r="B112" s="343" t="s">
        <v>1235</v>
      </c>
      <c r="C112" s="3096" t="s">
        <v>4567</v>
      </c>
      <c r="D112" s="192" t="s">
        <v>4568</v>
      </c>
      <c r="E112" s="580" t="s">
        <v>4569</v>
      </c>
      <c r="F112" s="580" t="s">
        <v>4570</v>
      </c>
      <c r="G112" s="3096" t="s">
        <v>4571</v>
      </c>
      <c r="H112" s="192" t="s">
        <v>4572</v>
      </c>
      <c r="I112" s="580" t="s">
        <v>4573</v>
      </c>
      <c r="J112" s="580" t="s">
        <v>4574</v>
      </c>
      <c r="K112" s="3096" t="s">
        <v>4575</v>
      </c>
      <c r="L112" s="192" t="s">
        <v>4576</v>
      </c>
      <c r="M112" s="580" t="s">
        <v>4577</v>
      </c>
      <c r="N112" s="1098" t="s">
        <v>4578</v>
      </c>
      <c r="O112" s="3097" t="s">
        <v>4579</v>
      </c>
      <c r="P112" s="481" t="s">
        <v>4580</v>
      </c>
      <c r="Q112" s="64" t="s">
        <v>4581</v>
      </c>
      <c r="R112" s="350" t="s">
        <v>4582</v>
      </c>
      <c r="S112" s="349" t="s">
        <v>4583</v>
      </c>
      <c r="T112" s="345" t="s">
        <v>4584</v>
      </c>
      <c r="U112" s="349" t="s">
        <v>4585</v>
      </c>
      <c r="V112" s="347" t="s">
        <v>4586</v>
      </c>
      <c r="W112" s="349" t="s">
        <v>4587</v>
      </c>
      <c r="X112" s="554" t="s">
        <v>4588</v>
      </c>
      <c r="Y112" s="350" t="s">
        <v>4589</v>
      </c>
      <c r="Z112" s="349" t="s">
        <v>4590</v>
      </c>
      <c r="AA112" s="790" t="s">
        <v>4591</v>
      </c>
      <c r="AB112" s="349" t="s">
        <v>4592</v>
      </c>
      <c r="AC112" s="622" t="s">
        <v>4593</v>
      </c>
      <c r="AD112" s="622" t="s">
        <v>4594</v>
      </c>
      <c r="AE112" s="622" t="s">
        <v>4595</v>
      </c>
      <c r="AF112" s="3094" t="s">
        <v>4596</v>
      </c>
      <c r="AG112" s="3095" t="s">
        <v>4597</v>
      </c>
      <c r="AH112" s="290" t="s">
        <v>4598</v>
      </c>
      <c r="AI112" s="531" t="s">
        <v>4599</v>
      </c>
      <c r="AJ112" s="107" t="s">
        <v>4600</v>
      </c>
    </row>
    <row r="113" spans="1:99" x14ac:dyDescent="0.25">
      <c r="A113" s="5787" t="s">
        <v>5434</v>
      </c>
      <c r="B113" s="250" t="s">
        <v>1236</v>
      </c>
      <c r="C113" s="3096" t="s">
        <v>4567</v>
      </c>
      <c r="D113" s="192" t="s">
        <v>4568</v>
      </c>
      <c r="E113" s="580" t="s">
        <v>4569</v>
      </c>
      <c r="F113" s="580" t="s">
        <v>4570</v>
      </c>
      <c r="G113" s="3096" t="s">
        <v>4571</v>
      </c>
      <c r="H113" s="192" t="s">
        <v>4572</v>
      </c>
      <c r="I113" s="580" t="s">
        <v>4573</v>
      </c>
      <c r="J113" s="580" t="s">
        <v>4574</v>
      </c>
      <c r="K113" s="3096" t="s">
        <v>4575</v>
      </c>
      <c r="L113" s="192" t="s">
        <v>4576</v>
      </c>
      <c r="M113" s="580" t="s">
        <v>4577</v>
      </c>
      <c r="N113" s="1098" t="s">
        <v>4578</v>
      </c>
      <c r="O113" s="3097" t="s">
        <v>4579</v>
      </c>
      <c r="P113" s="481" t="s">
        <v>4580</v>
      </c>
      <c r="Q113" s="64" t="s">
        <v>4581</v>
      </c>
      <c r="R113" s="350" t="s">
        <v>4582</v>
      </c>
      <c r="S113" s="349" t="s">
        <v>4583</v>
      </c>
      <c r="T113" s="345" t="s">
        <v>4584</v>
      </c>
      <c r="U113" s="349" t="s">
        <v>4585</v>
      </c>
      <c r="V113" s="347" t="s">
        <v>4586</v>
      </c>
      <c r="W113" s="349" t="s">
        <v>4587</v>
      </c>
      <c r="X113" s="554" t="s">
        <v>4588</v>
      </c>
      <c r="Y113" s="350" t="s">
        <v>4589</v>
      </c>
      <c r="Z113" s="349" t="s">
        <v>4590</v>
      </c>
      <c r="AA113" s="790" t="s">
        <v>4591</v>
      </c>
      <c r="AB113" s="349" t="s">
        <v>4592</v>
      </c>
      <c r="AC113" s="622" t="s">
        <v>4593</v>
      </c>
      <c r="AD113" s="622" t="s">
        <v>4594</v>
      </c>
      <c r="AE113" s="622" t="s">
        <v>4595</v>
      </c>
      <c r="AF113" s="3094" t="s">
        <v>4596</v>
      </c>
      <c r="AG113" s="3095" t="s">
        <v>4597</v>
      </c>
      <c r="AH113" s="290" t="s">
        <v>4598</v>
      </c>
      <c r="AI113" s="531" t="s">
        <v>4599</v>
      </c>
      <c r="AJ113" s="107" t="s">
        <v>4600</v>
      </c>
    </row>
    <row r="114" spans="1:99" x14ac:dyDescent="0.25">
      <c r="A114" s="5789" t="s">
        <v>5435</v>
      </c>
      <c r="B114" s="498" t="s">
        <v>1427</v>
      </c>
      <c r="C114" s="3096" t="s">
        <v>4567</v>
      </c>
      <c r="D114" s="192" t="s">
        <v>4568</v>
      </c>
      <c r="E114" s="580" t="s">
        <v>4569</v>
      </c>
      <c r="F114" s="580" t="s">
        <v>4570</v>
      </c>
      <c r="G114" s="3096" t="s">
        <v>4571</v>
      </c>
      <c r="H114" s="192" t="s">
        <v>4572</v>
      </c>
      <c r="I114" s="580" t="s">
        <v>4573</v>
      </c>
      <c r="J114" s="580" t="s">
        <v>4574</v>
      </c>
      <c r="K114" s="3096" t="s">
        <v>4575</v>
      </c>
      <c r="L114" s="192" t="s">
        <v>4576</v>
      </c>
      <c r="M114" s="580" t="s">
        <v>4577</v>
      </c>
      <c r="N114" s="1098" t="s">
        <v>4578</v>
      </c>
      <c r="O114" s="3097" t="s">
        <v>4579</v>
      </c>
      <c r="P114" s="481" t="s">
        <v>4580</v>
      </c>
      <c r="Q114" s="64" t="s">
        <v>4581</v>
      </c>
      <c r="R114" s="350" t="s">
        <v>4582</v>
      </c>
      <c r="S114" s="349" t="s">
        <v>4583</v>
      </c>
      <c r="T114" s="345" t="s">
        <v>4584</v>
      </c>
      <c r="U114" s="349" t="s">
        <v>4585</v>
      </c>
      <c r="V114" s="347" t="s">
        <v>4586</v>
      </c>
      <c r="W114" s="349" t="s">
        <v>4587</v>
      </c>
      <c r="X114" s="554" t="s">
        <v>4588</v>
      </c>
      <c r="Y114" s="350" t="s">
        <v>4589</v>
      </c>
      <c r="Z114" s="349" t="s">
        <v>4590</v>
      </c>
      <c r="AA114" s="790" t="s">
        <v>4591</v>
      </c>
      <c r="AB114" s="349" t="s">
        <v>4592</v>
      </c>
      <c r="AC114" s="622" t="s">
        <v>4593</v>
      </c>
      <c r="AD114" s="622" t="s">
        <v>4594</v>
      </c>
      <c r="AE114" s="622" t="s">
        <v>4595</v>
      </c>
      <c r="AF114" s="3094" t="s">
        <v>4596</v>
      </c>
      <c r="AG114" s="3095" t="s">
        <v>4597</v>
      </c>
      <c r="AH114" s="290" t="s">
        <v>4598</v>
      </c>
      <c r="AI114" s="531" t="s">
        <v>4599</v>
      </c>
      <c r="AJ114" s="107" t="s">
        <v>4600</v>
      </c>
    </row>
    <row r="115" spans="1:99" x14ac:dyDescent="0.25">
      <c r="A115" s="5789" t="s">
        <v>5436</v>
      </c>
      <c r="B115" s="498" t="s">
        <v>4306</v>
      </c>
      <c r="C115" s="3096" t="s">
        <v>4567</v>
      </c>
      <c r="D115" s="192" t="s">
        <v>4568</v>
      </c>
      <c r="E115" s="580" t="s">
        <v>4569</v>
      </c>
      <c r="F115" s="580" t="s">
        <v>4570</v>
      </c>
      <c r="G115" s="3096" t="s">
        <v>4571</v>
      </c>
      <c r="H115" s="192" t="s">
        <v>4572</v>
      </c>
      <c r="I115" s="580" t="s">
        <v>4573</v>
      </c>
      <c r="J115" s="580" t="s">
        <v>4574</v>
      </c>
      <c r="K115" s="3096" t="s">
        <v>4575</v>
      </c>
      <c r="L115" s="192" t="s">
        <v>4576</v>
      </c>
      <c r="M115" s="580" t="s">
        <v>4577</v>
      </c>
      <c r="N115" s="1098" t="s">
        <v>4578</v>
      </c>
      <c r="O115" s="3097" t="s">
        <v>4579</v>
      </c>
      <c r="P115" s="481" t="s">
        <v>4580</v>
      </c>
      <c r="Q115" s="64" t="s">
        <v>4581</v>
      </c>
      <c r="R115" s="350" t="s">
        <v>4582</v>
      </c>
      <c r="S115" s="349" t="s">
        <v>4583</v>
      </c>
      <c r="T115" s="345" t="s">
        <v>4584</v>
      </c>
      <c r="U115" s="349" t="s">
        <v>4585</v>
      </c>
      <c r="V115" s="347" t="s">
        <v>4586</v>
      </c>
      <c r="W115" s="349" t="s">
        <v>4587</v>
      </c>
      <c r="X115" s="554" t="s">
        <v>4588</v>
      </c>
      <c r="Y115" s="350" t="s">
        <v>4589</v>
      </c>
      <c r="Z115" s="349" t="s">
        <v>4590</v>
      </c>
      <c r="AA115" s="790" t="s">
        <v>4591</v>
      </c>
      <c r="AB115" s="349" t="s">
        <v>4592</v>
      </c>
      <c r="AC115" s="622" t="s">
        <v>4593</v>
      </c>
      <c r="AD115" s="622" t="s">
        <v>4594</v>
      </c>
      <c r="AE115" s="622" t="s">
        <v>4595</v>
      </c>
      <c r="AF115" s="3094" t="s">
        <v>4596</v>
      </c>
      <c r="AG115" s="3095" t="s">
        <v>4597</v>
      </c>
      <c r="AH115" s="290" t="s">
        <v>4598</v>
      </c>
      <c r="AI115" s="531" t="s">
        <v>4599</v>
      </c>
      <c r="AJ115" s="107" t="s">
        <v>4600</v>
      </c>
    </row>
    <row r="116" spans="1:99" x14ac:dyDescent="0.25">
      <c r="A116" s="5789" t="s">
        <v>5437</v>
      </c>
      <c r="B116" s="498" t="s">
        <v>4316</v>
      </c>
      <c r="C116" s="3096" t="s">
        <v>4567</v>
      </c>
      <c r="D116" s="192" t="s">
        <v>4568</v>
      </c>
      <c r="E116" s="580" t="s">
        <v>4569</v>
      </c>
      <c r="F116" s="580" t="s">
        <v>4570</v>
      </c>
      <c r="G116" s="3096" t="s">
        <v>4571</v>
      </c>
      <c r="H116" s="192" t="s">
        <v>4572</v>
      </c>
      <c r="I116" s="580" t="s">
        <v>4573</v>
      </c>
      <c r="J116" s="580" t="s">
        <v>4574</v>
      </c>
      <c r="K116" s="3096" t="s">
        <v>4575</v>
      </c>
      <c r="L116" s="192" t="s">
        <v>4576</v>
      </c>
      <c r="M116" s="580" t="s">
        <v>4577</v>
      </c>
      <c r="N116" s="1098" t="s">
        <v>4578</v>
      </c>
      <c r="O116" s="3097" t="s">
        <v>4579</v>
      </c>
      <c r="P116" s="481" t="s">
        <v>4580</v>
      </c>
      <c r="Q116" s="64" t="s">
        <v>4581</v>
      </c>
      <c r="R116" s="350" t="s">
        <v>4582</v>
      </c>
      <c r="S116" s="349" t="s">
        <v>4583</v>
      </c>
      <c r="T116" s="345" t="s">
        <v>4584</v>
      </c>
      <c r="U116" s="349" t="s">
        <v>4585</v>
      </c>
      <c r="V116" s="347" t="s">
        <v>4586</v>
      </c>
      <c r="W116" s="349" t="s">
        <v>4587</v>
      </c>
      <c r="X116" s="554" t="s">
        <v>4588</v>
      </c>
      <c r="Y116" s="350" t="s">
        <v>4589</v>
      </c>
      <c r="Z116" s="349" t="s">
        <v>4590</v>
      </c>
      <c r="AA116" s="790" t="s">
        <v>4591</v>
      </c>
      <c r="AB116" s="349" t="s">
        <v>4592</v>
      </c>
      <c r="AC116" s="622" t="s">
        <v>4593</v>
      </c>
      <c r="AD116" s="622" t="s">
        <v>4594</v>
      </c>
      <c r="AE116" s="622" t="s">
        <v>4595</v>
      </c>
      <c r="AF116" s="3094" t="s">
        <v>4596</v>
      </c>
      <c r="AG116" s="3095" t="s">
        <v>4597</v>
      </c>
      <c r="AH116" s="290" t="s">
        <v>4598</v>
      </c>
      <c r="AI116" s="531" t="s">
        <v>4599</v>
      </c>
      <c r="AJ116" s="107" t="s">
        <v>4600</v>
      </c>
    </row>
    <row r="117" spans="1:99" x14ac:dyDescent="0.25">
      <c r="A117" s="5787" t="s">
        <v>5438</v>
      </c>
      <c r="B117" s="343" t="s">
        <v>1237</v>
      </c>
      <c r="C117" s="3096" t="s">
        <v>4567</v>
      </c>
      <c r="D117" s="192" t="s">
        <v>4568</v>
      </c>
      <c r="E117" s="580" t="s">
        <v>4569</v>
      </c>
      <c r="F117" s="580" t="s">
        <v>4570</v>
      </c>
      <c r="G117" s="3096" t="s">
        <v>4571</v>
      </c>
      <c r="H117" s="192" t="s">
        <v>4572</v>
      </c>
      <c r="I117" s="580" t="s">
        <v>4573</v>
      </c>
      <c r="J117" s="580" t="s">
        <v>4574</v>
      </c>
      <c r="K117" s="3096" t="s">
        <v>4575</v>
      </c>
      <c r="L117" s="192" t="s">
        <v>4576</v>
      </c>
      <c r="M117" s="580" t="s">
        <v>4577</v>
      </c>
      <c r="N117" s="1098" t="s">
        <v>4578</v>
      </c>
      <c r="O117" s="3097" t="s">
        <v>4579</v>
      </c>
      <c r="P117" s="481" t="s">
        <v>4580</v>
      </c>
      <c r="Q117" s="64" t="s">
        <v>4581</v>
      </c>
      <c r="R117" s="350" t="s">
        <v>4582</v>
      </c>
      <c r="S117" s="349" t="s">
        <v>4583</v>
      </c>
      <c r="T117" s="345" t="s">
        <v>4584</v>
      </c>
      <c r="U117" s="349" t="s">
        <v>4585</v>
      </c>
      <c r="V117" s="347" t="s">
        <v>4586</v>
      </c>
      <c r="W117" s="349" t="s">
        <v>4587</v>
      </c>
      <c r="X117" s="554" t="s">
        <v>4588</v>
      </c>
      <c r="Y117" s="350" t="s">
        <v>4589</v>
      </c>
      <c r="Z117" s="349" t="s">
        <v>4590</v>
      </c>
      <c r="AA117" s="790" t="s">
        <v>4591</v>
      </c>
      <c r="AB117" s="349" t="s">
        <v>4592</v>
      </c>
      <c r="AC117" s="622" t="s">
        <v>4593</v>
      </c>
      <c r="AD117" s="622" t="s">
        <v>4594</v>
      </c>
      <c r="AE117" s="622" t="s">
        <v>4595</v>
      </c>
      <c r="AF117" s="3094" t="s">
        <v>4596</v>
      </c>
      <c r="AG117" s="3095" t="s">
        <v>4597</v>
      </c>
      <c r="AH117" s="290" t="s">
        <v>4598</v>
      </c>
      <c r="AI117" s="531" t="s">
        <v>4599</v>
      </c>
      <c r="AJ117" s="107" t="s">
        <v>4600</v>
      </c>
    </row>
    <row r="118" spans="1:99" x14ac:dyDescent="0.25">
      <c r="A118" s="5787" t="s">
        <v>5439</v>
      </c>
      <c r="B118" s="343" t="s">
        <v>1238</v>
      </c>
      <c r="C118" s="3097" t="s">
        <v>4567</v>
      </c>
      <c r="D118" s="345" t="s">
        <v>4568</v>
      </c>
      <c r="E118" s="368" t="s">
        <v>4569</v>
      </c>
      <c r="F118" s="368" t="s">
        <v>4570</v>
      </c>
      <c r="G118" s="3097" t="s">
        <v>4571</v>
      </c>
      <c r="H118" s="345" t="s">
        <v>4572</v>
      </c>
      <c r="I118" s="368" t="s">
        <v>4573</v>
      </c>
      <c r="J118" s="368" t="s">
        <v>4574</v>
      </c>
      <c r="K118" s="3097" t="s">
        <v>4575</v>
      </c>
      <c r="L118" s="345" t="s">
        <v>4576</v>
      </c>
      <c r="M118" s="368" t="s">
        <v>4577</v>
      </c>
      <c r="N118" s="348" t="s">
        <v>4578</v>
      </c>
      <c r="O118" s="3097" t="s">
        <v>4579</v>
      </c>
      <c r="P118" s="347" t="s">
        <v>4580</v>
      </c>
      <c r="Q118" s="554" t="s">
        <v>4581</v>
      </c>
      <c r="R118" s="350" t="s">
        <v>4582</v>
      </c>
      <c r="S118" s="349" t="s">
        <v>4583</v>
      </c>
      <c r="T118" s="345" t="s">
        <v>4584</v>
      </c>
      <c r="U118" s="349" t="s">
        <v>4585</v>
      </c>
      <c r="V118" s="347" t="s">
        <v>4586</v>
      </c>
      <c r="W118" s="349" t="s">
        <v>4587</v>
      </c>
      <c r="X118" s="554" t="s">
        <v>4588</v>
      </c>
      <c r="Y118" s="350" t="s">
        <v>4589</v>
      </c>
      <c r="Z118" s="349" t="s">
        <v>4590</v>
      </c>
      <c r="AA118" s="790" t="s">
        <v>4591</v>
      </c>
      <c r="AB118" s="349" t="s">
        <v>4592</v>
      </c>
      <c r="AC118" s="622" t="s">
        <v>4593</v>
      </c>
      <c r="AD118" s="622" t="s">
        <v>4594</v>
      </c>
      <c r="AE118" s="622" t="s">
        <v>4595</v>
      </c>
      <c r="AF118" s="3094" t="s">
        <v>4596</v>
      </c>
      <c r="AG118" s="3095" t="s">
        <v>4597</v>
      </c>
      <c r="AH118" s="290" t="s">
        <v>4598</v>
      </c>
      <c r="AI118" s="531" t="s">
        <v>4599</v>
      </c>
      <c r="AJ118" s="107" t="s">
        <v>4600</v>
      </c>
    </row>
    <row r="119" spans="1:99" x14ac:dyDescent="0.25">
      <c r="A119" s="5789" t="s">
        <v>5440</v>
      </c>
      <c r="B119" s="343" t="s">
        <v>4317</v>
      </c>
      <c r="C119" s="3097" t="s">
        <v>4567</v>
      </c>
      <c r="D119" s="345" t="s">
        <v>4568</v>
      </c>
      <c r="E119" s="368" t="s">
        <v>4569</v>
      </c>
      <c r="F119" s="368" t="s">
        <v>4570</v>
      </c>
      <c r="G119" s="3097" t="s">
        <v>4571</v>
      </c>
      <c r="H119" s="345" t="s">
        <v>4572</v>
      </c>
      <c r="I119" s="368" t="s">
        <v>4573</v>
      </c>
      <c r="J119" s="368" t="s">
        <v>4574</v>
      </c>
      <c r="K119" s="3097" t="s">
        <v>4575</v>
      </c>
      <c r="L119" s="345" t="s">
        <v>4576</v>
      </c>
      <c r="M119" s="368" t="s">
        <v>4577</v>
      </c>
      <c r="N119" s="348" t="s">
        <v>4578</v>
      </c>
      <c r="O119" s="3097" t="s">
        <v>4579</v>
      </c>
      <c r="P119" s="347" t="s">
        <v>4580</v>
      </c>
      <c r="Q119" s="554" t="s">
        <v>4581</v>
      </c>
      <c r="R119" s="350" t="s">
        <v>4582</v>
      </c>
      <c r="S119" s="349" t="s">
        <v>4583</v>
      </c>
      <c r="T119" s="345" t="s">
        <v>4584</v>
      </c>
      <c r="U119" s="349" t="s">
        <v>4585</v>
      </c>
      <c r="V119" s="347" t="s">
        <v>4586</v>
      </c>
      <c r="W119" s="349" t="s">
        <v>4587</v>
      </c>
      <c r="X119" s="554" t="s">
        <v>4588</v>
      </c>
      <c r="Y119" s="350" t="s">
        <v>4589</v>
      </c>
      <c r="Z119" s="349" t="s">
        <v>4590</v>
      </c>
      <c r="AA119" s="790" t="s">
        <v>4591</v>
      </c>
      <c r="AB119" s="349" t="s">
        <v>4592</v>
      </c>
      <c r="AC119" s="622" t="s">
        <v>4593</v>
      </c>
      <c r="AD119" s="622" t="s">
        <v>4594</v>
      </c>
      <c r="AE119" s="622" t="s">
        <v>4595</v>
      </c>
      <c r="AF119" s="3094" t="s">
        <v>4596</v>
      </c>
      <c r="AG119" s="3095" t="s">
        <v>4597</v>
      </c>
      <c r="AH119" s="290" t="s">
        <v>4598</v>
      </c>
      <c r="AI119" s="531" t="s">
        <v>4599</v>
      </c>
      <c r="AJ119" s="107" t="s">
        <v>4600</v>
      </c>
    </row>
    <row r="120" spans="1:99" x14ac:dyDescent="0.25">
      <c r="A120" s="5789" t="s">
        <v>5441</v>
      </c>
      <c r="B120" s="343" t="s">
        <v>4318</v>
      </c>
      <c r="C120" s="3096" t="s">
        <v>4567</v>
      </c>
      <c r="D120" s="192" t="s">
        <v>4568</v>
      </c>
      <c r="E120" s="580" t="s">
        <v>4569</v>
      </c>
      <c r="F120" s="580" t="s">
        <v>4570</v>
      </c>
      <c r="G120" s="3096" t="s">
        <v>4571</v>
      </c>
      <c r="H120" s="192" t="s">
        <v>4572</v>
      </c>
      <c r="I120" s="580" t="s">
        <v>4573</v>
      </c>
      <c r="J120" s="580" t="s">
        <v>4574</v>
      </c>
      <c r="K120" s="3096" t="s">
        <v>4575</v>
      </c>
      <c r="L120" s="192" t="s">
        <v>4576</v>
      </c>
      <c r="M120" s="580" t="s">
        <v>4577</v>
      </c>
      <c r="N120" s="1098" t="s">
        <v>4578</v>
      </c>
      <c r="O120" s="3097" t="s">
        <v>4579</v>
      </c>
      <c r="P120" s="481" t="s">
        <v>4580</v>
      </c>
      <c r="Q120" s="64" t="s">
        <v>4581</v>
      </c>
      <c r="R120" s="350" t="s">
        <v>4582</v>
      </c>
      <c r="S120" s="349" t="s">
        <v>4583</v>
      </c>
      <c r="T120" s="345" t="s">
        <v>4584</v>
      </c>
      <c r="U120" s="349" t="s">
        <v>4585</v>
      </c>
      <c r="V120" s="347" t="s">
        <v>4586</v>
      </c>
      <c r="W120" s="349" t="s">
        <v>4587</v>
      </c>
      <c r="X120" s="554" t="s">
        <v>4588</v>
      </c>
      <c r="Y120" s="350" t="s">
        <v>4589</v>
      </c>
      <c r="Z120" s="349" t="s">
        <v>4590</v>
      </c>
      <c r="AA120" s="790" t="s">
        <v>4591</v>
      </c>
      <c r="AB120" s="349" t="s">
        <v>4592</v>
      </c>
      <c r="AC120" s="622" t="s">
        <v>4593</v>
      </c>
      <c r="AD120" s="622" t="s">
        <v>4594</v>
      </c>
      <c r="AE120" s="622" t="s">
        <v>4595</v>
      </c>
      <c r="AF120" s="3094" t="s">
        <v>4596</v>
      </c>
      <c r="AG120" s="3095" t="s">
        <v>4597</v>
      </c>
      <c r="AH120" s="290" t="s">
        <v>4598</v>
      </c>
      <c r="AI120" s="531" t="s">
        <v>4599</v>
      </c>
      <c r="AJ120" s="107" t="s">
        <v>4600</v>
      </c>
    </row>
    <row r="121" spans="1:99" x14ac:dyDescent="0.25">
      <c r="A121" s="5787" t="s">
        <v>5442</v>
      </c>
      <c r="B121" s="343" t="s">
        <v>1239</v>
      </c>
      <c r="C121" s="3097" t="s">
        <v>4567</v>
      </c>
      <c r="D121" s="345" t="s">
        <v>4568</v>
      </c>
      <c r="E121" s="368" t="s">
        <v>4569</v>
      </c>
      <c r="F121" s="368" t="s">
        <v>4570</v>
      </c>
      <c r="G121" s="3097" t="s">
        <v>4571</v>
      </c>
      <c r="H121" s="345" t="s">
        <v>4572</v>
      </c>
      <c r="I121" s="368" t="s">
        <v>4573</v>
      </c>
      <c r="J121" s="368" t="s">
        <v>4574</v>
      </c>
      <c r="K121" s="3097" t="s">
        <v>4575</v>
      </c>
      <c r="L121" s="345" t="s">
        <v>4576</v>
      </c>
      <c r="M121" s="368" t="s">
        <v>4577</v>
      </c>
      <c r="N121" s="348" t="s">
        <v>4578</v>
      </c>
      <c r="O121" s="3097" t="s">
        <v>4579</v>
      </c>
      <c r="P121" s="347" t="s">
        <v>4580</v>
      </c>
      <c r="Q121" s="554" t="s">
        <v>4581</v>
      </c>
      <c r="R121" s="350" t="s">
        <v>4582</v>
      </c>
      <c r="S121" s="349" t="s">
        <v>4583</v>
      </c>
      <c r="T121" s="345" t="s">
        <v>4584</v>
      </c>
      <c r="U121" s="349" t="s">
        <v>4585</v>
      </c>
      <c r="V121" s="347" t="s">
        <v>4586</v>
      </c>
      <c r="W121" s="349" t="s">
        <v>4587</v>
      </c>
      <c r="X121" s="554" t="s">
        <v>4588</v>
      </c>
      <c r="Y121" s="350" t="s">
        <v>4589</v>
      </c>
      <c r="Z121" s="349" t="s">
        <v>4590</v>
      </c>
      <c r="AA121" s="790" t="s">
        <v>4591</v>
      </c>
      <c r="AB121" s="349" t="s">
        <v>4592</v>
      </c>
      <c r="AC121" s="622" t="s">
        <v>4593</v>
      </c>
      <c r="AD121" s="622" t="s">
        <v>4594</v>
      </c>
      <c r="AE121" s="622" t="s">
        <v>4595</v>
      </c>
      <c r="AF121" s="3094" t="s">
        <v>4596</v>
      </c>
      <c r="AG121" s="3095" t="s">
        <v>4597</v>
      </c>
      <c r="AH121" s="290" t="s">
        <v>4598</v>
      </c>
      <c r="AI121" s="531" t="s">
        <v>4599</v>
      </c>
      <c r="AJ121" s="107" t="s">
        <v>4600</v>
      </c>
    </row>
    <row r="122" spans="1:99" x14ac:dyDescent="0.25">
      <c r="A122" s="5787" t="s">
        <v>5443</v>
      </c>
      <c r="B122" s="343" t="s">
        <v>1240</v>
      </c>
      <c r="C122" s="3097" t="s">
        <v>4567</v>
      </c>
      <c r="D122" s="345" t="s">
        <v>4568</v>
      </c>
      <c r="E122" s="368" t="s">
        <v>4569</v>
      </c>
      <c r="F122" s="368" t="s">
        <v>4570</v>
      </c>
      <c r="G122" s="3097" t="s">
        <v>4571</v>
      </c>
      <c r="H122" s="345" t="s">
        <v>4572</v>
      </c>
      <c r="I122" s="368" t="s">
        <v>4573</v>
      </c>
      <c r="J122" s="368" t="s">
        <v>4574</v>
      </c>
      <c r="K122" s="3097" t="s">
        <v>4575</v>
      </c>
      <c r="L122" s="345" t="s">
        <v>4576</v>
      </c>
      <c r="M122" s="368" t="s">
        <v>4577</v>
      </c>
      <c r="N122" s="348" t="s">
        <v>4578</v>
      </c>
      <c r="O122" s="3097" t="s">
        <v>4579</v>
      </c>
      <c r="P122" s="347" t="s">
        <v>4580</v>
      </c>
      <c r="Q122" s="554" t="s">
        <v>4581</v>
      </c>
      <c r="R122" s="350" t="s">
        <v>4582</v>
      </c>
      <c r="S122" s="349" t="s">
        <v>4583</v>
      </c>
      <c r="T122" s="345" t="s">
        <v>4584</v>
      </c>
      <c r="U122" s="349" t="s">
        <v>4585</v>
      </c>
      <c r="V122" s="347" t="s">
        <v>4586</v>
      </c>
      <c r="W122" s="349" t="s">
        <v>4587</v>
      </c>
      <c r="X122" s="554" t="s">
        <v>4588</v>
      </c>
      <c r="Y122" s="350" t="s">
        <v>4589</v>
      </c>
      <c r="Z122" s="349" t="s">
        <v>4590</v>
      </c>
      <c r="AA122" s="790" t="s">
        <v>4591</v>
      </c>
      <c r="AB122" s="349" t="s">
        <v>4592</v>
      </c>
      <c r="AC122" s="622" t="s">
        <v>4593</v>
      </c>
      <c r="AD122" s="622" t="s">
        <v>4594</v>
      </c>
      <c r="AE122" s="622" t="s">
        <v>4595</v>
      </c>
      <c r="AF122" s="3101" t="s">
        <v>4596</v>
      </c>
      <c r="AG122" s="3095" t="s">
        <v>4597</v>
      </c>
      <c r="AH122" s="290" t="s">
        <v>4598</v>
      </c>
      <c r="AI122" s="531" t="s">
        <v>4599</v>
      </c>
      <c r="AJ122" s="107" t="s">
        <v>4600</v>
      </c>
    </row>
    <row r="123" spans="1:99" x14ac:dyDescent="0.25">
      <c r="A123" s="5787" t="s">
        <v>5444</v>
      </c>
      <c r="B123" s="343" t="s">
        <v>1241</v>
      </c>
      <c r="C123" s="3097" t="s">
        <v>4567</v>
      </c>
      <c r="D123" s="345" t="s">
        <v>4568</v>
      </c>
      <c r="E123" s="368" t="s">
        <v>4569</v>
      </c>
      <c r="F123" s="368" t="s">
        <v>4570</v>
      </c>
      <c r="G123" s="3097" t="s">
        <v>4571</v>
      </c>
      <c r="H123" s="345" t="s">
        <v>4572</v>
      </c>
      <c r="I123" s="368" t="s">
        <v>4573</v>
      </c>
      <c r="J123" s="368" t="s">
        <v>4574</v>
      </c>
      <c r="K123" s="3097" t="s">
        <v>4575</v>
      </c>
      <c r="L123" s="345" t="s">
        <v>4576</v>
      </c>
      <c r="M123" s="368" t="s">
        <v>4577</v>
      </c>
      <c r="N123" s="348" t="s">
        <v>4578</v>
      </c>
      <c r="O123" s="3097" t="s">
        <v>4579</v>
      </c>
      <c r="P123" s="347" t="s">
        <v>4580</v>
      </c>
      <c r="Q123" s="554" t="s">
        <v>4581</v>
      </c>
      <c r="R123" s="350" t="s">
        <v>4582</v>
      </c>
      <c r="S123" s="349" t="s">
        <v>4583</v>
      </c>
      <c r="T123" s="345" t="s">
        <v>4584</v>
      </c>
      <c r="U123" s="349" t="s">
        <v>4585</v>
      </c>
      <c r="V123" s="347" t="s">
        <v>4586</v>
      </c>
      <c r="W123" s="349" t="s">
        <v>4587</v>
      </c>
      <c r="X123" s="554" t="s">
        <v>4588</v>
      </c>
      <c r="Y123" s="350" t="s">
        <v>4589</v>
      </c>
      <c r="Z123" s="349" t="s">
        <v>4590</v>
      </c>
      <c r="AA123" s="790" t="s">
        <v>4591</v>
      </c>
      <c r="AB123" s="349" t="s">
        <v>4592</v>
      </c>
      <c r="AC123" s="790" t="s">
        <v>4593</v>
      </c>
      <c r="AD123" s="790" t="s">
        <v>4594</v>
      </c>
      <c r="AE123" s="349" t="s">
        <v>4595</v>
      </c>
      <c r="AF123" s="3101" t="s">
        <v>4596</v>
      </c>
      <c r="AG123" s="3102" t="s">
        <v>4597</v>
      </c>
      <c r="AH123" s="345" t="s">
        <v>4598</v>
      </c>
      <c r="AI123" s="368" t="s">
        <v>4599</v>
      </c>
      <c r="AJ123" s="346" t="s">
        <v>4600</v>
      </c>
    </row>
    <row r="124" spans="1:99" x14ac:dyDescent="0.25">
      <c r="A124" s="5787" t="s">
        <v>5445</v>
      </c>
      <c r="B124" s="250" t="s">
        <v>1242</v>
      </c>
      <c r="C124" s="3100" t="s">
        <v>4567</v>
      </c>
      <c r="D124" s="290" t="s">
        <v>4568</v>
      </c>
      <c r="E124" s="531" t="s">
        <v>4569</v>
      </c>
      <c r="F124" s="531" t="s">
        <v>4570</v>
      </c>
      <c r="G124" s="3100" t="s">
        <v>4571</v>
      </c>
      <c r="H124" s="290" t="s">
        <v>4572</v>
      </c>
      <c r="I124" s="531" t="s">
        <v>4573</v>
      </c>
      <c r="J124" s="531" t="s">
        <v>4574</v>
      </c>
      <c r="K124" s="3100" t="s">
        <v>4575</v>
      </c>
      <c r="L124" s="290" t="s">
        <v>4576</v>
      </c>
      <c r="M124" s="531" t="s">
        <v>4577</v>
      </c>
      <c r="N124" s="714" t="s">
        <v>4578</v>
      </c>
      <c r="O124" s="3097" t="s">
        <v>4579</v>
      </c>
      <c r="P124" s="22" t="s">
        <v>4580</v>
      </c>
      <c r="Q124" s="65" t="s">
        <v>4581</v>
      </c>
      <c r="R124" s="350" t="s">
        <v>4582</v>
      </c>
      <c r="S124" s="349" t="s">
        <v>4583</v>
      </c>
      <c r="T124" s="290" t="s">
        <v>4584</v>
      </c>
      <c r="U124" s="622" t="s">
        <v>4585</v>
      </c>
      <c r="V124" s="22" t="s">
        <v>4586</v>
      </c>
      <c r="W124" s="622" t="s">
        <v>4587</v>
      </c>
      <c r="X124" s="65" t="s">
        <v>4588</v>
      </c>
      <c r="Y124" s="350" t="s">
        <v>4589</v>
      </c>
      <c r="Z124" s="349" t="s">
        <v>4590</v>
      </c>
      <c r="AA124" s="107" t="s">
        <v>4591</v>
      </c>
      <c r="AB124" s="107" t="s">
        <v>4592</v>
      </c>
      <c r="AC124" s="107" t="s">
        <v>4593</v>
      </c>
      <c r="AD124" s="107" t="s">
        <v>4594</v>
      </c>
      <c r="AE124" s="107" t="s">
        <v>4595</v>
      </c>
      <c r="AF124" s="3094" t="s">
        <v>4596</v>
      </c>
      <c r="AG124" s="3103" t="s">
        <v>4597</v>
      </c>
      <c r="AH124" s="290" t="s">
        <v>4598</v>
      </c>
      <c r="AI124" s="531" t="s">
        <v>4599</v>
      </c>
      <c r="AJ124" s="107" t="s">
        <v>4600</v>
      </c>
    </row>
    <row r="125" spans="1:99" x14ac:dyDescent="0.25">
      <c r="A125" s="5787" t="s">
        <v>5446</v>
      </c>
      <c r="B125" s="3067" t="s">
        <v>1243</v>
      </c>
      <c r="C125" s="3104" t="s">
        <v>4567</v>
      </c>
      <c r="D125" s="379" t="s">
        <v>4568</v>
      </c>
      <c r="E125" s="371" t="s">
        <v>4569</v>
      </c>
      <c r="F125" s="371" t="s">
        <v>4570</v>
      </c>
      <c r="G125" s="3104" t="s">
        <v>4571</v>
      </c>
      <c r="H125" s="379" t="s">
        <v>4572</v>
      </c>
      <c r="I125" s="371" t="s">
        <v>4573</v>
      </c>
      <c r="J125" s="371" t="s">
        <v>4574</v>
      </c>
      <c r="K125" s="3104" t="s">
        <v>4575</v>
      </c>
      <c r="L125" s="379" t="s">
        <v>4576</v>
      </c>
      <c r="M125" s="371" t="s">
        <v>4577</v>
      </c>
      <c r="N125" s="501" t="s">
        <v>4578</v>
      </c>
      <c r="O125" s="3104" t="s">
        <v>4579</v>
      </c>
      <c r="P125" s="428" t="s">
        <v>4580</v>
      </c>
      <c r="Q125" s="557" t="s">
        <v>4581</v>
      </c>
      <c r="R125" s="666" t="s">
        <v>4582</v>
      </c>
      <c r="S125" s="388" t="s">
        <v>4583</v>
      </c>
      <c r="T125" s="379" t="s">
        <v>4584</v>
      </c>
      <c r="U125" s="388" t="s">
        <v>4585</v>
      </c>
      <c r="V125" s="428" t="s">
        <v>4586</v>
      </c>
      <c r="W125" s="388" t="s">
        <v>4587</v>
      </c>
      <c r="X125" s="557" t="s">
        <v>4588</v>
      </c>
      <c r="Y125" s="666" t="s">
        <v>4589</v>
      </c>
      <c r="Z125" s="388" t="s">
        <v>4590</v>
      </c>
      <c r="AA125" s="387" t="s">
        <v>4591</v>
      </c>
      <c r="AB125" s="387" t="s">
        <v>4592</v>
      </c>
      <c r="AC125" s="387" t="s">
        <v>4593</v>
      </c>
      <c r="AD125" s="387" t="s">
        <v>4594</v>
      </c>
      <c r="AE125" s="387" t="s">
        <v>4595</v>
      </c>
      <c r="AF125" s="3105" t="s">
        <v>4596</v>
      </c>
      <c r="AG125" s="3106" t="s">
        <v>4597</v>
      </c>
      <c r="AH125" s="379" t="s">
        <v>4598</v>
      </c>
      <c r="AI125" s="371" t="s">
        <v>4599</v>
      </c>
      <c r="AJ125" s="387" t="s">
        <v>4600</v>
      </c>
    </row>
    <row r="126" spans="1:99" x14ac:dyDescent="0.25">
      <c r="B126" s="3107" t="s">
        <v>77</v>
      </c>
      <c r="C126" s="3108">
        <f t="shared" ref="C126:AJ126" si="15">SUM(C71:C125)</f>
        <v>0</v>
      </c>
      <c r="D126" s="3109">
        <f t="shared" si="15"/>
        <v>0</v>
      </c>
      <c r="E126" s="300">
        <f t="shared" si="15"/>
        <v>0</v>
      </c>
      <c r="F126" s="300">
        <f t="shared" si="15"/>
        <v>0</v>
      </c>
      <c r="G126" s="3108">
        <f t="shared" si="15"/>
        <v>0</v>
      </c>
      <c r="H126" s="3109">
        <f t="shared" si="15"/>
        <v>0</v>
      </c>
      <c r="I126" s="300">
        <f t="shared" si="15"/>
        <v>0</v>
      </c>
      <c r="J126" s="300">
        <f t="shared" si="15"/>
        <v>0</v>
      </c>
      <c r="K126" s="3108">
        <f t="shared" si="15"/>
        <v>0</v>
      </c>
      <c r="L126" s="3109">
        <f t="shared" si="15"/>
        <v>0</v>
      </c>
      <c r="M126" s="300">
        <f t="shared" si="15"/>
        <v>0</v>
      </c>
      <c r="N126" s="300">
        <f t="shared" si="15"/>
        <v>0</v>
      </c>
      <c r="O126" s="3108">
        <f t="shared" si="15"/>
        <v>0</v>
      </c>
      <c r="P126" s="3110">
        <f t="shared" si="15"/>
        <v>0</v>
      </c>
      <c r="Q126" s="3111">
        <f t="shared" si="15"/>
        <v>0</v>
      </c>
      <c r="R126" s="3109">
        <f t="shared" si="15"/>
        <v>0</v>
      </c>
      <c r="S126" s="3112">
        <f t="shared" si="15"/>
        <v>0</v>
      </c>
      <c r="T126" s="756">
        <f t="shared" si="15"/>
        <v>0</v>
      </c>
      <c r="U126" s="572">
        <f t="shared" si="15"/>
        <v>0</v>
      </c>
      <c r="V126" s="3110">
        <f t="shared" si="15"/>
        <v>0</v>
      </c>
      <c r="W126" s="3113">
        <f t="shared" si="15"/>
        <v>0</v>
      </c>
      <c r="X126" s="3112">
        <f t="shared" si="15"/>
        <v>0</v>
      </c>
      <c r="Y126" s="901">
        <f t="shared" si="15"/>
        <v>0</v>
      </c>
      <c r="Z126" s="3113">
        <f t="shared" si="15"/>
        <v>0</v>
      </c>
      <c r="AA126" s="3112">
        <f t="shared" si="15"/>
        <v>0</v>
      </c>
      <c r="AB126" s="3112">
        <f t="shared" si="15"/>
        <v>0</v>
      </c>
      <c r="AC126" s="3112">
        <f t="shared" si="15"/>
        <v>0</v>
      </c>
      <c r="AD126" s="3112">
        <f t="shared" si="15"/>
        <v>0</v>
      </c>
      <c r="AE126" s="3108">
        <f t="shared" si="15"/>
        <v>0</v>
      </c>
      <c r="AF126" s="3109">
        <f t="shared" si="15"/>
        <v>0</v>
      </c>
      <c r="AG126" s="3111">
        <f t="shared" si="15"/>
        <v>0</v>
      </c>
      <c r="AH126" s="3109">
        <f t="shared" si="15"/>
        <v>0</v>
      </c>
      <c r="AI126" s="300">
        <f t="shared" si="15"/>
        <v>0</v>
      </c>
      <c r="AJ126" s="3112">
        <f t="shared" si="15"/>
        <v>0</v>
      </c>
    </row>
    <row r="127" spans="1:99" s="6" customFormat="1" ht="18" customHeight="1" x14ac:dyDescent="0.2">
      <c r="B127" s="3114" t="s">
        <v>1274</v>
      </c>
      <c r="C127" s="3115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</row>
    <row r="128" spans="1:99" x14ac:dyDescent="0.25">
      <c r="B128" s="3107" t="s">
        <v>1275</v>
      </c>
      <c r="C128" s="717" t="s">
        <v>77</v>
      </c>
      <c r="D128" s="744" t="s">
        <v>343</v>
      </c>
      <c r="E128" s="547" t="s">
        <v>326</v>
      </c>
      <c r="F128" s="548" t="s">
        <v>94</v>
      </c>
      <c r="G128" s="548" t="s">
        <v>1203</v>
      </c>
      <c r="H128" s="548" t="s">
        <v>1276</v>
      </c>
      <c r="I128" s="548" t="s">
        <v>45</v>
      </c>
      <c r="J128" s="490" t="s">
        <v>46</v>
      </c>
      <c r="K128" s="490" t="s">
        <v>47</v>
      </c>
      <c r="L128" s="490" t="s">
        <v>48</v>
      </c>
      <c r="M128" s="490" t="s">
        <v>49</v>
      </c>
      <c r="N128" s="490" t="s">
        <v>50</v>
      </c>
      <c r="O128" s="490" t="s">
        <v>51</v>
      </c>
      <c r="P128" s="490" t="s">
        <v>52</v>
      </c>
      <c r="Q128" s="490" t="s">
        <v>53</v>
      </c>
      <c r="R128" s="490" t="s">
        <v>54</v>
      </c>
      <c r="S128" s="490" t="s">
        <v>55</v>
      </c>
      <c r="T128" s="490" t="s">
        <v>56</v>
      </c>
      <c r="U128" s="469" t="s">
        <v>1277</v>
      </c>
      <c r="V128" s="464" t="s">
        <v>1278</v>
      </c>
      <c r="W128" s="464" t="s">
        <v>1279</v>
      </c>
    </row>
    <row r="129" spans="1:94" ht="15" customHeight="1" x14ac:dyDescent="0.25">
      <c r="A129" s="5790" t="s">
        <v>5447</v>
      </c>
      <c r="B129" s="3116" t="s">
        <v>1280</v>
      </c>
      <c r="C129" s="584" t="s">
        <v>4567</v>
      </c>
      <c r="D129" s="747" t="s">
        <v>4568</v>
      </c>
      <c r="E129" s="750" t="s">
        <v>4569</v>
      </c>
      <c r="F129" s="750" t="s">
        <v>4570</v>
      </c>
      <c r="G129" s="750" t="s">
        <v>4571</v>
      </c>
      <c r="H129" s="750" t="s">
        <v>4572</v>
      </c>
      <c r="I129" s="750" t="s">
        <v>4573</v>
      </c>
      <c r="J129" s="750" t="s">
        <v>4574</v>
      </c>
      <c r="K129" s="750" t="s">
        <v>4575</v>
      </c>
      <c r="L129" s="750" t="s">
        <v>4576</v>
      </c>
      <c r="M129" s="750" t="s">
        <v>4577</v>
      </c>
      <c r="N129" s="750" t="s">
        <v>4578</v>
      </c>
      <c r="O129" s="750" t="s">
        <v>4579</v>
      </c>
      <c r="P129" s="750" t="s">
        <v>4580</v>
      </c>
      <c r="Q129" s="750" t="s">
        <v>4581</v>
      </c>
      <c r="R129" s="750" t="s">
        <v>4582</v>
      </c>
      <c r="S129" s="750" t="s">
        <v>4583</v>
      </c>
      <c r="T129" s="750" t="s">
        <v>4584</v>
      </c>
      <c r="U129" s="736" t="s">
        <v>4585</v>
      </c>
      <c r="V129" s="566" t="s">
        <v>4586</v>
      </c>
      <c r="W129" s="566" t="s">
        <v>4587</v>
      </c>
      <c r="X129" t="e">
        <f t="shared" ref="X129:X143" si="16">CC129&amp;CD129&amp;CE129</f>
        <v>#VALUE!</v>
      </c>
      <c r="CC129" s="135" t="str">
        <f t="shared" ref="CC129:CC144" si="17">IF(AND(C129&gt;0,V129="")," * No olvide digitar Trans Masculino. (Digite CERO si no tiene).","")</f>
        <v/>
      </c>
      <c r="CD129" s="135" t="str">
        <f t="shared" ref="CD129:CD145" si="18">IF(AND(C129&gt;0,W129="")," * No olvide digitar Trans Femenino. (Digite CERO si no tiene).","")</f>
        <v/>
      </c>
      <c r="CE129" s="135" t="e">
        <f t="shared" ref="CE129:CE145" si="19">IF((V129+W129)&gt;C129," * La suma de Trans Masculino + Trans Femenino No puede ser Mayor al Total.","")</f>
        <v>#VALUE!</v>
      </c>
      <c r="CN129" s="84">
        <f t="shared" ref="CN129:CN145" si="20">IF(AND(C129&gt;0,V129=""),1,0)</f>
        <v>0</v>
      </c>
      <c r="CO129" s="84">
        <f t="shared" ref="CO129:CO145" si="21">IF(AND(C129&gt;0,W129=""),1,0)</f>
        <v>0</v>
      </c>
      <c r="CP129" s="84" t="e">
        <f t="shared" ref="CP129:CP145" si="22">IF((V129+W129)&gt;C129,1,0)</f>
        <v>#VALUE!</v>
      </c>
    </row>
    <row r="130" spans="1:94" ht="15" customHeight="1" x14ac:dyDescent="0.25">
      <c r="A130" s="5790" t="s">
        <v>5448</v>
      </c>
      <c r="B130" s="357" t="s">
        <v>722</v>
      </c>
      <c r="C130" s="479" t="s">
        <v>4567</v>
      </c>
      <c r="D130" s="345" t="s">
        <v>4568</v>
      </c>
      <c r="E130" s="368" t="s">
        <v>4569</v>
      </c>
      <c r="F130" s="368" t="s">
        <v>4570</v>
      </c>
      <c r="G130" s="368" t="s">
        <v>4571</v>
      </c>
      <c r="H130" s="368" t="s">
        <v>4572</v>
      </c>
      <c r="I130" s="368" t="s">
        <v>4573</v>
      </c>
      <c r="J130" s="368" t="s">
        <v>4574</v>
      </c>
      <c r="K130" s="368" t="s">
        <v>4575</v>
      </c>
      <c r="L130" s="368" t="s">
        <v>4576</v>
      </c>
      <c r="M130" s="368" t="s">
        <v>4577</v>
      </c>
      <c r="N130" s="368" t="s">
        <v>4578</v>
      </c>
      <c r="O130" s="368" t="s">
        <v>4579</v>
      </c>
      <c r="P130" s="368" t="s">
        <v>4580</v>
      </c>
      <c r="Q130" s="368" t="s">
        <v>4581</v>
      </c>
      <c r="R130" s="368" t="s">
        <v>4582</v>
      </c>
      <c r="S130" s="368" t="s">
        <v>4583</v>
      </c>
      <c r="T130" s="368" t="s">
        <v>4584</v>
      </c>
      <c r="U130" s="351" t="s">
        <v>4585</v>
      </c>
      <c r="V130" s="346" t="s">
        <v>4586</v>
      </c>
      <c r="W130" s="346" t="s">
        <v>4587</v>
      </c>
      <c r="X130" t="e">
        <f t="shared" si="16"/>
        <v>#VALUE!</v>
      </c>
      <c r="CC130" s="135" t="str">
        <f t="shared" si="17"/>
        <v/>
      </c>
      <c r="CD130" s="135" t="str">
        <f t="shared" si="18"/>
        <v/>
      </c>
      <c r="CE130" s="135" t="e">
        <f t="shared" si="19"/>
        <v>#VALUE!</v>
      </c>
      <c r="CN130" s="84">
        <f t="shared" si="20"/>
        <v>0</v>
      </c>
      <c r="CO130" s="84">
        <f t="shared" si="21"/>
        <v>0</v>
      </c>
      <c r="CP130" s="84" t="e">
        <f t="shared" si="22"/>
        <v>#VALUE!</v>
      </c>
    </row>
    <row r="131" spans="1:94" ht="15" customHeight="1" x14ac:dyDescent="0.25">
      <c r="A131" s="5790" t="s">
        <v>5449</v>
      </c>
      <c r="B131" s="357" t="s">
        <v>1281</v>
      </c>
      <c r="C131" s="479" t="s">
        <v>4567</v>
      </c>
      <c r="D131" s="345" t="s">
        <v>4568</v>
      </c>
      <c r="E131" s="368" t="s">
        <v>4569</v>
      </c>
      <c r="F131" s="368" t="s">
        <v>4570</v>
      </c>
      <c r="G131" s="368" t="s">
        <v>4571</v>
      </c>
      <c r="H131" s="368" t="s">
        <v>4572</v>
      </c>
      <c r="I131" s="368" t="s">
        <v>4573</v>
      </c>
      <c r="J131" s="368" t="s">
        <v>4574</v>
      </c>
      <c r="K131" s="368" t="s">
        <v>4575</v>
      </c>
      <c r="L131" s="368" t="s">
        <v>4576</v>
      </c>
      <c r="M131" s="368" t="s">
        <v>4577</v>
      </c>
      <c r="N131" s="368" t="s">
        <v>4578</v>
      </c>
      <c r="O131" s="368" t="s">
        <v>4579</v>
      </c>
      <c r="P131" s="368" t="s">
        <v>4580</v>
      </c>
      <c r="Q131" s="368" t="s">
        <v>4581</v>
      </c>
      <c r="R131" s="368" t="s">
        <v>4582</v>
      </c>
      <c r="S131" s="368" t="s">
        <v>4583</v>
      </c>
      <c r="T131" s="368" t="s">
        <v>4584</v>
      </c>
      <c r="U131" s="351" t="s">
        <v>4585</v>
      </c>
      <c r="V131" s="346" t="s">
        <v>4586</v>
      </c>
      <c r="W131" s="346" t="s">
        <v>4587</v>
      </c>
      <c r="X131" t="e">
        <f t="shared" si="16"/>
        <v>#VALUE!</v>
      </c>
      <c r="CC131" s="135" t="str">
        <f t="shared" si="17"/>
        <v/>
      </c>
      <c r="CD131" s="135" t="str">
        <f t="shared" si="18"/>
        <v/>
      </c>
      <c r="CE131" s="135" t="e">
        <f t="shared" si="19"/>
        <v>#VALUE!</v>
      </c>
      <c r="CN131" s="84">
        <f t="shared" si="20"/>
        <v>0</v>
      </c>
      <c r="CO131" s="84">
        <f t="shared" si="21"/>
        <v>0</v>
      </c>
      <c r="CP131" s="84" t="e">
        <f t="shared" si="22"/>
        <v>#VALUE!</v>
      </c>
    </row>
    <row r="132" spans="1:94" ht="15" customHeight="1" x14ac:dyDescent="0.25">
      <c r="A132" s="5790" t="s">
        <v>5450</v>
      </c>
      <c r="B132" s="357" t="s">
        <v>1282</v>
      </c>
      <c r="C132" s="479" t="s">
        <v>4567</v>
      </c>
      <c r="D132" s="345" t="s">
        <v>4568</v>
      </c>
      <c r="E132" s="368" t="s">
        <v>4569</v>
      </c>
      <c r="F132" s="368" t="s">
        <v>4570</v>
      </c>
      <c r="G132" s="368" t="s">
        <v>4571</v>
      </c>
      <c r="H132" s="368" t="s">
        <v>4572</v>
      </c>
      <c r="I132" s="368" t="s">
        <v>4573</v>
      </c>
      <c r="J132" s="368" t="s">
        <v>4574</v>
      </c>
      <c r="K132" s="368" t="s">
        <v>4575</v>
      </c>
      <c r="L132" s="368" t="s">
        <v>4576</v>
      </c>
      <c r="M132" s="368" t="s">
        <v>4577</v>
      </c>
      <c r="N132" s="368" t="s">
        <v>4578</v>
      </c>
      <c r="O132" s="368" t="s">
        <v>4579</v>
      </c>
      <c r="P132" s="368" t="s">
        <v>4580</v>
      </c>
      <c r="Q132" s="368" t="s">
        <v>4581</v>
      </c>
      <c r="R132" s="368" t="s">
        <v>4582</v>
      </c>
      <c r="S132" s="368" t="s">
        <v>4583</v>
      </c>
      <c r="T132" s="368" t="s">
        <v>4584</v>
      </c>
      <c r="U132" s="351" t="s">
        <v>4585</v>
      </c>
      <c r="V132" s="346" t="s">
        <v>4586</v>
      </c>
      <c r="W132" s="346" t="s">
        <v>4587</v>
      </c>
      <c r="X132" t="e">
        <f t="shared" si="16"/>
        <v>#VALUE!</v>
      </c>
      <c r="CC132" s="135" t="str">
        <f t="shared" si="17"/>
        <v/>
      </c>
      <c r="CD132" s="135" t="str">
        <f t="shared" si="18"/>
        <v/>
      </c>
      <c r="CE132" s="135" t="e">
        <f t="shared" si="19"/>
        <v>#VALUE!</v>
      </c>
      <c r="CN132" s="84">
        <f t="shared" si="20"/>
        <v>0</v>
      </c>
      <c r="CO132" s="84">
        <f t="shared" si="21"/>
        <v>0</v>
      </c>
      <c r="CP132" s="84" t="e">
        <f t="shared" si="22"/>
        <v>#VALUE!</v>
      </c>
    </row>
    <row r="133" spans="1:94" ht="15" customHeight="1" x14ac:dyDescent="0.25">
      <c r="A133" s="5790" t="s">
        <v>5451</v>
      </c>
      <c r="B133" s="357" t="s">
        <v>1283</v>
      </c>
      <c r="C133" s="479" t="s">
        <v>4567</v>
      </c>
      <c r="D133" s="345" t="s">
        <v>4568</v>
      </c>
      <c r="E133" s="368" t="s">
        <v>4569</v>
      </c>
      <c r="F133" s="368" t="s">
        <v>4570</v>
      </c>
      <c r="G133" s="368" t="s">
        <v>4571</v>
      </c>
      <c r="H133" s="368" t="s">
        <v>4572</v>
      </c>
      <c r="I133" s="368" t="s">
        <v>4573</v>
      </c>
      <c r="J133" s="368" t="s">
        <v>4574</v>
      </c>
      <c r="K133" s="368" t="s">
        <v>4575</v>
      </c>
      <c r="L133" s="368" t="s">
        <v>4576</v>
      </c>
      <c r="M133" s="368" t="s">
        <v>4577</v>
      </c>
      <c r="N133" s="368" t="s">
        <v>4578</v>
      </c>
      <c r="O133" s="368" t="s">
        <v>4579</v>
      </c>
      <c r="P133" s="368" t="s">
        <v>4580</v>
      </c>
      <c r="Q133" s="368" t="s">
        <v>4581</v>
      </c>
      <c r="R133" s="368" t="s">
        <v>4582</v>
      </c>
      <c r="S133" s="368" t="s">
        <v>4583</v>
      </c>
      <c r="T133" s="368" t="s">
        <v>4584</v>
      </c>
      <c r="U133" s="351" t="s">
        <v>4585</v>
      </c>
      <c r="V133" s="346" t="s">
        <v>4586</v>
      </c>
      <c r="W133" s="346" t="s">
        <v>4587</v>
      </c>
      <c r="X133" t="e">
        <f t="shared" si="16"/>
        <v>#VALUE!</v>
      </c>
      <c r="CC133" s="135" t="str">
        <f t="shared" si="17"/>
        <v/>
      </c>
      <c r="CD133" s="135" t="str">
        <f t="shared" si="18"/>
        <v/>
      </c>
      <c r="CE133" s="135" t="e">
        <f t="shared" si="19"/>
        <v>#VALUE!</v>
      </c>
      <c r="CN133" s="84">
        <f t="shared" si="20"/>
        <v>0</v>
      </c>
      <c r="CO133" s="84">
        <f t="shared" si="21"/>
        <v>0</v>
      </c>
      <c r="CP133" s="84" t="e">
        <f t="shared" si="22"/>
        <v>#VALUE!</v>
      </c>
    </row>
    <row r="134" spans="1:94" ht="15" customHeight="1" x14ac:dyDescent="0.25">
      <c r="A134" s="5790" t="s">
        <v>5452</v>
      </c>
      <c r="B134" s="357" t="s">
        <v>1284</v>
      </c>
      <c r="C134" s="479" t="s">
        <v>4567</v>
      </c>
      <c r="D134" s="345" t="s">
        <v>4568</v>
      </c>
      <c r="E134" s="368" t="s">
        <v>4569</v>
      </c>
      <c r="F134" s="368" t="s">
        <v>4570</v>
      </c>
      <c r="G134" s="368" t="s">
        <v>4571</v>
      </c>
      <c r="H134" s="368" t="s">
        <v>4572</v>
      </c>
      <c r="I134" s="368" t="s">
        <v>4573</v>
      </c>
      <c r="J134" s="368" t="s">
        <v>4574</v>
      </c>
      <c r="K134" s="368" t="s">
        <v>4575</v>
      </c>
      <c r="L134" s="368" t="s">
        <v>4576</v>
      </c>
      <c r="M134" s="368" t="s">
        <v>4577</v>
      </c>
      <c r="N134" s="368" t="s">
        <v>4578</v>
      </c>
      <c r="O134" s="368" t="s">
        <v>4579</v>
      </c>
      <c r="P134" s="368" t="s">
        <v>4580</v>
      </c>
      <c r="Q134" s="368" t="s">
        <v>4581</v>
      </c>
      <c r="R134" s="368" t="s">
        <v>4582</v>
      </c>
      <c r="S134" s="368" t="s">
        <v>4583</v>
      </c>
      <c r="T134" s="368" t="s">
        <v>4584</v>
      </c>
      <c r="U134" s="351" t="s">
        <v>4585</v>
      </c>
      <c r="V134" s="346" t="s">
        <v>4586</v>
      </c>
      <c r="W134" s="346" t="s">
        <v>4587</v>
      </c>
      <c r="X134" t="e">
        <f t="shared" si="16"/>
        <v>#VALUE!</v>
      </c>
      <c r="CC134" s="135" t="str">
        <f t="shared" si="17"/>
        <v/>
      </c>
      <c r="CD134" s="135" t="str">
        <f t="shared" si="18"/>
        <v/>
      </c>
      <c r="CE134" s="135" t="e">
        <f t="shared" si="19"/>
        <v>#VALUE!</v>
      </c>
      <c r="CN134" s="84">
        <f t="shared" si="20"/>
        <v>0</v>
      </c>
      <c r="CO134" s="84">
        <f t="shared" si="21"/>
        <v>0</v>
      </c>
      <c r="CP134" s="84" t="e">
        <f t="shared" si="22"/>
        <v>#VALUE!</v>
      </c>
    </row>
    <row r="135" spans="1:94" ht="15" customHeight="1" x14ac:dyDescent="0.25">
      <c r="A135" s="5790" t="s">
        <v>5453</v>
      </c>
      <c r="B135" s="357" t="s">
        <v>1285</v>
      </c>
      <c r="C135" s="479" t="s">
        <v>4567</v>
      </c>
      <c r="D135" s="345" t="s">
        <v>4568</v>
      </c>
      <c r="E135" s="368" t="s">
        <v>4569</v>
      </c>
      <c r="F135" s="368" t="s">
        <v>4570</v>
      </c>
      <c r="G135" s="368" t="s">
        <v>4571</v>
      </c>
      <c r="H135" s="368" t="s">
        <v>4572</v>
      </c>
      <c r="I135" s="368" t="s">
        <v>4573</v>
      </c>
      <c r="J135" s="368" t="s">
        <v>4574</v>
      </c>
      <c r="K135" s="368" t="s">
        <v>4575</v>
      </c>
      <c r="L135" s="368" t="s">
        <v>4576</v>
      </c>
      <c r="M135" s="368" t="s">
        <v>4577</v>
      </c>
      <c r="N135" s="368" t="s">
        <v>4578</v>
      </c>
      <c r="O135" s="368" t="s">
        <v>4579</v>
      </c>
      <c r="P135" s="368" t="s">
        <v>4580</v>
      </c>
      <c r="Q135" s="368" t="s">
        <v>4581</v>
      </c>
      <c r="R135" s="368" t="s">
        <v>4582</v>
      </c>
      <c r="S135" s="368" t="s">
        <v>4583</v>
      </c>
      <c r="T135" s="368" t="s">
        <v>4584</v>
      </c>
      <c r="U135" s="351" t="s">
        <v>4585</v>
      </c>
      <c r="V135" s="346" t="s">
        <v>4586</v>
      </c>
      <c r="W135" s="346" t="s">
        <v>4587</v>
      </c>
      <c r="X135" t="e">
        <f t="shared" si="16"/>
        <v>#VALUE!</v>
      </c>
      <c r="CC135" s="135" t="str">
        <f t="shared" si="17"/>
        <v/>
      </c>
      <c r="CD135" s="135" t="str">
        <f t="shared" si="18"/>
        <v/>
      </c>
      <c r="CE135" s="135" t="e">
        <f t="shared" si="19"/>
        <v>#VALUE!</v>
      </c>
      <c r="CN135" s="84">
        <f t="shared" si="20"/>
        <v>0</v>
      </c>
      <c r="CO135" s="84">
        <f t="shared" si="21"/>
        <v>0</v>
      </c>
      <c r="CP135" s="84" t="e">
        <f t="shared" si="22"/>
        <v>#VALUE!</v>
      </c>
    </row>
    <row r="136" spans="1:94" ht="15" customHeight="1" x14ac:dyDescent="0.25">
      <c r="A136" s="5790" t="s">
        <v>5454</v>
      </c>
      <c r="B136" s="357" t="s">
        <v>1286</v>
      </c>
      <c r="C136" s="479" t="s">
        <v>4567</v>
      </c>
      <c r="D136" s="345" t="s">
        <v>4568</v>
      </c>
      <c r="E136" s="368" t="s">
        <v>4569</v>
      </c>
      <c r="F136" s="368" t="s">
        <v>4570</v>
      </c>
      <c r="G136" s="368" t="s">
        <v>4571</v>
      </c>
      <c r="H136" s="368" t="s">
        <v>4572</v>
      </c>
      <c r="I136" s="368" t="s">
        <v>4573</v>
      </c>
      <c r="J136" s="368" t="s">
        <v>4574</v>
      </c>
      <c r="K136" s="368" t="s">
        <v>4575</v>
      </c>
      <c r="L136" s="368" t="s">
        <v>4576</v>
      </c>
      <c r="M136" s="368" t="s">
        <v>4577</v>
      </c>
      <c r="N136" s="368" t="s">
        <v>4578</v>
      </c>
      <c r="O136" s="368" t="s">
        <v>4579</v>
      </c>
      <c r="P136" s="368" t="s">
        <v>4580</v>
      </c>
      <c r="Q136" s="368" t="s">
        <v>4581</v>
      </c>
      <c r="R136" s="368" t="s">
        <v>4582</v>
      </c>
      <c r="S136" s="368" t="s">
        <v>4583</v>
      </c>
      <c r="T136" s="368" t="s">
        <v>4584</v>
      </c>
      <c r="U136" s="351" t="s">
        <v>4585</v>
      </c>
      <c r="V136" s="346" t="s">
        <v>4586</v>
      </c>
      <c r="W136" s="346" t="s">
        <v>4587</v>
      </c>
      <c r="X136" t="e">
        <f t="shared" si="16"/>
        <v>#VALUE!</v>
      </c>
      <c r="CC136" s="135" t="str">
        <f t="shared" si="17"/>
        <v/>
      </c>
      <c r="CD136" s="135" t="str">
        <f t="shared" si="18"/>
        <v/>
      </c>
      <c r="CE136" s="135" t="e">
        <f t="shared" si="19"/>
        <v>#VALUE!</v>
      </c>
      <c r="CN136" s="84">
        <f t="shared" si="20"/>
        <v>0</v>
      </c>
      <c r="CO136" s="84">
        <f t="shared" si="21"/>
        <v>0</v>
      </c>
      <c r="CP136" s="84" t="e">
        <f t="shared" si="22"/>
        <v>#VALUE!</v>
      </c>
    </row>
    <row r="137" spans="1:94" ht="15" customHeight="1" x14ac:dyDescent="0.25">
      <c r="A137" s="5790" t="s">
        <v>5455</v>
      </c>
      <c r="B137" s="357" t="s">
        <v>1287</v>
      </c>
      <c r="C137" s="479" t="s">
        <v>4567</v>
      </c>
      <c r="D137" s="345" t="s">
        <v>4568</v>
      </c>
      <c r="E137" s="368" t="s">
        <v>4569</v>
      </c>
      <c r="F137" s="368" t="s">
        <v>4570</v>
      </c>
      <c r="G137" s="368" t="s">
        <v>4571</v>
      </c>
      <c r="H137" s="368" t="s">
        <v>4572</v>
      </c>
      <c r="I137" s="368" t="s">
        <v>4573</v>
      </c>
      <c r="J137" s="368" t="s">
        <v>4574</v>
      </c>
      <c r="K137" s="368" t="s">
        <v>4575</v>
      </c>
      <c r="L137" s="368" t="s">
        <v>4576</v>
      </c>
      <c r="M137" s="368" t="s">
        <v>4577</v>
      </c>
      <c r="N137" s="368" t="s">
        <v>4578</v>
      </c>
      <c r="O137" s="368" t="s">
        <v>4579</v>
      </c>
      <c r="P137" s="368" t="s">
        <v>4580</v>
      </c>
      <c r="Q137" s="368" t="s">
        <v>4581</v>
      </c>
      <c r="R137" s="368" t="s">
        <v>4582</v>
      </c>
      <c r="S137" s="368" t="s">
        <v>4583</v>
      </c>
      <c r="T137" s="368" t="s">
        <v>4584</v>
      </c>
      <c r="U137" s="351" t="s">
        <v>4585</v>
      </c>
      <c r="V137" s="346" t="s">
        <v>4586</v>
      </c>
      <c r="W137" s="346" t="s">
        <v>4587</v>
      </c>
      <c r="X137" t="e">
        <f t="shared" si="16"/>
        <v>#VALUE!</v>
      </c>
      <c r="CC137" s="135" t="str">
        <f t="shared" si="17"/>
        <v/>
      </c>
      <c r="CD137" s="135" t="str">
        <f t="shared" si="18"/>
        <v/>
      </c>
      <c r="CE137" s="135" t="e">
        <f t="shared" si="19"/>
        <v>#VALUE!</v>
      </c>
      <c r="CN137" s="84">
        <f t="shared" si="20"/>
        <v>0</v>
      </c>
      <c r="CO137" s="84">
        <f t="shared" si="21"/>
        <v>0</v>
      </c>
      <c r="CP137" s="84" t="e">
        <f t="shared" si="22"/>
        <v>#VALUE!</v>
      </c>
    </row>
    <row r="138" spans="1:94" ht="15" customHeight="1" x14ac:dyDescent="0.25">
      <c r="A138" s="5790" t="s">
        <v>5456</v>
      </c>
      <c r="B138" s="357" t="s">
        <v>1288</v>
      </c>
      <c r="C138" s="479" t="s">
        <v>4567</v>
      </c>
      <c r="D138" s="345" t="s">
        <v>4568</v>
      </c>
      <c r="E138" s="368" t="s">
        <v>4569</v>
      </c>
      <c r="F138" s="368" t="s">
        <v>4570</v>
      </c>
      <c r="G138" s="368" t="s">
        <v>4571</v>
      </c>
      <c r="H138" s="368" t="s">
        <v>4572</v>
      </c>
      <c r="I138" s="368" t="s">
        <v>4573</v>
      </c>
      <c r="J138" s="368" t="s">
        <v>4574</v>
      </c>
      <c r="K138" s="368" t="s">
        <v>4575</v>
      </c>
      <c r="L138" s="368" t="s">
        <v>4576</v>
      </c>
      <c r="M138" s="368" t="s">
        <v>4577</v>
      </c>
      <c r="N138" s="368" t="s">
        <v>4578</v>
      </c>
      <c r="O138" s="368" t="s">
        <v>4579</v>
      </c>
      <c r="P138" s="368" t="s">
        <v>4580</v>
      </c>
      <c r="Q138" s="368" t="s">
        <v>4581</v>
      </c>
      <c r="R138" s="368" t="s">
        <v>4582</v>
      </c>
      <c r="S138" s="368" t="s">
        <v>4583</v>
      </c>
      <c r="T138" s="368" t="s">
        <v>4584</v>
      </c>
      <c r="U138" s="351" t="s">
        <v>4585</v>
      </c>
      <c r="V138" s="346" t="s">
        <v>4586</v>
      </c>
      <c r="W138" s="346" t="s">
        <v>4587</v>
      </c>
      <c r="X138" t="e">
        <f t="shared" si="16"/>
        <v>#VALUE!</v>
      </c>
      <c r="CC138" s="135" t="str">
        <f t="shared" si="17"/>
        <v/>
      </c>
      <c r="CD138" s="135" t="str">
        <f t="shared" si="18"/>
        <v/>
      </c>
      <c r="CE138" s="135" t="e">
        <f t="shared" si="19"/>
        <v>#VALUE!</v>
      </c>
      <c r="CN138" s="84">
        <f t="shared" si="20"/>
        <v>0</v>
      </c>
      <c r="CO138" s="84">
        <f t="shared" si="21"/>
        <v>0</v>
      </c>
      <c r="CP138" s="84" t="e">
        <f t="shared" si="22"/>
        <v>#VALUE!</v>
      </c>
    </row>
    <row r="139" spans="1:94" ht="15" customHeight="1" x14ac:dyDescent="0.25">
      <c r="A139" s="5790" t="s">
        <v>5457</v>
      </c>
      <c r="B139" s="357" t="s">
        <v>1289</v>
      </c>
      <c r="C139" s="479" t="s">
        <v>4567</v>
      </c>
      <c r="D139" s="345" t="s">
        <v>4568</v>
      </c>
      <c r="E139" s="368" t="s">
        <v>4569</v>
      </c>
      <c r="F139" s="368" t="s">
        <v>4570</v>
      </c>
      <c r="G139" s="368" t="s">
        <v>4571</v>
      </c>
      <c r="H139" s="368" t="s">
        <v>4572</v>
      </c>
      <c r="I139" s="368" t="s">
        <v>4573</v>
      </c>
      <c r="J139" s="368" t="s">
        <v>4574</v>
      </c>
      <c r="K139" s="368" t="s">
        <v>4575</v>
      </c>
      <c r="L139" s="368" t="s">
        <v>4576</v>
      </c>
      <c r="M139" s="368" t="s">
        <v>4577</v>
      </c>
      <c r="N139" s="368" t="s">
        <v>4578</v>
      </c>
      <c r="O139" s="368" t="s">
        <v>4579</v>
      </c>
      <c r="P139" s="368" t="s">
        <v>4580</v>
      </c>
      <c r="Q139" s="368" t="s">
        <v>4581</v>
      </c>
      <c r="R139" s="368" t="s">
        <v>4582</v>
      </c>
      <c r="S139" s="368" t="s">
        <v>4583</v>
      </c>
      <c r="T139" s="368" t="s">
        <v>4584</v>
      </c>
      <c r="U139" s="351" t="s">
        <v>4585</v>
      </c>
      <c r="V139" s="346" t="s">
        <v>4586</v>
      </c>
      <c r="W139" s="346" t="s">
        <v>4587</v>
      </c>
      <c r="X139" t="e">
        <f t="shared" si="16"/>
        <v>#VALUE!</v>
      </c>
      <c r="CC139" s="135" t="str">
        <f t="shared" si="17"/>
        <v/>
      </c>
      <c r="CD139" s="135" t="str">
        <f t="shared" si="18"/>
        <v/>
      </c>
      <c r="CE139" s="135" t="e">
        <f t="shared" si="19"/>
        <v>#VALUE!</v>
      </c>
      <c r="CN139" s="84">
        <f t="shared" si="20"/>
        <v>0</v>
      </c>
      <c r="CO139" s="84">
        <f t="shared" si="21"/>
        <v>0</v>
      </c>
      <c r="CP139" s="84" t="e">
        <f t="shared" si="22"/>
        <v>#VALUE!</v>
      </c>
    </row>
    <row r="140" spans="1:94" ht="15" customHeight="1" x14ac:dyDescent="0.25">
      <c r="A140" s="5790" t="s">
        <v>5458</v>
      </c>
      <c r="B140" s="357" t="s">
        <v>1290</v>
      </c>
      <c r="C140" s="479" t="s">
        <v>4567</v>
      </c>
      <c r="D140" s="345" t="s">
        <v>4568</v>
      </c>
      <c r="E140" s="368" t="s">
        <v>4569</v>
      </c>
      <c r="F140" s="368" t="s">
        <v>4570</v>
      </c>
      <c r="G140" s="368" t="s">
        <v>4571</v>
      </c>
      <c r="H140" s="368" t="s">
        <v>4572</v>
      </c>
      <c r="I140" s="368" t="s">
        <v>4573</v>
      </c>
      <c r="J140" s="368" t="s">
        <v>4574</v>
      </c>
      <c r="K140" s="368" t="s">
        <v>4575</v>
      </c>
      <c r="L140" s="368" t="s">
        <v>4576</v>
      </c>
      <c r="M140" s="368" t="s">
        <v>4577</v>
      </c>
      <c r="N140" s="368" t="s">
        <v>4578</v>
      </c>
      <c r="O140" s="368" t="s">
        <v>4579</v>
      </c>
      <c r="P140" s="368" t="s">
        <v>4580</v>
      </c>
      <c r="Q140" s="368" t="s">
        <v>4581</v>
      </c>
      <c r="R140" s="368" t="s">
        <v>4582</v>
      </c>
      <c r="S140" s="368" t="s">
        <v>4583</v>
      </c>
      <c r="T140" s="368" t="s">
        <v>4584</v>
      </c>
      <c r="U140" s="351" t="s">
        <v>4585</v>
      </c>
      <c r="V140" s="346" t="s">
        <v>4586</v>
      </c>
      <c r="W140" s="346" t="s">
        <v>4587</v>
      </c>
      <c r="X140" t="e">
        <f t="shared" si="16"/>
        <v>#VALUE!</v>
      </c>
      <c r="CC140" s="135" t="str">
        <f t="shared" si="17"/>
        <v/>
      </c>
      <c r="CD140" s="135" t="str">
        <f t="shared" si="18"/>
        <v/>
      </c>
      <c r="CE140" s="135" t="e">
        <f t="shared" si="19"/>
        <v>#VALUE!</v>
      </c>
      <c r="CN140" s="84">
        <f t="shared" si="20"/>
        <v>0</v>
      </c>
      <c r="CO140" s="84">
        <f t="shared" si="21"/>
        <v>0</v>
      </c>
      <c r="CP140" s="84" t="e">
        <f t="shared" si="22"/>
        <v>#VALUE!</v>
      </c>
    </row>
    <row r="141" spans="1:94" ht="15" customHeight="1" x14ac:dyDescent="0.25">
      <c r="A141" s="5790" t="s">
        <v>5459</v>
      </c>
      <c r="B141" s="357" t="s">
        <v>1291</v>
      </c>
      <c r="C141" s="479" t="s">
        <v>4567</v>
      </c>
      <c r="D141" s="345" t="s">
        <v>4568</v>
      </c>
      <c r="E141" s="368" t="s">
        <v>4569</v>
      </c>
      <c r="F141" s="368" t="s">
        <v>4570</v>
      </c>
      <c r="G141" s="368" t="s">
        <v>4571</v>
      </c>
      <c r="H141" s="368" t="s">
        <v>4572</v>
      </c>
      <c r="I141" s="368" t="s">
        <v>4573</v>
      </c>
      <c r="J141" s="368" t="s">
        <v>4574</v>
      </c>
      <c r="K141" s="368" t="s">
        <v>4575</v>
      </c>
      <c r="L141" s="368" t="s">
        <v>4576</v>
      </c>
      <c r="M141" s="368" t="s">
        <v>4577</v>
      </c>
      <c r="N141" s="368" t="s">
        <v>4578</v>
      </c>
      <c r="O141" s="368" t="s">
        <v>4579</v>
      </c>
      <c r="P141" s="368" t="s">
        <v>4580</v>
      </c>
      <c r="Q141" s="368" t="s">
        <v>4581</v>
      </c>
      <c r="R141" s="368" t="s">
        <v>4582</v>
      </c>
      <c r="S141" s="368" t="s">
        <v>4583</v>
      </c>
      <c r="T141" s="368" t="s">
        <v>4584</v>
      </c>
      <c r="U141" s="351" t="s">
        <v>4585</v>
      </c>
      <c r="V141" s="346" t="s">
        <v>4586</v>
      </c>
      <c r="W141" s="346" t="s">
        <v>4587</v>
      </c>
      <c r="X141" t="e">
        <f t="shared" si="16"/>
        <v>#VALUE!</v>
      </c>
      <c r="CC141" s="135" t="str">
        <f t="shared" si="17"/>
        <v/>
      </c>
      <c r="CD141" s="135" t="str">
        <f t="shared" si="18"/>
        <v/>
      </c>
      <c r="CE141" s="135" t="e">
        <f t="shared" si="19"/>
        <v>#VALUE!</v>
      </c>
      <c r="CN141" s="84">
        <f t="shared" si="20"/>
        <v>0</v>
      </c>
      <c r="CO141" s="84">
        <f t="shared" si="21"/>
        <v>0</v>
      </c>
      <c r="CP141" s="84" t="e">
        <f t="shared" si="22"/>
        <v>#VALUE!</v>
      </c>
    </row>
    <row r="142" spans="1:94" ht="15" customHeight="1" x14ac:dyDescent="0.25">
      <c r="A142" s="5790" t="s">
        <v>5460</v>
      </c>
      <c r="B142" s="357" t="s">
        <v>1292</v>
      </c>
      <c r="C142" s="479" t="s">
        <v>4567</v>
      </c>
      <c r="D142" s="345" t="s">
        <v>4568</v>
      </c>
      <c r="E142" s="368" t="s">
        <v>4569</v>
      </c>
      <c r="F142" s="368" t="s">
        <v>4570</v>
      </c>
      <c r="G142" s="368" t="s">
        <v>4571</v>
      </c>
      <c r="H142" s="368" t="s">
        <v>4572</v>
      </c>
      <c r="I142" s="368" t="s">
        <v>4573</v>
      </c>
      <c r="J142" s="368" t="s">
        <v>4574</v>
      </c>
      <c r="K142" s="368" t="s">
        <v>4575</v>
      </c>
      <c r="L142" s="368" t="s">
        <v>4576</v>
      </c>
      <c r="M142" s="368" t="s">
        <v>4577</v>
      </c>
      <c r="N142" s="368" t="s">
        <v>4578</v>
      </c>
      <c r="O142" s="368" t="s">
        <v>4579</v>
      </c>
      <c r="P142" s="368" t="s">
        <v>4580</v>
      </c>
      <c r="Q142" s="368" t="s">
        <v>4581</v>
      </c>
      <c r="R142" s="368" t="s">
        <v>4582</v>
      </c>
      <c r="S142" s="368" t="s">
        <v>4583</v>
      </c>
      <c r="T142" s="368" t="s">
        <v>4584</v>
      </c>
      <c r="U142" s="351" t="s">
        <v>4585</v>
      </c>
      <c r="V142" s="346" t="s">
        <v>4586</v>
      </c>
      <c r="W142" s="346" t="s">
        <v>4587</v>
      </c>
      <c r="X142" t="e">
        <f t="shared" si="16"/>
        <v>#VALUE!</v>
      </c>
      <c r="CC142" s="135" t="str">
        <f t="shared" si="17"/>
        <v/>
      </c>
      <c r="CD142" s="135" t="str">
        <f t="shared" si="18"/>
        <v/>
      </c>
      <c r="CE142" s="135" t="e">
        <f t="shared" si="19"/>
        <v>#VALUE!</v>
      </c>
      <c r="CN142" s="84">
        <f t="shared" si="20"/>
        <v>0</v>
      </c>
      <c r="CO142" s="84">
        <f t="shared" si="21"/>
        <v>0</v>
      </c>
      <c r="CP142" s="84" t="e">
        <f t="shared" si="22"/>
        <v>#VALUE!</v>
      </c>
    </row>
    <row r="143" spans="1:94" ht="15" customHeight="1" x14ac:dyDescent="0.25">
      <c r="A143" s="5790" t="s">
        <v>5461</v>
      </c>
      <c r="B143" s="357" t="s">
        <v>1293</v>
      </c>
      <c r="C143" s="146" t="s">
        <v>4567</v>
      </c>
      <c r="D143" s="345" t="s">
        <v>4568</v>
      </c>
      <c r="E143" s="368" t="s">
        <v>4569</v>
      </c>
      <c r="F143" s="368" t="s">
        <v>4570</v>
      </c>
      <c r="G143" s="368" t="s">
        <v>4571</v>
      </c>
      <c r="H143" s="368" t="s">
        <v>4572</v>
      </c>
      <c r="I143" s="368" t="s">
        <v>4573</v>
      </c>
      <c r="J143" s="368" t="s">
        <v>4574</v>
      </c>
      <c r="K143" s="368" t="s">
        <v>4575</v>
      </c>
      <c r="L143" s="368" t="s">
        <v>4576</v>
      </c>
      <c r="M143" s="368" t="s">
        <v>4577</v>
      </c>
      <c r="N143" s="368" t="s">
        <v>4578</v>
      </c>
      <c r="O143" s="368" t="s">
        <v>4579</v>
      </c>
      <c r="P143" s="368" t="s">
        <v>4580</v>
      </c>
      <c r="Q143" s="368" t="s">
        <v>4581</v>
      </c>
      <c r="R143" s="368" t="s">
        <v>4582</v>
      </c>
      <c r="S143" s="368" t="s">
        <v>4583</v>
      </c>
      <c r="T143" s="368" t="s">
        <v>4584</v>
      </c>
      <c r="U143" s="351" t="s">
        <v>4585</v>
      </c>
      <c r="V143" s="346" t="s">
        <v>4586</v>
      </c>
      <c r="W143" s="346" t="s">
        <v>4587</v>
      </c>
      <c r="X143" t="e">
        <f t="shared" si="16"/>
        <v>#VALUE!</v>
      </c>
      <c r="CC143" s="135" t="str">
        <f t="shared" si="17"/>
        <v/>
      </c>
      <c r="CD143" s="135" t="str">
        <f t="shared" si="18"/>
        <v/>
      </c>
      <c r="CE143" s="135" t="e">
        <f t="shared" si="19"/>
        <v>#VALUE!</v>
      </c>
      <c r="CN143" s="84">
        <f t="shared" si="20"/>
        <v>0</v>
      </c>
      <c r="CO143" s="84">
        <f t="shared" si="21"/>
        <v>0</v>
      </c>
      <c r="CP143" s="84" t="e">
        <f t="shared" si="22"/>
        <v>#VALUE!</v>
      </c>
    </row>
    <row r="144" spans="1:94" ht="15" customHeight="1" x14ac:dyDescent="0.25">
      <c r="A144" s="5789" t="s">
        <v>5462</v>
      </c>
      <c r="B144" s="357" t="s">
        <v>1294</v>
      </c>
      <c r="C144" s="479" t="s">
        <v>4567</v>
      </c>
      <c r="D144" s="345" t="s">
        <v>4568</v>
      </c>
      <c r="E144" s="368" t="s">
        <v>4569</v>
      </c>
      <c r="F144" s="368" t="s">
        <v>4570</v>
      </c>
      <c r="G144" s="368" t="s">
        <v>4571</v>
      </c>
      <c r="H144" s="368" t="s">
        <v>4572</v>
      </c>
      <c r="I144" s="368" t="s">
        <v>4573</v>
      </c>
      <c r="J144" s="368" t="s">
        <v>4574</v>
      </c>
      <c r="K144" s="368" t="s">
        <v>4575</v>
      </c>
      <c r="L144" s="368" t="s">
        <v>4576</v>
      </c>
      <c r="M144" s="368" t="s">
        <v>4577</v>
      </c>
      <c r="N144" s="368" t="s">
        <v>4578</v>
      </c>
      <c r="O144" s="368" t="s">
        <v>4579</v>
      </c>
      <c r="P144" s="368" t="s">
        <v>4580</v>
      </c>
      <c r="Q144" s="368" t="s">
        <v>4581</v>
      </c>
      <c r="R144" s="368" t="s">
        <v>4582</v>
      </c>
      <c r="S144" s="368" t="s">
        <v>4583</v>
      </c>
      <c r="T144" s="368" t="s">
        <v>4584</v>
      </c>
      <c r="U144" s="351" t="s">
        <v>4585</v>
      </c>
      <c r="V144" s="346" t="s">
        <v>4586</v>
      </c>
      <c r="W144" s="346" t="s">
        <v>4587</v>
      </c>
      <c r="CC144" s="135" t="str">
        <f t="shared" si="17"/>
        <v/>
      </c>
      <c r="CD144" s="135" t="str">
        <f t="shared" si="18"/>
        <v/>
      </c>
      <c r="CE144" s="135" t="e">
        <f t="shared" si="19"/>
        <v>#VALUE!</v>
      </c>
      <c r="CN144" s="84">
        <f t="shared" si="20"/>
        <v>0</v>
      </c>
      <c r="CO144" s="84">
        <f t="shared" si="21"/>
        <v>0</v>
      </c>
      <c r="CP144" s="84" t="e">
        <f t="shared" si="22"/>
        <v>#VALUE!</v>
      </c>
    </row>
    <row r="145" spans="1:99" ht="23.25" customHeight="1" x14ac:dyDescent="0.25">
      <c r="A145" s="5789" t="s">
        <v>5463</v>
      </c>
      <c r="B145" s="1985" t="s">
        <v>1295</v>
      </c>
      <c r="C145" s="484" t="s">
        <v>4567</v>
      </c>
      <c r="D145" s="3117" t="s">
        <v>4568</v>
      </c>
      <c r="E145" s="3118" t="s">
        <v>4569</v>
      </c>
      <c r="F145" s="3118" t="s">
        <v>4570</v>
      </c>
      <c r="G145" s="371" t="s">
        <v>4571</v>
      </c>
      <c r="H145" s="371" t="s">
        <v>4572</v>
      </c>
      <c r="I145" s="371" t="s">
        <v>4573</v>
      </c>
      <c r="J145" s="371" t="s">
        <v>4574</v>
      </c>
      <c r="K145" s="371" t="s">
        <v>4575</v>
      </c>
      <c r="L145" s="371" t="s">
        <v>4576</v>
      </c>
      <c r="M145" s="371" t="s">
        <v>4577</v>
      </c>
      <c r="N145" s="371" t="s">
        <v>4578</v>
      </c>
      <c r="O145" s="371" t="s">
        <v>4579</v>
      </c>
      <c r="P145" s="371" t="s">
        <v>4580</v>
      </c>
      <c r="Q145" s="371" t="s">
        <v>4581</v>
      </c>
      <c r="R145" s="371" t="s">
        <v>4582</v>
      </c>
      <c r="S145" s="371" t="s">
        <v>4583</v>
      </c>
      <c r="T145" s="371" t="s">
        <v>4584</v>
      </c>
      <c r="U145" s="389" t="s">
        <v>4585</v>
      </c>
      <c r="V145" s="387" t="s">
        <v>4586</v>
      </c>
      <c r="W145" s="387" t="s">
        <v>4587</v>
      </c>
      <c r="CC145" s="135" t="str">
        <f>IF(AND(C145&gt;0,V145="")," * No olvide digitar Trans Masculino. (Digite CERO si no tiene).","")</f>
        <v/>
      </c>
      <c r="CD145" s="135" t="str">
        <f t="shared" si="18"/>
        <v/>
      </c>
      <c r="CE145" s="135" t="e">
        <f t="shared" si="19"/>
        <v>#VALUE!</v>
      </c>
      <c r="CN145" s="84">
        <f t="shared" si="20"/>
        <v>0</v>
      </c>
      <c r="CO145" s="84">
        <f t="shared" si="21"/>
        <v>0</v>
      </c>
      <c r="CP145" s="84" t="e">
        <f t="shared" si="22"/>
        <v>#VALUE!</v>
      </c>
    </row>
    <row r="146" spans="1:99" ht="15" customHeight="1" x14ac:dyDescent="0.25">
      <c r="B146" s="3119" t="s">
        <v>192</v>
      </c>
      <c r="C146" s="3108">
        <f t="shared" ref="C146:W146" si="23">SUM(C129:C145)</f>
        <v>0</v>
      </c>
      <c r="D146" s="3109">
        <f t="shared" si="23"/>
        <v>0</v>
      </c>
      <c r="E146" s="300">
        <f t="shared" si="23"/>
        <v>0</v>
      </c>
      <c r="F146" s="300">
        <f t="shared" si="23"/>
        <v>0</v>
      </c>
      <c r="G146" s="300">
        <f t="shared" si="23"/>
        <v>0</v>
      </c>
      <c r="H146" s="300">
        <f>SUM(H129:H145)</f>
        <v>0</v>
      </c>
      <c r="I146" s="300">
        <f t="shared" si="23"/>
        <v>0</v>
      </c>
      <c r="J146" s="300">
        <f t="shared" si="23"/>
        <v>0</v>
      </c>
      <c r="K146" s="300">
        <f t="shared" si="23"/>
        <v>0</v>
      </c>
      <c r="L146" s="300">
        <f t="shared" si="23"/>
        <v>0</v>
      </c>
      <c r="M146" s="300">
        <f t="shared" si="23"/>
        <v>0</v>
      </c>
      <c r="N146" s="300">
        <f t="shared" si="23"/>
        <v>0</v>
      </c>
      <c r="O146" s="300">
        <f t="shared" si="23"/>
        <v>0</v>
      </c>
      <c r="P146" s="300">
        <f t="shared" si="23"/>
        <v>0</v>
      </c>
      <c r="Q146" s="300">
        <f t="shared" si="23"/>
        <v>0</v>
      </c>
      <c r="R146" s="300">
        <f t="shared" si="23"/>
        <v>0</v>
      </c>
      <c r="S146" s="300">
        <f t="shared" si="23"/>
        <v>0</v>
      </c>
      <c r="T146" s="300">
        <f t="shared" si="23"/>
        <v>0</v>
      </c>
      <c r="U146" s="305">
        <f t="shared" si="23"/>
        <v>0</v>
      </c>
      <c r="V146" s="3112">
        <f t="shared" si="23"/>
        <v>0</v>
      </c>
      <c r="W146" s="3112">
        <f t="shared" si="23"/>
        <v>0</v>
      </c>
    </row>
    <row r="147" spans="1:99" s="6" customFormat="1" ht="18" customHeight="1" x14ac:dyDescent="0.2">
      <c r="B147" s="3083" t="s">
        <v>1296</v>
      </c>
      <c r="C147" s="897"/>
      <c r="D147" s="897"/>
      <c r="E147" s="897"/>
      <c r="F147" s="897"/>
      <c r="G147" s="3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</row>
    <row r="148" spans="1:99" ht="15" customHeight="1" x14ac:dyDescent="0.25">
      <c r="B148" s="6575" t="s">
        <v>27</v>
      </c>
      <c r="C148" s="6576"/>
      <c r="D148" s="6575" t="s">
        <v>192</v>
      </c>
      <c r="E148" s="6491"/>
      <c r="F148" s="6576"/>
      <c r="G148" s="6705" t="s">
        <v>101</v>
      </c>
      <c r="H148" s="6534"/>
      <c r="I148" s="6534"/>
      <c r="J148" s="6534"/>
      <c r="K148" s="6534"/>
      <c r="L148" s="6534"/>
      <c r="M148" s="6534"/>
      <c r="N148" s="6534"/>
      <c r="O148" s="6534"/>
      <c r="P148" s="6534"/>
      <c r="Q148" s="6534"/>
      <c r="R148" s="6534"/>
      <c r="S148" s="6534"/>
      <c r="T148" s="6534"/>
      <c r="U148" s="6534"/>
      <c r="V148" s="6534"/>
      <c r="W148" s="6534"/>
      <c r="X148" s="6534"/>
      <c r="Y148" s="6534"/>
      <c r="Z148" s="6534"/>
      <c r="AA148" s="6534"/>
      <c r="AB148" s="6534"/>
      <c r="AC148" s="6534"/>
      <c r="AD148" s="6534"/>
      <c r="AE148" s="6534"/>
      <c r="AF148" s="6534"/>
      <c r="AG148" s="6534"/>
      <c r="AH148" s="6534"/>
      <c r="AI148" s="6534"/>
      <c r="AJ148" s="6534"/>
      <c r="AK148" s="6534"/>
      <c r="AL148" s="6534"/>
      <c r="AM148" s="6534"/>
      <c r="AN148" s="6534"/>
      <c r="AO148" s="6534"/>
      <c r="AP148" s="6447"/>
      <c r="AQ148" s="6796" t="s">
        <v>597</v>
      </c>
      <c r="AR148" s="6777" t="s">
        <v>1297</v>
      </c>
      <c r="AS148" s="6777" t="s">
        <v>36</v>
      </c>
      <c r="AT148" s="6778" t="s">
        <v>37</v>
      </c>
      <c r="AU148" s="6799" t="s">
        <v>1298</v>
      </c>
      <c r="AV148" s="6800"/>
      <c r="AW148" s="6041" t="s">
        <v>1299</v>
      </c>
      <c r="AX148" s="6786"/>
    </row>
    <row r="149" spans="1:99" x14ac:dyDescent="0.25">
      <c r="B149" s="6827"/>
      <c r="C149" s="6331"/>
      <c r="D149" s="6750"/>
      <c r="E149" s="6749"/>
      <c r="F149" s="6828"/>
      <c r="G149" s="6704" t="s">
        <v>343</v>
      </c>
      <c r="H149" s="6451"/>
      <c r="I149" s="6704" t="s">
        <v>326</v>
      </c>
      <c r="J149" s="6451"/>
      <c r="K149" s="6704" t="s">
        <v>94</v>
      </c>
      <c r="L149" s="6451"/>
      <c r="M149" s="6704" t="s">
        <v>1203</v>
      </c>
      <c r="N149" s="6451"/>
      <c r="O149" s="6704" t="s">
        <v>1300</v>
      </c>
      <c r="P149" s="6451"/>
      <c r="Q149" s="6704" t="s">
        <v>45</v>
      </c>
      <c r="R149" s="6451"/>
      <c r="S149" s="6705" t="s">
        <v>46</v>
      </c>
      <c r="T149" s="6448"/>
      <c r="U149" s="6705" t="s">
        <v>47</v>
      </c>
      <c r="V149" s="6448"/>
      <c r="W149" s="6705" t="s">
        <v>48</v>
      </c>
      <c r="X149" s="6448"/>
      <c r="Y149" s="6705" t="s">
        <v>49</v>
      </c>
      <c r="Z149" s="6448"/>
      <c r="AA149" s="6705" t="s">
        <v>50</v>
      </c>
      <c r="AB149" s="6448"/>
      <c r="AC149" s="6705" t="s">
        <v>51</v>
      </c>
      <c r="AD149" s="6448"/>
      <c r="AE149" s="6705" t="s">
        <v>52</v>
      </c>
      <c r="AF149" s="6448"/>
      <c r="AG149" s="6705" t="s">
        <v>53</v>
      </c>
      <c r="AH149" s="6448"/>
      <c r="AI149" s="6705" t="s">
        <v>54</v>
      </c>
      <c r="AJ149" s="6448"/>
      <c r="AK149" s="6705" t="s">
        <v>55</v>
      </c>
      <c r="AL149" s="6448"/>
      <c r="AM149" s="6705" t="s">
        <v>56</v>
      </c>
      <c r="AN149" s="6448"/>
      <c r="AO149" s="6705" t="s">
        <v>57</v>
      </c>
      <c r="AP149" s="6447"/>
      <c r="AQ149" s="6034"/>
      <c r="AR149" s="6386"/>
      <c r="AS149" s="6386"/>
      <c r="AT149" s="6066"/>
      <c r="AU149" s="6801"/>
      <c r="AV149" s="6802"/>
      <c r="AW149" s="6787"/>
      <c r="AX149" s="6788"/>
    </row>
    <row r="150" spans="1:99" x14ac:dyDescent="0.25">
      <c r="B150" s="6750"/>
      <c r="C150" s="6828"/>
      <c r="D150" s="866" t="s">
        <v>79</v>
      </c>
      <c r="E150" s="490" t="s">
        <v>58</v>
      </c>
      <c r="F150" s="570" t="s">
        <v>59</v>
      </c>
      <c r="G150" s="744" t="s">
        <v>58</v>
      </c>
      <c r="H150" s="486" t="s">
        <v>59</v>
      </c>
      <c r="I150" s="744" t="s">
        <v>58</v>
      </c>
      <c r="J150" s="486" t="s">
        <v>59</v>
      </c>
      <c r="K150" s="744" t="s">
        <v>58</v>
      </c>
      <c r="L150" s="486" t="s">
        <v>59</v>
      </c>
      <c r="M150" s="744" t="s">
        <v>58</v>
      </c>
      <c r="N150" s="486" t="s">
        <v>59</v>
      </c>
      <c r="O150" s="744" t="s">
        <v>58</v>
      </c>
      <c r="P150" s="486" t="s">
        <v>59</v>
      </c>
      <c r="Q150" s="744" t="s">
        <v>58</v>
      </c>
      <c r="R150" s="486" t="s">
        <v>59</v>
      </c>
      <c r="S150" s="744" t="s">
        <v>58</v>
      </c>
      <c r="T150" s="486" t="s">
        <v>59</v>
      </c>
      <c r="U150" s="744" t="s">
        <v>58</v>
      </c>
      <c r="V150" s="486" t="s">
        <v>59</v>
      </c>
      <c r="W150" s="744" t="s">
        <v>58</v>
      </c>
      <c r="X150" s="486" t="s">
        <v>59</v>
      </c>
      <c r="Y150" s="744" t="s">
        <v>58</v>
      </c>
      <c r="Z150" s="486" t="s">
        <v>59</v>
      </c>
      <c r="AA150" s="744" t="s">
        <v>58</v>
      </c>
      <c r="AB150" s="486" t="s">
        <v>59</v>
      </c>
      <c r="AC150" s="744" t="s">
        <v>58</v>
      </c>
      <c r="AD150" s="486" t="s">
        <v>59</v>
      </c>
      <c r="AE150" s="744" t="s">
        <v>58</v>
      </c>
      <c r="AF150" s="486" t="s">
        <v>59</v>
      </c>
      <c r="AG150" s="744" t="s">
        <v>58</v>
      </c>
      <c r="AH150" s="486" t="s">
        <v>59</v>
      </c>
      <c r="AI150" s="744" t="s">
        <v>58</v>
      </c>
      <c r="AJ150" s="486" t="s">
        <v>59</v>
      </c>
      <c r="AK150" s="744" t="s">
        <v>58</v>
      </c>
      <c r="AL150" s="486" t="s">
        <v>59</v>
      </c>
      <c r="AM150" s="744" t="s">
        <v>58</v>
      </c>
      <c r="AN150" s="486" t="s">
        <v>59</v>
      </c>
      <c r="AO150" s="744" t="s">
        <v>58</v>
      </c>
      <c r="AP150" s="465" t="s">
        <v>59</v>
      </c>
      <c r="AQ150" s="6035"/>
      <c r="AR150" s="6086"/>
      <c r="AS150" s="6086"/>
      <c r="AT150" s="6067"/>
      <c r="AU150" s="3120" t="s">
        <v>1207</v>
      </c>
      <c r="AV150" s="3121" t="s">
        <v>1108</v>
      </c>
      <c r="AW150" s="2986" t="s">
        <v>1301</v>
      </c>
      <c r="AX150" s="1751" t="s">
        <v>1302</v>
      </c>
    </row>
    <row r="151" spans="1:99" x14ac:dyDescent="0.25">
      <c r="A151" s="5787" t="s">
        <v>5464</v>
      </c>
      <c r="B151" s="6826" t="s">
        <v>98</v>
      </c>
      <c r="C151" s="6636"/>
      <c r="D151" s="755" t="s">
        <v>4567</v>
      </c>
      <c r="E151" s="3122" t="s">
        <v>4568</v>
      </c>
      <c r="F151" s="764" t="s">
        <v>4569</v>
      </c>
      <c r="G151" s="653" t="s">
        <v>4570</v>
      </c>
      <c r="H151" s="652" t="s">
        <v>4571</v>
      </c>
      <c r="I151" s="653" t="s">
        <v>4572</v>
      </c>
      <c r="J151" s="652" t="s">
        <v>4573</v>
      </c>
      <c r="K151" s="653" t="s">
        <v>4574</v>
      </c>
      <c r="L151" s="655" t="s">
        <v>4575</v>
      </c>
      <c r="M151" s="653" t="s">
        <v>4576</v>
      </c>
      <c r="N151" s="655" t="s">
        <v>4577</v>
      </c>
      <c r="O151" s="653" t="s">
        <v>4578</v>
      </c>
      <c r="P151" s="655" t="s">
        <v>4579</v>
      </c>
      <c r="Q151" s="653" t="s">
        <v>4580</v>
      </c>
      <c r="R151" s="655" t="s">
        <v>4581</v>
      </c>
      <c r="S151" s="653" t="s">
        <v>4582</v>
      </c>
      <c r="T151" s="655" t="s">
        <v>4583</v>
      </c>
      <c r="U151" s="653" t="s">
        <v>4584</v>
      </c>
      <c r="V151" s="655" t="s">
        <v>4585</v>
      </c>
      <c r="W151" s="653" t="s">
        <v>4586</v>
      </c>
      <c r="X151" s="655" t="s">
        <v>4587</v>
      </c>
      <c r="Y151" s="653" t="s">
        <v>4588</v>
      </c>
      <c r="Z151" s="655" t="s">
        <v>4589</v>
      </c>
      <c r="AA151" s="653" t="s">
        <v>4590</v>
      </c>
      <c r="AB151" s="655" t="s">
        <v>4591</v>
      </c>
      <c r="AC151" s="653" t="s">
        <v>4592</v>
      </c>
      <c r="AD151" s="655" t="s">
        <v>4593</v>
      </c>
      <c r="AE151" s="653" t="s">
        <v>4594</v>
      </c>
      <c r="AF151" s="655" t="s">
        <v>4595</v>
      </c>
      <c r="AG151" s="653" t="s">
        <v>4596</v>
      </c>
      <c r="AH151" s="655" t="s">
        <v>4597</v>
      </c>
      <c r="AI151" s="653" t="s">
        <v>4598</v>
      </c>
      <c r="AJ151" s="655" t="s">
        <v>4599</v>
      </c>
      <c r="AK151" s="653" t="s">
        <v>4600</v>
      </c>
      <c r="AL151" s="655" t="s">
        <v>4601</v>
      </c>
      <c r="AM151" s="653" t="s">
        <v>4602</v>
      </c>
      <c r="AN151" s="655" t="s">
        <v>4603</v>
      </c>
      <c r="AO151" s="765" t="s">
        <v>4604</v>
      </c>
      <c r="AP151" s="766" t="s">
        <v>4605</v>
      </c>
      <c r="AQ151" s="74" t="s">
        <v>4606</v>
      </c>
      <c r="AR151" s="242" t="s">
        <v>4934</v>
      </c>
      <c r="AS151" s="242" t="s">
        <v>4935</v>
      </c>
      <c r="AT151" s="95" t="s">
        <v>4936</v>
      </c>
      <c r="AU151" s="3123" t="s">
        <v>4937</v>
      </c>
      <c r="AV151" s="3124" t="s">
        <v>5234</v>
      </c>
      <c r="AW151" s="3125" t="s">
        <v>5235</v>
      </c>
      <c r="AX151" s="3126" t="s">
        <v>5236</v>
      </c>
      <c r="AY151" t="e">
        <f t="shared" ref="AY151:AY156" si="24">CC151&amp;CD151&amp;CE151&amp;CF151&amp;CG151&amp;CH151</f>
        <v>#VALUE!</v>
      </c>
      <c r="CC151" s="135" t="str">
        <f t="shared" ref="CC151:CC161" si="25">IF(AND(D151&gt;0,AQ151="")," * No olvide digitar la variable Beneficiarios. Digite Cero si no tiene.",IF(AQ151&gt;D151," *  La variable Beneficiarios No puede ser mayor al Total Ambos Sexos.",""))</f>
        <v xml:space="preserve"> *  La variable Beneficiarios No puede ser mayor al Total Ambos Sexos.</v>
      </c>
      <c r="CD151" s="135" t="str">
        <f t="shared" ref="CD151:CD161" si="26">IF(AND(D151&gt;0,AR151="")," * No olvide digitar la variable Total de Controles. Digite Cero si no tiene.",IF(AR151&gt;D151,"  * La variable Total de Controles No puede ser mayor al Total Ambos Sexos.",""))</f>
        <v xml:space="preserve">  * La variable Total de Controles No puede ser mayor al Total Ambos Sexos.</v>
      </c>
      <c r="CE151" s="135" t="str">
        <f t="shared" ref="CE151:CE161" si="27">IF(AND(D151&gt;0,AS151="")," * No olvide digitar la variable Pueblos Originarios. Digite Cero si no tiene.",IF(AS151&gt;D151," * La variable Pueblos Originarios No puede ser mayor al Total Ambos Sexos.",""))</f>
        <v xml:space="preserve"> * La variable Pueblos Originarios No puede ser mayor al Total Ambos Sexos.</v>
      </c>
      <c r="CF151" s="135" t="str">
        <f t="shared" ref="CF151:CF161" si="28">IF(AND($D151&gt;0,AT151="")," * No olvide digitar la variable Migrantes. Digite Cero si no tiene.",IF(AT151&gt;$D151," * La variable Migrantes No puede ser mayor al Total Ambos Sexos.",""))</f>
        <v xml:space="preserve"> * La variable Migrantes No puede ser mayor al Total Ambos Sexos.</v>
      </c>
      <c r="CG151" s="135" t="e">
        <f t="shared" ref="CG151:CG161" si="29">IF(AND($D151&gt;0,AU151="",AV151="")," * No olvide digitar la variable Atenciones pacientes oncológicos. Digite Cero si no tiene.",IF(AU151+AV151&gt;$D151," * La suma de las variables Atenciones pacientes oncológicos No puede ser mayor al Total Ambos Sexos.",""))</f>
        <v>#VALUE!</v>
      </c>
      <c r="CH151" s="181"/>
      <c r="CO151" s="84">
        <f t="shared" ref="CO151:CO161" si="30">IF(AND(D151&gt;0,AQ151=""),1,IF(AQ151&gt;D151,1,0))</f>
        <v>1</v>
      </c>
      <c r="CP151" s="84">
        <f t="shared" ref="CP151:CP161" si="31">IF(AND(D151&gt;0,AR151=""),1,IF(AR151&gt;D151,1,0))</f>
        <v>1</v>
      </c>
      <c r="CQ151" s="84">
        <f t="shared" ref="CQ151:CQ161" si="32">IF(AND(D151&gt;0,AS151=""),1,IF(AS151&gt;D151,1,0))</f>
        <v>1</v>
      </c>
      <c r="CR151" s="84">
        <f t="shared" ref="CR151:CR161" si="33">IF(AND(D151&gt;0,AT151=""),1,IF(AT151&gt;D151,1,0))</f>
        <v>1</v>
      </c>
      <c r="CS151" s="182" t="e">
        <f t="shared" ref="CS151:CS161" si="34">IF(AND($D151&gt;0,AU151="",AV151=""),1,IF(AU151+AV151&gt;$D151,1,0))</f>
        <v>#VALUE!</v>
      </c>
      <c r="CT151" s="181"/>
    </row>
    <row r="152" spans="1:99" x14ac:dyDescent="0.25">
      <c r="A152" s="5787" t="s">
        <v>5465</v>
      </c>
      <c r="B152" s="6458" t="s">
        <v>65</v>
      </c>
      <c r="C152" s="3116" t="s">
        <v>1303</v>
      </c>
      <c r="D152" s="316" t="s">
        <v>4567</v>
      </c>
      <c r="E152" s="3127" t="s">
        <v>4568</v>
      </c>
      <c r="F152" s="3037" t="s">
        <v>4569</v>
      </c>
      <c r="G152" s="816" t="s">
        <v>4570</v>
      </c>
      <c r="H152" s="817" t="s">
        <v>4571</v>
      </c>
      <c r="I152" s="816" t="s">
        <v>4572</v>
      </c>
      <c r="J152" s="817" t="s">
        <v>4573</v>
      </c>
      <c r="K152" s="816" t="s">
        <v>4574</v>
      </c>
      <c r="L152" s="748" t="s">
        <v>4575</v>
      </c>
      <c r="M152" s="816" t="s">
        <v>4576</v>
      </c>
      <c r="N152" s="748" t="s">
        <v>4577</v>
      </c>
      <c r="O152" s="816" t="s">
        <v>4578</v>
      </c>
      <c r="P152" s="748" t="s">
        <v>4579</v>
      </c>
      <c r="Q152" s="816" t="s">
        <v>4580</v>
      </c>
      <c r="R152" s="748" t="s">
        <v>4581</v>
      </c>
      <c r="S152" s="816" t="s">
        <v>4582</v>
      </c>
      <c r="T152" s="748" t="s">
        <v>4583</v>
      </c>
      <c r="U152" s="816" t="s">
        <v>4584</v>
      </c>
      <c r="V152" s="748" t="s">
        <v>4585</v>
      </c>
      <c r="W152" s="816" t="s">
        <v>4586</v>
      </c>
      <c r="X152" s="748" t="s">
        <v>4587</v>
      </c>
      <c r="Y152" s="816" t="s">
        <v>4588</v>
      </c>
      <c r="Z152" s="748" t="s">
        <v>4589</v>
      </c>
      <c r="AA152" s="816" t="s">
        <v>4590</v>
      </c>
      <c r="AB152" s="748" t="s">
        <v>4591</v>
      </c>
      <c r="AC152" s="816" t="s">
        <v>4592</v>
      </c>
      <c r="AD152" s="748" t="s">
        <v>4593</v>
      </c>
      <c r="AE152" s="816" t="s">
        <v>4594</v>
      </c>
      <c r="AF152" s="748" t="s">
        <v>4595</v>
      </c>
      <c r="AG152" s="816" t="s">
        <v>4596</v>
      </c>
      <c r="AH152" s="748" t="s">
        <v>4597</v>
      </c>
      <c r="AI152" s="816" t="s">
        <v>4598</v>
      </c>
      <c r="AJ152" s="748" t="s">
        <v>4599</v>
      </c>
      <c r="AK152" s="816" t="s">
        <v>4600</v>
      </c>
      <c r="AL152" s="748" t="s">
        <v>4601</v>
      </c>
      <c r="AM152" s="816" t="s">
        <v>4602</v>
      </c>
      <c r="AN152" s="748" t="s">
        <v>4603</v>
      </c>
      <c r="AO152" s="816" t="s">
        <v>4604</v>
      </c>
      <c r="AP152" s="736" t="s">
        <v>4605</v>
      </c>
      <c r="AQ152" s="3128" t="s">
        <v>4606</v>
      </c>
      <c r="AR152" s="750" t="s">
        <v>4934</v>
      </c>
      <c r="AS152" s="750" t="s">
        <v>4935</v>
      </c>
      <c r="AT152" s="3129" t="s">
        <v>4936</v>
      </c>
      <c r="AU152" s="1726" t="s">
        <v>4937</v>
      </c>
      <c r="AV152" s="3129" t="s">
        <v>5234</v>
      </c>
      <c r="AW152" s="3130" t="s">
        <v>5235</v>
      </c>
      <c r="AX152" s="1008" t="s">
        <v>5236</v>
      </c>
      <c r="AY152" t="e">
        <f t="shared" si="24"/>
        <v>#VALUE!</v>
      </c>
      <c r="CC152" s="135" t="str">
        <f t="shared" si="25"/>
        <v xml:space="preserve"> *  La variable Beneficiarios No puede ser mayor al Total Ambos Sexos.</v>
      </c>
      <c r="CD152" s="135" t="str">
        <f t="shared" si="26"/>
        <v xml:space="preserve">  * La variable Total de Controles No puede ser mayor al Total Ambos Sexos.</v>
      </c>
      <c r="CE152" s="135" t="str">
        <f t="shared" si="27"/>
        <v xml:space="preserve"> * La variable Pueblos Originarios No puede ser mayor al Total Ambos Sexos.</v>
      </c>
      <c r="CF152" s="135" t="str">
        <f t="shared" si="28"/>
        <v xml:space="preserve"> * La variable Migrantes No puede ser mayor al Total Ambos Sexos.</v>
      </c>
      <c r="CG152" s="135" t="e">
        <f t="shared" si="29"/>
        <v>#VALUE!</v>
      </c>
      <c r="CH152" s="181"/>
      <c r="CO152" s="84">
        <f t="shared" si="30"/>
        <v>1</v>
      </c>
      <c r="CP152" s="84">
        <f t="shared" si="31"/>
        <v>1</v>
      </c>
      <c r="CQ152" s="84">
        <f t="shared" si="32"/>
        <v>1</v>
      </c>
      <c r="CR152" s="84">
        <f t="shared" si="33"/>
        <v>1</v>
      </c>
      <c r="CS152" s="182" t="e">
        <f t="shared" si="34"/>
        <v>#VALUE!</v>
      </c>
      <c r="CT152" s="181"/>
    </row>
    <row r="153" spans="1:99" x14ac:dyDescent="0.25">
      <c r="A153" s="5787" t="s">
        <v>5466</v>
      </c>
      <c r="B153" s="6119"/>
      <c r="C153" s="357" t="s">
        <v>1304</v>
      </c>
      <c r="D153" s="316" t="s">
        <v>4567</v>
      </c>
      <c r="E153" s="1885" t="s">
        <v>4568</v>
      </c>
      <c r="F153" s="3038" t="s">
        <v>4569</v>
      </c>
      <c r="G153" s="2644" t="s">
        <v>4570</v>
      </c>
      <c r="H153" s="3131" t="s">
        <v>4571</v>
      </c>
      <c r="I153" s="2644" t="s">
        <v>4572</v>
      </c>
      <c r="J153" s="3131" t="s">
        <v>4573</v>
      </c>
      <c r="K153" s="2644" t="s">
        <v>4574</v>
      </c>
      <c r="L153" s="622" t="s">
        <v>4575</v>
      </c>
      <c r="M153" s="2644" t="s">
        <v>4576</v>
      </c>
      <c r="N153" s="622" t="s">
        <v>4577</v>
      </c>
      <c r="O153" s="2644" t="s">
        <v>4578</v>
      </c>
      <c r="P153" s="622" t="s">
        <v>4579</v>
      </c>
      <c r="Q153" s="2644" t="s">
        <v>4580</v>
      </c>
      <c r="R153" s="622" t="s">
        <v>4581</v>
      </c>
      <c r="S153" s="2644" t="s">
        <v>4582</v>
      </c>
      <c r="T153" s="622" t="s">
        <v>4583</v>
      </c>
      <c r="U153" s="2644" t="s">
        <v>4584</v>
      </c>
      <c r="V153" s="622" t="s">
        <v>4585</v>
      </c>
      <c r="W153" s="2644" t="s">
        <v>4586</v>
      </c>
      <c r="X153" s="622" t="s">
        <v>4587</v>
      </c>
      <c r="Y153" s="2644" t="s">
        <v>4588</v>
      </c>
      <c r="Z153" s="622" t="s">
        <v>4589</v>
      </c>
      <c r="AA153" s="2644" t="s">
        <v>4590</v>
      </c>
      <c r="AB153" s="622" t="s">
        <v>4591</v>
      </c>
      <c r="AC153" s="2644" t="s">
        <v>4592</v>
      </c>
      <c r="AD153" s="622" t="s">
        <v>4593</v>
      </c>
      <c r="AE153" s="2644" t="s">
        <v>4594</v>
      </c>
      <c r="AF153" s="622" t="s">
        <v>4595</v>
      </c>
      <c r="AG153" s="2644" t="s">
        <v>4596</v>
      </c>
      <c r="AH153" s="622" t="s">
        <v>4597</v>
      </c>
      <c r="AI153" s="2644" t="s">
        <v>4598</v>
      </c>
      <c r="AJ153" s="622" t="s">
        <v>4599</v>
      </c>
      <c r="AK153" s="2644" t="s">
        <v>4600</v>
      </c>
      <c r="AL153" s="622" t="s">
        <v>4601</v>
      </c>
      <c r="AM153" s="2644" t="s">
        <v>4602</v>
      </c>
      <c r="AN153" s="622" t="s">
        <v>4603</v>
      </c>
      <c r="AO153" s="3132" t="s">
        <v>4604</v>
      </c>
      <c r="AP153" s="430" t="s">
        <v>4605</v>
      </c>
      <c r="AQ153" s="296" t="s">
        <v>4606</v>
      </c>
      <c r="AR153" s="531" t="s">
        <v>4934</v>
      </c>
      <c r="AS153" s="531" t="s">
        <v>4935</v>
      </c>
      <c r="AT153" s="622" t="s">
        <v>4936</v>
      </c>
      <c r="AU153" s="290" t="s">
        <v>4937</v>
      </c>
      <c r="AV153" s="622" t="s">
        <v>5234</v>
      </c>
      <c r="AW153" s="1967" t="s">
        <v>5235</v>
      </c>
      <c r="AX153" s="1968" t="s">
        <v>5236</v>
      </c>
      <c r="AY153" t="e">
        <f t="shared" si="24"/>
        <v>#VALUE!</v>
      </c>
      <c r="CC153" s="135" t="str">
        <f t="shared" si="25"/>
        <v xml:space="preserve"> *  La variable Beneficiarios No puede ser mayor al Total Ambos Sexos.</v>
      </c>
      <c r="CD153" s="135" t="str">
        <f t="shared" si="26"/>
        <v xml:space="preserve">  * La variable Total de Controles No puede ser mayor al Total Ambos Sexos.</v>
      </c>
      <c r="CE153" s="135" t="str">
        <f t="shared" si="27"/>
        <v xml:space="preserve"> * La variable Pueblos Originarios No puede ser mayor al Total Ambos Sexos.</v>
      </c>
      <c r="CF153" s="135" t="str">
        <f t="shared" si="28"/>
        <v xml:space="preserve"> * La variable Migrantes No puede ser mayor al Total Ambos Sexos.</v>
      </c>
      <c r="CG153" s="135" t="e">
        <f t="shared" si="29"/>
        <v>#VALUE!</v>
      </c>
      <c r="CH153" s="181"/>
      <c r="CO153" s="84">
        <f t="shared" si="30"/>
        <v>1</v>
      </c>
      <c r="CP153" s="84">
        <f t="shared" si="31"/>
        <v>1</v>
      </c>
      <c r="CQ153" s="84">
        <f t="shared" si="32"/>
        <v>1</v>
      </c>
      <c r="CR153" s="84">
        <f t="shared" si="33"/>
        <v>1</v>
      </c>
      <c r="CS153" s="182" t="e">
        <f t="shared" si="34"/>
        <v>#VALUE!</v>
      </c>
      <c r="CT153" s="181"/>
    </row>
    <row r="154" spans="1:99" x14ac:dyDescent="0.25">
      <c r="A154" s="5787" t="s">
        <v>5467</v>
      </c>
      <c r="B154" s="6119"/>
      <c r="C154" s="356" t="s">
        <v>1305</v>
      </c>
      <c r="D154" s="737" t="s">
        <v>4567</v>
      </c>
      <c r="E154" s="607" t="s">
        <v>4568</v>
      </c>
      <c r="F154" s="344" t="s">
        <v>4569</v>
      </c>
      <c r="G154" s="345" t="s">
        <v>4570</v>
      </c>
      <c r="H154" s="349" t="s">
        <v>4571</v>
      </c>
      <c r="I154" s="345" t="s">
        <v>4572</v>
      </c>
      <c r="J154" s="349" t="s">
        <v>4573</v>
      </c>
      <c r="K154" s="345" t="s">
        <v>4574</v>
      </c>
      <c r="L154" s="349" t="s">
        <v>4575</v>
      </c>
      <c r="M154" s="345" t="s">
        <v>4576</v>
      </c>
      <c r="N154" s="349" t="s">
        <v>4577</v>
      </c>
      <c r="O154" s="345" t="s">
        <v>4578</v>
      </c>
      <c r="P154" s="349" t="s">
        <v>4579</v>
      </c>
      <c r="Q154" s="345" t="s">
        <v>4580</v>
      </c>
      <c r="R154" s="349" t="s">
        <v>4581</v>
      </c>
      <c r="S154" s="345" t="s">
        <v>4582</v>
      </c>
      <c r="T154" s="349" t="s">
        <v>4583</v>
      </c>
      <c r="U154" s="345" t="s">
        <v>4584</v>
      </c>
      <c r="V154" s="349" t="s">
        <v>4585</v>
      </c>
      <c r="W154" s="345" t="s">
        <v>4586</v>
      </c>
      <c r="X154" s="349" t="s">
        <v>4587</v>
      </c>
      <c r="Y154" s="345" t="s">
        <v>4588</v>
      </c>
      <c r="Z154" s="349" t="s">
        <v>4589</v>
      </c>
      <c r="AA154" s="345" t="s">
        <v>4590</v>
      </c>
      <c r="AB154" s="349" t="s">
        <v>4591</v>
      </c>
      <c r="AC154" s="345" t="s">
        <v>4592</v>
      </c>
      <c r="AD154" s="349" t="s">
        <v>4593</v>
      </c>
      <c r="AE154" s="345" t="s">
        <v>4594</v>
      </c>
      <c r="AF154" s="349" t="s">
        <v>4595</v>
      </c>
      <c r="AG154" s="345" t="s">
        <v>4596</v>
      </c>
      <c r="AH154" s="349" t="s">
        <v>4597</v>
      </c>
      <c r="AI154" s="345" t="s">
        <v>4598</v>
      </c>
      <c r="AJ154" s="349" t="s">
        <v>4599</v>
      </c>
      <c r="AK154" s="345" t="s">
        <v>4600</v>
      </c>
      <c r="AL154" s="349" t="s">
        <v>4601</v>
      </c>
      <c r="AM154" s="345" t="s">
        <v>4602</v>
      </c>
      <c r="AN154" s="349" t="s">
        <v>4603</v>
      </c>
      <c r="AO154" s="350" t="s">
        <v>4604</v>
      </c>
      <c r="AP154" s="351" t="s">
        <v>4605</v>
      </c>
      <c r="AQ154" s="1299" t="s">
        <v>4606</v>
      </c>
      <c r="AR154" s="1253" t="s">
        <v>4934</v>
      </c>
      <c r="AS154" s="1253" t="s">
        <v>4935</v>
      </c>
      <c r="AT154" s="1093" t="s">
        <v>4936</v>
      </c>
      <c r="AU154" s="1089" t="s">
        <v>4937</v>
      </c>
      <c r="AV154" s="1093" t="s">
        <v>5234</v>
      </c>
      <c r="AW154" s="1967" t="s">
        <v>5235</v>
      </c>
      <c r="AX154" s="1968" t="s">
        <v>5236</v>
      </c>
      <c r="AY154" t="e">
        <f t="shared" si="24"/>
        <v>#VALUE!</v>
      </c>
      <c r="CC154" s="135" t="str">
        <f t="shared" si="25"/>
        <v xml:space="preserve"> *  La variable Beneficiarios No puede ser mayor al Total Ambos Sexos.</v>
      </c>
      <c r="CD154" s="135" t="str">
        <f t="shared" si="26"/>
        <v xml:space="preserve">  * La variable Total de Controles No puede ser mayor al Total Ambos Sexos.</v>
      </c>
      <c r="CE154" s="135" t="str">
        <f t="shared" si="27"/>
        <v xml:space="preserve"> * La variable Pueblos Originarios No puede ser mayor al Total Ambos Sexos.</v>
      </c>
      <c r="CF154" s="135" t="str">
        <f t="shared" si="28"/>
        <v xml:space="preserve"> * La variable Migrantes No puede ser mayor al Total Ambos Sexos.</v>
      </c>
      <c r="CG154" s="135" t="e">
        <f t="shared" si="29"/>
        <v>#VALUE!</v>
      </c>
      <c r="CH154" s="181"/>
      <c r="CO154" s="84">
        <f t="shared" si="30"/>
        <v>1</v>
      </c>
      <c r="CP154" s="84">
        <f t="shared" si="31"/>
        <v>1</v>
      </c>
      <c r="CQ154" s="84">
        <f t="shared" si="32"/>
        <v>1</v>
      </c>
      <c r="CR154" s="84">
        <f t="shared" si="33"/>
        <v>1</v>
      </c>
      <c r="CS154" s="182" t="e">
        <f t="shared" si="34"/>
        <v>#VALUE!</v>
      </c>
      <c r="CT154" s="181"/>
    </row>
    <row r="155" spans="1:99" x14ac:dyDescent="0.25">
      <c r="A155" s="5787" t="s">
        <v>5468</v>
      </c>
      <c r="B155" s="6739"/>
      <c r="C155" s="517" t="s">
        <v>1306</v>
      </c>
      <c r="D155" s="1058" t="s">
        <v>4567</v>
      </c>
      <c r="E155" s="303" t="s">
        <v>4568</v>
      </c>
      <c r="F155" s="873" t="s">
        <v>4569</v>
      </c>
      <c r="G155" s="620" t="s">
        <v>4570</v>
      </c>
      <c r="H155" s="621" t="s">
        <v>4571</v>
      </c>
      <c r="I155" s="620" t="s">
        <v>4572</v>
      </c>
      <c r="J155" s="621" t="s">
        <v>4573</v>
      </c>
      <c r="K155" s="620" t="s">
        <v>4574</v>
      </c>
      <c r="L155" s="621" t="s">
        <v>4575</v>
      </c>
      <c r="M155" s="620" t="s">
        <v>4576</v>
      </c>
      <c r="N155" s="621" t="s">
        <v>4577</v>
      </c>
      <c r="O155" s="620" t="s">
        <v>4578</v>
      </c>
      <c r="P155" s="621" t="s">
        <v>4579</v>
      </c>
      <c r="Q155" s="379" t="s">
        <v>4580</v>
      </c>
      <c r="R155" s="388" t="s">
        <v>4581</v>
      </c>
      <c r="S155" s="379" t="s">
        <v>4582</v>
      </c>
      <c r="T155" s="388" t="s">
        <v>4583</v>
      </c>
      <c r="U155" s="379" t="s">
        <v>4584</v>
      </c>
      <c r="V155" s="388" t="s">
        <v>4585</v>
      </c>
      <c r="W155" s="379" t="s">
        <v>4586</v>
      </c>
      <c r="X155" s="388" t="s">
        <v>4587</v>
      </c>
      <c r="Y155" s="379" t="s">
        <v>4588</v>
      </c>
      <c r="Z155" s="388" t="s">
        <v>4589</v>
      </c>
      <c r="AA155" s="379" t="s">
        <v>4590</v>
      </c>
      <c r="AB155" s="388" t="s">
        <v>4591</v>
      </c>
      <c r="AC155" s="379" t="s">
        <v>4592</v>
      </c>
      <c r="AD155" s="387" t="s">
        <v>4593</v>
      </c>
      <c r="AE155" s="379" t="s">
        <v>4594</v>
      </c>
      <c r="AF155" s="388" t="s">
        <v>4595</v>
      </c>
      <c r="AG155" s="620" t="s">
        <v>4596</v>
      </c>
      <c r="AH155" s="621" t="s">
        <v>4597</v>
      </c>
      <c r="AI155" s="620" t="s">
        <v>4598</v>
      </c>
      <c r="AJ155" s="621" t="s">
        <v>4599</v>
      </c>
      <c r="AK155" s="620" t="s">
        <v>4600</v>
      </c>
      <c r="AL155" s="621" t="s">
        <v>4601</v>
      </c>
      <c r="AM155" s="620" t="s">
        <v>4602</v>
      </c>
      <c r="AN155" s="621" t="s">
        <v>4603</v>
      </c>
      <c r="AO155" s="620" t="s">
        <v>4604</v>
      </c>
      <c r="AP155" s="3133" t="s">
        <v>4605</v>
      </c>
      <c r="AQ155" s="1303" t="s">
        <v>4606</v>
      </c>
      <c r="AR155" s="1258" t="s">
        <v>4934</v>
      </c>
      <c r="AS155" s="1258" t="s">
        <v>4935</v>
      </c>
      <c r="AT155" s="3134" t="s">
        <v>4936</v>
      </c>
      <c r="AU155" s="1114" t="s">
        <v>4937</v>
      </c>
      <c r="AV155" s="3134" t="s">
        <v>5234</v>
      </c>
      <c r="AW155" s="1871" t="s">
        <v>5235</v>
      </c>
      <c r="AX155" s="1987" t="s">
        <v>5236</v>
      </c>
      <c r="AY155" t="e">
        <f t="shared" si="24"/>
        <v>#VALUE!</v>
      </c>
      <c r="CC155" s="135" t="str">
        <f t="shared" si="25"/>
        <v xml:space="preserve"> *  La variable Beneficiarios No puede ser mayor al Total Ambos Sexos.</v>
      </c>
      <c r="CD155" s="135" t="str">
        <f t="shared" si="26"/>
        <v xml:space="preserve">  * La variable Total de Controles No puede ser mayor al Total Ambos Sexos.</v>
      </c>
      <c r="CE155" s="135" t="str">
        <f t="shared" si="27"/>
        <v xml:space="preserve"> * La variable Pueblos Originarios No puede ser mayor al Total Ambos Sexos.</v>
      </c>
      <c r="CF155" s="135" t="str">
        <f t="shared" si="28"/>
        <v xml:space="preserve"> * La variable Migrantes No puede ser mayor al Total Ambos Sexos.</v>
      </c>
      <c r="CG155" s="135" t="e">
        <f t="shared" si="29"/>
        <v>#VALUE!</v>
      </c>
      <c r="CH155" s="181"/>
      <c r="CO155" s="84">
        <f t="shared" si="30"/>
        <v>1</v>
      </c>
      <c r="CP155" s="84">
        <f t="shared" si="31"/>
        <v>1</v>
      </c>
      <c r="CQ155" s="84">
        <f t="shared" si="32"/>
        <v>1</v>
      </c>
      <c r="CR155" s="84">
        <f t="shared" si="33"/>
        <v>1</v>
      </c>
      <c r="CS155" s="182" t="e">
        <f t="shared" si="34"/>
        <v>#VALUE!</v>
      </c>
      <c r="CT155" s="181"/>
    </row>
    <row r="156" spans="1:99" x14ac:dyDescent="0.25">
      <c r="A156" s="5787" t="s">
        <v>5469</v>
      </c>
      <c r="B156" s="6831" t="s">
        <v>105</v>
      </c>
      <c r="C156" s="6832"/>
      <c r="D156" s="302" t="s">
        <v>4567</v>
      </c>
      <c r="E156" s="615" t="s">
        <v>4568</v>
      </c>
      <c r="F156" s="344" t="s">
        <v>4569</v>
      </c>
      <c r="G156" s="290" t="s">
        <v>4570</v>
      </c>
      <c r="H156" s="107" t="s">
        <v>4571</v>
      </c>
      <c r="I156" s="290" t="s">
        <v>4572</v>
      </c>
      <c r="J156" s="107" t="s">
        <v>4573</v>
      </c>
      <c r="K156" s="290" t="s">
        <v>4574</v>
      </c>
      <c r="L156" s="622" t="s">
        <v>4575</v>
      </c>
      <c r="M156" s="290" t="s">
        <v>4576</v>
      </c>
      <c r="N156" s="622" t="s">
        <v>4577</v>
      </c>
      <c r="O156" s="290" t="s">
        <v>4578</v>
      </c>
      <c r="P156" s="622" t="s">
        <v>4579</v>
      </c>
      <c r="Q156" s="290" t="s">
        <v>4580</v>
      </c>
      <c r="R156" s="622" t="s">
        <v>4581</v>
      </c>
      <c r="S156" s="290" t="s">
        <v>4582</v>
      </c>
      <c r="T156" s="622" t="s">
        <v>4583</v>
      </c>
      <c r="U156" s="290" t="s">
        <v>4584</v>
      </c>
      <c r="V156" s="622" t="s">
        <v>4585</v>
      </c>
      <c r="W156" s="290" t="s">
        <v>4586</v>
      </c>
      <c r="X156" s="622" t="s">
        <v>4587</v>
      </c>
      <c r="Y156" s="290" t="s">
        <v>4588</v>
      </c>
      <c r="Z156" s="622" t="s">
        <v>4589</v>
      </c>
      <c r="AA156" s="290" t="s">
        <v>4590</v>
      </c>
      <c r="AB156" s="622" t="s">
        <v>4591</v>
      </c>
      <c r="AC156" s="290" t="s">
        <v>4592</v>
      </c>
      <c r="AD156" s="622" t="s">
        <v>4593</v>
      </c>
      <c r="AE156" s="290" t="s">
        <v>4594</v>
      </c>
      <c r="AF156" s="622" t="s">
        <v>4595</v>
      </c>
      <c r="AG156" s="290" t="s">
        <v>4596</v>
      </c>
      <c r="AH156" s="622" t="s">
        <v>4597</v>
      </c>
      <c r="AI156" s="290" t="s">
        <v>4598</v>
      </c>
      <c r="AJ156" s="622" t="s">
        <v>4599</v>
      </c>
      <c r="AK156" s="290" t="s">
        <v>4600</v>
      </c>
      <c r="AL156" s="107" t="s">
        <v>4601</v>
      </c>
      <c r="AM156" s="290" t="s">
        <v>4602</v>
      </c>
      <c r="AN156" s="107" t="s">
        <v>4603</v>
      </c>
      <c r="AO156" s="245" t="s">
        <v>4604</v>
      </c>
      <c r="AP156" s="430" t="s">
        <v>4605</v>
      </c>
      <c r="AQ156" s="296" t="s">
        <v>4606</v>
      </c>
      <c r="AR156" s="531" t="s">
        <v>4934</v>
      </c>
      <c r="AS156" s="531" t="s">
        <v>4935</v>
      </c>
      <c r="AT156" s="622" t="s">
        <v>4936</v>
      </c>
      <c r="AU156" s="290" t="s">
        <v>4937</v>
      </c>
      <c r="AV156" s="622" t="s">
        <v>5234</v>
      </c>
      <c r="AW156" s="3130" t="s">
        <v>5235</v>
      </c>
      <c r="AX156" s="1008" t="s">
        <v>5236</v>
      </c>
      <c r="AY156" t="e">
        <f t="shared" si="24"/>
        <v>#VALUE!</v>
      </c>
      <c r="CC156" s="135" t="str">
        <f t="shared" si="25"/>
        <v xml:space="preserve"> *  La variable Beneficiarios No puede ser mayor al Total Ambos Sexos.</v>
      </c>
      <c r="CD156" s="135" t="str">
        <f t="shared" si="26"/>
        <v xml:space="preserve">  * La variable Total de Controles No puede ser mayor al Total Ambos Sexos.</v>
      </c>
      <c r="CE156" s="135" t="str">
        <f t="shared" si="27"/>
        <v xml:space="preserve"> * La variable Pueblos Originarios No puede ser mayor al Total Ambos Sexos.</v>
      </c>
      <c r="CF156" s="135" t="str">
        <f t="shared" si="28"/>
        <v xml:space="preserve"> * La variable Migrantes No puede ser mayor al Total Ambos Sexos.</v>
      </c>
      <c r="CG156" s="135" t="e">
        <f t="shared" si="29"/>
        <v>#VALUE!</v>
      </c>
      <c r="CH156" s="181"/>
      <c r="CO156" s="84">
        <f t="shared" si="30"/>
        <v>1</v>
      </c>
      <c r="CP156" s="84">
        <f t="shared" si="31"/>
        <v>1</v>
      </c>
      <c r="CQ156" s="84">
        <f t="shared" si="32"/>
        <v>1</v>
      </c>
      <c r="CR156" s="84">
        <f t="shared" si="33"/>
        <v>1</v>
      </c>
      <c r="CS156" s="182" t="e">
        <f t="shared" si="34"/>
        <v>#VALUE!</v>
      </c>
      <c r="CT156" s="181"/>
    </row>
    <row r="157" spans="1:99" x14ac:dyDescent="0.25">
      <c r="A157" s="5787" t="s">
        <v>5470</v>
      </c>
      <c r="B157" s="6833" t="s">
        <v>1307</v>
      </c>
      <c r="C157" s="6834"/>
      <c r="D157" s="341" t="s">
        <v>4567</v>
      </c>
      <c r="E157" s="607" t="s">
        <v>4568</v>
      </c>
      <c r="F157" s="344" t="s">
        <v>4569</v>
      </c>
      <c r="G157" s="345" t="s">
        <v>4570</v>
      </c>
      <c r="H157" s="346" t="s">
        <v>4571</v>
      </c>
      <c r="I157" s="345" t="s">
        <v>4572</v>
      </c>
      <c r="J157" s="346" t="s">
        <v>4573</v>
      </c>
      <c r="K157" s="345" t="s">
        <v>4574</v>
      </c>
      <c r="L157" s="349" t="s">
        <v>4575</v>
      </c>
      <c r="M157" s="345" t="s">
        <v>4576</v>
      </c>
      <c r="N157" s="349" t="s">
        <v>4577</v>
      </c>
      <c r="O157" s="345" t="s">
        <v>4578</v>
      </c>
      <c r="P157" s="349" t="s">
        <v>4579</v>
      </c>
      <c r="Q157" s="345" t="s">
        <v>4580</v>
      </c>
      <c r="R157" s="349" t="s">
        <v>4581</v>
      </c>
      <c r="S157" s="345" t="s">
        <v>4582</v>
      </c>
      <c r="T157" s="349" t="s">
        <v>4583</v>
      </c>
      <c r="U157" s="345" t="s">
        <v>4584</v>
      </c>
      <c r="V157" s="349" t="s">
        <v>4585</v>
      </c>
      <c r="W157" s="345" t="s">
        <v>4586</v>
      </c>
      <c r="X157" s="349" t="s">
        <v>4587</v>
      </c>
      <c r="Y157" s="345" t="s">
        <v>4588</v>
      </c>
      <c r="Z157" s="349" t="s">
        <v>4589</v>
      </c>
      <c r="AA157" s="345" t="s">
        <v>4590</v>
      </c>
      <c r="AB157" s="349" t="s">
        <v>4591</v>
      </c>
      <c r="AC157" s="345" t="s">
        <v>4592</v>
      </c>
      <c r="AD157" s="349" t="s">
        <v>4593</v>
      </c>
      <c r="AE157" s="345" t="s">
        <v>4594</v>
      </c>
      <c r="AF157" s="346" t="s">
        <v>4595</v>
      </c>
      <c r="AG157" s="345" t="s">
        <v>4596</v>
      </c>
      <c r="AH157" s="346" t="s">
        <v>4597</v>
      </c>
      <c r="AI157" s="345" t="s">
        <v>4598</v>
      </c>
      <c r="AJ157" s="346" t="s">
        <v>4599</v>
      </c>
      <c r="AK157" s="345" t="s">
        <v>4600</v>
      </c>
      <c r="AL157" s="346" t="s">
        <v>4601</v>
      </c>
      <c r="AM157" s="345" t="s">
        <v>4602</v>
      </c>
      <c r="AN157" s="346" t="s">
        <v>4603</v>
      </c>
      <c r="AO157" s="350" t="s">
        <v>4604</v>
      </c>
      <c r="AP157" s="351" t="s">
        <v>4605</v>
      </c>
      <c r="AQ157" s="1299" t="s">
        <v>4606</v>
      </c>
      <c r="AR157" s="1253" t="s">
        <v>4934</v>
      </c>
      <c r="AS157" s="1253" t="s">
        <v>4935</v>
      </c>
      <c r="AT157" s="1093" t="s">
        <v>4936</v>
      </c>
      <c r="AU157" s="1089" t="s">
        <v>4937</v>
      </c>
      <c r="AV157" s="1093" t="s">
        <v>5234</v>
      </c>
      <c r="AW157" s="345" t="s">
        <v>5235</v>
      </c>
      <c r="AX157" s="349" t="s">
        <v>5236</v>
      </c>
      <c r="AY157" t="e">
        <f>CC157&amp;CD157&amp;CE157&amp;CF157&amp;CG157&amp;CH157&amp;CI157</f>
        <v>#VALUE!</v>
      </c>
      <c r="CC157" s="135" t="str">
        <f t="shared" si="25"/>
        <v xml:space="preserve"> *  La variable Beneficiarios No puede ser mayor al Total Ambos Sexos.</v>
      </c>
      <c r="CD157" s="135" t="str">
        <f t="shared" si="26"/>
        <v xml:space="preserve">  * La variable Total de Controles No puede ser mayor al Total Ambos Sexos.</v>
      </c>
      <c r="CE157" s="135" t="str">
        <f t="shared" si="27"/>
        <v xml:space="preserve"> * La variable Pueblos Originarios No puede ser mayor al Total Ambos Sexos.</v>
      </c>
      <c r="CF157" s="135" t="str">
        <f t="shared" si="28"/>
        <v xml:space="preserve"> * La variable Migrantes No puede ser mayor al Total Ambos Sexos.</v>
      </c>
      <c r="CG157" s="135" t="e">
        <f t="shared" si="29"/>
        <v>#VALUE!</v>
      </c>
      <c r="CH157" s="135" t="e">
        <f>IF(AND(O157+P157+Q157+R157+S157+T157&gt;0,AW157="")," * No olvide digitar la variable Atenciones pacientes PACTOS 18 a 29 años. Digite Cero si no tiene.",IF(AW157&gt;O157+P157+Q157+R157+S157+T157," * La variable Atenciones pacientes PACTOS 18 a 29 años No puede ser mayor la sumatoria de los grupos de edad de 18 a 29 años.",""))</f>
        <v>#VALUE!</v>
      </c>
      <c r="CI157" s="135" t="e">
        <f>IF(AND(U157+V157+W157+X157+Y157+Z157+AA157+AB157+AC157+AD157+AE157+AF157+AG157+AH157+AI157+AJ157+AK157+AL157+AM157+AN157+AO157+AP157&gt;0,AX157="")," * No olvide digitar la variable Atenciones pacientes PACTOS 30 años y más. Digite Cero si no tiene.",IF(AX157&gt;U157+V157+W157+X157+Y157+Z157+AA157+AB157+AC157+AD157+AE157+AF157+AG157+AH157+AI157+AJ157+AK157+AL157+AM157+AN157+AO157+AP157," * La variable Atenciones pacientes PACTOS 30 años y más No puede ser mayor la sumatoria de los grupos de edad de 30 y más años.",""))</f>
        <v>#VALUE!</v>
      </c>
      <c r="CO157" s="84">
        <f t="shared" si="30"/>
        <v>1</v>
      </c>
      <c r="CP157" s="84">
        <f t="shared" si="31"/>
        <v>1</v>
      </c>
      <c r="CQ157" s="84">
        <f t="shared" si="32"/>
        <v>1</v>
      </c>
      <c r="CR157" s="84">
        <f t="shared" si="33"/>
        <v>1</v>
      </c>
      <c r="CS157" s="182" t="e">
        <f t="shared" si="34"/>
        <v>#VALUE!</v>
      </c>
      <c r="CT157" s="182" t="e">
        <f>IF(AND(O157+P157+Q157+R157+S157+T157&gt;0,AW157=""),1,IF(AW157&gt;O157+P157+Q157+R157+S157+T157,1,0))</f>
        <v>#VALUE!</v>
      </c>
      <c r="CU157" s="182" t="e">
        <f>IF(AND(U157+V157+W157+X157+Y157+Z157+AA157+AB157+AC157+AD157+AE157+AF157+AG157+AH157+AI157+AJ157+AK157+AL157+AM157+AN157+AO157+AP157&gt;0,AX157=""),1,IF(AX157&gt;U157+V157+W157+X157+Y157+Z157+AA157+AB157+AC157+AD157+AE157+AF157+AG157+AH157+AI157+AJ157+AK157+AL157+AM157+AN157+AO157+AP157,1,0))</f>
        <v>#VALUE!</v>
      </c>
    </row>
    <row r="158" spans="1:99" x14ac:dyDescent="0.25">
      <c r="A158" s="5787" t="s">
        <v>5471</v>
      </c>
      <c r="B158" s="6835" t="s">
        <v>504</v>
      </c>
      <c r="C158" s="6836"/>
      <c r="D158" s="3135" t="s">
        <v>4567</v>
      </c>
      <c r="E158" s="607" t="s">
        <v>4568</v>
      </c>
      <c r="F158" s="344" t="s">
        <v>4569</v>
      </c>
      <c r="G158" s="345" t="s">
        <v>4570</v>
      </c>
      <c r="H158" s="346" t="s">
        <v>4571</v>
      </c>
      <c r="I158" s="345" t="s">
        <v>4572</v>
      </c>
      <c r="J158" s="346" t="s">
        <v>4573</v>
      </c>
      <c r="K158" s="345" t="s">
        <v>4574</v>
      </c>
      <c r="L158" s="349" t="s">
        <v>4575</v>
      </c>
      <c r="M158" s="345" t="s">
        <v>4576</v>
      </c>
      <c r="N158" s="349" t="s">
        <v>4577</v>
      </c>
      <c r="O158" s="345" t="s">
        <v>4578</v>
      </c>
      <c r="P158" s="349" t="s">
        <v>4579</v>
      </c>
      <c r="Q158" s="345" t="s">
        <v>4580</v>
      </c>
      <c r="R158" s="349" t="s">
        <v>4581</v>
      </c>
      <c r="S158" s="345" t="s">
        <v>4582</v>
      </c>
      <c r="T158" s="349" t="s">
        <v>4583</v>
      </c>
      <c r="U158" s="345" t="s">
        <v>4584</v>
      </c>
      <c r="V158" s="349" t="s">
        <v>4585</v>
      </c>
      <c r="W158" s="345" t="s">
        <v>4586</v>
      </c>
      <c r="X158" s="349" t="s">
        <v>4587</v>
      </c>
      <c r="Y158" s="345" t="s">
        <v>4588</v>
      </c>
      <c r="Z158" s="349" t="s">
        <v>4589</v>
      </c>
      <c r="AA158" s="345" t="s">
        <v>4590</v>
      </c>
      <c r="AB158" s="349" t="s">
        <v>4591</v>
      </c>
      <c r="AC158" s="345" t="s">
        <v>4592</v>
      </c>
      <c r="AD158" s="349" t="s">
        <v>4593</v>
      </c>
      <c r="AE158" s="345" t="s">
        <v>4594</v>
      </c>
      <c r="AF158" s="346" t="s">
        <v>4595</v>
      </c>
      <c r="AG158" s="345" t="s">
        <v>4596</v>
      </c>
      <c r="AH158" s="346" t="s">
        <v>4597</v>
      </c>
      <c r="AI158" s="345" t="s">
        <v>4598</v>
      </c>
      <c r="AJ158" s="346" t="s">
        <v>4599</v>
      </c>
      <c r="AK158" s="345" t="s">
        <v>4600</v>
      </c>
      <c r="AL158" s="346" t="s">
        <v>4601</v>
      </c>
      <c r="AM158" s="345" t="s">
        <v>4602</v>
      </c>
      <c r="AN158" s="346" t="s">
        <v>4603</v>
      </c>
      <c r="AO158" s="350" t="s">
        <v>4604</v>
      </c>
      <c r="AP158" s="351" t="s">
        <v>4605</v>
      </c>
      <c r="AQ158" s="1299" t="s">
        <v>4606</v>
      </c>
      <c r="AR158" s="1253" t="s">
        <v>4934</v>
      </c>
      <c r="AS158" s="1253" t="s">
        <v>4935</v>
      </c>
      <c r="AT158" s="1093" t="s">
        <v>4936</v>
      </c>
      <c r="AU158" s="1089" t="s">
        <v>4937</v>
      </c>
      <c r="AV158" s="1093" t="s">
        <v>5234</v>
      </c>
      <c r="AW158" s="1967" t="s">
        <v>5235</v>
      </c>
      <c r="AX158" s="1968" t="s">
        <v>5236</v>
      </c>
      <c r="AY158" t="e">
        <f>CC158&amp;CD158&amp;CE158&amp;CF158&amp;CG158&amp;CH158</f>
        <v>#VALUE!</v>
      </c>
      <c r="CC158" s="135" t="str">
        <f t="shared" si="25"/>
        <v xml:space="preserve"> *  La variable Beneficiarios No puede ser mayor al Total Ambos Sexos.</v>
      </c>
      <c r="CD158" s="135" t="str">
        <f t="shared" si="26"/>
        <v xml:space="preserve">  * La variable Total de Controles No puede ser mayor al Total Ambos Sexos.</v>
      </c>
      <c r="CE158" s="135" t="str">
        <f t="shared" si="27"/>
        <v xml:space="preserve"> * La variable Pueblos Originarios No puede ser mayor al Total Ambos Sexos.</v>
      </c>
      <c r="CF158" s="135" t="str">
        <f t="shared" si="28"/>
        <v xml:space="preserve"> * La variable Migrantes No puede ser mayor al Total Ambos Sexos.</v>
      </c>
      <c r="CG158" s="135" t="e">
        <f t="shared" si="29"/>
        <v>#VALUE!</v>
      </c>
      <c r="CH158" s="181"/>
      <c r="CO158" s="84">
        <f t="shared" si="30"/>
        <v>1</v>
      </c>
      <c r="CP158" s="84">
        <f t="shared" si="31"/>
        <v>1</v>
      </c>
      <c r="CQ158" s="84">
        <f t="shared" si="32"/>
        <v>1</v>
      </c>
      <c r="CR158" s="84">
        <f t="shared" si="33"/>
        <v>1</v>
      </c>
      <c r="CS158" s="182" t="e">
        <f t="shared" si="34"/>
        <v>#VALUE!</v>
      </c>
      <c r="CT158" s="181"/>
    </row>
    <row r="159" spans="1:99" x14ac:dyDescent="0.25">
      <c r="A159" s="5787" t="s">
        <v>5472</v>
      </c>
      <c r="B159" s="6833" t="s">
        <v>1308</v>
      </c>
      <c r="C159" s="6834"/>
      <c r="D159" s="341" t="s">
        <v>4567</v>
      </c>
      <c r="E159" s="607" t="s">
        <v>4568</v>
      </c>
      <c r="F159" s="344" t="s">
        <v>4569</v>
      </c>
      <c r="G159" s="345" t="s">
        <v>4570</v>
      </c>
      <c r="H159" s="346" t="s">
        <v>4571</v>
      </c>
      <c r="I159" s="345" t="s">
        <v>4572</v>
      </c>
      <c r="J159" s="346" t="s">
        <v>4573</v>
      </c>
      <c r="K159" s="345" t="s">
        <v>4574</v>
      </c>
      <c r="L159" s="349" t="s">
        <v>4575</v>
      </c>
      <c r="M159" s="345" t="s">
        <v>4576</v>
      </c>
      <c r="N159" s="349" t="s">
        <v>4577</v>
      </c>
      <c r="O159" s="345" t="s">
        <v>4578</v>
      </c>
      <c r="P159" s="349" t="s">
        <v>4579</v>
      </c>
      <c r="Q159" s="345" t="s">
        <v>4580</v>
      </c>
      <c r="R159" s="349" t="s">
        <v>4581</v>
      </c>
      <c r="S159" s="345" t="s">
        <v>4582</v>
      </c>
      <c r="T159" s="349" t="s">
        <v>4583</v>
      </c>
      <c r="U159" s="345" t="s">
        <v>4584</v>
      </c>
      <c r="V159" s="349" t="s">
        <v>4585</v>
      </c>
      <c r="W159" s="345" t="s">
        <v>4586</v>
      </c>
      <c r="X159" s="349" t="s">
        <v>4587</v>
      </c>
      <c r="Y159" s="345" t="s">
        <v>4588</v>
      </c>
      <c r="Z159" s="349" t="s">
        <v>4589</v>
      </c>
      <c r="AA159" s="345" t="s">
        <v>4590</v>
      </c>
      <c r="AB159" s="349" t="s">
        <v>4591</v>
      </c>
      <c r="AC159" s="345" t="s">
        <v>4592</v>
      </c>
      <c r="AD159" s="349" t="s">
        <v>4593</v>
      </c>
      <c r="AE159" s="345" t="s">
        <v>4594</v>
      </c>
      <c r="AF159" s="349" t="s">
        <v>4595</v>
      </c>
      <c r="AG159" s="345" t="s">
        <v>4596</v>
      </c>
      <c r="AH159" s="349" t="s">
        <v>4597</v>
      </c>
      <c r="AI159" s="345" t="s">
        <v>4598</v>
      </c>
      <c r="AJ159" s="349" t="s">
        <v>4599</v>
      </c>
      <c r="AK159" s="345" t="s">
        <v>4600</v>
      </c>
      <c r="AL159" s="346" t="s">
        <v>4601</v>
      </c>
      <c r="AM159" s="345" t="s">
        <v>4602</v>
      </c>
      <c r="AN159" s="346" t="s">
        <v>4603</v>
      </c>
      <c r="AO159" s="350" t="s">
        <v>4604</v>
      </c>
      <c r="AP159" s="351" t="s">
        <v>4605</v>
      </c>
      <c r="AQ159" s="1299" t="s">
        <v>4606</v>
      </c>
      <c r="AR159" s="1253" t="s">
        <v>4934</v>
      </c>
      <c r="AS159" s="1253" t="s">
        <v>4935</v>
      </c>
      <c r="AT159" s="1093" t="s">
        <v>4936</v>
      </c>
      <c r="AU159" s="1089" t="s">
        <v>4937</v>
      </c>
      <c r="AV159" s="1093" t="s">
        <v>5234</v>
      </c>
      <c r="AW159" s="345" t="s">
        <v>5235</v>
      </c>
      <c r="AX159" s="349" t="s">
        <v>5236</v>
      </c>
      <c r="AY159" t="e">
        <f>CC159&amp;CD159&amp;CE159&amp;CF159&amp;CG159&amp;CH159&amp;CI159</f>
        <v>#VALUE!</v>
      </c>
      <c r="CC159" s="135" t="str">
        <f t="shared" si="25"/>
        <v xml:space="preserve"> *  La variable Beneficiarios No puede ser mayor al Total Ambos Sexos.</v>
      </c>
      <c r="CD159" s="135" t="str">
        <f t="shared" si="26"/>
        <v xml:space="preserve">  * La variable Total de Controles No puede ser mayor al Total Ambos Sexos.</v>
      </c>
      <c r="CE159" s="135" t="str">
        <f t="shared" si="27"/>
        <v xml:space="preserve"> * La variable Pueblos Originarios No puede ser mayor al Total Ambos Sexos.</v>
      </c>
      <c r="CF159" s="135" t="str">
        <f t="shared" si="28"/>
        <v xml:space="preserve"> * La variable Migrantes No puede ser mayor al Total Ambos Sexos.</v>
      </c>
      <c r="CG159" s="135" t="e">
        <f t="shared" si="29"/>
        <v>#VALUE!</v>
      </c>
      <c r="CH159" s="135" t="e">
        <f>IF(AND(O159+P159+Q159+R159+S159+T159&gt;0,AW159="")," * No olvide digitar la variable Atenciones pacientes PACTOS 18 a 29 años. Digite Cero si no tiene.",IF(AW159&gt;O159+P159+Q159+R159+S159+T159," * La variable Atenciones pacientes PACTOS 18 a 29 años No puede ser mayor la sumatoria de los grupos de edad de 18 a 29 años.",""))</f>
        <v>#VALUE!</v>
      </c>
      <c r="CI159" s="135" t="e">
        <f>IF(AND(U159+V159+W159+X159+Y159+Z159+AA159+AB159+AC159+AD159+AE159+AF159+AG159+AH159+AI159+AJ159+AK159+AL159+AM159+AN159+AO159+AP159&gt;0,AX159="")," * No olvide digitar la variable Atenciones pacientes PACTOS 30 años y más. Digite Cero si no tiene.",IF(AX159&gt;U159+V159+W159+X159+Y159+Z159+AA159+AB159+AC159+AD159+AE159+AF159+AG159+AH159+AI159+AJ159+AK159+AL159+AM159+AN159+AO159+AP159," * La variable Atenciones pacientes PACTOS 30 años y más No puede ser mayor la sumatoria de los grupos de edad de 30 y más años.",""))</f>
        <v>#VALUE!</v>
      </c>
      <c r="CO159" s="84">
        <f t="shared" si="30"/>
        <v>1</v>
      </c>
      <c r="CP159" s="84">
        <f t="shared" si="31"/>
        <v>1</v>
      </c>
      <c r="CQ159" s="84">
        <f t="shared" si="32"/>
        <v>1</v>
      </c>
      <c r="CR159" s="84">
        <f t="shared" si="33"/>
        <v>1</v>
      </c>
      <c r="CS159" s="182" t="e">
        <f t="shared" si="34"/>
        <v>#VALUE!</v>
      </c>
      <c r="CT159" s="182" t="e">
        <f t="shared" ref="CT159:CT161" si="35">IF(AND(O159+P159+Q159+R159+S159+T159&gt;0,AW159=""),1,IF(AW159&gt;O159+P159+Q159+R159+S159+T159,1,0))</f>
        <v>#VALUE!</v>
      </c>
      <c r="CU159" s="182" t="e">
        <f t="shared" ref="CU159:CU161" si="36">IF(AND(U159+V159+W159+X159+Y159+Z159+AA159+AB159+AC159+AD159+AE159+AF159+AG159+AH159+AI159+AJ159+AK159+AL159+AM159+AN159+AO159+AP159&gt;0,AX159=""),1,IF(AX159&gt;U159+V159+W159+X159+Y159+Z159+AA159+AB159+AC159+AD159+AE159+AF159+AG159+AH159+AI159+AJ159+AK159+AL159+AM159+AN159+AO159+AP159,1,0))</f>
        <v>#VALUE!</v>
      </c>
    </row>
    <row r="160" spans="1:99" x14ac:dyDescent="0.25">
      <c r="A160" s="5787" t="s">
        <v>5473</v>
      </c>
      <c r="B160" s="6833" t="s">
        <v>1035</v>
      </c>
      <c r="C160" s="6834"/>
      <c r="D160" s="199" t="s">
        <v>4567</v>
      </c>
      <c r="E160" s="607" t="s">
        <v>4568</v>
      </c>
      <c r="F160" s="344" t="s">
        <v>4569</v>
      </c>
      <c r="G160" s="192" t="s">
        <v>4570</v>
      </c>
      <c r="H160" s="2" t="s">
        <v>4571</v>
      </c>
      <c r="I160" s="192" t="s">
        <v>4572</v>
      </c>
      <c r="J160" s="2" t="s">
        <v>4573</v>
      </c>
      <c r="K160" s="192" t="s">
        <v>4574</v>
      </c>
      <c r="L160" s="382" t="s">
        <v>4575</v>
      </c>
      <c r="M160" s="192" t="s">
        <v>4576</v>
      </c>
      <c r="N160" s="382" t="s">
        <v>4577</v>
      </c>
      <c r="O160" s="192" t="s">
        <v>4578</v>
      </c>
      <c r="P160" s="382" t="s">
        <v>4579</v>
      </c>
      <c r="Q160" s="192" t="s">
        <v>4580</v>
      </c>
      <c r="R160" s="382" t="s">
        <v>4581</v>
      </c>
      <c r="S160" s="192" t="s">
        <v>4582</v>
      </c>
      <c r="T160" s="382" t="s">
        <v>4583</v>
      </c>
      <c r="U160" s="192" t="s">
        <v>4584</v>
      </c>
      <c r="V160" s="382" t="s">
        <v>4585</v>
      </c>
      <c r="W160" s="192" t="s">
        <v>4586</v>
      </c>
      <c r="X160" s="382" t="s">
        <v>4587</v>
      </c>
      <c r="Y160" s="192" t="s">
        <v>4588</v>
      </c>
      <c r="Z160" s="382" t="s">
        <v>4589</v>
      </c>
      <c r="AA160" s="192" t="s">
        <v>4590</v>
      </c>
      <c r="AB160" s="382" t="s">
        <v>4591</v>
      </c>
      <c r="AC160" s="192" t="s">
        <v>4592</v>
      </c>
      <c r="AD160" s="382" t="s">
        <v>4593</v>
      </c>
      <c r="AE160" s="192" t="s">
        <v>4594</v>
      </c>
      <c r="AF160" s="382" t="s">
        <v>4595</v>
      </c>
      <c r="AG160" s="192" t="s">
        <v>4596</v>
      </c>
      <c r="AH160" s="382" t="s">
        <v>4597</v>
      </c>
      <c r="AI160" s="192" t="s">
        <v>4598</v>
      </c>
      <c r="AJ160" s="382" t="s">
        <v>4599</v>
      </c>
      <c r="AK160" s="192" t="s">
        <v>4600</v>
      </c>
      <c r="AL160" s="2" t="s">
        <v>4601</v>
      </c>
      <c r="AM160" s="192" t="s">
        <v>4602</v>
      </c>
      <c r="AN160" s="2" t="s">
        <v>4603</v>
      </c>
      <c r="AO160" s="753" t="s">
        <v>4604</v>
      </c>
      <c r="AP160" s="383" t="s">
        <v>4605</v>
      </c>
      <c r="AQ160" s="376" t="s">
        <v>4606</v>
      </c>
      <c r="AR160" s="580" t="s">
        <v>4934</v>
      </c>
      <c r="AS160" s="580" t="s">
        <v>4935</v>
      </c>
      <c r="AT160" s="382" t="s">
        <v>4936</v>
      </c>
      <c r="AU160" s="192" t="s">
        <v>4937</v>
      </c>
      <c r="AV160" s="382" t="s">
        <v>5234</v>
      </c>
      <c r="AW160" s="345" t="s">
        <v>5235</v>
      </c>
      <c r="AX160" s="349" t="s">
        <v>5236</v>
      </c>
      <c r="AY160" t="e">
        <f>CC160&amp;CD160&amp;CE160&amp;CF160&amp;CG160&amp;CH160&amp;CI160</f>
        <v>#VALUE!</v>
      </c>
      <c r="CC160" s="135" t="str">
        <f t="shared" si="25"/>
        <v xml:space="preserve"> *  La variable Beneficiarios No puede ser mayor al Total Ambos Sexos.</v>
      </c>
      <c r="CD160" s="135" t="str">
        <f t="shared" si="26"/>
        <v xml:space="preserve">  * La variable Total de Controles No puede ser mayor al Total Ambos Sexos.</v>
      </c>
      <c r="CE160" s="135" t="str">
        <f t="shared" si="27"/>
        <v xml:space="preserve"> * La variable Pueblos Originarios No puede ser mayor al Total Ambos Sexos.</v>
      </c>
      <c r="CF160" s="135" t="str">
        <f t="shared" si="28"/>
        <v xml:space="preserve"> * La variable Migrantes No puede ser mayor al Total Ambos Sexos.</v>
      </c>
      <c r="CG160" s="135" t="e">
        <f t="shared" si="29"/>
        <v>#VALUE!</v>
      </c>
      <c r="CH160" s="135" t="e">
        <f>IF(AND(O160+P160+Q160+R160+S160+T160&gt;0,AW160="")," * No olvide digitar la variable Atenciones pacientes PACTOS 18 a 29 años. Digite Cero si no tiene.",IF(AW160&gt;O160+P160+Q160+R160+S160+T160," * La variable Atenciones pacientes PACTOS 18 a 29 años No puede ser mayor la sumatoria de los grupos de edad de 18 a 29 años.",""))</f>
        <v>#VALUE!</v>
      </c>
      <c r="CI160" s="135" t="e">
        <f>IF(AND(U160+V160+W160+X160+Y160+Z160+AA160+AB160+AC160+AD160+AE160+AF160+AG160+AH160+AI160+AJ160+AK160+AL160+AM160+AN160+AO160+AP160&gt;0,AX160="")," * No olvide digitar la variable Atenciones pacientes PACTOS 30 años y más. Digite Cero si no tiene.",IF(AX160&gt;U160+V160+W160+X160+Y160+Z160+AA160+AB160+AC160+AD160+AE160+AF160+AG160+AH160+AI160+AJ160+AK160+AL160+AM160+AN160+AO160+AP160," * La variable Atenciones pacientes PACTOS 30 años y más No puede ser mayor la sumatoria de los grupos de edad de 30 y más años.",""))</f>
        <v>#VALUE!</v>
      </c>
      <c r="CO160" s="84">
        <f t="shared" si="30"/>
        <v>1</v>
      </c>
      <c r="CP160" s="84">
        <f t="shared" si="31"/>
        <v>1</v>
      </c>
      <c r="CQ160" s="84">
        <f t="shared" si="32"/>
        <v>1</v>
      </c>
      <c r="CR160" s="84">
        <f t="shared" si="33"/>
        <v>1</v>
      </c>
      <c r="CS160" s="182" t="e">
        <f t="shared" si="34"/>
        <v>#VALUE!</v>
      </c>
      <c r="CT160" s="182" t="e">
        <f t="shared" si="35"/>
        <v>#VALUE!</v>
      </c>
      <c r="CU160" s="182" t="e">
        <f t="shared" si="36"/>
        <v>#VALUE!</v>
      </c>
    </row>
    <row r="161" spans="1:99" x14ac:dyDescent="0.25">
      <c r="A161" s="5787" t="s">
        <v>5474</v>
      </c>
      <c r="B161" s="6837" t="s">
        <v>1037</v>
      </c>
      <c r="C161" s="6838"/>
      <c r="D161" s="623" t="s">
        <v>4567</v>
      </c>
      <c r="E161" s="624" t="s">
        <v>4568</v>
      </c>
      <c r="F161" s="10" t="s">
        <v>4569</v>
      </c>
      <c r="G161" s="379" t="s">
        <v>4570</v>
      </c>
      <c r="H161" s="387" t="s">
        <v>4571</v>
      </c>
      <c r="I161" s="379" t="s">
        <v>4572</v>
      </c>
      <c r="J161" s="387" t="s">
        <v>4573</v>
      </c>
      <c r="K161" s="379" t="s">
        <v>4574</v>
      </c>
      <c r="L161" s="388" t="s">
        <v>4575</v>
      </c>
      <c r="M161" s="379" t="s">
        <v>4576</v>
      </c>
      <c r="N161" s="388" t="s">
        <v>4577</v>
      </c>
      <c r="O161" s="379" t="s">
        <v>4578</v>
      </c>
      <c r="P161" s="388" t="s">
        <v>4579</v>
      </c>
      <c r="Q161" s="379" t="s">
        <v>4580</v>
      </c>
      <c r="R161" s="388" t="s">
        <v>4581</v>
      </c>
      <c r="S161" s="379" t="s">
        <v>4582</v>
      </c>
      <c r="T161" s="388" t="s">
        <v>4583</v>
      </c>
      <c r="U161" s="379" t="s">
        <v>4584</v>
      </c>
      <c r="V161" s="388" t="s">
        <v>4585</v>
      </c>
      <c r="W161" s="379" t="s">
        <v>4586</v>
      </c>
      <c r="X161" s="388" t="s">
        <v>4587</v>
      </c>
      <c r="Y161" s="379" t="s">
        <v>4588</v>
      </c>
      <c r="Z161" s="388" t="s">
        <v>4589</v>
      </c>
      <c r="AA161" s="379" t="s">
        <v>4590</v>
      </c>
      <c r="AB161" s="388" t="s">
        <v>4591</v>
      </c>
      <c r="AC161" s="379" t="s">
        <v>4592</v>
      </c>
      <c r="AD161" s="388" t="s">
        <v>4593</v>
      </c>
      <c r="AE161" s="379" t="s">
        <v>4594</v>
      </c>
      <c r="AF161" s="388" t="s">
        <v>4595</v>
      </c>
      <c r="AG161" s="379" t="s">
        <v>4596</v>
      </c>
      <c r="AH161" s="388" t="s">
        <v>4597</v>
      </c>
      <c r="AI161" s="379" t="s">
        <v>4598</v>
      </c>
      <c r="AJ161" s="388" t="s">
        <v>4599</v>
      </c>
      <c r="AK161" s="379" t="s">
        <v>4600</v>
      </c>
      <c r="AL161" s="388" t="s">
        <v>4601</v>
      </c>
      <c r="AM161" s="379" t="s">
        <v>4602</v>
      </c>
      <c r="AN161" s="388" t="s">
        <v>4603</v>
      </c>
      <c r="AO161" s="666" t="s">
        <v>4604</v>
      </c>
      <c r="AP161" s="389" t="s">
        <v>4605</v>
      </c>
      <c r="AQ161" s="1303" t="s">
        <v>4606</v>
      </c>
      <c r="AR161" s="1258" t="s">
        <v>4934</v>
      </c>
      <c r="AS161" s="1258" t="s">
        <v>4935</v>
      </c>
      <c r="AT161" s="3134" t="s">
        <v>4936</v>
      </c>
      <c r="AU161" s="1114" t="s">
        <v>4937</v>
      </c>
      <c r="AV161" s="3134" t="s">
        <v>5234</v>
      </c>
      <c r="AW161" s="379" t="s">
        <v>5235</v>
      </c>
      <c r="AX161" s="388" t="s">
        <v>5236</v>
      </c>
      <c r="AY161" t="e">
        <f>CC161&amp;CD161&amp;CE161&amp;CF161&amp;CG161&amp;CH161&amp;CI161</f>
        <v>#VALUE!</v>
      </c>
      <c r="CC161" s="135" t="str">
        <f t="shared" si="25"/>
        <v xml:space="preserve"> *  La variable Beneficiarios No puede ser mayor al Total Ambos Sexos.</v>
      </c>
      <c r="CD161" s="135" t="str">
        <f t="shared" si="26"/>
        <v xml:space="preserve">  * La variable Total de Controles No puede ser mayor al Total Ambos Sexos.</v>
      </c>
      <c r="CE161" s="135" t="str">
        <f t="shared" si="27"/>
        <v xml:space="preserve"> * La variable Pueblos Originarios No puede ser mayor al Total Ambos Sexos.</v>
      </c>
      <c r="CF161" s="135" t="str">
        <f t="shared" si="28"/>
        <v xml:space="preserve"> * La variable Migrantes No puede ser mayor al Total Ambos Sexos.</v>
      </c>
      <c r="CG161" s="135" t="e">
        <f t="shared" si="29"/>
        <v>#VALUE!</v>
      </c>
      <c r="CH161" s="135" t="e">
        <f>IF(AND(O161+P161+Q161+R161+S161+T161&gt;0,AW161="")," * No olvide digitar la variable Atenciones pacientes PACTOS 18 a 29 años. Digite Cero si no tiene.",IF(AW161&gt;O161+P161+Q161+R161+S161+T161," * La variable Atenciones pacientes PACTOS 18 a 29 años No puede ser mayor la sumatoria de los grupos de edad de 18 a 29 años.",""))</f>
        <v>#VALUE!</v>
      </c>
      <c r="CI161" s="135" t="e">
        <f>IF(AND(U161+V161+W161+X161+Y161+Z161+AA161+AB161+AC161+AD161+AE161+AF161+AG161+AH161+AI161+AJ161+AK161+AL161+AM161+AN161+AO161+AP161&gt;0,AX161="")," * No olvide digitar la variable Atenciones pacientes PACTOS 30 años y más. Digite Cero si no tiene.",IF(AX161&gt;U161+V161+W161+X161+Y161+Z161+AA161+AB161+AC161+AD161+AE161+AF161+AG161+AH161+AI161+AJ161+AK161+AL161+AM161+AN161+AO161+AP161," * La variable Atenciones pacientes PACTOS 30 años y más No puede ser mayor la sumatoria de los grupos de edad de 30 y más años.",""))</f>
        <v>#VALUE!</v>
      </c>
      <c r="CO161" s="84">
        <f t="shared" si="30"/>
        <v>1</v>
      </c>
      <c r="CP161" s="84">
        <f t="shared" si="31"/>
        <v>1</v>
      </c>
      <c r="CQ161" s="84">
        <f t="shared" si="32"/>
        <v>1</v>
      </c>
      <c r="CR161" s="84">
        <f t="shared" si="33"/>
        <v>1</v>
      </c>
      <c r="CS161" s="182" t="e">
        <f t="shared" si="34"/>
        <v>#VALUE!</v>
      </c>
      <c r="CT161" s="182" t="e">
        <f t="shared" si="35"/>
        <v>#VALUE!</v>
      </c>
      <c r="CU161" s="182" t="e">
        <f t="shared" si="36"/>
        <v>#VALUE!</v>
      </c>
    </row>
    <row r="162" spans="1:99" x14ac:dyDescent="0.25">
      <c r="A162" s="5793"/>
      <c r="B162" s="6704" t="s">
        <v>77</v>
      </c>
      <c r="C162" s="6451"/>
      <c r="D162" s="871">
        <f t="shared" ref="D162:AT162" si="37">SUM(D151:D161)</f>
        <v>0</v>
      </c>
      <c r="E162" s="317">
        <f t="shared" si="37"/>
        <v>0</v>
      </c>
      <c r="F162" s="3040">
        <f t="shared" si="37"/>
        <v>0</v>
      </c>
      <c r="G162" s="3109">
        <f t="shared" si="37"/>
        <v>0</v>
      </c>
      <c r="H162" s="3112">
        <f t="shared" si="37"/>
        <v>0</v>
      </c>
      <c r="I162" s="3109">
        <f t="shared" si="37"/>
        <v>0</v>
      </c>
      <c r="J162" s="3112">
        <f t="shared" si="37"/>
        <v>0</v>
      </c>
      <c r="K162" s="756">
        <f t="shared" si="37"/>
        <v>0</v>
      </c>
      <c r="L162" s="572">
        <f t="shared" si="37"/>
        <v>0</v>
      </c>
      <c r="M162" s="756">
        <f t="shared" si="37"/>
        <v>0</v>
      </c>
      <c r="N162" s="572">
        <f t="shared" si="37"/>
        <v>0</v>
      </c>
      <c r="O162" s="756">
        <f t="shared" ref="O162:P162" si="38">SUM(O151:O161)</f>
        <v>0</v>
      </c>
      <c r="P162" s="572">
        <f t="shared" si="38"/>
        <v>0</v>
      </c>
      <c r="Q162" s="756">
        <f t="shared" si="37"/>
        <v>0</v>
      </c>
      <c r="R162" s="572">
        <f t="shared" si="37"/>
        <v>0</v>
      </c>
      <c r="S162" s="756">
        <f t="shared" si="37"/>
        <v>0</v>
      </c>
      <c r="T162" s="572">
        <f t="shared" si="37"/>
        <v>0</v>
      </c>
      <c r="U162" s="756">
        <f t="shared" si="37"/>
        <v>0</v>
      </c>
      <c r="V162" s="572">
        <f t="shared" si="37"/>
        <v>0</v>
      </c>
      <c r="W162" s="756">
        <f t="shared" si="37"/>
        <v>0</v>
      </c>
      <c r="X162" s="572">
        <f t="shared" si="37"/>
        <v>0</v>
      </c>
      <c r="Y162" s="756">
        <f t="shared" si="37"/>
        <v>0</v>
      </c>
      <c r="Z162" s="572">
        <f t="shared" si="37"/>
        <v>0</v>
      </c>
      <c r="AA162" s="756">
        <f t="shared" si="37"/>
        <v>0</v>
      </c>
      <c r="AB162" s="572">
        <f t="shared" si="37"/>
        <v>0</v>
      </c>
      <c r="AC162" s="756">
        <f t="shared" si="37"/>
        <v>0</v>
      </c>
      <c r="AD162" s="572">
        <f t="shared" si="37"/>
        <v>0</v>
      </c>
      <c r="AE162" s="756">
        <f t="shared" si="37"/>
        <v>0</v>
      </c>
      <c r="AF162" s="572">
        <f t="shared" si="37"/>
        <v>0</v>
      </c>
      <c r="AG162" s="756">
        <f t="shared" si="37"/>
        <v>0</v>
      </c>
      <c r="AH162" s="572">
        <f t="shared" si="37"/>
        <v>0</v>
      </c>
      <c r="AI162" s="756">
        <f t="shared" si="37"/>
        <v>0</v>
      </c>
      <c r="AJ162" s="572">
        <f t="shared" si="37"/>
        <v>0</v>
      </c>
      <c r="AK162" s="756">
        <f t="shared" si="37"/>
        <v>0</v>
      </c>
      <c r="AL162" s="572">
        <f t="shared" si="37"/>
        <v>0</v>
      </c>
      <c r="AM162" s="756">
        <f t="shared" si="37"/>
        <v>0</v>
      </c>
      <c r="AN162" s="572">
        <f t="shared" si="37"/>
        <v>0</v>
      </c>
      <c r="AO162" s="757">
        <f t="shared" si="37"/>
        <v>0</v>
      </c>
      <c r="AP162" s="512">
        <f t="shared" si="37"/>
        <v>0</v>
      </c>
      <c r="AQ162" s="3112">
        <f t="shared" si="37"/>
        <v>0</v>
      </c>
      <c r="AR162" s="3108">
        <f t="shared" si="37"/>
        <v>0</v>
      </c>
      <c r="AS162" s="3108">
        <f t="shared" si="37"/>
        <v>0</v>
      </c>
      <c r="AT162" s="3112">
        <f t="shared" si="37"/>
        <v>0</v>
      </c>
      <c r="AU162" s="3076">
        <f>SUM(AU151:AU161)</f>
        <v>0</v>
      </c>
      <c r="AV162" s="3076">
        <f>SUM(AV151:AV161)</f>
        <v>0</v>
      </c>
      <c r="AW162" s="3108" t="e">
        <f>SUM(AW159:AW161)+AW157</f>
        <v>#VALUE!</v>
      </c>
      <c r="AX162" s="3108" t="e">
        <f>SUM(AX159:AX161)+AX157</f>
        <v>#VALUE!</v>
      </c>
    </row>
    <row r="163" spans="1:99" s="6" customFormat="1" ht="18" customHeight="1" x14ac:dyDescent="0.2">
      <c r="B163" s="897" t="s">
        <v>1309</v>
      </c>
      <c r="C163" s="3136"/>
      <c r="D163" s="3136"/>
      <c r="E163" s="3136"/>
      <c r="F163" s="3136"/>
      <c r="G163" s="3137"/>
      <c r="H163" s="3137"/>
      <c r="I163" s="3137"/>
      <c r="J163" s="3137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CC163" s="19"/>
      <c r="CD163" s="19"/>
      <c r="CE163" s="19"/>
      <c r="CF163" s="19"/>
      <c r="CG163" s="19"/>
      <c r="CH163" s="19"/>
      <c r="CI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</row>
    <row r="164" spans="1:99" ht="15" customHeight="1" x14ac:dyDescent="0.25">
      <c r="B164" s="6444" t="s">
        <v>219</v>
      </c>
      <c r="C164" s="6458" t="s">
        <v>27</v>
      </c>
      <c r="D164" s="6575" t="s">
        <v>192</v>
      </c>
      <c r="E164" s="6491"/>
      <c r="F164" s="6576"/>
      <c r="G164" s="6705" t="s">
        <v>101</v>
      </c>
      <c r="H164" s="6534"/>
      <c r="I164" s="6534"/>
      <c r="J164" s="6534"/>
      <c r="K164" s="6534"/>
      <c r="L164" s="6534"/>
      <c r="M164" s="6534"/>
      <c r="N164" s="6534"/>
      <c r="O164" s="6534"/>
      <c r="P164" s="6534"/>
      <c r="Q164" s="6534"/>
      <c r="R164" s="6534"/>
      <c r="S164" s="6534"/>
      <c r="T164" s="6534"/>
      <c r="U164" s="6534"/>
      <c r="V164" s="6534"/>
      <c r="W164" s="6534"/>
      <c r="X164" s="6534"/>
      <c r="Y164" s="6534"/>
      <c r="Z164" s="6534"/>
      <c r="AA164" s="6534"/>
      <c r="AB164" s="6534"/>
      <c r="AC164" s="6534"/>
      <c r="AD164" s="6534"/>
      <c r="AE164" s="6534"/>
      <c r="AF164" s="6534"/>
      <c r="AG164" s="6534"/>
      <c r="AH164" s="6534"/>
      <c r="AI164" s="6534"/>
      <c r="AJ164" s="6534"/>
      <c r="AK164" s="6534"/>
      <c r="AL164" s="6534"/>
      <c r="AM164" s="6534"/>
      <c r="AN164" s="6534"/>
      <c r="AO164" s="6534"/>
      <c r="AP164" s="6447"/>
      <c r="AQ164" s="6511" t="s">
        <v>597</v>
      </c>
      <c r="AR164" s="6212" t="s">
        <v>457</v>
      </c>
      <c r="AS164" s="6511"/>
      <c r="AT164" s="6458" t="s">
        <v>36</v>
      </c>
      <c r="AU164" s="6458" t="s">
        <v>37</v>
      </c>
      <c r="AV164" s="6458" t="s">
        <v>1310</v>
      </c>
      <c r="AW164" s="6458" t="s">
        <v>35</v>
      </c>
    </row>
    <row r="165" spans="1:99" x14ac:dyDescent="0.25">
      <c r="B165" s="6350"/>
      <c r="C165" s="6119"/>
      <c r="D165" s="6750"/>
      <c r="E165" s="6749"/>
      <c r="F165" s="6828"/>
      <c r="G165" s="6704" t="s">
        <v>343</v>
      </c>
      <c r="H165" s="6451"/>
      <c r="I165" s="6704" t="s">
        <v>326</v>
      </c>
      <c r="J165" s="6451"/>
      <c r="K165" s="6704" t="s">
        <v>94</v>
      </c>
      <c r="L165" s="6451"/>
      <c r="M165" s="6704" t="s">
        <v>1203</v>
      </c>
      <c r="N165" s="6451"/>
      <c r="O165" s="6704" t="s">
        <v>1204</v>
      </c>
      <c r="P165" s="6451"/>
      <c r="Q165" s="6704" t="s">
        <v>45</v>
      </c>
      <c r="R165" s="6451"/>
      <c r="S165" s="6705" t="s">
        <v>46</v>
      </c>
      <c r="T165" s="6448"/>
      <c r="U165" s="6705" t="s">
        <v>47</v>
      </c>
      <c r="V165" s="6448"/>
      <c r="W165" s="6705" t="s">
        <v>48</v>
      </c>
      <c r="X165" s="6448"/>
      <c r="Y165" s="6705" t="s">
        <v>49</v>
      </c>
      <c r="Z165" s="6448"/>
      <c r="AA165" s="6705" t="s">
        <v>50</v>
      </c>
      <c r="AB165" s="6448"/>
      <c r="AC165" s="6705" t="s">
        <v>51</v>
      </c>
      <c r="AD165" s="6448"/>
      <c r="AE165" s="6705" t="s">
        <v>52</v>
      </c>
      <c r="AF165" s="6448"/>
      <c r="AG165" s="6705" t="s">
        <v>53</v>
      </c>
      <c r="AH165" s="6448"/>
      <c r="AI165" s="6705" t="s">
        <v>54</v>
      </c>
      <c r="AJ165" s="6448"/>
      <c r="AK165" s="6705" t="s">
        <v>55</v>
      </c>
      <c r="AL165" s="6448"/>
      <c r="AM165" s="6705" t="s">
        <v>56</v>
      </c>
      <c r="AN165" s="6448"/>
      <c r="AO165" s="6705" t="s">
        <v>57</v>
      </c>
      <c r="AP165" s="6447"/>
      <c r="AQ165" s="6027"/>
      <c r="AR165" s="6734"/>
      <c r="AS165" s="6736"/>
      <c r="AT165" s="6119"/>
      <c r="AU165" s="6119"/>
      <c r="AV165" s="6119"/>
      <c r="AW165" s="6119"/>
    </row>
    <row r="166" spans="1:99" x14ac:dyDescent="0.25">
      <c r="B166" s="6733"/>
      <c r="C166" s="6739"/>
      <c r="D166" s="463" t="s">
        <v>79</v>
      </c>
      <c r="E166" s="718" t="s">
        <v>58</v>
      </c>
      <c r="F166" s="184" t="s">
        <v>59</v>
      </c>
      <c r="G166" s="1754" t="s">
        <v>522</v>
      </c>
      <c r="H166" s="468" t="s">
        <v>751</v>
      </c>
      <c r="I166" s="744" t="s">
        <v>522</v>
      </c>
      <c r="J166" s="486" t="s">
        <v>751</v>
      </c>
      <c r="K166" s="1754" t="s">
        <v>522</v>
      </c>
      <c r="L166" s="468" t="s">
        <v>751</v>
      </c>
      <c r="M166" s="1754" t="s">
        <v>522</v>
      </c>
      <c r="N166" s="468" t="s">
        <v>751</v>
      </c>
      <c r="O166" s="1754" t="s">
        <v>522</v>
      </c>
      <c r="P166" s="468" t="s">
        <v>751</v>
      </c>
      <c r="Q166" s="1754" t="s">
        <v>522</v>
      </c>
      <c r="R166" s="468" t="s">
        <v>751</v>
      </c>
      <c r="S166" s="744" t="s">
        <v>522</v>
      </c>
      <c r="T166" s="486" t="s">
        <v>751</v>
      </c>
      <c r="U166" s="744" t="s">
        <v>522</v>
      </c>
      <c r="V166" s="486" t="s">
        <v>751</v>
      </c>
      <c r="W166" s="1754" t="s">
        <v>522</v>
      </c>
      <c r="X166" s="468" t="s">
        <v>751</v>
      </c>
      <c r="Y166" s="744" t="s">
        <v>522</v>
      </c>
      <c r="Z166" s="486" t="s">
        <v>751</v>
      </c>
      <c r="AA166" s="744" t="s">
        <v>522</v>
      </c>
      <c r="AB166" s="486" t="s">
        <v>751</v>
      </c>
      <c r="AC166" s="1754" t="s">
        <v>522</v>
      </c>
      <c r="AD166" s="468" t="s">
        <v>751</v>
      </c>
      <c r="AE166" s="1754" t="s">
        <v>522</v>
      </c>
      <c r="AF166" s="468" t="s">
        <v>751</v>
      </c>
      <c r="AG166" s="744" t="s">
        <v>522</v>
      </c>
      <c r="AH166" s="486" t="s">
        <v>751</v>
      </c>
      <c r="AI166" s="744" t="s">
        <v>522</v>
      </c>
      <c r="AJ166" s="486" t="s">
        <v>751</v>
      </c>
      <c r="AK166" s="1754" t="s">
        <v>522</v>
      </c>
      <c r="AL166" s="468" t="s">
        <v>751</v>
      </c>
      <c r="AM166" s="744" t="s">
        <v>522</v>
      </c>
      <c r="AN166" s="486" t="s">
        <v>751</v>
      </c>
      <c r="AO166" s="1754" t="s">
        <v>522</v>
      </c>
      <c r="AP166" s="469" t="s">
        <v>751</v>
      </c>
      <c r="AQ166" s="6736"/>
      <c r="AR166" s="1758" t="s">
        <v>462</v>
      </c>
      <c r="AS166" s="468" t="s">
        <v>463</v>
      </c>
      <c r="AT166" s="6739"/>
      <c r="AU166" s="6739"/>
      <c r="AV166" s="6739"/>
      <c r="AW166" s="6739"/>
    </row>
    <row r="167" spans="1:99" x14ac:dyDescent="0.25">
      <c r="A167" s="5787" t="s">
        <v>5475</v>
      </c>
      <c r="B167" s="6839" t="s">
        <v>1311</v>
      </c>
      <c r="C167" s="3138" t="s">
        <v>98</v>
      </c>
      <c r="D167" s="3139" t="s">
        <v>4567</v>
      </c>
      <c r="E167" s="605" t="s">
        <v>4568</v>
      </c>
      <c r="F167" s="606" t="s">
        <v>4569</v>
      </c>
      <c r="G167" s="747" t="s">
        <v>4570</v>
      </c>
      <c r="H167" s="566" t="s">
        <v>4571</v>
      </c>
      <c r="I167" s="747" t="s">
        <v>4572</v>
      </c>
      <c r="J167" s="566" t="s">
        <v>4573</v>
      </c>
      <c r="K167" s="747" t="s">
        <v>4574</v>
      </c>
      <c r="L167" s="748" t="s">
        <v>4575</v>
      </c>
      <c r="M167" s="747" t="s">
        <v>4576</v>
      </c>
      <c r="N167" s="748" t="s">
        <v>4577</v>
      </c>
      <c r="O167" s="747" t="s">
        <v>4578</v>
      </c>
      <c r="P167" s="748" t="s">
        <v>4579</v>
      </c>
      <c r="Q167" s="747" t="s">
        <v>4580</v>
      </c>
      <c r="R167" s="748" t="s">
        <v>4581</v>
      </c>
      <c r="S167" s="747" t="s">
        <v>4582</v>
      </c>
      <c r="T167" s="748" t="s">
        <v>4583</v>
      </c>
      <c r="U167" s="747" t="s">
        <v>4584</v>
      </c>
      <c r="V167" s="748" t="s">
        <v>4585</v>
      </c>
      <c r="W167" s="747" t="s">
        <v>4586</v>
      </c>
      <c r="X167" s="748" t="s">
        <v>4587</v>
      </c>
      <c r="Y167" s="747" t="s">
        <v>4588</v>
      </c>
      <c r="Z167" s="748" t="s">
        <v>4589</v>
      </c>
      <c r="AA167" s="747" t="s">
        <v>4590</v>
      </c>
      <c r="AB167" s="748" t="s">
        <v>4591</v>
      </c>
      <c r="AC167" s="747" t="s">
        <v>4592</v>
      </c>
      <c r="AD167" s="748" t="s">
        <v>4593</v>
      </c>
      <c r="AE167" s="747" t="s">
        <v>4594</v>
      </c>
      <c r="AF167" s="748" t="s">
        <v>4595</v>
      </c>
      <c r="AG167" s="747" t="s">
        <v>4596</v>
      </c>
      <c r="AH167" s="748" t="s">
        <v>4597</v>
      </c>
      <c r="AI167" s="747" t="s">
        <v>4598</v>
      </c>
      <c r="AJ167" s="748" t="s">
        <v>4599</v>
      </c>
      <c r="AK167" s="747" t="s">
        <v>4600</v>
      </c>
      <c r="AL167" s="748" t="s">
        <v>4601</v>
      </c>
      <c r="AM167" s="747" t="s">
        <v>4602</v>
      </c>
      <c r="AN167" s="748" t="s">
        <v>4603</v>
      </c>
      <c r="AO167" s="749" t="s">
        <v>4604</v>
      </c>
      <c r="AP167" s="736" t="s">
        <v>4605</v>
      </c>
      <c r="AQ167" s="566" t="s">
        <v>4606</v>
      </c>
      <c r="AR167" s="476" t="s">
        <v>4934</v>
      </c>
      <c r="AS167" s="566" t="s">
        <v>4935</v>
      </c>
      <c r="AT167" s="1726" t="s">
        <v>4936</v>
      </c>
      <c r="AU167" s="750" t="s">
        <v>4937</v>
      </c>
      <c r="AV167" s="750" t="s">
        <v>5234</v>
      </c>
      <c r="AW167" s="3129" t="s">
        <v>5235</v>
      </c>
      <c r="AX167" t="str">
        <f t="shared" ref="AX167:AX177" si="39">CC167&amp;CD167&amp;CE167&amp;CF167&amp;CG167&amp;CH167&amp;CI167</f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67" s="135" t="str">
        <f t="shared" ref="CC167:CC177" si="40">IF(AND(D167&gt;0,AQ167="")," * No olvide digitar la variable Beneficiarios. Digite Cero si no tiene.",IF(AQ167&gt;D167," * La variable Beneficiarios No puede ser mayor al Total Ambos Sexos.",""))</f>
        <v xml:space="preserve"> * La variable Beneficiarios No puede ser mayor al Total Ambos Sexos.</v>
      </c>
      <c r="CD167" s="135" t="str">
        <f t="shared" ref="CD167:CD177" si="41">IF(AND(F167&gt;0,OR(AR167=""))," * No olvide digitar la variable Trans (Masculino). Digite Cero si no tiene.",IF((AR167)&gt;F167," * La variable Trans (Masculino) No puede ser mayor al Total Mujeres.",""))</f>
        <v xml:space="preserve"> * La variable Trans (Masculino) No puede ser mayor al Total Mujeres.</v>
      </c>
      <c r="CE167" s="135" t="str">
        <f t="shared" ref="CE167:CE177" si="42">IF(AND(E167&gt;0,OR(AS167=""))," * No olvide digitar la variable Trans (Femenino). Digite Cero si no tiene.",IF((AS167)&gt;E167," * La variable Trans (Femenino) No puede ser mayor al Total Hombres.",""))</f>
        <v xml:space="preserve"> * La variable Trans (Femenino) No puede ser mayor al Total Hombres.</v>
      </c>
      <c r="CF167" s="135" t="str">
        <f t="shared" ref="CF167:CF177" si="43">IF(AND(D167&gt;0,AT167="")," * No olvide digitar la variable Pueblos Originarios. Digite Cero si no tiene.",IF(AT167&gt;D167," * La variable Pueblos Originarios No puede ser mayor al Total Ambos Sexos.",""))</f>
        <v xml:space="preserve"> * La variable Pueblos Originarios No puede ser mayor al Total Ambos Sexos.</v>
      </c>
      <c r="CG167" s="135" t="str">
        <f t="shared" ref="CG167:CG177" si="44">IF(AND(D167&gt;0,AU167="")," * No olvide digitar la variable Migrantes. Digite Cero si no tiene.",IF(AU167&gt;D167," * La variable Migrantes No puede ser mayor al Total Ambos Sexos.",""))</f>
        <v xml:space="preserve"> * La variable Migrantes No puede ser mayor al Total Ambos Sexos.</v>
      </c>
      <c r="CH167" s="135" t="str">
        <f t="shared" ref="CH167:CH177" si="45">IF(AND(D167&gt;0,AV167="")," * No olvide digitar la variable Niños, niñas, Adolescentes SENAME. Digite Cero si no tiene.",IF(AV167&gt;D167," * La variable Niños, niñas, Adolescentes SENAME No puede ser mayor al Total Ambos Sexos.",""))</f>
        <v xml:space="preserve"> * La variable Niños, niñas, Adolescentes SENAME No puede ser mayor al Total Ambos Sexos.</v>
      </c>
      <c r="CI167" s="135" t="str">
        <f t="shared" ref="CI167:CI177" si="46">IF(AND(D167&gt;0,AW167="")," * No olvide digitar la variable Niños, Niñas, Adolescentes y Jóvenes Mejor Niñez. Digite Cero si no tiene.",IF(AW167&gt;D167,"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O167" s="84">
        <f t="shared" ref="CO167:CO177" si="47">IF(AND(D167&gt;0,AQ167=""),1,IF(AQ167&gt;D167,1,0))</f>
        <v>1</v>
      </c>
      <c r="CP167" s="84">
        <f t="shared" ref="CP167:CP177" si="48">IF(AND(F167&gt;0,OR(AR167="")),1,IF((AR167)&gt;F167,1,0))</f>
        <v>1</v>
      </c>
      <c r="CQ167" s="84">
        <f t="shared" ref="CQ167:CQ177" si="49">IF(AND(E167&gt;0,OR(AS167="")),1,IF((AS167)&gt;E167,1,0))</f>
        <v>1</v>
      </c>
      <c r="CR167" s="84">
        <f t="shared" ref="CR167:CR177" si="50">IF(AND(D167&gt;0,AT167=""),1,IF(AT167&gt;D167,1,0))</f>
        <v>1</v>
      </c>
      <c r="CS167" s="84">
        <f t="shared" ref="CS167:CS177" si="51">IF(AND(D167&gt;0,AU167=""),1,IF(AU167&gt;D167,1,0))</f>
        <v>1</v>
      </c>
      <c r="CT167" s="84">
        <f t="shared" ref="CT167:CT177" si="52">IF(AND(D167&gt;0,AV167=""),1,IF(AV167&gt;D167,1,0))</f>
        <v>1</v>
      </c>
      <c r="CU167" s="84">
        <f t="shared" ref="CU167:CU177" si="53">IF(AND(D167&gt;0,AW167=""),1,IF(AW167&gt;D167,1,0))</f>
        <v>1</v>
      </c>
    </row>
    <row r="168" spans="1:99" x14ac:dyDescent="0.25">
      <c r="A168" s="5790" t="s">
        <v>5476</v>
      </c>
      <c r="B168" s="6312"/>
      <c r="C168" s="3140" t="s">
        <v>65</v>
      </c>
      <c r="D168" s="623" t="s">
        <v>4567</v>
      </c>
      <c r="E168" s="624" t="s">
        <v>4568</v>
      </c>
      <c r="F168" s="625" t="s">
        <v>4569</v>
      </c>
      <c r="G168" s="379" t="s">
        <v>4570</v>
      </c>
      <c r="H168" s="387" t="s">
        <v>4571</v>
      </c>
      <c r="I168" s="379" t="s">
        <v>4572</v>
      </c>
      <c r="J168" s="387" t="s">
        <v>4573</v>
      </c>
      <c r="K168" s="379" t="s">
        <v>4574</v>
      </c>
      <c r="L168" s="388" t="s">
        <v>4575</v>
      </c>
      <c r="M168" s="379" t="s">
        <v>4576</v>
      </c>
      <c r="N168" s="388" t="s">
        <v>4577</v>
      </c>
      <c r="O168" s="379" t="s">
        <v>4578</v>
      </c>
      <c r="P168" s="388" t="s">
        <v>4579</v>
      </c>
      <c r="Q168" s="379" t="s">
        <v>4580</v>
      </c>
      <c r="R168" s="388" t="s">
        <v>4581</v>
      </c>
      <c r="S168" s="379" t="s">
        <v>4582</v>
      </c>
      <c r="T168" s="388" t="s">
        <v>4583</v>
      </c>
      <c r="U168" s="379" t="s">
        <v>4584</v>
      </c>
      <c r="V168" s="388" t="s">
        <v>4585</v>
      </c>
      <c r="W168" s="379" t="s">
        <v>4586</v>
      </c>
      <c r="X168" s="388" t="s">
        <v>4587</v>
      </c>
      <c r="Y168" s="379" t="s">
        <v>4588</v>
      </c>
      <c r="Z168" s="388" t="s">
        <v>4589</v>
      </c>
      <c r="AA168" s="379" t="s">
        <v>4590</v>
      </c>
      <c r="AB168" s="388" t="s">
        <v>4591</v>
      </c>
      <c r="AC168" s="379" t="s">
        <v>4592</v>
      </c>
      <c r="AD168" s="388" t="s">
        <v>4593</v>
      </c>
      <c r="AE168" s="379" t="s">
        <v>4594</v>
      </c>
      <c r="AF168" s="388" t="s">
        <v>4595</v>
      </c>
      <c r="AG168" s="379" t="s">
        <v>4596</v>
      </c>
      <c r="AH168" s="388" t="s">
        <v>4597</v>
      </c>
      <c r="AI168" s="379" t="s">
        <v>4598</v>
      </c>
      <c r="AJ168" s="388" t="s">
        <v>4599</v>
      </c>
      <c r="AK168" s="379" t="s">
        <v>4600</v>
      </c>
      <c r="AL168" s="388" t="s">
        <v>4601</v>
      </c>
      <c r="AM168" s="379" t="s">
        <v>4602</v>
      </c>
      <c r="AN168" s="388" t="s">
        <v>4603</v>
      </c>
      <c r="AO168" s="666" t="s">
        <v>4604</v>
      </c>
      <c r="AP168" s="389" t="s">
        <v>4605</v>
      </c>
      <c r="AQ168" s="387" t="s">
        <v>4606</v>
      </c>
      <c r="AR168" s="428" t="s">
        <v>4934</v>
      </c>
      <c r="AS168" s="387" t="s">
        <v>4935</v>
      </c>
      <c r="AT168" s="1114" t="s">
        <v>4936</v>
      </c>
      <c r="AU168" s="1258" t="s">
        <v>4937</v>
      </c>
      <c r="AV168" s="1258" t="s">
        <v>5234</v>
      </c>
      <c r="AW168" s="3134" t="s">
        <v>5235</v>
      </c>
      <c r="AX168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68" s="135" t="str">
        <f t="shared" si="40"/>
        <v xml:space="preserve"> * La variable Beneficiarios No puede ser mayor al Total Ambos Sexos.</v>
      </c>
      <c r="CD168" s="135" t="str">
        <f t="shared" si="41"/>
        <v xml:space="preserve"> * La variable Trans (Masculino) No puede ser mayor al Total Mujeres.</v>
      </c>
      <c r="CE168" s="135" t="str">
        <f t="shared" si="42"/>
        <v xml:space="preserve"> * La variable Trans (Femenino) No puede ser mayor al Total Hombres.</v>
      </c>
      <c r="CF168" s="135" t="str">
        <f t="shared" si="43"/>
        <v xml:space="preserve"> * La variable Pueblos Originarios No puede ser mayor al Total Ambos Sexos.</v>
      </c>
      <c r="CG168" s="135" t="str">
        <f t="shared" si="44"/>
        <v xml:space="preserve"> * La variable Migrantes No puede ser mayor al Total Ambos Sexos.</v>
      </c>
      <c r="CH168" s="135" t="str">
        <f t="shared" si="45"/>
        <v xml:space="preserve"> * La variable Niños, niñas, Adolescentes SENAME No puede ser mayor al Total Ambos Sexos.</v>
      </c>
      <c r="CI168" s="135" t="str">
        <f t="shared" si="46"/>
        <v xml:space="preserve"> * La variable Niños, Niñas, Adolescentes y Jóvenes Mejor Niñez No puede ser mayor al Total Ambos Sexos.</v>
      </c>
      <c r="CO168" s="84">
        <f t="shared" si="47"/>
        <v>1</v>
      </c>
      <c r="CP168" s="84">
        <f t="shared" si="48"/>
        <v>1</v>
      </c>
      <c r="CQ168" s="84">
        <f t="shared" si="49"/>
        <v>1</v>
      </c>
      <c r="CR168" s="84">
        <f t="shared" si="50"/>
        <v>1</v>
      </c>
      <c r="CS168" s="84">
        <f t="shared" si="51"/>
        <v>1</v>
      </c>
      <c r="CT168" s="84">
        <f t="shared" si="52"/>
        <v>1</v>
      </c>
      <c r="CU168" s="84">
        <f t="shared" si="53"/>
        <v>1</v>
      </c>
    </row>
    <row r="169" spans="1:99" x14ac:dyDescent="0.25">
      <c r="A169" s="5790" t="s">
        <v>5477</v>
      </c>
      <c r="B169" s="6840" t="s">
        <v>1312</v>
      </c>
      <c r="C169" s="3138" t="s">
        <v>98</v>
      </c>
      <c r="D169" s="3139" t="s">
        <v>4567</v>
      </c>
      <c r="E169" s="605" t="s">
        <v>4568</v>
      </c>
      <c r="F169" s="606" t="s">
        <v>4569</v>
      </c>
      <c r="G169" s="747" t="s">
        <v>4570</v>
      </c>
      <c r="H169" s="566" t="s">
        <v>4571</v>
      </c>
      <c r="I169" s="747" t="s">
        <v>4572</v>
      </c>
      <c r="J169" s="566" t="s">
        <v>4573</v>
      </c>
      <c r="K169" s="747" t="s">
        <v>4574</v>
      </c>
      <c r="L169" s="748" t="s">
        <v>4575</v>
      </c>
      <c r="M169" s="747" t="s">
        <v>4576</v>
      </c>
      <c r="N169" s="748" t="s">
        <v>4577</v>
      </c>
      <c r="O169" s="747" t="s">
        <v>4578</v>
      </c>
      <c r="P169" s="748" t="s">
        <v>4579</v>
      </c>
      <c r="Q169" s="747" t="s">
        <v>4580</v>
      </c>
      <c r="R169" s="748" t="s">
        <v>4581</v>
      </c>
      <c r="S169" s="747" t="s">
        <v>4582</v>
      </c>
      <c r="T169" s="748" t="s">
        <v>4583</v>
      </c>
      <c r="U169" s="747" t="s">
        <v>4584</v>
      </c>
      <c r="V169" s="748" t="s">
        <v>4585</v>
      </c>
      <c r="W169" s="747" t="s">
        <v>4586</v>
      </c>
      <c r="X169" s="748" t="s">
        <v>4587</v>
      </c>
      <c r="Y169" s="747" t="s">
        <v>4588</v>
      </c>
      <c r="Z169" s="748" t="s">
        <v>4589</v>
      </c>
      <c r="AA169" s="747" t="s">
        <v>4590</v>
      </c>
      <c r="AB169" s="748" t="s">
        <v>4591</v>
      </c>
      <c r="AC169" s="747" t="s">
        <v>4592</v>
      </c>
      <c r="AD169" s="748" t="s">
        <v>4593</v>
      </c>
      <c r="AE169" s="747" t="s">
        <v>4594</v>
      </c>
      <c r="AF169" s="748" t="s">
        <v>4595</v>
      </c>
      <c r="AG169" s="747" t="s">
        <v>4596</v>
      </c>
      <c r="AH169" s="748" t="s">
        <v>4597</v>
      </c>
      <c r="AI169" s="747" t="s">
        <v>4598</v>
      </c>
      <c r="AJ169" s="748" t="s">
        <v>4599</v>
      </c>
      <c r="AK169" s="747" t="s">
        <v>4600</v>
      </c>
      <c r="AL169" s="748" t="s">
        <v>4601</v>
      </c>
      <c r="AM169" s="747" t="s">
        <v>4602</v>
      </c>
      <c r="AN169" s="748" t="s">
        <v>4603</v>
      </c>
      <c r="AO169" s="749" t="s">
        <v>4604</v>
      </c>
      <c r="AP169" s="736" t="s">
        <v>4605</v>
      </c>
      <c r="AQ169" s="566" t="s">
        <v>4606</v>
      </c>
      <c r="AR169" s="476" t="s">
        <v>4934</v>
      </c>
      <c r="AS169" s="566" t="s">
        <v>4935</v>
      </c>
      <c r="AT169" s="1726" t="s">
        <v>4936</v>
      </c>
      <c r="AU169" s="750" t="s">
        <v>4937</v>
      </c>
      <c r="AV169" s="750" t="s">
        <v>5234</v>
      </c>
      <c r="AW169" s="3129" t="s">
        <v>5235</v>
      </c>
      <c r="AX169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69" s="135" t="str">
        <f t="shared" si="40"/>
        <v xml:space="preserve"> * La variable Beneficiarios No puede ser mayor al Total Ambos Sexos.</v>
      </c>
      <c r="CD169" s="135" t="str">
        <f t="shared" si="41"/>
        <v xml:space="preserve"> * La variable Trans (Masculino) No puede ser mayor al Total Mujeres.</v>
      </c>
      <c r="CE169" s="135" t="str">
        <f t="shared" si="42"/>
        <v xml:space="preserve"> * La variable Trans (Femenino) No puede ser mayor al Total Hombres.</v>
      </c>
      <c r="CF169" s="135" t="str">
        <f t="shared" si="43"/>
        <v xml:space="preserve"> * La variable Pueblos Originarios No puede ser mayor al Total Ambos Sexos.</v>
      </c>
      <c r="CG169" s="135" t="str">
        <f t="shared" si="44"/>
        <v xml:space="preserve"> * La variable Migrantes No puede ser mayor al Total Ambos Sexos.</v>
      </c>
      <c r="CH169" s="135" t="str">
        <f t="shared" si="45"/>
        <v xml:space="preserve"> * La variable Niños, niñas, Adolescentes SENAME No puede ser mayor al Total Ambos Sexos.</v>
      </c>
      <c r="CI169" s="135" t="str">
        <f t="shared" si="46"/>
        <v xml:space="preserve"> * La variable Niños, Niñas, Adolescentes y Jóvenes Mejor Niñez No puede ser mayor al Total Ambos Sexos.</v>
      </c>
      <c r="CO169" s="84">
        <f t="shared" si="47"/>
        <v>1</v>
      </c>
      <c r="CP169" s="84">
        <f t="shared" si="48"/>
        <v>1</v>
      </c>
      <c r="CQ169" s="84">
        <f t="shared" si="49"/>
        <v>1</v>
      </c>
      <c r="CR169" s="84">
        <f t="shared" si="50"/>
        <v>1</v>
      </c>
      <c r="CS169" s="84">
        <f t="shared" si="51"/>
        <v>1</v>
      </c>
      <c r="CT169" s="84">
        <f t="shared" si="52"/>
        <v>1</v>
      </c>
      <c r="CU169" s="84">
        <f t="shared" si="53"/>
        <v>1</v>
      </c>
    </row>
    <row r="170" spans="1:99" x14ac:dyDescent="0.25">
      <c r="A170" s="5790" t="s">
        <v>5478</v>
      </c>
      <c r="B170" s="6318"/>
      <c r="C170" s="3141" t="s">
        <v>65</v>
      </c>
      <c r="D170" s="341" t="s">
        <v>4567</v>
      </c>
      <c r="E170" s="607" t="s">
        <v>4568</v>
      </c>
      <c r="F170" s="344" t="s">
        <v>4569</v>
      </c>
      <c r="G170" s="345" t="s">
        <v>4570</v>
      </c>
      <c r="H170" s="346" t="s">
        <v>4571</v>
      </c>
      <c r="I170" s="345" t="s">
        <v>4572</v>
      </c>
      <c r="J170" s="346" t="s">
        <v>4573</v>
      </c>
      <c r="K170" s="345" t="s">
        <v>4574</v>
      </c>
      <c r="L170" s="349" t="s">
        <v>4575</v>
      </c>
      <c r="M170" s="345" t="s">
        <v>4576</v>
      </c>
      <c r="N170" s="349" t="s">
        <v>4577</v>
      </c>
      <c r="O170" s="345" t="s">
        <v>4578</v>
      </c>
      <c r="P170" s="349" t="s">
        <v>4579</v>
      </c>
      <c r="Q170" s="345" t="s">
        <v>4580</v>
      </c>
      <c r="R170" s="349" t="s">
        <v>4581</v>
      </c>
      <c r="S170" s="345" t="s">
        <v>4582</v>
      </c>
      <c r="T170" s="349" t="s">
        <v>4583</v>
      </c>
      <c r="U170" s="345" t="s">
        <v>4584</v>
      </c>
      <c r="V170" s="349" t="s">
        <v>4585</v>
      </c>
      <c r="W170" s="345" t="s">
        <v>4586</v>
      </c>
      <c r="X170" s="349" t="s">
        <v>4587</v>
      </c>
      <c r="Y170" s="345" t="s">
        <v>4588</v>
      </c>
      <c r="Z170" s="349" t="s">
        <v>4589</v>
      </c>
      <c r="AA170" s="345" t="s">
        <v>4590</v>
      </c>
      <c r="AB170" s="349" t="s">
        <v>4591</v>
      </c>
      <c r="AC170" s="345" t="s">
        <v>4592</v>
      </c>
      <c r="AD170" s="349" t="s">
        <v>4593</v>
      </c>
      <c r="AE170" s="345" t="s">
        <v>4594</v>
      </c>
      <c r="AF170" s="349" t="s">
        <v>4595</v>
      </c>
      <c r="AG170" s="345" t="s">
        <v>4596</v>
      </c>
      <c r="AH170" s="349" t="s">
        <v>4597</v>
      </c>
      <c r="AI170" s="345" t="s">
        <v>4598</v>
      </c>
      <c r="AJ170" s="349" t="s">
        <v>4599</v>
      </c>
      <c r="AK170" s="345" t="s">
        <v>4600</v>
      </c>
      <c r="AL170" s="349" t="s">
        <v>4601</v>
      </c>
      <c r="AM170" s="345" t="s">
        <v>4602</v>
      </c>
      <c r="AN170" s="349" t="s">
        <v>4603</v>
      </c>
      <c r="AO170" s="350" t="s">
        <v>4604</v>
      </c>
      <c r="AP170" s="351" t="s">
        <v>4605</v>
      </c>
      <c r="AQ170" s="346" t="s">
        <v>4606</v>
      </c>
      <c r="AR170" s="347" t="s">
        <v>4934</v>
      </c>
      <c r="AS170" s="346" t="s">
        <v>4935</v>
      </c>
      <c r="AT170" s="1089" t="s">
        <v>4936</v>
      </c>
      <c r="AU170" s="1253" t="s">
        <v>4937</v>
      </c>
      <c r="AV170" s="1253" t="s">
        <v>5234</v>
      </c>
      <c r="AW170" s="1093" t="s">
        <v>5235</v>
      </c>
      <c r="AX170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0" s="135" t="str">
        <f t="shared" si="40"/>
        <v xml:space="preserve"> * La variable Beneficiarios No puede ser mayor al Total Ambos Sexos.</v>
      </c>
      <c r="CD170" s="135" t="str">
        <f t="shared" si="41"/>
        <v xml:space="preserve"> * La variable Trans (Masculino) No puede ser mayor al Total Mujeres.</v>
      </c>
      <c r="CE170" s="135" t="str">
        <f t="shared" si="42"/>
        <v xml:space="preserve"> * La variable Trans (Femenino) No puede ser mayor al Total Hombres.</v>
      </c>
      <c r="CF170" s="135" t="str">
        <f t="shared" si="43"/>
        <v xml:space="preserve"> * La variable Pueblos Originarios No puede ser mayor al Total Ambos Sexos.</v>
      </c>
      <c r="CG170" s="135" t="str">
        <f t="shared" si="44"/>
        <v xml:space="preserve"> * La variable Migrantes No puede ser mayor al Total Ambos Sexos.</v>
      </c>
      <c r="CH170" s="135" t="str">
        <f t="shared" si="45"/>
        <v xml:space="preserve"> * La variable Niños, niñas, Adolescentes SENAME No puede ser mayor al Total Ambos Sexos.</v>
      </c>
      <c r="CI170" s="135" t="str">
        <f t="shared" si="46"/>
        <v xml:space="preserve"> * La variable Niños, Niñas, Adolescentes y Jóvenes Mejor Niñez No puede ser mayor al Total Ambos Sexos.</v>
      </c>
      <c r="CO170" s="84">
        <f t="shared" si="47"/>
        <v>1</v>
      </c>
      <c r="CP170" s="84">
        <f t="shared" si="48"/>
        <v>1</v>
      </c>
      <c r="CQ170" s="84">
        <f t="shared" si="49"/>
        <v>1</v>
      </c>
      <c r="CR170" s="84">
        <f t="shared" si="50"/>
        <v>1</v>
      </c>
      <c r="CS170" s="84">
        <f t="shared" si="51"/>
        <v>1</v>
      </c>
      <c r="CT170" s="84">
        <f t="shared" si="52"/>
        <v>1</v>
      </c>
      <c r="CU170" s="84">
        <f t="shared" si="53"/>
        <v>1</v>
      </c>
    </row>
    <row r="171" spans="1:99" x14ac:dyDescent="0.25">
      <c r="A171" s="5790" t="s">
        <v>5479</v>
      </c>
      <c r="B171" s="6841"/>
      <c r="C171" s="3140" t="s">
        <v>1034</v>
      </c>
      <c r="D171" s="623" t="s">
        <v>4567</v>
      </c>
      <c r="E171" s="624" t="s">
        <v>4568</v>
      </c>
      <c r="F171" s="625" t="s">
        <v>4569</v>
      </c>
      <c r="G171" s="379" t="s">
        <v>4570</v>
      </c>
      <c r="H171" s="387" t="s">
        <v>4571</v>
      </c>
      <c r="I171" s="379" t="s">
        <v>4572</v>
      </c>
      <c r="J171" s="387" t="s">
        <v>4573</v>
      </c>
      <c r="K171" s="379" t="s">
        <v>4574</v>
      </c>
      <c r="L171" s="388" t="s">
        <v>4575</v>
      </c>
      <c r="M171" s="379" t="s">
        <v>4576</v>
      </c>
      <c r="N171" s="388" t="s">
        <v>4577</v>
      </c>
      <c r="O171" s="379" t="s">
        <v>4578</v>
      </c>
      <c r="P171" s="388" t="s">
        <v>4579</v>
      </c>
      <c r="Q171" s="379" t="s">
        <v>4580</v>
      </c>
      <c r="R171" s="388" t="s">
        <v>4581</v>
      </c>
      <c r="S171" s="379" t="s">
        <v>4582</v>
      </c>
      <c r="T171" s="388" t="s">
        <v>4583</v>
      </c>
      <c r="U171" s="379" t="s">
        <v>4584</v>
      </c>
      <c r="V171" s="388" t="s">
        <v>4585</v>
      </c>
      <c r="W171" s="379" t="s">
        <v>4586</v>
      </c>
      <c r="X171" s="388" t="s">
        <v>4587</v>
      </c>
      <c r="Y171" s="379" t="s">
        <v>4588</v>
      </c>
      <c r="Z171" s="388" t="s">
        <v>4589</v>
      </c>
      <c r="AA171" s="379" t="s">
        <v>4590</v>
      </c>
      <c r="AB171" s="388" t="s">
        <v>4591</v>
      </c>
      <c r="AC171" s="379" t="s">
        <v>4592</v>
      </c>
      <c r="AD171" s="388" t="s">
        <v>4593</v>
      </c>
      <c r="AE171" s="379" t="s">
        <v>4594</v>
      </c>
      <c r="AF171" s="388" t="s">
        <v>4595</v>
      </c>
      <c r="AG171" s="379" t="s">
        <v>4596</v>
      </c>
      <c r="AH171" s="388" t="s">
        <v>4597</v>
      </c>
      <c r="AI171" s="379" t="s">
        <v>4598</v>
      </c>
      <c r="AJ171" s="388" t="s">
        <v>4599</v>
      </c>
      <c r="AK171" s="379" t="s">
        <v>4600</v>
      </c>
      <c r="AL171" s="388" t="s">
        <v>4601</v>
      </c>
      <c r="AM171" s="379" t="s">
        <v>4602</v>
      </c>
      <c r="AN171" s="388" t="s">
        <v>4603</v>
      </c>
      <c r="AO171" s="666" t="s">
        <v>4604</v>
      </c>
      <c r="AP171" s="389" t="s">
        <v>4605</v>
      </c>
      <c r="AQ171" s="387" t="s">
        <v>4606</v>
      </c>
      <c r="AR171" s="428" t="s">
        <v>4934</v>
      </c>
      <c r="AS171" s="387" t="s">
        <v>4935</v>
      </c>
      <c r="AT171" s="1114" t="s">
        <v>4936</v>
      </c>
      <c r="AU171" s="1258" t="s">
        <v>4937</v>
      </c>
      <c r="AV171" s="1258" t="s">
        <v>5234</v>
      </c>
      <c r="AW171" s="3134" t="s">
        <v>5235</v>
      </c>
      <c r="AX171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1" s="135" t="str">
        <f t="shared" si="40"/>
        <v xml:space="preserve"> * La variable Beneficiarios No puede ser mayor al Total Ambos Sexos.</v>
      </c>
      <c r="CD171" s="135" t="str">
        <f t="shared" si="41"/>
        <v xml:space="preserve"> * La variable Trans (Masculino) No puede ser mayor al Total Mujeres.</v>
      </c>
      <c r="CE171" s="135" t="str">
        <f t="shared" si="42"/>
        <v xml:space="preserve"> * La variable Trans (Femenino) No puede ser mayor al Total Hombres.</v>
      </c>
      <c r="CF171" s="135" t="str">
        <f t="shared" si="43"/>
        <v xml:space="preserve"> * La variable Pueblos Originarios No puede ser mayor al Total Ambos Sexos.</v>
      </c>
      <c r="CG171" s="135" t="str">
        <f t="shared" si="44"/>
        <v xml:space="preserve"> * La variable Migrantes No puede ser mayor al Total Ambos Sexos.</v>
      </c>
      <c r="CH171" s="135" t="str">
        <f t="shared" si="45"/>
        <v xml:space="preserve"> * La variable Niños, niñas, Adolescentes SENAME No puede ser mayor al Total Ambos Sexos.</v>
      </c>
      <c r="CI171" s="135" t="str">
        <f t="shared" si="46"/>
        <v xml:space="preserve"> * La variable Niños, Niñas, Adolescentes y Jóvenes Mejor Niñez No puede ser mayor al Total Ambos Sexos.</v>
      </c>
      <c r="CO171" s="84">
        <f t="shared" si="47"/>
        <v>1</v>
      </c>
      <c r="CP171" s="84">
        <f t="shared" si="48"/>
        <v>1</v>
      </c>
      <c r="CQ171" s="84">
        <f t="shared" si="49"/>
        <v>1</v>
      </c>
      <c r="CR171" s="84">
        <f t="shared" si="50"/>
        <v>1</v>
      </c>
      <c r="CS171" s="84">
        <f t="shared" si="51"/>
        <v>1</v>
      </c>
      <c r="CT171" s="84">
        <f t="shared" si="52"/>
        <v>1</v>
      </c>
      <c r="CU171" s="84">
        <f t="shared" si="53"/>
        <v>1</v>
      </c>
    </row>
    <row r="172" spans="1:99" x14ac:dyDescent="0.25">
      <c r="A172" s="5790" t="s">
        <v>5480</v>
      </c>
      <c r="B172" s="6636" t="s">
        <v>1313</v>
      </c>
      <c r="C172" s="3138" t="s">
        <v>98</v>
      </c>
      <c r="D172" s="3139" t="s">
        <v>4567</v>
      </c>
      <c r="E172" s="605" t="s">
        <v>4568</v>
      </c>
      <c r="F172" s="606" t="s">
        <v>4569</v>
      </c>
      <c r="G172" s="747" t="s">
        <v>4570</v>
      </c>
      <c r="H172" s="566" t="s">
        <v>4571</v>
      </c>
      <c r="I172" s="747" t="s">
        <v>4572</v>
      </c>
      <c r="J172" s="566" t="s">
        <v>4573</v>
      </c>
      <c r="K172" s="747" t="s">
        <v>4574</v>
      </c>
      <c r="L172" s="748" t="s">
        <v>4575</v>
      </c>
      <c r="M172" s="747" t="s">
        <v>4576</v>
      </c>
      <c r="N172" s="748" t="s">
        <v>4577</v>
      </c>
      <c r="O172" s="747" t="s">
        <v>4578</v>
      </c>
      <c r="P172" s="748" t="s">
        <v>4579</v>
      </c>
      <c r="Q172" s="747" t="s">
        <v>4580</v>
      </c>
      <c r="R172" s="748" t="s">
        <v>4581</v>
      </c>
      <c r="S172" s="747" t="s">
        <v>4582</v>
      </c>
      <c r="T172" s="748" t="s">
        <v>4583</v>
      </c>
      <c r="U172" s="747" t="s">
        <v>4584</v>
      </c>
      <c r="V172" s="748" t="s">
        <v>4585</v>
      </c>
      <c r="W172" s="747" t="s">
        <v>4586</v>
      </c>
      <c r="X172" s="748" t="s">
        <v>4587</v>
      </c>
      <c r="Y172" s="747" t="s">
        <v>4588</v>
      </c>
      <c r="Z172" s="566" t="s">
        <v>4589</v>
      </c>
      <c r="AA172" s="747" t="s">
        <v>4590</v>
      </c>
      <c r="AB172" s="748" t="s">
        <v>4591</v>
      </c>
      <c r="AC172" s="747" t="s">
        <v>4592</v>
      </c>
      <c r="AD172" s="748" t="s">
        <v>4593</v>
      </c>
      <c r="AE172" s="747" t="s">
        <v>4594</v>
      </c>
      <c r="AF172" s="748" t="s">
        <v>4595</v>
      </c>
      <c r="AG172" s="747" t="s">
        <v>4596</v>
      </c>
      <c r="AH172" s="748" t="s">
        <v>4597</v>
      </c>
      <c r="AI172" s="747" t="s">
        <v>4598</v>
      </c>
      <c r="AJ172" s="748" t="s">
        <v>4599</v>
      </c>
      <c r="AK172" s="747" t="s">
        <v>4600</v>
      </c>
      <c r="AL172" s="748" t="s">
        <v>4601</v>
      </c>
      <c r="AM172" s="747" t="s">
        <v>4602</v>
      </c>
      <c r="AN172" s="748" t="s">
        <v>4603</v>
      </c>
      <c r="AO172" s="749" t="s">
        <v>4604</v>
      </c>
      <c r="AP172" s="736" t="s">
        <v>4605</v>
      </c>
      <c r="AQ172" s="566" t="s">
        <v>4606</v>
      </c>
      <c r="AR172" s="476" t="s">
        <v>4934</v>
      </c>
      <c r="AS172" s="566" t="s">
        <v>4935</v>
      </c>
      <c r="AT172" s="1726" t="s">
        <v>4936</v>
      </c>
      <c r="AU172" s="750" t="s">
        <v>4937</v>
      </c>
      <c r="AV172" s="750" t="s">
        <v>5234</v>
      </c>
      <c r="AW172" s="3129" t="s">
        <v>5235</v>
      </c>
      <c r="AX172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2" s="135" t="str">
        <f t="shared" si="40"/>
        <v xml:space="preserve"> * La variable Beneficiarios No puede ser mayor al Total Ambos Sexos.</v>
      </c>
      <c r="CD172" s="135" t="str">
        <f t="shared" si="41"/>
        <v xml:space="preserve"> * La variable Trans (Masculino) No puede ser mayor al Total Mujeres.</v>
      </c>
      <c r="CE172" s="135" t="str">
        <f t="shared" si="42"/>
        <v xml:space="preserve"> * La variable Trans (Femenino) No puede ser mayor al Total Hombres.</v>
      </c>
      <c r="CF172" s="135" t="str">
        <f t="shared" si="43"/>
        <v xml:space="preserve"> * La variable Pueblos Originarios No puede ser mayor al Total Ambos Sexos.</v>
      </c>
      <c r="CG172" s="135" t="str">
        <f t="shared" si="44"/>
        <v xml:space="preserve"> * La variable Migrantes No puede ser mayor al Total Ambos Sexos.</v>
      </c>
      <c r="CH172" s="135" t="str">
        <f t="shared" si="45"/>
        <v xml:space="preserve"> * La variable Niños, niñas, Adolescentes SENAME No puede ser mayor al Total Ambos Sexos.</v>
      </c>
      <c r="CI172" s="135" t="str">
        <f t="shared" si="46"/>
        <v xml:space="preserve"> * La variable Niños, Niñas, Adolescentes y Jóvenes Mejor Niñez No puede ser mayor al Total Ambos Sexos.</v>
      </c>
      <c r="CO172" s="84">
        <f t="shared" si="47"/>
        <v>1</v>
      </c>
      <c r="CP172" s="84">
        <f t="shared" si="48"/>
        <v>1</v>
      </c>
      <c r="CQ172" s="84">
        <f t="shared" si="49"/>
        <v>1</v>
      </c>
      <c r="CR172" s="84">
        <f t="shared" si="50"/>
        <v>1</v>
      </c>
      <c r="CS172" s="84">
        <f t="shared" si="51"/>
        <v>1</v>
      </c>
      <c r="CT172" s="84">
        <f t="shared" si="52"/>
        <v>1</v>
      </c>
      <c r="CU172" s="84">
        <f t="shared" si="53"/>
        <v>1</v>
      </c>
    </row>
    <row r="173" spans="1:99" x14ac:dyDescent="0.25">
      <c r="A173" s="5791" t="s">
        <v>5481</v>
      </c>
      <c r="B173" s="6230"/>
      <c r="C173" s="3140" t="s">
        <v>65</v>
      </c>
      <c r="D173" s="341" t="s">
        <v>4567</v>
      </c>
      <c r="E173" s="624" t="s">
        <v>4568</v>
      </c>
      <c r="F173" s="625" t="s">
        <v>4569</v>
      </c>
      <c r="G173" s="379" t="s">
        <v>4570</v>
      </c>
      <c r="H173" s="387" t="s">
        <v>4571</v>
      </c>
      <c r="I173" s="379" t="s">
        <v>4572</v>
      </c>
      <c r="J173" s="387" t="s">
        <v>4573</v>
      </c>
      <c r="K173" s="379" t="s">
        <v>4574</v>
      </c>
      <c r="L173" s="388" t="s">
        <v>4575</v>
      </c>
      <c r="M173" s="379" t="s">
        <v>4576</v>
      </c>
      <c r="N173" s="388" t="s">
        <v>4577</v>
      </c>
      <c r="O173" s="379" t="s">
        <v>4578</v>
      </c>
      <c r="P173" s="388" t="s">
        <v>4579</v>
      </c>
      <c r="Q173" s="379" t="s">
        <v>4580</v>
      </c>
      <c r="R173" s="388" t="s">
        <v>4581</v>
      </c>
      <c r="S173" s="379" t="s">
        <v>4582</v>
      </c>
      <c r="T173" s="388" t="s">
        <v>4583</v>
      </c>
      <c r="U173" s="379" t="s">
        <v>4584</v>
      </c>
      <c r="V173" s="388" t="s">
        <v>4585</v>
      </c>
      <c r="W173" s="379" t="s">
        <v>4586</v>
      </c>
      <c r="X173" s="388" t="s">
        <v>4587</v>
      </c>
      <c r="Y173" s="379" t="s">
        <v>4588</v>
      </c>
      <c r="Z173" s="388" t="s">
        <v>4589</v>
      </c>
      <c r="AA173" s="379" t="s">
        <v>4590</v>
      </c>
      <c r="AB173" s="388" t="s">
        <v>4591</v>
      </c>
      <c r="AC173" s="379" t="s">
        <v>4592</v>
      </c>
      <c r="AD173" s="388" t="s">
        <v>4593</v>
      </c>
      <c r="AE173" s="379" t="s">
        <v>4594</v>
      </c>
      <c r="AF173" s="388" t="s">
        <v>4595</v>
      </c>
      <c r="AG173" s="379" t="s">
        <v>4596</v>
      </c>
      <c r="AH173" s="388" t="s">
        <v>4597</v>
      </c>
      <c r="AI173" s="379" t="s">
        <v>4598</v>
      </c>
      <c r="AJ173" s="388" t="s">
        <v>4599</v>
      </c>
      <c r="AK173" s="379" t="s">
        <v>4600</v>
      </c>
      <c r="AL173" s="388" t="s">
        <v>4601</v>
      </c>
      <c r="AM173" s="379" t="s">
        <v>4602</v>
      </c>
      <c r="AN173" s="388" t="s">
        <v>4603</v>
      </c>
      <c r="AO173" s="666" t="s">
        <v>4604</v>
      </c>
      <c r="AP173" s="389" t="s">
        <v>4605</v>
      </c>
      <c r="AQ173" s="387" t="s">
        <v>4606</v>
      </c>
      <c r="AR173" s="428" t="s">
        <v>4934</v>
      </c>
      <c r="AS173" s="387" t="s">
        <v>4935</v>
      </c>
      <c r="AT173" s="1114" t="s">
        <v>4936</v>
      </c>
      <c r="AU173" s="1258" t="s">
        <v>4937</v>
      </c>
      <c r="AV173" s="1258" t="s">
        <v>5234</v>
      </c>
      <c r="AW173" s="3134" t="s">
        <v>5235</v>
      </c>
      <c r="AX173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3" s="135" t="str">
        <f t="shared" si="40"/>
        <v xml:space="preserve"> * La variable Beneficiarios No puede ser mayor al Total Ambos Sexos.</v>
      </c>
      <c r="CD173" s="135" t="str">
        <f t="shared" si="41"/>
        <v xml:space="preserve"> * La variable Trans (Masculino) No puede ser mayor al Total Mujeres.</v>
      </c>
      <c r="CE173" s="135" t="str">
        <f t="shared" si="42"/>
        <v xml:space="preserve"> * La variable Trans (Femenino) No puede ser mayor al Total Hombres.</v>
      </c>
      <c r="CF173" s="135" t="str">
        <f t="shared" si="43"/>
        <v xml:space="preserve"> * La variable Pueblos Originarios No puede ser mayor al Total Ambos Sexos.</v>
      </c>
      <c r="CG173" s="135" t="str">
        <f t="shared" si="44"/>
        <v xml:space="preserve"> * La variable Migrantes No puede ser mayor al Total Ambos Sexos.</v>
      </c>
      <c r="CH173" s="135" t="str">
        <f t="shared" si="45"/>
        <v xml:space="preserve"> * La variable Niños, niñas, Adolescentes SENAME No puede ser mayor al Total Ambos Sexos.</v>
      </c>
      <c r="CI173" s="135" t="str">
        <f t="shared" si="46"/>
        <v xml:space="preserve"> * La variable Niños, Niñas, Adolescentes y Jóvenes Mejor Niñez No puede ser mayor al Total Ambos Sexos.</v>
      </c>
      <c r="CO173" s="84">
        <f t="shared" si="47"/>
        <v>1</v>
      </c>
      <c r="CP173" s="84">
        <f t="shared" si="48"/>
        <v>1</v>
      </c>
      <c r="CQ173" s="84">
        <f t="shared" si="49"/>
        <v>1</v>
      </c>
      <c r="CR173" s="84">
        <f t="shared" si="50"/>
        <v>1</v>
      </c>
      <c r="CS173" s="84">
        <f t="shared" si="51"/>
        <v>1</v>
      </c>
      <c r="CT173" s="84">
        <f t="shared" si="52"/>
        <v>1</v>
      </c>
      <c r="CU173" s="84">
        <f t="shared" si="53"/>
        <v>1</v>
      </c>
    </row>
    <row r="174" spans="1:99" x14ac:dyDescent="0.25">
      <c r="A174" s="5790" t="s">
        <v>5482</v>
      </c>
      <c r="B174" s="6636" t="s">
        <v>1314</v>
      </c>
      <c r="C174" s="3138" t="s">
        <v>98</v>
      </c>
      <c r="D174" s="3139" t="s">
        <v>4567</v>
      </c>
      <c r="E174" s="605" t="s">
        <v>4568</v>
      </c>
      <c r="F174" s="606" t="s">
        <v>4569</v>
      </c>
      <c r="G174" s="747" t="s">
        <v>4570</v>
      </c>
      <c r="H174" s="566" t="s">
        <v>4571</v>
      </c>
      <c r="I174" s="747" t="s">
        <v>4572</v>
      </c>
      <c r="J174" s="566" t="s">
        <v>4573</v>
      </c>
      <c r="K174" s="747" t="s">
        <v>4574</v>
      </c>
      <c r="L174" s="748" t="s">
        <v>4575</v>
      </c>
      <c r="M174" s="747" t="s">
        <v>4576</v>
      </c>
      <c r="N174" s="748" t="s">
        <v>4577</v>
      </c>
      <c r="O174" s="747" t="s">
        <v>4578</v>
      </c>
      <c r="P174" s="748" t="s">
        <v>4579</v>
      </c>
      <c r="Q174" s="747" t="s">
        <v>4580</v>
      </c>
      <c r="R174" s="748" t="s">
        <v>4581</v>
      </c>
      <c r="S174" s="747" t="s">
        <v>4582</v>
      </c>
      <c r="T174" s="748" t="s">
        <v>4583</v>
      </c>
      <c r="U174" s="747" t="s">
        <v>4584</v>
      </c>
      <c r="V174" s="748" t="s">
        <v>4585</v>
      </c>
      <c r="W174" s="747" t="s">
        <v>4586</v>
      </c>
      <c r="X174" s="748" t="s">
        <v>4587</v>
      </c>
      <c r="Y174" s="290" t="s">
        <v>4588</v>
      </c>
      <c r="Z174" s="622" t="s">
        <v>4589</v>
      </c>
      <c r="AA174" s="290" t="s">
        <v>4590</v>
      </c>
      <c r="AB174" s="622" t="s">
        <v>4591</v>
      </c>
      <c r="AC174" s="290" t="s">
        <v>4592</v>
      </c>
      <c r="AD174" s="622" t="s">
        <v>4593</v>
      </c>
      <c r="AE174" s="290" t="s">
        <v>4594</v>
      </c>
      <c r="AF174" s="622" t="s">
        <v>4595</v>
      </c>
      <c r="AG174" s="290" t="s">
        <v>4596</v>
      </c>
      <c r="AH174" s="622" t="s">
        <v>4597</v>
      </c>
      <c r="AI174" s="290" t="s">
        <v>4598</v>
      </c>
      <c r="AJ174" s="622" t="s">
        <v>4599</v>
      </c>
      <c r="AK174" s="290" t="s">
        <v>4600</v>
      </c>
      <c r="AL174" s="622" t="s">
        <v>4601</v>
      </c>
      <c r="AM174" s="290" t="s">
        <v>4602</v>
      </c>
      <c r="AN174" s="622" t="s">
        <v>4603</v>
      </c>
      <c r="AO174" s="245" t="s">
        <v>4604</v>
      </c>
      <c r="AP174" s="430" t="s">
        <v>4605</v>
      </c>
      <c r="AQ174" s="566" t="s">
        <v>4606</v>
      </c>
      <c r="AR174" s="476" t="s">
        <v>4934</v>
      </c>
      <c r="AS174" s="566" t="s">
        <v>4935</v>
      </c>
      <c r="AT174" s="1726" t="s">
        <v>4936</v>
      </c>
      <c r="AU174" s="750" t="s">
        <v>4937</v>
      </c>
      <c r="AV174" s="750" t="s">
        <v>5234</v>
      </c>
      <c r="AW174" s="3129" t="s">
        <v>5235</v>
      </c>
      <c r="AX174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4" s="135" t="str">
        <f t="shared" si="40"/>
        <v xml:space="preserve"> * La variable Beneficiarios No puede ser mayor al Total Ambos Sexos.</v>
      </c>
      <c r="CD174" s="135" t="str">
        <f t="shared" si="41"/>
        <v xml:space="preserve"> * La variable Trans (Masculino) No puede ser mayor al Total Mujeres.</v>
      </c>
      <c r="CE174" s="135" t="str">
        <f t="shared" si="42"/>
        <v xml:space="preserve"> * La variable Trans (Femenino) No puede ser mayor al Total Hombres.</v>
      </c>
      <c r="CF174" s="135" t="str">
        <f t="shared" si="43"/>
        <v xml:space="preserve"> * La variable Pueblos Originarios No puede ser mayor al Total Ambos Sexos.</v>
      </c>
      <c r="CG174" s="135" t="str">
        <f t="shared" si="44"/>
        <v xml:space="preserve"> * La variable Migrantes No puede ser mayor al Total Ambos Sexos.</v>
      </c>
      <c r="CH174" s="135" t="str">
        <f t="shared" si="45"/>
        <v xml:space="preserve"> * La variable Niños, niñas, Adolescentes SENAME No puede ser mayor al Total Ambos Sexos.</v>
      </c>
      <c r="CI174" s="135" t="str">
        <f t="shared" si="46"/>
        <v xml:space="preserve"> * La variable Niños, Niñas, Adolescentes y Jóvenes Mejor Niñez No puede ser mayor al Total Ambos Sexos.</v>
      </c>
      <c r="CO174" s="84">
        <f t="shared" si="47"/>
        <v>1</v>
      </c>
      <c r="CP174" s="84">
        <f t="shared" si="48"/>
        <v>1</v>
      </c>
      <c r="CQ174" s="84">
        <f t="shared" si="49"/>
        <v>1</v>
      </c>
      <c r="CR174" s="84">
        <f t="shared" si="50"/>
        <v>1</v>
      </c>
      <c r="CS174" s="84">
        <f t="shared" si="51"/>
        <v>1</v>
      </c>
      <c r="CT174" s="84">
        <f t="shared" si="52"/>
        <v>1</v>
      </c>
      <c r="CU174" s="84">
        <f t="shared" si="53"/>
        <v>1</v>
      </c>
    </row>
    <row r="175" spans="1:99" x14ac:dyDescent="0.25">
      <c r="A175" s="5790" t="s">
        <v>5483</v>
      </c>
      <c r="B175" s="6230"/>
      <c r="C175" s="3140" t="s">
        <v>65</v>
      </c>
      <c r="D175" s="341" t="s">
        <v>4567</v>
      </c>
      <c r="E175" s="624" t="s">
        <v>4568</v>
      </c>
      <c r="F175" s="625" t="s">
        <v>4569</v>
      </c>
      <c r="G175" s="379" t="s">
        <v>4570</v>
      </c>
      <c r="H175" s="387" t="s">
        <v>4571</v>
      </c>
      <c r="I175" s="379" t="s">
        <v>4572</v>
      </c>
      <c r="J175" s="387" t="s">
        <v>4573</v>
      </c>
      <c r="K175" s="379" t="s">
        <v>4574</v>
      </c>
      <c r="L175" s="388" t="s">
        <v>4575</v>
      </c>
      <c r="M175" s="379" t="s">
        <v>4576</v>
      </c>
      <c r="N175" s="388" t="s">
        <v>4577</v>
      </c>
      <c r="O175" s="379" t="s">
        <v>4578</v>
      </c>
      <c r="P175" s="388" t="s">
        <v>4579</v>
      </c>
      <c r="Q175" s="379" t="s">
        <v>4580</v>
      </c>
      <c r="R175" s="388" t="s">
        <v>4581</v>
      </c>
      <c r="S175" s="379" t="s">
        <v>4582</v>
      </c>
      <c r="T175" s="388" t="s">
        <v>4583</v>
      </c>
      <c r="U175" s="379" t="s">
        <v>4584</v>
      </c>
      <c r="V175" s="388" t="s">
        <v>4585</v>
      </c>
      <c r="W175" s="379" t="s">
        <v>4586</v>
      </c>
      <c r="X175" s="388" t="s">
        <v>4587</v>
      </c>
      <c r="Y175" s="47" t="s">
        <v>4588</v>
      </c>
      <c r="Z175" s="107" t="s">
        <v>4589</v>
      </c>
      <c r="AA175" s="290" t="s">
        <v>4590</v>
      </c>
      <c r="AB175" s="622" t="s">
        <v>4591</v>
      </c>
      <c r="AC175" s="290" t="s">
        <v>4592</v>
      </c>
      <c r="AD175" s="622" t="s">
        <v>4593</v>
      </c>
      <c r="AE175" s="290" t="s">
        <v>4594</v>
      </c>
      <c r="AF175" s="622" t="s">
        <v>4595</v>
      </c>
      <c r="AG175" s="290" t="s">
        <v>4596</v>
      </c>
      <c r="AH175" s="622" t="s">
        <v>4597</v>
      </c>
      <c r="AI175" s="290" t="s">
        <v>4598</v>
      </c>
      <c r="AJ175" s="622" t="s">
        <v>4599</v>
      </c>
      <c r="AK175" s="290" t="s">
        <v>4600</v>
      </c>
      <c r="AL175" s="622" t="s">
        <v>4601</v>
      </c>
      <c r="AM175" s="290" t="s">
        <v>4602</v>
      </c>
      <c r="AN175" s="622" t="s">
        <v>4603</v>
      </c>
      <c r="AO175" s="245" t="s">
        <v>4604</v>
      </c>
      <c r="AP175" s="430" t="s">
        <v>4605</v>
      </c>
      <c r="AQ175" s="107" t="s">
        <v>4606</v>
      </c>
      <c r="AR175" s="22" t="s">
        <v>4934</v>
      </c>
      <c r="AS175" s="107" t="s">
        <v>4935</v>
      </c>
      <c r="AT175" s="290" t="s">
        <v>4936</v>
      </c>
      <c r="AU175" s="531" t="s">
        <v>4937</v>
      </c>
      <c r="AV175" s="531" t="s">
        <v>5234</v>
      </c>
      <c r="AW175" s="622" t="s">
        <v>5235</v>
      </c>
      <c r="AX175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5" s="135" t="str">
        <f t="shared" si="40"/>
        <v xml:space="preserve"> * La variable Beneficiarios No puede ser mayor al Total Ambos Sexos.</v>
      </c>
      <c r="CD175" s="135" t="str">
        <f t="shared" si="41"/>
        <v xml:space="preserve"> * La variable Trans (Masculino) No puede ser mayor al Total Mujeres.</v>
      </c>
      <c r="CE175" s="135" t="str">
        <f t="shared" si="42"/>
        <v xml:space="preserve"> * La variable Trans (Femenino) No puede ser mayor al Total Hombres.</v>
      </c>
      <c r="CF175" s="135" t="str">
        <f t="shared" si="43"/>
        <v xml:space="preserve"> * La variable Pueblos Originarios No puede ser mayor al Total Ambos Sexos.</v>
      </c>
      <c r="CG175" s="135" t="str">
        <f t="shared" si="44"/>
        <v xml:space="preserve"> * La variable Migrantes No puede ser mayor al Total Ambos Sexos.</v>
      </c>
      <c r="CH175" s="135" t="str">
        <f t="shared" si="45"/>
        <v xml:space="preserve"> * La variable Niños, niñas, Adolescentes SENAME No puede ser mayor al Total Ambos Sexos.</v>
      </c>
      <c r="CI175" s="135" t="str">
        <f t="shared" si="46"/>
        <v xml:space="preserve"> * La variable Niños, Niñas, Adolescentes y Jóvenes Mejor Niñez No puede ser mayor al Total Ambos Sexos.</v>
      </c>
      <c r="CO175" s="84">
        <f t="shared" si="47"/>
        <v>1</v>
      </c>
      <c r="CP175" s="84">
        <f t="shared" si="48"/>
        <v>1</v>
      </c>
      <c r="CQ175" s="84">
        <f t="shared" si="49"/>
        <v>1</v>
      </c>
      <c r="CR175" s="84">
        <f t="shared" si="50"/>
        <v>1</v>
      </c>
      <c r="CS175" s="84">
        <f t="shared" si="51"/>
        <v>1</v>
      </c>
      <c r="CT175" s="84">
        <f t="shared" si="52"/>
        <v>1</v>
      </c>
      <c r="CU175" s="84">
        <f t="shared" si="53"/>
        <v>1</v>
      </c>
    </row>
    <row r="176" spans="1:99" x14ac:dyDescent="0.25">
      <c r="A176" s="5790" t="s">
        <v>5484</v>
      </c>
      <c r="B176" s="6453" t="s">
        <v>1315</v>
      </c>
      <c r="C176" s="3138" t="s">
        <v>98</v>
      </c>
      <c r="D176" s="3142" t="s">
        <v>4567</v>
      </c>
      <c r="E176" s="605" t="s">
        <v>4568</v>
      </c>
      <c r="F176" s="764" t="s">
        <v>4569</v>
      </c>
      <c r="G176" s="3143" t="s">
        <v>4570</v>
      </c>
      <c r="H176" s="660" t="s">
        <v>4571</v>
      </c>
      <c r="I176" s="3143" t="s">
        <v>4572</v>
      </c>
      <c r="J176" s="660" t="s">
        <v>4573</v>
      </c>
      <c r="K176" s="3143" t="s">
        <v>4574</v>
      </c>
      <c r="L176" s="660" t="s">
        <v>4575</v>
      </c>
      <c r="M176" s="3144" t="s">
        <v>4576</v>
      </c>
      <c r="N176" s="655" t="s">
        <v>4577</v>
      </c>
      <c r="O176" s="3144" t="s">
        <v>4578</v>
      </c>
      <c r="P176" s="655" t="s">
        <v>4579</v>
      </c>
      <c r="Q176" s="653" t="s">
        <v>4580</v>
      </c>
      <c r="R176" s="655" t="s">
        <v>4581</v>
      </c>
      <c r="S176" s="653" t="s">
        <v>4582</v>
      </c>
      <c r="T176" s="655" t="s">
        <v>4583</v>
      </c>
      <c r="U176" s="653" t="s">
        <v>4584</v>
      </c>
      <c r="V176" s="655" t="s">
        <v>4585</v>
      </c>
      <c r="W176" s="653" t="s">
        <v>4586</v>
      </c>
      <c r="X176" s="655" t="s">
        <v>4587</v>
      </c>
      <c r="Y176" s="653" t="s">
        <v>4588</v>
      </c>
      <c r="Z176" s="655" t="s">
        <v>4589</v>
      </c>
      <c r="AA176" s="653" t="s">
        <v>4590</v>
      </c>
      <c r="AB176" s="655" t="s">
        <v>4591</v>
      </c>
      <c r="AC176" s="653" t="s">
        <v>4592</v>
      </c>
      <c r="AD176" s="655" t="s">
        <v>4593</v>
      </c>
      <c r="AE176" s="653" t="s">
        <v>4594</v>
      </c>
      <c r="AF176" s="655" t="s">
        <v>4595</v>
      </c>
      <c r="AG176" s="653" t="s">
        <v>4596</v>
      </c>
      <c r="AH176" s="655" t="s">
        <v>4597</v>
      </c>
      <c r="AI176" s="653" t="s">
        <v>4598</v>
      </c>
      <c r="AJ176" s="655" t="s">
        <v>4599</v>
      </c>
      <c r="AK176" s="653" t="s">
        <v>4600</v>
      </c>
      <c r="AL176" s="655" t="s">
        <v>4601</v>
      </c>
      <c r="AM176" s="653" t="s">
        <v>4602</v>
      </c>
      <c r="AN176" s="655" t="s">
        <v>4603</v>
      </c>
      <c r="AO176" s="765" t="s">
        <v>4604</v>
      </c>
      <c r="AP176" s="766" t="s">
        <v>4605</v>
      </c>
      <c r="AQ176" s="652" t="s">
        <v>4606</v>
      </c>
      <c r="AR176" s="769" t="s">
        <v>4934</v>
      </c>
      <c r="AS176" s="652" t="s">
        <v>4935</v>
      </c>
      <c r="AT176" s="3123" t="s">
        <v>4936</v>
      </c>
      <c r="AU176" s="3145" t="s">
        <v>4937</v>
      </c>
      <c r="AV176" s="3145" t="s">
        <v>5234</v>
      </c>
      <c r="AW176" s="3124" t="s">
        <v>5235</v>
      </c>
      <c r="AX176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6" s="135" t="str">
        <f t="shared" si="40"/>
        <v xml:space="preserve"> * La variable Beneficiarios No puede ser mayor al Total Ambos Sexos.</v>
      </c>
      <c r="CD176" s="135" t="str">
        <f t="shared" si="41"/>
        <v xml:space="preserve"> * La variable Trans (Masculino) No puede ser mayor al Total Mujeres.</v>
      </c>
      <c r="CE176" s="135" t="str">
        <f t="shared" si="42"/>
        <v xml:space="preserve"> * La variable Trans (Femenino) No puede ser mayor al Total Hombres.</v>
      </c>
      <c r="CF176" s="135" t="str">
        <f t="shared" si="43"/>
        <v xml:space="preserve"> * La variable Pueblos Originarios No puede ser mayor al Total Ambos Sexos.</v>
      </c>
      <c r="CG176" s="135" t="str">
        <f t="shared" si="44"/>
        <v xml:space="preserve"> * La variable Migrantes No puede ser mayor al Total Ambos Sexos.</v>
      </c>
      <c r="CH176" s="135" t="str">
        <f t="shared" si="45"/>
        <v xml:space="preserve"> * La variable Niños, niñas, Adolescentes SENAME No puede ser mayor al Total Ambos Sexos.</v>
      </c>
      <c r="CI176" s="135" t="str">
        <f t="shared" si="46"/>
        <v xml:space="preserve"> * La variable Niños, Niñas, Adolescentes y Jóvenes Mejor Niñez No puede ser mayor al Total Ambos Sexos.</v>
      </c>
      <c r="CO176" s="84">
        <f t="shared" si="47"/>
        <v>1</v>
      </c>
      <c r="CP176" s="84">
        <f t="shared" si="48"/>
        <v>1</v>
      </c>
      <c r="CQ176" s="84">
        <f t="shared" si="49"/>
        <v>1</v>
      </c>
      <c r="CR176" s="84">
        <f t="shared" si="50"/>
        <v>1</v>
      </c>
      <c r="CS176" s="84">
        <f t="shared" si="51"/>
        <v>1</v>
      </c>
      <c r="CT176" s="84">
        <f t="shared" si="52"/>
        <v>1</v>
      </c>
      <c r="CU176" s="84">
        <f t="shared" si="53"/>
        <v>1</v>
      </c>
    </row>
    <row r="177" spans="1:99" x14ac:dyDescent="0.25">
      <c r="A177" s="5790" t="s">
        <v>5485</v>
      </c>
      <c r="B177" s="6842"/>
      <c r="C177" s="3140" t="s">
        <v>65</v>
      </c>
      <c r="D177" s="623" t="s">
        <v>4567</v>
      </c>
      <c r="E177" s="624" t="s">
        <v>4568</v>
      </c>
      <c r="F177" s="625" t="s">
        <v>4569</v>
      </c>
      <c r="G177" s="620" t="s">
        <v>4570</v>
      </c>
      <c r="H177" s="621" t="s">
        <v>4571</v>
      </c>
      <c r="I177" s="620" t="s">
        <v>4572</v>
      </c>
      <c r="J177" s="621" t="s">
        <v>4573</v>
      </c>
      <c r="K177" s="620" t="s">
        <v>4574</v>
      </c>
      <c r="L177" s="621" t="s">
        <v>4575</v>
      </c>
      <c r="M177" s="3146" t="s">
        <v>4576</v>
      </c>
      <c r="N177" s="388" t="s">
        <v>4577</v>
      </c>
      <c r="O177" s="3146" t="s">
        <v>4578</v>
      </c>
      <c r="P177" s="388" t="s">
        <v>4579</v>
      </c>
      <c r="Q177" s="379" t="s">
        <v>4580</v>
      </c>
      <c r="R177" s="388" t="s">
        <v>4581</v>
      </c>
      <c r="S177" s="379" t="s">
        <v>4582</v>
      </c>
      <c r="T177" s="388" t="s">
        <v>4583</v>
      </c>
      <c r="U177" s="379" t="s">
        <v>4584</v>
      </c>
      <c r="V177" s="388" t="s">
        <v>4585</v>
      </c>
      <c r="W177" s="379" t="s">
        <v>4586</v>
      </c>
      <c r="X177" s="388" t="s">
        <v>4587</v>
      </c>
      <c r="Y177" s="379" t="s">
        <v>4588</v>
      </c>
      <c r="Z177" s="388" t="s">
        <v>4589</v>
      </c>
      <c r="AA177" s="379" t="s">
        <v>4590</v>
      </c>
      <c r="AB177" s="388" t="s">
        <v>4591</v>
      </c>
      <c r="AC177" s="379" t="s">
        <v>4592</v>
      </c>
      <c r="AD177" s="388" t="s">
        <v>4593</v>
      </c>
      <c r="AE177" s="379" t="s">
        <v>4594</v>
      </c>
      <c r="AF177" s="388" t="s">
        <v>4595</v>
      </c>
      <c r="AG177" s="379" t="s">
        <v>4596</v>
      </c>
      <c r="AH177" s="388" t="s">
        <v>4597</v>
      </c>
      <c r="AI177" s="379" t="s">
        <v>4598</v>
      </c>
      <c r="AJ177" s="388" t="s">
        <v>4599</v>
      </c>
      <c r="AK177" s="379" t="s">
        <v>4600</v>
      </c>
      <c r="AL177" s="388" t="s">
        <v>4601</v>
      </c>
      <c r="AM177" s="379" t="s">
        <v>4602</v>
      </c>
      <c r="AN177" s="388" t="s">
        <v>4603</v>
      </c>
      <c r="AO177" s="666" t="s">
        <v>4604</v>
      </c>
      <c r="AP177" s="389" t="s">
        <v>4605</v>
      </c>
      <c r="AQ177" s="387" t="s">
        <v>4606</v>
      </c>
      <c r="AR177" s="428" t="s">
        <v>4934</v>
      </c>
      <c r="AS177" s="387" t="s">
        <v>4935</v>
      </c>
      <c r="AT177" s="1114" t="s">
        <v>4936</v>
      </c>
      <c r="AU177" s="1258" t="s">
        <v>4937</v>
      </c>
      <c r="AV177" s="1258" t="s">
        <v>5234</v>
      </c>
      <c r="AW177" s="3134" t="s">
        <v>5235</v>
      </c>
      <c r="AX177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7" s="135" t="str">
        <f t="shared" si="40"/>
        <v xml:space="preserve"> * La variable Beneficiarios No puede ser mayor al Total Ambos Sexos.</v>
      </c>
      <c r="CD177" s="135" t="str">
        <f t="shared" si="41"/>
        <v xml:space="preserve"> * La variable Trans (Masculino) No puede ser mayor al Total Mujeres.</v>
      </c>
      <c r="CE177" s="135" t="str">
        <f t="shared" si="42"/>
        <v xml:space="preserve"> * La variable Trans (Femenino) No puede ser mayor al Total Hombres.</v>
      </c>
      <c r="CF177" s="135" t="str">
        <f t="shared" si="43"/>
        <v xml:space="preserve"> * La variable Pueblos Originarios No puede ser mayor al Total Ambos Sexos.</v>
      </c>
      <c r="CG177" s="135" t="str">
        <f t="shared" si="44"/>
        <v xml:space="preserve"> * La variable Migrantes No puede ser mayor al Total Ambos Sexos.</v>
      </c>
      <c r="CH177" s="135" t="str">
        <f t="shared" si="45"/>
        <v xml:space="preserve"> * La variable Niños, niñas, Adolescentes SENAME No puede ser mayor al Total Ambos Sexos.</v>
      </c>
      <c r="CI177" s="135" t="str">
        <f t="shared" si="46"/>
        <v xml:space="preserve"> * La variable Niños, Niñas, Adolescentes y Jóvenes Mejor Niñez No puede ser mayor al Total Ambos Sexos.</v>
      </c>
      <c r="CO177" s="84">
        <f t="shared" si="47"/>
        <v>1</v>
      </c>
      <c r="CP177" s="84">
        <f t="shared" si="48"/>
        <v>1</v>
      </c>
      <c r="CQ177" s="84">
        <f t="shared" si="49"/>
        <v>1</v>
      </c>
      <c r="CR177" s="84">
        <f t="shared" si="50"/>
        <v>1</v>
      </c>
      <c r="CS177" s="84">
        <f t="shared" si="51"/>
        <v>1</v>
      </c>
      <c r="CT177" s="84">
        <f t="shared" si="52"/>
        <v>1</v>
      </c>
      <c r="CU177" s="84">
        <f t="shared" si="53"/>
        <v>1</v>
      </c>
    </row>
    <row r="178" spans="1:99" s="6" customFormat="1" ht="18" customHeight="1" x14ac:dyDescent="0.2">
      <c r="B178" s="6850" t="s">
        <v>1316</v>
      </c>
      <c r="C178" s="6851"/>
      <c r="D178" s="6851"/>
      <c r="E178" s="6851"/>
      <c r="F178" s="6851"/>
      <c r="G178" s="6768"/>
      <c r="H178" s="6768"/>
      <c r="I178" s="6768"/>
      <c r="J178" s="6768"/>
      <c r="K178" s="6768"/>
      <c r="L178" s="6768"/>
      <c r="M178" s="6768"/>
      <c r="N178" s="6768"/>
      <c r="O178" s="6768"/>
      <c r="P178" s="6768"/>
      <c r="Q178" s="6768"/>
      <c r="R178" s="6768"/>
      <c r="S178" s="6768"/>
      <c r="T178" s="6768"/>
      <c r="U178" s="6768"/>
      <c r="V178" s="6768"/>
      <c r="W178" s="6768"/>
      <c r="X178" s="6768"/>
      <c r="Y178" s="6768"/>
      <c r="Z178" s="6768"/>
      <c r="AA178" s="6768"/>
      <c r="AB178" s="6768"/>
      <c r="AC178" s="6768"/>
      <c r="AD178" s="6768"/>
      <c r="AE178" s="6768"/>
      <c r="AF178" s="6768"/>
      <c r="AG178" s="6768"/>
      <c r="AH178" s="6768"/>
      <c r="AI178" s="4"/>
      <c r="AJ178" s="4"/>
      <c r="AK178" s="4"/>
      <c r="AL178" s="4"/>
      <c r="AM178" s="4"/>
      <c r="AN178" s="4"/>
      <c r="AO178" s="4"/>
      <c r="AP178" s="4"/>
      <c r="AQ178" s="4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</row>
    <row r="179" spans="1:99" ht="15" customHeight="1" x14ac:dyDescent="0.25">
      <c r="B179" s="6328" t="s">
        <v>1317</v>
      </c>
      <c r="C179" s="6843"/>
      <c r="D179" s="6847" t="s">
        <v>452</v>
      </c>
      <c r="E179" s="6848"/>
      <c r="F179" s="6848"/>
      <c r="G179" s="6704" t="s">
        <v>101</v>
      </c>
      <c r="H179" s="6515"/>
      <c r="I179" s="6515"/>
      <c r="J179" s="6515"/>
      <c r="K179" s="6515"/>
      <c r="L179" s="6515"/>
      <c r="M179" s="6515"/>
      <c r="N179" s="6515"/>
      <c r="O179" s="6515"/>
      <c r="P179" s="6515"/>
      <c r="Q179" s="6515"/>
      <c r="R179" s="6515"/>
      <c r="S179" s="6515"/>
      <c r="T179" s="6515"/>
      <c r="U179" s="6515"/>
      <c r="V179" s="6515"/>
      <c r="W179" s="6515"/>
      <c r="X179" s="6515"/>
      <c r="Y179" s="6515"/>
      <c r="Z179" s="6515"/>
      <c r="AA179" s="6515"/>
      <c r="AB179" s="6515"/>
      <c r="AC179" s="6515"/>
      <c r="AD179" s="6515"/>
      <c r="AE179" s="6515"/>
      <c r="AF179" s="6515"/>
      <c r="AG179" s="6515"/>
      <c r="AH179" s="6515"/>
      <c r="AI179" s="6515"/>
      <c r="AJ179" s="6455"/>
      <c r="AK179" s="6496" t="s">
        <v>1318</v>
      </c>
      <c r="AL179" s="6496"/>
      <c r="AM179" s="6496"/>
      <c r="AN179" s="6795"/>
      <c r="AO179" s="6792" t="s">
        <v>1319</v>
      </c>
      <c r="AP179" s="6495" t="s">
        <v>1320</v>
      </c>
      <c r="AQ179" s="6803"/>
      <c r="AR179" s="6804" t="s">
        <v>37</v>
      </c>
      <c r="AS179" s="6789" t="s">
        <v>36</v>
      </c>
    </row>
    <row r="180" spans="1:99" x14ac:dyDescent="0.25">
      <c r="B180" s="6844"/>
      <c r="C180" s="6845"/>
      <c r="D180" s="6846"/>
      <c r="E180" s="6849"/>
      <c r="F180" s="6798"/>
      <c r="G180" s="6797" t="s">
        <v>1203</v>
      </c>
      <c r="H180" s="6798"/>
      <c r="I180" s="6797" t="s">
        <v>1276</v>
      </c>
      <c r="J180" s="6798"/>
      <c r="K180" s="6797" t="s">
        <v>45</v>
      </c>
      <c r="L180" s="6798"/>
      <c r="M180" s="6797" t="s">
        <v>46</v>
      </c>
      <c r="N180" s="6798"/>
      <c r="O180" s="6797" t="s">
        <v>47</v>
      </c>
      <c r="P180" s="6798"/>
      <c r="Q180" s="6797" t="s">
        <v>48</v>
      </c>
      <c r="R180" s="6798"/>
      <c r="S180" s="6797" t="s">
        <v>49</v>
      </c>
      <c r="T180" s="6798"/>
      <c r="U180" s="6797" t="s">
        <v>50</v>
      </c>
      <c r="V180" s="6798"/>
      <c r="W180" s="6797" t="s">
        <v>51</v>
      </c>
      <c r="X180" s="6798"/>
      <c r="Y180" s="6797" t="s">
        <v>52</v>
      </c>
      <c r="Z180" s="6798"/>
      <c r="AA180" s="6797" t="s">
        <v>53</v>
      </c>
      <c r="AB180" s="6798"/>
      <c r="AC180" s="6797" t="s">
        <v>54</v>
      </c>
      <c r="AD180" s="6798"/>
      <c r="AE180" s="6797" t="s">
        <v>55</v>
      </c>
      <c r="AF180" s="6798"/>
      <c r="AG180" s="6797" t="s">
        <v>56</v>
      </c>
      <c r="AH180" s="6798"/>
      <c r="AI180" s="6797" t="s">
        <v>57</v>
      </c>
      <c r="AJ180" s="6885"/>
      <c r="AK180" s="6886" t="s">
        <v>1007</v>
      </c>
      <c r="AL180" s="6888" t="s">
        <v>1321</v>
      </c>
      <c r="AM180" s="6888" t="s">
        <v>1322</v>
      </c>
      <c r="AN180" s="6874" t="s">
        <v>554</v>
      </c>
      <c r="AO180" s="6793"/>
      <c r="AP180" s="6876" t="s">
        <v>1323</v>
      </c>
      <c r="AQ180" s="6878" t="s">
        <v>1324</v>
      </c>
      <c r="AR180" s="6805"/>
      <c r="AS180" s="6790"/>
    </row>
    <row r="181" spans="1:99" x14ac:dyDescent="0.25">
      <c r="B181" s="6846"/>
      <c r="C181" s="6798"/>
      <c r="D181" s="96" t="s">
        <v>79</v>
      </c>
      <c r="E181" s="227" t="s">
        <v>58</v>
      </c>
      <c r="F181" s="21" t="s">
        <v>59</v>
      </c>
      <c r="G181" s="97" t="s">
        <v>58</v>
      </c>
      <c r="H181" s="21" t="s">
        <v>59</v>
      </c>
      <c r="I181" s="97" t="s">
        <v>58</v>
      </c>
      <c r="J181" s="21" t="s">
        <v>59</v>
      </c>
      <c r="K181" s="97" t="s">
        <v>58</v>
      </c>
      <c r="L181" s="21" t="s">
        <v>59</v>
      </c>
      <c r="M181" s="97" t="s">
        <v>461</v>
      </c>
      <c r="N181" s="21" t="s">
        <v>59</v>
      </c>
      <c r="O181" s="97" t="s">
        <v>461</v>
      </c>
      <c r="P181" s="21" t="s">
        <v>59</v>
      </c>
      <c r="Q181" s="97" t="s">
        <v>461</v>
      </c>
      <c r="R181" s="21" t="s">
        <v>59</v>
      </c>
      <c r="S181" s="97" t="s">
        <v>461</v>
      </c>
      <c r="T181" s="21" t="s">
        <v>59</v>
      </c>
      <c r="U181" s="97" t="s">
        <v>461</v>
      </c>
      <c r="V181" s="21" t="s">
        <v>59</v>
      </c>
      <c r="W181" s="97" t="s">
        <v>461</v>
      </c>
      <c r="X181" s="21" t="s">
        <v>59</v>
      </c>
      <c r="Y181" s="97" t="s">
        <v>461</v>
      </c>
      <c r="Z181" s="21" t="s">
        <v>59</v>
      </c>
      <c r="AA181" s="97" t="s">
        <v>461</v>
      </c>
      <c r="AB181" s="21" t="s">
        <v>59</v>
      </c>
      <c r="AC181" s="97" t="s">
        <v>461</v>
      </c>
      <c r="AD181" s="21" t="s">
        <v>59</v>
      </c>
      <c r="AE181" s="97" t="s">
        <v>461</v>
      </c>
      <c r="AF181" s="21" t="s">
        <v>59</v>
      </c>
      <c r="AG181" s="97" t="s">
        <v>461</v>
      </c>
      <c r="AH181" s="21" t="s">
        <v>59</v>
      </c>
      <c r="AI181" s="97" t="s">
        <v>461</v>
      </c>
      <c r="AJ181" s="98" t="s">
        <v>59</v>
      </c>
      <c r="AK181" s="6887"/>
      <c r="AL181" s="6889"/>
      <c r="AM181" s="6890"/>
      <c r="AN181" s="6875"/>
      <c r="AO181" s="6794"/>
      <c r="AP181" s="6877"/>
      <c r="AQ181" s="6879"/>
      <c r="AR181" s="6806"/>
      <c r="AS181" s="6791"/>
    </row>
    <row r="182" spans="1:99" ht="15" customHeight="1" x14ac:dyDescent="0.25">
      <c r="A182" s="5790" t="s">
        <v>5486</v>
      </c>
      <c r="B182" s="6871" t="s">
        <v>1325</v>
      </c>
      <c r="C182" s="76" t="s">
        <v>964</v>
      </c>
      <c r="D182" s="77" t="s">
        <v>4567</v>
      </c>
      <c r="E182" s="228" t="s">
        <v>4568</v>
      </c>
      <c r="F182" s="226" t="s">
        <v>4569</v>
      </c>
      <c r="G182" s="3147" t="s">
        <v>4570</v>
      </c>
      <c r="H182" s="3148" t="s">
        <v>4571</v>
      </c>
      <c r="I182" s="3147" t="s">
        <v>4572</v>
      </c>
      <c r="J182" s="3148" t="s">
        <v>4573</v>
      </c>
      <c r="K182" s="3147" t="s">
        <v>4574</v>
      </c>
      <c r="L182" s="3148" t="s">
        <v>4575</v>
      </c>
      <c r="M182" s="3147" t="s">
        <v>4576</v>
      </c>
      <c r="N182" s="3148" t="s">
        <v>4577</v>
      </c>
      <c r="O182" s="3147" t="s">
        <v>4578</v>
      </c>
      <c r="P182" s="3148" t="s">
        <v>4579</v>
      </c>
      <c r="Q182" s="3147" t="s">
        <v>4580</v>
      </c>
      <c r="R182" s="3148" t="s">
        <v>4581</v>
      </c>
      <c r="S182" s="3147" t="s">
        <v>4582</v>
      </c>
      <c r="T182" s="3148" t="s">
        <v>4583</v>
      </c>
      <c r="U182" s="3147" t="s">
        <v>4584</v>
      </c>
      <c r="V182" s="3148" t="s">
        <v>4585</v>
      </c>
      <c r="W182" s="3147" t="s">
        <v>4586</v>
      </c>
      <c r="X182" s="3148" t="s">
        <v>4587</v>
      </c>
      <c r="Y182" s="3147" t="s">
        <v>4588</v>
      </c>
      <c r="Z182" s="3148" t="s">
        <v>4589</v>
      </c>
      <c r="AA182" s="3147" t="s">
        <v>4590</v>
      </c>
      <c r="AB182" s="3148" t="s">
        <v>4591</v>
      </c>
      <c r="AC182" s="3147" t="s">
        <v>4592</v>
      </c>
      <c r="AD182" s="3148" t="s">
        <v>4593</v>
      </c>
      <c r="AE182" s="3147" t="s">
        <v>4594</v>
      </c>
      <c r="AF182" s="3148" t="s">
        <v>4595</v>
      </c>
      <c r="AG182" s="3147" t="s">
        <v>4596</v>
      </c>
      <c r="AH182" s="3148" t="s">
        <v>4597</v>
      </c>
      <c r="AI182" s="3147" t="s">
        <v>4598</v>
      </c>
      <c r="AJ182" s="3149" t="s">
        <v>4599</v>
      </c>
      <c r="AK182" s="3150" t="s">
        <v>4600</v>
      </c>
      <c r="AL182" s="3151" t="s">
        <v>4601</v>
      </c>
      <c r="AM182" s="3151" t="s">
        <v>4602</v>
      </c>
      <c r="AN182" s="3152" t="s">
        <v>4603</v>
      </c>
      <c r="AO182" s="3153" t="s">
        <v>4604</v>
      </c>
      <c r="AP182" s="3154" t="s">
        <v>4605</v>
      </c>
      <c r="AQ182" s="3155" t="s">
        <v>4606</v>
      </c>
      <c r="AR182" s="3150" t="s">
        <v>4934</v>
      </c>
      <c r="AS182" s="3152" t="s">
        <v>4935</v>
      </c>
      <c r="AT182" t="str">
        <f t="shared" ref="AT182:AT191" si="54">CC182&amp;CD182</f>
        <v xml:space="preserve"> * La variable Migrantes No puede ser mayor al Total Ambos Sexos. * La variable Pueblos Originarios No puede ser mayor al Total Ambos Sexos.</v>
      </c>
      <c r="CC182" s="135" t="str">
        <f t="shared" ref="CC182:CC191" si="55">IF(AND(D182&gt;0,AR182="")," * No olvide digitar la variable Migrantes. Digite Cero si no tiene.",IF(AR182&gt;D182," * La variable Migrantes No puede ser mayor al Total Ambos Sexos.",""))</f>
        <v xml:space="preserve"> * La variable Migrantes No puede ser mayor al Total Ambos Sexos.</v>
      </c>
      <c r="CD182" s="135" t="str">
        <f t="shared" ref="CD182:CD191" si="56">IF(AND(D182&gt;0,AS182="")," * No olvide digitar la variable Pueblos Originarios. Digite Cero si no tiene.",IF(AS182&gt;D182," * La variable Pueblos Originarios No puede ser mayor al Total Ambos Sexos.",""))</f>
        <v xml:space="preserve"> * La variable Pueblos Originarios No puede ser mayor al Total Ambos Sexos.</v>
      </c>
      <c r="CO182" s="84">
        <f t="shared" ref="CO182:CO191" si="57">IF(AND(D182&gt;0,AR182=""),1,IF(AR182&gt;D182,1,0))</f>
        <v>1</v>
      </c>
      <c r="CP182" s="84">
        <f t="shared" ref="CP182:CP191" si="58">IF(AND(D182&gt;0,AS182=""),1,IF(AS182&gt;D182,1,0))</f>
        <v>1</v>
      </c>
    </row>
    <row r="183" spans="1:99" ht="15" customHeight="1" x14ac:dyDescent="0.25">
      <c r="A183" s="5790" t="s">
        <v>5487</v>
      </c>
      <c r="B183" s="6880"/>
      <c r="C183" s="78" t="s">
        <v>963</v>
      </c>
      <c r="D183" s="907" t="s">
        <v>4567</v>
      </c>
      <c r="E183" s="229" t="s">
        <v>4568</v>
      </c>
      <c r="F183" s="908" t="s">
        <v>4569</v>
      </c>
      <c r="G183" s="3156" t="s">
        <v>4570</v>
      </c>
      <c r="H183" s="3157" t="s">
        <v>4571</v>
      </c>
      <c r="I183" s="3156" t="s">
        <v>4572</v>
      </c>
      <c r="J183" s="3157" t="s">
        <v>4573</v>
      </c>
      <c r="K183" s="3156" t="s">
        <v>4574</v>
      </c>
      <c r="L183" s="3157" t="s">
        <v>4575</v>
      </c>
      <c r="M183" s="3156" t="s">
        <v>4576</v>
      </c>
      <c r="N183" s="3157" t="s">
        <v>4577</v>
      </c>
      <c r="O183" s="3156" t="s">
        <v>4578</v>
      </c>
      <c r="P183" s="3157" t="s">
        <v>4579</v>
      </c>
      <c r="Q183" s="3156" t="s">
        <v>4580</v>
      </c>
      <c r="R183" s="3157" t="s">
        <v>4581</v>
      </c>
      <c r="S183" s="3156" t="s">
        <v>4582</v>
      </c>
      <c r="T183" s="3157" t="s">
        <v>4583</v>
      </c>
      <c r="U183" s="3156" t="s">
        <v>4584</v>
      </c>
      <c r="V183" s="3157" t="s">
        <v>4585</v>
      </c>
      <c r="W183" s="3156" t="s">
        <v>4586</v>
      </c>
      <c r="X183" s="3157" t="s">
        <v>4587</v>
      </c>
      <c r="Y183" s="3156" t="s">
        <v>4588</v>
      </c>
      <c r="Z183" s="3157" t="s">
        <v>4589</v>
      </c>
      <c r="AA183" s="3156" t="s">
        <v>4590</v>
      </c>
      <c r="AB183" s="3157" t="s">
        <v>4591</v>
      </c>
      <c r="AC183" s="3156" t="s">
        <v>4592</v>
      </c>
      <c r="AD183" s="3157" t="s">
        <v>4593</v>
      </c>
      <c r="AE183" s="3156" t="s">
        <v>4594</v>
      </c>
      <c r="AF183" s="3157" t="s">
        <v>4595</v>
      </c>
      <c r="AG183" s="3156" t="s">
        <v>4596</v>
      </c>
      <c r="AH183" s="3157" t="s">
        <v>4597</v>
      </c>
      <c r="AI183" s="3156" t="s">
        <v>4598</v>
      </c>
      <c r="AJ183" s="3158" t="s">
        <v>4599</v>
      </c>
      <c r="AK183" s="3159" t="s">
        <v>4600</v>
      </c>
      <c r="AL183" s="3160" t="s">
        <v>4601</v>
      </c>
      <c r="AM183" s="3160" t="s">
        <v>4602</v>
      </c>
      <c r="AN183" s="3161" t="s">
        <v>4603</v>
      </c>
      <c r="AO183" s="3162" t="s">
        <v>4604</v>
      </c>
      <c r="AP183" s="3163" t="s">
        <v>4605</v>
      </c>
      <c r="AQ183" s="3164" t="s">
        <v>4606</v>
      </c>
      <c r="AR183" s="3159" t="s">
        <v>4934</v>
      </c>
      <c r="AS183" s="3161" t="s">
        <v>4935</v>
      </c>
      <c r="AT183" t="str">
        <f t="shared" si="54"/>
        <v xml:space="preserve"> * La variable Migrantes No puede ser mayor al Total Ambos Sexos. * La variable Pueblos Originarios No puede ser mayor al Total Ambos Sexos.</v>
      </c>
      <c r="CC183" s="135" t="str">
        <f t="shared" si="55"/>
        <v xml:space="preserve"> * La variable Migrantes No puede ser mayor al Total Ambos Sexos.</v>
      </c>
      <c r="CD183" s="135" t="str">
        <f t="shared" si="56"/>
        <v xml:space="preserve"> * La variable Pueblos Originarios No puede ser mayor al Total Ambos Sexos.</v>
      </c>
      <c r="CO183" s="84">
        <f t="shared" si="57"/>
        <v>1</v>
      </c>
      <c r="CP183" s="84">
        <f t="shared" si="58"/>
        <v>1</v>
      </c>
    </row>
    <row r="184" spans="1:99" ht="15" customHeight="1" x14ac:dyDescent="0.25">
      <c r="A184" s="5790" t="s">
        <v>5488</v>
      </c>
      <c r="B184" s="6881" t="s">
        <v>1326</v>
      </c>
      <c r="C184" s="79" t="s">
        <v>964</v>
      </c>
      <c r="D184" s="143" t="s">
        <v>4567</v>
      </c>
      <c r="E184" s="230" t="s">
        <v>4568</v>
      </c>
      <c r="F184" s="226" t="s">
        <v>4569</v>
      </c>
      <c r="G184" s="3147" t="s">
        <v>4570</v>
      </c>
      <c r="H184" s="3148" t="s">
        <v>4571</v>
      </c>
      <c r="I184" s="3147" t="s">
        <v>4572</v>
      </c>
      <c r="J184" s="3148" t="s">
        <v>4573</v>
      </c>
      <c r="K184" s="3147" t="s">
        <v>4574</v>
      </c>
      <c r="L184" s="3148" t="s">
        <v>4575</v>
      </c>
      <c r="M184" s="3147" t="s">
        <v>4576</v>
      </c>
      <c r="N184" s="3148" t="s">
        <v>4577</v>
      </c>
      <c r="O184" s="3147" t="s">
        <v>4578</v>
      </c>
      <c r="P184" s="3148" t="s">
        <v>4579</v>
      </c>
      <c r="Q184" s="3147" t="s">
        <v>4580</v>
      </c>
      <c r="R184" s="3148" t="s">
        <v>4581</v>
      </c>
      <c r="S184" s="3147" t="s">
        <v>4582</v>
      </c>
      <c r="T184" s="3148" t="s">
        <v>4583</v>
      </c>
      <c r="U184" s="3147" t="s">
        <v>4584</v>
      </c>
      <c r="V184" s="3148" t="s">
        <v>4585</v>
      </c>
      <c r="W184" s="3147" t="s">
        <v>4586</v>
      </c>
      <c r="X184" s="3148" t="s">
        <v>4587</v>
      </c>
      <c r="Y184" s="3147" t="s">
        <v>4588</v>
      </c>
      <c r="Z184" s="3148" t="s">
        <v>4589</v>
      </c>
      <c r="AA184" s="3147" t="s">
        <v>4590</v>
      </c>
      <c r="AB184" s="3148" t="s">
        <v>4591</v>
      </c>
      <c r="AC184" s="3147" t="s">
        <v>4592</v>
      </c>
      <c r="AD184" s="3148" t="s">
        <v>4593</v>
      </c>
      <c r="AE184" s="3147" t="s">
        <v>4594</v>
      </c>
      <c r="AF184" s="3148" t="s">
        <v>4595</v>
      </c>
      <c r="AG184" s="3147" t="s">
        <v>4596</v>
      </c>
      <c r="AH184" s="3148" t="s">
        <v>4597</v>
      </c>
      <c r="AI184" s="3147" t="s">
        <v>4598</v>
      </c>
      <c r="AJ184" s="3149" t="s">
        <v>4599</v>
      </c>
      <c r="AK184" s="3150" t="s">
        <v>4600</v>
      </c>
      <c r="AL184" s="3151" t="s">
        <v>4601</v>
      </c>
      <c r="AM184" s="3151" t="s">
        <v>4602</v>
      </c>
      <c r="AN184" s="3152" t="s">
        <v>4603</v>
      </c>
      <c r="AO184" s="3165" t="s">
        <v>4604</v>
      </c>
      <c r="AP184" s="3154" t="s">
        <v>4605</v>
      </c>
      <c r="AQ184" s="3155" t="s">
        <v>4606</v>
      </c>
      <c r="AR184" s="3150" t="s">
        <v>4934</v>
      </c>
      <c r="AS184" s="3152" t="s">
        <v>4935</v>
      </c>
      <c r="AT184" t="str">
        <f t="shared" si="54"/>
        <v xml:space="preserve"> * La variable Migrantes No puede ser mayor al Total Ambos Sexos. * La variable Pueblos Originarios No puede ser mayor al Total Ambos Sexos.</v>
      </c>
      <c r="CC184" s="135" t="str">
        <f t="shared" si="55"/>
        <v xml:space="preserve"> * La variable Migrantes No puede ser mayor al Total Ambos Sexos.</v>
      </c>
      <c r="CD184" s="135" t="str">
        <f t="shared" si="56"/>
        <v xml:space="preserve"> * La variable Pueblos Originarios No puede ser mayor al Total Ambos Sexos.</v>
      </c>
      <c r="CO184" s="84">
        <f t="shared" si="57"/>
        <v>1</v>
      </c>
      <c r="CP184" s="84">
        <f t="shared" si="58"/>
        <v>1</v>
      </c>
    </row>
    <row r="185" spans="1:99" ht="15" customHeight="1" x14ac:dyDescent="0.25">
      <c r="A185" s="5790" t="s">
        <v>5489</v>
      </c>
      <c r="B185" s="6882"/>
      <c r="C185" s="80" t="s">
        <v>963</v>
      </c>
      <c r="D185" s="907" t="s">
        <v>4567</v>
      </c>
      <c r="E185" s="229" t="s">
        <v>4568</v>
      </c>
      <c r="F185" s="908" t="s">
        <v>4569</v>
      </c>
      <c r="G185" s="3156" t="s">
        <v>4570</v>
      </c>
      <c r="H185" s="3157" t="s">
        <v>4571</v>
      </c>
      <c r="I185" s="3156" t="s">
        <v>4572</v>
      </c>
      <c r="J185" s="3157" t="s">
        <v>4573</v>
      </c>
      <c r="K185" s="3156" t="s">
        <v>4574</v>
      </c>
      <c r="L185" s="3157" t="s">
        <v>4575</v>
      </c>
      <c r="M185" s="3156" t="s">
        <v>4576</v>
      </c>
      <c r="N185" s="3157" t="s">
        <v>4577</v>
      </c>
      <c r="O185" s="3156" t="s">
        <v>4578</v>
      </c>
      <c r="P185" s="3157" t="s">
        <v>4579</v>
      </c>
      <c r="Q185" s="3156" t="s">
        <v>4580</v>
      </c>
      <c r="R185" s="3157" t="s">
        <v>4581</v>
      </c>
      <c r="S185" s="3156" t="s">
        <v>4582</v>
      </c>
      <c r="T185" s="3157" t="s">
        <v>4583</v>
      </c>
      <c r="U185" s="3156" t="s">
        <v>4584</v>
      </c>
      <c r="V185" s="3157" t="s">
        <v>4585</v>
      </c>
      <c r="W185" s="3156" t="s">
        <v>4586</v>
      </c>
      <c r="X185" s="3157" t="s">
        <v>4587</v>
      </c>
      <c r="Y185" s="3156" t="s">
        <v>4588</v>
      </c>
      <c r="Z185" s="3157" t="s">
        <v>4589</v>
      </c>
      <c r="AA185" s="3156" t="s">
        <v>4590</v>
      </c>
      <c r="AB185" s="3157" t="s">
        <v>4591</v>
      </c>
      <c r="AC185" s="3156" t="s">
        <v>4592</v>
      </c>
      <c r="AD185" s="3157" t="s">
        <v>4593</v>
      </c>
      <c r="AE185" s="3156" t="s">
        <v>4594</v>
      </c>
      <c r="AF185" s="3157" t="s">
        <v>4595</v>
      </c>
      <c r="AG185" s="3156" t="s">
        <v>4596</v>
      </c>
      <c r="AH185" s="3157" t="s">
        <v>4597</v>
      </c>
      <c r="AI185" s="3156" t="s">
        <v>4598</v>
      </c>
      <c r="AJ185" s="3158" t="s">
        <v>4599</v>
      </c>
      <c r="AK185" s="3159" t="s">
        <v>4600</v>
      </c>
      <c r="AL185" s="3160" t="s">
        <v>4601</v>
      </c>
      <c r="AM185" s="3160" t="s">
        <v>4602</v>
      </c>
      <c r="AN185" s="3161" t="s">
        <v>4603</v>
      </c>
      <c r="AO185" s="3166" t="s">
        <v>4604</v>
      </c>
      <c r="AP185" s="3163" t="s">
        <v>4605</v>
      </c>
      <c r="AQ185" s="3164" t="s">
        <v>4606</v>
      </c>
      <c r="AR185" s="3159" t="s">
        <v>4934</v>
      </c>
      <c r="AS185" s="3161" t="s">
        <v>4935</v>
      </c>
      <c r="AT185" t="str">
        <f t="shared" si="54"/>
        <v xml:space="preserve"> * La variable Migrantes No puede ser mayor al Total Ambos Sexos. * La variable Pueblos Originarios No puede ser mayor al Total Ambos Sexos.</v>
      </c>
      <c r="CC185" s="135" t="str">
        <f t="shared" si="55"/>
        <v xml:space="preserve"> * La variable Migrantes No puede ser mayor al Total Ambos Sexos.</v>
      </c>
      <c r="CD185" s="135" t="str">
        <f t="shared" si="56"/>
        <v xml:space="preserve"> * La variable Pueblos Originarios No puede ser mayor al Total Ambos Sexos.</v>
      </c>
      <c r="CO185" s="84">
        <f t="shared" si="57"/>
        <v>1</v>
      </c>
      <c r="CP185" s="84">
        <f t="shared" si="58"/>
        <v>1</v>
      </c>
    </row>
    <row r="186" spans="1:99" ht="15" customHeight="1" x14ac:dyDescent="0.25">
      <c r="A186" s="5790" t="s">
        <v>5490</v>
      </c>
      <c r="B186" s="6883" t="s">
        <v>1327</v>
      </c>
      <c r="C186" s="76" t="s">
        <v>964</v>
      </c>
      <c r="D186" s="143" t="s">
        <v>4567</v>
      </c>
      <c r="E186" s="230" t="s">
        <v>4568</v>
      </c>
      <c r="F186" s="226" t="s">
        <v>4569</v>
      </c>
      <c r="G186" s="3147" t="s">
        <v>4570</v>
      </c>
      <c r="H186" s="3148" t="s">
        <v>4571</v>
      </c>
      <c r="I186" s="3147" t="s">
        <v>4572</v>
      </c>
      <c r="J186" s="3148" t="s">
        <v>4573</v>
      </c>
      <c r="K186" s="3147" t="s">
        <v>4574</v>
      </c>
      <c r="L186" s="3148" t="s">
        <v>4575</v>
      </c>
      <c r="M186" s="3147" t="s">
        <v>4576</v>
      </c>
      <c r="N186" s="3148" t="s">
        <v>4577</v>
      </c>
      <c r="O186" s="3147" t="s">
        <v>4578</v>
      </c>
      <c r="P186" s="3148" t="s">
        <v>4579</v>
      </c>
      <c r="Q186" s="3147" t="s">
        <v>4580</v>
      </c>
      <c r="R186" s="3148" t="s">
        <v>4581</v>
      </c>
      <c r="S186" s="3147" t="s">
        <v>4582</v>
      </c>
      <c r="T186" s="3148" t="s">
        <v>4583</v>
      </c>
      <c r="U186" s="3147" t="s">
        <v>4584</v>
      </c>
      <c r="V186" s="3148" t="s">
        <v>4585</v>
      </c>
      <c r="W186" s="3147" t="s">
        <v>4586</v>
      </c>
      <c r="X186" s="3148" t="s">
        <v>4587</v>
      </c>
      <c r="Y186" s="3147" t="s">
        <v>4588</v>
      </c>
      <c r="Z186" s="3148" t="s">
        <v>4589</v>
      </c>
      <c r="AA186" s="3147" t="s">
        <v>4590</v>
      </c>
      <c r="AB186" s="3148" t="s">
        <v>4591</v>
      </c>
      <c r="AC186" s="3147" t="s">
        <v>4592</v>
      </c>
      <c r="AD186" s="3148" t="s">
        <v>4593</v>
      </c>
      <c r="AE186" s="3147" t="s">
        <v>4594</v>
      </c>
      <c r="AF186" s="3148" t="s">
        <v>4595</v>
      </c>
      <c r="AG186" s="3147" t="s">
        <v>4596</v>
      </c>
      <c r="AH186" s="3148" t="s">
        <v>4597</v>
      </c>
      <c r="AI186" s="3147" t="s">
        <v>4598</v>
      </c>
      <c r="AJ186" s="3149" t="s">
        <v>4599</v>
      </c>
      <c r="AK186" s="3150" t="s">
        <v>4600</v>
      </c>
      <c r="AL186" s="3151" t="s">
        <v>4601</v>
      </c>
      <c r="AM186" s="3151" t="s">
        <v>4602</v>
      </c>
      <c r="AN186" s="3152" t="s">
        <v>4603</v>
      </c>
      <c r="AO186" s="3167" t="s">
        <v>4604</v>
      </c>
      <c r="AP186" s="3168" t="s">
        <v>4605</v>
      </c>
      <c r="AQ186" s="3169" t="s">
        <v>4606</v>
      </c>
      <c r="AR186" s="3150" t="s">
        <v>4934</v>
      </c>
      <c r="AS186" s="3152" t="s">
        <v>4935</v>
      </c>
      <c r="AT186" t="str">
        <f t="shared" si="54"/>
        <v xml:space="preserve"> * La variable Migrantes No puede ser mayor al Total Ambos Sexos. * La variable Pueblos Originarios No puede ser mayor al Total Ambos Sexos.</v>
      </c>
      <c r="CC186" s="135" t="str">
        <f t="shared" si="55"/>
        <v xml:space="preserve"> * La variable Migrantes No puede ser mayor al Total Ambos Sexos.</v>
      </c>
      <c r="CD186" s="135" t="str">
        <f t="shared" si="56"/>
        <v xml:space="preserve"> * La variable Pueblos Originarios No puede ser mayor al Total Ambos Sexos.</v>
      </c>
      <c r="CO186" s="84">
        <f t="shared" si="57"/>
        <v>1</v>
      </c>
      <c r="CP186" s="84">
        <f t="shared" si="58"/>
        <v>1</v>
      </c>
    </row>
    <row r="187" spans="1:99" ht="15" customHeight="1" x14ac:dyDescent="0.25">
      <c r="A187" s="5790" t="s">
        <v>5491</v>
      </c>
      <c r="B187" s="6884"/>
      <c r="C187" s="78" t="s">
        <v>963</v>
      </c>
      <c r="D187" s="907" t="s">
        <v>4567</v>
      </c>
      <c r="E187" s="229" t="s">
        <v>4568</v>
      </c>
      <c r="F187" s="908" t="s">
        <v>4569</v>
      </c>
      <c r="G187" s="3156" t="s">
        <v>4570</v>
      </c>
      <c r="H187" s="3157" t="s">
        <v>4571</v>
      </c>
      <c r="I187" s="3156" t="s">
        <v>4572</v>
      </c>
      <c r="J187" s="3157" t="s">
        <v>4573</v>
      </c>
      <c r="K187" s="3156" t="s">
        <v>4574</v>
      </c>
      <c r="L187" s="3157" t="s">
        <v>4575</v>
      </c>
      <c r="M187" s="3156" t="s">
        <v>4576</v>
      </c>
      <c r="N187" s="3157" t="s">
        <v>4577</v>
      </c>
      <c r="O187" s="3156" t="s">
        <v>4578</v>
      </c>
      <c r="P187" s="3157" t="s">
        <v>4579</v>
      </c>
      <c r="Q187" s="3156" t="s">
        <v>4580</v>
      </c>
      <c r="R187" s="3157" t="s">
        <v>4581</v>
      </c>
      <c r="S187" s="3156" t="s">
        <v>4582</v>
      </c>
      <c r="T187" s="3157" t="s">
        <v>4583</v>
      </c>
      <c r="U187" s="3156" t="s">
        <v>4584</v>
      </c>
      <c r="V187" s="3157" t="s">
        <v>4585</v>
      </c>
      <c r="W187" s="3156" t="s">
        <v>4586</v>
      </c>
      <c r="X187" s="3157" t="s">
        <v>4587</v>
      </c>
      <c r="Y187" s="3156" t="s">
        <v>4588</v>
      </c>
      <c r="Z187" s="3157" t="s">
        <v>4589</v>
      </c>
      <c r="AA187" s="3156" t="s">
        <v>4590</v>
      </c>
      <c r="AB187" s="3157" t="s">
        <v>4591</v>
      </c>
      <c r="AC187" s="3156" t="s">
        <v>4592</v>
      </c>
      <c r="AD187" s="3157" t="s">
        <v>4593</v>
      </c>
      <c r="AE187" s="3156" t="s">
        <v>4594</v>
      </c>
      <c r="AF187" s="3157" t="s">
        <v>4595</v>
      </c>
      <c r="AG187" s="3156" t="s">
        <v>4596</v>
      </c>
      <c r="AH187" s="3157" t="s">
        <v>4597</v>
      </c>
      <c r="AI187" s="3156" t="s">
        <v>4598</v>
      </c>
      <c r="AJ187" s="3158" t="s">
        <v>4599</v>
      </c>
      <c r="AK187" s="3159" t="s">
        <v>4600</v>
      </c>
      <c r="AL187" s="3160" t="s">
        <v>4601</v>
      </c>
      <c r="AM187" s="3160" t="s">
        <v>4602</v>
      </c>
      <c r="AN187" s="3161" t="s">
        <v>4603</v>
      </c>
      <c r="AO187" s="3170" t="s">
        <v>4604</v>
      </c>
      <c r="AP187" s="3171" t="s">
        <v>4605</v>
      </c>
      <c r="AQ187" s="3172" t="s">
        <v>4606</v>
      </c>
      <c r="AR187" s="3159" t="s">
        <v>4934</v>
      </c>
      <c r="AS187" s="3161" t="s">
        <v>4935</v>
      </c>
      <c r="AT187" t="str">
        <f t="shared" si="54"/>
        <v xml:space="preserve"> * La variable Migrantes No puede ser mayor al Total Ambos Sexos. * La variable Pueblos Originarios No puede ser mayor al Total Ambos Sexos.</v>
      </c>
      <c r="CC187" s="135" t="str">
        <f t="shared" si="55"/>
        <v xml:space="preserve"> * La variable Migrantes No puede ser mayor al Total Ambos Sexos.</v>
      </c>
      <c r="CD187" s="135" t="str">
        <f t="shared" si="56"/>
        <v xml:space="preserve"> * La variable Pueblos Originarios No puede ser mayor al Total Ambos Sexos.</v>
      </c>
      <c r="CO187" s="84">
        <f t="shared" si="57"/>
        <v>1</v>
      </c>
      <c r="CP187" s="84">
        <f t="shared" si="58"/>
        <v>1</v>
      </c>
    </row>
    <row r="188" spans="1:99" ht="15" customHeight="1" x14ac:dyDescent="0.25">
      <c r="A188" s="5790" t="s">
        <v>5492</v>
      </c>
      <c r="B188" s="6871" t="s">
        <v>1328</v>
      </c>
      <c r="C188" s="76" t="s">
        <v>964</v>
      </c>
      <c r="D188" s="143" t="s">
        <v>4567</v>
      </c>
      <c r="E188" s="230" t="s">
        <v>4568</v>
      </c>
      <c r="F188" s="226" t="s">
        <v>4569</v>
      </c>
      <c r="G188" s="3147" t="s">
        <v>4570</v>
      </c>
      <c r="H188" s="3148" t="s">
        <v>4571</v>
      </c>
      <c r="I188" s="3147" t="s">
        <v>4572</v>
      </c>
      <c r="J188" s="3148" t="s">
        <v>4573</v>
      </c>
      <c r="K188" s="3147" t="s">
        <v>4574</v>
      </c>
      <c r="L188" s="3148" t="s">
        <v>4575</v>
      </c>
      <c r="M188" s="3147" t="s">
        <v>4576</v>
      </c>
      <c r="N188" s="3148" t="s">
        <v>4577</v>
      </c>
      <c r="O188" s="3147" t="s">
        <v>4578</v>
      </c>
      <c r="P188" s="3148" t="s">
        <v>4579</v>
      </c>
      <c r="Q188" s="3147" t="s">
        <v>4580</v>
      </c>
      <c r="R188" s="3148" t="s">
        <v>4581</v>
      </c>
      <c r="S188" s="3147" t="s">
        <v>4582</v>
      </c>
      <c r="T188" s="3148" t="s">
        <v>4583</v>
      </c>
      <c r="U188" s="3147" t="s">
        <v>4584</v>
      </c>
      <c r="V188" s="3148" t="s">
        <v>4585</v>
      </c>
      <c r="W188" s="3147" t="s">
        <v>4586</v>
      </c>
      <c r="X188" s="3148" t="s">
        <v>4587</v>
      </c>
      <c r="Y188" s="3147" t="s">
        <v>4588</v>
      </c>
      <c r="Z188" s="3148" t="s">
        <v>4589</v>
      </c>
      <c r="AA188" s="3147" t="s">
        <v>4590</v>
      </c>
      <c r="AB188" s="3148" t="s">
        <v>4591</v>
      </c>
      <c r="AC188" s="3147" t="s">
        <v>4592</v>
      </c>
      <c r="AD188" s="3148" t="s">
        <v>4593</v>
      </c>
      <c r="AE188" s="3147" t="s">
        <v>4594</v>
      </c>
      <c r="AF188" s="3148" t="s">
        <v>4595</v>
      </c>
      <c r="AG188" s="3147" t="s">
        <v>4596</v>
      </c>
      <c r="AH188" s="3148" t="s">
        <v>4597</v>
      </c>
      <c r="AI188" s="3147" t="s">
        <v>4598</v>
      </c>
      <c r="AJ188" s="3149" t="s">
        <v>4599</v>
      </c>
      <c r="AK188" s="3150" t="s">
        <v>4600</v>
      </c>
      <c r="AL188" s="3151" t="s">
        <v>4601</v>
      </c>
      <c r="AM188" s="3151" t="s">
        <v>4602</v>
      </c>
      <c r="AN188" s="3152" t="s">
        <v>4603</v>
      </c>
      <c r="AO188" s="3173" t="s">
        <v>4604</v>
      </c>
      <c r="AP188" s="3168" t="s">
        <v>4605</v>
      </c>
      <c r="AQ188" s="3169" t="s">
        <v>4606</v>
      </c>
      <c r="AR188" s="3150" t="s">
        <v>4934</v>
      </c>
      <c r="AS188" s="3152" t="s">
        <v>4935</v>
      </c>
      <c r="AT188" t="str">
        <f t="shared" si="54"/>
        <v xml:space="preserve"> * La variable Migrantes No puede ser mayor al Total Ambos Sexos. * La variable Pueblos Originarios No puede ser mayor al Total Ambos Sexos.</v>
      </c>
      <c r="CC188" s="135" t="str">
        <f t="shared" si="55"/>
        <v xml:space="preserve"> * La variable Migrantes No puede ser mayor al Total Ambos Sexos.</v>
      </c>
      <c r="CD188" s="135" t="str">
        <f t="shared" si="56"/>
        <v xml:space="preserve"> * La variable Pueblos Originarios No puede ser mayor al Total Ambos Sexos.</v>
      </c>
      <c r="CO188" s="84">
        <f t="shared" si="57"/>
        <v>1</v>
      </c>
      <c r="CP188" s="84">
        <f t="shared" si="58"/>
        <v>1</v>
      </c>
    </row>
    <row r="189" spans="1:99" ht="15" customHeight="1" x14ac:dyDescent="0.25">
      <c r="A189" s="5790" t="s">
        <v>5493</v>
      </c>
      <c r="B189" s="6872"/>
      <c r="C189" s="78" t="s">
        <v>963</v>
      </c>
      <c r="D189" s="907" t="s">
        <v>4567</v>
      </c>
      <c r="E189" s="229" t="s">
        <v>4568</v>
      </c>
      <c r="F189" s="908" t="s">
        <v>4569</v>
      </c>
      <c r="G189" s="3156" t="s">
        <v>4570</v>
      </c>
      <c r="H189" s="3157" t="s">
        <v>4571</v>
      </c>
      <c r="I189" s="3156" t="s">
        <v>4572</v>
      </c>
      <c r="J189" s="3157" t="s">
        <v>4573</v>
      </c>
      <c r="K189" s="3156" t="s">
        <v>4574</v>
      </c>
      <c r="L189" s="3157" t="s">
        <v>4575</v>
      </c>
      <c r="M189" s="3156" t="s">
        <v>4576</v>
      </c>
      <c r="N189" s="3157" t="s">
        <v>4577</v>
      </c>
      <c r="O189" s="3156" t="s">
        <v>4578</v>
      </c>
      <c r="P189" s="3157" t="s">
        <v>4579</v>
      </c>
      <c r="Q189" s="3156" t="s">
        <v>4580</v>
      </c>
      <c r="R189" s="3157" t="s">
        <v>4581</v>
      </c>
      <c r="S189" s="3156" t="s">
        <v>4582</v>
      </c>
      <c r="T189" s="3157" t="s">
        <v>4583</v>
      </c>
      <c r="U189" s="3156" t="s">
        <v>4584</v>
      </c>
      <c r="V189" s="3157" t="s">
        <v>4585</v>
      </c>
      <c r="W189" s="3156" t="s">
        <v>4586</v>
      </c>
      <c r="X189" s="3157" t="s">
        <v>4587</v>
      </c>
      <c r="Y189" s="3156" t="s">
        <v>4588</v>
      </c>
      <c r="Z189" s="3157" t="s">
        <v>4589</v>
      </c>
      <c r="AA189" s="3156" t="s">
        <v>4590</v>
      </c>
      <c r="AB189" s="3157" t="s">
        <v>4591</v>
      </c>
      <c r="AC189" s="3156" t="s">
        <v>4592</v>
      </c>
      <c r="AD189" s="3157" t="s">
        <v>4593</v>
      </c>
      <c r="AE189" s="3156" t="s">
        <v>4594</v>
      </c>
      <c r="AF189" s="3157" t="s">
        <v>4595</v>
      </c>
      <c r="AG189" s="3156" t="s">
        <v>4596</v>
      </c>
      <c r="AH189" s="3157" t="s">
        <v>4597</v>
      </c>
      <c r="AI189" s="3156" t="s">
        <v>4598</v>
      </c>
      <c r="AJ189" s="3158" t="s">
        <v>4599</v>
      </c>
      <c r="AK189" s="3159" t="s">
        <v>4600</v>
      </c>
      <c r="AL189" s="3160" t="s">
        <v>4601</v>
      </c>
      <c r="AM189" s="3160" t="s">
        <v>4602</v>
      </c>
      <c r="AN189" s="3161" t="s">
        <v>4603</v>
      </c>
      <c r="AO189" s="3174" t="s">
        <v>4604</v>
      </c>
      <c r="AP189" s="3171" t="s">
        <v>4605</v>
      </c>
      <c r="AQ189" s="3172" t="s">
        <v>4606</v>
      </c>
      <c r="AR189" s="3159" t="s">
        <v>4934</v>
      </c>
      <c r="AS189" s="3161" t="s">
        <v>4935</v>
      </c>
      <c r="AT189" t="str">
        <f t="shared" si="54"/>
        <v xml:space="preserve"> * La variable Migrantes No puede ser mayor al Total Ambos Sexos. * La variable Pueblos Originarios No puede ser mayor al Total Ambos Sexos.</v>
      </c>
      <c r="CC189" s="135" t="str">
        <f t="shared" si="55"/>
        <v xml:space="preserve"> * La variable Migrantes No puede ser mayor al Total Ambos Sexos.</v>
      </c>
      <c r="CD189" s="135" t="str">
        <f t="shared" si="56"/>
        <v xml:space="preserve"> * La variable Pueblos Originarios No puede ser mayor al Total Ambos Sexos.</v>
      </c>
      <c r="CO189" s="84">
        <f t="shared" si="57"/>
        <v>1</v>
      </c>
      <c r="CP189" s="84">
        <f t="shared" si="58"/>
        <v>1</v>
      </c>
    </row>
    <row r="190" spans="1:99" ht="15" customHeight="1" x14ac:dyDescent="0.25">
      <c r="A190" s="5790" t="s">
        <v>5494</v>
      </c>
      <c r="B190" s="6871" t="s">
        <v>1329</v>
      </c>
      <c r="C190" s="76" t="s">
        <v>964</v>
      </c>
      <c r="D190" s="81" t="s">
        <v>4567</v>
      </c>
      <c r="E190" s="230" t="s">
        <v>4568</v>
      </c>
      <c r="F190" s="226" t="s">
        <v>4569</v>
      </c>
      <c r="G190" s="3175" t="s">
        <v>4570</v>
      </c>
      <c r="H190" s="3176" t="s">
        <v>4571</v>
      </c>
      <c r="I190" s="3175" t="s">
        <v>4572</v>
      </c>
      <c r="J190" s="3176" t="s">
        <v>4573</v>
      </c>
      <c r="K190" s="3175" t="s">
        <v>4574</v>
      </c>
      <c r="L190" s="3176" t="s">
        <v>4575</v>
      </c>
      <c r="M190" s="3175" t="s">
        <v>4576</v>
      </c>
      <c r="N190" s="3176" t="s">
        <v>4577</v>
      </c>
      <c r="O190" s="3175" t="s">
        <v>4578</v>
      </c>
      <c r="P190" s="3176" t="s">
        <v>4579</v>
      </c>
      <c r="Q190" s="3175" t="s">
        <v>4580</v>
      </c>
      <c r="R190" s="3176" t="s">
        <v>4581</v>
      </c>
      <c r="S190" s="3175" t="s">
        <v>4582</v>
      </c>
      <c r="T190" s="3176" t="s">
        <v>4583</v>
      </c>
      <c r="U190" s="3175" t="s">
        <v>4584</v>
      </c>
      <c r="V190" s="3176" t="s">
        <v>4585</v>
      </c>
      <c r="W190" s="3175" t="s">
        <v>4586</v>
      </c>
      <c r="X190" s="3176" t="s">
        <v>4587</v>
      </c>
      <c r="Y190" s="3175" t="s">
        <v>4588</v>
      </c>
      <c r="Z190" s="3176" t="s">
        <v>4589</v>
      </c>
      <c r="AA190" s="3175" t="s">
        <v>4590</v>
      </c>
      <c r="AB190" s="3176" t="s">
        <v>4591</v>
      </c>
      <c r="AC190" s="3175" t="s">
        <v>4592</v>
      </c>
      <c r="AD190" s="3176" t="s">
        <v>4593</v>
      </c>
      <c r="AE190" s="3175" t="s">
        <v>4594</v>
      </c>
      <c r="AF190" s="3176" t="s">
        <v>4595</v>
      </c>
      <c r="AG190" s="3175" t="s">
        <v>4596</v>
      </c>
      <c r="AH190" s="3176" t="s">
        <v>4597</v>
      </c>
      <c r="AI190" s="3175" t="s">
        <v>4598</v>
      </c>
      <c r="AJ190" s="3177" t="s">
        <v>4599</v>
      </c>
      <c r="AK190" s="3178" t="s">
        <v>4600</v>
      </c>
      <c r="AL190" s="3179" t="s">
        <v>4601</v>
      </c>
      <c r="AM190" s="3179" t="s">
        <v>4602</v>
      </c>
      <c r="AN190" s="3180" t="s">
        <v>4603</v>
      </c>
      <c r="AO190" s="3181" t="s">
        <v>4604</v>
      </c>
      <c r="AP190" s="3168" t="s">
        <v>4605</v>
      </c>
      <c r="AQ190" s="3169" t="s">
        <v>4606</v>
      </c>
      <c r="AR190" s="3150" t="s">
        <v>4934</v>
      </c>
      <c r="AS190" s="3152" t="s">
        <v>4935</v>
      </c>
      <c r="AT190" t="str">
        <f t="shared" si="54"/>
        <v xml:space="preserve"> * La variable Migrantes No puede ser mayor al Total Ambos Sexos. * La variable Pueblos Originarios No puede ser mayor al Total Ambos Sexos.</v>
      </c>
      <c r="CC190" s="135" t="str">
        <f t="shared" si="55"/>
        <v xml:space="preserve"> * La variable Migrantes No puede ser mayor al Total Ambos Sexos.</v>
      </c>
      <c r="CD190" s="135" t="str">
        <f t="shared" si="56"/>
        <v xml:space="preserve"> * La variable Pueblos Originarios No puede ser mayor al Total Ambos Sexos.</v>
      </c>
      <c r="CO190" s="84">
        <f t="shared" si="57"/>
        <v>1</v>
      </c>
      <c r="CP190" s="84">
        <f t="shared" si="58"/>
        <v>1</v>
      </c>
    </row>
    <row r="191" spans="1:99" ht="15" customHeight="1" x14ac:dyDescent="0.25">
      <c r="A191" s="5790" t="s">
        <v>5495</v>
      </c>
      <c r="B191" s="6873"/>
      <c r="C191" s="82" t="s">
        <v>963</v>
      </c>
      <c r="D191" s="907" t="s">
        <v>4567</v>
      </c>
      <c r="E191" s="229" t="s">
        <v>4568</v>
      </c>
      <c r="F191" s="908" t="s">
        <v>4569</v>
      </c>
      <c r="G191" s="3156" t="s">
        <v>4570</v>
      </c>
      <c r="H191" s="3157" t="s">
        <v>4571</v>
      </c>
      <c r="I191" s="3156" t="s">
        <v>4572</v>
      </c>
      <c r="J191" s="3157" t="s">
        <v>4573</v>
      </c>
      <c r="K191" s="3156" t="s">
        <v>4574</v>
      </c>
      <c r="L191" s="3157" t="s">
        <v>4575</v>
      </c>
      <c r="M191" s="3156" t="s">
        <v>4576</v>
      </c>
      <c r="N191" s="3157" t="s">
        <v>4577</v>
      </c>
      <c r="O191" s="3156" t="s">
        <v>4578</v>
      </c>
      <c r="P191" s="3157" t="s">
        <v>4579</v>
      </c>
      <c r="Q191" s="3156" t="s">
        <v>4580</v>
      </c>
      <c r="R191" s="3157" t="s">
        <v>4581</v>
      </c>
      <c r="S191" s="3156" t="s">
        <v>4582</v>
      </c>
      <c r="T191" s="3157" t="s">
        <v>4583</v>
      </c>
      <c r="U191" s="3156" t="s">
        <v>4584</v>
      </c>
      <c r="V191" s="3157" t="s">
        <v>4585</v>
      </c>
      <c r="W191" s="3156" t="s">
        <v>4586</v>
      </c>
      <c r="X191" s="3157" t="s">
        <v>4587</v>
      </c>
      <c r="Y191" s="3156" t="s">
        <v>4588</v>
      </c>
      <c r="Z191" s="3157" t="s">
        <v>4589</v>
      </c>
      <c r="AA191" s="3156" t="s">
        <v>4590</v>
      </c>
      <c r="AB191" s="3157" t="s">
        <v>4591</v>
      </c>
      <c r="AC191" s="3156" t="s">
        <v>4592</v>
      </c>
      <c r="AD191" s="3157" t="s">
        <v>4593</v>
      </c>
      <c r="AE191" s="3156" t="s">
        <v>4594</v>
      </c>
      <c r="AF191" s="3157" t="s">
        <v>4595</v>
      </c>
      <c r="AG191" s="3156" t="s">
        <v>4596</v>
      </c>
      <c r="AH191" s="3157" t="s">
        <v>4597</v>
      </c>
      <c r="AI191" s="3156" t="s">
        <v>4598</v>
      </c>
      <c r="AJ191" s="3158" t="s">
        <v>4599</v>
      </c>
      <c r="AK191" s="3182" t="s">
        <v>4600</v>
      </c>
      <c r="AL191" s="3183" t="s">
        <v>4601</v>
      </c>
      <c r="AM191" s="3183" t="s">
        <v>4602</v>
      </c>
      <c r="AN191" s="3184" t="s">
        <v>4603</v>
      </c>
      <c r="AO191" s="3185" t="s">
        <v>4604</v>
      </c>
      <c r="AP191" s="3186" t="s">
        <v>4605</v>
      </c>
      <c r="AQ191" s="3172" t="s">
        <v>4606</v>
      </c>
      <c r="AR191" s="3159" t="s">
        <v>4934</v>
      </c>
      <c r="AS191" s="3161" t="s">
        <v>4935</v>
      </c>
      <c r="AT191" t="str">
        <f t="shared" si="54"/>
        <v xml:space="preserve"> * La variable Migrantes No puede ser mayor al Total Ambos Sexos. * La variable Pueblos Originarios No puede ser mayor al Total Ambos Sexos.</v>
      </c>
      <c r="CC191" s="135" t="str">
        <f t="shared" si="55"/>
        <v xml:space="preserve"> * La variable Migrantes No puede ser mayor al Total Ambos Sexos.</v>
      </c>
      <c r="CD191" s="135" t="str">
        <f t="shared" si="56"/>
        <v xml:space="preserve"> * La variable Pueblos Originarios No puede ser mayor al Total Ambos Sexos.</v>
      </c>
      <c r="CO191" s="84">
        <f t="shared" si="57"/>
        <v>1</v>
      </c>
      <c r="CP191" s="84">
        <f t="shared" si="58"/>
        <v>1</v>
      </c>
    </row>
    <row r="192" spans="1:99" ht="18" customHeight="1" x14ac:dyDescent="0.25">
      <c r="B192" s="6767" t="s">
        <v>1330</v>
      </c>
      <c r="C192" s="6768"/>
      <c r="D192" s="6768"/>
      <c r="E192" s="6768"/>
      <c r="F192" s="6768"/>
      <c r="G192" s="6768"/>
      <c r="H192" s="6768"/>
      <c r="I192" s="6768"/>
      <c r="J192" s="6768"/>
      <c r="K192" s="6768"/>
      <c r="L192" s="6768"/>
      <c r="M192" s="6768"/>
      <c r="N192" s="6768"/>
      <c r="O192" s="6768"/>
      <c r="P192" s="6768"/>
      <c r="Q192" s="6768"/>
      <c r="R192" s="6768"/>
    </row>
    <row r="193" spans="1:100" ht="15" customHeight="1" x14ac:dyDescent="0.25">
      <c r="B193" s="6860" t="s">
        <v>1331</v>
      </c>
      <c r="C193" s="6861"/>
      <c r="D193" s="6863" t="s">
        <v>389</v>
      </c>
      <c r="E193" s="6864" t="s">
        <v>58</v>
      </c>
      <c r="F193" s="6865" t="s">
        <v>59</v>
      </c>
      <c r="G193" s="6783" t="s">
        <v>101</v>
      </c>
      <c r="H193" s="6784"/>
      <c r="I193" s="6784"/>
      <c r="J193" s="6784"/>
      <c r="K193" s="6784"/>
      <c r="L193" s="6784"/>
      <c r="M193" s="6784"/>
      <c r="N193" s="6784"/>
      <c r="O193" s="6784"/>
      <c r="P193" s="6784"/>
      <c r="Q193" s="6784"/>
      <c r="R193" s="6784"/>
      <c r="S193" s="6784"/>
      <c r="T193" s="6785"/>
      <c r="U193" s="6769" t="s">
        <v>1332</v>
      </c>
      <c r="V193" s="6771" t="s">
        <v>453</v>
      </c>
      <c r="W193" s="6771" t="s">
        <v>37</v>
      </c>
      <c r="X193" s="6774" t="s">
        <v>36</v>
      </c>
      <c r="Y193" s="6777" t="s">
        <v>34</v>
      </c>
      <c r="Z193" s="6778" t="s">
        <v>35</v>
      </c>
      <c r="AA193" s="6779" t="s">
        <v>1333</v>
      </c>
      <c r="AB193" s="6780"/>
    </row>
    <row r="194" spans="1:100" x14ac:dyDescent="0.25">
      <c r="B194" s="6862"/>
      <c r="C194" s="6144"/>
      <c r="D194" s="6863"/>
      <c r="E194" s="6864"/>
      <c r="F194" s="6487"/>
      <c r="G194" s="6853" t="s">
        <v>1334</v>
      </c>
      <c r="H194" s="6854"/>
      <c r="I194" s="6855" t="s">
        <v>1335</v>
      </c>
      <c r="J194" s="6854"/>
      <c r="K194" s="6856" t="s">
        <v>1336</v>
      </c>
      <c r="L194" s="6857"/>
      <c r="M194" s="6853" t="s">
        <v>1337</v>
      </c>
      <c r="N194" s="6854"/>
      <c r="O194" s="6853" t="s">
        <v>1338</v>
      </c>
      <c r="P194" s="6854"/>
      <c r="Q194" s="6853" t="s">
        <v>1339</v>
      </c>
      <c r="R194" s="6854"/>
      <c r="S194" s="6858" t="s">
        <v>514</v>
      </c>
      <c r="T194" s="6859"/>
      <c r="U194" s="6388"/>
      <c r="V194" s="6772"/>
      <c r="W194" s="6772"/>
      <c r="X194" s="6775"/>
      <c r="Y194" s="6386"/>
      <c r="Z194" s="6066"/>
      <c r="AA194" s="6781"/>
      <c r="AB194" s="6782"/>
    </row>
    <row r="195" spans="1:100" x14ac:dyDescent="0.25">
      <c r="B195" s="6853"/>
      <c r="C195" s="6854"/>
      <c r="D195" s="6863"/>
      <c r="E195" s="6864"/>
      <c r="F195" s="6487"/>
      <c r="G195" s="3187" t="s">
        <v>522</v>
      </c>
      <c r="H195" s="2875" t="s">
        <v>751</v>
      </c>
      <c r="I195" s="3187" t="s">
        <v>522</v>
      </c>
      <c r="J195" s="2875" t="s">
        <v>751</v>
      </c>
      <c r="K195" s="3187" t="s">
        <v>522</v>
      </c>
      <c r="L195" s="2875" t="s">
        <v>751</v>
      </c>
      <c r="M195" s="3187" t="s">
        <v>522</v>
      </c>
      <c r="N195" s="2875" t="s">
        <v>751</v>
      </c>
      <c r="O195" s="3187" t="s">
        <v>522</v>
      </c>
      <c r="P195" s="2875" t="s">
        <v>751</v>
      </c>
      <c r="Q195" s="3187" t="s">
        <v>522</v>
      </c>
      <c r="R195" s="2875" t="s">
        <v>751</v>
      </c>
      <c r="S195" s="3188" t="s">
        <v>522</v>
      </c>
      <c r="T195" s="3189" t="s">
        <v>751</v>
      </c>
      <c r="U195" s="6770"/>
      <c r="V195" s="6773"/>
      <c r="W195" s="6773"/>
      <c r="X195" s="6776"/>
      <c r="Y195" s="6086"/>
      <c r="Z195" s="6067"/>
      <c r="AA195" s="3190" t="s">
        <v>462</v>
      </c>
      <c r="AB195" s="3191" t="s">
        <v>1340</v>
      </c>
    </row>
    <row r="196" spans="1:100" x14ac:dyDescent="0.25">
      <c r="A196" s="5789" t="s">
        <v>5496</v>
      </c>
      <c r="B196" s="6866" t="s">
        <v>1341</v>
      </c>
      <c r="C196" s="6866"/>
      <c r="D196" s="3192" t="s">
        <v>4567</v>
      </c>
      <c r="E196" s="3193" t="s">
        <v>4568</v>
      </c>
      <c r="F196" s="3194" t="s">
        <v>4569</v>
      </c>
      <c r="G196" s="5572" t="s">
        <v>4570</v>
      </c>
      <c r="H196" s="5573" t="s">
        <v>4571</v>
      </c>
      <c r="I196" s="5572" t="s">
        <v>4572</v>
      </c>
      <c r="J196" s="5573" t="s">
        <v>4573</v>
      </c>
      <c r="K196" s="5572" t="s">
        <v>4574</v>
      </c>
      <c r="L196" s="5573" t="s">
        <v>4575</v>
      </c>
      <c r="M196" s="5572" t="s">
        <v>4576</v>
      </c>
      <c r="N196" s="5573" t="s">
        <v>4577</v>
      </c>
      <c r="O196" s="5572" t="s">
        <v>4578</v>
      </c>
      <c r="P196" s="5573" t="s">
        <v>4579</v>
      </c>
      <c r="Q196" s="5572" t="s">
        <v>4580</v>
      </c>
      <c r="R196" s="5573" t="s">
        <v>4581</v>
      </c>
      <c r="S196" s="5576" t="s">
        <v>4582</v>
      </c>
      <c r="T196" s="5577" t="s">
        <v>4583</v>
      </c>
      <c r="U196" s="5578" t="s">
        <v>4584</v>
      </c>
      <c r="V196" s="5579" t="s">
        <v>4585</v>
      </c>
      <c r="W196" s="5579" t="s">
        <v>4586</v>
      </c>
      <c r="X196" s="5579" t="s">
        <v>4587</v>
      </c>
      <c r="Y196" s="5579" t="s">
        <v>4588</v>
      </c>
      <c r="Z196" s="5580" t="s">
        <v>4589</v>
      </c>
      <c r="AA196" s="5581" t="s">
        <v>4590</v>
      </c>
      <c r="AB196" s="5582" t="s">
        <v>4591</v>
      </c>
      <c r="AC196" t="str">
        <f>CC196&amp;CD196&amp;CE196&amp;CF196&amp;CG196&amp;CH196&amp;CI196&amp;CJ196</f>
        <v xml:space="preserve"> * La variable N° sesiones No puede ser mayor al Total Ambos Sexos.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196" s="135" t="str">
        <f>IF(AND($D196&gt;0,U196="")," * No olvide digitar la variable N° sesiones. Digite Cero si no tiene.",IF(U196&gt;$D196," * La variable N° sesiones No puede ser mayor al Total Ambos Sexos.",""))</f>
        <v xml:space="preserve"> * La variable N° sesiones No puede ser mayor al Total Ambos Sexos.</v>
      </c>
      <c r="CD196" s="135" t="str">
        <f t="shared" ref="CD196:CD202" si="59">IF(AND($F196&gt;0,V196="")," * No olvide digitar la variable Gestantes. Digite Cero si no tiene.",IF(V196&gt;$F196," * La variable Gestantes No puede ser mayor al Total Mujeres.",""))</f>
        <v xml:space="preserve"> * La variable Gestantes No puede ser mayor al Total Mujeres.</v>
      </c>
      <c r="CE196" s="135" t="str">
        <f t="shared" ref="CE196:CE202" si="60">IF(AND($D196&gt;0,W196="")," * No olvide digitar la variable Migrantes. Digite Cero si no tiene.",IF(W196&gt;$D196," * La variable Migrantes No puede ser mayor al Total Ambos Sexos.",""))</f>
        <v xml:space="preserve"> * La variable Migrantes No puede ser mayor al Total Ambos Sexos.</v>
      </c>
      <c r="CF196" s="135" t="str">
        <f t="shared" ref="CF196:CF202" si="61">IF(AND($D196&gt;0,X196="")," * No olvide digitar la variable Pueblos Originarios. Digite Cero si no tiene.",IF(X196&gt;$D196," * La variable Pueblos Originarios No puede ser mayor al Total Ambos Sexos.",""))</f>
        <v xml:space="preserve"> * La variable Pueblos Originarios No puede ser mayor al Total Ambos Sexos.</v>
      </c>
      <c r="CG196" s="135" t="str">
        <f t="shared" ref="CG196:CG202" si="62">IF(AND($D196&gt;0,Y196="")," * No olvide digitar la variable Niños, Niñas, Adolescentes y Jóvenes SENAME. Digite Cero si no tiene.",IF(Y196&gt;$D196," * La variable Niños, Niñas, Adolescentes y Jóvenes SENAME No puede ser mayor al Total Ambos Sexos.",""))</f>
        <v xml:space="preserve"> * La variable Niños, Niñas, Adolescentes y Jóvenes SENAME No puede ser mayor al Total Ambos Sexos.</v>
      </c>
      <c r="CH196" s="135" t="str">
        <f t="shared" ref="CH196:CH202" si="63">IF(AND($D196&gt;0,Z196="")," * No olvide digitar la variable Niños, Niñas, Adolescentes y Jóvenes Mejor Niñez. Digite Cero si no tiene.",IF(Z196&gt;$D196,"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I196" s="135" t="str">
        <f t="shared" ref="CI196:CI202" si="64">IF(AND(F196&gt;0,OR(AA196=""))," * No olvide digitar la variable Trans (Masculino). Digite Cero si no tiene.",IF((AA196)&gt;F196," * La variable Trans (Masculino) No puede ser mayor al Total Mujeres.",""))</f>
        <v xml:space="preserve"> * La variable Trans (Masculino) No puede ser mayor al Total Mujeres.</v>
      </c>
      <c r="CJ196" s="135" t="str">
        <f t="shared" ref="CJ196:CJ202" si="65">IF(AND(E196&gt;0,OR(AB196=""))," * No olvide digitar la variable Trans (Femenino). Digite Cero si no tiene.",IF((AB196)&gt;E196," * La variable Trans (Femenino) No puede ser mayor al Total Hombres.",""))</f>
        <v xml:space="preserve"> * La variable Trans (Femenino) No puede ser mayor al Total Hombres.</v>
      </c>
      <c r="CO196" s="84">
        <f t="shared" ref="CO196:CT196" si="66">IF(AND($D196&gt;0,U196=""),1,IF(U196&gt;$D196,1,0))</f>
        <v>1</v>
      </c>
      <c r="CP196" s="84">
        <f>IF(AND($F196&gt;0,V196=""),1,IF(V196&gt;$F196,1,0))</f>
        <v>1</v>
      </c>
      <c r="CQ196" s="84">
        <f t="shared" si="66"/>
        <v>1</v>
      </c>
      <c r="CR196" s="84">
        <f t="shared" si="66"/>
        <v>1</v>
      </c>
      <c r="CS196" s="84">
        <f t="shared" si="66"/>
        <v>1</v>
      </c>
      <c r="CT196" s="84">
        <f t="shared" si="66"/>
        <v>1</v>
      </c>
      <c r="CU196" s="84">
        <f>IF(AND($F196&gt;0,AA196=""),1,IF(AA196&gt;$F196,1,0))</f>
        <v>1</v>
      </c>
      <c r="CV196" s="1867">
        <f>IF(AND($E196&gt;0,AB196=""),1,IF(AB196&gt;$E196,1,0))</f>
        <v>1</v>
      </c>
    </row>
    <row r="197" spans="1:100" x14ac:dyDescent="0.25">
      <c r="A197" s="5789" t="s">
        <v>5497</v>
      </c>
      <c r="B197" s="6178" t="s">
        <v>1342</v>
      </c>
      <c r="C197" s="3195" t="s">
        <v>1343</v>
      </c>
      <c r="D197" s="316" t="s">
        <v>4567</v>
      </c>
      <c r="E197" s="2199" t="s">
        <v>4568</v>
      </c>
      <c r="F197" s="224" t="s">
        <v>4569</v>
      </c>
      <c r="G197" s="2670" t="s">
        <v>4570</v>
      </c>
      <c r="H197" s="2672" t="s">
        <v>4571</v>
      </c>
      <c r="I197" s="2670" t="s">
        <v>4572</v>
      </c>
      <c r="J197" s="2672" t="s">
        <v>4573</v>
      </c>
      <c r="K197" s="2670" t="s">
        <v>4574</v>
      </c>
      <c r="L197" s="2672" t="s">
        <v>4575</v>
      </c>
      <c r="M197" s="2670" t="s">
        <v>4576</v>
      </c>
      <c r="N197" s="2672" t="s">
        <v>4577</v>
      </c>
      <c r="O197" s="3196" t="s">
        <v>4578</v>
      </c>
      <c r="P197" s="3197" t="s">
        <v>4579</v>
      </c>
      <c r="Q197" s="3196" t="s">
        <v>4580</v>
      </c>
      <c r="R197" s="3197" t="s">
        <v>4581</v>
      </c>
      <c r="S197" s="3198" t="s">
        <v>4582</v>
      </c>
      <c r="T197" s="3199" t="s">
        <v>4583</v>
      </c>
      <c r="U197" s="3200" t="s">
        <v>4584</v>
      </c>
      <c r="V197" s="5583" t="s">
        <v>4585</v>
      </c>
      <c r="W197" s="5583" t="s">
        <v>4586</v>
      </c>
      <c r="X197" s="5583" t="s">
        <v>4587</v>
      </c>
      <c r="Y197" s="5583" t="s">
        <v>4588</v>
      </c>
      <c r="Z197" s="5584" t="s">
        <v>4589</v>
      </c>
      <c r="AA197" s="5585" t="s">
        <v>4590</v>
      </c>
      <c r="AB197" s="5586" t="s">
        <v>4591</v>
      </c>
      <c r="AC197" t="str">
        <f>CD197&amp;CE197&amp;CF197&amp;CG197&amp;CH197&amp;CI197&amp;CJ197</f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197" s="181"/>
      <c r="CD197" s="135" t="str">
        <f t="shared" si="59"/>
        <v xml:space="preserve"> * La variable Gestantes No puede ser mayor al Total Mujeres.</v>
      </c>
      <c r="CE197" s="135" t="str">
        <f t="shared" si="60"/>
        <v xml:space="preserve"> * La variable Migrantes No puede ser mayor al Total Ambos Sexos.</v>
      </c>
      <c r="CF197" s="135" t="str">
        <f t="shared" si="61"/>
        <v xml:space="preserve"> * La variable Pueblos Originarios No puede ser mayor al Total Ambos Sexos.</v>
      </c>
      <c r="CG197" s="135" t="str">
        <f t="shared" si="62"/>
        <v xml:space="preserve"> * La variable Niños, Niñas, Adolescentes y Jóvenes SENAME No puede ser mayor al Total Ambos Sexos.</v>
      </c>
      <c r="CH197" s="135" t="str">
        <f t="shared" si="63"/>
        <v xml:space="preserve"> * La variable Niños, Niñas, Adolescentes y Jóvenes Mejor Niñez No puede ser mayor al Total Ambos Sexos.</v>
      </c>
      <c r="CI197" s="135" t="str">
        <f t="shared" si="64"/>
        <v xml:space="preserve"> * La variable Trans (Masculino) No puede ser mayor al Total Mujeres.</v>
      </c>
      <c r="CJ197" s="135" t="str">
        <f t="shared" si="65"/>
        <v xml:space="preserve"> * La variable Trans (Femenino) No puede ser mayor al Total Hombres.</v>
      </c>
      <c r="CO197" s="181"/>
      <c r="CP197" s="84">
        <f t="shared" ref="CP197:CP202" si="67">IF(AND($F197&gt;0,V197=""),1,IF(V197&gt;$F197,1,0))</f>
        <v>1</v>
      </c>
      <c r="CQ197" s="84">
        <f t="shared" ref="CQ197:CQ201" si="68">IF(AND($D197&gt;0,W197=""),1,IF(W197&gt;$D197,1,0))</f>
        <v>1</v>
      </c>
      <c r="CR197" s="84">
        <f t="shared" ref="CR197:CR201" si="69">IF(AND($D197&gt;0,X197=""),1,IF(X197&gt;$D197,1,0))</f>
        <v>1</v>
      </c>
      <c r="CS197" s="84">
        <f t="shared" ref="CS197:CS201" si="70">IF(AND($D197&gt;0,Y197=""),1,IF(Y197&gt;$D197,1,0))</f>
        <v>1</v>
      </c>
      <c r="CT197" s="84">
        <f t="shared" ref="CT197:CT201" si="71">IF(AND($D197&gt;0,Z197=""),1,IF(Z197&gt;$D197,1,0))</f>
        <v>1</v>
      </c>
      <c r="CU197" s="84">
        <f t="shared" ref="CU197:CU201" si="72">IF(AND($F197&gt;0,AA197=""),1,IF(AA197&gt;$F197,1,0))</f>
        <v>1</v>
      </c>
      <c r="CV197" s="1867">
        <f t="shared" ref="CV197:CV201" si="73">IF(AND($E197&gt;0,AB197=""),1,IF(AB197&gt;$E197,1,0))</f>
        <v>1</v>
      </c>
    </row>
    <row r="198" spans="1:100" x14ac:dyDescent="0.25">
      <c r="A198" s="5789" t="s">
        <v>5498</v>
      </c>
      <c r="B198" s="6178"/>
      <c r="C198" s="3201" t="s">
        <v>1344</v>
      </c>
      <c r="D198" s="737" t="s">
        <v>4567</v>
      </c>
      <c r="E198" s="2199" t="s">
        <v>4568</v>
      </c>
      <c r="F198" s="224" t="s">
        <v>4569</v>
      </c>
      <c r="G198" s="5574" t="s">
        <v>4570</v>
      </c>
      <c r="H198" s="5575" t="s">
        <v>4571</v>
      </c>
      <c r="I198" s="5574" t="s">
        <v>4572</v>
      </c>
      <c r="J198" s="5575" t="s">
        <v>4573</v>
      </c>
      <c r="K198" s="5574" t="s">
        <v>4574</v>
      </c>
      <c r="L198" s="5575" t="s">
        <v>4575</v>
      </c>
      <c r="M198" s="5574" t="s">
        <v>4576</v>
      </c>
      <c r="N198" s="5575" t="s">
        <v>4577</v>
      </c>
      <c r="O198" s="3202" t="s">
        <v>4578</v>
      </c>
      <c r="P198" s="3203" t="s">
        <v>4579</v>
      </c>
      <c r="Q198" s="3202" t="s">
        <v>4580</v>
      </c>
      <c r="R198" s="3203" t="s">
        <v>4581</v>
      </c>
      <c r="S198" s="3204" t="s">
        <v>4582</v>
      </c>
      <c r="T198" s="3205" t="s">
        <v>4583</v>
      </c>
      <c r="U198" s="3206" t="s">
        <v>4584</v>
      </c>
      <c r="V198" s="5587" t="s">
        <v>4585</v>
      </c>
      <c r="W198" s="5587" t="s">
        <v>4586</v>
      </c>
      <c r="X198" s="5587" t="s">
        <v>4587</v>
      </c>
      <c r="Y198" s="5587" t="s">
        <v>4588</v>
      </c>
      <c r="Z198" s="5588" t="s">
        <v>4589</v>
      </c>
      <c r="AA198" s="5589" t="s">
        <v>4590</v>
      </c>
      <c r="AB198" s="5590" t="s">
        <v>4591</v>
      </c>
      <c r="AC198" t="str">
        <f t="shared" ref="AC198:AC201" si="74">CD198&amp;CE198&amp;CF198&amp;CG198&amp;CH198&amp;CI198&amp;CJ198</f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198" s="181"/>
      <c r="CD198" s="135" t="str">
        <f t="shared" si="59"/>
        <v xml:space="preserve"> * La variable Gestantes No puede ser mayor al Total Mujeres.</v>
      </c>
      <c r="CE198" s="135" t="str">
        <f t="shared" si="60"/>
        <v xml:space="preserve"> * La variable Migrantes No puede ser mayor al Total Ambos Sexos.</v>
      </c>
      <c r="CF198" s="135" t="str">
        <f t="shared" si="61"/>
        <v xml:space="preserve"> * La variable Pueblos Originarios No puede ser mayor al Total Ambos Sexos.</v>
      </c>
      <c r="CG198" s="135" t="str">
        <f t="shared" si="62"/>
        <v xml:space="preserve"> * La variable Niños, Niñas, Adolescentes y Jóvenes SENAME No puede ser mayor al Total Ambos Sexos.</v>
      </c>
      <c r="CH198" s="135" t="str">
        <f t="shared" si="63"/>
        <v xml:space="preserve"> * La variable Niños, Niñas, Adolescentes y Jóvenes Mejor Niñez No puede ser mayor al Total Ambos Sexos.</v>
      </c>
      <c r="CI198" s="135" t="str">
        <f t="shared" si="64"/>
        <v xml:space="preserve"> * La variable Trans (Masculino) No puede ser mayor al Total Mujeres.</v>
      </c>
      <c r="CJ198" s="135" t="str">
        <f t="shared" si="65"/>
        <v xml:space="preserve"> * La variable Trans (Femenino) No puede ser mayor al Total Hombres.</v>
      </c>
      <c r="CO198" s="181"/>
      <c r="CP198" s="84">
        <f t="shared" si="67"/>
        <v>1</v>
      </c>
      <c r="CQ198" s="84">
        <f t="shared" si="68"/>
        <v>1</v>
      </c>
      <c r="CR198" s="84">
        <f t="shared" si="69"/>
        <v>1</v>
      </c>
      <c r="CS198" s="84">
        <f t="shared" si="70"/>
        <v>1</v>
      </c>
      <c r="CT198" s="84">
        <f t="shared" si="71"/>
        <v>1</v>
      </c>
      <c r="CU198" s="84">
        <f t="shared" si="72"/>
        <v>1</v>
      </c>
      <c r="CV198" s="1867">
        <f t="shared" si="73"/>
        <v>1</v>
      </c>
    </row>
    <row r="199" spans="1:100" x14ac:dyDescent="0.25">
      <c r="A199" s="5789" t="s">
        <v>5499</v>
      </c>
      <c r="B199" s="6178"/>
      <c r="C199" s="3201" t="s">
        <v>1345</v>
      </c>
      <c r="D199" s="737" t="s">
        <v>4567</v>
      </c>
      <c r="E199" s="751" t="s">
        <v>4568</v>
      </c>
      <c r="F199" s="739" t="s">
        <v>4569</v>
      </c>
      <c r="G199" s="5574" t="s">
        <v>4570</v>
      </c>
      <c r="H199" s="5575" t="s">
        <v>4571</v>
      </c>
      <c r="I199" s="5574" t="s">
        <v>4572</v>
      </c>
      <c r="J199" s="5575" t="s">
        <v>4573</v>
      </c>
      <c r="K199" s="5574" t="s">
        <v>4574</v>
      </c>
      <c r="L199" s="5575" t="s">
        <v>4575</v>
      </c>
      <c r="M199" s="5574" t="s">
        <v>4576</v>
      </c>
      <c r="N199" s="5575" t="s">
        <v>4577</v>
      </c>
      <c r="O199" s="5574" t="s">
        <v>4578</v>
      </c>
      <c r="P199" s="5575" t="s">
        <v>4579</v>
      </c>
      <c r="Q199" s="5574" t="s">
        <v>4580</v>
      </c>
      <c r="R199" s="5575" t="s">
        <v>4581</v>
      </c>
      <c r="S199" s="5595" t="s">
        <v>4582</v>
      </c>
      <c r="T199" s="5596" t="s">
        <v>4583</v>
      </c>
      <c r="U199" s="3206" t="s">
        <v>4584</v>
      </c>
      <c r="V199" s="5587" t="s">
        <v>4585</v>
      </c>
      <c r="W199" s="5587" t="s">
        <v>4586</v>
      </c>
      <c r="X199" s="5587" t="s">
        <v>4587</v>
      </c>
      <c r="Y199" s="5587" t="s">
        <v>4588</v>
      </c>
      <c r="Z199" s="5588" t="s">
        <v>4589</v>
      </c>
      <c r="AA199" s="5589" t="s">
        <v>4590</v>
      </c>
      <c r="AB199" s="5590" t="s">
        <v>4591</v>
      </c>
      <c r="AC199" t="str">
        <f t="shared" si="74"/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199" s="181"/>
      <c r="CD199" s="135" t="str">
        <f t="shared" si="59"/>
        <v xml:space="preserve"> * La variable Gestantes No puede ser mayor al Total Mujeres.</v>
      </c>
      <c r="CE199" s="135" t="str">
        <f t="shared" si="60"/>
        <v xml:space="preserve"> * La variable Migrantes No puede ser mayor al Total Ambos Sexos.</v>
      </c>
      <c r="CF199" s="135" t="str">
        <f t="shared" si="61"/>
        <v xml:space="preserve"> * La variable Pueblos Originarios No puede ser mayor al Total Ambos Sexos.</v>
      </c>
      <c r="CG199" s="135" t="str">
        <f t="shared" si="62"/>
        <v xml:space="preserve"> * La variable Niños, Niñas, Adolescentes y Jóvenes SENAME No puede ser mayor al Total Ambos Sexos.</v>
      </c>
      <c r="CH199" s="135" t="str">
        <f t="shared" si="63"/>
        <v xml:space="preserve"> * La variable Niños, Niñas, Adolescentes y Jóvenes Mejor Niñez No puede ser mayor al Total Ambos Sexos.</v>
      </c>
      <c r="CI199" s="135" t="str">
        <f t="shared" si="64"/>
        <v xml:space="preserve"> * La variable Trans (Masculino) No puede ser mayor al Total Mujeres.</v>
      </c>
      <c r="CJ199" s="135" t="str">
        <f t="shared" si="65"/>
        <v xml:space="preserve"> * La variable Trans (Femenino) No puede ser mayor al Total Hombres.</v>
      </c>
      <c r="CO199" s="181"/>
      <c r="CP199" s="84">
        <f t="shared" si="67"/>
        <v>1</v>
      </c>
      <c r="CQ199" s="84">
        <f t="shared" si="68"/>
        <v>1</v>
      </c>
      <c r="CR199" s="84">
        <f t="shared" si="69"/>
        <v>1</v>
      </c>
      <c r="CS199" s="84">
        <f t="shared" si="70"/>
        <v>1</v>
      </c>
      <c r="CT199" s="84">
        <f t="shared" si="71"/>
        <v>1</v>
      </c>
      <c r="CU199" s="84">
        <f t="shared" si="72"/>
        <v>1</v>
      </c>
      <c r="CV199" s="1867">
        <f t="shared" si="73"/>
        <v>1</v>
      </c>
    </row>
    <row r="200" spans="1:100" x14ac:dyDescent="0.25">
      <c r="A200" s="5789" t="s">
        <v>5500</v>
      </c>
      <c r="B200" s="6178"/>
      <c r="C200" s="3201" t="s">
        <v>1346</v>
      </c>
      <c r="D200" s="737" t="s">
        <v>4567</v>
      </c>
      <c r="E200" s="751" t="s">
        <v>4568</v>
      </c>
      <c r="F200" s="739" t="s">
        <v>4569</v>
      </c>
      <c r="G200" s="5574" t="s">
        <v>4570</v>
      </c>
      <c r="H200" s="5575" t="s">
        <v>4571</v>
      </c>
      <c r="I200" s="5574" t="s">
        <v>4572</v>
      </c>
      <c r="J200" s="5575" t="s">
        <v>4573</v>
      </c>
      <c r="K200" s="5574" t="s">
        <v>4574</v>
      </c>
      <c r="L200" s="5575" t="s">
        <v>4575</v>
      </c>
      <c r="M200" s="5574" t="s">
        <v>4576</v>
      </c>
      <c r="N200" s="5575" t="s">
        <v>4577</v>
      </c>
      <c r="O200" s="3202" t="s">
        <v>4578</v>
      </c>
      <c r="P200" s="3203" t="s">
        <v>4579</v>
      </c>
      <c r="Q200" s="3202" t="s">
        <v>4580</v>
      </c>
      <c r="R200" s="3203" t="s">
        <v>4581</v>
      </c>
      <c r="S200" s="3204" t="s">
        <v>4582</v>
      </c>
      <c r="T200" s="3205" t="s">
        <v>4583</v>
      </c>
      <c r="U200" s="3206" t="s">
        <v>4584</v>
      </c>
      <c r="V200" s="5587" t="s">
        <v>4585</v>
      </c>
      <c r="W200" s="5587" t="s">
        <v>4586</v>
      </c>
      <c r="X200" s="5587" t="s">
        <v>4587</v>
      </c>
      <c r="Y200" s="5587" t="s">
        <v>4588</v>
      </c>
      <c r="Z200" s="5588" t="s">
        <v>4589</v>
      </c>
      <c r="AA200" s="5589" t="s">
        <v>4590</v>
      </c>
      <c r="AB200" s="5590" t="s">
        <v>4591</v>
      </c>
      <c r="AC200" t="str">
        <f t="shared" si="74"/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200" s="181"/>
      <c r="CD200" s="135" t="str">
        <f t="shared" si="59"/>
        <v xml:space="preserve"> * La variable Gestantes No puede ser mayor al Total Mujeres.</v>
      </c>
      <c r="CE200" s="135" t="str">
        <f t="shared" si="60"/>
        <v xml:space="preserve"> * La variable Migrantes No puede ser mayor al Total Ambos Sexos.</v>
      </c>
      <c r="CF200" s="135" t="str">
        <f t="shared" si="61"/>
        <v xml:space="preserve"> * La variable Pueblos Originarios No puede ser mayor al Total Ambos Sexos.</v>
      </c>
      <c r="CG200" s="135" t="str">
        <f t="shared" si="62"/>
        <v xml:space="preserve"> * La variable Niños, Niñas, Adolescentes y Jóvenes SENAME No puede ser mayor al Total Ambos Sexos.</v>
      </c>
      <c r="CH200" s="135" t="str">
        <f t="shared" si="63"/>
        <v xml:space="preserve"> * La variable Niños, Niñas, Adolescentes y Jóvenes Mejor Niñez No puede ser mayor al Total Ambos Sexos.</v>
      </c>
      <c r="CI200" s="135" t="str">
        <f t="shared" si="64"/>
        <v xml:space="preserve"> * La variable Trans (Masculino) No puede ser mayor al Total Mujeres.</v>
      </c>
      <c r="CJ200" s="135" t="str">
        <f t="shared" si="65"/>
        <v xml:space="preserve"> * La variable Trans (Femenino) No puede ser mayor al Total Hombres.</v>
      </c>
      <c r="CO200" s="181"/>
      <c r="CP200" s="84">
        <f t="shared" si="67"/>
        <v>1</v>
      </c>
      <c r="CQ200" s="84">
        <f t="shared" si="68"/>
        <v>1</v>
      </c>
      <c r="CR200" s="84">
        <f t="shared" si="69"/>
        <v>1</v>
      </c>
      <c r="CS200" s="84">
        <f t="shared" si="70"/>
        <v>1</v>
      </c>
      <c r="CT200" s="84">
        <f t="shared" si="71"/>
        <v>1</v>
      </c>
      <c r="CU200" s="84">
        <f t="shared" si="72"/>
        <v>1</v>
      </c>
      <c r="CV200" s="1867">
        <f t="shared" si="73"/>
        <v>1</v>
      </c>
    </row>
    <row r="201" spans="1:100" x14ac:dyDescent="0.25">
      <c r="A201" s="5789" t="s">
        <v>5501</v>
      </c>
      <c r="B201" s="6178"/>
      <c r="C201" s="3201" t="s">
        <v>1347</v>
      </c>
      <c r="D201" s="737" t="s">
        <v>4567</v>
      </c>
      <c r="E201" s="751" t="s">
        <v>4568</v>
      </c>
      <c r="F201" s="739" t="s">
        <v>4569</v>
      </c>
      <c r="G201" s="5574" t="s">
        <v>4570</v>
      </c>
      <c r="H201" s="5575" t="s">
        <v>4571</v>
      </c>
      <c r="I201" s="5574" t="s">
        <v>4572</v>
      </c>
      <c r="J201" s="5575" t="s">
        <v>4573</v>
      </c>
      <c r="K201" s="5574" t="s">
        <v>4574</v>
      </c>
      <c r="L201" s="5575" t="s">
        <v>4575</v>
      </c>
      <c r="M201" s="5574" t="s">
        <v>4576</v>
      </c>
      <c r="N201" s="5575" t="s">
        <v>4577</v>
      </c>
      <c r="O201" s="5574" t="s">
        <v>4578</v>
      </c>
      <c r="P201" s="5575" t="s">
        <v>4579</v>
      </c>
      <c r="Q201" s="5574" t="s">
        <v>4580</v>
      </c>
      <c r="R201" s="5575" t="s">
        <v>4581</v>
      </c>
      <c r="S201" s="5595" t="s">
        <v>4582</v>
      </c>
      <c r="T201" s="5596" t="s">
        <v>4583</v>
      </c>
      <c r="U201" s="3206" t="s">
        <v>4584</v>
      </c>
      <c r="V201" s="5587" t="s">
        <v>4585</v>
      </c>
      <c r="W201" s="5587" t="s">
        <v>4586</v>
      </c>
      <c r="X201" s="5587" t="s">
        <v>4587</v>
      </c>
      <c r="Y201" s="5587" t="s">
        <v>4588</v>
      </c>
      <c r="Z201" s="5588" t="s">
        <v>4589</v>
      </c>
      <c r="AA201" s="5589" t="s">
        <v>4590</v>
      </c>
      <c r="AB201" s="5590" t="s">
        <v>4591</v>
      </c>
      <c r="AC201" t="str">
        <f t="shared" si="74"/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201" s="181"/>
      <c r="CD201" s="135" t="str">
        <f t="shared" si="59"/>
        <v xml:space="preserve"> * La variable Gestantes No puede ser mayor al Total Mujeres.</v>
      </c>
      <c r="CE201" s="135" t="str">
        <f t="shared" si="60"/>
        <v xml:space="preserve"> * La variable Migrantes No puede ser mayor al Total Ambos Sexos.</v>
      </c>
      <c r="CF201" s="135" t="str">
        <f t="shared" si="61"/>
        <v xml:space="preserve"> * La variable Pueblos Originarios No puede ser mayor al Total Ambos Sexos.</v>
      </c>
      <c r="CG201" s="135" t="str">
        <f t="shared" si="62"/>
        <v xml:space="preserve"> * La variable Niños, Niñas, Adolescentes y Jóvenes SENAME No puede ser mayor al Total Ambos Sexos.</v>
      </c>
      <c r="CH201" s="135" t="str">
        <f t="shared" si="63"/>
        <v xml:space="preserve"> * La variable Niños, Niñas, Adolescentes y Jóvenes Mejor Niñez No puede ser mayor al Total Ambos Sexos.</v>
      </c>
      <c r="CI201" s="135" t="str">
        <f t="shared" si="64"/>
        <v xml:space="preserve"> * La variable Trans (Masculino) No puede ser mayor al Total Mujeres.</v>
      </c>
      <c r="CJ201" s="135" t="str">
        <f t="shared" si="65"/>
        <v xml:space="preserve"> * La variable Trans (Femenino) No puede ser mayor al Total Hombres.</v>
      </c>
      <c r="CO201" s="181"/>
      <c r="CP201" s="84">
        <f t="shared" si="67"/>
        <v>1</v>
      </c>
      <c r="CQ201" s="84">
        <f t="shared" si="68"/>
        <v>1</v>
      </c>
      <c r="CR201" s="84">
        <f t="shared" si="69"/>
        <v>1</v>
      </c>
      <c r="CS201" s="84">
        <f t="shared" si="70"/>
        <v>1</v>
      </c>
      <c r="CT201" s="84">
        <f t="shared" si="71"/>
        <v>1</v>
      </c>
      <c r="CU201" s="84">
        <f t="shared" si="72"/>
        <v>1</v>
      </c>
      <c r="CV201" s="1867">
        <f t="shared" si="73"/>
        <v>1</v>
      </c>
    </row>
    <row r="202" spans="1:100" x14ac:dyDescent="0.25">
      <c r="A202" s="5789" t="s">
        <v>5502</v>
      </c>
      <c r="B202" s="6867"/>
      <c r="C202" s="2674" t="s">
        <v>902</v>
      </c>
      <c r="D202" s="703" t="s">
        <v>4567</v>
      </c>
      <c r="E202" s="704" t="s">
        <v>4568</v>
      </c>
      <c r="F202" s="742" t="s">
        <v>4569</v>
      </c>
      <c r="G202" s="2677" t="s">
        <v>4570</v>
      </c>
      <c r="H202" s="2681" t="s">
        <v>4571</v>
      </c>
      <c r="I202" s="2677" t="s">
        <v>4572</v>
      </c>
      <c r="J202" s="2681" t="s">
        <v>4573</v>
      </c>
      <c r="K202" s="2677" t="s">
        <v>4574</v>
      </c>
      <c r="L202" s="2681" t="s">
        <v>4575</v>
      </c>
      <c r="M202" s="2677" t="s">
        <v>4576</v>
      </c>
      <c r="N202" s="2681" t="s">
        <v>4577</v>
      </c>
      <c r="O202" s="2677" t="s">
        <v>4578</v>
      </c>
      <c r="P202" s="2681" t="s">
        <v>4579</v>
      </c>
      <c r="Q202" s="2677" t="s">
        <v>4580</v>
      </c>
      <c r="R202" s="2681" t="s">
        <v>4581</v>
      </c>
      <c r="S202" s="2680" t="s">
        <v>4582</v>
      </c>
      <c r="T202" s="5597" t="s">
        <v>4583</v>
      </c>
      <c r="U202" s="3207" t="s">
        <v>4584</v>
      </c>
      <c r="V202" s="5591" t="s">
        <v>4585</v>
      </c>
      <c r="W202" s="5591" t="s">
        <v>4586</v>
      </c>
      <c r="X202" s="5591" t="s">
        <v>4587</v>
      </c>
      <c r="Y202" s="5591" t="s">
        <v>4588</v>
      </c>
      <c r="Z202" s="5592" t="s">
        <v>4589</v>
      </c>
      <c r="AA202" s="5593" t="s">
        <v>4590</v>
      </c>
      <c r="AB202" s="5594" t="s">
        <v>4591</v>
      </c>
      <c r="AC202" t="str">
        <f>CD202&amp;CE202&amp;CF202&amp;CG202&amp;CH202&amp;CI202&amp;CJ202</f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202" s="181"/>
      <c r="CD202" s="135" t="str">
        <f t="shared" si="59"/>
        <v xml:space="preserve"> * La variable Gestantes No puede ser mayor al Total Mujeres.</v>
      </c>
      <c r="CE202" s="135" t="str">
        <f t="shared" si="60"/>
        <v xml:space="preserve"> * La variable Migrantes No puede ser mayor al Total Ambos Sexos.</v>
      </c>
      <c r="CF202" s="135" t="str">
        <f t="shared" si="61"/>
        <v xml:space="preserve"> * La variable Pueblos Originarios No puede ser mayor al Total Ambos Sexos.</v>
      </c>
      <c r="CG202" s="135" t="str">
        <f t="shared" si="62"/>
        <v xml:space="preserve"> * La variable Niños, Niñas, Adolescentes y Jóvenes SENAME No puede ser mayor al Total Ambos Sexos.</v>
      </c>
      <c r="CH202" s="135" t="str">
        <f t="shared" si="63"/>
        <v xml:space="preserve"> * La variable Niños, Niñas, Adolescentes y Jóvenes Mejor Niñez No puede ser mayor al Total Ambos Sexos.</v>
      </c>
      <c r="CI202" s="135" t="str">
        <f t="shared" si="64"/>
        <v xml:space="preserve"> * La variable Trans (Masculino) No puede ser mayor al Total Mujeres.</v>
      </c>
      <c r="CJ202" s="135" t="str">
        <f t="shared" si="65"/>
        <v xml:space="preserve"> * La variable Trans (Femenino) No puede ser mayor al Total Hombres.</v>
      </c>
      <c r="CO202" s="181"/>
      <c r="CP202" s="84">
        <f t="shared" si="67"/>
        <v>1</v>
      </c>
      <c r="CQ202" s="84">
        <f>IF(AND($D202&gt;0,W202=""),1,IF(W202&gt;$D202,1,0))</f>
        <v>1</v>
      </c>
      <c r="CR202" s="84">
        <f>IF(AND($D202&gt;0,X202=""),1,IF(X202&gt;$D202,1,0))</f>
        <v>1</v>
      </c>
      <c r="CS202" s="84">
        <f>IF(AND($D202&gt;0,Y202=""),1,IF(Y202&gt;$D202,1,0))</f>
        <v>1</v>
      </c>
      <c r="CT202" s="84">
        <f>IF(AND($D202&gt;0,Z202=""),1,IF(Z202&gt;$D202,1,0))</f>
        <v>1</v>
      </c>
      <c r="CU202" s="84">
        <f>IF(AND($F202&gt;0,AA202=""),1,IF(AA202&gt;$F202,1,0))</f>
        <v>1</v>
      </c>
      <c r="CV202" s="1867">
        <f>IF(AND($E202&gt;0,AB202=""),1,IF(AB202&gt;$E202,1,0))</f>
        <v>1</v>
      </c>
    </row>
    <row r="203" spans="1:100" ht="18" customHeight="1" x14ac:dyDescent="0.25">
      <c r="B203" s="6767" t="s">
        <v>1348</v>
      </c>
      <c r="C203" s="6768"/>
      <c r="D203" s="6768"/>
      <c r="E203" s="6768"/>
      <c r="F203" s="6768"/>
    </row>
    <row r="204" spans="1:100" x14ac:dyDescent="0.25">
      <c r="B204" s="6860" t="s">
        <v>1331</v>
      </c>
      <c r="C204" s="6861"/>
      <c r="D204" s="6868" t="s">
        <v>919</v>
      </c>
      <c r="E204" s="6869" t="s">
        <v>662</v>
      </c>
      <c r="F204" s="6457" t="s">
        <v>1349</v>
      </c>
    </row>
    <row r="205" spans="1:100" x14ac:dyDescent="0.25">
      <c r="B205" s="6862"/>
      <c r="C205" s="6144"/>
      <c r="D205" s="6868"/>
      <c r="E205" s="6869"/>
      <c r="F205" s="6457"/>
    </row>
    <row r="206" spans="1:100" x14ac:dyDescent="0.25">
      <c r="B206" s="6853"/>
      <c r="C206" s="6854"/>
      <c r="D206" s="6868"/>
      <c r="E206" s="6869"/>
      <c r="F206" s="6457"/>
    </row>
    <row r="207" spans="1:100" ht="22.5" customHeight="1" x14ac:dyDescent="0.25">
      <c r="A207" s="5789" t="s">
        <v>5503</v>
      </c>
      <c r="B207" s="6870" t="s">
        <v>1350</v>
      </c>
      <c r="C207" s="6870"/>
      <c r="D207" s="3208" t="s">
        <v>4567</v>
      </c>
      <c r="E207" s="5598" t="s">
        <v>4568</v>
      </c>
      <c r="F207" s="5599" t="s">
        <v>4569</v>
      </c>
    </row>
    <row r="208" spans="1:100" ht="15" customHeight="1" x14ac:dyDescent="0.25">
      <c r="A208" s="5789" t="s">
        <v>5504</v>
      </c>
      <c r="B208" s="6852" t="s">
        <v>1351</v>
      </c>
      <c r="C208" s="6852"/>
      <c r="D208" s="3210" t="s">
        <v>4567</v>
      </c>
      <c r="E208" s="5453" t="s">
        <v>4568</v>
      </c>
      <c r="F208" s="5600" t="s">
        <v>4569</v>
      </c>
    </row>
    <row r="209" spans="1:96" x14ac:dyDescent="0.25">
      <c r="B209" s="6767" t="s">
        <v>4328</v>
      </c>
      <c r="C209" s="6768"/>
      <c r="D209" s="6768"/>
      <c r="E209" s="6768"/>
      <c r="F209" s="6768"/>
      <c r="G209" s="283"/>
      <c r="H209" s="283"/>
      <c r="I209" s="283"/>
      <c r="J209" s="3211"/>
      <c r="K209" s="3211"/>
      <c r="L209" s="3211"/>
      <c r="M209" s="3211"/>
      <c r="N209" s="3211"/>
    </row>
    <row r="210" spans="1:96" ht="30" customHeight="1" x14ac:dyDescent="0.25">
      <c r="B210" s="6458" t="s">
        <v>219</v>
      </c>
      <c r="C210" s="6458" t="s">
        <v>77</v>
      </c>
      <c r="D210" s="6704" t="s">
        <v>101</v>
      </c>
      <c r="E210" s="6515"/>
      <c r="F210" s="6515"/>
      <c r="G210" s="6515"/>
      <c r="H210" s="6515"/>
      <c r="I210" s="6515"/>
      <c r="J210" s="6515"/>
      <c r="K210" s="6455"/>
      <c r="L210" s="6760" t="s">
        <v>999</v>
      </c>
      <c r="M210" s="6761"/>
      <c r="N210" s="6762"/>
    </row>
    <row r="211" spans="1:96" x14ac:dyDescent="0.25">
      <c r="B211" s="6119"/>
      <c r="C211" s="6119"/>
      <c r="D211" s="6766" t="s">
        <v>4327</v>
      </c>
      <c r="E211" s="6457"/>
      <c r="F211" s="6705" t="s">
        <v>45</v>
      </c>
      <c r="G211" s="6448"/>
      <c r="H211" s="6705" t="s">
        <v>46</v>
      </c>
      <c r="I211" s="6448"/>
      <c r="J211" s="6705" t="s">
        <v>1352</v>
      </c>
      <c r="K211" s="6447"/>
      <c r="L211" s="6763"/>
      <c r="M211" s="6764"/>
      <c r="N211" s="6765"/>
    </row>
    <row r="212" spans="1:96" x14ac:dyDescent="0.25">
      <c r="B212" s="6739"/>
      <c r="C212" s="6739"/>
      <c r="D212" s="744" t="s">
        <v>1353</v>
      </c>
      <c r="E212" s="2922" t="s">
        <v>523</v>
      </c>
      <c r="F212" s="3212" t="s">
        <v>1353</v>
      </c>
      <c r="G212" s="2923" t="s">
        <v>523</v>
      </c>
      <c r="H212" s="3212" t="s">
        <v>1353</v>
      </c>
      <c r="I212" s="2922" t="s">
        <v>523</v>
      </c>
      <c r="J212" s="3212" t="s">
        <v>1353</v>
      </c>
      <c r="K212" s="3213" t="s">
        <v>523</v>
      </c>
      <c r="L212" s="3214" t="s">
        <v>1278</v>
      </c>
      <c r="M212" s="3215" t="s">
        <v>1354</v>
      </c>
      <c r="N212" s="3216" t="s">
        <v>1355</v>
      </c>
    </row>
    <row r="213" spans="1:96" x14ac:dyDescent="0.25">
      <c r="A213" s="5789" t="s">
        <v>5505</v>
      </c>
      <c r="B213" s="2998" t="s">
        <v>1356</v>
      </c>
      <c r="C213" s="1726" t="s">
        <v>4568</v>
      </c>
      <c r="D213" s="5744" t="s">
        <v>4569</v>
      </c>
      <c r="E213" s="1726" t="s">
        <v>4570</v>
      </c>
      <c r="F213" s="4782" t="s">
        <v>4571</v>
      </c>
      <c r="G213" s="1726" t="s">
        <v>4572</v>
      </c>
      <c r="H213" s="5744" t="s">
        <v>4573</v>
      </c>
      <c r="I213" s="1726" t="s">
        <v>4574</v>
      </c>
      <c r="J213" s="1728" t="s">
        <v>4575</v>
      </c>
      <c r="K213" s="3128" t="s">
        <v>4576</v>
      </c>
      <c r="L213" s="5562" t="s">
        <v>4577</v>
      </c>
      <c r="M213" s="5744" t="s">
        <v>4578</v>
      </c>
      <c r="N213" s="566"/>
      <c r="O213" t="e">
        <f>CC213&amp;CD213&amp;CE213&amp;CF213</f>
        <v>#VALUE!</v>
      </c>
      <c r="CC213" s="135" t="str">
        <f>IF(AND(C213&gt;0,OR(L213=""))," * No olvide digitar la variable IDENTIDAD DE GÉNERO/Trans Masculino. Digite Cero si no tiene.","")</f>
        <v/>
      </c>
      <c r="CD213" s="135" t="str">
        <f>IF(AND($C213&gt;0,OR(M213=""))," * No olvide digitar la variable IDENTIDAD DE GÉNERO/Trans Femenino. Digite Cero si no tiene.","")</f>
        <v/>
      </c>
      <c r="CE213" s="135" t="str">
        <f>IF(AND(C213&gt;0,OR(N213=""))," * No olvide digitar la variable IDENTIDAD DE GÉNERO/Binarie. Digite Cero si no tiene.","")</f>
        <v xml:space="preserve"> * No olvide digitar la variable IDENTIDAD DE GÉNERO/Binarie. Digite Cero si no tiene.</v>
      </c>
      <c r="CF213" s="135" t="e">
        <f>IF((L213+M213+N213)&gt;C213," * La variable IDENTIDAD DE GÉNERO No puede ser mayor al Total .","")</f>
        <v>#VALUE!</v>
      </c>
      <c r="CO213" s="182">
        <f>IF(AND($C213&gt;0,(L213="")),1,0)</f>
        <v>0</v>
      </c>
      <c r="CP213" s="182">
        <f t="shared" ref="CP213" si="75">IF(AND($C213&gt;0,(M213="")),1,0)</f>
        <v>0</v>
      </c>
      <c r="CQ213" s="182">
        <f>IF(AND($C213&gt;0,(N213="")),1,0)</f>
        <v>1</v>
      </c>
      <c r="CR213" s="182" t="e">
        <f>IF((L213+M213+N213)&gt;C213,1,0)</f>
        <v>#VALUE!</v>
      </c>
    </row>
    <row r="214" spans="1:96" x14ac:dyDescent="0.25">
      <c r="A214" s="5789" t="s">
        <v>5506</v>
      </c>
      <c r="B214" s="2905" t="s">
        <v>1357</v>
      </c>
      <c r="C214" s="1089" t="s">
        <v>4568</v>
      </c>
      <c r="D214" s="1090" t="s">
        <v>4569</v>
      </c>
      <c r="E214" s="1089" t="s">
        <v>4570</v>
      </c>
      <c r="F214" s="1311" t="s">
        <v>4571</v>
      </c>
      <c r="G214" s="1089" t="s">
        <v>4572</v>
      </c>
      <c r="H214" s="1090" t="s">
        <v>4573</v>
      </c>
      <c r="I214" s="1089" t="s">
        <v>4574</v>
      </c>
      <c r="J214" s="1295" t="s">
        <v>4575</v>
      </c>
      <c r="K214" s="4065" t="s">
        <v>4576</v>
      </c>
      <c r="L214" s="368" t="s">
        <v>4577</v>
      </c>
      <c r="M214" s="1090" t="s">
        <v>4578</v>
      </c>
      <c r="N214" s="346"/>
      <c r="O214" t="e">
        <f>CC214&amp;CD214&amp;CE214&amp;CF214</f>
        <v>#VALUE!</v>
      </c>
      <c r="CC214" s="135" t="str">
        <f>IF(AND(C214&gt;0,OR(L214=""))," * No olvide digitar la variable IDENTIDAD DE GÉNERO/Trans Masculino. Digite Cero si no tiene.","")</f>
        <v/>
      </c>
      <c r="CD214" s="135" t="str">
        <f>IF(AND($C214&gt;0,OR(M214=""))," * No olvide digitar la variable IDENTIDAD DE GÉNERO/Trans Femenino. Digite Cero si no tiene.","")</f>
        <v/>
      </c>
      <c r="CE214" s="135" t="str">
        <f>IF(AND(C214&gt;0,OR(N214=""))," * No olvide digitar la variable IDENTIDAD DE GÉNERO/Binarie. Digite Cero si no tiene.","")</f>
        <v xml:space="preserve"> * No olvide digitar la variable IDENTIDAD DE GÉNERO/Binarie. Digite Cero si no tiene.</v>
      </c>
      <c r="CF214" s="135" t="e">
        <f>IF((L214+M214+N214)&gt;C214," * La variable IDENTIDAD DE GÉNERO No puede ser mayor al Total .","")</f>
        <v>#VALUE!</v>
      </c>
      <c r="CO214" s="182">
        <f t="shared" ref="CO214:CO215" si="76">IF(AND($C214&gt;0,(L214="")),1,0)</f>
        <v>0</v>
      </c>
      <c r="CP214" s="182">
        <f t="shared" ref="CP214:CP215" si="77">IF(AND($C214&gt;0,(M214="")),1,0)</f>
        <v>0</v>
      </c>
      <c r="CQ214" s="182">
        <f t="shared" ref="CQ214:CQ215" si="78">IF(AND($C214&gt;0,(N214="")),1,0)</f>
        <v>1</v>
      </c>
      <c r="CR214" s="182" t="e">
        <f t="shared" ref="CR214:CR215" si="79">IF((L214+M214+N214)&gt;C214,1,0)</f>
        <v>#VALUE!</v>
      </c>
    </row>
    <row r="215" spans="1:96" x14ac:dyDescent="0.25">
      <c r="A215" s="5789" t="s">
        <v>5507</v>
      </c>
      <c r="B215" s="1368" t="s">
        <v>1358</v>
      </c>
      <c r="C215" s="1737" t="s">
        <v>4568</v>
      </c>
      <c r="D215" s="5675" t="s">
        <v>4569</v>
      </c>
      <c r="E215" s="1737" t="s">
        <v>4570</v>
      </c>
      <c r="F215" s="5775" t="s">
        <v>4571</v>
      </c>
      <c r="G215" s="1737" t="s">
        <v>4572</v>
      </c>
      <c r="H215" s="5675" t="s">
        <v>4573</v>
      </c>
      <c r="I215" s="1737" t="s">
        <v>4574</v>
      </c>
      <c r="J215" s="1738" t="s">
        <v>4575</v>
      </c>
      <c r="K215" s="266" t="s">
        <v>4576</v>
      </c>
      <c r="L215" s="262" t="s">
        <v>4577</v>
      </c>
      <c r="M215" s="5675" t="s">
        <v>4578</v>
      </c>
      <c r="N215" s="3218"/>
      <c r="O215" t="e">
        <f>CC215&amp;CD215&amp;CE215&amp;CF215</f>
        <v>#VALUE!</v>
      </c>
      <c r="CC215" s="135" t="str">
        <f>IF(AND(C215&gt;0,OR(L215=""))," * No olvide digitar la variable IDENTIDAD DE GÉNERO/Trans Masculino. Digite Cero si no tiene.","")</f>
        <v/>
      </c>
      <c r="CD215" s="135" t="str">
        <f>IF(AND($C215&gt;0,OR(M215=""))," * No olvide digitar la variable IDENTIDAD DE GÉNERO/Trans Femenino. Digite Cero si no tiene.","")</f>
        <v/>
      </c>
      <c r="CE215" s="135" t="str">
        <f>IF(AND(C215&gt;0,OR(N215=""))," * No olvide digitar la variable IDENTIDAD DE GÉNERO/Binarie. Digite Cero si no tiene.","")</f>
        <v xml:space="preserve"> * No olvide digitar la variable IDENTIDAD DE GÉNERO/Binarie. Digite Cero si no tiene.</v>
      </c>
      <c r="CF215" s="135" t="e">
        <f>IF((L215+M215+N215)&gt;C215," * La variable IDENTIDAD DE GÉNERO No puede ser mayor al Total .","")</f>
        <v>#VALUE!</v>
      </c>
      <c r="CO215" s="182">
        <f t="shared" si="76"/>
        <v>0</v>
      </c>
      <c r="CP215" s="182">
        <f t="shared" si="77"/>
        <v>0</v>
      </c>
      <c r="CQ215" s="182">
        <f t="shared" si="78"/>
        <v>1</v>
      </c>
      <c r="CR215" s="182" t="e">
        <f t="shared" si="79"/>
        <v>#VALUE!</v>
      </c>
    </row>
    <row r="216" spans="1:96" x14ac:dyDescent="0.25">
      <c r="B216" s="3220"/>
    </row>
    <row r="217" spans="1:96" x14ac:dyDescent="0.25">
      <c r="A217" s="5794" t="s">
        <v>4777</v>
      </c>
    </row>
    <row r="218" spans="1:96" x14ac:dyDescent="0.25">
      <c r="A218" s="5795" t="s">
        <v>5508</v>
      </c>
    </row>
    <row r="219" spans="1:96" x14ac:dyDescent="0.25">
      <c r="A219" s="5787" t="s">
        <v>5509</v>
      </c>
    </row>
    <row r="220" spans="1:96" x14ac:dyDescent="0.25">
      <c r="A220" s="5787" t="s">
        <v>5510</v>
      </c>
    </row>
    <row r="221" spans="1:96" x14ac:dyDescent="0.25">
      <c r="A221" s="5787" t="s">
        <v>5511</v>
      </c>
    </row>
    <row r="222" spans="1:96" x14ac:dyDescent="0.25">
      <c r="A222" s="5787" t="s">
        <v>5512</v>
      </c>
    </row>
    <row r="223" spans="1:96" x14ac:dyDescent="0.25">
      <c r="A223" s="5787" t="s">
        <v>5513</v>
      </c>
    </row>
    <row r="224" spans="1:96" x14ac:dyDescent="0.25">
      <c r="A224" s="5787" t="s">
        <v>5514</v>
      </c>
    </row>
    <row r="225" spans="1:3" x14ac:dyDescent="0.25">
      <c r="A225" s="5787" t="s">
        <v>5515</v>
      </c>
    </row>
    <row r="226" spans="1:3" x14ac:dyDescent="0.25">
      <c r="A226" s="5787" t="s">
        <v>5516</v>
      </c>
    </row>
    <row r="227" spans="1:3" x14ac:dyDescent="0.25">
      <c r="A227" s="5787" t="s">
        <v>5517</v>
      </c>
    </row>
    <row r="228" spans="1:3" x14ac:dyDescent="0.25">
      <c r="A228" s="5787" t="s">
        <v>5518</v>
      </c>
    </row>
    <row r="229" spans="1:3" x14ac:dyDescent="0.25">
      <c r="A229" s="5787" t="s">
        <v>5519</v>
      </c>
    </row>
    <row r="230" spans="1:3" x14ac:dyDescent="0.25">
      <c r="A230" s="5787" t="s">
        <v>5520</v>
      </c>
    </row>
    <row r="231" spans="1:3" x14ac:dyDescent="0.25">
      <c r="A231" s="5787" t="s">
        <v>5521</v>
      </c>
    </row>
    <row r="232" spans="1:3" x14ac:dyDescent="0.25">
      <c r="A232" s="5787" t="s">
        <v>5522</v>
      </c>
    </row>
    <row r="233" spans="1:3" x14ac:dyDescent="0.25">
      <c r="A233" s="5787" t="s">
        <v>5523</v>
      </c>
    </row>
    <row r="234" spans="1:3" x14ac:dyDescent="0.25">
      <c r="A234" s="5787" t="s">
        <v>5524</v>
      </c>
    </row>
    <row r="235" spans="1:3" x14ac:dyDescent="0.25">
      <c r="A235" s="5787" t="s">
        <v>5525</v>
      </c>
    </row>
    <row r="236" spans="1:3" x14ac:dyDescent="0.25">
      <c r="A236" s="5787" t="s">
        <v>5526</v>
      </c>
    </row>
    <row r="237" spans="1:3" x14ac:dyDescent="0.25">
      <c r="A237" s="5787" t="s">
        <v>5527</v>
      </c>
    </row>
    <row r="238" spans="1:3" x14ac:dyDescent="0.25">
      <c r="A238" s="5787" t="s">
        <v>5528</v>
      </c>
    </row>
    <row r="239" spans="1:3" x14ac:dyDescent="0.25">
      <c r="A239" s="5787" t="s">
        <v>5529</v>
      </c>
      <c r="B239" s="3032">
        <f>SUM(C12:C66,Y12:Y66,AC12:AC66,AG12:AH66,C71:C125,G71:G125,K71:K125,O71:O125,R71:AJ125,C129:C145,D151:D161,D167:D177,D182:D191,D196:D202,D207:D208,C213:C215)</f>
        <v>0</v>
      </c>
      <c r="C239" s="3033" t="e">
        <f>SUM(CN12:CV215)</f>
        <v>#VALUE!</v>
      </c>
    </row>
    <row r="240" spans="1:3" x14ac:dyDescent="0.25">
      <c r="A240" s="5787" t="s">
        <v>5530</v>
      </c>
    </row>
    <row r="241" spans="1:1" x14ac:dyDescent="0.25">
      <c r="A241" s="5787" t="s">
        <v>5531</v>
      </c>
    </row>
    <row r="242" spans="1:1" x14ac:dyDescent="0.25">
      <c r="A242" s="5787" t="s">
        <v>5532</v>
      </c>
    </row>
    <row r="243" spans="1:1" x14ac:dyDescent="0.25">
      <c r="A243" s="5787" t="s">
        <v>5533</v>
      </c>
    </row>
    <row r="244" spans="1:1" x14ac:dyDescent="0.25">
      <c r="A244" s="5787" t="s">
        <v>5534</v>
      </c>
    </row>
    <row r="245" spans="1:1" x14ac:dyDescent="0.25">
      <c r="A245" s="5787" t="s">
        <v>5535</v>
      </c>
    </row>
    <row r="246" spans="1:1" x14ac:dyDescent="0.25">
      <c r="A246" s="5787" t="s">
        <v>5536</v>
      </c>
    </row>
    <row r="247" spans="1:1" x14ac:dyDescent="0.25">
      <c r="A247" s="5787" t="s">
        <v>5537</v>
      </c>
    </row>
    <row r="248" spans="1:1" x14ac:dyDescent="0.25">
      <c r="A248" s="5787" t="s">
        <v>5538</v>
      </c>
    </row>
    <row r="249" spans="1:1" x14ac:dyDescent="0.25">
      <c r="A249" s="5787" t="s">
        <v>5539</v>
      </c>
    </row>
    <row r="250" spans="1:1" x14ac:dyDescent="0.25">
      <c r="A250" s="5787" t="s">
        <v>5540</v>
      </c>
    </row>
    <row r="251" spans="1:1" x14ac:dyDescent="0.25">
      <c r="A251" s="5787" t="s">
        <v>5541</v>
      </c>
    </row>
    <row r="252" spans="1:1" x14ac:dyDescent="0.25">
      <c r="A252" s="5787" t="s">
        <v>5542</v>
      </c>
    </row>
    <row r="253" spans="1:1" x14ac:dyDescent="0.25">
      <c r="A253" s="5787" t="s">
        <v>5543</v>
      </c>
    </row>
    <row r="254" spans="1:1" x14ac:dyDescent="0.25">
      <c r="A254" s="5787" t="s">
        <v>5544</v>
      </c>
    </row>
    <row r="255" spans="1:1" x14ac:dyDescent="0.25">
      <c r="A255" s="5787" t="s">
        <v>5545</v>
      </c>
    </row>
    <row r="256" spans="1:1" x14ac:dyDescent="0.25">
      <c r="A256" s="5787" t="s">
        <v>5546</v>
      </c>
    </row>
    <row r="257" spans="1:1" x14ac:dyDescent="0.25">
      <c r="A257" s="5787" t="s">
        <v>5547</v>
      </c>
    </row>
    <row r="258" spans="1:1" x14ac:dyDescent="0.25">
      <c r="A258" s="5787" t="s">
        <v>5548</v>
      </c>
    </row>
    <row r="259" spans="1:1" x14ac:dyDescent="0.25">
      <c r="A259" s="5787" t="s">
        <v>5549</v>
      </c>
    </row>
    <row r="260" spans="1:1" x14ac:dyDescent="0.25">
      <c r="A260" s="5787" t="s">
        <v>5550</v>
      </c>
    </row>
    <row r="261" spans="1:1" x14ac:dyDescent="0.25">
      <c r="A261" s="5787" t="s">
        <v>5551</v>
      </c>
    </row>
    <row r="262" spans="1:1" x14ac:dyDescent="0.25">
      <c r="A262" s="5790" t="s">
        <v>5552</v>
      </c>
    </row>
    <row r="263" spans="1:1" x14ac:dyDescent="0.25">
      <c r="A263" s="5790" t="s">
        <v>5553</v>
      </c>
    </row>
    <row r="264" spans="1:1" x14ac:dyDescent="0.25">
      <c r="A264" s="5787" t="s">
        <v>5554</v>
      </c>
    </row>
    <row r="265" spans="1:1" x14ac:dyDescent="0.25">
      <c r="A265" s="5787" t="s">
        <v>5555</v>
      </c>
    </row>
    <row r="266" spans="1:1" x14ac:dyDescent="0.25">
      <c r="A266" s="5787" t="s">
        <v>4566</v>
      </c>
    </row>
    <row r="267" spans="1:1" x14ac:dyDescent="0.25">
      <c r="A267" s="5788" t="s">
        <v>5342</v>
      </c>
    </row>
    <row r="268" spans="1:1" x14ac:dyDescent="0.25">
      <c r="A268" s="5788" t="s">
        <v>5343</v>
      </c>
    </row>
    <row r="269" spans="1:1" x14ac:dyDescent="0.25">
      <c r="A269" s="5789" t="s">
        <v>5349</v>
      </c>
    </row>
    <row r="270" spans="1:1" x14ac:dyDescent="0.25">
      <c r="A270" s="5789" t="s">
        <v>5350</v>
      </c>
    </row>
    <row r="271" spans="1:1" x14ac:dyDescent="0.25">
      <c r="A271" s="5789" t="s">
        <v>5353</v>
      </c>
    </row>
    <row r="272" spans="1:1" x14ac:dyDescent="0.25">
      <c r="A272" s="5789" t="s">
        <v>5354</v>
      </c>
    </row>
    <row r="273" spans="1:1" x14ac:dyDescent="0.25">
      <c r="A273" s="5789" t="s">
        <v>5355</v>
      </c>
    </row>
    <row r="274" spans="1:1" x14ac:dyDescent="0.25">
      <c r="A274" s="5789" t="s">
        <v>5356</v>
      </c>
    </row>
    <row r="275" spans="1:1" x14ac:dyDescent="0.25">
      <c r="A275" s="5789" t="s">
        <v>5358</v>
      </c>
    </row>
    <row r="276" spans="1:1" x14ac:dyDescent="0.25">
      <c r="A276" s="5789" t="s">
        <v>5361</v>
      </c>
    </row>
    <row r="277" spans="1:1" x14ac:dyDescent="0.25">
      <c r="A277" s="5789" t="s">
        <v>5362</v>
      </c>
    </row>
    <row r="278" spans="1:1" x14ac:dyDescent="0.25">
      <c r="A278" s="5789" t="s">
        <v>5369</v>
      </c>
    </row>
    <row r="279" spans="1:1" x14ac:dyDescent="0.25">
      <c r="A279" s="5789" t="s">
        <v>5372</v>
      </c>
    </row>
    <row r="280" spans="1:1" x14ac:dyDescent="0.25">
      <c r="A280" s="5789" t="s">
        <v>5373</v>
      </c>
    </row>
    <row r="281" spans="1:1" x14ac:dyDescent="0.25">
      <c r="A281" s="5789" t="s">
        <v>5380</v>
      </c>
    </row>
    <row r="282" spans="1:1" x14ac:dyDescent="0.25">
      <c r="A282" s="5789" t="s">
        <v>5381</v>
      </c>
    </row>
    <row r="283" spans="1:1" x14ac:dyDescent="0.25">
      <c r="A283" s="5789" t="s">
        <v>5382</v>
      </c>
    </row>
    <row r="284" spans="1:1" x14ac:dyDescent="0.25">
      <c r="A284" s="5789" t="s">
        <v>5385</v>
      </c>
    </row>
    <row r="285" spans="1:1" x14ac:dyDescent="0.25">
      <c r="A285" s="5789" t="s">
        <v>5386</v>
      </c>
    </row>
    <row r="286" spans="1:1" x14ac:dyDescent="0.25">
      <c r="A286" s="5789" t="s">
        <v>5397</v>
      </c>
    </row>
    <row r="287" spans="1:1" x14ac:dyDescent="0.25">
      <c r="A287" s="5789" t="s">
        <v>5398</v>
      </c>
    </row>
    <row r="288" spans="1:1" x14ac:dyDescent="0.25">
      <c r="A288" s="5789" t="s">
        <v>5404</v>
      </c>
    </row>
    <row r="289" spans="1:1" x14ac:dyDescent="0.25">
      <c r="A289" s="5789" t="s">
        <v>5405</v>
      </c>
    </row>
    <row r="290" spans="1:1" x14ac:dyDescent="0.25">
      <c r="A290" s="5789" t="s">
        <v>5408</v>
      </c>
    </row>
    <row r="291" spans="1:1" x14ac:dyDescent="0.25">
      <c r="A291" s="5789" t="s">
        <v>5409</v>
      </c>
    </row>
    <row r="292" spans="1:1" x14ac:dyDescent="0.25">
      <c r="A292" s="5789" t="s">
        <v>5410</v>
      </c>
    </row>
    <row r="293" spans="1:1" x14ac:dyDescent="0.25">
      <c r="A293" s="5789" t="s">
        <v>5411</v>
      </c>
    </row>
    <row r="294" spans="1:1" x14ac:dyDescent="0.25">
      <c r="A294" s="5789" t="s">
        <v>5413</v>
      </c>
    </row>
    <row r="295" spans="1:1" x14ac:dyDescent="0.25">
      <c r="A295" s="5789" t="s">
        <v>5416</v>
      </c>
    </row>
    <row r="296" spans="1:1" x14ac:dyDescent="0.25">
      <c r="A296" s="5789" t="s">
        <v>5417</v>
      </c>
    </row>
    <row r="297" spans="1:1" x14ac:dyDescent="0.25">
      <c r="A297" s="5789" t="s">
        <v>5424</v>
      </c>
    </row>
    <row r="298" spans="1:1" x14ac:dyDescent="0.25">
      <c r="A298" s="5789" t="s">
        <v>5427</v>
      </c>
    </row>
    <row r="299" spans="1:1" x14ac:dyDescent="0.25">
      <c r="A299" s="5789" t="s">
        <v>5428</v>
      </c>
    </row>
    <row r="300" spans="1:1" x14ac:dyDescent="0.25">
      <c r="A300" s="5789" t="s">
        <v>5435</v>
      </c>
    </row>
    <row r="301" spans="1:1" x14ac:dyDescent="0.25">
      <c r="A301" s="5789" t="s">
        <v>5436</v>
      </c>
    </row>
    <row r="302" spans="1:1" x14ac:dyDescent="0.25">
      <c r="A302" s="5789" t="s">
        <v>5437</v>
      </c>
    </row>
    <row r="303" spans="1:1" x14ac:dyDescent="0.25">
      <c r="A303" s="5789" t="s">
        <v>5440</v>
      </c>
    </row>
    <row r="304" spans="1:1" x14ac:dyDescent="0.25">
      <c r="A304" s="5789" t="s">
        <v>5441</v>
      </c>
    </row>
    <row r="305" spans="1:1" x14ac:dyDescent="0.25">
      <c r="A305" s="5789" t="s">
        <v>5462</v>
      </c>
    </row>
    <row r="306" spans="1:1" x14ac:dyDescent="0.25">
      <c r="A306" s="5789" t="s">
        <v>5463</v>
      </c>
    </row>
    <row r="307" spans="1:1" x14ac:dyDescent="0.25">
      <c r="A307" s="5789" t="s">
        <v>5496</v>
      </c>
    </row>
    <row r="308" spans="1:1" x14ac:dyDescent="0.25">
      <c r="A308" s="5789" t="s">
        <v>5497</v>
      </c>
    </row>
    <row r="309" spans="1:1" x14ac:dyDescent="0.25">
      <c r="A309" s="5789" t="s">
        <v>5498</v>
      </c>
    </row>
    <row r="310" spans="1:1" x14ac:dyDescent="0.25">
      <c r="A310" s="5789" t="s">
        <v>5499</v>
      </c>
    </row>
    <row r="311" spans="1:1" x14ac:dyDescent="0.25">
      <c r="A311" s="5789" t="s">
        <v>5500</v>
      </c>
    </row>
    <row r="312" spans="1:1" x14ac:dyDescent="0.25">
      <c r="A312" s="5789" t="s">
        <v>5501</v>
      </c>
    </row>
    <row r="313" spans="1:1" x14ac:dyDescent="0.25">
      <c r="A313" s="5789" t="s">
        <v>5502</v>
      </c>
    </row>
    <row r="314" spans="1:1" x14ac:dyDescent="0.25">
      <c r="A314" s="5789" t="s">
        <v>5503</v>
      </c>
    </row>
    <row r="315" spans="1:1" x14ac:dyDescent="0.25">
      <c r="A315" s="5789" t="s">
        <v>5504</v>
      </c>
    </row>
    <row r="316" spans="1:1" x14ac:dyDescent="0.25">
      <c r="A316" s="5789" t="s">
        <v>5505</v>
      </c>
    </row>
    <row r="317" spans="1:1" x14ac:dyDescent="0.25">
      <c r="A317" s="5789" t="s">
        <v>5506</v>
      </c>
    </row>
    <row r="318" spans="1:1" x14ac:dyDescent="0.25">
      <c r="A318" s="5789" t="s">
        <v>5507</v>
      </c>
    </row>
  </sheetData>
  <mergeCells count="168">
    <mergeCell ref="B188:B189"/>
    <mergeCell ref="B190:B191"/>
    <mergeCell ref="AN180:AN181"/>
    <mergeCell ref="AP180:AP181"/>
    <mergeCell ref="AQ180:AQ181"/>
    <mergeCell ref="B182:B183"/>
    <mergeCell ref="B184:B185"/>
    <mergeCell ref="B186:B187"/>
    <mergeCell ref="AE180:AF180"/>
    <mergeCell ref="AG180:AH180"/>
    <mergeCell ref="AI180:AJ180"/>
    <mergeCell ref="AK180:AK181"/>
    <mergeCell ref="AL180:AL181"/>
    <mergeCell ref="AM180:AM181"/>
    <mergeCell ref="B208:C208"/>
    <mergeCell ref="B192:R192"/>
    <mergeCell ref="B203:F203"/>
    <mergeCell ref="G194:H194"/>
    <mergeCell ref="I194:J194"/>
    <mergeCell ref="K194:L194"/>
    <mergeCell ref="M194:N194"/>
    <mergeCell ref="Q194:R194"/>
    <mergeCell ref="S194:T194"/>
    <mergeCell ref="B193:C195"/>
    <mergeCell ref="D193:D195"/>
    <mergeCell ref="E193:E195"/>
    <mergeCell ref="F193:F195"/>
    <mergeCell ref="O194:P194"/>
    <mergeCell ref="B196:C196"/>
    <mergeCell ref="B197:B202"/>
    <mergeCell ref="B204:C206"/>
    <mergeCell ref="D204:D206"/>
    <mergeCell ref="E204:E206"/>
    <mergeCell ref="F204:F206"/>
    <mergeCell ref="B207:C207"/>
    <mergeCell ref="B176:B177"/>
    <mergeCell ref="B179:C181"/>
    <mergeCell ref="D179:F180"/>
    <mergeCell ref="W180:X180"/>
    <mergeCell ref="Y180:Z180"/>
    <mergeCell ref="AA180:AB180"/>
    <mergeCell ref="AC180:AD180"/>
    <mergeCell ref="B178:AH178"/>
    <mergeCell ref="G180:H180"/>
    <mergeCell ref="K180:L180"/>
    <mergeCell ref="M180:N180"/>
    <mergeCell ref="O180:P180"/>
    <mergeCell ref="Q180:R180"/>
    <mergeCell ref="S180:T180"/>
    <mergeCell ref="U180:V180"/>
    <mergeCell ref="B167:B168"/>
    <mergeCell ref="B169:B171"/>
    <mergeCell ref="B172:B173"/>
    <mergeCell ref="B174:B175"/>
    <mergeCell ref="AA165:AB165"/>
    <mergeCell ref="AC165:AD165"/>
    <mergeCell ref="AE165:AF165"/>
    <mergeCell ref="AG165:AH165"/>
    <mergeCell ref="AI165:AJ165"/>
    <mergeCell ref="B162:C162"/>
    <mergeCell ref="B164:B166"/>
    <mergeCell ref="C164:C166"/>
    <mergeCell ref="D164:F165"/>
    <mergeCell ref="S165:T165"/>
    <mergeCell ref="U165:V165"/>
    <mergeCell ref="W165:X165"/>
    <mergeCell ref="Y165:Z165"/>
    <mergeCell ref="AT164:AT166"/>
    <mergeCell ref="G165:H165"/>
    <mergeCell ref="I165:J165"/>
    <mergeCell ref="K165:L165"/>
    <mergeCell ref="M165:N165"/>
    <mergeCell ref="Q165:R165"/>
    <mergeCell ref="AM165:AN165"/>
    <mergeCell ref="AO165:AP165"/>
    <mergeCell ref="AK165:AL165"/>
    <mergeCell ref="AQ164:AQ166"/>
    <mergeCell ref="B156:C156"/>
    <mergeCell ref="B157:C157"/>
    <mergeCell ref="B158:C158"/>
    <mergeCell ref="B159:C159"/>
    <mergeCell ref="B160:C160"/>
    <mergeCell ref="B161:C161"/>
    <mergeCell ref="AI149:AJ149"/>
    <mergeCell ref="AK149:AL149"/>
    <mergeCell ref="AM149:AN149"/>
    <mergeCell ref="AG9:AH10"/>
    <mergeCell ref="AO149:AP149"/>
    <mergeCell ref="B151:C151"/>
    <mergeCell ref="B152:B155"/>
    <mergeCell ref="G149:H149"/>
    <mergeCell ref="I149:J149"/>
    <mergeCell ref="K149:L149"/>
    <mergeCell ref="M149:N149"/>
    <mergeCell ref="Q149:R149"/>
    <mergeCell ref="S149:T149"/>
    <mergeCell ref="U149:V149"/>
    <mergeCell ref="W149:X149"/>
    <mergeCell ref="Y149:Z149"/>
    <mergeCell ref="B148:C150"/>
    <mergeCell ref="D148:F149"/>
    <mergeCell ref="AA149:AB149"/>
    <mergeCell ref="AC149:AD149"/>
    <mergeCell ref="AE149:AF149"/>
    <mergeCell ref="AG149:AH149"/>
    <mergeCell ref="Y69:Z69"/>
    <mergeCell ref="AA69:AB69"/>
    <mergeCell ref="AC69:AD69"/>
    <mergeCell ref="AE69:AE70"/>
    <mergeCell ref="AF69:AG69"/>
    <mergeCell ref="AH69:AJ69"/>
    <mergeCell ref="B69:B70"/>
    <mergeCell ref="C69:F69"/>
    <mergeCell ref="G69:J69"/>
    <mergeCell ref="K69:N69"/>
    <mergeCell ref="O69:Q69"/>
    <mergeCell ref="R69:S69"/>
    <mergeCell ref="T69:U69"/>
    <mergeCell ref="V69:W69"/>
    <mergeCell ref="X69:X70"/>
    <mergeCell ref="B6:AE6"/>
    <mergeCell ref="B9:B11"/>
    <mergeCell ref="C10:C11"/>
    <mergeCell ref="Y10:AB10"/>
    <mergeCell ref="AC10:AF10"/>
    <mergeCell ref="V10:V11"/>
    <mergeCell ref="W10:X10"/>
    <mergeCell ref="D10:U10"/>
    <mergeCell ref="C9:X9"/>
    <mergeCell ref="Y9:AF9"/>
    <mergeCell ref="AW164:AW166"/>
    <mergeCell ref="G164:AP164"/>
    <mergeCell ref="AW148:AX149"/>
    <mergeCell ref="G148:AP148"/>
    <mergeCell ref="AT148:AT150"/>
    <mergeCell ref="AS148:AS150"/>
    <mergeCell ref="AS179:AS181"/>
    <mergeCell ref="AO179:AO181"/>
    <mergeCell ref="AK179:AN179"/>
    <mergeCell ref="G179:AJ179"/>
    <mergeCell ref="AR148:AR150"/>
    <mergeCell ref="AQ148:AQ150"/>
    <mergeCell ref="O149:P149"/>
    <mergeCell ref="O165:P165"/>
    <mergeCell ref="I180:J180"/>
    <mergeCell ref="AR164:AS165"/>
    <mergeCell ref="AU164:AU166"/>
    <mergeCell ref="AU148:AV149"/>
    <mergeCell ref="AP179:AQ179"/>
    <mergeCell ref="AR179:AR181"/>
    <mergeCell ref="U193:U195"/>
    <mergeCell ref="V193:V195"/>
    <mergeCell ref="W193:W195"/>
    <mergeCell ref="X193:X195"/>
    <mergeCell ref="Y193:Y195"/>
    <mergeCell ref="Z193:Z195"/>
    <mergeCell ref="AA193:AB194"/>
    <mergeCell ref="G193:T193"/>
    <mergeCell ref="AV164:AV166"/>
    <mergeCell ref="B210:B212"/>
    <mergeCell ref="C210:C212"/>
    <mergeCell ref="D210:K210"/>
    <mergeCell ref="L210:N211"/>
    <mergeCell ref="D211:E211"/>
    <mergeCell ref="F211:G211"/>
    <mergeCell ref="H211:I211"/>
    <mergeCell ref="J211:K211"/>
    <mergeCell ref="B209:F209"/>
  </mergeCells>
  <dataValidations count="8">
    <dataValidation type="whole" operator="greaterThanOrEqual" allowBlank="1" showInputMessage="1" showErrorMessage="1" sqref="V197:AB202 O199:T199 E207:F208 O201:T202 O196:AB196 G196:N202 H71:J125 D71:F125 L71:N125 P71:AJ125 E14 C213:N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G167:AW177 AU162:AX162 Y12:AC66" xr:uid="{00000000-0002-0000-0700-000001000000}">
      <formula1>0</formula1>
    </dataValidation>
    <dataValidation type="whole" operator="equal" allowBlank="1" showInputMessage="1" showErrorMessage="1" sqref="E152:E153 G152:K153 F14:U14 D35:P35 D145:F145 G155:P155 AG155:AP155 M152:M153 O152:O153 Q152:Q153 S152:S153 U152:U153 W152:W153 Y152:Y153 AA152:AA153 AC152:AC153 AE152:AE153 AG152:AG153 AI152:AI153 AK152:AK153 AM152:AM153 AO152:AO153 O197:U198 U199:U202 O200:T200" xr:uid="{E05C3161-DFC2-48D4-AB0B-79458C40873F}">
      <formula1>0</formula1>
    </dataValidation>
    <dataValidation type="whole" allowBlank="1" showInputMessage="1" showErrorMessage="1" sqref="G182:AS191" xr:uid="{B14023FB-C3BB-4A38-A778-F739227DE47F}">
      <formula1>0</formula1>
      <formula2>9.99999999999999E+36</formula2>
    </dataValidation>
    <dataValidation type="whole" allowBlank="1" showInputMessage="1" showErrorMessage="1" sqref="G151:K151 G154:K154 O154 G156:P161 L151:L154 M154 M151 N151:N154 P151:P154 O151 Q154:Q161 Q151 R151:R161 S154:S161 S151 T151:T161 U154:U161 U151 V151:V161 W154:W161 W151 X151:X161 Y154:Y161 Y151 Z151:Z161 AA154:AA161 AA151 AB151:AB161 AC154:AC161 AC151 AD151:AD161 AE154:AE161 AE151 AF151:AF161 AG151 AI151 AK151 AM151 AO151 AO154 AQ151:AX161 AP151:AP154 AN151:AN154 AM154 AL151:AL154 AK154 AJ151:AJ154 AI154 AH151:AH154 AG154 AG156:AP161" xr:uid="{CC9D8DA4-B4A5-4CB6-8454-7159378FBB0E}">
      <formula1>0</formula1>
      <formula2>9.99999999999999E+40</formula2>
    </dataValidation>
    <dataValidation type="whole" allowBlank="1" showInputMessage="1" showErrorMessage="1" sqref="G129:W145 D129:F144" xr:uid="{A2E63C0D-5D0E-4C25-9F4B-6E54C88B5739}">
      <formula1>0</formula1>
      <formula2>9.99999999999999E+41</formula2>
    </dataValidation>
    <dataValidation type="whole" allowBlank="1" showInputMessage="1" showErrorMessage="1" sqref="E12:U13 D36:P66 V12:X66 Q15:U66 D12:D34 E15:P34" xr:uid="{188C444A-FF9F-4BD8-8604-77A0675A312B}">
      <formula1>0</formula1>
      <formula2>9.99999999999999E+38</formula2>
    </dataValidation>
    <dataValidation type="whole" allowBlank="1" showInputMessage="1" showErrorMessage="1" sqref="AD12:AH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U248"/>
  <sheetViews>
    <sheetView showGridLines="0" zoomScaleNormal="100" workbookViewId="0"/>
  </sheetViews>
  <sheetFormatPr baseColWidth="10" defaultColWidth="11.42578125" defaultRowHeight="14.25" x14ac:dyDescent="0.2"/>
  <cols>
    <col min="1" max="1" width="20.5703125" style="9" customWidth="1"/>
    <col min="2" max="2" width="44.7109375" style="9" customWidth="1"/>
    <col min="3" max="3" width="32.5703125" style="9" customWidth="1"/>
    <col min="4" max="4" width="14.140625" style="9" customWidth="1"/>
    <col min="5" max="5" width="12.42578125" style="9" customWidth="1"/>
    <col min="6" max="6" width="13.140625" style="9" customWidth="1"/>
    <col min="7" max="7" width="11.42578125" style="9"/>
    <col min="8" max="8" width="11.85546875" style="9" customWidth="1"/>
    <col min="9" max="10" width="14.42578125" style="9" customWidth="1"/>
    <col min="11" max="11" width="12.5703125" style="9" customWidth="1"/>
    <col min="12" max="14" width="11.42578125" style="9"/>
    <col min="15" max="15" width="12.42578125" style="9" customWidth="1"/>
    <col min="16" max="16" width="12" style="9" customWidth="1"/>
    <col min="17" max="17" width="11.42578125" style="9"/>
    <col min="18" max="18" width="11.42578125" style="9" customWidth="1"/>
    <col min="19" max="23" width="11.42578125" style="9"/>
    <col min="24" max="26" width="13.5703125" style="9" customWidth="1"/>
    <col min="27" max="27" width="15.140625" style="9" customWidth="1"/>
    <col min="28" max="28" width="12.85546875" style="9" customWidth="1"/>
    <col min="29" max="29" width="13.140625" style="9" customWidth="1"/>
    <col min="30" max="31" width="11.42578125" style="9"/>
    <col min="32" max="32" width="13.28515625" style="9" customWidth="1"/>
    <col min="33" max="34" width="15.140625" style="9" customWidth="1"/>
    <col min="35" max="38" width="11.42578125" style="9"/>
    <col min="39" max="39" width="12.5703125" style="9" customWidth="1"/>
    <col min="40" max="41" width="13" style="9" customWidth="1"/>
    <col min="42" max="42" width="13.140625" style="9" customWidth="1"/>
    <col min="43" max="43" width="13.28515625" style="9" customWidth="1"/>
    <col min="44" max="44" width="14.42578125" style="9" customWidth="1"/>
    <col min="45" max="45" width="15.28515625" style="9" customWidth="1"/>
    <col min="46" max="73" width="11.42578125" style="9"/>
    <col min="74" max="74" width="15.42578125" style="9" customWidth="1"/>
    <col min="75" max="75" width="15.42578125" style="1839" customWidth="1"/>
    <col min="76" max="76" width="15.7109375" style="1839" customWidth="1"/>
    <col min="77" max="78" width="15.7109375" style="283" customWidth="1"/>
    <col min="79" max="79" width="11" style="9" hidden="1" customWidth="1"/>
    <col min="80" max="96" width="11.42578125" style="8" hidden="1" customWidth="1"/>
    <col min="97" max="99" width="11.42578125" style="9" hidden="1" customWidth="1"/>
    <col min="100" max="16384" width="11.42578125" style="9"/>
  </cols>
  <sheetData>
    <row r="1" spans="1:98" ht="16.350000000000001" customHeight="1" x14ac:dyDescent="0.2">
      <c r="B1" s="50" t="s">
        <v>23</v>
      </c>
    </row>
    <row r="2" spans="1:98" ht="16.350000000000001" customHeight="1" x14ac:dyDescent="0.2">
      <c r="B2" s="50" t="str">
        <f>CONCATENATE("COMUNA: ",NOMBRE!B2, " (",NOMBRE!C2,NOMBRE!D2,NOMBRE!E2,NOMBRE!F2,NOMBRE!G2,")")</f>
        <v>COMUNA:  ()</v>
      </c>
    </row>
    <row r="3" spans="1:98" ht="16.350000000000001" customHeight="1" x14ac:dyDescent="0.2">
      <c r="B3" s="50" t="str">
        <f>CONCATENATE("ESTABLECIMIENTO/ESTRATEGIA: ", NOMBRE!B3, " (",NOMBRE!C3,NOMBRE!D3,NOMBRE!E3,NOMBRE!F3,NOMBRE!G3,NOMBRE!H3,")")</f>
        <v>ESTABLECIMIENTO/ESTRATEGIA:  ()</v>
      </c>
    </row>
    <row r="4" spans="1:98" ht="16.350000000000001" customHeight="1" x14ac:dyDescent="0.2">
      <c r="B4" s="50" t="str">
        <f>CONCATENATE("MES: ",NOMBRE!B6, " (",NOMBRE!C6,NOMBRE!D6,")")</f>
        <v>MES:  ()</v>
      </c>
    </row>
    <row r="5" spans="1:98" ht="16.350000000000001" customHeight="1" x14ac:dyDescent="0.2">
      <c r="B5" s="3221" t="str">
        <f>CONCATENATE("AÑO: ",NOMBRE!B7)</f>
        <v>AÑO: 2025</v>
      </c>
      <c r="AQ5" s="3222"/>
    </row>
    <row r="6" spans="1:98" ht="15" x14ac:dyDescent="0.2">
      <c r="B6" s="6807" t="s">
        <v>1359</v>
      </c>
      <c r="C6" s="6807"/>
      <c r="D6" s="6807"/>
      <c r="E6" s="6807"/>
      <c r="F6" s="6807"/>
      <c r="G6" s="6807"/>
      <c r="H6" s="6807"/>
      <c r="I6" s="6807"/>
      <c r="J6" s="6807"/>
      <c r="K6" s="6807"/>
      <c r="L6" s="6807"/>
      <c r="M6" s="6807"/>
      <c r="N6" s="6807"/>
      <c r="O6" s="6807"/>
      <c r="P6" s="6807"/>
      <c r="Q6" s="1772"/>
      <c r="R6" s="1772"/>
      <c r="S6" s="1772"/>
      <c r="T6" s="1772"/>
      <c r="U6" s="3223"/>
      <c r="V6" s="3223"/>
      <c r="W6" s="3223"/>
      <c r="X6" s="3223"/>
      <c r="Y6" s="3223"/>
      <c r="Z6" s="3223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1:98" s="8" customFormat="1" ht="32.1" customHeight="1" x14ac:dyDescent="0.15">
      <c r="B7" s="1" t="s">
        <v>1360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BW7" s="5"/>
      <c r="BX7" s="5"/>
      <c r="BY7" s="5"/>
      <c r="BZ7" s="5"/>
    </row>
    <row r="8" spans="1:98" s="8" customFormat="1" ht="18" customHeight="1" x14ac:dyDescent="0.15">
      <c r="B8" s="903" t="s">
        <v>1361</v>
      </c>
      <c r="C8" s="903"/>
      <c r="D8" s="903"/>
      <c r="E8" s="903"/>
      <c r="F8" s="903"/>
      <c r="G8" s="903"/>
      <c r="H8" s="903"/>
      <c r="I8" s="903"/>
      <c r="J8" s="903"/>
      <c r="K8" s="903"/>
      <c r="L8" s="903"/>
      <c r="M8" s="903"/>
      <c r="N8" s="903"/>
      <c r="O8" s="1"/>
      <c r="P8" s="1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W8" s="5"/>
      <c r="BX8" s="5"/>
      <c r="BY8" s="5"/>
      <c r="BZ8" s="5"/>
    </row>
    <row r="9" spans="1:98" ht="32.1" customHeight="1" x14ac:dyDescent="0.2">
      <c r="B9" s="6444" t="s">
        <v>1362</v>
      </c>
      <c r="C9" s="6212" t="s">
        <v>1363</v>
      </c>
      <c r="D9" s="6510"/>
      <c r="E9" s="6511"/>
      <c r="F9" s="6742" t="s">
        <v>1364</v>
      </c>
      <c r="G9" s="6742"/>
      <c r="H9" s="6742"/>
      <c r="I9" s="6742"/>
      <c r="J9" s="6742"/>
      <c r="K9" s="6742"/>
      <c r="L9" s="6742"/>
      <c r="M9" s="6742"/>
      <c r="N9" s="6742"/>
      <c r="O9" s="6742"/>
      <c r="P9" s="6742"/>
      <c r="Q9" s="6742"/>
      <c r="R9" s="6742"/>
      <c r="S9" s="6742"/>
      <c r="T9" s="6742"/>
      <c r="U9" s="6742"/>
      <c r="V9" s="6742"/>
      <c r="W9" s="6742"/>
      <c r="X9" s="6742"/>
      <c r="Y9" s="6742"/>
      <c r="Z9" s="6742"/>
      <c r="AA9" s="6742"/>
      <c r="AB9" s="6742"/>
      <c r="AC9" s="6742"/>
      <c r="AD9" s="6742"/>
      <c r="AE9" s="6742"/>
      <c r="AF9" s="6742"/>
      <c r="AG9" s="6742"/>
      <c r="AH9" s="6742"/>
      <c r="AI9" s="6742"/>
      <c r="AJ9" s="6742"/>
      <c r="AK9" s="6742"/>
      <c r="AL9" s="6742"/>
      <c r="AM9" s="6744"/>
      <c r="AN9" s="6511" t="s">
        <v>597</v>
      </c>
      <c r="AO9" s="6704" t="s">
        <v>1365</v>
      </c>
      <c r="AP9" s="6515"/>
      <c r="AQ9" s="6515"/>
      <c r="AR9" s="6451"/>
      <c r="AS9" s="6454" t="s">
        <v>1366</v>
      </c>
      <c r="AT9" s="6511" t="s">
        <v>1367</v>
      </c>
      <c r="AU9" s="1839"/>
      <c r="AV9" s="1839"/>
      <c r="AW9" s="1839"/>
      <c r="AX9" s="1839"/>
      <c r="AY9" s="1839"/>
      <c r="AZ9" s="1839"/>
      <c r="BA9" s="1839"/>
      <c r="BB9" s="1839"/>
      <c r="BC9" s="1839"/>
      <c r="BD9" s="1839"/>
      <c r="BE9" s="1839"/>
      <c r="BF9" s="1839"/>
      <c r="BG9" s="1839"/>
      <c r="BH9" s="1839"/>
    </row>
    <row r="10" spans="1:98" ht="16.350000000000001" customHeight="1" x14ac:dyDescent="0.2">
      <c r="B10" s="6350"/>
      <c r="C10" s="6734"/>
      <c r="D10" s="6735"/>
      <c r="E10" s="6736"/>
      <c r="F10" s="6742" t="s">
        <v>343</v>
      </c>
      <c r="G10" s="6742"/>
      <c r="H10" s="6742" t="s">
        <v>326</v>
      </c>
      <c r="I10" s="6742"/>
      <c r="J10" s="6742" t="s">
        <v>94</v>
      </c>
      <c r="K10" s="6742"/>
      <c r="L10" s="6742" t="s">
        <v>44</v>
      </c>
      <c r="M10" s="6742"/>
      <c r="N10" s="6742" t="s">
        <v>45</v>
      </c>
      <c r="O10" s="6742"/>
      <c r="P10" s="6891" t="s">
        <v>46</v>
      </c>
      <c r="Q10" s="6891"/>
      <c r="R10" s="6891" t="s">
        <v>47</v>
      </c>
      <c r="S10" s="6891"/>
      <c r="T10" s="6891" t="s">
        <v>48</v>
      </c>
      <c r="U10" s="6891"/>
      <c r="V10" s="6891" t="s">
        <v>49</v>
      </c>
      <c r="W10" s="6891"/>
      <c r="X10" s="6891" t="s">
        <v>50</v>
      </c>
      <c r="Y10" s="6891"/>
      <c r="Z10" s="6891" t="s">
        <v>51</v>
      </c>
      <c r="AA10" s="6891"/>
      <c r="AB10" s="6891" t="s">
        <v>52</v>
      </c>
      <c r="AC10" s="6891"/>
      <c r="AD10" s="6891" t="s">
        <v>53</v>
      </c>
      <c r="AE10" s="6891"/>
      <c r="AF10" s="6891" t="s">
        <v>54</v>
      </c>
      <c r="AG10" s="6891"/>
      <c r="AH10" s="6891" t="s">
        <v>55</v>
      </c>
      <c r="AI10" s="6891"/>
      <c r="AJ10" s="6891" t="s">
        <v>56</v>
      </c>
      <c r="AK10" s="6891"/>
      <c r="AL10" s="6891" t="s">
        <v>57</v>
      </c>
      <c r="AM10" s="6893"/>
      <c r="AN10" s="6027"/>
      <c r="AO10" s="6454" t="s">
        <v>1368</v>
      </c>
      <c r="AP10" s="6645" t="s">
        <v>1369</v>
      </c>
      <c r="AQ10" s="6645" t="s">
        <v>1370</v>
      </c>
      <c r="AR10" s="6533" t="s">
        <v>1371</v>
      </c>
      <c r="AS10" s="6102"/>
      <c r="AT10" s="6027"/>
      <c r="AU10" s="1839"/>
      <c r="AV10" s="1839"/>
      <c r="AW10" s="1839"/>
      <c r="AX10" s="1839"/>
      <c r="AY10" s="1839"/>
      <c r="AZ10" s="1839"/>
      <c r="BA10" s="1839"/>
      <c r="BB10" s="1839"/>
      <c r="BC10" s="1839"/>
      <c r="BD10" s="1839"/>
      <c r="BE10" s="1839"/>
      <c r="BF10" s="1839"/>
      <c r="BG10" s="1839"/>
      <c r="BH10" s="1839"/>
    </row>
    <row r="11" spans="1:98" ht="23.25" customHeight="1" x14ac:dyDescent="0.2">
      <c r="B11" s="6733"/>
      <c r="C11" s="560" t="s">
        <v>79</v>
      </c>
      <c r="D11" s="3224" t="s">
        <v>58</v>
      </c>
      <c r="E11" s="90" t="s">
        <v>59</v>
      </c>
      <c r="F11" s="463" t="s">
        <v>58</v>
      </c>
      <c r="G11" s="486" t="s">
        <v>59</v>
      </c>
      <c r="H11" s="463" t="s">
        <v>58</v>
      </c>
      <c r="I11" s="486" t="s">
        <v>59</v>
      </c>
      <c r="J11" s="463" t="s">
        <v>58</v>
      </c>
      <c r="K11" s="486" t="s">
        <v>59</v>
      </c>
      <c r="L11" s="463" t="s">
        <v>58</v>
      </c>
      <c r="M11" s="486" t="s">
        <v>59</v>
      </c>
      <c r="N11" s="463" t="s">
        <v>58</v>
      </c>
      <c r="O11" s="486" t="s">
        <v>59</v>
      </c>
      <c r="P11" s="463" t="s">
        <v>58</v>
      </c>
      <c r="Q11" s="486" t="s">
        <v>59</v>
      </c>
      <c r="R11" s="463" t="s">
        <v>58</v>
      </c>
      <c r="S11" s="486" t="s">
        <v>59</v>
      </c>
      <c r="T11" s="463" t="s">
        <v>58</v>
      </c>
      <c r="U11" s="486" t="s">
        <v>59</v>
      </c>
      <c r="V11" s="463" t="s">
        <v>58</v>
      </c>
      <c r="W11" s="486" t="s">
        <v>59</v>
      </c>
      <c r="X11" s="463" t="s">
        <v>58</v>
      </c>
      <c r="Y11" s="486" t="s">
        <v>59</v>
      </c>
      <c r="Z11" s="463" t="s">
        <v>58</v>
      </c>
      <c r="AA11" s="486" t="s">
        <v>59</v>
      </c>
      <c r="AB11" s="463" t="s">
        <v>58</v>
      </c>
      <c r="AC11" s="486" t="s">
        <v>59</v>
      </c>
      <c r="AD11" s="463" t="s">
        <v>58</v>
      </c>
      <c r="AE11" s="486" t="s">
        <v>59</v>
      </c>
      <c r="AF11" s="463" t="s">
        <v>58</v>
      </c>
      <c r="AG11" s="486" t="s">
        <v>59</v>
      </c>
      <c r="AH11" s="503" t="s">
        <v>58</v>
      </c>
      <c r="AI11" s="1758" t="s">
        <v>59</v>
      </c>
      <c r="AJ11" s="463" t="s">
        <v>58</v>
      </c>
      <c r="AK11" s="486" t="s">
        <v>59</v>
      </c>
      <c r="AL11" s="503" t="s">
        <v>58</v>
      </c>
      <c r="AM11" s="579" t="s">
        <v>59</v>
      </c>
      <c r="AN11" s="6736"/>
      <c r="AO11" s="6751"/>
      <c r="AP11" s="6086"/>
      <c r="AQ11" s="6086"/>
      <c r="AR11" s="6067"/>
      <c r="AS11" s="6751"/>
      <c r="AT11" s="6736"/>
      <c r="AU11" s="1839"/>
      <c r="AV11" s="1839"/>
      <c r="AW11" s="1839"/>
      <c r="AX11" s="1839"/>
      <c r="AY11" s="1839"/>
      <c r="AZ11" s="1839"/>
      <c r="BA11" s="1839"/>
      <c r="BB11" s="1839"/>
      <c r="BC11" s="1839"/>
      <c r="BD11" s="1839"/>
      <c r="BE11" s="1839"/>
      <c r="BF11" s="1839"/>
      <c r="BG11" s="1839"/>
      <c r="BH11" s="1839"/>
    </row>
    <row r="12" spans="1:98" ht="15" customHeight="1" x14ac:dyDescent="0.25">
      <c r="A12" s="5796" t="s">
        <v>5556</v>
      </c>
      <c r="B12" s="909" t="s">
        <v>1372</v>
      </c>
      <c r="C12" s="3225" t="s">
        <v>4567</v>
      </c>
      <c r="D12" s="605" t="s">
        <v>4568</v>
      </c>
      <c r="E12" s="3037" t="s">
        <v>4569</v>
      </c>
      <c r="F12" s="3226" t="s">
        <v>4570</v>
      </c>
      <c r="G12" s="748" t="s">
        <v>4571</v>
      </c>
      <c r="H12" s="3226" t="s">
        <v>4572</v>
      </c>
      <c r="I12" s="748" t="s">
        <v>4573</v>
      </c>
      <c r="J12" s="3226" t="s">
        <v>4574</v>
      </c>
      <c r="K12" s="748" t="s">
        <v>4575</v>
      </c>
      <c r="L12" s="3227" t="s">
        <v>4576</v>
      </c>
      <c r="M12" s="748" t="s">
        <v>4577</v>
      </c>
      <c r="N12" s="3226" t="s">
        <v>4578</v>
      </c>
      <c r="O12" s="748" t="s">
        <v>4579</v>
      </c>
      <c r="P12" s="3227" t="s">
        <v>4580</v>
      </c>
      <c r="Q12" s="748" t="s">
        <v>4581</v>
      </c>
      <c r="R12" s="3226" t="s">
        <v>4582</v>
      </c>
      <c r="S12" s="748" t="s">
        <v>4583</v>
      </c>
      <c r="T12" s="3227" t="s">
        <v>4584</v>
      </c>
      <c r="U12" s="566" t="s">
        <v>4585</v>
      </c>
      <c r="V12" s="3227" t="s">
        <v>4586</v>
      </c>
      <c r="W12" s="566" t="s">
        <v>4587</v>
      </c>
      <c r="X12" s="3227" t="s">
        <v>4588</v>
      </c>
      <c r="Y12" s="566" t="s">
        <v>4589</v>
      </c>
      <c r="Z12" s="3227" t="s">
        <v>4590</v>
      </c>
      <c r="AA12" s="566" t="s">
        <v>4591</v>
      </c>
      <c r="AB12" s="3227" t="s">
        <v>4592</v>
      </c>
      <c r="AC12" s="748" t="s">
        <v>4593</v>
      </c>
      <c r="AD12" s="3227" t="s">
        <v>4594</v>
      </c>
      <c r="AE12" s="748" t="s">
        <v>4595</v>
      </c>
      <c r="AF12" s="3227" t="s">
        <v>4596</v>
      </c>
      <c r="AG12" s="748" t="s">
        <v>4597</v>
      </c>
      <c r="AH12" s="3227" t="s">
        <v>4598</v>
      </c>
      <c r="AI12" s="566" t="s">
        <v>4599</v>
      </c>
      <c r="AJ12" s="3227" t="s">
        <v>4600</v>
      </c>
      <c r="AK12" s="566" t="s">
        <v>4601</v>
      </c>
      <c r="AL12" s="3227" t="s">
        <v>4602</v>
      </c>
      <c r="AM12" s="3217" t="s">
        <v>4603</v>
      </c>
      <c r="AN12" s="566" t="s">
        <v>4604</v>
      </c>
      <c r="AO12" s="3227" t="s">
        <v>4605</v>
      </c>
      <c r="AP12" s="3226" t="s">
        <v>4606</v>
      </c>
      <c r="AQ12" s="3226" t="s">
        <v>4934</v>
      </c>
      <c r="AR12" s="566" t="s">
        <v>4935</v>
      </c>
      <c r="AS12" s="3227" t="s">
        <v>4936</v>
      </c>
      <c r="AT12" s="566" t="s">
        <v>4937</v>
      </c>
      <c r="AU12" s="3228" t="str">
        <f>CB12&amp;CC12&amp;CD12&amp;CE12&amp;CF12&amp;CG12&amp;CH12</f>
        <v xml:space="preserve"> * La variable Beneficiarios No puede ser mayor al Total. * La variable ORIGEN DE LA PROCEDENCIA (Sólo pacientes derivados de establecimientos de la Red) SAPU/SAR/SUR No puede ser mayor al Total. * La variable ORIGEN DE LA PROCEDENCIA (Sólo pacientes derivados de establecimientos de la Red) Hospital Baja Complejidad No puede ser mayor al Total. * La variable ORIGEN DE LA PROCEDENCIA (Sólo pacientes derivados de establecimientos de la Red) Hospital Mediana/Alta Complejidad No puede ser mayor al Total. * La variable ORIGEN DE LA PROCEDENCIA (Sólo pacientes derivados de establecimientos de la Red) Otros Establecimientos de la Red No puede ser mayor al Total. * La variable Establecimientos de otra Red No puede ser mayor al Total.</v>
      </c>
      <c r="AV12" s="3229"/>
      <c r="AW12" s="3229"/>
      <c r="AX12" s="3229"/>
      <c r="AY12" s="3229"/>
      <c r="AZ12" s="3229"/>
      <c r="BA12" s="3229"/>
      <c r="BB12" s="3229"/>
      <c r="BC12" s="3229"/>
      <c r="BD12" s="3229"/>
      <c r="BE12" s="3229"/>
      <c r="BF12" s="1839"/>
      <c r="BG12" s="1839"/>
      <c r="BH12" s="1839"/>
      <c r="CB12" s="431" t="str">
        <f>IF(AND($C12&gt;0,AN12="")," * No olvide digitar la variable "&amp;AN$9&amp;""&amp;". Digite CERO si no tiene",IF(AN12&gt;$C12," * La variable "&amp;AN$9&amp;""&amp;" No puede ser mayor al Total.",""))</f>
        <v xml:space="preserve"> * La variable Beneficiarios No puede ser mayor al Total.</v>
      </c>
      <c r="CC12" s="431" t="str">
        <f>IF(AND($C12&gt;0,AO12="")," * No olvide digitar la variable "&amp;AO$9&amp;""&amp;" SAPU/SAR/SUR. Digite CERO si no tiene",IF(AO12&gt;$C12," * La variable "&amp;AO$9&amp;""&amp;" SAPU/SAR/SUR No puede ser mayor al Total.",""))</f>
        <v xml:space="preserve"> * La variable ORIGEN DE LA PROCEDENCIA (Sólo pacientes derivados de establecimientos de la Red) SAPU/SAR/SUR No puede ser mayor al Total.</v>
      </c>
      <c r="CD12" s="431" t="str">
        <f>IF(AND($C12&gt;0,AP12="")," * No olvide digitar la variable "&amp;AO$9&amp;""&amp;" Hospital Baja Complejidad. Digite CERO si no tiene",IF(AP12&gt;$C12," * La variable "&amp;AO$9&amp;""&amp;" Hospital Baja Complejidad No puede ser mayor al Total.",""))</f>
        <v xml:space="preserve"> * La variable ORIGEN DE LA PROCEDENCIA (Sólo pacientes derivados de establecimientos de la Red) Hospital Baja Complejidad No puede ser mayor al Total.</v>
      </c>
      <c r="CE12" s="431" t="str">
        <f>IF(AND($C12&gt;0,AQ12="")," * No olvide digitar la variable "&amp;AO$9&amp;""&amp;" Hospital Mediana/Alta Complejidad. Digite CERO si no tiene",IF(AQ12&gt;$C12," * La variable "&amp;AO$9&amp;""&amp;" Hospital Mediana/Alta Complejidad No puede ser mayor al Total.",""))</f>
        <v xml:space="preserve"> * La variable ORIGEN DE LA PROCEDENCIA (Sólo pacientes derivados de establecimientos de la Red) Hospital Mediana/Alta Complejidad No puede ser mayor al Total.</v>
      </c>
      <c r="CF12" s="431" t="str">
        <f>IF(AND($C12&gt;0,AR12="")," * No olvide digitar la variable "&amp;AO$9&amp;""&amp;" Otros Establecimientos de la Red. Digite CERO si no tiene",IF(AR12&gt;$C12," * La variable "&amp;AO$9&amp;""&amp;" Otros Establecimientos de la Red No puede ser mayor al Total.",""))</f>
        <v xml:space="preserve"> * La variable ORIGEN DE LA PROCEDENCIA (Sólo pacientes derivados de establecimientos de la Red) Otros Establecimientos de la Red No puede ser mayor al Total.</v>
      </c>
      <c r="CG12" s="431" t="str">
        <f>IF(AND($C12&gt;0,AS12="")," * No olvide digitar la variable "&amp;AS$9&amp;""&amp;". Digite CERO si no tiene",IF(AS12&gt;$C12," * La variable "&amp;AS$9&amp;""&amp;" No puede ser mayor al Total.",""))</f>
        <v xml:space="preserve"> * La variable Establecimientos de otra Red No puede ser mayor al Total.</v>
      </c>
      <c r="CH12" s="431" t="str">
        <f>IF(AND($C12&gt;0,AT12="")," * No olvide digitar la variable "&amp;AT$9&amp;""&amp;". Digite CERO si no tiene",IF(C12&gt;AT12," * La variable "&amp;AT$9&amp;""&amp;" No puede ser menor al Total.",""))</f>
        <v/>
      </c>
      <c r="CN12" s="180">
        <f t="shared" ref="CN12:CS12" si="0">IF(AND($C12&gt;0,AN12=""),1,IF(AN12&gt;$C12,1,0))</f>
        <v>1</v>
      </c>
      <c r="CO12" s="180">
        <f t="shared" si="0"/>
        <v>1</v>
      </c>
      <c r="CP12" s="180">
        <f t="shared" si="0"/>
        <v>1</v>
      </c>
      <c r="CQ12" s="180">
        <f t="shared" si="0"/>
        <v>1</v>
      </c>
      <c r="CR12" s="180">
        <f t="shared" si="0"/>
        <v>1</v>
      </c>
      <c r="CS12" s="2948">
        <f t="shared" si="0"/>
        <v>1</v>
      </c>
      <c r="CT12" s="2948">
        <f>IF(AND($C12&gt;0,AT12=""),1,IF(C12&gt;AT12,1,0))</f>
        <v>0</v>
      </c>
    </row>
    <row r="13" spans="1:98" ht="15" customHeight="1" x14ac:dyDescent="0.25">
      <c r="A13" s="5796" t="s">
        <v>5557</v>
      </c>
      <c r="B13" s="360" t="s">
        <v>1373</v>
      </c>
      <c r="C13" s="201" t="s">
        <v>4567</v>
      </c>
      <c r="D13" s="248" t="s">
        <v>4568</v>
      </c>
      <c r="E13" s="3230" t="s">
        <v>4569</v>
      </c>
      <c r="F13" s="347" t="s">
        <v>4570</v>
      </c>
      <c r="G13" s="349" t="s">
        <v>4571</v>
      </c>
      <c r="H13" s="347" t="s">
        <v>4572</v>
      </c>
      <c r="I13" s="349" t="s">
        <v>4573</v>
      </c>
      <c r="J13" s="347" t="s">
        <v>4574</v>
      </c>
      <c r="K13" s="349" t="s">
        <v>4575</v>
      </c>
      <c r="L13" s="347" t="s">
        <v>4576</v>
      </c>
      <c r="M13" s="349" t="s">
        <v>4577</v>
      </c>
      <c r="N13" s="345" t="s">
        <v>4578</v>
      </c>
      <c r="O13" s="346" t="s">
        <v>4579</v>
      </c>
      <c r="P13" s="345" t="s">
        <v>4580</v>
      </c>
      <c r="Q13" s="346" t="s">
        <v>4581</v>
      </c>
      <c r="R13" s="345" t="s">
        <v>4582</v>
      </c>
      <c r="S13" s="346" t="s">
        <v>4583</v>
      </c>
      <c r="T13" s="345" t="s">
        <v>4584</v>
      </c>
      <c r="U13" s="346" t="s">
        <v>4585</v>
      </c>
      <c r="V13" s="345" t="s">
        <v>4586</v>
      </c>
      <c r="W13" s="346" t="s">
        <v>4587</v>
      </c>
      <c r="X13" s="345" t="s">
        <v>4588</v>
      </c>
      <c r="Y13" s="346" t="s">
        <v>4589</v>
      </c>
      <c r="Z13" s="345" t="s">
        <v>4590</v>
      </c>
      <c r="AA13" s="346" t="s">
        <v>4591</v>
      </c>
      <c r="AB13" s="345" t="s">
        <v>4592</v>
      </c>
      <c r="AC13" s="346" t="s">
        <v>4593</v>
      </c>
      <c r="AD13" s="345" t="s">
        <v>4594</v>
      </c>
      <c r="AE13" s="346" t="s">
        <v>4595</v>
      </c>
      <c r="AF13" s="345" t="s">
        <v>4596</v>
      </c>
      <c r="AG13" s="346" t="s">
        <v>4597</v>
      </c>
      <c r="AH13" s="345" t="s">
        <v>4598</v>
      </c>
      <c r="AI13" s="346" t="s">
        <v>4599</v>
      </c>
      <c r="AJ13" s="345" t="s">
        <v>4600</v>
      </c>
      <c r="AK13" s="346" t="s">
        <v>4601</v>
      </c>
      <c r="AL13" s="345" t="s">
        <v>4602</v>
      </c>
      <c r="AM13" s="480" t="s">
        <v>4603</v>
      </c>
      <c r="AN13" s="346" t="s">
        <v>4604</v>
      </c>
      <c r="AO13" s="345" t="s">
        <v>4605</v>
      </c>
      <c r="AP13" s="347" t="s">
        <v>4606</v>
      </c>
      <c r="AQ13" s="347" t="s">
        <v>4934</v>
      </c>
      <c r="AR13" s="346" t="s">
        <v>4935</v>
      </c>
      <c r="AS13" s="345" t="s">
        <v>4936</v>
      </c>
      <c r="AT13" s="346" t="s">
        <v>4937</v>
      </c>
      <c r="AU13" s="3228" t="str">
        <f>CB13&amp;CC13&amp;CD13&amp;CE13&amp;CF13&amp;CG13&amp;CH13</f>
        <v xml:space="preserve"> * La variable Beneficiarios No puede ser mayor al Total. * La variable ORIGEN DE LA PROCEDENCIA (Sólo pacientes derivados de establecimientos de la Red) SAPU/SAR/SUR No puede ser mayor al Total. * La variable ORIGEN DE LA PROCEDENCIA (Sólo pacientes derivados de establecimientos de la Red) Hospital Baja Complejidad No puede ser mayor al Total. * La variable ORIGEN DE LA PROCEDENCIA (Sólo pacientes derivados de establecimientos de la Red) Hospital Mediana/Alta Complejidad No puede ser mayor al Total. * La variable ORIGEN DE LA PROCEDENCIA (Sólo pacientes derivados de establecimientos de la Red) Otros Establecimientos de la Red No puede ser mayor al Total. * La variable Establecimientos de otra Red No puede ser mayor al Total.</v>
      </c>
      <c r="AV13" s="3229"/>
      <c r="AW13" s="3229"/>
      <c r="AX13" s="3229"/>
      <c r="AY13" s="3229"/>
      <c r="AZ13" s="3229"/>
      <c r="BA13" s="3229"/>
      <c r="BB13" s="3229"/>
      <c r="BC13" s="3229"/>
      <c r="BD13" s="3229"/>
      <c r="BE13" s="3229"/>
      <c r="BF13" s="1839"/>
      <c r="BG13" s="1839"/>
      <c r="BH13" s="1839"/>
      <c r="CB13" s="431" t="str">
        <f t="shared" ref="CB13:CB15" si="1">IF(AND($C13&gt;0,AN13="")," * No olvide digitar la variable "&amp;AN$9&amp;""&amp;". Digite CERO si no tiene",IF(AN13&gt;$C13," * La variable "&amp;AN$9&amp;""&amp;" No puede ser mayor al Total.",""))</f>
        <v xml:space="preserve"> * La variable Beneficiarios No puede ser mayor al Total.</v>
      </c>
      <c r="CC13" s="431" t="str">
        <f>IF(AND($C13&gt;0,AO13="")," * No olvide digitar la variable "&amp;AO$9&amp;""&amp;" SAPU/SAR/SUR. Digite CERO si no tiene",IF(AO13&gt;$C13," * La variable "&amp;AO$9&amp;""&amp;" SAPU/SAR/SUR No puede ser mayor al Total.",""))</f>
        <v xml:space="preserve"> * La variable ORIGEN DE LA PROCEDENCIA (Sólo pacientes derivados de establecimientos de la Red) SAPU/SAR/SUR No puede ser mayor al Total.</v>
      </c>
      <c r="CD13" s="431" t="str">
        <f>IF(AND($C13&gt;0,AP13="")," * No olvide digitar la variable "&amp;AO$9&amp;""&amp;" Hospital Baja Complejidad. Digite CERO si no tiene",IF(AP13&gt;$C13," * La variable "&amp;AO$9&amp;""&amp;" Hospital Baja Complejidad No puede ser mayor al Total.",""))</f>
        <v xml:space="preserve"> * La variable ORIGEN DE LA PROCEDENCIA (Sólo pacientes derivados de establecimientos de la Red) Hospital Baja Complejidad No puede ser mayor al Total.</v>
      </c>
      <c r="CE13" s="431" t="str">
        <f>IF(AND($C13&gt;0,AQ13="")," * No olvide digitar la variable "&amp;AO$9&amp;""&amp;" Hospital Mediana/Alta Complejidad. Digite CERO si no tiene",IF(AQ13&gt;$C13," * La variable "&amp;AO$9&amp;""&amp;" Hospital Mediana/Alta Complejidad No puede ser mayor al Total.",""))</f>
        <v xml:space="preserve"> * La variable ORIGEN DE LA PROCEDENCIA (Sólo pacientes derivados de establecimientos de la Red) Hospital Mediana/Alta Complejidad No puede ser mayor al Total.</v>
      </c>
      <c r="CF13" s="431" t="str">
        <f>IF(AND($C13&gt;0,AR13="")," * No olvide digitar la variable "&amp;AO$9&amp;""&amp;" Otros Establecimientos de la Red. Digite CERO si no tiene",IF(AR13&gt;$C13," * La variable "&amp;AO$9&amp;""&amp;" Otros Establecimientos de la Red No puede ser mayor al Total.",""))</f>
        <v xml:space="preserve"> * La variable ORIGEN DE LA PROCEDENCIA (Sólo pacientes derivados de establecimientos de la Red) Otros Establecimientos de la Red No puede ser mayor al Total.</v>
      </c>
      <c r="CG13" s="431" t="str">
        <f>IF(AND($C13&gt;0,AS13="")," * No olvide digitar la variable "&amp;AS$9&amp;""&amp;". Digite CERO si no tiene",IF(AS13&gt;$C13," * La variable "&amp;AS$9&amp;""&amp;" No puede ser mayor al Total.",""))</f>
        <v xml:space="preserve"> * La variable Establecimientos de otra Red No puede ser mayor al Total.</v>
      </c>
      <c r="CH13" s="431" t="str">
        <f>IF(AND($C13&gt;0,AT13="")," * No olvide digitar la variable "&amp;AT$9&amp;""&amp;". Digite CERO si no tiene",IF(C13&gt;AT13," * La variable "&amp;AT$9&amp;""&amp;" No puede ser menor al Total.",""))</f>
        <v/>
      </c>
      <c r="CN13" s="180">
        <f t="shared" ref="CN13:CN15" si="2">IF(AND($C13&gt;0,AN13=""),1,IF(AN13&gt;$C13,1,0))</f>
        <v>1</v>
      </c>
      <c r="CO13" s="180">
        <f t="shared" ref="CO13:CS13" si="3">IF(AND($C13&gt;0,AO13=""),1,IF(AO13&gt;$C13,1,0))</f>
        <v>1</v>
      </c>
      <c r="CP13" s="180">
        <f t="shared" si="3"/>
        <v>1</v>
      </c>
      <c r="CQ13" s="180">
        <f t="shared" si="3"/>
        <v>1</v>
      </c>
      <c r="CR13" s="180">
        <f t="shared" si="3"/>
        <v>1</v>
      </c>
      <c r="CS13" s="2948">
        <f t="shared" si="3"/>
        <v>1</v>
      </c>
      <c r="CT13" s="2948">
        <f>IF(AND($C13&gt;0,AT13=""),1,IF(C13&gt;AT13,1,0))</f>
        <v>0</v>
      </c>
    </row>
    <row r="14" spans="1:98" ht="15" customHeight="1" x14ac:dyDescent="0.2">
      <c r="A14" s="5796" t="s">
        <v>5558</v>
      </c>
      <c r="B14" s="910" t="s">
        <v>1374</v>
      </c>
      <c r="C14" s="341" t="s">
        <v>4567</v>
      </c>
      <c r="D14" s="607" t="s">
        <v>4568</v>
      </c>
      <c r="E14" s="3038" t="s">
        <v>4569</v>
      </c>
      <c r="F14" s="345" t="s">
        <v>4570</v>
      </c>
      <c r="G14" s="346" t="s">
        <v>4571</v>
      </c>
      <c r="H14" s="345" t="s">
        <v>4572</v>
      </c>
      <c r="I14" s="346" t="s">
        <v>4573</v>
      </c>
      <c r="J14" s="345" t="s">
        <v>4574</v>
      </c>
      <c r="K14" s="346" t="s">
        <v>4575</v>
      </c>
      <c r="L14" s="345" t="s">
        <v>4576</v>
      </c>
      <c r="M14" s="346" t="s">
        <v>4577</v>
      </c>
      <c r="N14" s="345" t="s">
        <v>4578</v>
      </c>
      <c r="O14" s="346" t="s">
        <v>4579</v>
      </c>
      <c r="P14" s="345" t="s">
        <v>4580</v>
      </c>
      <c r="Q14" s="346" t="s">
        <v>4581</v>
      </c>
      <c r="R14" s="345" t="s">
        <v>4582</v>
      </c>
      <c r="S14" s="346" t="s">
        <v>4583</v>
      </c>
      <c r="T14" s="345" t="s">
        <v>4584</v>
      </c>
      <c r="U14" s="346" t="s">
        <v>4585</v>
      </c>
      <c r="V14" s="345" t="s">
        <v>4586</v>
      </c>
      <c r="W14" s="346" t="s">
        <v>4587</v>
      </c>
      <c r="X14" s="345" t="s">
        <v>4588</v>
      </c>
      <c r="Y14" s="346" t="s">
        <v>4589</v>
      </c>
      <c r="Z14" s="345" t="s">
        <v>4590</v>
      </c>
      <c r="AA14" s="346" t="s">
        <v>4591</v>
      </c>
      <c r="AB14" s="345" t="s">
        <v>4592</v>
      </c>
      <c r="AC14" s="346" t="s">
        <v>4593</v>
      </c>
      <c r="AD14" s="345" t="s">
        <v>4594</v>
      </c>
      <c r="AE14" s="346" t="s">
        <v>4595</v>
      </c>
      <c r="AF14" s="345" t="s">
        <v>4596</v>
      </c>
      <c r="AG14" s="346" t="s">
        <v>4597</v>
      </c>
      <c r="AH14" s="345" t="s">
        <v>4598</v>
      </c>
      <c r="AI14" s="346" t="s">
        <v>4599</v>
      </c>
      <c r="AJ14" s="345" t="s">
        <v>4600</v>
      </c>
      <c r="AK14" s="346" t="s">
        <v>4601</v>
      </c>
      <c r="AL14" s="345" t="s">
        <v>4602</v>
      </c>
      <c r="AM14" s="480" t="s">
        <v>4603</v>
      </c>
      <c r="AN14" s="346" t="s">
        <v>4604</v>
      </c>
      <c r="AO14" s="3231" t="s">
        <v>4605</v>
      </c>
      <c r="AP14" s="3231" t="s">
        <v>4606</v>
      </c>
      <c r="AQ14" s="3231" t="s">
        <v>4934</v>
      </c>
      <c r="AR14" s="367" t="s">
        <v>4935</v>
      </c>
      <c r="AS14" s="619" t="s">
        <v>4936</v>
      </c>
      <c r="AT14" s="367" t="s">
        <v>4937</v>
      </c>
      <c r="AU14" s="3228" t="str">
        <f t="shared" ref="AU14:AU15" si="4">CB14&amp;CC14&amp;CD14&amp;CE14&amp;CF14&amp;CG14&amp;CH14</f>
        <v xml:space="preserve"> * La variable Beneficiarios No puede ser mayor al Total.</v>
      </c>
      <c r="AV14" s="3229"/>
      <c r="AW14" s="3229"/>
      <c r="AX14" s="3229"/>
      <c r="AY14" s="3229"/>
      <c r="AZ14" s="3229"/>
      <c r="BA14" s="3229"/>
      <c r="BB14" s="3229"/>
      <c r="BC14" s="3229"/>
      <c r="BD14" s="3229"/>
      <c r="BE14" s="3229"/>
      <c r="BF14" s="1839"/>
      <c r="BG14" s="1839"/>
      <c r="BH14" s="1839"/>
      <c r="CB14" s="431" t="str">
        <f t="shared" si="1"/>
        <v xml:space="preserve"> * La variable Beneficiarios No puede ser mayor al Total.</v>
      </c>
      <c r="CN14" s="180">
        <f t="shared" si="2"/>
        <v>1</v>
      </c>
    </row>
    <row r="15" spans="1:98" ht="15" customHeight="1" x14ac:dyDescent="0.2">
      <c r="A15" s="5796" t="s">
        <v>5559</v>
      </c>
      <c r="B15" s="911" t="s">
        <v>1375</v>
      </c>
      <c r="C15" s="623" t="s">
        <v>4567</v>
      </c>
      <c r="D15" s="3232" t="s">
        <v>4568</v>
      </c>
      <c r="E15" s="3039" t="s">
        <v>4569</v>
      </c>
      <c r="F15" s="379" t="s">
        <v>4570</v>
      </c>
      <c r="G15" s="387" t="s">
        <v>4571</v>
      </c>
      <c r="H15" s="379" t="s">
        <v>4572</v>
      </c>
      <c r="I15" s="387" t="s">
        <v>4573</v>
      </c>
      <c r="J15" s="379" t="s">
        <v>4574</v>
      </c>
      <c r="K15" s="387" t="s">
        <v>4575</v>
      </c>
      <c r="L15" s="379" t="s">
        <v>4576</v>
      </c>
      <c r="M15" s="387" t="s">
        <v>4577</v>
      </c>
      <c r="N15" s="379" t="s">
        <v>4578</v>
      </c>
      <c r="O15" s="387" t="s">
        <v>4579</v>
      </c>
      <c r="P15" s="379" t="s">
        <v>4580</v>
      </c>
      <c r="Q15" s="387" t="s">
        <v>4581</v>
      </c>
      <c r="R15" s="379" t="s">
        <v>4582</v>
      </c>
      <c r="S15" s="387" t="s">
        <v>4583</v>
      </c>
      <c r="T15" s="379" t="s">
        <v>4584</v>
      </c>
      <c r="U15" s="387" t="s">
        <v>4585</v>
      </c>
      <c r="V15" s="379" t="s">
        <v>4586</v>
      </c>
      <c r="W15" s="387" t="s">
        <v>4587</v>
      </c>
      <c r="X15" s="379" t="s">
        <v>4588</v>
      </c>
      <c r="Y15" s="387" t="s">
        <v>4589</v>
      </c>
      <c r="Z15" s="379" t="s">
        <v>4590</v>
      </c>
      <c r="AA15" s="387" t="s">
        <v>4591</v>
      </c>
      <c r="AB15" s="379" t="s">
        <v>4592</v>
      </c>
      <c r="AC15" s="387" t="s">
        <v>4593</v>
      </c>
      <c r="AD15" s="379" t="s">
        <v>4594</v>
      </c>
      <c r="AE15" s="387" t="s">
        <v>4595</v>
      </c>
      <c r="AF15" s="379" t="s">
        <v>4596</v>
      </c>
      <c r="AG15" s="387" t="s">
        <v>4597</v>
      </c>
      <c r="AH15" s="379" t="s">
        <v>4598</v>
      </c>
      <c r="AI15" s="387" t="s">
        <v>4599</v>
      </c>
      <c r="AJ15" s="379" t="s">
        <v>4600</v>
      </c>
      <c r="AK15" s="387" t="s">
        <v>4601</v>
      </c>
      <c r="AL15" s="379" t="s">
        <v>4602</v>
      </c>
      <c r="AM15" s="391" t="s">
        <v>4603</v>
      </c>
      <c r="AN15" s="387" t="s">
        <v>4604</v>
      </c>
      <c r="AO15" s="3233" t="s">
        <v>4605</v>
      </c>
      <c r="AP15" s="3233" t="s">
        <v>4606</v>
      </c>
      <c r="AQ15" s="3233" t="s">
        <v>4934</v>
      </c>
      <c r="AR15" s="621" t="s">
        <v>4935</v>
      </c>
      <c r="AS15" s="620" t="s">
        <v>4936</v>
      </c>
      <c r="AT15" s="621" t="s">
        <v>4937</v>
      </c>
      <c r="AU15" s="3228" t="str">
        <f t="shared" si="4"/>
        <v xml:space="preserve"> * La variable Beneficiarios No puede ser mayor al Total.</v>
      </c>
      <c r="AV15" s="3229"/>
      <c r="AW15" s="3229"/>
      <c r="AX15" s="3229"/>
      <c r="AY15" s="3229"/>
      <c r="AZ15" s="3229"/>
      <c r="BA15" s="3229"/>
      <c r="BB15" s="3229"/>
      <c r="BC15" s="3229"/>
      <c r="BD15" s="3229"/>
      <c r="BE15" s="3229"/>
      <c r="BF15" s="1839"/>
      <c r="BG15" s="1839"/>
      <c r="BH15" s="1839"/>
      <c r="CB15" s="431" t="str">
        <f t="shared" si="1"/>
        <v xml:space="preserve"> * La variable Beneficiarios No puede ser mayor al Total.</v>
      </c>
      <c r="CN15" s="180">
        <f t="shared" si="2"/>
        <v>1</v>
      </c>
    </row>
    <row r="16" spans="1:98" s="8" customFormat="1" ht="18" customHeight="1" x14ac:dyDescent="0.15">
      <c r="A16" s="5797"/>
      <c r="B16" s="11" t="s">
        <v>1376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W16" s="5"/>
      <c r="BX16" s="5"/>
      <c r="BY16" s="5"/>
      <c r="BZ16" s="5"/>
    </row>
    <row r="17" spans="1:98" ht="19.5" customHeight="1" x14ac:dyDescent="0.2">
      <c r="A17" s="5797"/>
      <c r="B17" s="6444" t="s">
        <v>1377</v>
      </c>
      <c r="C17" s="6212" t="s">
        <v>1363</v>
      </c>
      <c r="D17" s="6510"/>
      <c r="E17" s="6511"/>
      <c r="F17" s="6704" t="s">
        <v>1364</v>
      </c>
      <c r="G17" s="6515"/>
      <c r="H17" s="6515"/>
      <c r="I17" s="6515"/>
      <c r="J17" s="6515"/>
      <c r="K17" s="6515"/>
      <c r="L17" s="6515"/>
      <c r="M17" s="6515"/>
      <c r="N17" s="6515"/>
      <c r="O17" s="6515"/>
      <c r="P17" s="6515"/>
      <c r="Q17" s="6515"/>
      <c r="R17" s="6515"/>
      <c r="S17" s="6515"/>
      <c r="T17" s="6515"/>
      <c r="U17" s="6515"/>
      <c r="V17" s="6515"/>
      <c r="W17" s="6515"/>
      <c r="X17" s="6515"/>
      <c r="Y17" s="6515"/>
      <c r="Z17" s="6515"/>
      <c r="AA17" s="6515"/>
      <c r="AB17" s="6515"/>
      <c r="AC17" s="6515"/>
      <c r="AD17" s="6515"/>
      <c r="AE17" s="6515"/>
      <c r="AF17" s="6515"/>
      <c r="AG17" s="6515"/>
      <c r="AH17" s="6515"/>
      <c r="AI17" s="6515"/>
      <c r="AJ17" s="6515"/>
      <c r="AK17" s="6515"/>
      <c r="AL17" s="6515"/>
      <c r="AM17" s="6455"/>
      <c r="AN17" s="6492" t="s">
        <v>597</v>
      </c>
      <c r="AO17" s="6645" t="s">
        <v>1378</v>
      </c>
      <c r="AP17" s="6645" t="s">
        <v>1367</v>
      </c>
      <c r="AQ17" s="6645" t="s">
        <v>473</v>
      </c>
      <c r="AR17" s="6645" t="s">
        <v>34</v>
      </c>
      <c r="AS17" s="6511" t="s">
        <v>35</v>
      </c>
      <c r="AT17" s="1839"/>
      <c r="AU17" s="1839"/>
      <c r="AV17" s="1839"/>
      <c r="AW17" s="1839"/>
      <c r="AX17" s="1839"/>
      <c r="AY17" s="1839"/>
      <c r="AZ17" s="1839"/>
      <c r="BA17" s="1839"/>
      <c r="BB17" s="1839"/>
      <c r="BC17" s="1839"/>
      <c r="BD17" s="1839"/>
      <c r="BE17" s="1839"/>
      <c r="BF17" s="1839"/>
      <c r="BG17" s="1839"/>
      <c r="BH17" s="1839"/>
      <c r="BI17" s="1839"/>
      <c r="BJ17" s="1839"/>
    </row>
    <row r="18" spans="1:98" ht="15.75" customHeight="1" x14ac:dyDescent="0.2">
      <c r="A18" s="5797"/>
      <c r="B18" s="6350"/>
      <c r="C18" s="6734"/>
      <c r="D18" s="6735"/>
      <c r="E18" s="6736"/>
      <c r="F18" s="6704" t="s">
        <v>343</v>
      </c>
      <c r="G18" s="6451"/>
      <c r="H18" s="6704" t="s">
        <v>326</v>
      </c>
      <c r="I18" s="6451"/>
      <c r="J18" s="6704" t="s">
        <v>94</v>
      </c>
      <c r="K18" s="6451"/>
      <c r="L18" s="6704" t="s">
        <v>44</v>
      </c>
      <c r="M18" s="6451"/>
      <c r="N18" s="6704" t="s">
        <v>45</v>
      </c>
      <c r="O18" s="6451"/>
      <c r="P18" s="6705" t="s">
        <v>46</v>
      </c>
      <c r="Q18" s="6448"/>
      <c r="R18" s="6705" t="s">
        <v>47</v>
      </c>
      <c r="S18" s="6448"/>
      <c r="T18" s="6705" t="s">
        <v>48</v>
      </c>
      <c r="U18" s="6448"/>
      <c r="V18" s="6705" t="s">
        <v>49</v>
      </c>
      <c r="W18" s="6448"/>
      <c r="X18" s="6705" t="s">
        <v>50</v>
      </c>
      <c r="Y18" s="6448"/>
      <c r="Z18" s="6705" t="s">
        <v>51</v>
      </c>
      <c r="AA18" s="6448"/>
      <c r="AB18" s="6705" t="s">
        <v>52</v>
      </c>
      <c r="AC18" s="6448"/>
      <c r="AD18" s="6705" t="s">
        <v>53</v>
      </c>
      <c r="AE18" s="6448"/>
      <c r="AF18" s="6705" t="s">
        <v>54</v>
      </c>
      <c r="AG18" s="6448"/>
      <c r="AH18" s="6705" t="s">
        <v>55</v>
      </c>
      <c r="AI18" s="6448"/>
      <c r="AJ18" s="6705" t="s">
        <v>56</v>
      </c>
      <c r="AK18" s="6448"/>
      <c r="AL18" s="6705" t="s">
        <v>57</v>
      </c>
      <c r="AM18" s="6447"/>
      <c r="AN18" s="6105"/>
      <c r="AO18" s="6386"/>
      <c r="AP18" s="6386"/>
      <c r="AQ18" s="6386"/>
      <c r="AR18" s="6386"/>
      <c r="AS18" s="6027"/>
      <c r="AT18" s="1839"/>
      <c r="AU18" s="1839"/>
      <c r="AV18" s="1839"/>
      <c r="AW18" s="1839"/>
      <c r="AX18" s="1839"/>
      <c r="AY18" s="1839"/>
      <c r="AZ18" s="1839"/>
      <c r="BA18" s="1839"/>
      <c r="BB18" s="1839"/>
      <c r="BC18" s="1839"/>
      <c r="BD18" s="1839"/>
      <c r="BE18" s="1839"/>
      <c r="BF18" s="1839"/>
      <c r="BG18" s="1839"/>
      <c r="BH18" s="1839"/>
      <c r="BI18" s="1839"/>
      <c r="BJ18" s="1839"/>
    </row>
    <row r="19" spans="1:98" ht="15.75" customHeight="1" x14ac:dyDescent="0.2">
      <c r="A19" s="5797"/>
      <c r="B19" s="6733"/>
      <c r="C19" s="866" t="s">
        <v>79</v>
      </c>
      <c r="D19" s="490" t="s">
        <v>461</v>
      </c>
      <c r="E19" s="464" t="s">
        <v>59</v>
      </c>
      <c r="F19" s="744" t="s">
        <v>461</v>
      </c>
      <c r="G19" s="464" t="s">
        <v>59</v>
      </c>
      <c r="H19" s="744" t="s">
        <v>461</v>
      </c>
      <c r="I19" s="464" t="s">
        <v>59</v>
      </c>
      <c r="J19" s="744" t="s">
        <v>461</v>
      </c>
      <c r="K19" s="464" t="s">
        <v>59</v>
      </c>
      <c r="L19" s="744" t="s">
        <v>461</v>
      </c>
      <c r="M19" s="464" t="s">
        <v>59</v>
      </c>
      <c r="N19" s="744" t="s">
        <v>461</v>
      </c>
      <c r="O19" s="464" t="s">
        <v>59</v>
      </c>
      <c r="P19" s="744" t="s">
        <v>461</v>
      </c>
      <c r="Q19" s="464" t="s">
        <v>59</v>
      </c>
      <c r="R19" s="744" t="s">
        <v>461</v>
      </c>
      <c r="S19" s="464" t="s">
        <v>59</v>
      </c>
      <c r="T19" s="744" t="s">
        <v>461</v>
      </c>
      <c r="U19" s="464" t="s">
        <v>59</v>
      </c>
      <c r="V19" s="744" t="s">
        <v>461</v>
      </c>
      <c r="W19" s="464" t="s">
        <v>59</v>
      </c>
      <c r="X19" s="744" t="s">
        <v>461</v>
      </c>
      <c r="Y19" s="464" t="s">
        <v>59</v>
      </c>
      <c r="Z19" s="744" t="s">
        <v>461</v>
      </c>
      <c r="AA19" s="464" t="s">
        <v>59</v>
      </c>
      <c r="AB19" s="744" t="s">
        <v>461</v>
      </c>
      <c r="AC19" s="464" t="s">
        <v>59</v>
      </c>
      <c r="AD19" s="744" t="s">
        <v>461</v>
      </c>
      <c r="AE19" s="464" t="s">
        <v>59</v>
      </c>
      <c r="AF19" s="744" t="s">
        <v>461</v>
      </c>
      <c r="AG19" s="464" t="s">
        <v>59</v>
      </c>
      <c r="AH19" s="744" t="s">
        <v>461</v>
      </c>
      <c r="AI19" s="464" t="s">
        <v>59</v>
      </c>
      <c r="AJ19" s="744" t="s">
        <v>461</v>
      </c>
      <c r="AK19" s="464" t="s">
        <v>59</v>
      </c>
      <c r="AL19" s="744" t="s">
        <v>461</v>
      </c>
      <c r="AM19" s="465" t="s">
        <v>59</v>
      </c>
      <c r="AN19" s="6894"/>
      <c r="AO19" s="6086"/>
      <c r="AP19" s="6086"/>
      <c r="AQ19" s="6086"/>
      <c r="AR19" s="6086"/>
      <c r="AS19" s="6736"/>
      <c r="AT19" s="1839"/>
      <c r="AU19" s="1839"/>
      <c r="AV19" s="1839"/>
      <c r="AW19" s="1839"/>
      <c r="AX19" s="1839"/>
      <c r="AY19" s="1839"/>
      <c r="AZ19" s="1839"/>
      <c r="BA19" s="1839"/>
      <c r="BB19" s="1839"/>
      <c r="BC19" s="1839"/>
      <c r="BD19" s="1839"/>
      <c r="BE19" s="1839"/>
      <c r="BF19" s="1839"/>
      <c r="BG19" s="1839"/>
      <c r="BH19" s="1839"/>
      <c r="BI19" s="1839"/>
      <c r="BJ19" s="1839"/>
    </row>
    <row r="20" spans="1:98" ht="15" customHeight="1" x14ac:dyDescent="0.25">
      <c r="A20" s="5795" t="s">
        <v>5560</v>
      </c>
      <c r="B20" s="3235" t="s">
        <v>1379</v>
      </c>
      <c r="C20" s="737" t="s">
        <v>4567</v>
      </c>
      <c r="D20" s="751" t="s">
        <v>4568</v>
      </c>
      <c r="E20" s="141" t="s">
        <v>4569</v>
      </c>
      <c r="F20" s="290" t="s">
        <v>4570</v>
      </c>
      <c r="G20" s="107" t="s">
        <v>4571</v>
      </c>
      <c r="H20" s="290" t="s">
        <v>4572</v>
      </c>
      <c r="I20" s="107" t="s">
        <v>4573</v>
      </c>
      <c r="J20" s="290" t="s">
        <v>4574</v>
      </c>
      <c r="K20" s="622" t="s">
        <v>4575</v>
      </c>
      <c r="L20" s="290" t="s">
        <v>4576</v>
      </c>
      <c r="M20" s="622" t="s">
        <v>4577</v>
      </c>
      <c r="N20" s="290" t="s">
        <v>4578</v>
      </c>
      <c r="O20" s="622" t="s">
        <v>4579</v>
      </c>
      <c r="P20" s="245" t="s">
        <v>4580</v>
      </c>
      <c r="Q20" s="622" t="s">
        <v>4581</v>
      </c>
      <c r="R20" s="245" t="s">
        <v>4582</v>
      </c>
      <c r="S20" s="622" t="s">
        <v>4583</v>
      </c>
      <c r="T20" s="245" t="s">
        <v>4584</v>
      </c>
      <c r="U20" s="622" t="s">
        <v>4585</v>
      </c>
      <c r="V20" s="245" t="s">
        <v>4586</v>
      </c>
      <c r="W20" s="622" t="s">
        <v>4587</v>
      </c>
      <c r="X20" s="245" t="s">
        <v>4588</v>
      </c>
      <c r="Y20" s="622" t="s">
        <v>4589</v>
      </c>
      <c r="Z20" s="245" t="s">
        <v>4590</v>
      </c>
      <c r="AA20" s="622" t="s">
        <v>4591</v>
      </c>
      <c r="AB20" s="245" t="s">
        <v>4592</v>
      </c>
      <c r="AC20" s="622" t="s">
        <v>4593</v>
      </c>
      <c r="AD20" s="245" t="s">
        <v>4594</v>
      </c>
      <c r="AE20" s="622" t="s">
        <v>4595</v>
      </c>
      <c r="AF20" s="245" t="s">
        <v>4596</v>
      </c>
      <c r="AG20" s="622" t="s">
        <v>4597</v>
      </c>
      <c r="AH20" s="245" t="s">
        <v>4598</v>
      </c>
      <c r="AI20" s="622" t="s">
        <v>4599</v>
      </c>
      <c r="AJ20" s="245" t="s">
        <v>4600</v>
      </c>
      <c r="AK20" s="622" t="s">
        <v>4601</v>
      </c>
      <c r="AL20" s="245" t="s">
        <v>4602</v>
      </c>
      <c r="AM20" s="430" t="s">
        <v>4603</v>
      </c>
      <c r="AN20" s="22" t="s">
        <v>4604</v>
      </c>
      <c r="AO20" s="531" t="s">
        <v>4605</v>
      </c>
      <c r="AP20" s="531" t="s">
        <v>4606</v>
      </c>
      <c r="AQ20" s="531" t="s">
        <v>4934</v>
      </c>
      <c r="AR20" s="935" t="s">
        <v>4935</v>
      </c>
      <c r="AS20" s="848" t="s">
        <v>4936</v>
      </c>
      <c r="AT20" s="3228" t="str">
        <f>$CB20&amp;$CC20&amp;$CD20&amp;$CE20&amp;$CF20&amp;$CG20</f>
        <v xml:space="preserve"> * La variable COL38 No puede ser mayor al Total. * La variable Atenciones por profesionales  a Honorarios No puede ser mayor al Total. * La variable Por Campaña de Invierno No puede ser mayor al Total. * La variable Niños, Niñas, Adolescentes y Jóvenes SENAME No puede ser mayor al Total. * La variable Niños, Niñas, Adolescentes y Jóvenes Mejor Niñez No puede ser mayor al Total.</v>
      </c>
      <c r="AU20" s="3229"/>
      <c r="AV20" s="3229"/>
      <c r="AW20" s="3229"/>
      <c r="AX20" s="3229"/>
      <c r="AY20" s="3229"/>
      <c r="AZ20" s="3229"/>
      <c r="BA20" s="1839"/>
      <c r="BB20" s="1839"/>
      <c r="BC20" s="1839"/>
      <c r="BD20" s="1839"/>
      <c r="BE20" s="1839"/>
      <c r="BF20" s="1839"/>
      <c r="BG20" s="1839"/>
      <c r="BH20" s="1839"/>
      <c r="BI20" s="1839"/>
      <c r="BJ20" s="1839"/>
      <c r="CB20" s="431" t="str">
        <f>IF(AND($C20&gt;0,AN20="")," * No olvide digitar la variable "&amp;AN$17&amp;""&amp;". Digite CERO si no tiene",IF(AN20&gt;$C20," * La variable "&amp;AN$20&amp;""&amp;" No puede ser mayor al Total.",""))</f>
        <v xml:space="preserve"> * La variable COL38 No puede ser mayor al Total.</v>
      </c>
      <c r="CC20" s="431" t="str">
        <f>IF(AND($C20&gt;0,AO20="")," * No olvide digitar la variable "&amp;AO$17&amp;""&amp;". Digite CERO si no tiene",IF(AO20&gt;$C20," * La variable "&amp;AO$17&amp;""&amp;" No puede ser mayor al Total.",""))</f>
        <v xml:space="preserve"> * La variable Atenciones por profesionales  a Honorarios No puede ser mayor al Total.</v>
      </c>
      <c r="CD20" s="431" t="str">
        <f>IF(AND($C20&gt;0,AP20="")," * No olvide digitar la variable "&amp;AP$17&amp;""&amp;". Digite CERO si no tiene",IF(C20&gt;AP20," * La variable "&amp;AP$17&amp;""&amp;" No puede ser menor al Total.",""))</f>
        <v/>
      </c>
      <c r="CE20" s="431" t="str">
        <f>IF(AND($C20&gt;0,AQ20="")," * No olvide digitar la variable "&amp;AQ$17&amp;""&amp;". Digite CERO si no tiene",IF(AQ20&gt;$C20," * La variable "&amp;AQ$17&amp;""&amp;" No puede ser mayor al Total.",""))</f>
        <v xml:space="preserve"> * La variable Por Campaña de Invierno No puede ser mayor al Total.</v>
      </c>
      <c r="CF20" s="431" t="str">
        <f>IF(AND($C20&gt;0,AR20="")," * No olvide digitar la variable "&amp;AR$17&amp;""&amp;". Digite CERO si no tiene",IF(AR20&gt;$C20," * La variable "&amp;AR$17&amp;""&amp;" No puede ser mayor al Total.",""))</f>
        <v xml:space="preserve"> * La variable Niños, Niñas, Adolescentes y Jóvenes SENAME No puede ser mayor al Total.</v>
      </c>
      <c r="CG20" s="431" t="str">
        <f>IF(AND($C20&gt;0,AS20="")," * No olvide digitar la variable "&amp;AS$17&amp;""&amp;". Digite CERO si no tiene",IF(AS20&gt;$C20," * La variable "&amp;AS$17&amp;""&amp;" No puede ser mayor al Total.",""))</f>
        <v xml:space="preserve"> * La variable Niños, Niñas, Adolescentes y Jóvenes Mejor Niñez No puede ser mayor al Total.</v>
      </c>
      <c r="CH20" s="6"/>
      <c r="CN20" s="180">
        <f t="shared" ref="CN20:CS20" si="5">IF(AND($C20&gt;0,AN20=""),1,IF(AN20&gt;$C20,1,0))</f>
        <v>1</v>
      </c>
      <c r="CO20" s="180">
        <f t="shared" si="5"/>
        <v>1</v>
      </c>
      <c r="CP20" s="180">
        <f>IF(AND($C20&gt;0,AP20=""),1,IF(C20&gt;$AP20,1,0))</f>
        <v>0</v>
      </c>
      <c r="CQ20" s="180">
        <f t="shared" si="5"/>
        <v>1</v>
      </c>
      <c r="CR20" s="180">
        <f t="shared" si="5"/>
        <v>1</v>
      </c>
      <c r="CS20" s="2948">
        <f t="shared" si="5"/>
        <v>1</v>
      </c>
      <c r="CT20"/>
    </row>
    <row r="21" spans="1:98" ht="15" customHeight="1" x14ac:dyDescent="0.25">
      <c r="A21" s="5795" t="s">
        <v>5561</v>
      </c>
      <c r="B21" s="318" t="s">
        <v>1380</v>
      </c>
      <c r="C21" s="737" t="s">
        <v>4567</v>
      </c>
      <c r="D21" s="751" t="s">
        <v>4568</v>
      </c>
      <c r="E21" s="141" t="s">
        <v>4569</v>
      </c>
      <c r="F21" s="290" t="s">
        <v>4570</v>
      </c>
      <c r="G21" s="107" t="s">
        <v>4571</v>
      </c>
      <c r="H21" s="290" t="s">
        <v>4572</v>
      </c>
      <c r="I21" s="107" t="s">
        <v>4573</v>
      </c>
      <c r="J21" s="290" t="s">
        <v>4574</v>
      </c>
      <c r="K21" s="622" t="s">
        <v>4575</v>
      </c>
      <c r="L21" s="290" t="s">
        <v>4576</v>
      </c>
      <c r="M21" s="622" t="s">
        <v>4577</v>
      </c>
      <c r="N21" s="290" t="s">
        <v>4578</v>
      </c>
      <c r="O21" s="622" t="s">
        <v>4579</v>
      </c>
      <c r="P21" s="245" t="s">
        <v>4580</v>
      </c>
      <c r="Q21" s="622" t="s">
        <v>4581</v>
      </c>
      <c r="R21" s="245" t="s">
        <v>4582</v>
      </c>
      <c r="S21" s="622" t="s">
        <v>4583</v>
      </c>
      <c r="T21" s="245" t="s">
        <v>4584</v>
      </c>
      <c r="U21" s="622" t="s">
        <v>4585</v>
      </c>
      <c r="V21" s="245" t="s">
        <v>4586</v>
      </c>
      <c r="W21" s="622" t="s">
        <v>4587</v>
      </c>
      <c r="X21" s="245" t="s">
        <v>4588</v>
      </c>
      <c r="Y21" s="622" t="s">
        <v>4589</v>
      </c>
      <c r="Z21" s="245" t="s">
        <v>4590</v>
      </c>
      <c r="AA21" s="622" t="s">
        <v>4591</v>
      </c>
      <c r="AB21" s="245" t="s">
        <v>4592</v>
      </c>
      <c r="AC21" s="622" t="s">
        <v>4593</v>
      </c>
      <c r="AD21" s="245" t="s">
        <v>4594</v>
      </c>
      <c r="AE21" s="622" t="s">
        <v>4595</v>
      </c>
      <c r="AF21" s="245" t="s">
        <v>4596</v>
      </c>
      <c r="AG21" s="622" t="s">
        <v>4597</v>
      </c>
      <c r="AH21" s="245" t="s">
        <v>4598</v>
      </c>
      <c r="AI21" s="622" t="s">
        <v>4599</v>
      </c>
      <c r="AJ21" s="245" t="s">
        <v>4600</v>
      </c>
      <c r="AK21" s="622" t="s">
        <v>4601</v>
      </c>
      <c r="AL21" s="245" t="s">
        <v>4602</v>
      </c>
      <c r="AM21" s="430" t="s">
        <v>4603</v>
      </c>
      <c r="AN21" s="22" t="s">
        <v>4604</v>
      </c>
      <c r="AO21" s="531" t="s">
        <v>4605</v>
      </c>
      <c r="AP21" s="531" t="s">
        <v>4606</v>
      </c>
      <c r="AQ21" s="531" t="s">
        <v>4934</v>
      </c>
      <c r="AR21" s="1939" t="s">
        <v>4935</v>
      </c>
      <c r="AS21" s="329" t="s">
        <v>4936</v>
      </c>
      <c r="AT21" s="3228" t="str">
        <f t="shared" ref="AT21:AT26" si="6">$CB21&amp;$CC21&amp;$CD21&amp;$CE21&amp;$CF21&amp;$CG21</f>
        <v xml:space="preserve"> * La variable COL38 No puede ser mayor al Total. * La variable Atenciones por profesionales  a Honorarios No puede ser mayor al Total. * La variable Por Campaña de Invierno No puede ser mayor al Total. * La variable Niños, Niñas, Adolescentes y Jóvenes SENAME No puede ser mayor al Total. * La variable Niños, Niñas, Adolescentes y Jóvenes Mejor Niñez No puede ser mayor al Total.</v>
      </c>
      <c r="AU21" s="3229"/>
      <c r="AV21" s="3229"/>
      <c r="AW21" s="3229"/>
      <c r="AX21" s="3229"/>
      <c r="AY21" s="3229"/>
      <c r="AZ21" s="3229"/>
      <c r="BA21" s="1839"/>
      <c r="BB21" s="1839"/>
      <c r="BC21" s="1839"/>
      <c r="BD21" s="1839"/>
      <c r="BE21" s="1839"/>
      <c r="BF21" s="1839"/>
      <c r="BG21" s="1839"/>
      <c r="BH21" s="1839"/>
      <c r="BI21" s="1839"/>
      <c r="BJ21" s="1839"/>
      <c r="CB21" s="431" t="str">
        <f>IF(AND($C21&gt;0,AN21="")," * No olvide digitar la variable "&amp;AN$17&amp;""&amp;". Digite CERO si no tiene",IF(AN21&gt;$C21," * La variable "&amp;AN$20&amp;""&amp;" No puede ser mayor al Total.",""))</f>
        <v xml:space="preserve"> * La variable COL38 No puede ser mayor al Total.</v>
      </c>
      <c r="CC21" s="431" t="str">
        <f>IF(AND($C21&gt;0,AO21="")," * No olvide digitar la variable "&amp;AO$17&amp;""&amp;". Digite CERO si no tiene",IF(AO21&gt;$C21," * La variable "&amp;AO$17&amp;""&amp;" No puede ser mayor al Total.",""))</f>
        <v xml:space="preserve"> * La variable Atenciones por profesionales  a Honorarios No puede ser mayor al Total.</v>
      </c>
      <c r="CD21" s="431" t="str">
        <f t="shared" ref="CD21:CD23" si="7">IF(AND($C21&gt;0,AP21="")," * No olvide digitar la variable "&amp;AP$17&amp;""&amp;". Digite CERO si no tiene",IF(C21&gt;AP21," * La variable "&amp;AP$17&amp;""&amp;" No puede ser menor al Total.",""))</f>
        <v/>
      </c>
      <c r="CE21" s="431" t="str">
        <f>IF(AND($C21&gt;0,AQ21="")," * No olvide digitar la variable "&amp;AQ$17&amp;""&amp;". Digite CERO si no tiene",IF(AQ21&gt;$C21," * La variable "&amp;AQ$17&amp;""&amp;" No puede ser mayor al Total.",""))</f>
        <v xml:space="preserve"> * La variable Por Campaña de Invierno No puede ser mayor al Total.</v>
      </c>
      <c r="CF21" s="431" t="str">
        <f t="shared" ref="CF21:CF23" si="8">IF(AND($C21&gt;0,AR21="")," * No olvide digitar la variable "&amp;AR$17&amp;""&amp;". Digite CERO si no tiene",IF(AR21&gt;$C21," * La variable "&amp;AR$17&amp;""&amp;" No puede ser mayor al Total.",""))</f>
        <v xml:space="preserve"> * La variable Niños, Niñas, Adolescentes y Jóvenes SENAME No puede ser mayor al Total.</v>
      </c>
      <c r="CG21" s="431" t="str">
        <f t="shared" ref="CG21:CG23" si="9">IF(AND($C21&gt;0,AS21="")," * No olvide digitar la variable "&amp;AS$17&amp;""&amp;". Digite CERO si no tiene",IF(AS21&gt;$C21," * La variable "&amp;AS$17&amp;""&amp;" No puede ser mayor al Total.",""))</f>
        <v xml:space="preserve"> * La variable Niños, Niñas, Adolescentes y Jóvenes Mejor Niñez No puede ser mayor al Total.</v>
      </c>
      <c r="CN21" s="180">
        <f t="shared" ref="CN21:CN25" si="10">IF(AND($C21&gt;0,AN21=""),1,IF(AN21&gt;$C21,1,0))</f>
        <v>1</v>
      </c>
      <c r="CO21" s="180">
        <f t="shared" ref="CO21:CO25" si="11">IF(AND($C21&gt;0,AO21=""),1,IF(AO21&gt;$C21,1,0))</f>
        <v>1</v>
      </c>
      <c r="CP21" s="180">
        <f t="shared" ref="CP21:CP23" si="12">IF(AND($C21&gt;0,AP21=""),1,IF(C21&gt;$AP21,1,0))</f>
        <v>0</v>
      </c>
      <c r="CQ21" s="180">
        <f t="shared" ref="CQ21:CQ23" si="13">IF(AND($C21&gt;0,AQ21=""),1,IF(AQ21&gt;$C21,1,0))</f>
        <v>1</v>
      </c>
      <c r="CR21" s="180">
        <f t="shared" ref="CR21:CR25" si="14">IF(AND($C21&gt;0,AR21=""),1,IF(AR21&gt;$C21,1,0))</f>
        <v>1</v>
      </c>
      <c r="CS21" s="2948">
        <f t="shared" ref="CS21:CS25" si="15">IF(AND($C21&gt;0,AS21=""),1,IF(AS21&gt;$C21,1,0))</f>
        <v>1</v>
      </c>
    </row>
    <row r="22" spans="1:98" ht="15" customHeight="1" x14ac:dyDescent="0.25">
      <c r="A22" s="5795" t="s">
        <v>5562</v>
      </c>
      <c r="B22" s="360" t="s">
        <v>1381</v>
      </c>
      <c r="C22" s="737" t="s">
        <v>4567</v>
      </c>
      <c r="D22" s="751" t="s">
        <v>4568</v>
      </c>
      <c r="E22" s="344" t="s">
        <v>4569</v>
      </c>
      <c r="F22" s="345" t="s">
        <v>4570</v>
      </c>
      <c r="G22" s="346" t="s">
        <v>4571</v>
      </c>
      <c r="H22" s="345" t="s">
        <v>4572</v>
      </c>
      <c r="I22" s="346" t="s">
        <v>4573</v>
      </c>
      <c r="J22" s="345" t="s">
        <v>4574</v>
      </c>
      <c r="K22" s="349" t="s">
        <v>4575</v>
      </c>
      <c r="L22" s="345" t="s">
        <v>4576</v>
      </c>
      <c r="M22" s="349" t="s">
        <v>4577</v>
      </c>
      <c r="N22" s="345" t="s">
        <v>4578</v>
      </c>
      <c r="O22" s="349" t="s">
        <v>4579</v>
      </c>
      <c r="P22" s="350" t="s">
        <v>4580</v>
      </c>
      <c r="Q22" s="349" t="s">
        <v>4581</v>
      </c>
      <c r="R22" s="350" t="s">
        <v>4582</v>
      </c>
      <c r="S22" s="349" t="s">
        <v>4583</v>
      </c>
      <c r="T22" s="350" t="s">
        <v>4584</v>
      </c>
      <c r="U22" s="349" t="s">
        <v>4585</v>
      </c>
      <c r="V22" s="350" t="s">
        <v>4586</v>
      </c>
      <c r="W22" s="349" t="s">
        <v>4587</v>
      </c>
      <c r="X22" s="350" t="s">
        <v>4588</v>
      </c>
      <c r="Y22" s="349" t="s">
        <v>4589</v>
      </c>
      <c r="Z22" s="350" t="s">
        <v>4590</v>
      </c>
      <c r="AA22" s="349" t="s">
        <v>4591</v>
      </c>
      <c r="AB22" s="350" t="s">
        <v>4592</v>
      </c>
      <c r="AC22" s="349" t="s">
        <v>4593</v>
      </c>
      <c r="AD22" s="350" t="s">
        <v>4594</v>
      </c>
      <c r="AE22" s="349" t="s">
        <v>4595</v>
      </c>
      <c r="AF22" s="350" t="s">
        <v>4596</v>
      </c>
      <c r="AG22" s="349" t="s">
        <v>4597</v>
      </c>
      <c r="AH22" s="350" t="s">
        <v>4598</v>
      </c>
      <c r="AI22" s="349" t="s">
        <v>4599</v>
      </c>
      <c r="AJ22" s="350" t="s">
        <v>4600</v>
      </c>
      <c r="AK22" s="349" t="s">
        <v>4601</v>
      </c>
      <c r="AL22" s="350" t="s">
        <v>4602</v>
      </c>
      <c r="AM22" s="351" t="s">
        <v>4603</v>
      </c>
      <c r="AN22" s="347" t="s">
        <v>4604</v>
      </c>
      <c r="AO22" s="368" t="s">
        <v>4605</v>
      </c>
      <c r="AP22" s="368" t="s">
        <v>4606</v>
      </c>
      <c r="AQ22" s="521" t="s">
        <v>4934</v>
      </c>
      <c r="AR22" s="1939" t="s">
        <v>4935</v>
      </c>
      <c r="AS22" s="329" t="s">
        <v>4936</v>
      </c>
      <c r="AT22" s="3228" t="str">
        <f t="shared" si="6"/>
        <v xml:space="preserve"> * La variable COL38 No puede ser mayor al Total. * La variable Atenciones por profesionales  a Honorarios No puede ser mayor al Total. * La variable Niños, Niñas, Adolescentes y Jóvenes SENAME No puede ser mayor al Total. * La variable Niños, Niñas, Adolescentes y Jóvenes Mejor Niñez No puede ser mayor al Total.</v>
      </c>
      <c r="AU22" s="3229"/>
      <c r="AV22" s="3229"/>
      <c r="AW22" s="3229"/>
      <c r="AX22" s="3229"/>
      <c r="AY22" s="3229"/>
      <c r="AZ22" s="3229"/>
      <c r="BA22" s="1839"/>
      <c r="BB22" s="1839"/>
      <c r="BC22" s="1839"/>
      <c r="BD22" s="1839"/>
      <c r="BE22" s="1839"/>
      <c r="BF22" s="1839"/>
      <c r="BG22" s="1839"/>
      <c r="BH22" s="1839"/>
      <c r="BI22" s="1839"/>
      <c r="BJ22" s="1839"/>
      <c r="CB22" s="431" t="str">
        <f t="shared" ref="CB22:CB23" si="16">IF(AND($C22&gt;0,AN22="")," * No olvide digitar la variable "&amp;AN$17&amp;""&amp;". Digite CERO si no tiene",IF(AN22&gt;$C22," * La variable "&amp;AN$20&amp;""&amp;" No puede ser mayor al Total.",""))</f>
        <v xml:space="preserve"> * La variable COL38 No puede ser mayor al Total.</v>
      </c>
      <c r="CC22" s="431" t="str">
        <f t="shared" ref="CC22:CC23" si="17">IF(AND($C22&gt;0,AO22="")," * No olvide digitar la variable "&amp;AO$17&amp;""&amp;". Digite CERO si no tiene",IF(AO22&gt;$C22," * La variable "&amp;AO$17&amp;""&amp;" No puede ser mayor al Total.",""))</f>
        <v xml:space="preserve"> * La variable Atenciones por profesionales  a Honorarios No puede ser mayor al Total.</v>
      </c>
      <c r="CD22" s="431" t="str">
        <f t="shared" si="7"/>
        <v/>
      </c>
      <c r="CE22" s="432"/>
      <c r="CF22" s="431" t="str">
        <f t="shared" si="8"/>
        <v xml:space="preserve"> * La variable Niños, Niñas, Adolescentes y Jóvenes SENAME No puede ser mayor al Total.</v>
      </c>
      <c r="CG22" s="431" t="str">
        <f t="shared" si="9"/>
        <v xml:space="preserve"> * La variable Niños, Niñas, Adolescentes y Jóvenes Mejor Niñez No puede ser mayor al Total.</v>
      </c>
      <c r="CN22" s="180">
        <f t="shared" si="10"/>
        <v>1</v>
      </c>
      <c r="CO22" s="180">
        <f t="shared" si="11"/>
        <v>1</v>
      </c>
      <c r="CP22" s="180">
        <f t="shared" si="12"/>
        <v>0</v>
      </c>
      <c r="CQ22" s="432"/>
      <c r="CR22" s="180">
        <f t="shared" si="14"/>
        <v>1</v>
      </c>
      <c r="CS22" s="2948">
        <f t="shared" si="15"/>
        <v>1</v>
      </c>
    </row>
    <row r="23" spans="1:98" ht="15" customHeight="1" thickBot="1" x14ac:dyDescent="0.3">
      <c r="A23" s="5795" t="s">
        <v>5563</v>
      </c>
      <c r="B23" s="3236" t="s">
        <v>1382</v>
      </c>
      <c r="C23" s="740" t="s">
        <v>4567</v>
      </c>
      <c r="D23" s="752" t="s">
        <v>4568</v>
      </c>
      <c r="E23" s="10" t="s">
        <v>4569</v>
      </c>
      <c r="F23" s="192" t="s">
        <v>4570</v>
      </c>
      <c r="G23" s="2" t="s">
        <v>4571</v>
      </c>
      <c r="H23" s="192" t="s">
        <v>4572</v>
      </c>
      <c r="I23" s="2" t="s">
        <v>4573</v>
      </c>
      <c r="J23" s="192" t="s">
        <v>4574</v>
      </c>
      <c r="K23" s="382" t="s">
        <v>4575</v>
      </c>
      <c r="L23" s="481" t="s">
        <v>4576</v>
      </c>
      <c r="M23" s="2" t="s">
        <v>4577</v>
      </c>
      <c r="N23" s="192" t="s">
        <v>4578</v>
      </c>
      <c r="O23" s="2" t="s">
        <v>4579</v>
      </c>
      <c r="P23" s="192" t="s">
        <v>4580</v>
      </c>
      <c r="Q23" s="2" t="s">
        <v>4581</v>
      </c>
      <c r="R23" s="192" t="s">
        <v>4582</v>
      </c>
      <c r="S23" s="2" t="s">
        <v>4583</v>
      </c>
      <c r="T23" s="192" t="s">
        <v>4584</v>
      </c>
      <c r="U23" s="2" t="s">
        <v>4585</v>
      </c>
      <c r="V23" s="192" t="s">
        <v>4586</v>
      </c>
      <c r="W23" s="2" t="s">
        <v>4587</v>
      </c>
      <c r="X23" s="192" t="s">
        <v>4588</v>
      </c>
      <c r="Y23" s="2" t="s">
        <v>4589</v>
      </c>
      <c r="Z23" s="192" t="s">
        <v>4590</v>
      </c>
      <c r="AA23" s="2" t="s">
        <v>4591</v>
      </c>
      <c r="AB23" s="192" t="s">
        <v>4592</v>
      </c>
      <c r="AC23" s="2" t="s">
        <v>4593</v>
      </c>
      <c r="AD23" s="192" t="s">
        <v>4594</v>
      </c>
      <c r="AE23" s="2" t="s">
        <v>4595</v>
      </c>
      <c r="AF23" s="192" t="s">
        <v>4596</v>
      </c>
      <c r="AG23" s="2" t="s">
        <v>4597</v>
      </c>
      <c r="AH23" s="192" t="s">
        <v>4598</v>
      </c>
      <c r="AI23" s="2" t="s">
        <v>4599</v>
      </c>
      <c r="AJ23" s="192" t="s">
        <v>4600</v>
      </c>
      <c r="AK23" s="2" t="s">
        <v>4601</v>
      </c>
      <c r="AL23" s="192" t="s">
        <v>4602</v>
      </c>
      <c r="AM23" s="375" t="s">
        <v>4603</v>
      </c>
      <c r="AN23" s="481" t="s">
        <v>4604</v>
      </c>
      <c r="AO23" s="580" t="s">
        <v>4605</v>
      </c>
      <c r="AP23" s="580" t="s">
        <v>4606</v>
      </c>
      <c r="AQ23" s="580" t="s">
        <v>4934</v>
      </c>
      <c r="AR23" s="1880" t="s">
        <v>4935</v>
      </c>
      <c r="AS23" s="875" t="s">
        <v>4936</v>
      </c>
      <c r="AT23" s="3228" t="str">
        <f t="shared" si="6"/>
        <v xml:space="preserve"> * La variable COL38 No puede ser mayor al Total. * La variable Atenciones por profesionales  a Honorarios No puede ser mayor al Total. * La variable Por Campaña de Invierno No puede ser mayor al Total. * La variable Niños, Niñas, Adolescentes y Jóvenes SENAME No puede ser mayor al Total. * La variable Niños, Niñas, Adolescentes y Jóvenes Mejor Niñez No puede ser mayor al Total.</v>
      </c>
      <c r="AU23" s="3229"/>
      <c r="AV23" s="3229"/>
      <c r="AW23" s="3229"/>
      <c r="AX23" s="3229"/>
      <c r="AY23" s="3229"/>
      <c r="AZ23" s="3229"/>
      <c r="BA23" s="1839"/>
      <c r="BB23" s="1839"/>
      <c r="BC23" s="1839"/>
      <c r="BD23" s="1839"/>
      <c r="BE23" s="1839"/>
      <c r="BF23" s="1839"/>
      <c r="BG23" s="1839"/>
      <c r="BH23" s="1839"/>
      <c r="BI23" s="1839"/>
      <c r="BJ23" s="1839"/>
      <c r="CB23" s="431" t="str">
        <f t="shared" si="16"/>
        <v xml:space="preserve"> * La variable COL38 No puede ser mayor al Total.</v>
      </c>
      <c r="CC23" s="431" t="str">
        <f t="shared" si="17"/>
        <v xml:space="preserve"> * La variable Atenciones por profesionales  a Honorarios No puede ser mayor al Total.</v>
      </c>
      <c r="CD23" s="431" t="str">
        <f t="shared" si="7"/>
        <v/>
      </c>
      <c r="CE23" s="431" t="str">
        <f>IF(AND($C23&gt;0,AQ23="")," * No olvide digitar la variable "&amp;AQ$17&amp;""&amp;". Digite CERO si no tiene",IF(AQ23&gt;$C23," * La variable "&amp;AQ$17&amp;""&amp;" No puede ser mayor al Total.",""))</f>
        <v xml:space="preserve"> * La variable Por Campaña de Invierno No puede ser mayor al Total.</v>
      </c>
      <c r="CF23" s="431" t="str">
        <f t="shared" si="8"/>
        <v xml:space="preserve"> * La variable Niños, Niñas, Adolescentes y Jóvenes SENAME No puede ser mayor al Total.</v>
      </c>
      <c r="CG23" s="431" t="str">
        <f t="shared" si="9"/>
        <v xml:space="preserve"> * La variable Niños, Niñas, Adolescentes y Jóvenes Mejor Niñez No puede ser mayor al Total.</v>
      </c>
      <c r="CN23" s="180">
        <f t="shared" si="10"/>
        <v>1</v>
      </c>
      <c r="CO23" s="180">
        <f t="shared" si="11"/>
        <v>1</v>
      </c>
      <c r="CP23" s="180">
        <f t="shared" si="12"/>
        <v>0</v>
      </c>
      <c r="CQ23" s="180">
        <f t="shared" si="13"/>
        <v>1</v>
      </c>
      <c r="CR23" s="180">
        <f t="shared" si="14"/>
        <v>1</v>
      </c>
      <c r="CS23" s="2948">
        <f t="shared" si="15"/>
        <v>1</v>
      </c>
    </row>
    <row r="24" spans="1:98" ht="15" customHeight="1" thickTop="1" x14ac:dyDescent="0.25">
      <c r="A24" s="5795" t="s">
        <v>5564</v>
      </c>
      <c r="B24" s="318" t="s">
        <v>1383</v>
      </c>
      <c r="C24" s="3237" t="s">
        <v>4567</v>
      </c>
      <c r="D24" s="3238" t="s">
        <v>4568</v>
      </c>
      <c r="E24" s="3239" t="s">
        <v>4569</v>
      </c>
      <c r="F24" s="3240" t="s">
        <v>4570</v>
      </c>
      <c r="G24" s="3241" t="s">
        <v>4571</v>
      </c>
      <c r="H24" s="3240" t="s">
        <v>4572</v>
      </c>
      <c r="I24" s="3241" t="s">
        <v>4573</v>
      </c>
      <c r="J24" s="3240" t="s">
        <v>4574</v>
      </c>
      <c r="K24" s="3242" t="s">
        <v>4575</v>
      </c>
      <c r="L24" s="3243" t="s">
        <v>4576</v>
      </c>
      <c r="M24" s="3241" t="s">
        <v>4577</v>
      </c>
      <c r="N24" s="3240" t="s">
        <v>4578</v>
      </c>
      <c r="O24" s="3241" t="s">
        <v>4579</v>
      </c>
      <c r="P24" s="3240" t="s">
        <v>4580</v>
      </c>
      <c r="Q24" s="3241" t="s">
        <v>4581</v>
      </c>
      <c r="R24" s="3240" t="s">
        <v>4582</v>
      </c>
      <c r="S24" s="3241" t="s">
        <v>4583</v>
      </c>
      <c r="T24" s="3240" t="s">
        <v>4584</v>
      </c>
      <c r="U24" s="3241" t="s">
        <v>4585</v>
      </c>
      <c r="V24" s="3240" t="s">
        <v>4586</v>
      </c>
      <c r="W24" s="3241" t="s">
        <v>4587</v>
      </c>
      <c r="X24" s="3240" t="s">
        <v>4588</v>
      </c>
      <c r="Y24" s="3241" t="s">
        <v>4589</v>
      </c>
      <c r="Z24" s="3240" t="s">
        <v>4590</v>
      </c>
      <c r="AA24" s="3241" t="s">
        <v>4591</v>
      </c>
      <c r="AB24" s="3240" t="s">
        <v>4592</v>
      </c>
      <c r="AC24" s="3241" t="s">
        <v>4593</v>
      </c>
      <c r="AD24" s="3240" t="s">
        <v>4594</v>
      </c>
      <c r="AE24" s="3241" t="s">
        <v>4595</v>
      </c>
      <c r="AF24" s="3240" t="s">
        <v>4596</v>
      </c>
      <c r="AG24" s="3241" t="s">
        <v>4597</v>
      </c>
      <c r="AH24" s="3240" t="s">
        <v>4598</v>
      </c>
      <c r="AI24" s="3241" t="s">
        <v>4599</v>
      </c>
      <c r="AJ24" s="3240" t="s">
        <v>4600</v>
      </c>
      <c r="AK24" s="3241" t="s">
        <v>4601</v>
      </c>
      <c r="AL24" s="3240" t="s">
        <v>4602</v>
      </c>
      <c r="AM24" s="3244" t="s">
        <v>4603</v>
      </c>
      <c r="AN24" s="3243" t="s">
        <v>4604</v>
      </c>
      <c r="AO24" s="3245" t="s">
        <v>4605</v>
      </c>
      <c r="AP24" s="3246" t="s">
        <v>4606</v>
      </c>
      <c r="AQ24" s="3247" t="s">
        <v>4934</v>
      </c>
      <c r="AR24" s="3245" t="s">
        <v>4935</v>
      </c>
      <c r="AS24" s="3241" t="s">
        <v>4936</v>
      </c>
      <c r="AT24" s="3228" t="str">
        <f t="shared" si="6"/>
        <v xml:space="preserve"> * La variable Beneficiarios No puede ser mayor al Total. * La variable Atenciones por profesionales  a Honorarios No puede ser mayor al Total. * La variable Niños, Niñas, Adolescentes y Jóvenes SENAME Otros Establecimientos de la Red No puede ser mayor al Total. * La variable Niños, Niñas, Adolescentes y Jóvenes Mejor Niñez No puede ser mayor al Total.</v>
      </c>
      <c r="AU24" s="3229"/>
      <c r="AV24" s="3229"/>
      <c r="AW24" s="3229"/>
      <c r="AX24" s="3229"/>
      <c r="AY24" s="3229"/>
      <c r="AZ24" s="3229"/>
      <c r="BA24" s="1839"/>
      <c r="BB24" s="1839"/>
      <c r="BC24" s="1839"/>
      <c r="BD24" s="1839"/>
      <c r="BE24" s="1839"/>
      <c r="BF24" s="1839"/>
      <c r="BG24" s="1839"/>
      <c r="BH24" s="1839"/>
      <c r="BI24" s="1839"/>
      <c r="BJ24" s="1839"/>
      <c r="CB24" s="431" t="str">
        <f>IF(AND($C24&gt;0,AN24="")," * No olvide digitar la variable "&amp;AN$17&amp;""&amp;". Digite CERO si no tiene",IF(AN24&gt;$C24," * La variable "&amp;AN$17&amp;""&amp;" No puede ser mayor al Total.",""))</f>
        <v xml:space="preserve"> * La variable Beneficiarios No puede ser mayor al Total.</v>
      </c>
      <c r="CC24" s="431" t="str">
        <f>IF(AND($C24&gt;0,AO24="")," * No olvide digitar la variable "&amp;AO$17&amp;""&amp;". Digite CERO si no tiene",IF(AO24&gt;$C24," * La variable "&amp;AO$17&amp;""&amp;" No puede ser mayor al Total.",""))</f>
        <v xml:space="preserve"> * La variable Atenciones por profesionales  a Honorarios No puede ser mayor al Total.</v>
      </c>
      <c r="CD24" s="432"/>
      <c r="CE24" s="432"/>
      <c r="CF24" s="431" t="str">
        <f>IF(AND($C24&gt;0,AR24="")," * No olvide digitar la variable "&amp;AR$17&amp;""&amp;" Otros Establecimientos de la Red. Digite CERO si no tiene",IF(AR24&gt;$C24," * La variable "&amp;AR$17&amp;""&amp;" Otros Establecimientos de la Red No puede ser mayor al Total.",""))</f>
        <v xml:space="preserve"> * La variable Niños, Niñas, Adolescentes y Jóvenes SENAME Otros Establecimientos de la Red No puede ser mayor al Total.</v>
      </c>
      <c r="CG24" s="431" t="str">
        <f>IF(AND($C24&gt;0,AS24="")," * No olvide digitar la variable "&amp;AS$17&amp;""&amp;". Digite CERO si no tiene",IF(AS24&gt;$C24," * La variable "&amp;AS$17&amp;""&amp;" No puede ser mayor al Total.",""))</f>
        <v xml:space="preserve"> * La variable Niños, Niñas, Adolescentes y Jóvenes Mejor Niñez No puede ser mayor al Total.</v>
      </c>
      <c r="CN24" s="180">
        <f t="shared" si="10"/>
        <v>1</v>
      </c>
      <c r="CO24" s="180">
        <f t="shared" si="11"/>
        <v>1</v>
      </c>
      <c r="CP24" s="432"/>
      <c r="CQ24" s="432"/>
      <c r="CR24" s="180">
        <f t="shared" si="14"/>
        <v>1</v>
      </c>
      <c r="CS24" s="2948">
        <f t="shared" si="15"/>
        <v>1</v>
      </c>
    </row>
    <row r="25" spans="1:98" ht="15" customHeight="1" x14ac:dyDescent="0.25">
      <c r="A25" s="5795" t="s">
        <v>5565</v>
      </c>
      <c r="B25" s="360" t="s">
        <v>1384</v>
      </c>
      <c r="C25" s="737" t="s">
        <v>4567</v>
      </c>
      <c r="D25" s="751" t="s">
        <v>4568</v>
      </c>
      <c r="E25" s="344" t="s">
        <v>4569</v>
      </c>
      <c r="F25" s="345" t="s">
        <v>4570</v>
      </c>
      <c r="G25" s="346" t="s">
        <v>4571</v>
      </c>
      <c r="H25" s="345" t="s">
        <v>4572</v>
      </c>
      <c r="I25" s="346" t="s">
        <v>4573</v>
      </c>
      <c r="J25" s="345" t="s">
        <v>4574</v>
      </c>
      <c r="K25" s="349" t="s">
        <v>4575</v>
      </c>
      <c r="L25" s="347" t="s">
        <v>4576</v>
      </c>
      <c r="M25" s="346" t="s">
        <v>4577</v>
      </c>
      <c r="N25" s="345" t="s">
        <v>4578</v>
      </c>
      <c r="O25" s="346" t="s">
        <v>4579</v>
      </c>
      <c r="P25" s="345" t="s">
        <v>4580</v>
      </c>
      <c r="Q25" s="346" t="s">
        <v>4581</v>
      </c>
      <c r="R25" s="345" t="s">
        <v>4582</v>
      </c>
      <c r="S25" s="346" t="s">
        <v>4583</v>
      </c>
      <c r="T25" s="345" t="s">
        <v>4584</v>
      </c>
      <c r="U25" s="346" t="s">
        <v>4585</v>
      </c>
      <c r="V25" s="345" t="s">
        <v>4586</v>
      </c>
      <c r="W25" s="346" t="s">
        <v>4587</v>
      </c>
      <c r="X25" s="345" t="s">
        <v>4588</v>
      </c>
      <c r="Y25" s="346" t="s">
        <v>4589</v>
      </c>
      <c r="Z25" s="345" t="s">
        <v>4590</v>
      </c>
      <c r="AA25" s="346" t="s">
        <v>4591</v>
      </c>
      <c r="AB25" s="345" t="s">
        <v>4592</v>
      </c>
      <c r="AC25" s="346" t="s">
        <v>4593</v>
      </c>
      <c r="AD25" s="345" t="s">
        <v>4594</v>
      </c>
      <c r="AE25" s="346" t="s">
        <v>4595</v>
      </c>
      <c r="AF25" s="345" t="s">
        <v>4596</v>
      </c>
      <c r="AG25" s="346" t="s">
        <v>4597</v>
      </c>
      <c r="AH25" s="345" t="s">
        <v>4598</v>
      </c>
      <c r="AI25" s="346" t="s">
        <v>4599</v>
      </c>
      <c r="AJ25" s="345" t="s">
        <v>4600</v>
      </c>
      <c r="AK25" s="346" t="s">
        <v>4601</v>
      </c>
      <c r="AL25" s="345" t="s">
        <v>4602</v>
      </c>
      <c r="AM25" s="480" t="s">
        <v>4603</v>
      </c>
      <c r="AN25" s="347" t="s">
        <v>4604</v>
      </c>
      <c r="AO25" s="368" t="s">
        <v>4605</v>
      </c>
      <c r="AP25" s="521" t="s">
        <v>4606</v>
      </c>
      <c r="AQ25" s="521" t="s">
        <v>4934</v>
      </c>
      <c r="AR25" s="1939" t="s">
        <v>4935</v>
      </c>
      <c r="AS25" s="329" t="s">
        <v>4936</v>
      </c>
      <c r="AT25" s="3228" t="str">
        <f t="shared" si="6"/>
        <v xml:space="preserve"> * La variable Beneficiarios No puede ser mayor al Total. * La variable Atenciones por profesionales  a Honorarios No puede ser mayor al Total. * La variable Niños, Niñas, Adolescentes y Jóvenes SENAME Otros Establecimientos de la Red No puede ser mayor al Total. * La variable Niños, Niñas, Adolescentes y Jóvenes Mejor Niñez No puede ser mayor al Total.</v>
      </c>
      <c r="AU25" s="3229"/>
      <c r="AV25" s="3229"/>
      <c r="AW25" s="3229"/>
      <c r="AX25" s="3229"/>
      <c r="AY25" s="3229"/>
      <c r="AZ25" s="3229"/>
      <c r="BA25" s="1839"/>
      <c r="BB25" s="1839"/>
      <c r="BC25" s="1839"/>
      <c r="BD25" s="1839"/>
      <c r="BE25" s="1839"/>
      <c r="BF25" s="1839"/>
      <c r="BG25" s="1839"/>
      <c r="BH25" s="1839"/>
      <c r="BI25" s="1839"/>
      <c r="BJ25" s="1839"/>
      <c r="CB25" s="431" t="str">
        <f t="shared" ref="CB25" si="18">IF(AND($C25&gt;0,AN25="")," * No olvide digitar la variable "&amp;AN$17&amp;""&amp;". Digite CERO si no tiene",IF(AN25&gt;$C25," * La variable "&amp;AN$17&amp;""&amp;" No puede ser mayor al Total.",""))</f>
        <v xml:space="preserve"> * La variable Beneficiarios No puede ser mayor al Total.</v>
      </c>
      <c r="CC25" s="431" t="str">
        <f>IF(AND($C25&gt;0,AO25="")," * No olvide digitar la variable "&amp;AO$17&amp;""&amp;". Digite CERO si no tiene",IF(AO25&gt;$C25," * La variable "&amp;AO$17&amp;""&amp;" No puede ser mayor al Total.",""))</f>
        <v xml:space="preserve"> * La variable Atenciones por profesionales  a Honorarios No puede ser mayor al Total.</v>
      </c>
      <c r="CD25" s="432"/>
      <c r="CE25" s="432"/>
      <c r="CF25" s="431" t="str">
        <f t="shared" ref="CF25" si="19">IF(AND($C25&gt;0,AR25="")," * No olvide digitar la variable "&amp;AR$17&amp;""&amp;" Otros Establecimientos de la Red. Digite CERO si no tiene",IF(AR25&gt;$C25," * La variable "&amp;AR$17&amp;""&amp;" Otros Establecimientos de la Red No puede ser mayor al Total.",""))</f>
        <v xml:space="preserve"> * La variable Niños, Niñas, Adolescentes y Jóvenes SENAME Otros Establecimientos de la Red No puede ser mayor al Total.</v>
      </c>
      <c r="CG25" s="431" t="str">
        <f t="shared" ref="CG25:CG26" si="20">IF(AND($C25&gt;0,AS25="")," * No olvide digitar la variable "&amp;AS$17&amp;""&amp;". Digite CERO si no tiene",IF(AS25&gt;$C25," * La variable "&amp;AS$17&amp;""&amp;" No puede ser mayor al Total.",""))</f>
        <v xml:space="preserve"> * La variable Niños, Niñas, Adolescentes y Jóvenes Mejor Niñez No puede ser mayor al Total.</v>
      </c>
      <c r="CN25" s="180">
        <f t="shared" si="10"/>
        <v>1</v>
      </c>
      <c r="CO25" s="180">
        <f t="shared" si="11"/>
        <v>1</v>
      </c>
      <c r="CP25" s="432"/>
      <c r="CQ25" s="432"/>
      <c r="CR25" s="180">
        <f t="shared" si="14"/>
        <v>1</v>
      </c>
      <c r="CS25" s="2948">
        <f t="shared" si="15"/>
        <v>1</v>
      </c>
    </row>
    <row r="26" spans="1:98" ht="15" customHeight="1" x14ac:dyDescent="0.25">
      <c r="A26" s="5798" t="s">
        <v>5566</v>
      </c>
      <c r="B26" s="3248" t="s">
        <v>1385</v>
      </c>
      <c r="C26" s="316" t="s">
        <v>4567</v>
      </c>
      <c r="D26" s="2199" t="s">
        <v>4568</v>
      </c>
      <c r="E26" s="873" t="s">
        <v>4569</v>
      </c>
      <c r="F26" s="1264" t="s">
        <v>4570</v>
      </c>
      <c r="G26" s="3218" t="s">
        <v>4571</v>
      </c>
      <c r="H26" s="1264" t="s">
        <v>4572</v>
      </c>
      <c r="I26" s="3218" t="s">
        <v>4573</v>
      </c>
      <c r="J26" s="1264" t="s">
        <v>4574</v>
      </c>
      <c r="K26" s="310" t="s">
        <v>4575</v>
      </c>
      <c r="L26" s="3249" t="s">
        <v>4576</v>
      </c>
      <c r="M26" s="3218" t="s">
        <v>4577</v>
      </c>
      <c r="N26" s="1264" t="s">
        <v>4578</v>
      </c>
      <c r="O26" s="3218" t="s">
        <v>4579</v>
      </c>
      <c r="P26" s="1264" t="s">
        <v>4580</v>
      </c>
      <c r="Q26" s="3218" t="s">
        <v>4581</v>
      </c>
      <c r="R26" s="1264" t="s">
        <v>4582</v>
      </c>
      <c r="S26" s="3218" t="s">
        <v>4583</v>
      </c>
      <c r="T26" s="1264" t="s">
        <v>4584</v>
      </c>
      <c r="U26" s="3218" t="s">
        <v>4585</v>
      </c>
      <c r="V26" s="1264" t="s">
        <v>4586</v>
      </c>
      <c r="W26" s="3218" t="s">
        <v>4587</v>
      </c>
      <c r="X26" s="1264" t="s">
        <v>4588</v>
      </c>
      <c r="Y26" s="3218" t="s">
        <v>4589</v>
      </c>
      <c r="Z26" s="1264" t="s">
        <v>4590</v>
      </c>
      <c r="AA26" s="3218" t="s">
        <v>4591</v>
      </c>
      <c r="AB26" s="1264" t="s">
        <v>4592</v>
      </c>
      <c r="AC26" s="3218" t="s">
        <v>4593</v>
      </c>
      <c r="AD26" s="1264" t="s">
        <v>4594</v>
      </c>
      <c r="AE26" s="3218" t="s">
        <v>4595</v>
      </c>
      <c r="AF26" s="1264" t="s">
        <v>4596</v>
      </c>
      <c r="AG26" s="3218" t="s">
        <v>4597</v>
      </c>
      <c r="AH26" s="1264" t="s">
        <v>4598</v>
      </c>
      <c r="AI26" s="3218" t="s">
        <v>4599</v>
      </c>
      <c r="AJ26" s="1264" t="s">
        <v>4600</v>
      </c>
      <c r="AK26" s="3218" t="s">
        <v>4601</v>
      </c>
      <c r="AL26" s="1264" t="s">
        <v>4602</v>
      </c>
      <c r="AM26" s="1448" t="s">
        <v>4603</v>
      </c>
      <c r="AN26" s="3249" t="s">
        <v>4604</v>
      </c>
      <c r="AO26" s="262" t="s">
        <v>4605</v>
      </c>
      <c r="AP26" s="293" t="s">
        <v>4606</v>
      </c>
      <c r="AQ26" s="293" t="s">
        <v>4934</v>
      </c>
      <c r="AR26" s="1880" t="s">
        <v>4935</v>
      </c>
      <c r="AS26" s="875" t="s">
        <v>4936</v>
      </c>
      <c r="AT26" s="3228" t="str">
        <f t="shared" si="6"/>
        <v xml:space="preserve"> * La variable Beneficiarios No puede ser mayor al Total. * La variable Atenciones por profesionales  a Honorarios No puede ser mayor al Total. * La variable Niños, Niñas, Adolescentes y Jóvenes SENAME Otros Establecimientos de la Red No puede ser mayor al Total. * La variable Niños, Niñas, Adolescentes y Jóvenes Mejor Niñez No puede ser mayor al Total.</v>
      </c>
      <c r="AU26" s="3229"/>
      <c r="AV26" s="3229"/>
      <c r="AW26" s="3229"/>
      <c r="AX26" s="3229"/>
      <c r="AY26" s="3229"/>
      <c r="AZ26" s="3229"/>
      <c r="BA26" s="1839"/>
      <c r="BB26" s="1839"/>
      <c r="BC26" s="1839"/>
      <c r="BD26" s="1839"/>
      <c r="BE26" s="1839"/>
      <c r="BF26" s="1839"/>
      <c r="BG26" s="1839"/>
      <c r="BH26" s="1839"/>
      <c r="BI26" s="1839"/>
      <c r="BJ26" s="1839"/>
      <c r="CB26" s="431" t="str">
        <f>IF(AND($C26&gt;0,AN26="")," * No olvide digitar la variable "&amp;AN$17&amp;""&amp;". Digite CERO si no tiene",IF(AN26&gt;$C26," * La variable "&amp;AN$17&amp;""&amp;" No puede ser mayor al Total.",""))</f>
        <v xml:space="preserve"> * La variable Beneficiarios No puede ser mayor al Total.</v>
      </c>
      <c r="CC26" s="431" t="str">
        <f>IF(AND($C26&gt;0,AO26="")," * No olvide digitar la variable "&amp;AO$17&amp;""&amp;". Digite CERO si no tiene",IF(AO26&gt;$C26," * La variable "&amp;AO$17&amp;""&amp;" No puede ser mayor al Total.",""))</f>
        <v xml:space="preserve"> * La variable Atenciones por profesionales  a Honorarios No puede ser mayor al Total.</v>
      </c>
      <c r="CD26" s="432"/>
      <c r="CE26" s="432"/>
      <c r="CF26" s="431" t="str">
        <f>IF(AND($C26&gt;0,AR26="")," * No olvide digitar la variable "&amp;AR$17&amp;""&amp;" Otros Establecimientos de la Red. Digite CERO si no tiene",IF(AR26&gt;$C26," * La variable "&amp;AR$17&amp;""&amp;" Otros Establecimientos de la Red No puede ser mayor al Total.",""))</f>
        <v xml:space="preserve"> * La variable Niños, Niñas, Adolescentes y Jóvenes SENAME Otros Establecimientos de la Red No puede ser mayor al Total.</v>
      </c>
      <c r="CG26" s="431" t="str">
        <f t="shared" si="20"/>
        <v xml:space="preserve"> * La variable Niños, Niñas, Adolescentes y Jóvenes Mejor Niñez No puede ser mayor al Total.</v>
      </c>
      <c r="CN26" s="180">
        <f t="shared" ref="CN26" si="21">IF(AND($C26&gt;0,AN26=""),1,IF(AN26&gt;$C26,1,0))</f>
        <v>1</v>
      </c>
      <c r="CO26" s="180">
        <f t="shared" ref="CO26" si="22">IF(AND($C26&gt;0,AO26=""),1,IF(AO26&gt;$C26,1,0))</f>
        <v>1</v>
      </c>
      <c r="CP26" s="432"/>
      <c r="CQ26" s="432"/>
      <c r="CR26" s="180">
        <f t="shared" ref="CR26" si="23">IF(AND($C26&gt;0,AR26=""),1,IF(AR26&gt;$C26,1,0))</f>
        <v>1</v>
      </c>
      <c r="CS26" s="2948">
        <f t="shared" ref="CS26" si="24">IF(AND($C26&gt;0,AS26=""),1,IF(AS26&gt;$C26,1,0))</f>
        <v>1</v>
      </c>
    </row>
    <row r="27" spans="1:98" s="8" customFormat="1" ht="18" customHeight="1" x14ac:dyDescent="0.15">
      <c r="A27" s="5797"/>
      <c r="B27" s="6892" t="s">
        <v>1386</v>
      </c>
      <c r="C27" s="6892"/>
      <c r="D27" s="6892"/>
      <c r="E27" s="6892"/>
      <c r="F27" s="6892"/>
      <c r="G27" s="6892"/>
      <c r="H27" s="6892"/>
      <c r="I27" s="6892"/>
      <c r="J27" s="1"/>
      <c r="K27" s="1"/>
      <c r="L27" s="1"/>
      <c r="M27" s="1"/>
      <c r="N27" s="1"/>
      <c r="O27" s="1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861"/>
      <c r="AO27" s="5"/>
      <c r="AP27" s="60"/>
      <c r="AQ27" s="60"/>
      <c r="AR27" s="3250"/>
      <c r="AS27" s="3251"/>
      <c r="AT27" s="3251"/>
      <c r="AU27" s="3251"/>
      <c r="AV27" s="3251"/>
      <c r="AW27" s="3251"/>
      <c r="AX27" s="3251"/>
      <c r="AY27" s="3251"/>
      <c r="AZ27" s="3251"/>
      <c r="BA27" s="5"/>
      <c r="BB27" s="5"/>
      <c r="BC27" s="5"/>
      <c r="BD27" s="5"/>
      <c r="BE27" s="5"/>
      <c r="BF27" s="5"/>
      <c r="BG27" s="5"/>
      <c r="BH27" s="5"/>
      <c r="BI27" s="5"/>
      <c r="BJ27" s="5"/>
      <c r="BW27" s="5"/>
      <c r="BX27" s="5"/>
      <c r="BY27" s="3252"/>
      <c r="BZ27" s="3252"/>
    </row>
    <row r="28" spans="1:98" ht="16.350000000000001" customHeight="1" x14ac:dyDescent="0.2">
      <c r="A28" s="5797"/>
      <c r="B28" s="6575" t="s">
        <v>27</v>
      </c>
      <c r="C28" s="6212" t="s">
        <v>1363</v>
      </c>
      <c r="D28" s="6510"/>
      <c r="E28" s="6511"/>
      <c r="F28" s="6704" t="s">
        <v>1364</v>
      </c>
      <c r="G28" s="6515"/>
      <c r="H28" s="6515"/>
      <c r="I28" s="6515"/>
      <c r="J28" s="6515"/>
      <c r="K28" s="6515"/>
      <c r="L28" s="6515"/>
      <c r="M28" s="6515"/>
      <c r="N28" s="6515"/>
      <c r="O28" s="6515"/>
      <c r="P28" s="6515"/>
      <c r="Q28" s="6515"/>
      <c r="R28" s="6515"/>
      <c r="S28" s="6515"/>
      <c r="T28" s="6515"/>
      <c r="U28" s="6515"/>
      <c r="V28" s="6515"/>
      <c r="W28" s="6515"/>
      <c r="X28" s="6515"/>
      <c r="Y28" s="6515"/>
      <c r="Z28" s="6515"/>
      <c r="AA28" s="6515"/>
      <c r="AB28" s="6515"/>
      <c r="AC28" s="6515"/>
      <c r="AD28" s="6515"/>
      <c r="AE28" s="6515"/>
      <c r="AF28" s="6515"/>
      <c r="AG28" s="6515"/>
      <c r="AH28" s="6515"/>
      <c r="AI28" s="6515"/>
      <c r="AJ28" s="6515"/>
      <c r="AK28" s="6515"/>
      <c r="AL28" s="6515"/>
      <c r="AM28" s="6455"/>
      <c r="AN28" s="6492" t="s">
        <v>597</v>
      </c>
      <c r="AO28" s="6511" t="s">
        <v>1367</v>
      </c>
      <c r="AP28" s="3253"/>
      <c r="AQ28" s="3253"/>
      <c r="AR28" s="3228"/>
      <c r="AS28" s="3229"/>
      <c r="AT28" s="3229"/>
      <c r="AU28" s="3229"/>
      <c r="AV28" s="3229"/>
      <c r="AW28" s="3229"/>
      <c r="AX28" s="3229"/>
      <c r="AY28" s="3229"/>
      <c r="AZ28" s="3229"/>
      <c r="BA28" s="1839"/>
      <c r="BB28" s="1839"/>
      <c r="BC28" s="1839"/>
      <c r="BD28" s="1839"/>
      <c r="BE28" s="1839"/>
      <c r="BF28" s="1839"/>
      <c r="BG28" s="1839"/>
      <c r="BH28" s="1839"/>
      <c r="BI28" s="1839"/>
      <c r="BJ28" s="1839"/>
    </row>
    <row r="29" spans="1:98" ht="16.350000000000001" customHeight="1" x14ac:dyDescent="0.2">
      <c r="A29" s="5797"/>
      <c r="B29" s="6827"/>
      <c r="C29" s="6734"/>
      <c r="D29" s="6735"/>
      <c r="E29" s="6736"/>
      <c r="F29" s="6704" t="s">
        <v>1387</v>
      </c>
      <c r="G29" s="6451"/>
      <c r="H29" s="6704" t="s">
        <v>1388</v>
      </c>
      <c r="I29" s="6451"/>
      <c r="J29" s="6704" t="s">
        <v>1389</v>
      </c>
      <c r="K29" s="6451"/>
      <c r="L29" s="6704" t="s">
        <v>1390</v>
      </c>
      <c r="M29" s="6451"/>
      <c r="N29" s="6704" t="s">
        <v>1391</v>
      </c>
      <c r="O29" s="6451"/>
      <c r="P29" s="6705" t="s">
        <v>1392</v>
      </c>
      <c r="Q29" s="6448"/>
      <c r="R29" s="6705" t="s">
        <v>1393</v>
      </c>
      <c r="S29" s="6448"/>
      <c r="T29" s="6705" t="s">
        <v>1394</v>
      </c>
      <c r="U29" s="6448"/>
      <c r="V29" s="6705" t="s">
        <v>1395</v>
      </c>
      <c r="W29" s="6448"/>
      <c r="X29" s="6705" t="s">
        <v>1396</v>
      </c>
      <c r="Y29" s="6448"/>
      <c r="Z29" s="6705" t="s">
        <v>1397</v>
      </c>
      <c r="AA29" s="6448"/>
      <c r="AB29" s="6705" t="s">
        <v>1398</v>
      </c>
      <c r="AC29" s="6448"/>
      <c r="AD29" s="6705" t="s">
        <v>1399</v>
      </c>
      <c r="AE29" s="6448"/>
      <c r="AF29" s="6705" t="s">
        <v>1400</v>
      </c>
      <c r="AG29" s="6448"/>
      <c r="AH29" s="6705" t="s">
        <v>1401</v>
      </c>
      <c r="AI29" s="6448"/>
      <c r="AJ29" s="6705" t="s">
        <v>1402</v>
      </c>
      <c r="AK29" s="6448"/>
      <c r="AL29" s="6705" t="s">
        <v>1403</v>
      </c>
      <c r="AM29" s="6447"/>
      <c r="AN29" s="6105"/>
      <c r="AO29" s="6027"/>
      <c r="AP29" s="3253"/>
      <c r="AQ29" s="3253"/>
      <c r="AR29" s="3228"/>
      <c r="AS29" s="3229"/>
      <c r="AT29" s="3229"/>
      <c r="AU29" s="3229"/>
      <c r="AV29" s="3229"/>
      <c r="AW29" s="3229"/>
      <c r="AX29" s="3229"/>
      <c r="AY29" s="3229"/>
      <c r="AZ29" s="3229"/>
      <c r="BA29" s="1839"/>
      <c r="BB29" s="1839"/>
      <c r="BC29" s="1839"/>
      <c r="BD29" s="1839"/>
      <c r="BE29" s="1839"/>
      <c r="BF29" s="1839"/>
      <c r="BG29" s="1839"/>
      <c r="BH29" s="1839"/>
      <c r="BI29" s="1839"/>
      <c r="BJ29" s="1839"/>
    </row>
    <row r="30" spans="1:98" ht="16.350000000000001" customHeight="1" x14ac:dyDescent="0.2">
      <c r="A30" s="5797"/>
      <c r="B30" s="6750"/>
      <c r="C30" s="866" t="s">
        <v>79</v>
      </c>
      <c r="D30" s="3224" t="s">
        <v>461</v>
      </c>
      <c r="E30" s="90" t="s">
        <v>59</v>
      </c>
      <c r="F30" s="1790" t="s">
        <v>461</v>
      </c>
      <c r="G30" s="1807" t="s">
        <v>59</v>
      </c>
      <c r="H30" s="1790" t="s">
        <v>461</v>
      </c>
      <c r="I30" s="1807" t="s">
        <v>59</v>
      </c>
      <c r="J30" s="1790" t="s">
        <v>461</v>
      </c>
      <c r="K30" s="1807" t="s">
        <v>59</v>
      </c>
      <c r="L30" s="1790" t="s">
        <v>461</v>
      </c>
      <c r="M30" s="1807" t="s">
        <v>59</v>
      </c>
      <c r="N30" s="1790" t="s">
        <v>461</v>
      </c>
      <c r="O30" s="1807" t="s">
        <v>59</v>
      </c>
      <c r="P30" s="1790" t="s">
        <v>461</v>
      </c>
      <c r="Q30" s="1807" t="s">
        <v>59</v>
      </c>
      <c r="R30" s="1790" t="s">
        <v>461</v>
      </c>
      <c r="S30" s="1807" t="s">
        <v>59</v>
      </c>
      <c r="T30" s="1790" t="s">
        <v>461</v>
      </c>
      <c r="U30" s="1807" t="s">
        <v>59</v>
      </c>
      <c r="V30" s="1790" t="s">
        <v>461</v>
      </c>
      <c r="W30" s="1807" t="s">
        <v>59</v>
      </c>
      <c r="X30" s="1790" t="s">
        <v>461</v>
      </c>
      <c r="Y30" s="1807" t="s">
        <v>59</v>
      </c>
      <c r="Z30" s="1790" t="s">
        <v>461</v>
      </c>
      <c r="AA30" s="1807" t="s">
        <v>59</v>
      </c>
      <c r="AB30" s="1790" t="s">
        <v>461</v>
      </c>
      <c r="AC30" s="1807" t="s">
        <v>59</v>
      </c>
      <c r="AD30" s="1790" t="s">
        <v>461</v>
      </c>
      <c r="AE30" s="1807" t="s">
        <v>59</v>
      </c>
      <c r="AF30" s="1790" t="s">
        <v>461</v>
      </c>
      <c r="AG30" s="1807" t="s">
        <v>59</v>
      </c>
      <c r="AH30" s="1790" t="s">
        <v>461</v>
      </c>
      <c r="AI30" s="1807" t="s">
        <v>59</v>
      </c>
      <c r="AJ30" s="1790" t="s">
        <v>461</v>
      </c>
      <c r="AK30" s="1807" t="s">
        <v>59</v>
      </c>
      <c r="AL30" s="1790" t="s">
        <v>461</v>
      </c>
      <c r="AM30" s="1724" t="s">
        <v>59</v>
      </c>
      <c r="AN30" s="6894"/>
      <c r="AO30" s="6736"/>
      <c r="AP30" s="3253"/>
      <c r="AQ30" s="3253"/>
      <c r="AR30" s="3228"/>
      <c r="AS30" s="3229"/>
      <c r="AT30" s="3229"/>
      <c r="AU30" s="3229"/>
      <c r="AV30" s="3229"/>
      <c r="AW30" s="3229"/>
      <c r="AX30" s="3229"/>
      <c r="AY30" s="3229"/>
      <c r="AZ30" s="3229"/>
      <c r="BA30" s="1839"/>
      <c r="BB30" s="1839"/>
      <c r="BC30" s="1839"/>
      <c r="BD30" s="1839"/>
      <c r="BE30" s="1839"/>
      <c r="BF30" s="1839"/>
      <c r="BG30" s="1839"/>
      <c r="BH30" s="1839"/>
      <c r="BI30" s="1839"/>
      <c r="BJ30" s="1839"/>
    </row>
    <row r="31" spans="1:98" ht="15" customHeight="1" x14ac:dyDescent="0.2">
      <c r="A31" s="5795" t="s">
        <v>5567</v>
      </c>
      <c r="B31" s="3235" t="s">
        <v>959</v>
      </c>
      <c r="C31" s="3254" t="s">
        <v>4567</v>
      </c>
      <c r="D31" s="746" t="s">
        <v>4568</v>
      </c>
      <c r="E31" s="606" t="s">
        <v>4569</v>
      </c>
      <c r="F31" s="290" t="s">
        <v>4570</v>
      </c>
      <c r="G31" s="107" t="s">
        <v>4571</v>
      </c>
      <c r="H31" s="290" t="s">
        <v>4572</v>
      </c>
      <c r="I31" s="107" t="s">
        <v>4573</v>
      </c>
      <c r="J31" s="290" t="s">
        <v>4574</v>
      </c>
      <c r="K31" s="622" t="s">
        <v>4575</v>
      </c>
      <c r="L31" s="290" t="s">
        <v>4576</v>
      </c>
      <c r="M31" s="622" t="s">
        <v>4577</v>
      </c>
      <c r="N31" s="290" t="s">
        <v>4578</v>
      </c>
      <c r="O31" s="622" t="s">
        <v>4579</v>
      </c>
      <c r="P31" s="245" t="s">
        <v>4580</v>
      </c>
      <c r="Q31" s="622" t="s">
        <v>4581</v>
      </c>
      <c r="R31" s="245" t="s">
        <v>4582</v>
      </c>
      <c r="S31" s="622" t="s">
        <v>4583</v>
      </c>
      <c r="T31" s="245" t="s">
        <v>4584</v>
      </c>
      <c r="U31" s="622" t="s">
        <v>4585</v>
      </c>
      <c r="V31" s="245" t="s">
        <v>4586</v>
      </c>
      <c r="W31" s="622" t="s">
        <v>4587</v>
      </c>
      <c r="X31" s="245" t="s">
        <v>4588</v>
      </c>
      <c r="Y31" s="622" t="s">
        <v>4589</v>
      </c>
      <c r="Z31" s="245" t="s">
        <v>4590</v>
      </c>
      <c r="AA31" s="622" t="s">
        <v>4591</v>
      </c>
      <c r="AB31" s="245" t="s">
        <v>4592</v>
      </c>
      <c r="AC31" s="622" t="s">
        <v>4593</v>
      </c>
      <c r="AD31" s="245" t="s">
        <v>4594</v>
      </c>
      <c r="AE31" s="622" t="s">
        <v>4595</v>
      </c>
      <c r="AF31" s="245" t="s">
        <v>4596</v>
      </c>
      <c r="AG31" s="622" t="s">
        <v>4597</v>
      </c>
      <c r="AH31" s="245" t="s">
        <v>4598</v>
      </c>
      <c r="AI31" s="622" t="s">
        <v>4599</v>
      </c>
      <c r="AJ31" s="245" t="s">
        <v>4600</v>
      </c>
      <c r="AK31" s="622" t="s">
        <v>4601</v>
      </c>
      <c r="AL31" s="245" t="s">
        <v>4602</v>
      </c>
      <c r="AM31" s="430" t="s">
        <v>4603</v>
      </c>
      <c r="AN31" s="22" t="s">
        <v>4604</v>
      </c>
      <c r="AO31" s="566" t="s">
        <v>4605</v>
      </c>
      <c r="AP31" s="3253" t="str">
        <f>CB31&amp;CC31</f>
        <v xml:space="preserve"> * La variable Beneficiarios No puede ser mayor al Total.</v>
      </c>
      <c r="AQ31" s="3253"/>
      <c r="AR31" s="3228"/>
      <c r="AS31" s="3229"/>
      <c r="AT31" s="3229"/>
      <c r="AU31" s="3229"/>
      <c r="AV31" s="3229"/>
      <c r="AW31" s="3229"/>
      <c r="AX31" s="3229"/>
      <c r="AY31" s="3229"/>
      <c r="AZ31" s="3229"/>
      <c r="BA31" s="1839"/>
      <c r="BB31" s="1839"/>
      <c r="BC31" s="1839"/>
      <c r="BD31" s="1839"/>
      <c r="BE31" s="1839"/>
      <c r="BF31" s="1839"/>
      <c r="BG31" s="1839"/>
      <c r="BH31" s="1839"/>
      <c r="BI31" s="1839"/>
      <c r="BJ31" s="1839"/>
      <c r="CB31" s="431" t="str">
        <f>IF(AND($C31&gt;0,AN31="")," * No olvide digitar la variable "&amp;AN$28&amp;""&amp;". Digite CERO si no tiene",IF(AN31&gt;$C31," * La variable "&amp;AN$28&amp;""&amp;" No puede ser mayor al Total.",""))</f>
        <v xml:space="preserve"> * La variable Beneficiarios No puede ser mayor al Total.</v>
      </c>
      <c r="CC31" s="431" t="str">
        <f>IF(AND($C31&gt;0,AO31="")," * No olvide digitar la variable "&amp;AO$28&amp;""&amp;". Digite CERO si no tiene",IF(C31&gt;AO31," * La variable "&amp;AO$28&amp;""&amp;" No puede ser menor al Total.",""))</f>
        <v/>
      </c>
      <c r="CN31" s="180">
        <f>IF(AND($C31&gt;0,AN31=""),1,IF(AN31&gt;$C31,1,0))</f>
        <v>1</v>
      </c>
      <c r="CO31" s="180">
        <f>IF(AND($C31&gt;0,AO31=""),1,IF(C31&gt;$AO31,1,0))</f>
        <v>0</v>
      </c>
    </row>
    <row r="32" spans="1:98" ht="15" customHeight="1" x14ac:dyDescent="0.2">
      <c r="A32" s="5795" t="s">
        <v>5568</v>
      </c>
      <c r="B32" s="360" t="s">
        <v>1404</v>
      </c>
      <c r="C32" s="737" t="s">
        <v>4567</v>
      </c>
      <c r="D32" s="751" t="s">
        <v>4568</v>
      </c>
      <c r="E32" s="344" t="s">
        <v>4569</v>
      </c>
      <c r="F32" s="290" t="s">
        <v>4570</v>
      </c>
      <c r="G32" s="107" t="s">
        <v>4571</v>
      </c>
      <c r="H32" s="290" t="s">
        <v>4572</v>
      </c>
      <c r="I32" s="107" t="s">
        <v>4573</v>
      </c>
      <c r="J32" s="290" t="s">
        <v>4574</v>
      </c>
      <c r="K32" s="622" t="s">
        <v>4575</v>
      </c>
      <c r="L32" s="290" t="s">
        <v>4576</v>
      </c>
      <c r="M32" s="622" t="s">
        <v>4577</v>
      </c>
      <c r="N32" s="290" t="s">
        <v>4578</v>
      </c>
      <c r="O32" s="622" t="s">
        <v>4579</v>
      </c>
      <c r="P32" s="245" t="s">
        <v>4580</v>
      </c>
      <c r="Q32" s="622" t="s">
        <v>4581</v>
      </c>
      <c r="R32" s="245" t="s">
        <v>4582</v>
      </c>
      <c r="S32" s="622" t="s">
        <v>4583</v>
      </c>
      <c r="T32" s="245" t="s">
        <v>4584</v>
      </c>
      <c r="U32" s="622" t="s">
        <v>4585</v>
      </c>
      <c r="V32" s="245" t="s">
        <v>4586</v>
      </c>
      <c r="W32" s="622" t="s">
        <v>4587</v>
      </c>
      <c r="X32" s="245" t="s">
        <v>4588</v>
      </c>
      <c r="Y32" s="622" t="s">
        <v>4589</v>
      </c>
      <c r="Z32" s="245" t="s">
        <v>4590</v>
      </c>
      <c r="AA32" s="622" t="s">
        <v>4591</v>
      </c>
      <c r="AB32" s="245" t="s">
        <v>4592</v>
      </c>
      <c r="AC32" s="622" t="s">
        <v>4593</v>
      </c>
      <c r="AD32" s="245" t="s">
        <v>4594</v>
      </c>
      <c r="AE32" s="622" t="s">
        <v>4595</v>
      </c>
      <c r="AF32" s="245" t="s">
        <v>4596</v>
      </c>
      <c r="AG32" s="622" t="s">
        <v>4597</v>
      </c>
      <c r="AH32" s="245" t="s">
        <v>4598</v>
      </c>
      <c r="AI32" s="622" t="s">
        <v>4599</v>
      </c>
      <c r="AJ32" s="245" t="s">
        <v>4600</v>
      </c>
      <c r="AK32" s="622" t="s">
        <v>4601</v>
      </c>
      <c r="AL32" s="245" t="s">
        <v>4602</v>
      </c>
      <c r="AM32" s="430" t="s">
        <v>4603</v>
      </c>
      <c r="AN32" s="22" t="s">
        <v>4604</v>
      </c>
      <c r="AO32" s="3256" t="s">
        <v>4605</v>
      </c>
      <c r="AP32" s="3253" t="str">
        <f>CB32</f>
        <v xml:space="preserve"> * La variable Beneficiarios No puede ser mayor al Total.</v>
      </c>
      <c r="AQ32" s="3253"/>
      <c r="AR32" s="3228"/>
      <c r="AS32" s="3229"/>
      <c r="AT32" s="3229"/>
      <c r="AU32" s="3229"/>
      <c r="AV32" s="3229"/>
      <c r="AW32" s="3229"/>
      <c r="AX32" s="3229"/>
      <c r="AY32" s="3229"/>
      <c r="AZ32" s="3229"/>
      <c r="BA32" s="1839"/>
      <c r="BB32" s="1839"/>
      <c r="BC32" s="1839"/>
      <c r="BD32" s="1839"/>
      <c r="BE32" s="1839"/>
      <c r="BF32" s="1839"/>
      <c r="BG32" s="1839"/>
      <c r="BH32" s="1839"/>
      <c r="BI32" s="1839"/>
      <c r="BJ32" s="1839"/>
      <c r="CB32" s="431" t="str">
        <f t="shared" ref="CB32:CB36" si="25">IF(AND($C32&gt;0,AN32="")," * No olvide digitar la variable "&amp;AN$28&amp;""&amp;". Digite CERO si no tiene",IF(AN32&gt;$C32," * La variable "&amp;AN$28&amp;""&amp;" No puede ser mayor al Total.",""))</f>
        <v xml:space="preserve"> * La variable Beneficiarios No puede ser mayor al Total.</v>
      </c>
      <c r="CN32" s="180">
        <f t="shared" ref="CN32:CN35" si="26">IF(AND($C32&gt;0,AN32=""),1,IF(AN32&gt;$C32,1,0))</f>
        <v>1</v>
      </c>
    </row>
    <row r="33" spans="1:93" ht="15" customHeight="1" x14ac:dyDescent="0.2">
      <c r="A33" s="5795" t="s">
        <v>5569</v>
      </c>
      <c r="B33" s="360" t="s">
        <v>1405</v>
      </c>
      <c r="C33" s="737" t="s">
        <v>4567</v>
      </c>
      <c r="D33" s="751" t="s">
        <v>4568</v>
      </c>
      <c r="E33" s="344" t="s">
        <v>4569</v>
      </c>
      <c r="F33" s="345" t="s">
        <v>4570</v>
      </c>
      <c r="G33" s="346" t="s">
        <v>4571</v>
      </c>
      <c r="H33" s="345" t="s">
        <v>4572</v>
      </c>
      <c r="I33" s="346" t="s">
        <v>4573</v>
      </c>
      <c r="J33" s="345" t="s">
        <v>4574</v>
      </c>
      <c r="K33" s="349" t="s">
        <v>4575</v>
      </c>
      <c r="L33" s="345" t="s">
        <v>4576</v>
      </c>
      <c r="M33" s="349" t="s">
        <v>4577</v>
      </c>
      <c r="N33" s="345" t="s">
        <v>4578</v>
      </c>
      <c r="O33" s="349" t="s">
        <v>4579</v>
      </c>
      <c r="P33" s="350" t="s">
        <v>4580</v>
      </c>
      <c r="Q33" s="349" t="s">
        <v>4581</v>
      </c>
      <c r="R33" s="350" t="s">
        <v>4582</v>
      </c>
      <c r="S33" s="349" t="s">
        <v>4583</v>
      </c>
      <c r="T33" s="350" t="s">
        <v>4584</v>
      </c>
      <c r="U33" s="349" t="s">
        <v>4585</v>
      </c>
      <c r="V33" s="350" t="s">
        <v>4586</v>
      </c>
      <c r="W33" s="349" t="s">
        <v>4587</v>
      </c>
      <c r="X33" s="350" t="s">
        <v>4588</v>
      </c>
      <c r="Y33" s="349" t="s">
        <v>4589</v>
      </c>
      <c r="Z33" s="350" t="s">
        <v>4590</v>
      </c>
      <c r="AA33" s="349" t="s">
        <v>4591</v>
      </c>
      <c r="AB33" s="350" t="s">
        <v>4592</v>
      </c>
      <c r="AC33" s="349" t="s">
        <v>4593</v>
      </c>
      <c r="AD33" s="350" t="s">
        <v>4594</v>
      </c>
      <c r="AE33" s="349" t="s">
        <v>4595</v>
      </c>
      <c r="AF33" s="350" t="s">
        <v>4596</v>
      </c>
      <c r="AG33" s="349" t="s">
        <v>4597</v>
      </c>
      <c r="AH33" s="350" t="s">
        <v>4598</v>
      </c>
      <c r="AI33" s="349" t="s">
        <v>4599</v>
      </c>
      <c r="AJ33" s="350" t="s">
        <v>4600</v>
      </c>
      <c r="AK33" s="349" t="s">
        <v>4601</v>
      </c>
      <c r="AL33" s="350" t="s">
        <v>4602</v>
      </c>
      <c r="AM33" s="351" t="s">
        <v>4603</v>
      </c>
      <c r="AN33" s="347" t="s">
        <v>4604</v>
      </c>
      <c r="AO33" s="3256" t="s">
        <v>4605</v>
      </c>
      <c r="AP33" s="3253" t="str">
        <f t="shared" ref="AP33:AP36" si="27">CB33</f>
        <v xml:space="preserve"> * La variable Beneficiarios No puede ser mayor al Total.</v>
      </c>
      <c r="AQ33" s="3253"/>
      <c r="AR33" s="3228"/>
      <c r="AS33" s="3229"/>
      <c r="AT33" s="3229"/>
      <c r="AU33" s="3229"/>
      <c r="AV33" s="3229"/>
      <c r="AW33" s="3229"/>
      <c r="AX33" s="3229"/>
      <c r="AY33" s="3229"/>
      <c r="AZ33" s="3229"/>
      <c r="BA33" s="1839"/>
      <c r="BB33" s="1839"/>
      <c r="BC33" s="1839"/>
      <c r="BD33" s="1839"/>
      <c r="BE33" s="1839"/>
      <c r="BF33" s="1839"/>
      <c r="BG33" s="1839"/>
      <c r="BH33" s="1839"/>
      <c r="BI33" s="1839"/>
      <c r="BJ33" s="1839"/>
      <c r="CB33" s="431" t="str">
        <f t="shared" si="25"/>
        <v xml:space="preserve"> * La variable Beneficiarios No puede ser mayor al Total.</v>
      </c>
      <c r="CN33" s="180">
        <f t="shared" si="26"/>
        <v>1</v>
      </c>
    </row>
    <row r="34" spans="1:93" ht="15" customHeight="1" x14ac:dyDescent="0.2">
      <c r="A34" s="5795" t="s">
        <v>5570</v>
      </c>
      <c r="B34" s="360" t="s">
        <v>1406</v>
      </c>
      <c r="C34" s="737" t="s">
        <v>4567</v>
      </c>
      <c r="D34" s="751" t="s">
        <v>4568</v>
      </c>
      <c r="E34" s="344" t="s">
        <v>4569</v>
      </c>
      <c r="F34" s="345" t="s">
        <v>4570</v>
      </c>
      <c r="G34" s="346" t="s">
        <v>4571</v>
      </c>
      <c r="H34" s="345" t="s">
        <v>4572</v>
      </c>
      <c r="I34" s="346" t="s">
        <v>4573</v>
      </c>
      <c r="J34" s="345" t="s">
        <v>4574</v>
      </c>
      <c r="K34" s="349" t="s">
        <v>4575</v>
      </c>
      <c r="L34" s="345" t="s">
        <v>4576</v>
      </c>
      <c r="M34" s="349" t="s">
        <v>4577</v>
      </c>
      <c r="N34" s="345" t="s">
        <v>4578</v>
      </c>
      <c r="O34" s="349" t="s">
        <v>4579</v>
      </c>
      <c r="P34" s="350" t="s">
        <v>4580</v>
      </c>
      <c r="Q34" s="349" t="s">
        <v>4581</v>
      </c>
      <c r="R34" s="350" t="s">
        <v>4582</v>
      </c>
      <c r="S34" s="349" t="s">
        <v>4583</v>
      </c>
      <c r="T34" s="350" t="s">
        <v>4584</v>
      </c>
      <c r="U34" s="349" t="s">
        <v>4585</v>
      </c>
      <c r="V34" s="350" t="s">
        <v>4586</v>
      </c>
      <c r="W34" s="349" t="s">
        <v>4587</v>
      </c>
      <c r="X34" s="350" t="s">
        <v>4588</v>
      </c>
      <c r="Y34" s="349" t="s">
        <v>4589</v>
      </c>
      <c r="Z34" s="350" t="s">
        <v>4590</v>
      </c>
      <c r="AA34" s="349" t="s">
        <v>4591</v>
      </c>
      <c r="AB34" s="350" t="s">
        <v>4592</v>
      </c>
      <c r="AC34" s="349" t="s">
        <v>4593</v>
      </c>
      <c r="AD34" s="350" t="s">
        <v>4594</v>
      </c>
      <c r="AE34" s="349" t="s">
        <v>4595</v>
      </c>
      <c r="AF34" s="350" t="s">
        <v>4596</v>
      </c>
      <c r="AG34" s="349" t="s">
        <v>4597</v>
      </c>
      <c r="AH34" s="350" t="s">
        <v>4598</v>
      </c>
      <c r="AI34" s="349" t="s">
        <v>4599</v>
      </c>
      <c r="AJ34" s="350" t="s">
        <v>4600</v>
      </c>
      <c r="AK34" s="349" t="s">
        <v>4601</v>
      </c>
      <c r="AL34" s="350" t="s">
        <v>4602</v>
      </c>
      <c r="AM34" s="351" t="s">
        <v>4603</v>
      </c>
      <c r="AN34" s="347" t="s">
        <v>4604</v>
      </c>
      <c r="AO34" s="3256" t="s">
        <v>4605</v>
      </c>
      <c r="AP34" s="3253" t="str">
        <f t="shared" si="27"/>
        <v xml:space="preserve"> * La variable Beneficiarios No puede ser mayor al Total.</v>
      </c>
      <c r="AQ34" s="3253"/>
      <c r="AR34" s="3228"/>
      <c r="AS34" s="3229"/>
      <c r="AT34" s="3229"/>
      <c r="AU34" s="3229"/>
      <c r="AV34" s="3229"/>
      <c r="AW34" s="3229"/>
      <c r="AX34" s="3229"/>
      <c r="AY34" s="3229"/>
      <c r="AZ34" s="3229"/>
      <c r="BA34" s="1839"/>
      <c r="BB34" s="1839"/>
      <c r="BC34" s="1839"/>
      <c r="BD34" s="1839"/>
      <c r="BE34" s="1839"/>
      <c r="BF34" s="1839"/>
      <c r="BG34" s="1839"/>
      <c r="BH34" s="1839"/>
      <c r="BI34" s="1839"/>
      <c r="BJ34" s="1839"/>
      <c r="CB34" s="431" t="str">
        <f t="shared" si="25"/>
        <v xml:space="preserve"> * La variable Beneficiarios No puede ser mayor al Total.</v>
      </c>
      <c r="CN34" s="180">
        <f t="shared" si="26"/>
        <v>1</v>
      </c>
    </row>
    <row r="35" spans="1:93" ht="15" customHeight="1" x14ac:dyDescent="0.2">
      <c r="A35" s="5795" t="s">
        <v>5571</v>
      </c>
      <c r="B35" s="360" t="s">
        <v>99</v>
      </c>
      <c r="C35" s="737" t="s">
        <v>4567</v>
      </c>
      <c r="D35" s="751" t="s">
        <v>4568</v>
      </c>
      <c r="E35" s="344" t="s">
        <v>4569</v>
      </c>
      <c r="F35" s="345" t="s">
        <v>4570</v>
      </c>
      <c r="G35" s="346" t="s">
        <v>4571</v>
      </c>
      <c r="H35" s="345" t="s">
        <v>4572</v>
      </c>
      <c r="I35" s="346" t="s">
        <v>4573</v>
      </c>
      <c r="J35" s="345" t="s">
        <v>4574</v>
      </c>
      <c r="K35" s="349" t="s">
        <v>4575</v>
      </c>
      <c r="L35" s="345" t="s">
        <v>4576</v>
      </c>
      <c r="M35" s="349" t="s">
        <v>4577</v>
      </c>
      <c r="N35" s="345" t="s">
        <v>4578</v>
      </c>
      <c r="O35" s="349" t="s">
        <v>4579</v>
      </c>
      <c r="P35" s="350" t="s">
        <v>4580</v>
      </c>
      <c r="Q35" s="349" t="s">
        <v>4581</v>
      </c>
      <c r="R35" s="350" t="s">
        <v>4582</v>
      </c>
      <c r="S35" s="349" t="s">
        <v>4583</v>
      </c>
      <c r="T35" s="350" t="s">
        <v>4584</v>
      </c>
      <c r="U35" s="349" t="s">
        <v>4585</v>
      </c>
      <c r="V35" s="350" t="s">
        <v>4586</v>
      </c>
      <c r="W35" s="349" t="s">
        <v>4587</v>
      </c>
      <c r="X35" s="350" t="s">
        <v>4588</v>
      </c>
      <c r="Y35" s="349" t="s">
        <v>4589</v>
      </c>
      <c r="Z35" s="350" t="s">
        <v>4590</v>
      </c>
      <c r="AA35" s="349" t="s">
        <v>4591</v>
      </c>
      <c r="AB35" s="350" t="s">
        <v>4592</v>
      </c>
      <c r="AC35" s="349" t="s">
        <v>4593</v>
      </c>
      <c r="AD35" s="350" t="s">
        <v>4594</v>
      </c>
      <c r="AE35" s="349" t="s">
        <v>4595</v>
      </c>
      <c r="AF35" s="350" t="s">
        <v>4596</v>
      </c>
      <c r="AG35" s="349" t="s">
        <v>4597</v>
      </c>
      <c r="AH35" s="350" t="s">
        <v>4598</v>
      </c>
      <c r="AI35" s="349" t="s">
        <v>4599</v>
      </c>
      <c r="AJ35" s="350" t="s">
        <v>4600</v>
      </c>
      <c r="AK35" s="349" t="s">
        <v>4601</v>
      </c>
      <c r="AL35" s="350" t="s">
        <v>4602</v>
      </c>
      <c r="AM35" s="351" t="s">
        <v>4603</v>
      </c>
      <c r="AN35" s="347" t="s">
        <v>4604</v>
      </c>
      <c r="AO35" s="3256" t="s">
        <v>4605</v>
      </c>
      <c r="AP35" s="3253" t="str">
        <f t="shared" si="27"/>
        <v xml:space="preserve"> * La variable Beneficiarios No puede ser mayor al Total.</v>
      </c>
      <c r="AQ35" s="3253"/>
      <c r="AR35" s="3228"/>
      <c r="AS35" s="3229"/>
      <c r="AT35" s="3229"/>
      <c r="AU35" s="3229"/>
      <c r="AV35" s="3229"/>
      <c r="AW35" s="3229"/>
      <c r="AX35" s="3229"/>
      <c r="AY35" s="3229"/>
      <c r="AZ35" s="3229"/>
      <c r="BA35" s="1839"/>
      <c r="BB35" s="1839"/>
      <c r="BC35" s="1839"/>
      <c r="BD35" s="1839"/>
      <c r="BE35" s="1839"/>
      <c r="BF35" s="1839"/>
      <c r="BG35" s="1839"/>
      <c r="BH35" s="1839"/>
      <c r="BI35" s="1839"/>
      <c r="BJ35" s="1839"/>
      <c r="CB35" s="431" t="str">
        <f t="shared" si="25"/>
        <v xml:space="preserve"> * La variable Beneficiarios No puede ser mayor al Total.</v>
      </c>
      <c r="CN35" s="180">
        <f t="shared" si="26"/>
        <v>1</v>
      </c>
    </row>
    <row r="36" spans="1:93" ht="15" customHeight="1" x14ac:dyDescent="0.2">
      <c r="A36" s="5795" t="s">
        <v>5572</v>
      </c>
      <c r="B36" s="523" t="s">
        <v>1075</v>
      </c>
      <c r="C36" s="703" t="s">
        <v>4567</v>
      </c>
      <c r="D36" s="2202" t="s">
        <v>4568</v>
      </c>
      <c r="E36" s="625" t="s">
        <v>4569</v>
      </c>
      <c r="F36" s="379" t="s">
        <v>4570</v>
      </c>
      <c r="G36" s="387" t="s">
        <v>4571</v>
      </c>
      <c r="H36" s="379" t="s">
        <v>4572</v>
      </c>
      <c r="I36" s="387" t="s">
        <v>4573</v>
      </c>
      <c r="J36" s="379" t="s">
        <v>4574</v>
      </c>
      <c r="K36" s="388" t="s">
        <v>4575</v>
      </c>
      <c r="L36" s="379" t="s">
        <v>4576</v>
      </c>
      <c r="M36" s="388" t="s">
        <v>4577</v>
      </c>
      <c r="N36" s="379" t="s">
        <v>4578</v>
      </c>
      <c r="O36" s="388" t="s">
        <v>4579</v>
      </c>
      <c r="P36" s="666" t="s">
        <v>4580</v>
      </c>
      <c r="Q36" s="388" t="s">
        <v>4581</v>
      </c>
      <c r="R36" s="666" t="s">
        <v>4582</v>
      </c>
      <c r="S36" s="388" t="s">
        <v>4583</v>
      </c>
      <c r="T36" s="666" t="s">
        <v>4584</v>
      </c>
      <c r="U36" s="388" t="s">
        <v>4585</v>
      </c>
      <c r="V36" s="666" t="s">
        <v>4586</v>
      </c>
      <c r="W36" s="388" t="s">
        <v>4587</v>
      </c>
      <c r="X36" s="666" t="s">
        <v>4588</v>
      </c>
      <c r="Y36" s="388" t="s">
        <v>4589</v>
      </c>
      <c r="Z36" s="666" t="s">
        <v>4590</v>
      </c>
      <c r="AA36" s="388" t="s">
        <v>4591</v>
      </c>
      <c r="AB36" s="666" t="s">
        <v>4592</v>
      </c>
      <c r="AC36" s="388" t="s">
        <v>4593</v>
      </c>
      <c r="AD36" s="666" t="s">
        <v>4594</v>
      </c>
      <c r="AE36" s="388" t="s">
        <v>4595</v>
      </c>
      <c r="AF36" s="666" t="s">
        <v>4596</v>
      </c>
      <c r="AG36" s="388" t="s">
        <v>4597</v>
      </c>
      <c r="AH36" s="666" t="s">
        <v>4598</v>
      </c>
      <c r="AI36" s="388" t="s">
        <v>4599</v>
      </c>
      <c r="AJ36" s="666" t="s">
        <v>4600</v>
      </c>
      <c r="AK36" s="388" t="s">
        <v>4601</v>
      </c>
      <c r="AL36" s="666" t="s">
        <v>4602</v>
      </c>
      <c r="AM36" s="389" t="s">
        <v>4603</v>
      </c>
      <c r="AN36" s="428" t="s">
        <v>4604</v>
      </c>
      <c r="AO36" s="3257" t="s">
        <v>4605</v>
      </c>
      <c r="AP36" s="3253" t="str">
        <f t="shared" si="27"/>
        <v xml:space="preserve"> * La variable Beneficiarios No puede ser mayor al Total.</v>
      </c>
      <c r="AQ36" s="3253"/>
      <c r="AR36" s="3228"/>
      <c r="AS36" s="3229"/>
      <c r="AT36" s="3229"/>
      <c r="AU36" s="3229"/>
      <c r="AV36" s="3229"/>
      <c r="AW36" s="3229"/>
      <c r="AX36" s="3229"/>
      <c r="AY36" s="3229"/>
      <c r="AZ36" s="3229"/>
      <c r="BA36" s="1839"/>
      <c r="BB36" s="1839"/>
      <c r="BC36" s="1839"/>
      <c r="BD36" s="1839"/>
      <c r="BE36" s="1839"/>
      <c r="BF36" s="1839"/>
      <c r="BG36" s="1839"/>
      <c r="BH36" s="1839"/>
      <c r="BI36" s="1839"/>
      <c r="BJ36" s="1839"/>
      <c r="CB36" s="431" t="str">
        <f t="shared" si="25"/>
        <v xml:space="preserve"> * La variable Beneficiarios No puede ser mayor al Total.</v>
      </c>
      <c r="CN36" s="180">
        <f>IF(AND($C36&gt;0,AN36=""),1,IF(AN36&gt;$C36,1,0))</f>
        <v>1</v>
      </c>
    </row>
    <row r="37" spans="1:93" s="8" customFormat="1" ht="18" customHeight="1" x14ac:dyDescent="0.15">
      <c r="A37" s="5797"/>
      <c r="B37" s="3" t="s">
        <v>1407</v>
      </c>
      <c r="C37" s="3"/>
      <c r="D37" s="3"/>
      <c r="E37" s="3"/>
      <c r="F37" s="3"/>
      <c r="G37" s="3"/>
      <c r="H37" s="1"/>
      <c r="I37" s="1"/>
      <c r="J37" s="1"/>
      <c r="K37" s="1"/>
      <c r="L37" s="3"/>
      <c r="M37" s="1"/>
      <c r="N37" s="1"/>
      <c r="O37" s="1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W37" s="5"/>
      <c r="BX37" s="5"/>
      <c r="BY37" s="5"/>
      <c r="BZ37" s="5"/>
    </row>
    <row r="38" spans="1:93" ht="16.350000000000001" customHeight="1" x14ac:dyDescent="0.2">
      <c r="A38" s="5797"/>
      <c r="B38" s="6575" t="s">
        <v>27</v>
      </c>
      <c r="C38" s="6212" t="s">
        <v>1363</v>
      </c>
      <c r="D38" s="6510"/>
      <c r="E38" s="6511"/>
      <c r="F38" s="6742" t="s">
        <v>1364</v>
      </c>
      <c r="G38" s="6742"/>
      <c r="H38" s="6742"/>
      <c r="I38" s="6742"/>
      <c r="J38" s="6742"/>
      <c r="K38" s="6742"/>
      <c r="L38" s="6742"/>
      <c r="M38" s="6742"/>
      <c r="N38" s="6742"/>
      <c r="O38" s="6742"/>
      <c r="P38" s="6742"/>
      <c r="Q38" s="6742"/>
      <c r="R38" s="6742"/>
      <c r="S38" s="6742"/>
      <c r="T38" s="6742"/>
      <c r="U38" s="6742"/>
      <c r="V38" s="6742"/>
      <c r="W38" s="6742"/>
      <c r="X38" s="6742"/>
      <c r="Y38" s="6742"/>
      <c r="Z38" s="6742"/>
      <c r="AA38" s="6742"/>
      <c r="AB38" s="6742"/>
      <c r="AC38" s="6742"/>
      <c r="AD38" s="6742"/>
      <c r="AE38" s="6742"/>
      <c r="AF38" s="6742"/>
      <c r="AG38" s="6742"/>
      <c r="AH38" s="6742"/>
      <c r="AI38" s="6742"/>
      <c r="AJ38" s="6742"/>
      <c r="AK38" s="6742"/>
      <c r="AL38" s="6742"/>
      <c r="AM38" s="6744"/>
      <c r="AN38" s="6492" t="s">
        <v>597</v>
      </c>
      <c r="AO38" s="6511" t="s">
        <v>1367</v>
      </c>
      <c r="AP38" s="1839"/>
      <c r="AQ38" s="1839"/>
      <c r="AR38" s="1839"/>
      <c r="AS38" s="1839"/>
      <c r="AT38" s="1839"/>
      <c r="AU38" s="1839"/>
      <c r="AV38" s="1839"/>
      <c r="AW38" s="1839"/>
      <c r="AX38" s="1839"/>
      <c r="AY38" s="1839"/>
      <c r="AZ38" s="1839"/>
      <c r="BA38" s="1839"/>
      <c r="BB38" s="1839"/>
      <c r="BC38" s="1839"/>
      <c r="BD38" s="1839"/>
      <c r="BE38" s="1839"/>
      <c r="BF38" s="1839"/>
      <c r="BG38" s="1839"/>
      <c r="BH38" s="1839"/>
      <c r="BI38" s="1839"/>
      <c r="BJ38" s="1839"/>
    </row>
    <row r="39" spans="1:93" ht="16.350000000000001" customHeight="1" x14ac:dyDescent="0.2">
      <c r="A39" s="5797"/>
      <c r="B39" s="6827"/>
      <c r="C39" s="6734"/>
      <c r="D39" s="6735"/>
      <c r="E39" s="6736"/>
      <c r="F39" s="6742" t="s">
        <v>343</v>
      </c>
      <c r="G39" s="6742"/>
      <c r="H39" s="6742" t="s">
        <v>326</v>
      </c>
      <c r="I39" s="6742"/>
      <c r="J39" s="6742" t="s">
        <v>94</v>
      </c>
      <c r="K39" s="6742"/>
      <c r="L39" s="6742" t="s">
        <v>44</v>
      </c>
      <c r="M39" s="6742"/>
      <c r="N39" s="6742" t="s">
        <v>45</v>
      </c>
      <c r="O39" s="6742"/>
      <c r="P39" s="6891" t="s">
        <v>46</v>
      </c>
      <c r="Q39" s="6891"/>
      <c r="R39" s="6891" t="s">
        <v>47</v>
      </c>
      <c r="S39" s="6891"/>
      <c r="T39" s="6891" t="s">
        <v>48</v>
      </c>
      <c r="U39" s="6891"/>
      <c r="V39" s="6891" t="s">
        <v>49</v>
      </c>
      <c r="W39" s="6891"/>
      <c r="X39" s="6891" t="s">
        <v>50</v>
      </c>
      <c r="Y39" s="6891"/>
      <c r="Z39" s="6891" t="s">
        <v>51</v>
      </c>
      <c r="AA39" s="6891"/>
      <c r="AB39" s="6891" t="s">
        <v>52</v>
      </c>
      <c r="AC39" s="6891"/>
      <c r="AD39" s="6891" t="s">
        <v>53</v>
      </c>
      <c r="AE39" s="6891"/>
      <c r="AF39" s="6891" t="s">
        <v>54</v>
      </c>
      <c r="AG39" s="6891"/>
      <c r="AH39" s="6891" t="s">
        <v>55</v>
      </c>
      <c r="AI39" s="6891"/>
      <c r="AJ39" s="6891" t="s">
        <v>56</v>
      </c>
      <c r="AK39" s="6891"/>
      <c r="AL39" s="6891" t="s">
        <v>57</v>
      </c>
      <c r="AM39" s="6893"/>
      <c r="AN39" s="6105"/>
      <c r="AO39" s="6027"/>
      <c r="AP39" s="1839"/>
      <c r="AQ39" s="1839"/>
      <c r="AR39" s="1839"/>
      <c r="AS39" s="1839"/>
      <c r="AT39" s="1839"/>
      <c r="AU39" s="1839"/>
      <c r="AV39" s="1839"/>
      <c r="AW39" s="1839"/>
      <c r="AX39" s="1839"/>
      <c r="AY39" s="1839"/>
      <c r="AZ39" s="1839"/>
      <c r="BA39" s="1839"/>
      <c r="BB39" s="1839"/>
      <c r="BC39" s="1839"/>
      <c r="BD39" s="1839"/>
      <c r="BE39" s="1839"/>
      <c r="BF39" s="1839"/>
      <c r="BG39" s="1839"/>
      <c r="BH39" s="1839"/>
      <c r="BI39" s="1839"/>
      <c r="BJ39" s="1839"/>
    </row>
    <row r="40" spans="1:93" ht="16.350000000000001" customHeight="1" x14ac:dyDescent="0.2">
      <c r="A40" s="5797"/>
      <c r="B40" s="6750"/>
      <c r="C40" s="866" t="s">
        <v>79</v>
      </c>
      <c r="D40" s="3224" t="s">
        <v>461</v>
      </c>
      <c r="E40" s="90" t="s">
        <v>59</v>
      </c>
      <c r="F40" s="1762" t="s">
        <v>461</v>
      </c>
      <c r="G40" s="464" t="s">
        <v>59</v>
      </c>
      <c r="H40" s="1762" t="s">
        <v>461</v>
      </c>
      <c r="I40" s="464" t="s">
        <v>59</v>
      </c>
      <c r="J40" s="1762" t="s">
        <v>461</v>
      </c>
      <c r="K40" s="464" t="s">
        <v>59</v>
      </c>
      <c r="L40" s="1762" t="s">
        <v>461</v>
      </c>
      <c r="M40" s="464" t="s">
        <v>59</v>
      </c>
      <c r="N40" s="1762" t="s">
        <v>461</v>
      </c>
      <c r="O40" s="464" t="s">
        <v>59</v>
      </c>
      <c r="P40" s="1762" t="s">
        <v>461</v>
      </c>
      <c r="Q40" s="464" t="s">
        <v>59</v>
      </c>
      <c r="R40" s="1762" t="s">
        <v>461</v>
      </c>
      <c r="S40" s="464" t="s">
        <v>59</v>
      </c>
      <c r="T40" s="1762" t="s">
        <v>461</v>
      </c>
      <c r="U40" s="464" t="s">
        <v>59</v>
      </c>
      <c r="V40" s="1762" t="s">
        <v>461</v>
      </c>
      <c r="W40" s="464" t="s">
        <v>59</v>
      </c>
      <c r="X40" s="1762" t="s">
        <v>461</v>
      </c>
      <c r="Y40" s="464" t="s">
        <v>59</v>
      </c>
      <c r="Z40" s="1762" t="s">
        <v>461</v>
      </c>
      <c r="AA40" s="464" t="s">
        <v>59</v>
      </c>
      <c r="AB40" s="1762" t="s">
        <v>461</v>
      </c>
      <c r="AC40" s="464" t="s">
        <v>59</v>
      </c>
      <c r="AD40" s="1762" t="s">
        <v>461</v>
      </c>
      <c r="AE40" s="464" t="s">
        <v>59</v>
      </c>
      <c r="AF40" s="1762" t="s">
        <v>461</v>
      </c>
      <c r="AG40" s="464" t="s">
        <v>59</v>
      </c>
      <c r="AH40" s="1762" t="s">
        <v>461</v>
      </c>
      <c r="AI40" s="464" t="s">
        <v>59</v>
      </c>
      <c r="AJ40" s="1762" t="s">
        <v>461</v>
      </c>
      <c r="AK40" s="464" t="s">
        <v>59</v>
      </c>
      <c r="AL40" s="1762" t="s">
        <v>461</v>
      </c>
      <c r="AM40" s="465" t="s">
        <v>59</v>
      </c>
      <c r="AN40" s="6894"/>
      <c r="AO40" s="6736"/>
      <c r="AP40" s="283"/>
      <c r="AQ40" s="1839"/>
      <c r="AR40" s="1839"/>
      <c r="AS40" s="1839"/>
      <c r="AT40" s="1839"/>
      <c r="AU40" s="1839"/>
      <c r="AV40" s="1839"/>
      <c r="AW40" s="1839"/>
      <c r="AX40" s="1839"/>
      <c r="AY40" s="1839"/>
      <c r="AZ40" s="1839"/>
      <c r="BA40" s="1839"/>
      <c r="BB40" s="1839"/>
      <c r="BC40" s="1839"/>
      <c r="BD40" s="1839"/>
      <c r="BE40" s="1839"/>
      <c r="BF40" s="1839"/>
      <c r="BG40" s="1839"/>
      <c r="BH40" s="1839"/>
      <c r="BI40" s="1839"/>
      <c r="BJ40" s="1839"/>
    </row>
    <row r="41" spans="1:93" ht="15" customHeight="1" x14ac:dyDescent="0.2">
      <c r="A41" s="5795" t="s">
        <v>5573</v>
      </c>
      <c r="B41" s="3235" t="s">
        <v>959</v>
      </c>
      <c r="C41" s="3254" t="s">
        <v>4567</v>
      </c>
      <c r="D41" s="746" t="s">
        <v>4568</v>
      </c>
      <c r="E41" s="606" t="s">
        <v>4569</v>
      </c>
      <c r="F41" s="290" t="s">
        <v>4570</v>
      </c>
      <c r="G41" s="107" t="s">
        <v>4571</v>
      </c>
      <c r="H41" s="290" t="s">
        <v>4572</v>
      </c>
      <c r="I41" s="107" t="s">
        <v>4573</v>
      </c>
      <c r="J41" s="290" t="s">
        <v>4574</v>
      </c>
      <c r="K41" s="622" t="s">
        <v>4575</v>
      </c>
      <c r="L41" s="290" t="s">
        <v>4576</v>
      </c>
      <c r="M41" s="622" t="s">
        <v>4577</v>
      </c>
      <c r="N41" s="290" t="s">
        <v>4578</v>
      </c>
      <c r="O41" s="622" t="s">
        <v>4579</v>
      </c>
      <c r="P41" s="245" t="s">
        <v>4580</v>
      </c>
      <c r="Q41" s="622" t="s">
        <v>4581</v>
      </c>
      <c r="R41" s="245" t="s">
        <v>4582</v>
      </c>
      <c r="S41" s="622" t="s">
        <v>4583</v>
      </c>
      <c r="T41" s="245" t="s">
        <v>4584</v>
      </c>
      <c r="U41" s="622" t="s">
        <v>4585</v>
      </c>
      <c r="V41" s="245" t="s">
        <v>4586</v>
      </c>
      <c r="W41" s="622" t="s">
        <v>4587</v>
      </c>
      <c r="X41" s="245" t="s">
        <v>4588</v>
      </c>
      <c r="Y41" s="622" t="s">
        <v>4589</v>
      </c>
      <c r="Z41" s="245" t="s">
        <v>4590</v>
      </c>
      <c r="AA41" s="622" t="s">
        <v>4591</v>
      </c>
      <c r="AB41" s="245" t="s">
        <v>4592</v>
      </c>
      <c r="AC41" s="622" t="s">
        <v>4593</v>
      </c>
      <c r="AD41" s="245" t="s">
        <v>4594</v>
      </c>
      <c r="AE41" s="622" t="s">
        <v>4595</v>
      </c>
      <c r="AF41" s="245" t="s">
        <v>4596</v>
      </c>
      <c r="AG41" s="622" t="s">
        <v>4597</v>
      </c>
      <c r="AH41" s="245" t="s">
        <v>4598</v>
      </c>
      <c r="AI41" s="622" t="s">
        <v>4599</v>
      </c>
      <c r="AJ41" s="245" t="s">
        <v>4600</v>
      </c>
      <c r="AK41" s="622" t="s">
        <v>4601</v>
      </c>
      <c r="AL41" s="245" t="s">
        <v>4602</v>
      </c>
      <c r="AM41" s="430" t="s">
        <v>4603</v>
      </c>
      <c r="AN41" s="22" t="s">
        <v>4604</v>
      </c>
      <c r="AO41" s="566" t="s">
        <v>4605</v>
      </c>
      <c r="AP41" s="3258" t="str">
        <f>CB41&amp;CC41</f>
        <v xml:space="preserve"> * La variable COL38 No puede ser mayor al Total.</v>
      </c>
      <c r="AQ41" s="3229"/>
      <c r="AR41" s="3229"/>
      <c r="AS41" s="3229"/>
      <c r="AT41" s="3229"/>
      <c r="AU41" s="3229"/>
      <c r="AV41" s="3229"/>
      <c r="AW41" s="3229"/>
      <c r="AX41" s="3229"/>
      <c r="AY41" s="3229"/>
      <c r="AZ41" s="3229"/>
      <c r="BA41" s="1839"/>
      <c r="BB41" s="1839"/>
      <c r="BC41" s="1839"/>
      <c r="BD41" s="1839"/>
      <c r="BE41" s="1839"/>
      <c r="BF41" s="1839"/>
      <c r="BG41" s="1839"/>
      <c r="BH41" s="1839"/>
      <c r="BI41" s="1839"/>
      <c r="BJ41" s="1839"/>
      <c r="CB41" s="431" t="str">
        <f>IF(AND($C41&gt;0,AN41="")," * No olvide digitar la variable "&amp;AN$38&amp;""&amp;". Digite CERO si no tiene",IF(AN41&gt;$C41," * La variable "&amp;AN$41&amp;""&amp;" No puede ser mayor al Total.",""))</f>
        <v xml:space="preserve"> * La variable COL38 No puede ser mayor al Total.</v>
      </c>
      <c r="CC41" s="431" t="str">
        <f>IF(AND($C41&gt;0,AO41="")," * No olvide digitar la variable "&amp;AO$38&amp;""&amp;". Digite CERO si no tiene",IF(C41&gt;AO41," * La variable "&amp;AO$38&amp;""&amp;" No puede ser menor al Total.",""))</f>
        <v/>
      </c>
      <c r="CN41" s="180">
        <f>IF(AND($C41&gt;0,AN41=""),1,IF(AN41&gt;$C41,1,0))</f>
        <v>1</v>
      </c>
      <c r="CO41" s="180">
        <f>IF(AND($C41&gt;0,AO41=""),1,IF(C41&gt;$AO41,1,0))</f>
        <v>0</v>
      </c>
    </row>
    <row r="42" spans="1:93" ht="15" customHeight="1" x14ac:dyDescent="0.2">
      <c r="A42" s="5795" t="s">
        <v>5574</v>
      </c>
      <c r="B42" s="360" t="s">
        <v>1404</v>
      </c>
      <c r="C42" s="737" t="s">
        <v>4567</v>
      </c>
      <c r="D42" s="751" t="s">
        <v>4568</v>
      </c>
      <c r="E42" s="344" t="s">
        <v>4569</v>
      </c>
      <c r="F42" s="290" t="s">
        <v>4570</v>
      </c>
      <c r="G42" s="107" t="s">
        <v>4571</v>
      </c>
      <c r="H42" s="290" t="s">
        <v>4572</v>
      </c>
      <c r="I42" s="107" t="s">
        <v>4573</v>
      </c>
      <c r="J42" s="290" t="s">
        <v>4574</v>
      </c>
      <c r="K42" s="622" t="s">
        <v>4575</v>
      </c>
      <c r="L42" s="290" t="s">
        <v>4576</v>
      </c>
      <c r="M42" s="622" t="s">
        <v>4577</v>
      </c>
      <c r="N42" s="290" t="s">
        <v>4578</v>
      </c>
      <c r="O42" s="622" t="s">
        <v>4579</v>
      </c>
      <c r="P42" s="245" t="s">
        <v>4580</v>
      </c>
      <c r="Q42" s="622" t="s">
        <v>4581</v>
      </c>
      <c r="R42" s="245" t="s">
        <v>4582</v>
      </c>
      <c r="S42" s="622" t="s">
        <v>4583</v>
      </c>
      <c r="T42" s="245" t="s">
        <v>4584</v>
      </c>
      <c r="U42" s="622" t="s">
        <v>4585</v>
      </c>
      <c r="V42" s="245" t="s">
        <v>4586</v>
      </c>
      <c r="W42" s="622" t="s">
        <v>4587</v>
      </c>
      <c r="X42" s="245" t="s">
        <v>4588</v>
      </c>
      <c r="Y42" s="622" t="s">
        <v>4589</v>
      </c>
      <c r="Z42" s="245" t="s">
        <v>4590</v>
      </c>
      <c r="AA42" s="622" t="s">
        <v>4591</v>
      </c>
      <c r="AB42" s="245" t="s">
        <v>4592</v>
      </c>
      <c r="AC42" s="622" t="s">
        <v>4593</v>
      </c>
      <c r="AD42" s="245" t="s">
        <v>4594</v>
      </c>
      <c r="AE42" s="622" t="s">
        <v>4595</v>
      </c>
      <c r="AF42" s="245" t="s">
        <v>4596</v>
      </c>
      <c r="AG42" s="622" t="s">
        <v>4597</v>
      </c>
      <c r="AH42" s="245" t="s">
        <v>4598</v>
      </c>
      <c r="AI42" s="622" t="s">
        <v>4599</v>
      </c>
      <c r="AJ42" s="245" t="s">
        <v>4600</v>
      </c>
      <c r="AK42" s="622" t="s">
        <v>4601</v>
      </c>
      <c r="AL42" s="245" t="s">
        <v>4602</v>
      </c>
      <c r="AM42" s="430" t="s">
        <v>4603</v>
      </c>
      <c r="AN42" s="22" t="s">
        <v>4604</v>
      </c>
      <c r="AO42" s="346" t="s">
        <v>4605</v>
      </c>
      <c r="AP42" s="3258" t="str">
        <f t="shared" ref="AP42:AP46" si="28">CB42&amp;CC42</f>
        <v xml:space="preserve"> * La variable COL38 No puede ser mayor al Total.</v>
      </c>
      <c r="AQ42" s="3229"/>
      <c r="AR42" s="3229"/>
      <c r="AS42" s="3229"/>
      <c r="AT42" s="3229"/>
      <c r="AU42" s="3229"/>
      <c r="AV42" s="3229"/>
      <c r="AW42" s="3229"/>
      <c r="AX42" s="3229"/>
      <c r="AY42" s="3229"/>
      <c r="AZ42" s="3229"/>
      <c r="BA42" s="1839"/>
      <c r="BB42" s="1839"/>
      <c r="BC42" s="1839"/>
      <c r="BD42" s="1839"/>
      <c r="BE42" s="1839"/>
      <c r="BF42" s="1839"/>
      <c r="BG42" s="1839"/>
      <c r="BH42" s="1839"/>
      <c r="BI42" s="1839"/>
      <c r="BJ42" s="1839"/>
      <c r="CB42" s="431" t="str">
        <f t="shared" ref="CB42:CB46" si="29">IF(AND($C42&gt;0,AN42="")," * No olvide digitar la variable "&amp;AN$38&amp;""&amp;". Digite CERO si no tiene",IF(AN42&gt;$C42," * La variable "&amp;AN$41&amp;""&amp;" No puede ser mayor al Total.",""))</f>
        <v xml:space="preserve"> * La variable COL38 No puede ser mayor al Total.</v>
      </c>
      <c r="CC42" s="431" t="str">
        <f t="shared" ref="CC42:CC46" si="30">IF(AND($C42&gt;0,AO42="")," * No olvide digitar la variable "&amp;AO$38&amp;""&amp;". Digite CERO si no tiene",IF(C42&gt;AO42," * La variable "&amp;AO$38&amp;""&amp;" No puede ser menor al Total.",""))</f>
        <v/>
      </c>
      <c r="CN42" s="180">
        <f t="shared" ref="CN42:CN45" si="31">IF(AND($C42&gt;0,AN42=""),1,IF(AN42&gt;$C42,1,0))</f>
        <v>1</v>
      </c>
      <c r="CO42" s="180">
        <f t="shared" ref="CO42:CO46" si="32">IF(AND($C42&gt;0,AO42=""),1,IF(C42&gt;$AO42,1,0))</f>
        <v>0</v>
      </c>
    </row>
    <row r="43" spans="1:93" ht="15" customHeight="1" x14ac:dyDescent="0.2">
      <c r="A43" s="5795" t="s">
        <v>5575</v>
      </c>
      <c r="B43" s="360" t="s">
        <v>1405</v>
      </c>
      <c r="C43" s="737" t="s">
        <v>4567</v>
      </c>
      <c r="D43" s="751" t="s">
        <v>4568</v>
      </c>
      <c r="E43" s="344" t="s">
        <v>4569</v>
      </c>
      <c r="F43" s="345" t="s">
        <v>4570</v>
      </c>
      <c r="G43" s="346" t="s">
        <v>4571</v>
      </c>
      <c r="H43" s="345" t="s">
        <v>4572</v>
      </c>
      <c r="I43" s="346" t="s">
        <v>4573</v>
      </c>
      <c r="J43" s="345" t="s">
        <v>4574</v>
      </c>
      <c r="K43" s="349" t="s">
        <v>4575</v>
      </c>
      <c r="L43" s="345" t="s">
        <v>4576</v>
      </c>
      <c r="M43" s="349" t="s">
        <v>4577</v>
      </c>
      <c r="N43" s="345" t="s">
        <v>4578</v>
      </c>
      <c r="O43" s="349" t="s">
        <v>4579</v>
      </c>
      <c r="P43" s="350" t="s">
        <v>4580</v>
      </c>
      <c r="Q43" s="349" t="s">
        <v>4581</v>
      </c>
      <c r="R43" s="350" t="s">
        <v>4582</v>
      </c>
      <c r="S43" s="349" t="s">
        <v>4583</v>
      </c>
      <c r="T43" s="350" t="s">
        <v>4584</v>
      </c>
      <c r="U43" s="349" t="s">
        <v>4585</v>
      </c>
      <c r="V43" s="350" t="s">
        <v>4586</v>
      </c>
      <c r="W43" s="349" t="s">
        <v>4587</v>
      </c>
      <c r="X43" s="350" t="s">
        <v>4588</v>
      </c>
      <c r="Y43" s="349" t="s">
        <v>4589</v>
      </c>
      <c r="Z43" s="350" t="s">
        <v>4590</v>
      </c>
      <c r="AA43" s="349" t="s">
        <v>4591</v>
      </c>
      <c r="AB43" s="350" t="s">
        <v>4592</v>
      </c>
      <c r="AC43" s="349" t="s">
        <v>4593</v>
      </c>
      <c r="AD43" s="350" t="s">
        <v>4594</v>
      </c>
      <c r="AE43" s="349" t="s">
        <v>4595</v>
      </c>
      <c r="AF43" s="350" t="s">
        <v>4596</v>
      </c>
      <c r="AG43" s="349" t="s">
        <v>4597</v>
      </c>
      <c r="AH43" s="350" t="s">
        <v>4598</v>
      </c>
      <c r="AI43" s="349" t="s">
        <v>4599</v>
      </c>
      <c r="AJ43" s="350" t="s">
        <v>4600</v>
      </c>
      <c r="AK43" s="349" t="s">
        <v>4601</v>
      </c>
      <c r="AL43" s="350" t="s">
        <v>4602</v>
      </c>
      <c r="AM43" s="351" t="s">
        <v>4603</v>
      </c>
      <c r="AN43" s="347" t="s">
        <v>4604</v>
      </c>
      <c r="AO43" s="346" t="s">
        <v>4605</v>
      </c>
      <c r="AP43" s="3258" t="str">
        <f t="shared" si="28"/>
        <v xml:space="preserve"> * La variable COL38 No puede ser mayor al Total.</v>
      </c>
      <c r="AQ43" s="3229"/>
      <c r="AR43" s="3229"/>
      <c r="AS43" s="3229"/>
      <c r="AT43" s="3229"/>
      <c r="AU43" s="3229"/>
      <c r="AV43" s="3229"/>
      <c r="AW43" s="3229"/>
      <c r="AX43" s="3229"/>
      <c r="AY43" s="3229"/>
      <c r="AZ43" s="3229"/>
      <c r="BA43" s="1839"/>
      <c r="BB43" s="1839"/>
      <c r="BC43" s="1839"/>
      <c r="BD43" s="1839"/>
      <c r="BE43" s="1839"/>
      <c r="BF43" s="1839"/>
      <c r="BG43" s="1839"/>
      <c r="BH43" s="1839"/>
      <c r="BI43" s="1839"/>
      <c r="BJ43" s="1839"/>
      <c r="CB43" s="431" t="str">
        <f t="shared" si="29"/>
        <v xml:space="preserve"> * La variable COL38 No puede ser mayor al Total.</v>
      </c>
      <c r="CC43" s="431" t="str">
        <f t="shared" si="30"/>
        <v/>
      </c>
      <c r="CN43" s="180">
        <f t="shared" si="31"/>
        <v>1</v>
      </c>
      <c r="CO43" s="180">
        <f t="shared" si="32"/>
        <v>0</v>
      </c>
    </row>
    <row r="44" spans="1:93" ht="15" customHeight="1" x14ac:dyDescent="0.2">
      <c r="A44" s="5795" t="s">
        <v>5576</v>
      </c>
      <c r="B44" s="360" t="s">
        <v>1406</v>
      </c>
      <c r="C44" s="737" t="s">
        <v>4567</v>
      </c>
      <c r="D44" s="751" t="s">
        <v>4568</v>
      </c>
      <c r="E44" s="344" t="s">
        <v>4569</v>
      </c>
      <c r="F44" s="345" t="s">
        <v>4570</v>
      </c>
      <c r="G44" s="346" t="s">
        <v>4571</v>
      </c>
      <c r="H44" s="345" t="s">
        <v>4572</v>
      </c>
      <c r="I44" s="346" t="s">
        <v>4573</v>
      </c>
      <c r="J44" s="345" t="s">
        <v>4574</v>
      </c>
      <c r="K44" s="349" t="s">
        <v>4575</v>
      </c>
      <c r="L44" s="345" t="s">
        <v>4576</v>
      </c>
      <c r="M44" s="349" t="s">
        <v>4577</v>
      </c>
      <c r="N44" s="345" t="s">
        <v>4578</v>
      </c>
      <c r="O44" s="349" t="s">
        <v>4579</v>
      </c>
      <c r="P44" s="350" t="s">
        <v>4580</v>
      </c>
      <c r="Q44" s="349" t="s">
        <v>4581</v>
      </c>
      <c r="R44" s="350" t="s">
        <v>4582</v>
      </c>
      <c r="S44" s="349" t="s">
        <v>4583</v>
      </c>
      <c r="T44" s="350" t="s">
        <v>4584</v>
      </c>
      <c r="U44" s="349" t="s">
        <v>4585</v>
      </c>
      <c r="V44" s="350" t="s">
        <v>4586</v>
      </c>
      <c r="W44" s="349" t="s">
        <v>4587</v>
      </c>
      <c r="X44" s="350" t="s">
        <v>4588</v>
      </c>
      <c r="Y44" s="349" t="s">
        <v>4589</v>
      </c>
      <c r="Z44" s="350" t="s">
        <v>4590</v>
      </c>
      <c r="AA44" s="349" t="s">
        <v>4591</v>
      </c>
      <c r="AB44" s="350" t="s">
        <v>4592</v>
      </c>
      <c r="AC44" s="349" t="s">
        <v>4593</v>
      </c>
      <c r="AD44" s="350" t="s">
        <v>4594</v>
      </c>
      <c r="AE44" s="349" t="s">
        <v>4595</v>
      </c>
      <c r="AF44" s="350" t="s">
        <v>4596</v>
      </c>
      <c r="AG44" s="349" t="s">
        <v>4597</v>
      </c>
      <c r="AH44" s="350" t="s">
        <v>4598</v>
      </c>
      <c r="AI44" s="349" t="s">
        <v>4599</v>
      </c>
      <c r="AJ44" s="350" t="s">
        <v>4600</v>
      </c>
      <c r="AK44" s="349" t="s">
        <v>4601</v>
      </c>
      <c r="AL44" s="350" t="s">
        <v>4602</v>
      </c>
      <c r="AM44" s="351" t="s">
        <v>4603</v>
      </c>
      <c r="AN44" s="347" t="s">
        <v>4604</v>
      </c>
      <c r="AO44" s="346" t="s">
        <v>4605</v>
      </c>
      <c r="AP44" s="3258" t="str">
        <f t="shared" si="28"/>
        <v xml:space="preserve"> * La variable COL38 No puede ser mayor al Total.</v>
      </c>
      <c r="AQ44" s="3229"/>
      <c r="AR44" s="3229"/>
      <c r="AS44" s="3229"/>
      <c r="AT44" s="3229"/>
      <c r="AU44" s="3229"/>
      <c r="AV44" s="3229"/>
      <c r="AW44" s="3229"/>
      <c r="AX44" s="3229"/>
      <c r="AY44" s="3229"/>
      <c r="AZ44" s="3229"/>
      <c r="BA44" s="1839"/>
      <c r="BB44" s="1839"/>
      <c r="BC44" s="1839"/>
      <c r="BD44" s="1839"/>
      <c r="BE44" s="1839"/>
      <c r="BF44" s="1839"/>
      <c r="BG44" s="1839"/>
      <c r="BH44" s="1839"/>
      <c r="BI44" s="1839"/>
      <c r="BJ44" s="1839"/>
      <c r="CB44" s="431" t="str">
        <f t="shared" si="29"/>
        <v xml:space="preserve"> * La variable COL38 No puede ser mayor al Total.</v>
      </c>
      <c r="CC44" s="431" t="str">
        <f t="shared" si="30"/>
        <v/>
      </c>
      <c r="CN44" s="180">
        <f t="shared" si="31"/>
        <v>1</v>
      </c>
      <c r="CO44" s="180">
        <f t="shared" si="32"/>
        <v>0</v>
      </c>
    </row>
    <row r="45" spans="1:93" ht="15" customHeight="1" x14ac:dyDescent="0.2">
      <c r="A45" s="5795" t="s">
        <v>5577</v>
      </c>
      <c r="B45" s="360" t="s">
        <v>99</v>
      </c>
      <c r="C45" s="737" t="s">
        <v>4567</v>
      </c>
      <c r="D45" s="751" t="s">
        <v>4568</v>
      </c>
      <c r="E45" s="344" t="s">
        <v>4569</v>
      </c>
      <c r="F45" s="345" t="s">
        <v>4570</v>
      </c>
      <c r="G45" s="346" t="s">
        <v>4571</v>
      </c>
      <c r="H45" s="345" t="s">
        <v>4572</v>
      </c>
      <c r="I45" s="346" t="s">
        <v>4573</v>
      </c>
      <c r="J45" s="345" t="s">
        <v>4574</v>
      </c>
      <c r="K45" s="349" t="s">
        <v>4575</v>
      </c>
      <c r="L45" s="345" t="s">
        <v>4576</v>
      </c>
      <c r="M45" s="349" t="s">
        <v>4577</v>
      </c>
      <c r="N45" s="345" t="s">
        <v>4578</v>
      </c>
      <c r="O45" s="349" t="s">
        <v>4579</v>
      </c>
      <c r="P45" s="350" t="s">
        <v>4580</v>
      </c>
      <c r="Q45" s="349" t="s">
        <v>4581</v>
      </c>
      <c r="R45" s="350" t="s">
        <v>4582</v>
      </c>
      <c r="S45" s="349" t="s">
        <v>4583</v>
      </c>
      <c r="T45" s="350" t="s">
        <v>4584</v>
      </c>
      <c r="U45" s="349" t="s">
        <v>4585</v>
      </c>
      <c r="V45" s="350" t="s">
        <v>4586</v>
      </c>
      <c r="W45" s="349" t="s">
        <v>4587</v>
      </c>
      <c r="X45" s="350" t="s">
        <v>4588</v>
      </c>
      <c r="Y45" s="349" t="s">
        <v>4589</v>
      </c>
      <c r="Z45" s="350" t="s">
        <v>4590</v>
      </c>
      <c r="AA45" s="349" t="s">
        <v>4591</v>
      </c>
      <c r="AB45" s="350" t="s">
        <v>4592</v>
      </c>
      <c r="AC45" s="349" t="s">
        <v>4593</v>
      </c>
      <c r="AD45" s="350" t="s">
        <v>4594</v>
      </c>
      <c r="AE45" s="349" t="s">
        <v>4595</v>
      </c>
      <c r="AF45" s="350" t="s">
        <v>4596</v>
      </c>
      <c r="AG45" s="349" t="s">
        <v>4597</v>
      </c>
      <c r="AH45" s="350" t="s">
        <v>4598</v>
      </c>
      <c r="AI45" s="349" t="s">
        <v>4599</v>
      </c>
      <c r="AJ45" s="350" t="s">
        <v>4600</v>
      </c>
      <c r="AK45" s="349" t="s">
        <v>4601</v>
      </c>
      <c r="AL45" s="350" t="s">
        <v>4602</v>
      </c>
      <c r="AM45" s="351" t="s">
        <v>4603</v>
      </c>
      <c r="AN45" s="347" t="s">
        <v>4604</v>
      </c>
      <c r="AO45" s="346" t="s">
        <v>4605</v>
      </c>
      <c r="AP45" s="3258" t="str">
        <f t="shared" si="28"/>
        <v xml:space="preserve"> * La variable COL38 No puede ser mayor al Total.</v>
      </c>
      <c r="AQ45" s="3229"/>
      <c r="AR45" s="3229"/>
      <c r="AS45" s="3229"/>
      <c r="AT45" s="3229"/>
      <c r="AU45" s="3229"/>
      <c r="AV45" s="3229"/>
      <c r="AW45" s="3229"/>
      <c r="AX45" s="3229"/>
      <c r="AY45" s="3229"/>
      <c r="AZ45" s="3229"/>
      <c r="BA45" s="1839"/>
      <c r="BB45" s="1839"/>
      <c r="BC45" s="1839"/>
      <c r="BD45" s="1839"/>
      <c r="BE45" s="1839"/>
      <c r="BF45" s="1839"/>
      <c r="BG45" s="1839"/>
      <c r="BH45" s="1839"/>
      <c r="BI45" s="1839"/>
      <c r="BJ45" s="1839"/>
      <c r="CB45" s="431" t="str">
        <f t="shared" si="29"/>
        <v xml:space="preserve"> * La variable COL38 No puede ser mayor al Total.</v>
      </c>
      <c r="CC45" s="431" t="str">
        <f t="shared" si="30"/>
        <v/>
      </c>
      <c r="CN45" s="180">
        <f t="shared" si="31"/>
        <v>1</v>
      </c>
      <c r="CO45" s="180">
        <f t="shared" si="32"/>
        <v>0</v>
      </c>
    </row>
    <row r="46" spans="1:93" ht="15" customHeight="1" x14ac:dyDescent="0.2">
      <c r="A46" s="5795" t="s">
        <v>5578</v>
      </c>
      <c r="B46" s="523" t="s">
        <v>1075</v>
      </c>
      <c r="C46" s="703" t="s">
        <v>4567</v>
      </c>
      <c r="D46" s="2202" t="s">
        <v>4568</v>
      </c>
      <c r="E46" s="625" t="s">
        <v>4569</v>
      </c>
      <c r="F46" s="379" t="s">
        <v>4570</v>
      </c>
      <c r="G46" s="387" t="s">
        <v>4571</v>
      </c>
      <c r="H46" s="379" t="s">
        <v>4572</v>
      </c>
      <c r="I46" s="387" t="s">
        <v>4573</v>
      </c>
      <c r="J46" s="379" t="s">
        <v>4574</v>
      </c>
      <c r="K46" s="388" t="s">
        <v>4575</v>
      </c>
      <c r="L46" s="379" t="s">
        <v>4576</v>
      </c>
      <c r="M46" s="388" t="s">
        <v>4577</v>
      </c>
      <c r="N46" s="379" t="s">
        <v>4578</v>
      </c>
      <c r="O46" s="388" t="s">
        <v>4579</v>
      </c>
      <c r="P46" s="666" t="s">
        <v>4580</v>
      </c>
      <c r="Q46" s="388" t="s">
        <v>4581</v>
      </c>
      <c r="R46" s="666" t="s">
        <v>4582</v>
      </c>
      <c r="S46" s="388" t="s">
        <v>4583</v>
      </c>
      <c r="T46" s="666" t="s">
        <v>4584</v>
      </c>
      <c r="U46" s="388" t="s">
        <v>4585</v>
      </c>
      <c r="V46" s="666" t="s">
        <v>4586</v>
      </c>
      <c r="W46" s="388" t="s">
        <v>4587</v>
      </c>
      <c r="X46" s="666" t="s">
        <v>4588</v>
      </c>
      <c r="Y46" s="388" t="s">
        <v>4589</v>
      </c>
      <c r="Z46" s="666" t="s">
        <v>4590</v>
      </c>
      <c r="AA46" s="388" t="s">
        <v>4591</v>
      </c>
      <c r="AB46" s="666" t="s">
        <v>4592</v>
      </c>
      <c r="AC46" s="388" t="s">
        <v>4593</v>
      </c>
      <c r="AD46" s="666" t="s">
        <v>4594</v>
      </c>
      <c r="AE46" s="388" t="s">
        <v>4595</v>
      </c>
      <c r="AF46" s="666" t="s">
        <v>4596</v>
      </c>
      <c r="AG46" s="388" t="s">
        <v>4597</v>
      </c>
      <c r="AH46" s="666" t="s">
        <v>4598</v>
      </c>
      <c r="AI46" s="388" t="s">
        <v>4599</v>
      </c>
      <c r="AJ46" s="666" t="s">
        <v>4600</v>
      </c>
      <c r="AK46" s="388" t="s">
        <v>4601</v>
      </c>
      <c r="AL46" s="666" t="s">
        <v>4602</v>
      </c>
      <c r="AM46" s="389" t="s">
        <v>4603</v>
      </c>
      <c r="AN46" s="428" t="s">
        <v>4604</v>
      </c>
      <c r="AO46" s="387" t="s">
        <v>4605</v>
      </c>
      <c r="AP46" s="3258" t="str">
        <f t="shared" si="28"/>
        <v xml:space="preserve"> * La variable COL38 No puede ser mayor al Total.</v>
      </c>
      <c r="AQ46" s="3229"/>
      <c r="AR46" s="3229"/>
      <c r="AS46" s="3229"/>
      <c r="AT46" s="3229"/>
      <c r="AU46" s="3229"/>
      <c r="AV46" s="3229"/>
      <c r="AW46" s="3229"/>
      <c r="AX46" s="3229"/>
      <c r="AY46" s="3229"/>
      <c r="AZ46" s="3229"/>
      <c r="BA46" s="1839"/>
      <c r="BB46" s="1839"/>
      <c r="BC46" s="1839"/>
      <c r="BD46" s="1839"/>
      <c r="BE46" s="1839"/>
      <c r="BF46" s="1839"/>
      <c r="BG46" s="1839"/>
      <c r="BH46" s="1839"/>
      <c r="BI46" s="1839"/>
      <c r="BJ46" s="1839"/>
      <c r="CB46" s="431" t="str">
        <f t="shared" si="29"/>
        <v xml:space="preserve"> * La variable COL38 No puede ser mayor al Total.</v>
      </c>
      <c r="CC46" s="431" t="str">
        <f t="shared" si="30"/>
        <v/>
      </c>
      <c r="CN46" s="180">
        <f>IF(AND($C46&gt;0,AN46=""),1,IF(AN46&gt;$C46,1,0))</f>
        <v>1</v>
      </c>
      <c r="CO46" s="180">
        <f t="shared" si="32"/>
        <v>0</v>
      </c>
    </row>
    <row r="47" spans="1:93" s="8" customFormat="1" ht="18" customHeight="1" x14ac:dyDescent="0.2">
      <c r="A47" s="6"/>
      <c r="B47" s="3" t="s">
        <v>1408</v>
      </c>
      <c r="C47" s="3"/>
      <c r="D47" s="3"/>
      <c r="E47" s="3"/>
      <c r="F47" s="3"/>
      <c r="G47" s="3"/>
      <c r="H47" s="3"/>
      <c r="I47" s="1"/>
      <c r="J47" s="1"/>
      <c r="K47" s="1"/>
      <c r="L47" s="1"/>
      <c r="M47" s="1"/>
      <c r="N47" s="1"/>
      <c r="O47" s="1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861"/>
      <c r="AO47" s="5"/>
      <c r="AP47" s="3250"/>
      <c r="AQ47" s="3251"/>
      <c r="AR47" s="3251"/>
      <c r="AS47" s="3251"/>
      <c r="AT47" s="3251"/>
      <c r="AU47" s="3251"/>
      <c r="AV47" s="3251"/>
      <c r="AW47" s="3251"/>
      <c r="AX47" s="3251"/>
      <c r="AY47" s="3251"/>
      <c r="AZ47" s="3251"/>
      <c r="BA47" s="5"/>
      <c r="BB47" s="5"/>
      <c r="BC47" s="5"/>
      <c r="BD47" s="5"/>
      <c r="BE47" s="5"/>
      <c r="BF47" s="5"/>
      <c r="BG47" s="5"/>
      <c r="BH47" s="5"/>
      <c r="BI47" s="5"/>
      <c r="BJ47" s="5"/>
      <c r="BW47" s="5"/>
      <c r="BX47" s="5"/>
      <c r="BY47" s="3252"/>
      <c r="BZ47" s="3252"/>
    </row>
    <row r="48" spans="1:93" ht="16.350000000000001" customHeight="1" x14ac:dyDescent="0.2">
      <c r="A48" s="6"/>
      <c r="B48" s="6575" t="s">
        <v>27</v>
      </c>
      <c r="C48" s="6212" t="s">
        <v>1363</v>
      </c>
      <c r="D48" s="6510"/>
      <c r="E48" s="6511"/>
      <c r="F48" s="6704" t="s">
        <v>1409</v>
      </c>
      <c r="G48" s="6515"/>
      <c r="H48" s="6515"/>
      <c r="I48" s="6515"/>
      <c r="J48" s="6515"/>
      <c r="K48" s="6515"/>
      <c r="L48" s="6515"/>
      <c r="M48" s="6515"/>
      <c r="N48" s="6515"/>
      <c r="O48" s="6515"/>
      <c r="P48" s="6515"/>
      <c r="Q48" s="6515"/>
      <c r="R48" s="6515"/>
      <c r="S48" s="6515"/>
      <c r="T48" s="6515"/>
      <c r="U48" s="6515"/>
      <c r="V48" s="6515"/>
      <c r="W48" s="6515"/>
      <c r="X48" s="6515"/>
      <c r="Y48" s="6515"/>
      <c r="Z48" s="6515"/>
      <c r="AA48" s="6515"/>
      <c r="AB48" s="6515"/>
      <c r="AC48" s="6515"/>
      <c r="AD48" s="6515"/>
      <c r="AE48" s="6515"/>
      <c r="AF48" s="6515"/>
      <c r="AG48" s="6515"/>
      <c r="AH48" s="6515"/>
      <c r="AI48" s="6515"/>
      <c r="AJ48" s="6515"/>
      <c r="AK48" s="6515"/>
      <c r="AL48" s="6515"/>
      <c r="AM48" s="6455"/>
      <c r="AN48" s="6492" t="s">
        <v>597</v>
      </c>
      <c r="AO48" s="6511" t="s">
        <v>1367</v>
      </c>
      <c r="AP48" s="3228"/>
      <c r="AQ48" s="3229"/>
      <c r="AR48" s="3229"/>
      <c r="AS48" s="3229"/>
      <c r="AT48" s="3229"/>
      <c r="AU48" s="3229"/>
      <c r="AV48" s="3229"/>
      <c r="AW48" s="3229"/>
      <c r="AX48" s="3229"/>
      <c r="AY48" s="3229"/>
      <c r="AZ48" s="3229"/>
      <c r="BA48" s="1839"/>
      <c r="BB48" s="1839"/>
      <c r="BC48" s="1839"/>
      <c r="BD48" s="1839"/>
      <c r="BE48" s="1839"/>
      <c r="BF48" s="1839"/>
      <c r="BG48" s="1839"/>
      <c r="BH48" s="1839"/>
      <c r="BI48" s="1839"/>
      <c r="BJ48" s="1839"/>
    </row>
    <row r="49" spans="1:93" ht="16.350000000000001" customHeight="1" x14ac:dyDescent="0.2">
      <c r="A49" s="6"/>
      <c r="B49" s="6827"/>
      <c r="C49" s="6734"/>
      <c r="D49" s="6735"/>
      <c r="E49" s="6736"/>
      <c r="F49" s="6704" t="s">
        <v>1387</v>
      </c>
      <c r="G49" s="6451"/>
      <c r="H49" s="6704" t="s">
        <v>1388</v>
      </c>
      <c r="I49" s="6451"/>
      <c r="J49" s="6704" t="s">
        <v>1389</v>
      </c>
      <c r="K49" s="6451"/>
      <c r="L49" s="6704" t="s">
        <v>1390</v>
      </c>
      <c r="M49" s="6451"/>
      <c r="N49" s="6704" t="s">
        <v>1391</v>
      </c>
      <c r="O49" s="6451"/>
      <c r="P49" s="6705" t="s">
        <v>1392</v>
      </c>
      <c r="Q49" s="6448"/>
      <c r="R49" s="6705" t="s">
        <v>1393</v>
      </c>
      <c r="S49" s="6448"/>
      <c r="T49" s="6705" t="s">
        <v>1394</v>
      </c>
      <c r="U49" s="6448"/>
      <c r="V49" s="6705" t="s">
        <v>1395</v>
      </c>
      <c r="W49" s="6448"/>
      <c r="X49" s="6705" t="s">
        <v>1396</v>
      </c>
      <c r="Y49" s="6448"/>
      <c r="Z49" s="6705" t="s">
        <v>1397</v>
      </c>
      <c r="AA49" s="6448"/>
      <c r="AB49" s="6705" t="s">
        <v>1398</v>
      </c>
      <c r="AC49" s="6448"/>
      <c r="AD49" s="6705" t="s">
        <v>1399</v>
      </c>
      <c r="AE49" s="6448"/>
      <c r="AF49" s="6705" t="s">
        <v>1400</v>
      </c>
      <c r="AG49" s="6448"/>
      <c r="AH49" s="6705" t="s">
        <v>1401</v>
      </c>
      <c r="AI49" s="6448"/>
      <c r="AJ49" s="6705" t="s">
        <v>1402</v>
      </c>
      <c r="AK49" s="6448"/>
      <c r="AL49" s="6705" t="s">
        <v>1403</v>
      </c>
      <c r="AM49" s="6447"/>
      <c r="AN49" s="6105"/>
      <c r="AO49" s="6027"/>
      <c r="AP49" s="3228"/>
      <c r="AQ49" s="3229"/>
      <c r="AR49" s="3229"/>
      <c r="AS49" s="3229"/>
      <c r="AT49" s="3229"/>
      <c r="AU49" s="3229"/>
      <c r="AV49" s="3229"/>
      <c r="AW49" s="3229"/>
      <c r="AX49" s="3229"/>
      <c r="AY49" s="3229"/>
      <c r="AZ49" s="3229"/>
      <c r="BA49" s="1839"/>
      <c r="BB49" s="1839"/>
      <c r="BC49" s="1839"/>
      <c r="BD49" s="1839"/>
      <c r="BE49" s="1839"/>
      <c r="BF49" s="1839"/>
      <c r="BG49" s="1839"/>
      <c r="BH49" s="1839"/>
      <c r="BI49" s="1839"/>
      <c r="BJ49" s="1839"/>
    </row>
    <row r="50" spans="1:93" ht="16.350000000000001" customHeight="1" x14ac:dyDescent="0.2">
      <c r="A50" s="6"/>
      <c r="B50" s="6750"/>
      <c r="C50" s="866" t="s">
        <v>79</v>
      </c>
      <c r="D50" s="3224" t="s">
        <v>461</v>
      </c>
      <c r="E50" s="90" t="s">
        <v>59</v>
      </c>
      <c r="F50" s="744" t="s">
        <v>461</v>
      </c>
      <c r="G50" s="486" t="s">
        <v>59</v>
      </c>
      <c r="H50" s="744" t="s">
        <v>461</v>
      </c>
      <c r="I50" s="1804" t="s">
        <v>59</v>
      </c>
      <c r="J50" s="744" t="s">
        <v>461</v>
      </c>
      <c r="K50" s="486" t="s">
        <v>59</v>
      </c>
      <c r="L50" s="744" t="s">
        <v>461</v>
      </c>
      <c r="M50" s="486" t="s">
        <v>59</v>
      </c>
      <c r="N50" s="744" t="s">
        <v>461</v>
      </c>
      <c r="O50" s="486" t="s">
        <v>59</v>
      </c>
      <c r="P50" s="744" t="s">
        <v>461</v>
      </c>
      <c r="Q50" s="486" t="s">
        <v>59</v>
      </c>
      <c r="R50" s="744" t="s">
        <v>461</v>
      </c>
      <c r="S50" s="486" t="s">
        <v>59</v>
      </c>
      <c r="T50" s="744" t="s">
        <v>461</v>
      </c>
      <c r="U50" s="1804" t="s">
        <v>59</v>
      </c>
      <c r="V50" s="744" t="s">
        <v>461</v>
      </c>
      <c r="W50" s="1804" t="s">
        <v>59</v>
      </c>
      <c r="X50" s="744" t="s">
        <v>461</v>
      </c>
      <c r="Y50" s="486" t="s">
        <v>59</v>
      </c>
      <c r="Z50" s="744" t="s">
        <v>461</v>
      </c>
      <c r="AA50" s="486" t="s">
        <v>59</v>
      </c>
      <c r="AB50" s="744" t="s">
        <v>461</v>
      </c>
      <c r="AC50" s="486" t="s">
        <v>59</v>
      </c>
      <c r="AD50" s="744" t="s">
        <v>461</v>
      </c>
      <c r="AE50" s="486" t="s">
        <v>59</v>
      </c>
      <c r="AF50" s="744" t="s">
        <v>461</v>
      </c>
      <c r="AG50" s="1804" t="s">
        <v>59</v>
      </c>
      <c r="AH50" s="744" t="s">
        <v>461</v>
      </c>
      <c r="AI50" s="486" t="s">
        <v>59</v>
      </c>
      <c r="AJ50" s="744" t="s">
        <v>461</v>
      </c>
      <c r="AK50" s="486" t="s">
        <v>59</v>
      </c>
      <c r="AL50" s="744" t="s">
        <v>461</v>
      </c>
      <c r="AM50" s="579" t="s">
        <v>59</v>
      </c>
      <c r="AN50" s="6894"/>
      <c r="AO50" s="6736"/>
      <c r="AP50" s="3228"/>
      <c r="AQ50" s="3229"/>
      <c r="AR50" s="3229"/>
      <c r="AS50" s="3229"/>
      <c r="AT50" s="3229"/>
      <c r="AU50" s="3229"/>
      <c r="AV50" s="3229"/>
      <c r="AW50" s="3229"/>
      <c r="AX50" s="3229"/>
      <c r="AY50" s="3229"/>
      <c r="AZ50" s="3229"/>
      <c r="BA50" s="1839"/>
      <c r="BB50" s="1839"/>
      <c r="BC50" s="1839"/>
      <c r="BD50" s="1839"/>
      <c r="BE50" s="1839"/>
      <c r="BF50" s="1839"/>
      <c r="BG50" s="1839"/>
      <c r="BH50" s="1839"/>
      <c r="BI50" s="1839"/>
      <c r="BJ50" s="1839"/>
    </row>
    <row r="51" spans="1:93" ht="15" customHeight="1" x14ac:dyDescent="0.2">
      <c r="A51" s="5795" t="s">
        <v>5579</v>
      </c>
      <c r="B51" s="3235" t="s">
        <v>959</v>
      </c>
      <c r="C51" s="3254" t="s">
        <v>4567</v>
      </c>
      <c r="D51" s="746" t="s">
        <v>4568</v>
      </c>
      <c r="E51" s="606" t="s">
        <v>4569</v>
      </c>
      <c r="F51" s="290" t="s">
        <v>4570</v>
      </c>
      <c r="G51" s="3129" t="s">
        <v>4571</v>
      </c>
      <c r="H51" s="290" t="s">
        <v>4572</v>
      </c>
      <c r="I51" s="107" t="s">
        <v>4573</v>
      </c>
      <c r="J51" s="290" t="s">
        <v>4574</v>
      </c>
      <c r="K51" s="3129" t="s">
        <v>4575</v>
      </c>
      <c r="L51" s="290" t="s">
        <v>4576</v>
      </c>
      <c r="M51" s="3129" t="s">
        <v>4577</v>
      </c>
      <c r="N51" s="290" t="s">
        <v>4578</v>
      </c>
      <c r="O51" s="3129" t="s">
        <v>4579</v>
      </c>
      <c r="P51" s="245" t="s">
        <v>4580</v>
      </c>
      <c r="Q51" s="3129" t="s">
        <v>4581</v>
      </c>
      <c r="R51" s="245" t="s">
        <v>4582</v>
      </c>
      <c r="S51" s="3129" t="s">
        <v>4583</v>
      </c>
      <c r="T51" s="245" t="s">
        <v>4584</v>
      </c>
      <c r="U51" s="622" t="s">
        <v>4585</v>
      </c>
      <c r="V51" s="245" t="s">
        <v>4586</v>
      </c>
      <c r="W51" s="622" t="s">
        <v>4587</v>
      </c>
      <c r="X51" s="245" t="s">
        <v>4588</v>
      </c>
      <c r="Y51" s="3129" t="s">
        <v>4589</v>
      </c>
      <c r="Z51" s="245" t="s">
        <v>4590</v>
      </c>
      <c r="AA51" s="3129" t="s">
        <v>4591</v>
      </c>
      <c r="AB51" s="245" t="s">
        <v>4592</v>
      </c>
      <c r="AC51" s="3129" t="s">
        <v>4593</v>
      </c>
      <c r="AD51" s="245" t="s">
        <v>4594</v>
      </c>
      <c r="AE51" s="3129" t="s">
        <v>4595</v>
      </c>
      <c r="AF51" s="245" t="s">
        <v>4596</v>
      </c>
      <c r="AG51" s="622" t="s">
        <v>4597</v>
      </c>
      <c r="AH51" s="245" t="s">
        <v>4598</v>
      </c>
      <c r="AI51" s="3129" t="s">
        <v>4599</v>
      </c>
      <c r="AJ51" s="245" t="s">
        <v>4600</v>
      </c>
      <c r="AK51" s="3129" t="s">
        <v>4601</v>
      </c>
      <c r="AL51" s="245" t="s">
        <v>4602</v>
      </c>
      <c r="AM51" s="5555" t="s">
        <v>4603</v>
      </c>
      <c r="AN51" s="22" t="s">
        <v>4604</v>
      </c>
      <c r="AO51" s="566" t="s">
        <v>4605</v>
      </c>
      <c r="AP51" s="3258" t="str">
        <f t="shared" ref="AP51:AP56" si="33">CB51&amp;CC51</f>
        <v xml:space="preserve"> * La variable Beneficiarios No puede ser mayor al Total.</v>
      </c>
      <c r="AQ51" s="3229"/>
      <c r="AR51" s="3229"/>
      <c r="AS51" s="3229"/>
      <c r="AT51" s="3229"/>
      <c r="AU51" s="3229"/>
      <c r="AV51" s="3229"/>
      <c r="AW51" s="3229"/>
      <c r="AX51" s="3229"/>
      <c r="AY51" s="3229"/>
      <c r="AZ51" s="3229"/>
      <c r="BA51" s="1839"/>
      <c r="BB51" s="1839"/>
      <c r="BC51" s="1839"/>
      <c r="BD51" s="1839"/>
      <c r="BE51" s="1839"/>
      <c r="BF51" s="1839"/>
      <c r="BG51" s="1839"/>
      <c r="BH51" s="1839"/>
      <c r="BI51" s="1839"/>
      <c r="BJ51" s="1839"/>
      <c r="CB51" s="431" t="str">
        <f>IF(AND($C51&gt;0,AN51="")," * No olvide digitar la variable "&amp;AN$48&amp;""&amp;". Digite CERO si no tiene",IF(AN51&gt;$C51," * La variable "&amp;AN$48&amp;""&amp;" No puede ser mayor al Total.",""))</f>
        <v xml:space="preserve"> * La variable Beneficiarios No puede ser mayor al Total.</v>
      </c>
      <c r="CC51" s="431" t="str">
        <f>IF(AND($C51&gt;0,AO51="")," * No olvide digitar la variable "&amp;AO$48&amp;""&amp;". Digite CERO si no tiene",IF(C51&gt;AO51," * La variable "&amp;AO$48&amp;""&amp;" No puede ser menor al Total.",""))</f>
        <v/>
      </c>
      <c r="CN51" s="180">
        <f>IF(AND($C51&gt;0,AN51=""),1,IF(AN51&gt;$C51,1,0))</f>
        <v>1</v>
      </c>
      <c r="CO51" s="180">
        <f t="shared" ref="CO51:CO56" si="34">IF(AND($C51&gt;0,AO51=""),1,IF(C51&gt;$AO51,1,0))</f>
        <v>0</v>
      </c>
    </row>
    <row r="52" spans="1:93" ht="15" customHeight="1" x14ac:dyDescent="0.2">
      <c r="A52" s="5795" t="s">
        <v>5580</v>
      </c>
      <c r="B52" s="360" t="s">
        <v>1404</v>
      </c>
      <c r="C52" s="737" t="s">
        <v>4567</v>
      </c>
      <c r="D52" s="751" t="s">
        <v>4568</v>
      </c>
      <c r="E52" s="344" t="s">
        <v>4569</v>
      </c>
      <c r="F52" s="290" t="s">
        <v>4570</v>
      </c>
      <c r="G52" s="107" t="s">
        <v>4571</v>
      </c>
      <c r="H52" s="290" t="s">
        <v>4572</v>
      </c>
      <c r="I52" s="107" t="s">
        <v>4573</v>
      </c>
      <c r="J52" s="290" t="s">
        <v>4574</v>
      </c>
      <c r="K52" s="622" t="s">
        <v>4575</v>
      </c>
      <c r="L52" s="290" t="s">
        <v>4576</v>
      </c>
      <c r="M52" s="622" t="s">
        <v>4577</v>
      </c>
      <c r="N52" s="290" t="s">
        <v>4578</v>
      </c>
      <c r="O52" s="622" t="s">
        <v>4579</v>
      </c>
      <c r="P52" s="245" t="s">
        <v>4580</v>
      </c>
      <c r="Q52" s="622" t="s">
        <v>4581</v>
      </c>
      <c r="R52" s="245" t="s">
        <v>4582</v>
      </c>
      <c r="S52" s="622" t="s">
        <v>4583</v>
      </c>
      <c r="T52" s="245" t="s">
        <v>4584</v>
      </c>
      <c r="U52" s="622" t="s">
        <v>4585</v>
      </c>
      <c r="V52" s="245" t="s">
        <v>4586</v>
      </c>
      <c r="W52" s="622" t="s">
        <v>4587</v>
      </c>
      <c r="X52" s="245" t="s">
        <v>4588</v>
      </c>
      <c r="Y52" s="622" t="s">
        <v>4589</v>
      </c>
      <c r="Z52" s="245" t="s">
        <v>4590</v>
      </c>
      <c r="AA52" s="622" t="s">
        <v>4591</v>
      </c>
      <c r="AB52" s="245" t="s">
        <v>4592</v>
      </c>
      <c r="AC52" s="622" t="s">
        <v>4593</v>
      </c>
      <c r="AD52" s="245" t="s">
        <v>4594</v>
      </c>
      <c r="AE52" s="622" t="s">
        <v>4595</v>
      </c>
      <c r="AF52" s="245" t="s">
        <v>4596</v>
      </c>
      <c r="AG52" s="622" t="s">
        <v>4597</v>
      </c>
      <c r="AH52" s="245" t="s">
        <v>4598</v>
      </c>
      <c r="AI52" s="622" t="s">
        <v>4599</v>
      </c>
      <c r="AJ52" s="245" t="s">
        <v>4600</v>
      </c>
      <c r="AK52" s="622" t="s">
        <v>4601</v>
      </c>
      <c r="AL52" s="245" t="s">
        <v>4602</v>
      </c>
      <c r="AM52" s="430" t="s">
        <v>4603</v>
      </c>
      <c r="AN52" s="22" t="s">
        <v>4604</v>
      </c>
      <c r="AO52" s="346" t="s">
        <v>4605</v>
      </c>
      <c r="AP52" s="3258" t="str">
        <f t="shared" si="33"/>
        <v xml:space="preserve"> * La variable Beneficiarios No puede ser mayor al Total.</v>
      </c>
      <c r="AQ52" s="3229"/>
      <c r="AR52" s="3229"/>
      <c r="AS52" s="3229"/>
      <c r="AT52" s="3229"/>
      <c r="AU52" s="3229"/>
      <c r="AV52" s="3229"/>
      <c r="AW52" s="3229"/>
      <c r="AX52" s="3229"/>
      <c r="AY52" s="3229"/>
      <c r="AZ52" s="3229"/>
      <c r="BA52" s="1839"/>
      <c r="BB52" s="1839"/>
      <c r="BC52" s="1839"/>
      <c r="BD52" s="1839"/>
      <c r="BE52" s="1839"/>
      <c r="BF52" s="1839"/>
      <c r="BG52" s="1839"/>
      <c r="BH52" s="1839"/>
      <c r="BI52" s="1839"/>
      <c r="BJ52" s="1839"/>
      <c r="CB52" s="431" t="str">
        <f t="shared" ref="CB52:CB55" si="35">IF(AND($C52&gt;0,AN52="")," * No olvide digitar la variable "&amp;AN$48&amp;""&amp;". Digite CERO si no tiene",IF(AN52&gt;$C52," * La variable "&amp;AN$48&amp;""&amp;" No puede ser mayor al Total.",""))</f>
        <v xml:space="preserve"> * La variable Beneficiarios No puede ser mayor al Total.</v>
      </c>
      <c r="CC52" s="431" t="str">
        <f t="shared" ref="CC52:CC56" si="36">IF(AND($C52&gt;0,AO52="")," * No olvide digitar la variable "&amp;AO$48&amp;""&amp;". Digite CERO si no tiene",IF(C52&gt;AO52," * La variable "&amp;AO$48&amp;""&amp;" No puede ser menor al Total.",""))</f>
        <v/>
      </c>
      <c r="CN52" s="180">
        <f t="shared" ref="CN52:CN55" si="37">IF(AND($C52&gt;0,AN52=""),1,IF(AN52&gt;$C52,1,0))</f>
        <v>1</v>
      </c>
      <c r="CO52" s="180">
        <f t="shared" si="34"/>
        <v>0</v>
      </c>
    </row>
    <row r="53" spans="1:93" ht="15" customHeight="1" x14ac:dyDescent="0.2">
      <c r="A53" s="5795" t="s">
        <v>5581</v>
      </c>
      <c r="B53" s="360" t="s">
        <v>1405</v>
      </c>
      <c r="C53" s="737" t="s">
        <v>4567</v>
      </c>
      <c r="D53" s="751" t="s">
        <v>4568</v>
      </c>
      <c r="E53" s="344" t="s">
        <v>4569</v>
      </c>
      <c r="F53" s="345" t="s">
        <v>4570</v>
      </c>
      <c r="G53" s="346" t="s">
        <v>4571</v>
      </c>
      <c r="H53" s="345" t="s">
        <v>4572</v>
      </c>
      <c r="I53" s="346" t="s">
        <v>4573</v>
      </c>
      <c r="J53" s="345" t="s">
        <v>4574</v>
      </c>
      <c r="K53" s="349" t="s">
        <v>4575</v>
      </c>
      <c r="L53" s="345" t="s">
        <v>4576</v>
      </c>
      <c r="M53" s="349" t="s">
        <v>4577</v>
      </c>
      <c r="N53" s="345" t="s">
        <v>4578</v>
      </c>
      <c r="O53" s="349" t="s">
        <v>4579</v>
      </c>
      <c r="P53" s="350" t="s">
        <v>4580</v>
      </c>
      <c r="Q53" s="349" t="s">
        <v>4581</v>
      </c>
      <c r="R53" s="350" t="s">
        <v>4582</v>
      </c>
      <c r="S53" s="349" t="s">
        <v>4583</v>
      </c>
      <c r="T53" s="350" t="s">
        <v>4584</v>
      </c>
      <c r="U53" s="349" t="s">
        <v>4585</v>
      </c>
      <c r="V53" s="350" t="s">
        <v>4586</v>
      </c>
      <c r="W53" s="349" t="s">
        <v>4587</v>
      </c>
      <c r="X53" s="350" t="s">
        <v>4588</v>
      </c>
      <c r="Y53" s="349" t="s">
        <v>4589</v>
      </c>
      <c r="Z53" s="350" t="s">
        <v>4590</v>
      </c>
      <c r="AA53" s="349" t="s">
        <v>4591</v>
      </c>
      <c r="AB53" s="350" t="s">
        <v>4592</v>
      </c>
      <c r="AC53" s="349" t="s">
        <v>4593</v>
      </c>
      <c r="AD53" s="350" t="s">
        <v>4594</v>
      </c>
      <c r="AE53" s="349" t="s">
        <v>4595</v>
      </c>
      <c r="AF53" s="350" t="s">
        <v>4596</v>
      </c>
      <c r="AG53" s="349" t="s">
        <v>4597</v>
      </c>
      <c r="AH53" s="350" t="s">
        <v>4598</v>
      </c>
      <c r="AI53" s="349" t="s">
        <v>4599</v>
      </c>
      <c r="AJ53" s="350" t="s">
        <v>4600</v>
      </c>
      <c r="AK53" s="349" t="s">
        <v>4601</v>
      </c>
      <c r="AL53" s="350" t="s">
        <v>4602</v>
      </c>
      <c r="AM53" s="351" t="s">
        <v>4603</v>
      </c>
      <c r="AN53" s="347" t="s">
        <v>4604</v>
      </c>
      <c r="AO53" s="346" t="s">
        <v>4605</v>
      </c>
      <c r="AP53" s="3258" t="str">
        <f t="shared" si="33"/>
        <v xml:space="preserve"> * La variable Beneficiarios No puede ser mayor al Total.</v>
      </c>
      <c r="AQ53" s="3229"/>
      <c r="AR53" s="3229"/>
      <c r="AS53" s="3229"/>
      <c r="AT53" s="3229"/>
      <c r="AU53" s="3229"/>
      <c r="AV53" s="3229"/>
      <c r="AW53" s="3229"/>
      <c r="AX53" s="3229"/>
      <c r="AY53" s="3229"/>
      <c r="AZ53" s="3229"/>
      <c r="BA53" s="1839"/>
      <c r="BB53" s="1839"/>
      <c r="BC53" s="1839"/>
      <c r="BD53" s="1839"/>
      <c r="BE53" s="1839"/>
      <c r="BF53" s="1839"/>
      <c r="BG53" s="1839"/>
      <c r="BH53" s="1839"/>
      <c r="BI53" s="1839"/>
      <c r="BJ53" s="1839"/>
      <c r="CB53" s="431" t="str">
        <f t="shared" si="35"/>
        <v xml:space="preserve"> * La variable Beneficiarios No puede ser mayor al Total.</v>
      </c>
      <c r="CC53" s="431" t="str">
        <f t="shared" si="36"/>
        <v/>
      </c>
      <c r="CN53" s="180">
        <f t="shared" si="37"/>
        <v>1</v>
      </c>
      <c r="CO53" s="180">
        <f t="shared" si="34"/>
        <v>0</v>
      </c>
    </row>
    <row r="54" spans="1:93" ht="15" customHeight="1" x14ac:dyDescent="0.2">
      <c r="A54" s="5795" t="s">
        <v>5582</v>
      </c>
      <c r="B54" s="360" t="s">
        <v>1406</v>
      </c>
      <c r="C54" s="737" t="s">
        <v>4567</v>
      </c>
      <c r="D54" s="751" t="s">
        <v>4568</v>
      </c>
      <c r="E54" s="344" t="s">
        <v>4569</v>
      </c>
      <c r="F54" s="345" t="s">
        <v>4570</v>
      </c>
      <c r="G54" s="346" t="s">
        <v>4571</v>
      </c>
      <c r="H54" s="345" t="s">
        <v>4572</v>
      </c>
      <c r="I54" s="346" t="s">
        <v>4573</v>
      </c>
      <c r="J54" s="345" t="s">
        <v>4574</v>
      </c>
      <c r="K54" s="349" t="s">
        <v>4575</v>
      </c>
      <c r="L54" s="345" t="s">
        <v>4576</v>
      </c>
      <c r="M54" s="349" t="s">
        <v>4577</v>
      </c>
      <c r="N54" s="345" t="s">
        <v>4578</v>
      </c>
      <c r="O54" s="349" t="s">
        <v>4579</v>
      </c>
      <c r="P54" s="350" t="s">
        <v>4580</v>
      </c>
      <c r="Q54" s="349" t="s">
        <v>4581</v>
      </c>
      <c r="R54" s="350" t="s">
        <v>4582</v>
      </c>
      <c r="S54" s="349" t="s">
        <v>4583</v>
      </c>
      <c r="T54" s="350" t="s">
        <v>4584</v>
      </c>
      <c r="U54" s="349" t="s">
        <v>4585</v>
      </c>
      <c r="V54" s="350" t="s">
        <v>4586</v>
      </c>
      <c r="W54" s="349" t="s">
        <v>4587</v>
      </c>
      <c r="X54" s="350" t="s">
        <v>4588</v>
      </c>
      <c r="Y54" s="349" t="s">
        <v>4589</v>
      </c>
      <c r="Z54" s="350" t="s">
        <v>4590</v>
      </c>
      <c r="AA54" s="349" t="s">
        <v>4591</v>
      </c>
      <c r="AB54" s="350" t="s">
        <v>4592</v>
      </c>
      <c r="AC54" s="349" t="s">
        <v>4593</v>
      </c>
      <c r="AD54" s="350" t="s">
        <v>4594</v>
      </c>
      <c r="AE54" s="349" t="s">
        <v>4595</v>
      </c>
      <c r="AF54" s="350" t="s">
        <v>4596</v>
      </c>
      <c r="AG54" s="349" t="s">
        <v>4597</v>
      </c>
      <c r="AH54" s="350" t="s">
        <v>4598</v>
      </c>
      <c r="AI54" s="349" t="s">
        <v>4599</v>
      </c>
      <c r="AJ54" s="350" t="s">
        <v>4600</v>
      </c>
      <c r="AK54" s="349" t="s">
        <v>4601</v>
      </c>
      <c r="AL54" s="350" t="s">
        <v>4602</v>
      </c>
      <c r="AM54" s="351" t="s">
        <v>4603</v>
      </c>
      <c r="AN54" s="347" t="s">
        <v>4604</v>
      </c>
      <c r="AO54" s="346" t="s">
        <v>4605</v>
      </c>
      <c r="AP54" s="3258" t="str">
        <f t="shared" si="33"/>
        <v xml:space="preserve"> * La variable Beneficiarios No puede ser mayor al Total.</v>
      </c>
      <c r="AQ54" s="3229"/>
      <c r="AR54" s="3229"/>
      <c r="AS54" s="3229"/>
      <c r="AT54" s="3229"/>
      <c r="AU54" s="3229"/>
      <c r="AV54" s="3229"/>
      <c r="AW54" s="3229"/>
      <c r="AX54" s="3229"/>
      <c r="AY54" s="3229"/>
      <c r="AZ54" s="3229"/>
      <c r="BA54" s="1839"/>
      <c r="BB54" s="1839"/>
      <c r="BC54" s="1839"/>
      <c r="BD54" s="1839"/>
      <c r="BE54" s="1839"/>
      <c r="BF54" s="1839"/>
      <c r="BG54" s="1839"/>
      <c r="BH54" s="1839"/>
      <c r="BI54" s="1839"/>
      <c r="BJ54" s="1839"/>
      <c r="CB54" s="431" t="str">
        <f t="shared" si="35"/>
        <v xml:space="preserve"> * La variable Beneficiarios No puede ser mayor al Total.</v>
      </c>
      <c r="CC54" s="431" t="str">
        <f t="shared" si="36"/>
        <v/>
      </c>
      <c r="CN54" s="180">
        <f t="shared" si="37"/>
        <v>1</v>
      </c>
      <c r="CO54" s="180">
        <f t="shared" si="34"/>
        <v>0</v>
      </c>
    </row>
    <row r="55" spans="1:93" ht="15" customHeight="1" x14ac:dyDescent="0.2">
      <c r="A55" s="5795" t="s">
        <v>5583</v>
      </c>
      <c r="B55" s="360" t="s">
        <v>99</v>
      </c>
      <c r="C55" s="737" t="s">
        <v>4567</v>
      </c>
      <c r="D55" s="751" t="s">
        <v>4568</v>
      </c>
      <c r="E55" s="344" t="s">
        <v>4569</v>
      </c>
      <c r="F55" s="345" t="s">
        <v>4570</v>
      </c>
      <c r="G55" s="346" t="s">
        <v>4571</v>
      </c>
      <c r="H55" s="345" t="s">
        <v>4572</v>
      </c>
      <c r="I55" s="346" t="s">
        <v>4573</v>
      </c>
      <c r="J55" s="345" t="s">
        <v>4574</v>
      </c>
      <c r="K55" s="349" t="s">
        <v>4575</v>
      </c>
      <c r="L55" s="345" t="s">
        <v>4576</v>
      </c>
      <c r="M55" s="349" t="s">
        <v>4577</v>
      </c>
      <c r="N55" s="345" t="s">
        <v>4578</v>
      </c>
      <c r="O55" s="349" t="s">
        <v>4579</v>
      </c>
      <c r="P55" s="350" t="s">
        <v>4580</v>
      </c>
      <c r="Q55" s="349" t="s">
        <v>4581</v>
      </c>
      <c r="R55" s="350" t="s">
        <v>4582</v>
      </c>
      <c r="S55" s="349" t="s">
        <v>4583</v>
      </c>
      <c r="T55" s="350" t="s">
        <v>4584</v>
      </c>
      <c r="U55" s="349" t="s">
        <v>4585</v>
      </c>
      <c r="V55" s="350" t="s">
        <v>4586</v>
      </c>
      <c r="W55" s="349" t="s">
        <v>4587</v>
      </c>
      <c r="X55" s="350" t="s">
        <v>4588</v>
      </c>
      <c r="Y55" s="349" t="s">
        <v>4589</v>
      </c>
      <c r="Z55" s="350" t="s">
        <v>4590</v>
      </c>
      <c r="AA55" s="349" t="s">
        <v>4591</v>
      </c>
      <c r="AB55" s="350" t="s">
        <v>4592</v>
      </c>
      <c r="AC55" s="349" t="s">
        <v>4593</v>
      </c>
      <c r="AD55" s="350" t="s">
        <v>4594</v>
      </c>
      <c r="AE55" s="349" t="s">
        <v>4595</v>
      </c>
      <c r="AF55" s="350" t="s">
        <v>4596</v>
      </c>
      <c r="AG55" s="349" t="s">
        <v>4597</v>
      </c>
      <c r="AH55" s="350" t="s">
        <v>4598</v>
      </c>
      <c r="AI55" s="349" t="s">
        <v>4599</v>
      </c>
      <c r="AJ55" s="350" t="s">
        <v>4600</v>
      </c>
      <c r="AK55" s="349" t="s">
        <v>4601</v>
      </c>
      <c r="AL55" s="350" t="s">
        <v>4602</v>
      </c>
      <c r="AM55" s="351" t="s">
        <v>4603</v>
      </c>
      <c r="AN55" s="347" t="s">
        <v>4604</v>
      </c>
      <c r="AO55" s="346" t="s">
        <v>4605</v>
      </c>
      <c r="AP55" s="3258" t="str">
        <f t="shared" si="33"/>
        <v xml:space="preserve"> * La variable Beneficiarios No puede ser mayor al Total.</v>
      </c>
      <c r="AQ55" s="3229"/>
      <c r="AR55" s="3229"/>
      <c r="AS55" s="3229"/>
      <c r="AT55" s="3229"/>
      <c r="AU55" s="3229"/>
      <c r="AV55" s="3229"/>
      <c r="AW55" s="3229"/>
      <c r="AX55" s="3229"/>
      <c r="AY55" s="3229"/>
      <c r="AZ55" s="3229"/>
      <c r="BA55" s="1839"/>
      <c r="BB55" s="1839"/>
      <c r="BC55" s="1839"/>
      <c r="BD55" s="1839"/>
      <c r="BE55" s="1839"/>
      <c r="BF55" s="1839"/>
      <c r="BG55" s="1839"/>
      <c r="BH55" s="1839"/>
      <c r="BI55" s="1839"/>
      <c r="BJ55" s="1839"/>
      <c r="CB55" s="431" t="str">
        <f t="shared" si="35"/>
        <v xml:space="preserve"> * La variable Beneficiarios No puede ser mayor al Total.</v>
      </c>
      <c r="CC55" s="431" t="str">
        <f t="shared" si="36"/>
        <v/>
      </c>
      <c r="CN55" s="180">
        <f t="shared" si="37"/>
        <v>1</v>
      </c>
      <c r="CO55" s="180">
        <f t="shared" si="34"/>
        <v>0</v>
      </c>
    </row>
    <row r="56" spans="1:93" ht="15" customHeight="1" x14ac:dyDescent="0.2">
      <c r="A56" s="5795" t="s">
        <v>5584</v>
      </c>
      <c r="B56" s="523" t="s">
        <v>1075</v>
      </c>
      <c r="C56" s="703" t="s">
        <v>4567</v>
      </c>
      <c r="D56" s="2202" t="s">
        <v>4568</v>
      </c>
      <c r="E56" s="625" t="s">
        <v>4569</v>
      </c>
      <c r="F56" s="379" t="s">
        <v>4570</v>
      </c>
      <c r="G56" s="387" t="s">
        <v>4571</v>
      </c>
      <c r="H56" s="379" t="s">
        <v>4572</v>
      </c>
      <c r="I56" s="387" t="s">
        <v>4573</v>
      </c>
      <c r="J56" s="379" t="s">
        <v>4574</v>
      </c>
      <c r="K56" s="388" t="s">
        <v>4575</v>
      </c>
      <c r="L56" s="379" t="s">
        <v>4576</v>
      </c>
      <c r="M56" s="388" t="s">
        <v>4577</v>
      </c>
      <c r="N56" s="379" t="s">
        <v>4578</v>
      </c>
      <c r="O56" s="388" t="s">
        <v>4579</v>
      </c>
      <c r="P56" s="666" t="s">
        <v>4580</v>
      </c>
      <c r="Q56" s="388" t="s">
        <v>4581</v>
      </c>
      <c r="R56" s="666" t="s">
        <v>4582</v>
      </c>
      <c r="S56" s="388" t="s">
        <v>4583</v>
      </c>
      <c r="T56" s="666" t="s">
        <v>4584</v>
      </c>
      <c r="U56" s="388" t="s">
        <v>4585</v>
      </c>
      <c r="V56" s="666" t="s">
        <v>4586</v>
      </c>
      <c r="W56" s="388" t="s">
        <v>4587</v>
      </c>
      <c r="X56" s="666" t="s">
        <v>4588</v>
      </c>
      <c r="Y56" s="388" t="s">
        <v>4589</v>
      </c>
      <c r="Z56" s="666" t="s">
        <v>4590</v>
      </c>
      <c r="AA56" s="388" t="s">
        <v>4591</v>
      </c>
      <c r="AB56" s="666" t="s">
        <v>4592</v>
      </c>
      <c r="AC56" s="388" t="s">
        <v>4593</v>
      </c>
      <c r="AD56" s="666" t="s">
        <v>4594</v>
      </c>
      <c r="AE56" s="388" t="s">
        <v>4595</v>
      </c>
      <c r="AF56" s="666" t="s">
        <v>4596</v>
      </c>
      <c r="AG56" s="388" t="s">
        <v>4597</v>
      </c>
      <c r="AH56" s="666" t="s">
        <v>4598</v>
      </c>
      <c r="AI56" s="388" t="s">
        <v>4599</v>
      </c>
      <c r="AJ56" s="666" t="s">
        <v>4600</v>
      </c>
      <c r="AK56" s="388" t="s">
        <v>4601</v>
      </c>
      <c r="AL56" s="666" t="s">
        <v>4602</v>
      </c>
      <c r="AM56" s="389" t="s">
        <v>4603</v>
      </c>
      <c r="AN56" s="428" t="s">
        <v>4604</v>
      </c>
      <c r="AO56" s="387" t="s">
        <v>4605</v>
      </c>
      <c r="AP56" s="3258" t="str">
        <f t="shared" si="33"/>
        <v xml:space="preserve"> * La variable Beneficiarios No puede ser mayor al Total.</v>
      </c>
      <c r="AQ56" s="3229"/>
      <c r="AR56" s="3229"/>
      <c r="AS56" s="3229"/>
      <c r="AT56" s="3229"/>
      <c r="AU56" s="3229"/>
      <c r="AV56" s="3229"/>
      <c r="AW56" s="3229"/>
      <c r="AX56" s="3229"/>
      <c r="AY56" s="3229"/>
      <c r="AZ56" s="3229"/>
      <c r="BA56" s="1839"/>
      <c r="BB56" s="1839"/>
      <c r="BC56" s="1839"/>
      <c r="BD56" s="1839"/>
      <c r="BE56" s="1839"/>
      <c r="BF56" s="1839"/>
      <c r="BG56" s="1839"/>
      <c r="BH56" s="1839"/>
      <c r="BI56" s="1839"/>
      <c r="BJ56" s="1839"/>
      <c r="CB56" s="431" t="str">
        <f>IF(AND($C56&gt;0,AN56="")," * No olvide digitar la variable "&amp;AN$48&amp;""&amp;". Digite CERO si no tiene",IF(AN56&gt;$C56," * La variable "&amp;AN$48&amp;""&amp;" No puede ser mayor al Total.",""))</f>
        <v xml:space="preserve"> * La variable Beneficiarios No puede ser mayor al Total.</v>
      </c>
      <c r="CC56" s="431" t="str">
        <f t="shared" si="36"/>
        <v/>
      </c>
      <c r="CN56" s="180">
        <f>IF(AND($C56&gt;0,AN56=""),1,IF(AN56&gt;$C56,1,0))</f>
        <v>1</v>
      </c>
      <c r="CO56" s="180">
        <f t="shared" si="34"/>
        <v>0</v>
      </c>
    </row>
    <row r="57" spans="1:93" s="4" customFormat="1" ht="18" customHeight="1" x14ac:dyDescent="0.15">
      <c r="A57" s="5799"/>
      <c r="B57" s="3137" t="s">
        <v>1410</v>
      </c>
      <c r="C57" s="3137"/>
      <c r="D57" s="3137"/>
      <c r="E57" s="3137"/>
      <c r="F57" s="3137"/>
      <c r="G57" s="3137"/>
      <c r="H57" s="3137"/>
      <c r="I57" s="3137"/>
      <c r="J57" s="3137"/>
      <c r="K57" s="3047"/>
      <c r="L57" s="3047"/>
      <c r="M57" s="3047"/>
      <c r="N57" s="3047"/>
      <c r="O57" s="3047"/>
      <c r="P57" s="3047"/>
      <c r="Q57" s="3047"/>
      <c r="R57" s="3047"/>
      <c r="S57" s="3047"/>
      <c r="T57" s="3047"/>
      <c r="U57" s="3047"/>
      <c r="V57" s="3047"/>
      <c r="W57" s="3047"/>
      <c r="X57" s="3047"/>
      <c r="Y57" s="3047"/>
      <c r="Z57" s="3047"/>
      <c r="AA57" s="3047"/>
      <c r="AB57" s="3047"/>
      <c r="AC57" s="3047"/>
      <c r="AD57" s="3047"/>
      <c r="AE57" s="3047"/>
      <c r="AF57" s="3047"/>
      <c r="AG57" s="3047"/>
      <c r="AH57" s="3047"/>
      <c r="AI57" s="3047"/>
      <c r="AJ57" s="3047"/>
      <c r="AK57" s="3047"/>
      <c r="AL57" s="3047"/>
      <c r="AM57" s="3047"/>
      <c r="AN57" s="3047"/>
      <c r="AO57" s="3047"/>
      <c r="AP57" s="8"/>
      <c r="AQ57" s="8"/>
      <c r="AR57" s="8"/>
      <c r="AS57" s="5"/>
      <c r="AT57" s="5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5"/>
      <c r="BX57" s="5"/>
      <c r="BY57" s="5"/>
      <c r="BZ57" s="5"/>
    </row>
    <row r="58" spans="1:93" ht="16.350000000000001" customHeight="1" x14ac:dyDescent="0.2">
      <c r="A58" s="5800"/>
      <c r="B58" s="6510" t="s">
        <v>1411</v>
      </c>
      <c r="C58" s="6899" t="s">
        <v>77</v>
      </c>
      <c r="D58" s="6761"/>
      <c r="E58" s="6762"/>
      <c r="F58" s="6901" t="s">
        <v>1364</v>
      </c>
      <c r="G58" s="6902"/>
      <c r="H58" s="6902"/>
      <c r="I58" s="6902"/>
      <c r="J58" s="6902"/>
      <c r="K58" s="6902"/>
      <c r="L58" s="6902"/>
      <c r="M58" s="6902"/>
      <c r="N58" s="6902"/>
      <c r="O58" s="6902"/>
      <c r="P58" s="6902"/>
      <c r="Q58" s="6902"/>
      <c r="R58" s="6902"/>
      <c r="S58" s="6902"/>
      <c r="T58" s="6902"/>
      <c r="U58" s="6902"/>
      <c r="V58" s="6902"/>
      <c r="W58" s="6902"/>
      <c r="X58" s="6902"/>
      <c r="Y58" s="6902"/>
      <c r="Z58" s="6902"/>
      <c r="AA58" s="6902"/>
      <c r="AB58" s="6902"/>
      <c r="AC58" s="6902"/>
      <c r="AD58" s="6902"/>
      <c r="AE58" s="6902"/>
      <c r="AF58" s="6902"/>
      <c r="AG58" s="6902"/>
      <c r="AH58" s="6902"/>
      <c r="AI58" s="6902"/>
      <c r="AJ58" s="6902"/>
      <c r="AK58" s="6902"/>
      <c r="AL58" s="6902"/>
      <c r="AM58" s="6903"/>
      <c r="AN58" s="6895" t="s">
        <v>1412</v>
      </c>
      <c r="AO58" s="6896"/>
      <c r="AP58" s="3223"/>
      <c r="AQ58" s="3223"/>
      <c r="AR58" s="3223"/>
      <c r="AS58" s="3259"/>
      <c r="AT58" s="3259"/>
      <c r="AU58" s="3223"/>
      <c r="BY58" s="1839"/>
      <c r="BZ58" s="1839"/>
    </row>
    <row r="59" spans="1:93" ht="16.350000000000001" customHeight="1" x14ac:dyDescent="0.2">
      <c r="A59" s="5800"/>
      <c r="B59" s="6045"/>
      <c r="C59" s="6900"/>
      <c r="D59" s="6764"/>
      <c r="E59" s="6765"/>
      <c r="F59" s="6742" t="s">
        <v>343</v>
      </c>
      <c r="G59" s="6742"/>
      <c r="H59" s="6742" t="s">
        <v>326</v>
      </c>
      <c r="I59" s="6742"/>
      <c r="J59" s="6742" t="s">
        <v>94</v>
      </c>
      <c r="K59" s="6742"/>
      <c r="L59" s="6742" t="s">
        <v>44</v>
      </c>
      <c r="M59" s="6742"/>
      <c r="N59" s="6742" t="s">
        <v>45</v>
      </c>
      <c r="O59" s="6742"/>
      <c r="P59" s="6891" t="s">
        <v>46</v>
      </c>
      <c r="Q59" s="6891"/>
      <c r="R59" s="6891" t="s">
        <v>47</v>
      </c>
      <c r="S59" s="6891"/>
      <c r="T59" s="6891" t="s">
        <v>48</v>
      </c>
      <c r="U59" s="6891"/>
      <c r="V59" s="6891" t="s">
        <v>49</v>
      </c>
      <c r="W59" s="6891"/>
      <c r="X59" s="6891" t="s">
        <v>50</v>
      </c>
      <c r="Y59" s="6891"/>
      <c r="Z59" s="6891" t="s">
        <v>51</v>
      </c>
      <c r="AA59" s="6891"/>
      <c r="AB59" s="6891" t="s">
        <v>52</v>
      </c>
      <c r="AC59" s="6891"/>
      <c r="AD59" s="6891" t="s">
        <v>53</v>
      </c>
      <c r="AE59" s="6891"/>
      <c r="AF59" s="6891" t="s">
        <v>54</v>
      </c>
      <c r="AG59" s="6891"/>
      <c r="AH59" s="6891" t="s">
        <v>55</v>
      </c>
      <c r="AI59" s="6891"/>
      <c r="AJ59" s="6891" t="s">
        <v>56</v>
      </c>
      <c r="AK59" s="6891"/>
      <c r="AL59" s="6891" t="s">
        <v>57</v>
      </c>
      <c r="AM59" s="6893"/>
      <c r="AN59" s="6897"/>
      <c r="AO59" s="6898"/>
      <c r="AP59" s="3259"/>
      <c r="AQ59" s="3259"/>
      <c r="AR59" s="3259"/>
      <c r="AS59" s="3259"/>
      <c r="AT59" s="3259"/>
      <c r="AU59" s="3259"/>
      <c r="AV59" s="1839"/>
      <c r="AW59" s="1839"/>
      <c r="AX59" s="1839"/>
      <c r="AY59" s="1839"/>
      <c r="AZ59" s="1839"/>
      <c r="BA59" s="1839"/>
      <c r="BB59" s="1839"/>
      <c r="BC59" s="1839"/>
      <c r="BD59" s="1839"/>
      <c r="BY59" s="1839"/>
      <c r="BZ59" s="1839"/>
    </row>
    <row r="60" spans="1:93" ht="32.1" customHeight="1" x14ac:dyDescent="0.2">
      <c r="A60" s="5800"/>
      <c r="B60" s="6735"/>
      <c r="C60" s="463" t="s">
        <v>79</v>
      </c>
      <c r="D60" s="718" t="s">
        <v>58</v>
      </c>
      <c r="E60" s="464" t="s">
        <v>59</v>
      </c>
      <c r="F60" s="744" t="s">
        <v>58</v>
      </c>
      <c r="G60" s="464" t="s">
        <v>59</v>
      </c>
      <c r="H60" s="744" t="s">
        <v>58</v>
      </c>
      <c r="I60" s="464" t="s">
        <v>59</v>
      </c>
      <c r="J60" s="744" t="s">
        <v>58</v>
      </c>
      <c r="K60" s="464" t="s">
        <v>59</v>
      </c>
      <c r="L60" s="744" t="s">
        <v>58</v>
      </c>
      <c r="M60" s="464" t="s">
        <v>59</v>
      </c>
      <c r="N60" s="744" t="s">
        <v>58</v>
      </c>
      <c r="O60" s="464" t="s">
        <v>59</v>
      </c>
      <c r="P60" s="744" t="s">
        <v>58</v>
      </c>
      <c r="Q60" s="464" t="s">
        <v>59</v>
      </c>
      <c r="R60" s="744" t="s">
        <v>58</v>
      </c>
      <c r="S60" s="464" t="s">
        <v>59</v>
      </c>
      <c r="T60" s="744" t="s">
        <v>58</v>
      </c>
      <c r="U60" s="464" t="s">
        <v>59</v>
      </c>
      <c r="V60" s="744" t="s">
        <v>58</v>
      </c>
      <c r="W60" s="590" t="s">
        <v>59</v>
      </c>
      <c r="X60" s="744" t="s">
        <v>58</v>
      </c>
      <c r="Y60" s="464" t="s">
        <v>59</v>
      </c>
      <c r="Z60" s="744" t="s">
        <v>58</v>
      </c>
      <c r="AA60" s="464" t="s">
        <v>59</v>
      </c>
      <c r="AB60" s="744" t="s">
        <v>58</v>
      </c>
      <c r="AC60" s="464" t="s">
        <v>59</v>
      </c>
      <c r="AD60" s="744" t="s">
        <v>58</v>
      </c>
      <c r="AE60" s="464" t="s">
        <v>59</v>
      </c>
      <c r="AF60" s="744" t="s">
        <v>58</v>
      </c>
      <c r="AG60" s="464" t="s">
        <v>59</v>
      </c>
      <c r="AH60" s="744" t="s">
        <v>58</v>
      </c>
      <c r="AI60" s="464" t="s">
        <v>59</v>
      </c>
      <c r="AJ60" s="744" t="s">
        <v>58</v>
      </c>
      <c r="AK60" s="464" t="s">
        <v>59</v>
      </c>
      <c r="AL60" s="744" t="s">
        <v>58</v>
      </c>
      <c r="AM60" s="465" t="s">
        <v>59</v>
      </c>
      <c r="AN60" s="547" t="s">
        <v>1413</v>
      </c>
      <c r="AO60" s="464" t="s">
        <v>1414</v>
      </c>
      <c r="AP60" s="3259"/>
      <c r="AQ60" s="3259"/>
      <c r="AR60" s="3259"/>
      <c r="AS60" s="3259"/>
      <c r="AT60" s="3259"/>
      <c r="AU60" s="3259"/>
      <c r="AV60" s="1839"/>
      <c r="AW60" s="1839"/>
      <c r="AX60" s="1839"/>
      <c r="AY60" s="1839"/>
      <c r="AZ60" s="1839"/>
      <c r="BA60" s="1839"/>
      <c r="BB60" s="1839"/>
      <c r="BC60" s="1839"/>
      <c r="BD60" s="1839"/>
      <c r="BY60" s="1839"/>
      <c r="BZ60" s="1839"/>
    </row>
    <row r="61" spans="1:93" ht="15" customHeight="1" x14ac:dyDescent="0.2">
      <c r="A61" s="5795" t="s">
        <v>5585</v>
      </c>
      <c r="B61" s="3260" t="s">
        <v>1415</v>
      </c>
      <c r="C61" s="3254" t="s">
        <v>4567</v>
      </c>
      <c r="D61" s="746" t="s">
        <v>4568</v>
      </c>
      <c r="E61" s="606" t="s">
        <v>4569</v>
      </c>
      <c r="F61" s="3227" t="s">
        <v>4570</v>
      </c>
      <c r="G61" s="566" t="s">
        <v>4571</v>
      </c>
      <c r="H61" s="3227" t="s">
        <v>4572</v>
      </c>
      <c r="I61" s="748" t="s">
        <v>4573</v>
      </c>
      <c r="J61" s="3227" t="s">
        <v>4574</v>
      </c>
      <c r="K61" s="748" t="s">
        <v>4575</v>
      </c>
      <c r="L61" s="3227" t="s">
        <v>4576</v>
      </c>
      <c r="M61" s="748" t="s">
        <v>4577</v>
      </c>
      <c r="N61" s="3227" t="s">
        <v>4578</v>
      </c>
      <c r="O61" s="748" t="s">
        <v>4579</v>
      </c>
      <c r="P61" s="3227" t="s">
        <v>4580</v>
      </c>
      <c r="Q61" s="748" t="s">
        <v>4581</v>
      </c>
      <c r="R61" s="3227" t="s">
        <v>4582</v>
      </c>
      <c r="S61" s="748" t="s">
        <v>4583</v>
      </c>
      <c r="T61" s="3227" t="s">
        <v>4584</v>
      </c>
      <c r="U61" s="748" t="s">
        <v>4585</v>
      </c>
      <c r="V61" s="3227" t="s">
        <v>4586</v>
      </c>
      <c r="W61" s="3261" t="s">
        <v>4587</v>
      </c>
      <c r="X61" s="3227" t="s">
        <v>4588</v>
      </c>
      <c r="Y61" s="748" t="s">
        <v>4589</v>
      </c>
      <c r="Z61" s="3227" t="s">
        <v>4590</v>
      </c>
      <c r="AA61" s="748" t="s">
        <v>4591</v>
      </c>
      <c r="AB61" s="3227" t="s">
        <v>4592</v>
      </c>
      <c r="AC61" s="748" t="s">
        <v>4593</v>
      </c>
      <c r="AD61" s="3227" t="s">
        <v>4594</v>
      </c>
      <c r="AE61" s="748" t="s">
        <v>4595</v>
      </c>
      <c r="AF61" s="3227" t="s">
        <v>4596</v>
      </c>
      <c r="AG61" s="748" t="s">
        <v>4597</v>
      </c>
      <c r="AH61" s="3227" t="s">
        <v>4598</v>
      </c>
      <c r="AI61" s="748" t="s">
        <v>4599</v>
      </c>
      <c r="AJ61" s="3227" t="s">
        <v>4600</v>
      </c>
      <c r="AK61" s="748" t="s">
        <v>4601</v>
      </c>
      <c r="AL61" s="3255" t="s">
        <v>4602</v>
      </c>
      <c r="AM61" s="736" t="s">
        <v>4603</v>
      </c>
      <c r="AN61" s="552" t="s">
        <v>4604</v>
      </c>
      <c r="AO61" s="748" t="s">
        <v>4605</v>
      </c>
      <c r="AP61" s="3258" t="str">
        <f t="shared" ref="AP61:AP65" si="38">CB61&amp;CC61</f>
        <v xml:space="preserve"> * La variable Herramientas de Categorización Discrecional No puede ser mayor al Total. * La variable Herramientas de Categorización Estructurado (ESI) No puede ser mayor al Total.</v>
      </c>
      <c r="AQ61" s="3229"/>
      <c r="AR61" s="3229"/>
      <c r="AS61" s="3229"/>
      <c r="AT61" s="3229"/>
      <c r="AU61" s="3229"/>
      <c r="AV61" s="3229"/>
      <c r="AW61" s="3229"/>
      <c r="AX61" s="3229"/>
      <c r="AY61" s="3229"/>
      <c r="AZ61" s="3229"/>
      <c r="BA61" s="3229"/>
      <c r="BB61" s="1839"/>
      <c r="BC61" s="1839"/>
      <c r="BD61" s="1839"/>
      <c r="BY61" s="1839"/>
      <c r="BZ61" s="1839"/>
      <c r="CB61" s="431" t="str">
        <f>IF(AND($C61&gt;0,AN61="")," * No olvide digitar la variable "&amp;AN$58&amp;""&amp;" Discrecional. Digite CERO si no tiene",IF(AN61&gt;$C61," * La variable "&amp;AN$58&amp;""&amp;" Discrecional No puede ser mayor al Total.",""))</f>
        <v xml:space="preserve"> * La variable Herramientas de Categorización Discrecional No puede ser mayor al Total.</v>
      </c>
      <c r="CC61" s="431" t="str">
        <f>IF(AND($C61&gt;0,AO61="")," * No olvide digitar la variable "&amp;AN$58&amp;""&amp;" Estructurado (ESI). Digite CERO si no tiene",IF(AO61&gt;$C61," * La variable "&amp;AN$58&amp;""&amp;" Estructurado (ESI) No puede ser mayor al Total.",""))</f>
        <v xml:space="preserve"> * La variable Herramientas de Categorización Estructurado (ESI) No puede ser mayor al Total.</v>
      </c>
      <c r="CN61" s="180">
        <f>IF(AND($C61&gt;0,AN61=""),1,IF(AN61&gt;$C61,1,0))</f>
        <v>1</v>
      </c>
      <c r="CO61" s="180">
        <f>IF(AND($C61&gt;0,AO61=""),1,IF(AO61&gt;$C61,1,0))</f>
        <v>1</v>
      </c>
    </row>
    <row r="62" spans="1:93" ht="15" customHeight="1" x14ac:dyDescent="0.2">
      <c r="A62" s="5795" t="s">
        <v>5586</v>
      </c>
      <c r="B62" s="3262" t="s">
        <v>1416</v>
      </c>
      <c r="C62" s="737" t="s">
        <v>4567</v>
      </c>
      <c r="D62" s="751" t="s">
        <v>4568</v>
      </c>
      <c r="E62" s="344" t="s">
        <v>4569</v>
      </c>
      <c r="F62" s="345" t="s">
        <v>4570</v>
      </c>
      <c r="G62" s="346" t="s">
        <v>4571</v>
      </c>
      <c r="H62" s="345" t="s">
        <v>4572</v>
      </c>
      <c r="I62" s="349" t="s">
        <v>4573</v>
      </c>
      <c r="J62" s="345" t="s">
        <v>4574</v>
      </c>
      <c r="K62" s="349" t="s">
        <v>4575</v>
      </c>
      <c r="L62" s="345" t="s">
        <v>4576</v>
      </c>
      <c r="M62" s="349" t="s">
        <v>4577</v>
      </c>
      <c r="N62" s="345" t="s">
        <v>4578</v>
      </c>
      <c r="O62" s="349" t="s">
        <v>4579</v>
      </c>
      <c r="P62" s="345" t="s">
        <v>4580</v>
      </c>
      <c r="Q62" s="349" t="s">
        <v>4581</v>
      </c>
      <c r="R62" s="345" t="s">
        <v>4582</v>
      </c>
      <c r="S62" s="349" t="s">
        <v>4583</v>
      </c>
      <c r="T62" s="345" t="s">
        <v>4584</v>
      </c>
      <c r="U62" s="349" t="s">
        <v>4585</v>
      </c>
      <c r="V62" s="345" t="s">
        <v>4586</v>
      </c>
      <c r="W62" s="348" t="s">
        <v>4587</v>
      </c>
      <c r="X62" s="345" t="s">
        <v>4588</v>
      </c>
      <c r="Y62" s="349" t="s">
        <v>4589</v>
      </c>
      <c r="Z62" s="345" t="s">
        <v>4590</v>
      </c>
      <c r="AA62" s="349" t="s">
        <v>4591</v>
      </c>
      <c r="AB62" s="345" t="s">
        <v>4592</v>
      </c>
      <c r="AC62" s="349" t="s">
        <v>4593</v>
      </c>
      <c r="AD62" s="345" t="s">
        <v>4594</v>
      </c>
      <c r="AE62" s="349" t="s">
        <v>4595</v>
      </c>
      <c r="AF62" s="345" t="s">
        <v>4596</v>
      </c>
      <c r="AG62" s="349" t="s">
        <v>4597</v>
      </c>
      <c r="AH62" s="345" t="s">
        <v>4598</v>
      </c>
      <c r="AI62" s="349" t="s">
        <v>4599</v>
      </c>
      <c r="AJ62" s="345" t="s">
        <v>4600</v>
      </c>
      <c r="AK62" s="349" t="s">
        <v>4601</v>
      </c>
      <c r="AL62" s="350" t="s">
        <v>4602</v>
      </c>
      <c r="AM62" s="351" t="s">
        <v>4603</v>
      </c>
      <c r="AN62" s="554" t="s">
        <v>4604</v>
      </c>
      <c r="AO62" s="349" t="s">
        <v>4605</v>
      </c>
      <c r="AP62" s="3258" t="str">
        <f t="shared" si="38"/>
        <v xml:space="preserve"> * La variable Herramientas de Categorización Discrecional No puede ser mayor al Total. * La variable Herramientas de Categorización Estructurado (ESI) No puede ser mayor al Total.</v>
      </c>
      <c r="AQ62" s="3229"/>
      <c r="AR62" s="3229"/>
      <c r="AS62" s="3229"/>
      <c r="AT62" s="3229"/>
      <c r="AU62" s="3229"/>
      <c r="AV62" s="3229"/>
      <c r="AW62" s="3229"/>
      <c r="AX62" s="3229"/>
      <c r="AY62" s="3229"/>
      <c r="AZ62" s="3229"/>
      <c r="BA62" s="3229"/>
      <c r="BB62" s="1839"/>
      <c r="BC62" s="1839"/>
      <c r="BD62" s="1839"/>
      <c r="BY62" s="1839"/>
      <c r="BZ62" s="1839"/>
      <c r="CB62" s="431" t="str">
        <f t="shared" ref="CB62:CB65" si="39">IF(AND($C62&gt;0,AN62="")," * No olvide digitar la variable "&amp;AN$58&amp;""&amp;" Discrecional. Digite CERO si no tiene",IF(AN62&gt;$C62," * La variable "&amp;AN$58&amp;""&amp;" Discrecional No puede ser mayor al Total.",""))</f>
        <v xml:space="preserve"> * La variable Herramientas de Categorización Discrecional No puede ser mayor al Total.</v>
      </c>
      <c r="CC62" s="431" t="str">
        <f t="shared" ref="CC62:CC65" si="40">IF(AND($C62&gt;0,AO62="")," * No olvide digitar la variable "&amp;AN$58&amp;""&amp;" Estructurado (ESI). Digite CERO si no tiene",IF(AO62&gt;$C62," * La variable "&amp;AN$58&amp;""&amp;" Estructurado (ESI) No puede ser mayor al Total.",""))</f>
        <v xml:space="preserve"> * La variable Herramientas de Categorización Estructurado (ESI) No puede ser mayor al Total.</v>
      </c>
      <c r="CN62" s="180">
        <f t="shared" ref="CN62:CN65" si="41">IF(AND($C62&gt;0,AN62=""),1,IF(AN62&gt;$C62,1,0))</f>
        <v>1</v>
      </c>
      <c r="CO62" s="180">
        <f t="shared" ref="CO62:CO65" si="42">IF(AND($C62&gt;0,AO62=""),1,IF(AO62&gt;$C62,1,0))</f>
        <v>1</v>
      </c>
    </row>
    <row r="63" spans="1:93" ht="15" customHeight="1" x14ac:dyDescent="0.2">
      <c r="A63" s="5795" t="s">
        <v>5587</v>
      </c>
      <c r="B63" s="3262" t="s">
        <v>1417</v>
      </c>
      <c r="C63" s="737" t="s">
        <v>4567</v>
      </c>
      <c r="D63" s="751" t="s">
        <v>4568</v>
      </c>
      <c r="E63" s="344" t="s">
        <v>4569</v>
      </c>
      <c r="F63" s="345" t="s">
        <v>4570</v>
      </c>
      <c r="G63" s="346" t="s">
        <v>4571</v>
      </c>
      <c r="H63" s="345" t="s">
        <v>4572</v>
      </c>
      <c r="I63" s="349" t="s">
        <v>4573</v>
      </c>
      <c r="J63" s="345" t="s">
        <v>4574</v>
      </c>
      <c r="K63" s="349" t="s">
        <v>4575</v>
      </c>
      <c r="L63" s="345" t="s">
        <v>4576</v>
      </c>
      <c r="M63" s="349" t="s">
        <v>4577</v>
      </c>
      <c r="N63" s="345" t="s">
        <v>4578</v>
      </c>
      <c r="O63" s="349" t="s">
        <v>4579</v>
      </c>
      <c r="P63" s="345" t="s">
        <v>4580</v>
      </c>
      <c r="Q63" s="349" t="s">
        <v>4581</v>
      </c>
      <c r="R63" s="345" t="s">
        <v>4582</v>
      </c>
      <c r="S63" s="349" t="s">
        <v>4583</v>
      </c>
      <c r="T63" s="345" t="s">
        <v>4584</v>
      </c>
      <c r="U63" s="349" t="s">
        <v>4585</v>
      </c>
      <c r="V63" s="345" t="s">
        <v>4586</v>
      </c>
      <c r="W63" s="348" t="s">
        <v>4587</v>
      </c>
      <c r="X63" s="345" t="s">
        <v>4588</v>
      </c>
      <c r="Y63" s="349" t="s">
        <v>4589</v>
      </c>
      <c r="Z63" s="345" t="s">
        <v>4590</v>
      </c>
      <c r="AA63" s="349" t="s">
        <v>4591</v>
      </c>
      <c r="AB63" s="345" t="s">
        <v>4592</v>
      </c>
      <c r="AC63" s="349" t="s">
        <v>4593</v>
      </c>
      <c r="AD63" s="345" t="s">
        <v>4594</v>
      </c>
      <c r="AE63" s="349" t="s">
        <v>4595</v>
      </c>
      <c r="AF63" s="345" t="s">
        <v>4596</v>
      </c>
      <c r="AG63" s="349" t="s">
        <v>4597</v>
      </c>
      <c r="AH63" s="345" t="s">
        <v>4598</v>
      </c>
      <c r="AI63" s="349" t="s">
        <v>4599</v>
      </c>
      <c r="AJ63" s="345" t="s">
        <v>4600</v>
      </c>
      <c r="AK63" s="349" t="s">
        <v>4601</v>
      </c>
      <c r="AL63" s="350" t="s">
        <v>4602</v>
      </c>
      <c r="AM63" s="351" t="s">
        <v>4603</v>
      </c>
      <c r="AN63" s="554" t="s">
        <v>4604</v>
      </c>
      <c r="AO63" s="349" t="s">
        <v>4605</v>
      </c>
      <c r="AP63" s="3258" t="str">
        <f t="shared" si="38"/>
        <v xml:space="preserve"> * La variable Herramientas de Categorización Discrecional No puede ser mayor al Total. * La variable Herramientas de Categorización Estructurado (ESI) No puede ser mayor al Total.</v>
      </c>
      <c r="AQ63" s="3229"/>
      <c r="AR63" s="3229"/>
      <c r="AS63" s="3229"/>
      <c r="AT63" s="3229"/>
      <c r="AU63" s="3229"/>
      <c r="AV63" s="3229"/>
      <c r="AW63" s="3229"/>
      <c r="AX63" s="3229"/>
      <c r="AY63" s="3229"/>
      <c r="AZ63" s="3229"/>
      <c r="BA63" s="3229"/>
      <c r="BB63" s="1839"/>
      <c r="BC63" s="1839"/>
      <c r="BD63" s="1839"/>
      <c r="BY63" s="1839"/>
      <c r="BZ63" s="1839"/>
      <c r="CB63" s="431" t="str">
        <f t="shared" si="39"/>
        <v xml:space="preserve"> * La variable Herramientas de Categorización Discrecional No puede ser mayor al Total.</v>
      </c>
      <c r="CC63" s="431" t="str">
        <f t="shared" si="40"/>
        <v xml:space="preserve"> * La variable Herramientas de Categorización Estructurado (ESI) No puede ser mayor al Total.</v>
      </c>
      <c r="CN63" s="180">
        <f t="shared" si="41"/>
        <v>1</v>
      </c>
      <c r="CO63" s="180">
        <f t="shared" si="42"/>
        <v>1</v>
      </c>
    </row>
    <row r="64" spans="1:93" ht="15" customHeight="1" x14ac:dyDescent="0.2">
      <c r="A64" s="5795" t="s">
        <v>5588</v>
      </c>
      <c r="B64" s="3262" t="s">
        <v>1418</v>
      </c>
      <c r="C64" s="737" t="s">
        <v>4567</v>
      </c>
      <c r="D64" s="751" t="s">
        <v>4568</v>
      </c>
      <c r="E64" s="344" t="s">
        <v>4569</v>
      </c>
      <c r="F64" s="345" t="s">
        <v>4570</v>
      </c>
      <c r="G64" s="346" t="s">
        <v>4571</v>
      </c>
      <c r="H64" s="345" t="s">
        <v>4572</v>
      </c>
      <c r="I64" s="349" t="s">
        <v>4573</v>
      </c>
      <c r="J64" s="345" t="s">
        <v>4574</v>
      </c>
      <c r="K64" s="349" t="s">
        <v>4575</v>
      </c>
      <c r="L64" s="345" t="s">
        <v>4576</v>
      </c>
      <c r="M64" s="349" t="s">
        <v>4577</v>
      </c>
      <c r="N64" s="345" t="s">
        <v>4578</v>
      </c>
      <c r="O64" s="349" t="s">
        <v>4579</v>
      </c>
      <c r="P64" s="345" t="s">
        <v>4580</v>
      </c>
      <c r="Q64" s="349" t="s">
        <v>4581</v>
      </c>
      <c r="R64" s="345" t="s">
        <v>4582</v>
      </c>
      <c r="S64" s="349" t="s">
        <v>4583</v>
      </c>
      <c r="T64" s="345" t="s">
        <v>4584</v>
      </c>
      <c r="U64" s="349" t="s">
        <v>4585</v>
      </c>
      <c r="V64" s="345" t="s">
        <v>4586</v>
      </c>
      <c r="W64" s="348" t="s">
        <v>4587</v>
      </c>
      <c r="X64" s="345" t="s">
        <v>4588</v>
      </c>
      <c r="Y64" s="349" t="s">
        <v>4589</v>
      </c>
      <c r="Z64" s="345" t="s">
        <v>4590</v>
      </c>
      <c r="AA64" s="349" t="s">
        <v>4591</v>
      </c>
      <c r="AB64" s="345" t="s">
        <v>4592</v>
      </c>
      <c r="AC64" s="349" t="s">
        <v>4593</v>
      </c>
      <c r="AD64" s="345" t="s">
        <v>4594</v>
      </c>
      <c r="AE64" s="349" t="s">
        <v>4595</v>
      </c>
      <c r="AF64" s="345" t="s">
        <v>4596</v>
      </c>
      <c r="AG64" s="349" t="s">
        <v>4597</v>
      </c>
      <c r="AH64" s="345" t="s">
        <v>4598</v>
      </c>
      <c r="AI64" s="349" t="s">
        <v>4599</v>
      </c>
      <c r="AJ64" s="345" t="s">
        <v>4600</v>
      </c>
      <c r="AK64" s="349" t="s">
        <v>4601</v>
      </c>
      <c r="AL64" s="350" t="s">
        <v>4602</v>
      </c>
      <c r="AM64" s="351" t="s">
        <v>4603</v>
      </c>
      <c r="AN64" s="554" t="s">
        <v>4604</v>
      </c>
      <c r="AO64" s="349" t="s">
        <v>4605</v>
      </c>
      <c r="AP64" s="3258" t="str">
        <f t="shared" si="38"/>
        <v xml:space="preserve"> * La variable Herramientas de Categorización Discrecional No puede ser mayor al Total. * La variable Herramientas de Categorización Estructurado (ESI) No puede ser mayor al Total.</v>
      </c>
      <c r="AQ64" s="3229"/>
      <c r="AR64" s="3229"/>
      <c r="AS64" s="3229"/>
      <c r="AT64" s="3229"/>
      <c r="AU64" s="3229"/>
      <c r="AV64" s="3229"/>
      <c r="AW64" s="3229"/>
      <c r="AX64" s="3229"/>
      <c r="AY64" s="3229"/>
      <c r="AZ64" s="3229"/>
      <c r="BA64" s="3229"/>
      <c r="BB64" s="1839"/>
      <c r="BC64" s="1839"/>
      <c r="BD64" s="1839"/>
      <c r="BY64" s="1839"/>
      <c r="BZ64" s="1839"/>
      <c r="CB64" s="431" t="str">
        <f t="shared" si="39"/>
        <v xml:space="preserve"> * La variable Herramientas de Categorización Discrecional No puede ser mayor al Total.</v>
      </c>
      <c r="CC64" s="431" t="str">
        <f t="shared" si="40"/>
        <v xml:space="preserve"> * La variable Herramientas de Categorización Estructurado (ESI) No puede ser mayor al Total.</v>
      </c>
      <c r="CN64" s="180">
        <f t="shared" si="41"/>
        <v>1</v>
      </c>
      <c r="CO64" s="180">
        <f t="shared" si="42"/>
        <v>1</v>
      </c>
    </row>
    <row r="65" spans="1:96" ht="15" customHeight="1" x14ac:dyDescent="0.2">
      <c r="A65" s="5795" t="s">
        <v>5589</v>
      </c>
      <c r="B65" s="3263" t="s">
        <v>1419</v>
      </c>
      <c r="C65" s="202" t="s">
        <v>4567</v>
      </c>
      <c r="D65" s="752" t="s">
        <v>4568</v>
      </c>
      <c r="E65" s="10" t="s">
        <v>4569</v>
      </c>
      <c r="F65" s="192" t="s">
        <v>4570</v>
      </c>
      <c r="G65" s="2" t="s">
        <v>4571</v>
      </c>
      <c r="H65" s="192" t="s">
        <v>4572</v>
      </c>
      <c r="I65" s="382" t="s">
        <v>4573</v>
      </c>
      <c r="J65" s="192" t="s">
        <v>4574</v>
      </c>
      <c r="K65" s="382" t="s">
        <v>4575</v>
      </c>
      <c r="L65" s="192" t="s">
        <v>4576</v>
      </c>
      <c r="M65" s="382" t="s">
        <v>4577</v>
      </c>
      <c r="N65" s="192" t="s">
        <v>4578</v>
      </c>
      <c r="O65" s="382" t="s">
        <v>4579</v>
      </c>
      <c r="P65" s="192" t="s">
        <v>4580</v>
      </c>
      <c r="Q65" s="382" t="s">
        <v>4581</v>
      </c>
      <c r="R65" s="192" t="s">
        <v>4582</v>
      </c>
      <c r="S65" s="382" t="s">
        <v>4583</v>
      </c>
      <c r="T65" s="192" t="s">
        <v>4584</v>
      </c>
      <c r="U65" s="382" t="s">
        <v>4585</v>
      </c>
      <c r="V65" s="192" t="s">
        <v>4586</v>
      </c>
      <c r="W65" s="1098" t="s">
        <v>4587</v>
      </c>
      <c r="X65" s="192" t="s">
        <v>4588</v>
      </c>
      <c r="Y65" s="382" t="s">
        <v>4589</v>
      </c>
      <c r="Z65" s="192" t="s">
        <v>4590</v>
      </c>
      <c r="AA65" s="382" t="s">
        <v>4591</v>
      </c>
      <c r="AB65" s="192" t="s">
        <v>4592</v>
      </c>
      <c r="AC65" s="382" t="s">
        <v>4593</v>
      </c>
      <c r="AD65" s="192" t="s">
        <v>4594</v>
      </c>
      <c r="AE65" s="382" t="s">
        <v>4595</v>
      </c>
      <c r="AF65" s="192" t="s">
        <v>4596</v>
      </c>
      <c r="AG65" s="382" t="s">
        <v>4597</v>
      </c>
      <c r="AH65" s="192" t="s">
        <v>4598</v>
      </c>
      <c r="AI65" s="382" t="s">
        <v>4599</v>
      </c>
      <c r="AJ65" s="192" t="s">
        <v>4600</v>
      </c>
      <c r="AK65" s="382" t="s">
        <v>4601</v>
      </c>
      <c r="AL65" s="753" t="s">
        <v>4602</v>
      </c>
      <c r="AM65" s="383" t="s">
        <v>4603</v>
      </c>
      <c r="AN65" s="64" t="s">
        <v>4604</v>
      </c>
      <c r="AO65" s="382" t="s">
        <v>4605</v>
      </c>
      <c r="AP65" s="3258" t="str">
        <f t="shared" si="38"/>
        <v xml:space="preserve"> * La variable Herramientas de Categorización Discrecional No puede ser mayor al Total. * La variable Herramientas de Categorización Estructurado (ESI) No puede ser mayor al Total.</v>
      </c>
      <c r="AQ65" s="3229"/>
      <c r="AR65" s="3229"/>
      <c r="AS65" s="3229"/>
      <c r="AT65" s="3229"/>
      <c r="AU65" s="3229"/>
      <c r="AV65" s="3229"/>
      <c r="AW65" s="3229"/>
      <c r="AX65" s="3229"/>
      <c r="AY65" s="3229"/>
      <c r="AZ65" s="3229"/>
      <c r="BA65" s="3229"/>
      <c r="BB65" s="1839"/>
      <c r="BC65" s="1839"/>
      <c r="BD65" s="1839"/>
      <c r="BY65" s="1839"/>
      <c r="BZ65" s="1839"/>
      <c r="CB65" s="431" t="str">
        <f t="shared" si="39"/>
        <v xml:space="preserve"> * La variable Herramientas de Categorización Discrecional No puede ser mayor al Total.</v>
      </c>
      <c r="CC65" s="431" t="str">
        <f t="shared" si="40"/>
        <v xml:space="preserve"> * La variable Herramientas de Categorización Estructurado (ESI) No puede ser mayor al Total.</v>
      </c>
      <c r="CN65" s="180">
        <f t="shared" si="41"/>
        <v>1</v>
      </c>
      <c r="CO65" s="180">
        <f t="shared" si="42"/>
        <v>1</v>
      </c>
    </row>
    <row r="66" spans="1:96" ht="15" customHeight="1" x14ac:dyDescent="0.2">
      <c r="A66" s="5795" t="s">
        <v>5590</v>
      </c>
      <c r="B66" s="3264" t="s">
        <v>1420</v>
      </c>
      <c r="C66" s="703" t="s">
        <v>4567</v>
      </c>
      <c r="D66" s="2202" t="s">
        <v>4568</v>
      </c>
      <c r="E66" s="625" t="s">
        <v>4569</v>
      </c>
      <c r="F66" s="379" t="s">
        <v>4570</v>
      </c>
      <c r="G66" s="387" t="s">
        <v>4571</v>
      </c>
      <c r="H66" s="379" t="s">
        <v>4572</v>
      </c>
      <c r="I66" s="388" t="s">
        <v>4573</v>
      </c>
      <c r="J66" s="379" t="s">
        <v>4574</v>
      </c>
      <c r="K66" s="388" t="s">
        <v>4575</v>
      </c>
      <c r="L66" s="379" t="s">
        <v>4576</v>
      </c>
      <c r="M66" s="388" t="s">
        <v>4577</v>
      </c>
      <c r="N66" s="379" t="s">
        <v>4578</v>
      </c>
      <c r="O66" s="388" t="s">
        <v>4579</v>
      </c>
      <c r="P66" s="379" t="s">
        <v>4580</v>
      </c>
      <c r="Q66" s="388" t="s">
        <v>4581</v>
      </c>
      <c r="R66" s="379" t="s">
        <v>4582</v>
      </c>
      <c r="S66" s="388" t="s">
        <v>4583</v>
      </c>
      <c r="T66" s="379" t="s">
        <v>4584</v>
      </c>
      <c r="U66" s="388" t="s">
        <v>4585</v>
      </c>
      <c r="V66" s="379" t="s">
        <v>4586</v>
      </c>
      <c r="W66" s="501" t="s">
        <v>4587</v>
      </c>
      <c r="X66" s="379" t="s">
        <v>4588</v>
      </c>
      <c r="Y66" s="388" t="s">
        <v>4589</v>
      </c>
      <c r="Z66" s="379" t="s">
        <v>4590</v>
      </c>
      <c r="AA66" s="388" t="s">
        <v>4591</v>
      </c>
      <c r="AB66" s="379" t="s">
        <v>4592</v>
      </c>
      <c r="AC66" s="388" t="s">
        <v>4593</v>
      </c>
      <c r="AD66" s="379" t="s">
        <v>4594</v>
      </c>
      <c r="AE66" s="388" t="s">
        <v>4595</v>
      </c>
      <c r="AF66" s="379" t="s">
        <v>4596</v>
      </c>
      <c r="AG66" s="388" t="s">
        <v>4597</v>
      </c>
      <c r="AH66" s="379" t="s">
        <v>4598</v>
      </c>
      <c r="AI66" s="388" t="s">
        <v>4599</v>
      </c>
      <c r="AJ66" s="379" t="s">
        <v>4600</v>
      </c>
      <c r="AK66" s="388" t="s">
        <v>4601</v>
      </c>
      <c r="AL66" s="666" t="s">
        <v>4602</v>
      </c>
      <c r="AM66" s="389" t="s">
        <v>4603</v>
      </c>
      <c r="AN66" s="3233" t="s">
        <v>4604</v>
      </c>
      <c r="AO66" s="3265" t="s">
        <v>4605</v>
      </c>
      <c r="AP66" s="3266"/>
      <c r="AQ66" s="3229"/>
      <c r="AR66" s="3229"/>
      <c r="AS66" s="3229"/>
      <c r="AT66" s="3229"/>
      <c r="AU66" s="3229"/>
      <c r="AV66" s="3229"/>
      <c r="AW66" s="3229"/>
      <c r="AX66" s="3229"/>
      <c r="AY66" s="3229"/>
      <c r="AZ66" s="3229"/>
      <c r="BA66" s="3229"/>
      <c r="BB66" s="1839"/>
      <c r="BC66" s="1839"/>
      <c r="BD66" s="1839"/>
      <c r="BY66" s="1839"/>
      <c r="BZ66" s="1839"/>
      <c r="CB66" s="432"/>
      <c r="CC66" s="432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32"/>
      <c r="CO66" s="432"/>
    </row>
    <row r="67" spans="1:96" ht="15" customHeight="1" x14ac:dyDescent="0.2">
      <c r="A67" s="5801"/>
      <c r="B67" s="1762" t="s">
        <v>77</v>
      </c>
      <c r="C67" s="758" t="s">
        <v>4567</v>
      </c>
      <c r="D67" s="759" t="s">
        <v>4568</v>
      </c>
      <c r="E67" s="611" t="s">
        <v>4569</v>
      </c>
      <c r="F67" s="756" t="s">
        <v>4570</v>
      </c>
      <c r="G67" s="514" t="s">
        <v>4571</v>
      </c>
      <c r="H67" s="756" t="s">
        <v>4572</v>
      </c>
      <c r="I67" s="572" t="s">
        <v>4573</v>
      </c>
      <c r="J67" s="756" t="s">
        <v>4574</v>
      </c>
      <c r="K67" s="572" t="s">
        <v>4575</v>
      </c>
      <c r="L67" s="756" t="s">
        <v>4576</v>
      </c>
      <c r="M67" s="572" t="s">
        <v>4577</v>
      </c>
      <c r="N67" s="756" t="s">
        <v>4578</v>
      </c>
      <c r="O67" s="572" t="s">
        <v>4579</v>
      </c>
      <c r="P67" s="756" t="s">
        <v>4580</v>
      </c>
      <c r="Q67" s="572" t="s">
        <v>4581</v>
      </c>
      <c r="R67" s="756" t="s">
        <v>4582</v>
      </c>
      <c r="S67" s="572" t="s">
        <v>4583</v>
      </c>
      <c r="T67" s="756" t="s">
        <v>4584</v>
      </c>
      <c r="U67" s="572" t="s">
        <v>4585</v>
      </c>
      <c r="V67" s="565" t="s">
        <v>4586</v>
      </c>
      <c r="W67" s="3267" t="s">
        <v>4587</v>
      </c>
      <c r="X67" s="756" t="s">
        <v>4588</v>
      </c>
      <c r="Y67" s="572" t="s">
        <v>4589</v>
      </c>
      <c r="Z67" s="756" t="s">
        <v>4590</v>
      </c>
      <c r="AA67" s="572" t="s">
        <v>4591</v>
      </c>
      <c r="AB67" s="756" t="s">
        <v>4592</v>
      </c>
      <c r="AC67" s="572" t="s">
        <v>4593</v>
      </c>
      <c r="AD67" s="756" t="s">
        <v>4594</v>
      </c>
      <c r="AE67" s="572" t="s">
        <v>4595</v>
      </c>
      <c r="AF67" s="756" t="s">
        <v>4596</v>
      </c>
      <c r="AG67" s="572" t="s">
        <v>4597</v>
      </c>
      <c r="AH67" s="756" t="s">
        <v>4598</v>
      </c>
      <c r="AI67" s="572" t="s">
        <v>4599</v>
      </c>
      <c r="AJ67" s="756" t="s">
        <v>4600</v>
      </c>
      <c r="AK67" s="572" t="s">
        <v>4601</v>
      </c>
      <c r="AL67" s="757" t="s">
        <v>4602</v>
      </c>
      <c r="AM67" s="512" t="s">
        <v>4603</v>
      </c>
      <c r="AN67" s="3268" t="s">
        <v>4604</v>
      </c>
      <c r="AO67" s="572" t="s">
        <v>4605</v>
      </c>
      <c r="AP67" s="3259"/>
      <c r="AQ67" s="3259"/>
      <c r="AR67" s="3259"/>
      <c r="AS67" s="3259"/>
      <c r="AT67" s="3259"/>
      <c r="AU67" s="3259"/>
      <c r="AV67" s="3259"/>
      <c r="AW67" s="3259"/>
      <c r="AX67" s="3259"/>
      <c r="AY67" s="3259"/>
      <c r="AZ67" s="3259"/>
      <c r="BA67" s="3259"/>
      <c r="BB67" s="3259"/>
      <c r="BC67" s="3259"/>
      <c r="BD67" s="3259"/>
      <c r="BE67" s="3223"/>
      <c r="BF67" s="3223"/>
      <c r="BY67" s="1839"/>
      <c r="BZ67" s="1839"/>
      <c r="CB67" s="6"/>
      <c r="CC67" s="6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6"/>
      <c r="CO67" s="6"/>
    </row>
    <row r="68" spans="1:96" s="6" customFormat="1" ht="18" customHeight="1" x14ac:dyDescent="0.2">
      <c r="A68" s="5802"/>
      <c r="B68" s="3137" t="s">
        <v>1421</v>
      </c>
      <c r="C68" s="3137"/>
      <c r="D68" s="3137"/>
      <c r="E68" s="3137"/>
      <c r="F68" s="3137"/>
      <c r="G68" s="3137"/>
      <c r="H68" s="3137"/>
      <c r="I68" s="3137"/>
      <c r="J68" s="3137"/>
      <c r="K68" s="2514"/>
      <c r="L68" s="2514"/>
      <c r="M68" s="2514"/>
      <c r="N68" s="2514"/>
      <c r="O68" s="2514"/>
      <c r="P68" s="2514"/>
      <c r="Q68" s="2514"/>
      <c r="R68" s="2514"/>
      <c r="S68" s="2514"/>
      <c r="T68" s="2514"/>
      <c r="U68" s="2514"/>
      <c r="V68" s="2514"/>
      <c r="W68" s="2514"/>
      <c r="X68" s="2514"/>
      <c r="Y68" s="2514"/>
      <c r="Z68" s="2514"/>
      <c r="AA68" s="2514"/>
      <c r="AB68" s="2514"/>
      <c r="AC68" s="2514"/>
      <c r="AD68" s="2514"/>
      <c r="AE68" s="2514"/>
      <c r="AF68" s="2514"/>
      <c r="AG68" s="2514"/>
      <c r="AH68" s="2514"/>
      <c r="AI68" s="2514"/>
      <c r="AJ68" s="2514"/>
      <c r="AK68" s="2514"/>
      <c r="AL68" s="2514"/>
      <c r="AM68" s="2514"/>
      <c r="AN68" s="2514"/>
      <c r="AO68" s="2514"/>
    </row>
    <row r="69" spans="1:96" customFormat="1" ht="15" x14ac:dyDescent="0.25">
      <c r="A69" s="5803"/>
      <c r="B69" s="6510" t="s">
        <v>1411</v>
      </c>
      <c r="C69" s="6575" t="s">
        <v>77</v>
      </c>
      <c r="D69" s="6491"/>
      <c r="E69" s="6576"/>
      <c r="F69" s="6705" t="s">
        <v>101</v>
      </c>
      <c r="G69" s="6534"/>
      <c r="H69" s="6534"/>
      <c r="I69" s="6534"/>
      <c r="J69" s="6534"/>
      <c r="K69" s="6534"/>
      <c r="L69" s="6534"/>
      <c r="M69" s="6534"/>
      <c r="N69" s="6534"/>
      <c r="O69" s="6534"/>
      <c r="P69" s="6534"/>
      <c r="Q69" s="6534"/>
      <c r="R69" s="6534"/>
      <c r="S69" s="6534"/>
      <c r="T69" s="6534"/>
      <c r="U69" s="6534"/>
      <c r="V69" s="6534"/>
      <c r="W69" s="6534"/>
      <c r="X69" s="6534"/>
      <c r="Y69" s="6534"/>
      <c r="Z69" s="6534"/>
      <c r="AA69" s="6534"/>
      <c r="AB69" s="6534"/>
      <c r="AC69" s="6534"/>
      <c r="AD69" s="6534"/>
      <c r="AE69" s="6534"/>
      <c r="AF69" s="6534"/>
      <c r="AG69" s="6534"/>
      <c r="AH69" s="6534"/>
      <c r="AI69" s="6534"/>
      <c r="AJ69" s="6534"/>
      <c r="AK69" s="6534"/>
      <c r="AL69" s="6534"/>
      <c r="AM69" s="6448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</row>
    <row r="70" spans="1:96" customFormat="1" ht="15" x14ac:dyDescent="0.25">
      <c r="A70" s="5803"/>
      <c r="B70" s="6045"/>
      <c r="C70" s="6750"/>
      <c r="D70" s="6749"/>
      <c r="E70" s="6828"/>
      <c r="F70" s="6704" t="s">
        <v>343</v>
      </c>
      <c r="G70" s="6451"/>
      <c r="H70" s="6704" t="s">
        <v>326</v>
      </c>
      <c r="I70" s="6451"/>
      <c r="J70" s="6704" t="s">
        <v>94</v>
      </c>
      <c r="K70" s="6451"/>
      <c r="L70" s="6704" t="s">
        <v>44</v>
      </c>
      <c r="M70" s="6451"/>
      <c r="N70" s="6704" t="s">
        <v>45</v>
      </c>
      <c r="O70" s="6451"/>
      <c r="P70" s="6705" t="s">
        <v>46</v>
      </c>
      <c r="Q70" s="6448"/>
      <c r="R70" s="6705" t="s">
        <v>47</v>
      </c>
      <c r="S70" s="6448"/>
      <c r="T70" s="6705" t="s">
        <v>48</v>
      </c>
      <c r="U70" s="6448"/>
      <c r="V70" s="6705" t="s">
        <v>49</v>
      </c>
      <c r="W70" s="6448"/>
      <c r="X70" s="6705" t="s">
        <v>50</v>
      </c>
      <c r="Y70" s="6448"/>
      <c r="Z70" s="6705" t="s">
        <v>51</v>
      </c>
      <c r="AA70" s="6448"/>
      <c r="AB70" s="6705" t="s">
        <v>52</v>
      </c>
      <c r="AC70" s="6448"/>
      <c r="AD70" s="6705" t="s">
        <v>53</v>
      </c>
      <c r="AE70" s="6448"/>
      <c r="AF70" s="6705" t="s">
        <v>54</v>
      </c>
      <c r="AG70" s="6448"/>
      <c r="AH70" s="6705" t="s">
        <v>55</v>
      </c>
      <c r="AI70" s="6448"/>
      <c r="AJ70" s="6705" t="s">
        <v>56</v>
      </c>
      <c r="AK70" s="6448"/>
      <c r="AL70" s="6705" t="s">
        <v>57</v>
      </c>
      <c r="AM70" s="6448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</row>
    <row r="71" spans="1:96" customFormat="1" ht="15" x14ac:dyDescent="0.25">
      <c r="A71" s="5803"/>
      <c r="B71" s="6735"/>
      <c r="C71" s="463" t="s">
        <v>79</v>
      </c>
      <c r="D71" s="718" t="s">
        <v>58</v>
      </c>
      <c r="E71" s="464" t="s">
        <v>59</v>
      </c>
      <c r="F71" s="744" t="s">
        <v>58</v>
      </c>
      <c r="G71" s="464" t="s">
        <v>59</v>
      </c>
      <c r="H71" s="744" t="s">
        <v>58</v>
      </c>
      <c r="I71" s="464" t="s">
        <v>59</v>
      </c>
      <c r="J71" s="744" t="s">
        <v>58</v>
      </c>
      <c r="K71" s="464" t="s">
        <v>59</v>
      </c>
      <c r="L71" s="744" t="s">
        <v>58</v>
      </c>
      <c r="M71" s="464" t="s">
        <v>59</v>
      </c>
      <c r="N71" s="744" t="s">
        <v>58</v>
      </c>
      <c r="O71" s="464" t="s">
        <v>59</v>
      </c>
      <c r="P71" s="744" t="s">
        <v>58</v>
      </c>
      <c r="Q71" s="464" t="s">
        <v>59</v>
      </c>
      <c r="R71" s="744" t="s">
        <v>58</v>
      </c>
      <c r="S71" s="464" t="s">
        <v>59</v>
      </c>
      <c r="T71" s="744" t="s">
        <v>58</v>
      </c>
      <c r="U71" s="464" t="s">
        <v>59</v>
      </c>
      <c r="V71" s="744" t="s">
        <v>58</v>
      </c>
      <c r="W71" s="590" t="s">
        <v>59</v>
      </c>
      <c r="X71" s="744" t="s">
        <v>58</v>
      </c>
      <c r="Y71" s="464" t="s">
        <v>59</v>
      </c>
      <c r="Z71" s="744" t="s">
        <v>58</v>
      </c>
      <c r="AA71" s="464" t="s">
        <v>59</v>
      </c>
      <c r="AB71" s="744" t="s">
        <v>58</v>
      </c>
      <c r="AC71" s="464" t="s">
        <v>59</v>
      </c>
      <c r="AD71" s="744" t="s">
        <v>58</v>
      </c>
      <c r="AE71" s="464" t="s">
        <v>59</v>
      </c>
      <c r="AF71" s="744" t="s">
        <v>58</v>
      </c>
      <c r="AG71" s="464" t="s">
        <v>59</v>
      </c>
      <c r="AH71" s="744" t="s">
        <v>58</v>
      </c>
      <c r="AI71" s="464" t="s">
        <v>59</v>
      </c>
      <c r="AJ71" s="744" t="s">
        <v>58</v>
      </c>
      <c r="AK71" s="464" t="s">
        <v>59</v>
      </c>
      <c r="AL71" s="744" t="s">
        <v>58</v>
      </c>
      <c r="AM71" s="464" t="s">
        <v>59</v>
      </c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</row>
    <row r="72" spans="1:96" customFormat="1" ht="15" customHeight="1" x14ac:dyDescent="0.25">
      <c r="A72" s="5804" t="s">
        <v>5591</v>
      </c>
      <c r="B72" s="3260" t="s">
        <v>1415</v>
      </c>
      <c r="C72" s="3254" t="s">
        <v>4567</v>
      </c>
      <c r="D72" s="746" t="s">
        <v>4568</v>
      </c>
      <c r="E72" s="606" t="s">
        <v>4569</v>
      </c>
      <c r="F72" s="3227" t="s">
        <v>4570</v>
      </c>
      <c r="G72" s="566" t="s">
        <v>4571</v>
      </c>
      <c r="H72" s="3227" t="s">
        <v>4572</v>
      </c>
      <c r="I72" s="748" t="s">
        <v>4573</v>
      </c>
      <c r="J72" s="3227" t="s">
        <v>4574</v>
      </c>
      <c r="K72" s="748" t="s">
        <v>4575</v>
      </c>
      <c r="L72" s="3227" t="s">
        <v>4576</v>
      </c>
      <c r="M72" s="748" t="s">
        <v>4577</v>
      </c>
      <c r="N72" s="3227" t="s">
        <v>4578</v>
      </c>
      <c r="O72" s="748" t="s">
        <v>4579</v>
      </c>
      <c r="P72" s="3227" t="s">
        <v>4580</v>
      </c>
      <c r="Q72" s="748" t="s">
        <v>4581</v>
      </c>
      <c r="R72" s="3227" t="s">
        <v>4582</v>
      </c>
      <c r="S72" s="748" t="s">
        <v>4583</v>
      </c>
      <c r="T72" s="3227" t="s">
        <v>4584</v>
      </c>
      <c r="U72" s="748" t="s">
        <v>4585</v>
      </c>
      <c r="V72" s="3227" t="s">
        <v>4586</v>
      </c>
      <c r="W72" s="3261" t="s">
        <v>4587</v>
      </c>
      <c r="X72" s="3227" t="s">
        <v>4588</v>
      </c>
      <c r="Y72" s="748" t="s">
        <v>4589</v>
      </c>
      <c r="Z72" s="3227" t="s">
        <v>4590</v>
      </c>
      <c r="AA72" s="748" t="s">
        <v>4591</v>
      </c>
      <c r="AB72" s="3227" t="s">
        <v>4592</v>
      </c>
      <c r="AC72" s="748" t="s">
        <v>4593</v>
      </c>
      <c r="AD72" s="3227" t="s">
        <v>4594</v>
      </c>
      <c r="AE72" s="748" t="s">
        <v>4595</v>
      </c>
      <c r="AF72" s="3227" t="s">
        <v>4596</v>
      </c>
      <c r="AG72" s="748" t="s">
        <v>4597</v>
      </c>
      <c r="AH72" s="3227" t="s">
        <v>4598</v>
      </c>
      <c r="AI72" s="748" t="s">
        <v>4599</v>
      </c>
      <c r="AJ72" s="3227" t="s">
        <v>4600</v>
      </c>
      <c r="AK72" s="748" t="s">
        <v>4601</v>
      </c>
      <c r="AL72" s="3255" t="s">
        <v>4602</v>
      </c>
      <c r="AM72" s="748" t="s">
        <v>4603</v>
      </c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</row>
    <row r="73" spans="1:96" customFormat="1" ht="15" customHeight="1" x14ac:dyDescent="0.25">
      <c r="A73" s="5804" t="s">
        <v>5592</v>
      </c>
      <c r="B73" s="3262" t="s">
        <v>1416</v>
      </c>
      <c r="C73" s="737" t="s">
        <v>4567</v>
      </c>
      <c r="D73" s="751" t="s">
        <v>4568</v>
      </c>
      <c r="E73" s="344" t="s">
        <v>4569</v>
      </c>
      <c r="F73" s="345" t="s">
        <v>4570</v>
      </c>
      <c r="G73" s="346" t="s">
        <v>4571</v>
      </c>
      <c r="H73" s="345" t="s">
        <v>4572</v>
      </c>
      <c r="I73" s="349" t="s">
        <v>4573</v>
      </c>
      <c r="J73" s="345" t="s">
        <v>4574</v>
      </c>
      <c r="K73" s="349" t="s">
        <v>4575</v>
      </c>
      <c r="L73" s="345" t="s">
        <v>4576</v>
      </c>
      <c r="M73" s="349" t="s">
        <v>4577</v>
      </c>
      <c r="N73" s="345" t="s">
        <v>4578</v>
      </c>
      <c r="O73" s="349" t="s">
        <v>4579</v>
      </c>
      <c r="P73" s="345" t="s">
        <v>4580</v>
      </c>
      <c r="Q73" s="349" t="s">
        <v>4581</v>
      </c>
      <c r="R73" s="345" t="s">
        <v>4582</v>
      </c>
      <c r="S73" s="349" t="s">
        <v>4583</v>
      </c>
      <c r="T73" s="345" t="s">
        <v>4584</v>
      </c>
      <c r="U73" s="349" t="s">
        <v>4585</v>
      </c>
      <c r="V73" s="345" t="s">
        <v>4586</v>
      </c>
      <c r="W73" s="348" t="s">
        <v>4587</v>
      </c>
      <c r="X73" s="345" t="s">
        <v>4588</v>
      </c>
      <c r="Y73" s="349" t="s">
        <v>4589</v>
      </c>
      <c r="Z73" s="345" t="s">
        <v>4590</v>
      </c>
      <c r="AA73" s="349" t="s">
        <v>4591</v>
      </c>
      <c r="AB73" s="345" t="s">
        <v>4592</v>
      </c>
      <c r="AC73" s="349" t="s">
        <v>4593</v>
      </c>
      <c r="AD73" s="345" t="s">
        <v>4594</v>
      </c>
      <c r="AE73" s="349" t="s">
        <v>4595</v>
      </c>
      <c r="AF73" s="345" t="s">
        <v>4596</v>
      </c>
      <c r="AG73" s="349" t="s">
        <v>4597</v>
      </c>
      <c r="AH73" s="345" t="s">
        <v>4598</v>
      </c>
      <c r="AI73" s="349" t="s">
        <v>4599</v>
      </c>
      <c r="AJ73" s="345" t="s">
        <v>4600</v>
      </c>
      <c r="AK73" s="349" t="s">
        <v>4601</v>
      </c>
      <c r="AL73" s="350" t="s">
        <v>4602</v>
      </c>
      <c r="AM73" s="349" t="s">
        <v>4603</v>
      </c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</row>
    <row r="74" spans="1:96" customFormat="1" ht="15" customHeight="1" x14ac:dyDescent="0.25">
      <c r="A74" s="5804" t="s">
        <v>5593</v>
      </c>
      <c r="B74" s="3262" t="s">
        <v>1417</v>
      </c>
      <c r="C74" s="737" t="s">
        <v>4567</v>
      </c>
      <c r="D74" s="751" t="s">
        <v>4568</v>
      </c>
      <c r="E74" s="344" t="s">
        <v>4569</v>
      </c>
      <c r="F74" s="345" t="s">
        <v>4570</v>
      </c>
      <c r="G74" s="346" t="s">
        <v>4571</v>
      </c>
      <c r="H74" s="345" t="s">
        <v>4572</v>
      </c>
      <c r="I74" s="349" t="s">
        <v>4573</v>
      </c>
      <c r="J74" s="345" t="s">
        <v>4574</v>
      </c>
      <c r="K74" s="349" t="s">
        <v>4575</v>
      </c>
      <c r="L74" s="345" t="s">
        <v>4576</v>
      </c>
      <c r="M74" s="349" t="s">
        <v>4577</v>
      </c>
      <c r="N74" s="345" t="s">
        <v>4578</v>
      </c>
      <c r="O74" s="349" t="s">
        <v>4579</v>
      </c>
      <c r="P74" s="345" t="s">
        <v>4580</v>
      </c>
      <c r="Q74" s="349" t="s">
        <v>4581</v>
      </c>
      <c r="R74" s="345" t="s">
        <v>4582</v>
      </c>
      <c r="S74" s="349" t="s">
        <v>4583</v>
      </c>
      <c r="T74" s="345" t="s">
        <v>4584</v>
      </c>
      <c r="U74" s="349" t="s">
        <v>4585</v>
      </c>
      <c r="V74" s="345" t="s">
        <v>4586</v>
      </c>
      <c r="W74" s="348" t="s">
        <v>4587</v>
      </c>
      <c r="X74" s="345" t="s">
        <v>4588</v>
      </c>
      <c r="Y74" s="349" t="s">
        <v>4589</v>
      </c>
      <c r="Z74" s="345" t="s">
        <v>4590</v>
      </c>
      <c r="AA74" s="349" t="s">
        <v>4591</v>
      </c>
      <c r="AB74" s="345" t="s">
        <v>4592</v>
      </c>
      <c r="AC74" s="349" t="s">
        <v>4593</v>
      </c>
      <c r="AD74" s="345" t="s">
        <v>4594</v>
      </c>
      <c r="AE74" s="349" t="s">
        <v>4595</v>
      </c>
      <c r="AF74" s="345" t="s">
        <v>4596</v>
      </c>
      <c r="AG74" s="349" t="s">
        <v>4597</v>
      </c>
      <c r="AH74" s="345" t="s">
        <v>4598</v>
      </c>
      <c r="AI74" s="349" t="s">
        <v>4599</v>
      </c>
      <c r="AJ74" s="345" t="s">
        <v>4600</v>
      </c>
      <c r="AK74" s="349" t="s">
        <v>4601</v>
      </c>
      <c r="AL74" s="350" t="s">
        <v>4602</v>
      </c>
      <c r="AM74" s="349" t="s">
        <v>4603</v>
      </c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</row>
    <row r="75" spans="1:96" customFormat="1" ht="15" customHeight="1" x14ac:dyDescent="0.25">
      <c r="A75" s="5804" t="s">
        <v>5594</v>
      </c>
      <c r="B75" s="3262" t="s">
        <v>1418</v>
      </c>
      <c r="C75" s="737" t="s">
        <v>4567</v>
      </c>
      <c r="D75" s="751" t="s">
        <v>4568</v>
      </c>
      <c r="E75" s="344" t="s">
        <v>4569</v>
      </c>
      <c r="F75" s="345" t="s">
        <v>4570</v>
      </c>
      <c r="G75" s="346" t="s">
        <v>4571</v>
      </c>
      <c r="H75" s="345" t="s">
        <v>4572</v>
      </c>
      <c r="I75" s="349" t="s">
        <v>4573</v>
      </c>
      <c r="J75" s="345" t="s">
        <v>4574</v>
      </c>
      <c r="K75" s="349" t="s">
        <v>4575</v>
      </c>
      <c r="L75" s="345" t="s">
        <v>4576</v>
      </c>
      <c r="M75" s="349" t="s">
        <v>4577</v>
      </c>
      <c r="N75" s="345" t="s">
        <v>4578</v>
      </c>
      <c r="O75" s="349" t="s">
        <v>4579</v>
      </c>
      <c r="P75" s="345" t="s">
        <v>4580</v>
      </c>
      <c r="Q75" s="349" t="s">
        <v>4581</v>
      </c>
      <c r="R75" s="345" t="s">
        <v>4582</v>
      </c>
      <c r="S75" s="349" t="s">
        <v>4583</v>
      </c>
      <c r="T75" s="345" t="s">
        <v>4584</v>
      </c>
      <c r="U75" s="349" t="s">
        <v>4585</v>
      </c>
      <c r="V75" s="345" t="s">
        <v>4586</v>
      </c>
      <c r="W75" s="348" t="s">
        <v>4587</v>
      </c>
      <c r="X75" s="345" t="s">
        <v>4588</v>
      </c>
      <c r="Y75" s="349" t="s">
        <v>4589</v>
      </c>
      <c r="Z75" s="345" t="s">
        <v>4590</v>
      </c>
      <c r="AA75" s="349" t="s">
        <v>4591</v>
      </c>
      <c r="AB75" s="345" t="s">
        <v>4592</v>
      </c>
      <c r="AC75" s="349" t="s">
        <v>4593</v>
      </c>
      <c r="AD75" s="345" t="s">
        <v>4594</v>
      </c>
      <c r="AE75" s="349" t="s">
        <v>4595</v>
      </c>
      <c r="AF75" s="345" t="s">
        <v>4596</v>
      </c>
      <c r="AG75" s="349" t="s">
        <v>4597</v>
      </c>
      <c r="AH75" s="345" t="s">
        <v>4598</v>
      </c>
      <c r="AI75" s="349" t="s">
        <v>4599</v>
      </c>
      <c r="AJ75" s="345" t="s">
        <v>4600</v>
      </c>
      <c r="AK75" s="349" t="s">
        <v>4601</v>
      </c>
      <c r="AL75" s="350" t="s">
        <v>4602</v>
      </c>
      <c r="AM75" s="349" t="s">
        <v>4603</v>
      </c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</row>
    <row r="76" spans="1:96" customFormat="1" ht="15" customHeight="1" x14ac:dyDescent="0.25">
      <c r="A76" s="5804" t="s">
        <v>5595</v>
      </c>
      <c r="B76" s="3263" t="s">
        <v>1419</v>
      </c>
      <c r="C76" s="202" t="s">
        <v>4567</v>
      </c>
      <c r="D76" s="752" t="s">
        <v>4568</v>
      </c>
      <c r="E76" s="10" t="s">
        <v>4569</v>
      </c>
      <c r="F76" s="192" t="s">
        <v>4570</v>
      </c>
      <c r="G76" s="2" t="s">
        <v>4571</v>
      </c>
      <c r="H76" s="192" t="s">
        <v>4572</v>
      </c>
      <c r="I76" s="382" t="s">
        <v>4573</v>
      </c>
      <c r="J76" s="192" t="s">
        <v>4574</v>
      </c>
      <c r="K76" s="382" t="s">
        <v>4575</v>
      </c>
      <c r="L76" s="192" t="s">
        <v>4576</v>
      </c>
      <c r="M76" s="382" t="s">
        <v>4577</v>
      </c>
      <c r="N76" s="192" t="s">
        <v>4578</v>
      </c>
      <c r="O76" s="382" t="s">
        <v>4579</v>
      </c>
      <c r="P76" s="192" t="s">
        <v>4580</v>
      </c>
      <c r="Q76" s="382" t="s">
        <v>4581</v>
      </c>
      <c r="R76" s="192" t="s">
        <v>4582</v>
      </c>
      <c r="S76" s="382" t="s">
        <v>4583</v>
      </c>
      <c r="T76" s="192" t="s">
        <v>4584</v>
      </c>
      <c r="U76" s="382" t="s">
        <v>4585</v>
      </c>
      <c r="V76" s="192" t="s">
        <v>4586</v>
      </c>
      <c r="W76" s="1098" t="s">
        <v>4587</v>
      </c>
      <c r="X76" s="192" t="s">
        <v>4588</v>
      </c>
      <c r="Y76" s="382" t="s">
        <v>4589</v>
      </c>
      <c r="Z76" s="192" t="s">
        <v>4590</v>
      </c>
      <c r="AA76" s="382" t="s">
        <v>4591</v>
      </c>
      <c r="AB76" s="192" t="s">
        <v>4592</v>
      </c>
      <c r="AC76" s="382" t="s">
        <v>4593</v>
      </c>
      <c r="AD76" s="192" t="s">
        <v>4594</v>
      </c>
      <c r="AE76" s="382" t="s">
        <v>4595</v>
      </c>
      <c r="AF76" s="192" t="s">
        <v>4596</v>
      </c>
      <c r="AG76" s="382" t="s">
        <v>4597</v>
      </c>
      <c r="AH76" s="192" t="s">
        <v>4598</v>
      </c>
      <c r="AI76" s="382" t="s">
        <v>4599</v>
      </c>
      <c r="AJ76" s="192" t="s">
        <v>4600</v>
      </c>
      <c r="AK76" s="382" t="s">
        <v>4601</v>
      </c>
      <c r="AL76" s="753" t="s">
        <v>4602</v>
      </c>
      <c r="AM76" s="382" t="s">
        <v>4603</v>
      </c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</row>
    <row r="77" spans="1:96" customFormat="1" ht="15" customHeight="1" x14ac:dyDescent="0.25">
      <c r="A77" s="5804" t="s">
        <v>5596</v>
      </c>
      <c r="B77" s="3264" t="s">
        <v>1420</v>
      </c>
      <c r="C77" s="703" t="s">
        <v>4567</v>
      </c>
      <c r="D77" s="2202" t="s">
        <v>4568</v>
      </c>
      <c r="E77" s="625" t="s">
        <v>4569</v>
      </c>
      <c r="F77" s="379" t="s">
        <v>4570</v>
      </c>
      <c r="G77" s="387" t="s">
        <v>4571</v>
      </c>
      <c r="H77" s="379" t="s">
        <v>4572</v>
      </c>
      <c r="I77" s="388" t="s">
        <v>4573</v>
      </c>
      <c r="J77" s="379" t="s">
        <v>4574</v>
      </c>
      <c r="K77" s="388" t="s">
        <v>4575</v>
      </c>
      <c r="L77" s="379" t="s">
        <v>4576</v>
      </c>
      <c r="M77" s="388" t="s">
        <v>4577</v>
      </c>
      <c r="N77" s="379" t="s">
        <v>4578</v>
      </c>
      <c r="O77" s="388" t="s">
        <v>4579</v>
      </c>
      <c r="P77" s="379" t="s">
        <v>4580</v>
      </c>
      <c r="Q77" s="388" t="s">
        <v>4581</v>
      </c>
      <c r="R77" s="379" t="s">
        <v>4582</v>
      </c>
      <c r="S77" s="388" t="s">
        <v>4583</v>
      </c>
      <c r="T77" s="379" t="s">
        <v>4584</v>
      </c>
      <c r="U77" s="388" t="s">
        <v>4585</v>
      </c>
      <c r="V77" s="379" t="s">
        <v>4586</v>
      </c>
      <c r="W77" s="501" t="s">
        <v>4587</v>
      </c>
      <c r="X77" s="379" t="s">
        <v>4588</v>
      </c>
      <c r="Y77" s="388" t="s">
        <v>4589</v>
      </c>
      <c r="Z77" s="379" t="s">
        <v>4590</v>
      </c>
      <c r="AA77" s="388" t="s">
        <v>4591</v>
      </c>
      <c r="AB77" s="379" t="s">
        <v>4592</v>
      </c>
      <c r="AC77" s="388" t="s">
        <v>4593</v>
      </c>
      <c r="AD77" s="379" t="s">
        <v>4594</v>
      </c>
      <c r="AE77" s="388" t="s">
        <v>4595</v>
      </c>
      <c r="AF77" s="379" t="s">
        <v>4596</v>
      </c>
      <c r="AG77" s="388" t="s">
        <v>4597</v>
      </c>
      <c r="AH77" s="379" t="s">
        <v>4598</v>
      </c>
      <c r="AI77" s="388" t="s">
        <v>4599</v>
      </c>
      <c r="AJ77" s="379" t="s">
        <v>4600</v>
      </c>
      <c r="AK77" s="388" t="s">
        <v>4601</v>
      </c>
      <c r="AL77" s="666" t="s">
        <v>4602</v>
      </c>
      <c r="AM77" s="388" t="s">
        <v>4603</v>
      </c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</row>
    <row r="78" spans="1:96" customFormat="1" ht="15" customHeight="1" x14ac:dyDescent="0.25">
      <c r="A78" s="5805"/>
      <c r="B78" s="1762" t="s">
        <v>77</v>
      </c>
      <c r="C78" s="758">
        <f t="shared" ref="C78:AM78" si="43">SUM(C72:C77)</f>
        <v>0</v>
      </c>
      <c r="D78" s="759">
        <f t="shared" si="43"/>
        <v>0</v>
      </c>
      <c r="E78" s="611">
        <f t="shared" si="43"/>
        <v>0</v>
      </c>
      <c r="F78" s="756">
        <f t="shared" si="43"/>
        <v>0</v>
      </c>
      <c r="G78" s="514">
        <f t="shared" si="43"/>
        <v>0</v>
      </c>
      <c r="H78" s="756">
        <f t="shared" si="43"/>
        <v>0</v>
      </c>
      <c r="I78" s="572">
        <f t="shared" si="43"/>
        <v>0</v>
      </c>
      <c r="J78" s="756">
        <f t="shared" si="43"/>
        <v>0</v>
      </c>
      <c r="K78" s="572">
        <f t="shared" si="43"/>
        <v>0</v>
      </c>
      <c r="L78" s="756">
        <f t="shared" si="43"/>
        <v>0</v>
      </c>
      <c r="M78" s="572">
        <f t="shared" si="43"/>
        <v>0</v>
      </c>
      <c r="N78" s="756">
        <f t="shared" si="43"/>
        <v>0</v>
      </c>
      <c r="O78" s="572">
        <f t="shared" si="43"/>
        <v>0</v>
      </c>
      <c r="P78" s="756">
        <f t="shared" si="43"/>
        <v>0</v>
      </c>
      <c r="Q78" s="572">
        <f t="shared" si="43"/>
        <v>0</v>
      </c>
      <c r="R78" s="756">
        <f t="shared" si="43"/>
        <v>0</v>
      </c>
      <c r="S78" s="572">
        <f t="shared" si="43"/>
        <v>0</v>
      </c>
      <c r="T78" s="756">
        <f t="shared" si="43"/>
        <v>0</v>
      </c>
      <c r="U78" s="572">
        <f t="shared" si="43"/>
        <v>0</v>
      </c>
      <c r="V78" s="565">
        <f t="shared" si="43"/>
        <v>0</v>
      </c>
      <c r="W78" s="3267">
        <f t="shared" si="43"/>
        <v>0</v>
      </c>
      <c r="X78" s="756">
        <f t="shared" si="43"/>
        <v>0</v>
      </c>
      <c r="Y78" s="572">
        <f t="shared" si="43"/>
        <v>0</v>
      </c>
      <c r="Z78" s="756">
        <f t="shared" si="43"/>
        <v>0</v>
      </c>
      <c r="AA78" s="572">
        <f t="shared" si="43"/>
        <v>0</v>
      </c>
      <c r="AB78" s="756">
        <f t="shared" si="43"/>
        <v>0</v>
      </c>
      <c r="AC78" s="572">
        <f t="shared" si="43"/>
        <v>0</v>
      </c>
      <c r="AD78" s="756">
        <f t="shared" si="43"/>
        <v>0</v>
      </c>
      <c r="AE78" s="572">
        <f t="shared" si="43"/>
        <v>0</v>
      </c>
      <c r="AF78" s="756">
        <f t="shared" si="43"/>
        <v>0</v>
      </c>
      <c r="AG78" s="572">
        <f t="shared" si="43"/>
        <v>0</v>
      </c>
      <c r="AH78" s="756">
        <f t="shared" si="43"/>
        <v>0</v>
      </c>
      <c r="AI78" s="572">
        <f t="shared" si="43"/>
        <v>0</v>
      </c>
      <c r="AJ78" s="756">
        <f t="shared" si="43"/>
        <v>0</v>
      </c>
      <c r="AK78" s="572">
        <f t="shared" si="43"/>
        <v>0</v>
      </c>
      <c r="AL78" s="757">
        <f t="shared" si="43"/>
        <v>0</v>
      </c>
      <c r="AM78" s="572">
        <f t="shared" si="43"/>
        <v>0</v>
      </c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</row>
    <row r="79" spans="1:96" s="8" customFormat="1" ht="18" customHeight="1" x14ac:dyDescent="0.15">
      <c r="A79" s="5797"/>
      <c r="B79" s="3137" t="s">
        <v>1422</v>
      </c>
      <c r="C79" s="3269"/>
      <c r="D79" s="3269"/>
      <c r="E79" s="3269"/>
      <c r="F79" s="3269"/>
      <c r="G79" s="3269"/>
      <c r="H79" s="3269"/>
      <c r="I79" s="3269"/>
      <c r="J79" s="1"/>
      <c r="K79" s="1"/>
      <c r="L79" s="1"/>
      <c r="M79" s="1"/>
      <c r="N79" s="1"/>
      <c r="O79" s="1"/>
      <c r="P79" s="1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W79" s="5"/>
      <c r="BX79" s="5"/>
      <c r="BY79" s="5"/>
      <c r="BZ79" s="5"/>
    </row>
    <row r="80" spans="1:96" ht="21" x14ac:dyDescent="0.2">
      <c r="A80" s="5797"/>
      <c r="B80" s="1754" t="s">
        <v>1423</v>
      </c>
      <c r="C80" s="1765" t="s">
        <v>1363</v>
      </c>
      <c r="D80" s="744" t="s">
        <v>1424</v>
      </c>
      <c r="E80" s="548" t="s">
        <v>1425</v>
      </c>
      <c r="F80" s="464" t="s">
        <v>591</v>
      </c>
      <c r="G80" s="50"/>
      <c r="H80" s="7"/>
      <c r="I80" s="7"/>
      <c r="J80" s="7"/>
      <c r="K80" s="7"/>
      <c r="L80" s="7"/>
      <c r="M80" s="7"/>
      <c r="N80" s="7"/>
      <c r="O80" s="3270" t="s">
        <v>10</v>
      </c>
      <c r="P80" s="7"/>
      <c r="Q80" s="7"/>
      <c r="R80" s="7"/>
      <c r="S80" s="3223"/>
      <c r="T80" s="3223"/>
      <c r="U80" s="3223"/>
      <c r="V80" s="3223"/>
      <c r="W80" s="3223"/>
      <c r="X80" s="3223"/>
      <c r="Y80" s="7"/>
      <c r="Z80" s="7"/>
      <c r="AP80" s="1839"/>
      <c r="AQ80" s="1839"/>
      <c r="AR80" s="1839"/>
      <c r="AS80" s="1839"/>
      <c r="AT80" s="1839"/>
      <c r="AU80" s="1839"/>
      <c r="AV80" s="1839"/>
      <c r="AW80" s="1839"/>
      <c r="AX80" s="1839"/>
      <c r="AY80" s="1839"/>
      <c r="AZ80" s="1839"/>
      <c r="BA80" s="1839"/>
      <c r="BB80" s="1839"/>
      <c r="BC80" s="1839"/>
      <c r="BD80" s="1839"/>
    </row>
    <row r="81" spans="1:56" ht="15" customHeight="1" x14ac:dyDescent="0.2">
      <c r="A81" s="5795" t="s">
        <v>5597</v>
      </c>
      <c r="B81" s="3271" t="s">
        <v>1209</v>
      </c>
      <c r="C81" s="3272" t="s">
        <v>4567</v>
      </c>
      <c r="D81" s="3227" t="s">
        <v>4568</v>
      </c>
      <c r="E81" s="750" t="s">
        <v>4569</v>
      </c>
      <c r="F81" s="566" t="s">
        <v>4570</v>
      </c>
      <c r="G81" s="3273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3223"/>
      <c r="T81" s="3223"/>
      <c r="U81" s="3223"/>
      <c r="V81" s="3223"/>
      <c r="W81" s="3223"/>
      <c r="X81" s="3223"/>
      <c r="Y81" s="7"/>
      <c r="Z81" s="7"/>
      <c r="AP81" s="1839"/>
      <c r="AQ81" s="1839"/>
      <c r="AR81" s="1839"/>
      <c r="AS81" s="1839"/>
      <c r="AT81" s="1839"/>
      <c r="AU81" s="1839"/>
      <c r="AV81" s="1839"/>
      <c r="AW81" s="1839"/>
      <c r="AX81" s="1839"/>
      <c r="AY81" s="1839"/>
      <c r="AZ81" s="1839"/>
      <c r="BA81" s="1839"/>
      <c r="BB81" s="1839"/>
      <c r="BC81" s="1839"/>
      <c r="BD81" s="1839"/>
    </row>
    <row r="82" spans="1:56" ht="15" customHeight="1" x14ac:dyDescent="0.2">
      <c r="A82" s="5795" t="s">
        <v>5598</v>
      </c>
      <c r="B82" s="332" t="s">
        <v>1426</v>
      </c>
      <c r="C82" s="497" t="s">
        <v>4567</v>
      </c>
      <c r="D82" s="345" t="s">
        <v>4568</v>
      </c>
      <c r="E82" s="368" t="s">
        <v>4569</v>
      </c>
      <c r="F82" s="346" t="s">
        <v>4570</v>
      </c>
      <c r="G82" s="3273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3223"/>
      <c r="T82" s="3223"/>
      <c r="U82" s="3223"/>
      <c r="V82" s="3223"/>
      <c r="W82" s="3223"/>
      <c r="X82" s="3223"/>
      <c r="Y82" s="7"/>
      <c r="Z82" s="7"/>
      <c r="AP82" s="1839"/>
      <c r="AQ82" s="1839"/>
      <c r="AR82" s="1839"/>
      <c r="AS82" s="1839"/>
      <c r="AT82" s="1839"/>
      <c r="AU82" s="1839"/>
      <c r="AV82" s="1839"/>
      <c r="AW82" s="1839"/>
      <c r="AX82" s="1839"/>
      <c r="AY82" s="1839"/>
      <c r="AZ82" s="1839"/>
      <c r="BA82" s="1839"/>
      <c r="BB82" s="1839"/>
      <c r="BC82" s="1839"/>
      <c r="BD82" s="1839"/>
    </row>
    <row r="83" spans="1:56" ht="15" customHeight="1" x14ac:dyDescent="0.2">
      <c r="A83" s="5795" t="s">
        <v>5599</v>
      </c>
      <c r="B83" s="332" t="s">
        <v>1223</v>
      </c>
      <c r="C83" s="497" t="s">
        <v>4567</v>
      </c>
      <c r="D83" s="345" t="s">
        <v>4568</v>
      </c>
      <c r="E83" s="368" t="s">
        <v>4569</v>
      </c>
      <c r="F83" s="346" t="s">
        <v>4570</v>
      </c>
      <c r="G83" s="3273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3223"/>
      <c r="T83" s="3223"/>
      <c r="U83" s="3223"/>
      <c r="V83" s="3223"/>
      <c r="W83" s="3223"/>
      <c r="X83" s="3223"/>
      <c r="Y83" s="7"/>
      <c r="Z83" s="7"/>
      <c r="AP83" s="1839"/>
      <c r="AQ83" s="1839"/>
      <c r="AR83" s="1839"/>
      <c r="AS83" s="1839"/>
      <c r="AT83" s="1839"/>
      <c r="AU83" s="1839"/>
      <c r="AV83" s="1839"/>
      <c r="AW83" s="1839"/>
      <c r="AX83" s="1839"/>
      <c r="AY83" s="1839"/>
      <c r="AZ83" s="1839"/>
      <c r="BA83" s="1839"/>
      <c r="BB83" s="1839"/>
      <c r="BC83" s="1839"/>
      <c r="BD83" s="1839"/>
    </row>
    <row r="84" spans="1:56" ht="15" customHeight="1" x14ac:dyDescent="0.2">
      <c r="A84" s="5795" t="s">
        <v>5600</v>
      </c>
      <c r="B84" s="332" t="s">
        <v>1427</v>
      </c>
      <c r="C84" s="497" t="s">
        <v>4567</v>
      </c>
      <c r="D84" s="345" t="s">
        <v>4568</v>
      </c>
      <c r="E84" s="368" t="s">
        <v>4569</v>
      </c>
      <c r="F84" s="346" t="s">
        <v>4570</v>
      </c>
      <c r="G84" s="3273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3223"/>
      <c r="T84" s="3223"/>
      <c r="U84" s="3223"/>
      <c r="V84" s="3223"/>
      <c r="W84" s="3223"/>
      <c r="X84" s="3223"/>
      <c r="Y84" s="7"/>
      <c r="Z84" s="7"/>
      <c r="AP84" s="1839"/>
      <c r="AQ84" s="1839"/>
      <c r="AR84" s="1839"/>
      <c r="AS84" s="1839"/>
      <c r="AT84" s="1839"/>
      <c r="AU84" s="1839"/>
      <c r="AV84" s="1839"/>
      <c r="AW84" s="1839"/>
      <c r="AX84" s="1839"/>
      <c r="AY84" s="1839"/>
      <c r="AZ84" s="1839"/>
      <c r="BA84" s="1839"/>
      <c r="BB84" s="1839"/>
      <c r="BC84" s="1839"/>
      <c r="BD84" s="1839"/>
    </row>
    <row r="85" spans="1:56" ht="15" customHeight="1" x14ac:dyDescent="0.2">
      <c r="A85" s="5795" t="s">
        <v>5601</v>
      </c>
      <c r="B85" s="332" t="s">
        <v>1237</v>
      </c>
      <c r="C85" s="497" t="s">
        <v>4567</v>
      </c>
      <c r="D85" s="345" t="s">
        <v>4568</v>
      </c>
      <c r="E85" s="368" t="s">
        <v>4569</v>
      </c>
      <c r="F85" s="346" t="s">
        <v>4570</v>
      </c>
      <c r="G85" s="3273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3223"/>
      <c r="T85" s="3223"/>
      <c r="U85" s="3223"/>
      <c r="V85" s="3223"/>
      <c r="W85" s="3223"/>
      <c r="X85" s="3223"/>
      <c r="Y85" s="7"/>
      <c r="Z85" s="7"/>
      <c r="AP85" s="1839"/>
      <c r="AQ85" s="1839"/>
      <c r="AR85" s="1839"/>
      <c r="AS85" s="1839"/>
      <c r="AT85" s="1839"/>
      <c r="AU85" s="1839"/>
      <c r="AV85" s="1839"/>
      <c r="AW85" s="1839"/>
      <c r="AX85" s="1839"/>
      <c r="AY85" s="1839"/>
      <c r="AZ85" s="1839"/>
      <c r="BA85" s="1839"/>
      <c r="BB85" s="1839"/>
      <c r="BC85" s="1839"/>
      <c r="BD85" s="1839"/>
    </row>
    <row r="86" spans="1:56" ht="15" customHeight="1" x14ac:dyDescent="0.2">
      <c r="A86" s="5795" t="s">
        <v>5602</v>
      </c>
      <c r="B86" s="332" t="s">
        <v>1238</v>
      </c>
      <c r="C86" s="497" t="s">
        <v>4567</v>
      </c>
      <c r="D86" s="345" t="s">
        <v>4568</v>
      </c>
      <c r="E86" s="368" t="s">
        <v>4569</v>
      </c>
      <c r="F86" s="346" t="s">
        <v>4570</v>
      </c>
      <c r="G86" s="3273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3223"/>
      <c r="T86" s="3223"/>
      <c r="U86" s="3223"/>
      <c r="V86" s="3223"/>
      <c r="W86" s="3223"/>
      <c r="X86" s="3223"/>
      <c r="Y86" s="7"/>
      <c r="Z86" s="7"/>
      <c r="AP86" s="1839"/>
      <c r="AQ86" s="1839"/>
      <c r="AR86" s="1839"/>
      <c r="AS86" s="1839"/>
      <c r="AT86" s="1839"/>
      <c r="AU86" s="1839"/>
      <c r="AV86" s="1839"/>
      <c r="AW86" s="1839"/>
      <c r="AX86" s="1839"/>
      <c r="AY86" s="1839"/>
      <c r="AZ86" s="1839"/>
      <c r="BA86" s="1839"/>
      <c r="BB86" s="1839"/>
      <c r="BC86" s="1839"/>
      <c r="BD86" s="1839"/>
    </row>
    <row r="87" spans="1:56" ht="15" customHeight="1" x14ac:dyDescent="0.2">
      <c r="A87" s="5795" t="s">
        <v>5603</v>
      </c>
      <c r="B87" s="332" t="s">
        <v>1208</v>
      </c>
      <c r="C87" s="497" t="s">
        <v>4567</v>
      </c>
      <c r="D87" s="345" t="s">
        <v>4568</v>
      </c>
      <c r="E87" s="368" t="s">
        <v>4569</v>
      </c>
      <c r="F87" s="346" t="s">
        <v>4570</v>
      </c>
      <c r="G87" s="3273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3223"/>
      <c r="T87" s="3223"/>
      <c r="U87" s="3223"/>
      <c r="V87" s="3223"/>
      <c r="W87" s="3223"/>
      <c r="X87" s="3223"/>
      <c r="Y87" s="7"/>
      <c r="Z87" s="7"/>
      <c r="AP87" s="1839"/>
      <c r="AQ87" s="1839"/>
      <c r="AR87" s="1839"/>
      <c r="AS87" s="1839"/>
      <c r="AT87" s="1839"/>
      <c r="AU87" s="1839"/>
      <c r="AV87" s="1839"/>
      <c r="AW87" s="1839"/>
      <c r="AX87" s="1839"/>
      <c r="AY87" s="1839"/>
      <c r="AZ87" s="1839"/>
      <c r="BA87" s="1839"/>
      <c r="BB87" s="1839"/>
      <c r="BC87" s="1839"/>
      <c r="BD87" s="1839"/>
    </row>
    <row r="88" spans="1:56" ht="15" customHeight="1" x14ac:dyDescent="0.2">
      <c r="A88" s="5795" t="s">
        <v>5604</v>
      </c>
      <c r="B88" s="332" t="s">
        <v>1428</v>
      </c>
      <c r="C88" s="497" t="s">
        <v>4567</v>
      </c>
      <c r="D88" s="345" t="s">
        <v>4568</v>
      </c>
      <c r="E88" s="368" t="s">
        <v>4569</v>
      </c>
      <c r="F88" s="346" t="s">
        <v>4570</v>
      </c>
      <c r="G88" s="3273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3223"/>
      <c r="T88" s="3223"/>
      <c r="U88" s="3223"/>
      <c r="V88" s="3223"/>
      <c r="W88" s="3223"/>
      <c r="X88" s="3223"/>
      <c r="Y88" s="7"/>
      <c r="Z88" s="7"/>
      <c r="AP88" s="1839"/>
      <c r="AQ88" s="1839"/>
      <c r="AR88" s="1839"/>
      <c r="AS88" s="1839"/>
      <c r="AT88" s="1839"/>
      <c r="AU88" s="1839"/>
      <c r="AV88" s="1839"/>
      <c r="AW88" s="1839"/>
      <c r="AX88" s="1839"/>
      <c r="AY88" s="1839"/>
      <c r="AZ88" s="1839"/>
      <c r="BA88" s="1839"/>
      <c r="BB88" s="1839"/>
      <c r="BC88" s="1839"/>
      <c r="BD88" s="1839"/>
    </row>
    <row r="89" spans="1:56" ht="15" customHeight="1" x14ac:dyDescent="0.2">
      <c r="A89" s="5795" t="s">
        <v>5605</v>
      </c>
      <c r="B89" s="332" t="s">
        <v>1234</v>
      </c>
      <c r="C89" s="497" t="s">
        <v>4567</v>
      </c>
      <c r="D89" s="345" t="s">
        <v>4568</v>
      </c>
      <c r="E89" s="368" t="s">
        <v>4569</v>
      </c>
      <c r="F89" s="346" t="s">
        <v>4570</v>
      </c>
      <c r="G89" s="3273"/>
      <c r="H89" s="3221"/>
      <c r="I89" s="3221"/>
      <c r="J89" s="7"/>
      <c r="K89" s="7"/>
      <c r="L89" s="7"/>
      <c r="M89" s="7"/>
      <c r="N89" s="7"/>
      <c r="O89" s="7"/>
      <c r="P89" s="7"/>
      <c r="Q89" s="7"/>
      <c r="R89" s="7"/>
      <c r="S89" s="3223"/>
      <c r="T89" s="3223"/>
      <c r="U89" s="3223"/>
      <c r="V89" s="3223"/>
      <c r="W89" s="3223"/>
      <c r="X89" s="3223"/>
      <c r="Y89" s="7"/>
      <c r="Z89" s="7"/>
    </row>
    <row r="90" spans="1:56" ht="15" customHeight="1" x14ac:dyDescent="0.2">
      <c r="A90" s="5795" t="s">
        <v>5606</v>
      </c>
      <c r="B90" s="332" t="s">
        <v>1429</v>
      </c>
      <c r="C90" s="497" t="s">
        <v>4567</v>
      </c>
      <c r="D90" s="345" t="s">
        <v>4568</v>
      </c>
      <c r="E90" s="368" t="s">
        <v>4569</v>
      </c>
      <c r="F90" s="346" t="s">
        <v>4570</v>
      </c>
      <c r="G90" s="3273"/>
      <c r="H90" s="3221"/>
      <c r="I90" s="3221"/>
      <c r="J90" s="7"/>
      <c r="K90" s="7"/>
      <c r="L90" s="7"/>
      <c r="M90" s="7"/>
      <c r="N90" s="7"/>
      <c r="O90" s="7"/>
      <c r="P90" s="7"/>
      <c r="Q90" s="7"/>
      <c r="R90" s="7"/>
      <c r="S90" s="3223"/>
      <c r="T90" s="3223"/>
      <c r="U90" s="3223"/>
      <c r="V90" s="3223"/>
      <c r="W90" s="3223"/>
      <c r="X90" s="3223"/>
      <c r="Y90" s="7"/>
      <c r="Z90" s="7"/>
    </row>
    <row r="91" spans="1:56" ht="15" customHeight="1" x14ac:dyDescent="0.2">
      <c r="A91" s="5795" t="s">
        <v>5607</v>
      </c>
      <c r="B91" s="332" t="s">
        <v>1430</v>
      </c>
      <c r="C91" s="497" t="s">
        <v>4567</v>
      </c>
      <c r="D91" s="345" t="s">
        <v>4568</v>
      </c>
      <c r="E91" s="368" t="s">
        <v>4569</v>
      </c>
      <c r="F91" s="346" t="s">
        <v>4570</v>
      </c>
      <c r="G91" s="3273"/>
      <c r="H91" s="3221"/>
      <c r="I91" s="3221"/>
      <c r="J91" s="7"/>
      <c r="K91" s="7"/>
      <c r="L91" s="7"/>
      <c r="M91" s="7"/>
      <c r="N91" s="7"/>
      <c r="O91" s="7"/>
      <c r="P91" s="7"/>
      <c r="Q91" s="7"/>
      <c r="R91" s="7"/>
      <c r="S91" s="3223"/>
      <c r="T91" s="3223"/>
      <c r="U91" s="3223"/>
      <c r="V91" s="3223"/>
      <c r="W91" s="3223"/>
      <c r="X91" s="3223"/>
      <c r="Y91" s="7"/>
      <c r="Z91" s="7"/>
    </row>
    <row r="92" spans="1:56" ht="15" customHeight="1" x14ac:dyDescent="0.2">
      <c r="A92" s="5795" t="s">
        <v>5608</v>
      </c>
      <c r="B92" s="3274" t="s">
        <v>1431</v>
      </c>
      <c r="C92" s="497" t="s">
        <v>4567</v>
      </c>
      <c r="D92" s="345" t="s">
        <v>4568</v>
      </c>
      <c r="E92" s="368" t="s">
        <v>4569</v>
      </c>
      <c r="F92" s="346" t="s">
        <v>4570</v>
      </c>
      <c r="G92" s="3273"/>
      <c r="H92" s="3221"/>
      <c r="I92" s="3221"/>
      <c r="J92" s="7"/>
      <c r="K92" s="7"/>
      <c r="L92" s="7"/>
      <c r="M92" s="7"/>
      <c r="N92" s="7"/>
      <c r="O92" s="7"/>
      <c r="P92" s="7"/>
      <c r="Q92" s="7"/>
      <c r="R92" s="7"/>
      <c r="S92" s="3223"/>
      <c r="T92" s="3223"/>
      <c r="U92" s="3223"/>
      <c r="V92" s="3223"/>
      <c r="W92" s="3223"/>
      <c r="X92" s="3223"/>
      <c r="Y92" s="7"/>
      <c r="Z92" s="7"/>
    </row>
    <row r="93" spans="1:56" ht="15" customHeight="1" x14ac:dyDescent="0.2">
      <c r="A93" s="5795" t="s">
        <v>5609</v>
      </c>
      <c r="B93" s="332" t="s">
        <v>1432</v>
      </c>
      <c r="C93" s="497" t="s">
        <v>4567</v>
      </c>
      <c r="D93" s="345" t="s">
        <v>4568</v>
      </c>
      <c r="E93" s="368" t="s">
        <v>4569</v>
      </c>
      <c r="F93" s="346" t="s">
        <v>4570</v>
      </c>
      <c r="G93" s="3273"/>
      <c r="H93" s="3221"/>
      <c r="I93" s="3221"/>
      <c r="J93" s="7"/>
      <c r="K93" s="7"/>
      <c r="L93" s="7"/>
      <c r="M93" s="7"/>
      <c r="N93" s="7"/>
      <c r="O93" s="7"/>
      <c r="P93" s="7"/>
      <c r="Q93" s="7"/>
      <c r="R93" s="7"/>
      <c r="S93" s="3223"/>
      <c r="T93" s="3223"/>
      <c r="U93" s="3223"/>
      <c r="V93" s="3223"/>
      <c r="W93" s="3223"/>
      <c r="X93" s="3223"/>
      <c r="Y93" s="7"/>
      <c r="Z93" s="7"/>
    </row>
    <row r="94" spans="1:56" ht="15" customHeight="1" x14ac:dyDescent="0.2">
      <c r="A94" s="5795" t="s">
        <v>5610</v>
      </c>
      <c r="B94" s="332" t="s">
        <v>1233</v>
      </c>
      <c r="C94" s="497" t="s">
        <v>4567</v>
      </c>
      <c r="D94" s="345" t="s">
        <v>4568</v>
      </c>
      <c r="E94" s="368" t="s">
        <v>4569</v>
      </c>
      <c r="F94" s="346" t="s">
        <v>4570</v>
      </c>
      <c r="G94" s="3273"/>
      <c r="H94" s="3221"/>
      <c r="I94" s="3221"/>
      <c r="J94" s="7"/>
      <c r="K94" s="7"/>
      <c r="L94" s="7"/>
      <c r="M94" s="7"/>
      <c r="N94" s="7"/>
      <c r="O94" s="7"/>
      <c r="P94" s="7"/>
      <c r="Q94" s="7"/>
      <c r="R94" s="7"/>
      <c r="S94" s="3223"/>
      <c r="T94" s="3223"/>
      <c r="U94" s="3223"/>
      <c r="V94" s="3223"/>
      <c r="W94" s="3223"/>
      <c r="X94" s="3223"/>
      <c r="Y94" s="7"/>
      <c r="Z94" s="7"/>
    </row>
    <row r="95" spans="1:56" ht="15" customHeight="1" x14ac:dyDescent="0.2">
      <c r="A95" s="5795" t="s">
        <v>5611</v>
      </c>
      <c r="B95" s="332" t="s">
        <v>1433</v>
      </c>
      <c r="C95" s="497" t="s">
        <v>4567</v>
      </c>
      <c r="D95" s="345" t="s">
        <v>4568</v>
      </c>
      <c r="E95" s="368" t="s">
        <v>4569</v>
      </c>
      <c r="F95" s="346" t="s">
        <v>4570</v>
      </c>
      <c r="G95" s="3273"/>
      <c r="H95" s="3221"/>
      <c r="I95" s="3221"/>
      <c r="J95" s="7"/>
      <c r="K95" s="7"/>
      <c r="L95" s="7"/>
      <c r="M95" s="7"/>
      <c r="N95" s="7"/>
      <c r="O95" s="7"/>
      <c r="P95" s="7"/>
      <c r="Q95" s="7"/>
      <c r="R95" s="7"/>
      <c r="S95" s="3223"/>
      <c r="T95" s="3223"/>
      <c r="U95" s="3223"/>
      <c r="V95" s="3223"/>
      <c r="W95" s="3223"/>
      <c r="X95" s="3223"/>
      <c r="Y95" s="7"/>
      <c r="Z95" s="7"/>
    </row>
    <row r="96" spans="1:56" ht="15" customHeight="1" x14ac:dyDescent="0.2">
      <c r="A96" s="5795" t="s">
        <v>5612</v>
      </c>
      <c r="B96" s="332" t="s">
        <v>1228</v>
      </c>
      <c r="C96" s="497" t="s">
        <v>4567</v>
      </c>
      <c r="D96" s="345" t="s">
        <v>4568</v>
      </c>
      <c r="E96" s="368" t="s">
        <v>4569</v>
      </c>
      <c r="F96" s="346" t="s">
        <v>4570</v>
      </c>
      <c r="G96" s="3273"/>
      <c r="H96" s="3221"/>
      <c r="I96" s="3221"/>
      <c r="J96" s="7"/>
      <c r="K96" s="7"/>
      <c r="L96" s="7"/>
      <c r="M96" s="7"/>
      <c r="N96" s="7"/>
      <c r="O96" s="7"/>
      <c r="P96" s="7"/>
      <c r="Q96" s="7"/>
      <c r="R96" s="7"/>
      <c r="S96" s="3223"/>
      <c r="T96" s="3223"/>
      <c r="U96" s="3223"/>
      <c r="V96" s="3223"/>
      <c r="W96" s="3223"/>
      <c r="X96" s="3223"/>
      <c r="Y96" s="7"/>
      <c r="Z96" s="7"/>
    </row>
    <row r="97" spans="1:93" ht="15" customHeight="1" x14ac:dyDescent="0.2">
      <c r="A97" s="5795" t="s">
        <v>5613</v>
      </c>
      <c r="B97" s="332" t="s">
        <v>1434</v>
      </c>
      <c r="C97" s="497" t="s">
        <v>4567</v>
      </c>
      <c r="D97" s="345" t="s">
        <v>4568</v>
      </c>
      <c r="E97" s="368" t="s">
        <v>4569</v>
      </c>
      <c r="F97" s="346" t="s">
        <v>4570</v>
      </c>
      <c r="G97" s="3273"/>
      <c r="H97" s="3221"/>
      <c r="I97" s="3221"/>
      <c r="J97" s="7"/>
      <c r="K97" s="7"/>
      <c r="L97" s="7"/>
      <c r="M97" s="7"/>
      <c r="N97" s="7"/>
      <c r="O97" s="7"/>
      <c r="P97" s="7"/>
      <c r="Q97" s="7"/>
      <c r="R97" s="7"/>
      <c r="S97" s="3223"/>
      <c r="T97" s="3223"/>
      <c r="U97" s="3223"/>
      <c r="V97" s="3223"/>
      <c r="W97" s="3223"/>
      <c r="X97" s="3223"/>
      <c r="Y97" s="7"/>
      <c r="Z97" s="7"/>
    </row>
    <row r="98" spans="1:93" ht="15" customHeight="1" x14ac:dyDescent="0.2">
      <c r="A98" s="5795" t="s">
        <v>5614</v>
      </c>
      <c r="B98" s="332" t="s">
        <v>1236</v>
      </c>
      <c r="C98" s="497" t="s">
        <v>4567</v>
      </c>
      <c r="D98" s="345" t="s">
        <v>4568</v>
      </c>
      <c r="E98" s="368" t="s">
        <v>4569</v>
      </c>
      <c r="F98" s="346" t="s">
        <v>4570</v>
      </c>
      <c r="G98" s="3273"/>
      <c r="H98" s="3221"/>
      <c r="I98" s="3221"/>
      <c r="J98" s="7"/>
      <c r="K98" s="7"/>
      <c r="L98" s="7"/>
      <c r="M98" s="7"/>
      <c r="N98" s="7"/>
      <c r="O98" s="7"/>
      <c r="P98" s="7"/>
      <c r="Q98" s="7"/>
      <c r="R98" s="7"/>
      <c r="S98" s="3223"/>
      <c r="T98" s="3223"/>
      <c r="U98" s="3223"/>
      <c r="V98" s="3223"/>
      <c r="W98" s="3223"/>
      <c r="X98" s="3223"/>
      <c r="Y98" s="7"/>
      <c r="Z98" s="7"/>
    </row>
    <row r="99" spans="1:93" ht="15" customHeight="1" x14ac:dyDescent="0.2">
      <c r="A99" s="5795" t="s">
        <v>5615</v>
      </c>
      <c r="B99" s="332" t="s">
        <v>1230</v>
      </c>
      <c r="C99" s="497" t="s">
        <v>4567</v>
      </c>
      <c r="D99" s="345" t="s">
        <v>4568</v>
      </c>
      <c r="E99" s="368" t="s">
        <v>4569</v>
      </c>
      <c r="F99" s="346" t="s">
        <v>4570</v>
      </c>
      <c r="G99" s="3273"/>
      <c r="H99" s="3221"/>
      <c r="I99" s="3221"/>
      <c r="J99" s="7"/>
      <c r="K99" s="7"/>
      <c r="L99" s="7"/>
      <c r="M99" s="7"/>
      <c r="N99" s="7"/>
      <c r="O99" s="7"/>
      <c r="P99" s="7"/>
      <c r="Q99" s="7"/>
      <c r="R99" s="7"/>
      <c r="S99" s="3223"/>
      <c r="T99" s="3223"/>
      <c r="U99" s="3223"/>
      <c r="V99" s="3223"/>
      <c r="W99" s="3223"/>
      <c r="X99" s="3223"/>
      <c r="Y99" s="7"/>
      <c r="Z99" s="7"/>
    </row>
    <row r="100" spans="1:93" ht="15" customHeight="1" x14ac:dyDescent="0.2">
      <c r="A100" s="5795" t="s">
        <v>5616</v>
      </c>
      <c r="B100" s="332" t="s">
        <v>587</v>
      </c>
      <c r="C100" s="497" t="s">
        <v>4567</v>
      </c>
      <c r="D100" s="345" t="s">
        <v>4568</v>
      </c>
      <c r="E100" s="368" t="s">
        <v>4569</v>
      </c>
      <c r="F100" s="346" t="s">
        <v>4570</v>
      </c>
      <c r="G100" s="3273"/>
      <c r="H100" s="3221"/>
      <c r="I100" s="3221"/>
      <c r="J100" s="7"/>
      <c r="K100" s="7"/>
      <c r="L100" s="7"/>
      <c r="M100" s="7"/>
      <c r="N100" s="7"/>
      <c r="O100" s="7"/>
      <c r="P100" s="7"/>
      <c r="Q100" s="7"/>
      <c r="R100" s="7"/>
      <c r="S100" s="3223"/>
      <c r="T100" s="3223"/>
      <c r="U100" s="3223"/>
      <c r="V100" s="3223"/>
      <c r="W100" s="3223"/>
      <c r="X100" s="3223"/>
      <c r="Y100" s="7"/>
      <c r="Z100" s="7"/>
    </row>
    <row r="101" spans="1:93" ht="15" customHeight="1" x14ac:dyDescent="0.2">
      <c r="A101" s="5806"/>
      <c r="B101" s="1762" t="s">
        <v>77</v>
      </c>
      <c r="C101" s="778">
        <f>SUM(C81:C100)</f>
        <v>0</v>
      </c>
      <c r="D101" s="756">
        <f>SUM(D81:D100)</f>
        <v>0</v>
      </c>
      <c r="E101" s="511">
        <f t="shared" ref="E101:F101" si="44">SUM(E81:E100)</f>
        <v>0</v>
      </c>
      <c r="F101" s="514">
        <f t="shared" si="44"/>
        <v>0</v>
      </c>
      <c r="G101" s="3273"/>
      <c r="H101" s="3221"/>
      <c r="I101" s="3221"/>
      <c r="J101" s="7"/>
      <c r="K101" s="7"/>
      <c r="L101" s="7"/>
      <c r="M101" s="7"/>
      <c r="N101" s="7"/>
      <c r="O101" s="7"/>
      <c r="P101" s="7"/>
      <c r="Q101" s="7"/>
      <c r="R101" s="7"/>
      <c r="S101" s="3223"/>
      <c r="T101" s="3223"/>
      <c r="U101" s="3223"/>
      <c r="V101" s="3223"/>
      <c r="W101" s="3223"/>
      <c r="X101" s="3223"/>
      <c r="Y101" s="7"/>
      <c r="Z101" s="7"/>
    </row>
    <row r="102" spans="1:93" s="8" customFormat="1" ht="18" customHeight="1" x14ac:dyDescent="0.2">
      <c r="A102" s="6"/>
      <c r="B102" s="1" t="s">
        <v>1435</v>
      </c>
      <c r="BW102" s="5"/>
      <c r="BX102" s="5"/>
      <c r="BY102" s="5"/>
      <c r="BZ102" s="5"/>
    </row>
    <row r="103" spans="1:93" ht="16.350000000000001" customHeight="1" x14ac:dyDescent="0.2">
      <c r="A103" s="6"/>
      <c r="B103" s="6212" t="s">
        <v>1436</v>
      </c>
      <c r="C103" s="6511"/>
      <c r="D103" s="6212" t="s">
        <v>1363</v>
      </c>
      <c r="E103" s="6510"/>
      <c r="F103" s="6511"/>
      <c r="G103" s="6704" t="s">
        <v>1364</v>
      </c>
      <c r="H103" s="6515"/>
      <c r="I103" s="6515"/>
      <c r="J103" s="6515"/>
      <c r="K103" s="6515"/>
      <c r="L103" s="6515"/>
      <c r="M103" s="6515"/>
      <c r="N103" s="6515"/>
      <c r="O103" s="6515"/>
      <c r="P103" s="6515"/>
      <c r="Q103" s="6515"/>
      <c r="R103" s="6515"/>
      <c r="S103" s="6515"/>
      <c r="T103" s="6515"/>
      <c r="U103" s="6515"/>
      <c r="V103" s="6515"/>
      <c r="W103" s="6515"/>
      <c r="X103" s="6515"/>
      <c r="Y103" s="6515"/>
      <c r="Z103" s="6515"/>
      <c r="AA103" s="6515"/>
      <c r="AB103" s="6515"/>
      <c r="AC103" s="6515"/>
      <c r="AD103" s="6515"/>
      <c r="AE103" s="6515"/>
      <c r="AF103" s="6515"/>
      <c r="AG103" s="6515"/>
      <c r="AH103" s="6515"/>
      <c r="AI103" s="6515"/>
      <c r="AJ103" s="6515"/>
      <c r="AK103" s="6515"/>
      <c r="AL103" s="6515"/>
      <c r="AM103" s="6515"/>
      <c r="AN103" s="6455"/>
      <c r="AO103" s="6492" t="s">
        <v>597</v>
      </c>
      <c r="AP103" s="6511" t="s">
        <v>1437</v>
      </c>
      <c r="AQ103" s="1839"/>
      <c r="AR103" s="1839"/>
      <c r="AS103" s="1839"/>
      <c r="AT103" s="1839"/>
      <c r="AU103" s="1839"/>
      <c r="AV103" s="1839"/>
      <c r="AW103" s="1839"/>
      <c r="AX103" s="1839"/>
      <c r="AY103" s="1839"/>
      <c r="AZ103" s="1839"/>
      <c r="BA103" s="1839"/>
      <c r="BB103" s="1839"/>
      <c r="BC103" s="1839"/>
    </row>
    <row r="104" spans="1:93" ht="16.350000000000001" customHeight="1" x14ac:dyDescent="0.2">
      <c r="A104" s="6"/>
      <c r="B104" s="6044"/>
      <c r="C104" s="6027"/>
      <c r="D104" s="6734"/>
      <c r="E104" s="6735"/>
      <c r="F104" s="6736"/>
      <c r="G104" s="6704" t="s">
        <v>343</v>
      </c>
      <c r="H104" s="6451"/>
      <c r="I104" s="6704" t="s">
        <v>326</v>
      </c>
      <c r="J104" s="6451"/>
      <c r="K104" s="6704" t="s">
        <v>94</v>
      </c>
      <c r="L104" s="6451"/>
      <c r="M104" s="6704" t="s">
        <v>44</v>
      </c>
      <c r="N104" s="6451"/>
      <c r="O104" s="6704" t="s">
        <v>45</v>
      </c>
      <c r="P104" s="6451"/>
      <c r="Q104" s="6705" t="s">
        <v>46</v>
      </c>
      <c r="R104" s="6448"/>
      <c r="S104" s="6705" t="s">
        <v>47</v>
      </c>
      <c r="T104" s="6448"/>
      <c r="U104" s="6705" t="s">
        <v>48</v>
      </c>
      <c r="V104" s="6448"/>
      <c r="W104" s="6705" t="s">
        <v>49</v>
      </c>
      <c r="X104" s="6448"/>
      <c r="Y104" s="6705" t="s">
        <v>50</v>
      </c>
      <c r="Z104" s="6448"/>
      <c r="AA104" s="6705" t="s">
        <v>51</v>
      </c>
      <c r="AB104" s="6448"/>
      <c r="AC104" s="6705" t="s">
        <v>52</v>
      </c>
      <c r="AD104" s="6448"/>
      <c r="AE104" s="6705" t="s">
        <v>53</v>
      </c>
      <c r="AF104" s="6448"/>
      <c r="AG104" s="6705" t="s">
        <v>54</v>
      </c>
      <c r="AH104" s="6448"/>
      <c r="AI104" s="6705" t="s">
        <v>55</v>
      </c>
      <c r="AJ104" s="6448"/>
      <c r="AK104" s="6705" t="s">
        <v>56</v>
      </c>
      <c r="AL104" s="6448"/>
      <c r="AM104" s="6705" t="s">
        <v>57</v>
      </c>
      <c r="AN104" s="6447"/>
      <c r="AO104" s="6105"/>
      <c r="AP104" s="6027"/>
      <c r="AQ104" s="1839"/>
      <c r="AR104" s="1839"/>
      <c r="AS104" s="1839"/>
      <c r="AT104" s="1839"/>
      <c r="AU104" s="1839"/>
      <c r="AV104" s="1839"/>
      <c r="AW104" s="1839"/>
      <c r="AX104" s="1839"/>
      <c r="AY104" s="1839"/>
      <c r="AZ104" s="1839"/>
      <c r="BA104" s="1839"/>
      <c r="BB104" s="1839"/>
      <c r="BC104" s="1839"/>
    </row>
    <row r="105" spans="1:93" ht="16.350000000000001" customHeight="1" x14ac:dyDescent="0.2">
      <c r="A105" s="6"/>
      <c r="B105" s="6734"/>
      <c r="C105" s="6735"/>
      <c r="D105" s="744" t="s">
        <v>79</v>
      </c>
      <c r="E105" s="548" t="s">
        <v>461</v>
      </c>
      <c r="F105" s="464" t="s">
        <v>59</v>
      </c>
      <c r="G105" s="744" t="s">
        <v>461</v>
      </c>
      <c r="H105" s="464" t="s">
        <v>59</v>
      </c>
      <c r="I105" s="744" t="s">
        <v>461</v>
      </c>
      <c r="J105" s="590" t="s">
        <v>59</v>
      </c>
      <c r="K105" s="744" t="s">
        <v>461</v>
      </c>
      <c r="L105" s="464" t="s">
        <v>59</v>
      </c>
      <c r="M105" s="744" t="s">
        <v>461</v>
      </c>
      <c r="N105" s="590" t="s">
        <v>59</v>
      </c>
      <c r="O105" s="744" t="s">
        <v>461</v>
      </c>
      <c r="P105" s="464" t="s">
        <v>59</v>
      </c>
      <c r="Q105" s="744" t="s">
        <v>461</v>
      </c>
      <c r="R105" s="590" t="s">
        <v>59</v>
      </c>
      <c r="S105" s="744" t="s">
        <v>461</v>
      </c>
      <c r="T105" s="464" t="s">
        <v>59</v>
      </c>
      <c r="U105" s="744" t="s">
        <v>461</v>
      </c>
      <c r="V105" s="590" t="s">
        <v>59</v>
      </c>
      <c r="W105" s="744" t="s">
        <v>461</v>
      </c>
      <c r="X105" s="464" t="s">
        <v>59</v>
      </c>
      <c r="Y105" s="744" t="s">
        <v>461</v>
      </c>
      <c r="Z105" s="464" t="s">
        <v>59</v>
      </c>
      <c r="AA105" s="744" t="s">
        <v>461</v>
      </c>
      <c r="AB105" s="590" t="s">
        <v>59</v>
      </c>
      <c r="AC105" s="744" t="s">
        <v>461</v>
      </c>
      <c r="AD105" s="464" t="s">
        <v>59</v>
      </c>
      <c r="AE105" s="744" t="s">
        <v>461</v>
      </c>
      <c r="AF105" s="590" t="s">
        <v>59</v>
      </c>
      <c r="AG105" s="744" t="s">
        <v>461</v>
      </c>
      <c r="AH105" s="464" t="s">
        <v>59</v>
      </c>
      <c r="AI105" s="744" t="s">
        <v>461</v>
      </c>
      <c r="AJ105" s="590" t="s">
        <v>59</v>
      </c>
      <c r="AK105" s="744" t="s">
        <v>461</v>
      </c>
      <c r="AL105" s="464" t="s">
        <v>59</v>
      </c>
      <c r="AM105" s="744" t="s">
        <v>461</v>
      </c>
      <c r="AN105" s="465" t="s">
        <v>59</v>
      </c>
      <c r="AO105" s="6894"/>
      <c r="AP105" s="6736"/>
      <c r="AQ105" s="1839"/>
      <c r="AR105" s="1839"/>
      <c r="AS105" s="1839"/>
      <c r="AT105" s="1839"/>
      <c r="AU105" s="1839"/>
      <c r="AV105" s="1839"/>
      <c r="AW105" s="1839"/>
      <c r="AX105" s="1839"/>
      <c r="AY105" s="1839"/>
      <c r="AZ105" s="1839"/>
      <c r="BA105" s="1839"/>
      <c r="BB105" s="1839"/>
      <c r="BC105" s="1839"/>
    </row>
    <row r="106" spans="1:93" ht="15" customHeight="1" x14ac:dyDescent="0.2">
      <c r="A106" s="5806"/>
      <c r="B106" s="6707" t="s">
        <v>1438</v>
      </c>
      <c r="C106" s="6595"/>
      <c r="D106" s="3254">
        <f>SUM(D107:D113)</f>
        <v>0</v>
      </c>
      <c r="E106" s="605">
        <f>SUM(E107:E113)</f>
        <v>0</v>
      </c>
      <c r="F106" s="606">
        <f>SUM(F107:F113)</f>
        <v>0</v>
      </c>
      <c r="G106" s="758">
        <f t="shared" ref="G106:AO106" si="45">SUM(G107:G113)</f>
        <v>0</v>
      </c>
      <c r="H106" s="3275">
        <f t="shared" si="45"/>
        <v>0</v>
      </c>
      <c r="I106" s="758">
        <f t="shared" si="45"/>
        <v>0</v>
      </c>
      <c r="J106" s="3275">
        <f t="shared" si="45"/>
        <v>0</v>
      </c>
      <c r="K106" s="758">
        <f t="shared" si="45"/>
        <v>0</v>
      </c>
      <c r="L106" s="3275">
        <f t="shared" si="45"/>
        <v>0</v>
      </c>
      <c r="M106" s="758">
        <f t="shared" si="45"/>
        <v>0</v>
      </c>
      <c r="N106" s="3275">
        <f t="shared" si="45"/>
        <v>0</v>
      </c>
      <c r="O106" s="758">
        <f t="shared" si="45"/>
        <v>0</v>
      </c>
      <c r="P106" s="3275">
        <f t="shared" si="45"/>
        <v>0</v>
      </c>
      <c r="Q106" s="758">
        <f t="shared" si="45"/>
        <v>0</v>
      </c>
      <c r="R106" s="3275">
        <f t="shared" si="45"/>
        <v>0</v>
      </c>
      <c r="S106" s="758">
        <f t="shared" si="45"/>
        <v>0</v>
      </c>
      <c r="T106" s="3275">
        <f t="shared" si="45"/>
        <v>0</v>
      </c>
      <c r="U106" s="758">
        <f t="shared" si="45"/>
        <v>0</v>
      </c>
      <c r="V106" s="3275">
        <f t="shared" si="45"/>
        <v>0</v>
      </c>
      <c r="W106" s="758">
        <f t="shared" si="45"/>
        <v>0</v>
      </c>
      <c r="X106" s="3275">
        <f t="shared" si="45"/>
        <v>0</v>
      </c>
      <c r="Y106" s="758">
        <f t="shared" si="45"/>
        <v>0</v>
      </c>
      <c r="Z106" s="3275">
        <f t="shared" si="45"/>
        <v>0</v>
      </c>
      <c r="AA106" s="758">
        <f t="shared" si="45"/>
        <v>0</v>
      </c>
      <c r="AB106" s="3275">
        <f t="shared" si="45"/>
        <v>0</v>
      </c>
      <c r="AC106" s="758">
        <f t="shared" si="45"/>
        <v>0</v>
      </c>
      <c r="AD106" s="3275">
        <f t="shared" si="45"/>
        <v>0</v>
      </c>
      <c r="AE106" s="758">
        <f t="shared" si="45"/>
        <v>0</v>
      </c>
      <c r="AF106" s="3275">
        <f t="shared" si="45"/>
        <v>0</v>
      </c>
      <c r="AG106" s="758">
        <f t="shared" si="45"/>
        <v>0</v>
      </c>
      <c r="AH106" s="3275">
        <f t="shared" si="45"/>
        <v>0</v>
      </c>
      <c r="AI106" s="758">
        <f t="shared" si="45"/>
        <v>0</v>
      </c>
      <c r="AJ106" s="3275">
        <f t="shared" si="45"/>
        <v>0</v>
      </c>
      <c r="AK106" s="758">
        <f t="shared" si="45"/>
        <v>0</v>
      </c>
      <c r="AL106" s="3275">
        <f t="shared" si="45"/>
        <v>0</v>
      </c>
      <c r="AM106" s="758">
        <f t="shared" si="45"/>
        <v>0</v>
      </c>
      <c r="AN106" s="3276">
        <f t="shared" si="45"/>
        <v>0</v>
      </c>
      <c r="AO106" s="3277">
        <f t="shared" si="45"/>
        <v>0</v>
      </c>
      <c r="AP106" s="734">
        <f>SUM(AP107:AP109)</f>
        <v>0</v>
      </c>
      <c r="AQ106" s="1839"/>
      <c r="AR106" s="1839"/>
      <c r="AS106" s="1839"/>
      <c r="AT106" s="1839"/>
      <c r="AU106" s="1839"/>
      <c r="AV106" s="1839"/>
      <c r="AW106" s="1839"/>
      <c r="AX106" s="1839"/>
      <c r="AY106" s="1839"/>
      <c r="AZ106" s="1839"/>
      <c r="BA106" s="1839"/>
      <c r="BB106" s="1839"/>
      <c r="BC106" s="1839"/>
    </row>
    <row r="107" spans="1:93" ht="15" customHeight="1" x14ac:dyDescent="0.2">
      <c r="A107" s="5796" t="s">
        <v>5617</v>
      </c>
      <c r="B107" s="6453" t="s">
        <v>1439</v>
      </c>
      <c r="C107" s="716" t="s">
        <v>1440</v>
      </c>
      <c r="D107" s="3254" t="s">
        <v>4567</v>
      </c>
      <c r="E107" s="605" t="s">
        <v>4568</v>
      </c>
      <c r="F107" s="606" t="s">
        <v>4569</v>
      </c>
      <c r="G107" s="3278" t="s">
        <v>4570</v>
      </c>
      <c r="H107" s="3279" t="s">
        <v>4571</v>
      </c>
      <c r="I107" s="3280" t="s">
        <v>4572</v>
      </c>
      <c r="J107" s="867" t="s">
        <v>4573</v>
      </c>
      <c r="K107" s="3280" t="s">
        <v>4574</v>
      </c>
      <c r="L107" s="867" t="s">
        <v>4575</v>
      </c>
      <c r="M107" s="3278" t="s">
        <v>4576</v>
      </c>
      <c r="N107" s="3279" t="s">
        <v>4577</v>
      </c>
      <c r="O107" s="3280" t="s">
        <v>4578</v>
      </c>
      <c r="P107" s="867" t="s">
        <v>4579</v>
      </c>
      <c r="Q107" s="3280" t="s">
        <v>4580</v>
      </c>
      <c r="R107" s="867" t="s">
        <v>4581</v>
      </c>
      <c r="S107" s="3280" t="s">
        <v>4582</v>
      </c>
      <c r="T107" s="867" t="s">
        <v>4583</v>
      </c>
      <c r="U107" s="3280" t="s">
        <v>4584</v>
      </c>
      <c r="V107" s="867" t="s">
        <v>4585</v>
      </c>
      <c r="W107" s="3280" t="s">
        <v>4586</v>
      </c>
      <c r="X107" s="867" t="s">
        <v>4587</v>
      </c>
      <c r="Y107" s="3280" t="s">
        <v>4588</v>
      </c>
      <c r="Z107" s="867" t="s">
        <v>4589</v>
      </c>
      <c r="AA107" s="3280" t="s">
        <v>4590</v>
      </c>
      <c r="AB107" s="867" t="s">
        <v>4591</v>
      </c>
      <c r="AC107" s="3280" t="s">
        <v>4592</v>
      </c>
      <c r="AD107" s="867" t="s">
        <v>4593</v>
      </c>
      <c r="AE107" s="3280" t="s">
        <v>4594</v>
      </c>
      <c r="AF107" s="867" t="s">
        <v>4595</v>
      </c>
      <c r="AG107" s="3280" t="s">
        <v>4596</v>
      </c>
      <c r="AH107" s="867" t="s">
        <v>4597</v>
      </c>
      <c r="AI107" s="3280" t="s">
        <v>4598</v>
      </c>
      <c r="AJ107" s="867" t="s">
        <v>4599</v>
      </c>
      <c r="AK107" s="3280" t="s">
        <v>4600</v>
      </c>
      <c r="AL107" s="867" t="s">
        <v>4601</v>
      </c>
      <c r="AM107" s="3280" t="s">
        <v>4602</v>
      </c>
      <c r="AN107" s="869" t="s">
        <v>4603</v>
      </c>
      <c r="AO107" s="3279" t="s">
        <v>4604</v>
      </c>
      <c r="AP107" s="848" t="s">
        <v>4605</v>
      </c>
      <c r="AQ107" s="3258" t="str">
        <f>CB107&amp;CC107</f>
        <v xml:space="preserve"> * La variable Beneficiarios No puede ser mayor al Total. * La variable Hospitalización Domiciliaria No puede ser mayor al Total.</v>
      </c>
      <c r="AR107" s="3229"/>
      <c r="AS107" s="3229"/>
      <c r="AT107" s="3229"/>
      <c r="AU107" s="3229"/>
      <c r="AV107" s="3229"/>
      <c r="AW107" s="3229"/>
      <c r="AX107" s="3229"/>
      <c r="AY107" s="3229"/>
      <c r="AZ107" s="3229"/>
      <c r="BA107" s="3229"/>
      <c r="BB107" s="1839"/>
      <c r="BC107" s="1839"/>
      <c r="CB107" s="431" t="str">
        <f>IF(AND($D107&gt;0,AO107="")," * No olvide digitar la variable "&amp;AO$103&amp;""&amp;". Digite CERO si no tiene",IF(AO107&gt;$D107," * La variable "&amp;AO$103&amp;""&amp;" No puede ser mayor al Total.",""))</f>
        <v xml:space="preserve"> * La variable Beneficiarios No puede ser mayor al Total.</v>
      </c>
      <c r="CC107" s="431" t="str">
        <f>IF(AND($D107&gt;0,AP107="")," * No olvide digitar la variable "&amp;AP$103&amp;""&amp;". Digite CERO si no tiene",IF(AP107&gt;$D107," * La variable "&amp;AP$103&amp;""&amp;" No puede ser mayor al Total.",""))</f>
        <v xml:space="preserve"> * La variable Hospitalización Domiciliaria No puede ser mayor al Total.</v>
      </c>
      <c r="CN107" s="180">
        <f>IF(AND($D107&gt;0,AO107=""),1,IF(AO107&gt;$D107,1,0))</f>
        <v>1</v>
      </c>
      <c r="CO107" s="180">
        <f>IF(AND($D107&gt;0,AP107=""),1,IF(AP107&gt;$D107,1,0))</f>
        <v>1</v>
      </c>
    </row>
    <row r="108" spans="1:93" ht="15" customHeight="1" x14ac:dyDescent="0.2">
      <c r="A108" s="5796" t="s">
        <v>5618</v>
      </c>
      <c r="B108" s="6112"/>
      <c r="C108" s="3281" t="s">
        <v>1441</v>
      </c>
      <c r="D108" s="202" t="s">
        <v>4567</v>
      </c>
      <c r="E108" s="248" t="s">
        <v>4568</v>
      </c>
      <c r="F108" s="2404" t="s">
        <v>4569</v>
      </c>
      <c r="G108" s="3282" t="s">
        <v>4570</v>
      </c>
      <c r="H108" s="851" t="s">
        <v>4571</v>
      </c>
      <c r="I108" s="3283" t="s">
        <v>4572</v>
      </c>
      <c r="J108" s="3284" t="s">
        <v>4573</v>
      </c>
      <c r="K108" s="3282" t="s">
        <v>4574</v>
      </c>
      <c r="L108" s="3285" t="s">
        <v>4575</v>
      </c>
      <c r="M108" s="3283" t="s">
        <v>4576</v>
      </c>
      <c r="N108" s="3286" t="s">
        <v>4577</v>
      </c>
      <c r="O108" s="3282" t="s">
        <v>4578</v>
      </c>
      <c r="P108" s="3285" t="s">
        <v>4579</v>
      </c>
      <c r="Q108" s="3284" t="s">
        <v>4580</v>
      </c>
      <c r="R108" s="3286" t="s">
        <v>4581</v>
      </c>
      <c r="S108" s="3287" t="s">
        <v>4582</v>
      </c>
      <c r="T108" s="3285" t="s">
        <v>4583</v>
      </c>
      <c r="U108" s="3284" t="s">
        <v>4584</v>
      </c>
      <c r="V108" s="3286" t="s">
        <v>4585</v>
      </c>
      <c r="W108" s="3287" t="s">
        <v>4586</v>
      </c>
      <c r="X108" s="3285" t="s">
        <v>4587</v>
      </c>
      <c r="Y108" s="3284" t="s">
        <v>4588</v>
      </c>
      <c r="Z108" s="3285" t="s">
        <v>4589</v>
      </c>
      <c r="AA108" s="3287" t="s">
        <v>4590</v>
      </c>
      <c r="AB108" s="3286" t="s">
        <v>4591</v>
      </c>
      <c r="AC108" s="3287" t="s">
        <v>4592</v>
      </c>
      <c r="AD108" s="3285" t="s">
        <v>4593</v>
      </c>
      <c r="AE108" s="3284" t="s">
        <v>4594</v>
      </c>
      <c r="AF108" s="3286" t="s">
        <v>4595</v>
      </c>
      <c r="AG108" s="3287" t="s">
        <v>4596</v>
      </c>
      <c r="AH108" s="3285" t="s">
        <v>4597</v>
      </c>
      <c r="AI108" s="3284" t="s">
        <v>4598</v>
      </c>
      <c r="AJ108" s="3286" t="s">
        <v>4599</v>
      </c>
      <c r="AK108" s="3287" t="s">
        <v>4600</v>
      </c>
      <c r="AL108" s="3285" t="s">
        <v>4601</v>
      </c>
      <c r="AM108" s="3284" t="s">
        <v>4602</v>
      </c>
      <c r="AN108" s="3288" t="s">
        <v>4603</v>
      </c>
      <c r="AO108" s="3283" t="s">
        <v>4604</v>
      </c>
      <c r="AP108" s="851" t="s">
        <v>4605</v>
      </c>
      <c r="AQ108" s="3258" t="str">
        <f t="shared" ref="AQ108:AQ109" si="46">CB108&amp;CC108</f>
        <v xml:space="preserve"> * La variable Beneficiarios No puede ser mayor al Total. * La variable Hospitalización Domiciliaria No puede ser mayor al Total.</v>
      </c>
      <c r="AR108" s="3229"/>
      <c r="AS108" s="3229"/>
      <c r="AT108" s="3229"/>
      <c r="AU108" s="3229"/>
      <c r="AV108" s="3229"/>
      <c r="AW108" s="3229"/>
      <c r="AX108" s="3229"/>
      <c r="AY108" s="3229"/>
      <c r="AZ108" s="3229"/>
      <c r="BA108" s="3229"/>
      <c r="BB108" s="1839"/>
      <c r="BC108" s="1839"/>
      <c r="CB108" s="431" t="str">
        <f t="shared" ref="CB108:CB112" si="47">IF(AND($D108&gt;0,AO108="")," * No olvide digitar la variable "&amp;AO$103&amp;""&amp;". Digite CERO si no tiene",IF(AO108&gt;$D108," * La variable "&amp;AO$103&amp;""&amp;" No puede ser mayor al Total.",""))</f>
        <v xml:space="preserve"> * La variable Beneficiarios No puede ser mayor al Total.</v>
      </c>
      <c r="CC108" s="431" t="str">
        <f t="shared" ref="CC108:CC109" si="48">IF(AND($D108&gt;0,AP108="")," * No olvide digitar la variable "&amp;AP$103&amp;""&amp;". Digite CERO si no tiene",IF(AP108&gt;$D108," * La variable "&amp;AP$103&amp;""&amp;" No puede ser mayor al Total.",""))</f>
        <v xml:space="preserve"> * La variable Hospitalización Domiciliaria No puede ser mayor al Total.</v>
      </c>
      <c r="CN108" s="180">
        <f t="shared" ref="CN108:CN113" si="49">IF(AND($D108&gt;0,AO108=""),1,IF(AO108&gt;$D108,1,0))</f>
        <v>1</v>
      </c>
      <c r="CO108" s="180">
        <f t="shared" ref="CO108:CO109" si="50">IF(AND($D108&gt;0,AP108=""),1,IF(AP108&gt;$D108,1,0))</f>
        <v>1</v>
      </c>
    </row>
    <row r="109" spans="1:93" ht="15" customHeight="1" thickBot="1" x14ac:dyDescent="0.25">
      <c r="A109" s="5796" t="s">
        <v>5619</v>
      </c>
      <c r="B109" s="6911"/>
      <c r="C109" s="863" t="s">
        <v>1442</v>
      </c>
      <c r="D109" s="3289" t="s">
        <v>4567</v>
      </c>
      <c r="E109" s="3290" t="s">
        <v>4568</v>
      </c>
      <c r="F109" s="3291" t="s">
        <v>4569</v>
      </c>
      <c r="G109" s="3292" t="s">
        <v>4570</v>
      </c>
      <c r="H109" s="3293" t="s">
        <v>4571</v>
      </c>
      <c r="I109" s="3294" t="s">
        <v>4572</v>
      </c>
      <c r="J109" s="3295" t="s">
        <v>4573</v>
      </c>
      <c r="K109" s="3292" t="s">
        <v>4574</v>
      </c>
      <c r="L109" s="3296" t="s">
        <v>4575</v>
      </c>
      <c r="M109" s="3294" t="s">
        <v>4576</v>
      </c>
      <c r="N109" s="3297" t="s">
        <v>4577</v>
      </c>
      <c r="O109" s="3292" t="s">
        <v>4578</v>
      </c>
      <c r="P109" s="3296" t="s">
        <v>4579</v>
      </c>
      <c r="Q109" s="3295" t="s">
        <v>4580</v>
      </c>
      <c r="R109" s="3297" t="s">
        <v>4581</v>
      </c>
      <c r="S109" s="3298" t="s">
        <v>4582</v>
      </c>
      <c r="T109" s="3296" t="s">
        <v>4583</v>
      </c>
      <c r="U109" s="3295" t="s">
        <v>4584</v>
      </c>
      <c r="V109" s="3297" t="s">
        <v>4585</v>
      </c>
      <c r="W109" s="3298" t="s">
        <v>4586</v>
      </c>
      <c r="X109" s="3296" t="s">
        <v>4587</v>
      </c>
      <c r="Y109" s="3295" t="s">
        <v>4588</v>
      </c>
      <c r="Z109" s="3296" t="s">
        <v>4589</v>
      </c>
      <c r="AA109" s="3298" t="s">
        <v>4590</v>
      </c>
      <c r="AB109" s="3297" t="s">
        <v>4591</v>
      </c>
      <c r="AC109" s="3298" t="s">
        <v>4592</v>
      </c>
      <c r="AD109" s="3296" t="s">
        <v>4593</v>
      </c>
      <c r="AE109" s="3295" t="s">
        <v>4594</v>
      </c>
      <c r="AF109" s="3297" t="s">
        <v>4595</v>
      </c>
      <c r="AG109" s="3298" t="s">
        <v>4596</v>
      </c>
      <c r="AH109" s="3296" t="s">
        <v>4597</v>
      </c>
      <c r="AI109" s="3295" t="s">
        <v>4598</v>
      </c>
      <c r="AJ109" s="3297" t="s">
        <v>4599</v>
      </c>
      <c r="AK109" s="3298" t="s">
        <v>4600</v>
      </c>
      <c r="AL109" s="3296" t="s">
        <v>4601</v>
      </c>
      <c r="AM109" s="3295" t="s">
        <v>4602</v>
      </c>
      <c r="AN109" s="3299" t="s">
        <v>4603</v>
      </c>
      <c r="AO109" s="3294" t="s">
        <v>4604</v>
      </c>
      <c r="AP109" s="3293" t="s">
        <v>4605</v>
      </c>
      <c r="AQ109" s="3258" t="str">
        <f t="shared" si="46"/>
        <v xml:space="preserve"> * La variable Beneficiarios No puede ser mayor al Total. * La variable Hospitalización Domiciliaria No puede ser mayor al Total.</v>
      </c>
      <c r="AR109" s="3229"/>
      <c r="AS109" s="3229"/>
      <c r="AT109" s="3229"/>
      <c r="AU109" s="3229"/>
      <c r="AV109" s="3229"/>
      <c r="AW109" s="3229"/>
      <c r="AX109" s="3229"/>
      <c r="AY109" s="3229"/>
      <c r="AZ109" s="3229"/>
      <c r="BA109" s="3229"/>
      <c r="BB109" s="1839"/>
      <c r="BC109" s="1839"/>
      <c r="CB109" s="431" t="str">
        <f t="shared" si="47"/>
        <v xml:space="preserve"> * La variable Beneficiarios No puede ser mayor al Total.</v>
      </c>
      <c r="CC109" s="431" t="str">
        <f t="shared" si="48"/>
        <v xml:space="preserve"> * La variable Hospitalización Domiciliaria No puede ser mayor al Total.</v>
      </c>
      <c r="CN109" s="180">
        <f t="shared" si="49"/>
        <v>1</v>
      </c>
      <c r="CO109" s="180">
        <f t="shared" si="50"/>
        <v>1</v>
      </c>
    </row>
    <row r="110" spans="1:93" ht="15" customHeight="1" thickTop="1" x14ac:dyDescent="0.2">
      <c r="A110" s="5796" t="s">
        <v>5620</v>
      </c>
      <c r="B110" s="6909" t="s">
        <v>1443</v>
      </c>
      <c r="C110" s="6910"/>
      <c r="D110" s="316" t="s">
        <v>4567</v>
      </c>
      <c r="E110" s="751" t="s">
        <v>4568</v>
      </c>
      <c r="F110" s="224" t="s">
        <v>4569</v>
      </c>
      <c r="G110" s="3300" t="s">
        <v>4570</v>
      </c>
      <c r="H110" s="3301" t="s">
        <v>4571</v>
      </c>
      <c r="I110" s="3302" t="s">
        <v>4572</v>
      </c>
      <c r="J110" s="3303" t="s">
        <v>4573</v>
      </c>
      <c r="K110" s="3304" t="s">
        <v>4574</v>
      </c>
      <c r="L110" s="3301" t="s">
        <v>4575</v>
      </c>
      <c r="M110" s="3302" t="s">
        <v>4576</v>
      </c>
      <c r="N110" s="3305" t="s">
        <v>4577</v>
      </c>
      <c r="O110" s="3304" t="s">
        <v>4578</v>
      </c>
      <c r="P110" s="3301" t="s">
        <v>4579</v>
      </c>
      <c r="Q110" s="3303" t="s">
        <v>4580</v>
      </c>
      <c r="R110" s="3305" t="s">
        <v>4581</v>
      </c>
      <c r="S110" s="3306" t="s">
        <v>4582</v>
      </c>
      <c r="T110" s="3301" t="s">
        <v>4583</v>
      </c>
      <c r="U110" s="3303" t="s">
        <v>4584</v>
      </c>
      <c r="V110" s="3305" t="s">
        <v>4585</v>
      </c>
      <c r="W110" s="3306" t="s">
        <v>4586</v>
      </c>
      <c r="X110" s="3301" t="s">
        <v>4587</v>
      </c>
      <c r="Y110" s="3303" t="s">
        <v>4588</v>
      </c>
      <c r="Z110" s="3301" t="s">
        <v>4589</v>
      </c>
      <c r="AA110" s="3306" t="s">
        <v>4590</v>
      </c>
      <c r="AB110" s="3305" t="s">
        <v>4591</v>
      </c>
      <c r="AC110" s="3306" t="s">
        <v>4592</v>
      </c>
      <c r="AD110" s="3301" t="s">
        <v>4593</v>
      </c>
      <c r="AE110" s="3303" t="s">
        <v>4594</v>
      </c>
      <c r="AF110" s="3305" t="s">
        <v>4595</v>
      </c>
      <c r="AG110" s="3306" t="s">
        <v>4596</v>
      </c>
      <c r="AH110" s="3301" t="s">
        <v>4597</v>
      </c>
      <c r="AI110" s="3303" t="s">
        <v>4598</v>
      </c>
      <c r="AJ110" s="3305" t="s">
        <v>4599</v>
      </c>
      <c r="AK110" s="3306" t="s">
        <v>4600</v>
      </c>
      <c r="AL110" s="3301" t="s">
        <v>4601</v>
      </c>
      <c r="AM110" s="3303" t="s">
        <v>4602</v>
      </c>
      <c r="AN110" s="3307" t="s">
        <v>4603</v>
      </c>
      <c r="AO110" s="3302" t="s">
        <v>4604</v>
      </c>
      <c r="AP110" s="3308" t="s">
        <v>4605</v>
      </c>
      <c r="AQ110" s="3258" t="str">
        <f>CB110</f>
        <v xml:space="preserve"> * La variable Beneficiarios No puede ser mayor al Total.</v>
      </c>
      <c r="AR110" s="3229"/>
      <c r="AS110" s="3229"/>
      <c r="AT110" s="3229"/>
      <c r="AU110" s="3229"/>
      <c r="AV110" s="3229"/>
      <c r="AW110" s="3229"/>
      <c r="AX110" s="3229"/>
      <c r="AY110" s="3229"/>
      <c r="AZ110" s="3229"/>
      <c r="BA110" s="3229"/>
      <c r="BB110" s="1839"/>
      <c r="BC110" s="1839"/>
      <c r="CB110" s="431" t="str">
        <f t="shared" si="47"/>
        <v xml:space="preserve"> * La variable Beneficiarios No puede ser mayor al Total.</v>
      </c>
      <c r="CN110" s="180">
        <f t="shared" si="49"/>
        <v>1</v>
      </c>
    </row>
    <row r="111" spans="1:93" ht="15" customHeight="1" x14ac:dyDescent="0.2">
      <c r="A111" s="5795" t="s">
        <v>5621</v>
      </c>
      <c r="B111" s="6833" t="s">
        <v>1444</v>
      </c>
      <c r="C111" s="6834"/>
      <c r="D111" s="201" t="s">
        <v>4567</v>
      </c>
      <c r="E111" s="751" t="s">
        <v>4568</v>
      </c>
      <c r="F111" s="2405" t="s">
        <v>4569</v>
      </c>
      <c r="G111" s="3309" t="s">
        <v>4570</v>
      </c>
      <c r="H111" s="3310" t="s">
        <v>4571</v>
      </c>
      <c r="I111" s="3311" t="s">
        <v>4572</v>
      </c>
      <c r="J111" s="3312" t="s">
        <v>4573</v>
      </c>
      <c r="K111" s="3300" t="s">
        <v>4574</v>
      </c>
      <c r="L111" s="3313" t="s">
        <v>4575</v>
      </c>
      <c r="M111" s="3311" t="s">
        <v>4576</v>
      </c>
      <c r="N111" s="3314" t="s">
        <v>4577</v>
      </c>
      <c r="O111" s="3300" t="s">
        <v>4578</v>
      </c>
      <c r="P111" s="3313" t="s">
        <v>4579</v>
      </c>
      <c r="Q111" s="3312" t="s">
        <v>4580</v>
      </c>
      <c r="R111" s="3314" t="s">
        <v>4581</v>
      </c>
      <c r="S111" s="3315" t="s">
        <v>4582</v>
      </c>
      <c r="T111" s="3313" t="s">
        <v>4583</v>
      </c>
      <c r="U111" s="3312" t="s">
        <v>4584</v>
      </c>
      <c r="V111" s="3314" t="s">
        <v>4585</v>
      </c>
      <c r="W111" s="3315" t="s">
        <v>4586</v>
      </c>
      <c r="X111" s="3313" t="s">
        <v>4587</v>
      </c>
      <c r="Y111" s="3312" t="s">
        <v>4588</v>
      </c>
      <c r="Z111" s="3313" t="s">
        <v>4589</v>
      </c>
      <c r="AA111" s="3315" t="s">
        <v>4590</v>
      </c>
      <c r="AB111" s="3314" t="s">
        <v>4591</v>
      </c>
      <c r="AC111" s="3315" t="s">
        <v>4592</v>
      </c>
      <c r="AD111" s="3313" t="s">
        <v>4593</v>
      </c>
      <c r="AE111" s="3312" t="s">
        <v>4594</v>
      </c>
      <c r="AF111" s="3314" t="s">
        <v>4595</v>
      </c>
      <c r="AG111" s="3315" t="s">
        <v>4596</v>
      </c>
      <c r="AH111" s="3313" t="s">
        <v>4597</v>
      </c>
      <c r="AI111" s="3312" t="s">
        <v>4598</v>
      </c>
      <c r="AJ111" s="3314" t="s">
        <v>4599</v>
      </c>
      <c r="AK111" s="3315" t="s">
        <v>4600</v>
      </c>
      <c r="AL111" s="3313" t="s">
        <v>4601</v>
      </c>
      <c r="AM111" s="3312" t="s">
        <v>4602</v>
      </c>
      <c r="AN111" s="3316" t="s">
        <v>4603</v>
      </c>
      <c r="AO111" s="3311" t="s">
        <v>4604</v>
      </c>
      <c r="AP111" s="3317" t="s">
        <v>4605</v>
      </c>
      <c r="AQ111" s="3258" t="str">
        <f t="shared" ref="AQ111:AQ113" si="51">CB111</f>
        <v xml:space="preserve"> * La variable Beneficiarios No puede ser mayor al Total.</v>
      </c>
      <c r="AR111" s="3229"/>
      <c r="AS111" s="3229"/>
      <c r="AT111" s="3229"/>
      <c r="AU111" s="3229"/>
      <c r="AV111" s="3229"/>
      <c r="AW111" s="3229"/>
      <c r="AX111" s="3229"/>
      <c r="AY111" s="3229"/>
      <c r="AZ111" s="3229"/>
      <c r="BA111" s="3229"/>
      <c r="BB111" s="1839"/>
      <c r="BC111" s="1839"/>
      <c r="CB111" s="431" t="str">
        <f t="shared" si="47"/>
        <v xml:space="preserve"> * La variable Beneficiarios No puede ser mayor al Total.</v>
      </c>
      <c r="CN111" s="180">
        <f t="shared" si="49"/>
        <v>1</v>
      </c>
    </row>
    <row r="112" spans="1:93" ht="15" customHeight="1" x14ac:dyDescent="0.2">
      <c r="A112" s="5795" t="s">
        <v>5622</v>
      </c>
      <c r="B112" s="6833" t="s">
        <v>1445</v>
      </c>
      <c r="C112" s="6834"/>
      <c r="D112" s="202" t="s">
        <v>4567</v>
      </c>
      <c r="E112" s="248" t="s">
        <v>4568</v>
      </c>
      <c r="F112" s="3318" t="s">
        <v>4569</v>
      </c>
      <c r="G112" s="3282" t="s">
        <v>4570</v>
      </c>
      <c r="H112" s="851" t="s">
        <v>4571</v>
      </c>
      <c r="I112" s="3283" t="s">
        <v>4572</v>
      </c>
      <c r="J112" s="3284" t="s">
        <v>4573</v>
      </c>
      <c r="K112" s="3282" t="s">
        <v>4574</v>
      </c>
      <c r="L112" s="3285" t="s">
        <v>4575</v>
      </c>
      <c r="M112" s="3283" t="s">
        <v>4576</v>
      </c>
      <c r="N112" s="3286" t="s">
        <v>4577</v>
      </c>
      <c r="O112" s="3282" t="s">
        <v>4578</v>
      </c>
      <c r="P112" s="3285" t="s">
        <v>4579</v>
      </c>
      <c r="Q112" s="3284" t="s">
        <v>4580</v>
      </c>
      <c r="R112" s="3286" t="s">
        <v>4581</v>
      </c>
      <c r="S112" s="3287" t="s">
        <v>4582</v>
      </c>
      <c r="T112" s="3285" t="s">
        <v>4583</v>
      </c>
      <c r="U112" s="3284" t="s">
        <v>4584</v>
      </c>
      <c r="V112" s="3286" t="s">
        <v>4585</v>
      </c>
      <c r="W112" s="3287" t="s">
        <v>4586</v>
      </c>
      <c r="X112" s="3285" t="s">
        <v>4587</v>
      </c>
      <c r="Y112" s="3284" t="s">
        <v>4588</v>
      </c>
      <c r="Z112" s="3285" t="s">
        <v>4589</v>
      </c>
      <c r="AA112" s="3287" t="s">
        <v>4590</v>
      </c>
      <c r="AB112" s="3286" t="s">
        <v>4591</v>
      </c>
      <c r="AC112" s="3287" t="s">
        <v>4592</v>
      </c>
      <c r="AD112" s="3285" t="s">
        <v>4593</v>
      </c>
      <c r="AE112" s="3284" t="s">
        <v>4594</v>
      </c>
      <c r="AF112" s="3286" t="s">
        <v>4595</v>
      </c>
      <c r="AG112" s="3287" t="s">
        <v>4596</v>
      </c>
      <c r="AH112" s="3285" t="s">
        <v>4597</v>
      </c>
      <c r="AI112" s="3284" t="s">
        <v>4598</v>
      </c>
      <c r="AJ112" s="3286" t="s">
        <v>4599</v>
      </c>
      <c r="AK112" s="3287" t="s">
        <v>4600</v>
      </c>
      <c r="AL112" s="3285" t="s">
        <v>4601</v>
      </c>
      <c r="AM112" s="3284" t="s">
        <v>4602</v>
      </c>
      <c r="AN112" s="3288" t="s">
        <v>4603</v>
      </c>
      <c r="AO112" s="3283" t="s">
        <v>4604</v>
      </c>
      <c r="AP112" s="3319" t="s">
        <v>4605</v>
      </c>
      <c r="AQ112" s="3258" t="str">
        <f t="shared" si="51"/>
        <v xml:space="preserve"> * La variable Beneficiarios No puede ser mayor al Total.</v>
      </c>
      <c r="AR112" s="3229"/>
      <c r="AS112" s="3229"/>
      <c r="AT112" s="3229"/>
      <c r="AU112" s="3229"/>
      <c r="AV112" s="3229"/>
      <c r="AW112" s="3229"/>
      <c r="AX112" s="3229"/>
      <c r="AY112" s="3229"/>
      <c r="AZ112" s="3229"/>
      <c r="BA112" s="3229"/>
      <c r="BB112" s="1839"/>
      <c r="BC112" s="1839"/>
      <c r="CB112" s="431" t="str">
        <f t="shared" si="47"/>
        <v xml:space="preserve"> * La variable Beneficiarios No puede ser mayor al Total.</v>
      </c>
      <c r="CN112" s="180">
        <f t="shared" si="49"/>
        <v>1</v>
      </c>
    </row>
    <row r="113" spans="1:92" ht="15" customHeight="1" x14ac:dyDescent="0.2">
      <c r="A113" s="5795" t="s">
        <v>5623</v>
      </c>
      <c r="B113" s="6837" t="s">
        <v>1446</v>
      </c>
      <c r="C113" s="6838"/>
      <c r="D113" s="703" t="s">
        <v>4567</v>
      </c>
      <c r="E113" s="2202" t="s">
        <v>4568</v>
      </c>
      <c r="F113" s="742" t="s">
        <v>4569</v>
      </c>
      <c r="G113" s="3320" t="s">
        <v>4570</v>
      </c>
      <c r="H113" s="3321" t="s">
        <v>4571</v>
      </c>
      <c r="I113" s="3322" t="s">
        <v>4572</v>
      </c>
      <c r="J113" s="3323" t="s">
        <v>4573</v>
      </c>
      <c r="K113" s="3320" t="s">
        <v>4574</v>
      </c>
      <c r="L113" s="3324" t="s">
        <v>4575</v>
      </c>
      <c r="M113" s="3322" t="s">
        <v>4576</v>
      </c>
      <c r="N113" s="3325" t="s">
        <v>4577</v>
      </c>
      <c r="O113" s="3320" t="s">
        <v>4578</v>
      </c>
      <c r="P113" s="3324" t="s">
        <v>4579</v>
      </c>
      <c r="Q113" s="3323" t="s">
        <v>4580</v>
      </c>
      <c r="R113" s="3325" t="s">
        <v>4581</v>
      </c>
      <c r="S113" s="3326" t="s">
        <v>4582</v>
      </c>
      <c r="T113" s="3324" t="s">
        <v>4583</v>
      </c>
      <c r="U113" s="3323" t="s">
        <v>4584</v>
      </c>
      <c r="V113" s="3325" t="s">
        <v>4585</v>
      </c>
      <c r="W113" s="3326" t="s">
        <v>4586</v>
      </c>
      <c r="X113" s="3324" t="s">
        <v>4587</v>
      </c>
      <c r="Y113" s="3323" t="s">
        <v>4588</v>
      </c>
      <c r="Z113" s="3324" t="s">
        <v>4589</v>
      </c>
      <c r="AA113" s="3326" t="s">
        <v>4590</v>
      </c>
      <c r="AB113" s="3325" t="s">
        <v>4591</v>
      </c>
      <c r="AC113" s="3326" t="s">
        <v>4592</v>
      </c>
      <c r="AD113" s="3324" t="s">
        <v>4593</v>
      </c>
      <c r="AE113" s="3323" t="s">
        <v>4594</v>
      </c>
      <c r="AF113" s="3325" t="s">
        <v>4595</v>
      </c>
      <c r="AG113" s="3326" t="s">
        <v>4596</v>
      </c>
      <c r="AH113" s="3324" t="s">
        <v>4597</v>
      </c>
      <c r="AI113" s="3323" t="s">
        <v>4598</v>
      </c>
      <c r="AJ113" s="3325" t="s">
        <v>4599</v>
      </c>
      <c r="AK113" s="3326" t="s">
        <v>4600</v>
      </c>
      <c r="AL113" s="3324" t="s">
        <v>4601</v>
      </c>
      <c r="AM113" s="3323" t="s">
        <v>4602</v>
      </c>
      <c r="AN113" s="3327" t="s">
        <v>4603</v>
      </c>
      <c r="AO113" s="3322" t="s">
        <v>4604</v>
      </c>
      <c r="AP113" s="3328" t="s">
        <v>4605</v>
      </c>
      <c r="AQ113" s="3258" t="str">
        <f t="shared" si="51"/>
        <v xml:space="preserve"> * La variable Beneficiarios No puede ser mayor al Total.</v>
      </c>
      <c r="AR113" s="3229"/>
      <c r="AS113" s="3229"/>
      <c r="AT113" s="3229"/>
      <c r="AU113" s="3229"/>
      <c r="AV113" s="3229"/>
      <c r="AW113" s="3229"/>
      <c r="AX113" s="3229"/>
      <c r="AY113" s="3229"/>
      <c r="AZ113" s="3229"/>
      <c r="BA113" s="3229"/>
      <c r="BB113" s="1839"/>
      <c r="BC113" s="1839"/>
      <c r="CB113" s="431" t="str">
        <f>IF(AND($D113&gt;0,AO113="")," * No olvide digitar la variable "&amp;AO$103&amp;""&amp;". Digite CERO si no tiene",IF(AO113&gt;$D113," * La variable "&amp;AO$103&amp;""&amp;" No puede ser mayor al Total.",""))</f>
        <v xml:space="preserve"> * La variable Beneficiarios No puede ser mayor al Total.</v>
      </c>
      <c r="CN113" s="180">
        <f t="shared" si="49"/>
        <v>1</v>
      </c>
    </row>
    <row r="114" spans="1:92" s="8" customFormat="1" ht="18" customHeight="1" x14ac:dyDescent="0.2">
      <c r="A114" s="5797"/>
      <c r="B114" s="1" t="s">
        <v>1447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W114" s="5"/>
      <c r="BX114" s="5"/>
      <c r="BY114" s="5"/>
      <c r="BZ114" s="5"/>
      <c r="CN114" s="6"/>
    </row>
    <row r="115" spans="1:92" ht="16.350000000000001" customHeight="1" x14ac:dyDescent="0.2">
      <c r="A115" s="5797"/>
      <c r="B115" s="6704" t="s">
        <v>1448</v>
      </c>
      <c r="C115" s="6515"/>
      <c r="D115" s="6451"/>
      <c r="E115" s="1765" t="s">
        <v>77</v>
      </c>
      <c r="AP115" s="1839"/>
      <c r="AQ115" s="1839"/>
      <c r="AR115" s="1839"/>
      <c r="AS115" s="1839"/>
      <c r="AT115" s="1839"/>
      <c r="AU115" s="1839"/>
      <c r="AV115" s="1839"/>
      <c r="AW115" s="1839"/>
      <c r="AX115" s="1839"/>
      <c r="AY115" s="1839"/>
      <c r="AZ115" s="1839"/>
      <c r="BA115" s="1839"/>
      <c r="BB115" s="1839"/>
      <c r="BC115" s="1839"/>
    </row>
    <row r="116" spans="1:92" ht="24" customHeight="1" x14ac:dyDescent="0.2">
      <c r="A116" s="5795" t="s">
        <v>5624</v>
      </c>
      <c r="B116" s="6904" t="s">
        <v>1449</v>
      </c>
      <c r="C116" s="6642"/>
      <c r="D116" s="3329" t="s">
        <v>1450</v>
      </c>
      <c r="E116" s="3330" t="s">
        <v>4567</v>
      </c>
      <c r="F116" s="3273"/>
    </row>
    <row r="117" spans="1:92" ht="15" customHeight="1" x14ac:dyDescent="0.2">
      <c r="A117" s="5795" t="s">
        <v>5625</v>
      </c>
      <c r="B117" s="6905"/>
      <c r="C117" s="6643"/>
      <c r="D117" s="3331" t="s">
        <v>1451</v>
      </c>
      <c r="E117" s="849" t="s">
        <v>4567</v>
      </c>
      <c r="F117" s="3273"/>
    </row>
    <row r="118" spans="1:92" ht="15" customHeight="1" x14ac:dyDescent="0.2">
      <c r="A118" s="5795" t="s">
        <v>5626</v>
      </c>
      <c r="B118" s="6906"/>
      <c r="C118" s="6907"/>
      <c r="D118" s="3332" t="s">
        <v>1452</v>
      </c>
      <c r="E118" s="852" t="s">
        <v>4567</v>
      </c>
      <c r="F118" s="3273"/>
    </row>
    <row r="119" spans="1:92" s="8" customFormat="1" ht="18" customHeight="1" x14ac:dyDescent="0.2">
      <c r="A119" s="6"/>
      <c r="B119" s="6743" t="s">
        <v>1453</v>
      </c>
      <c r="C119" s="6743"/>
      <c r="D119" s="6743"/>
      <c r="E119" s="6743"/>
      <c r="F119" s="6743"/>
      <c r="G119" s="6743"/>
      <c r="H119" s="6743"/>
      <c r="I119" s="6743"/>
      <c r="J119" s="6743"/>
      <c r="K119" s="6743"/>
      <c r="L119" s="6908"/>
      <c r="M119" s="3333"/>
      <c r="N119" s="3334"/>
      <c r="O119" s="3334"/>
      <c r="P119" s="3335"/>
      <c r="Q119" s="4"/>
      <c r="R119" s="3334"/>
      <c r="S119" s="3335"/>
      <c r="T119" s="4"/>
      <c r="U119" s="3334"/>
      <c r="V119" s="4"/>
      <c r="W119" s="4"/>
      <c r="X119" s="3335"/>
      <c r="Y119" s="3335"/>
      <c r="Z119" s="3335"/>
      <c r="AA119" s="3336"/>
      <c r="AB119" s="4"/>
      <c r="AC119" s="3335"/>
      <c r="AD119" s="3335"/>
      <c r="AE119" s="3335"/>
      <c r="AF119" s="3335"/>
      <c r="AG119" s="3336"/>
      <c r="AH119" s="4"/>
      <c r="AI119" s="3335"/>
      <c r="AJ119" s="3335"/>
      <c r="AK119" s="3335"/>
      <c r="AL119" s="4"/>
      <c r="AM119" s="3334"/>
      <c r="AN119" s="3335"/>
      <c r="AO119" s="3334"/>
      <c r="AP119" s="3337"/>
      <c r="AQ119" s="4"/>
      <c r="BW119" s="5"/>
      <c r="BX119" s="5"/>
      <c r="BY119" s="5"/>
      <c r="BZ119" s="5"/>
    </row>
    <row r="120" spans="1:92" ht="16.350000000000001" customHeight="1" x14ac:dyDescent="0.2">
      <c r="A120" s="6"/>
      <c r="B120" s="6575" t="s">
        <v>1436</v>
      </c>
      <c r="C120" s="6576"/>
      <c r="D120" s="6212" t="s">
        <v>1363</v>
      </c>
      <c r="E120" s="6510"/>
      <c r="F120" s="6511"/>
      <c r="G120" s="6704" t="s">
        <v>1364</v>
      </c>
      <c r="H120" s="6515"/>
      <c r="I120" s="6515"/>
      <c r="J120" s="6515"/>
      <c r="K120" s="6515"/>
      <c r="L120" s="6515"/>
      <c r="M120" s="6515"/>
      <c r="N120" s="6515"/>
      <c r="O120" s="6515"/>
      <c r="P120" s="6515"/>
      <c r="Q120" s="6515"/>
      <c r="R120" s="6515"/>
      <c r="S120" s="6515"/>
      <c r="T120" s="6515"/>
      <c r="U120" s="6515"/>
      <c r="V120" s="6515"/>
      <c r="W120" s="6515"/>
      <c r="X120" s="6515"/>
      <c r="Y120" s="6515"/>
      <c r="Z120" s="6515"/>
      <c r="AA120" s="6515"/>
      <c r="AB120" s="6515"/>
      <c r="AC120" s="6515"/>
      <c r="AD120" s="6515"/>
      <c r="AE120" s="6515"/>
      <c r="AF120" s="6515"/>
      <c r="AG120" s="6515"/>
      <c r="AH120" s="6515"/>
      <c r="AI120" s="6515"/>
      <c r="AJ120" s="6515"/>
      <c r="AK120" s="6515"/>
      <c r="AL120" s="6515"/>
      <c r="AM120" s="6515"/>
      <c r="AN120" s="6455"/>
      <c r="AO120" s="6451" t="s">
        <v>597</v>
      </c>
      <c r="AP120" s="3338"/>
    </row>
    <row r="121" spans="1:92" ht="16.350000000000001" customHeight="1" x14ac:dyDescent="0.2">
      <c r="A121" s="6"/>
      <c r="B121" s="6827"/>
      <c r="C121" s="6331"/>
      <c r="D121" s="6734"/>
      <c r="E121" s="6735"/>
      <c r="F121" s="6736"/>
      <c r="G121" s="6704" t="s">
        <v>343</v>
      </c>
      <c r="H121" s="6451"/>
      <c r="I121" s="6704" t="s">
        <v>326</v>
      </c>
      <c r="J121" s="6451"/>
      <c r="K121" s="6704" t="s">
        <v>94</v>
      </c>
      <c r="L121" s="6451"/>
      <c r="M121" s="6704" t="s">
        <v>44</v>
      </c>
      <c r="N121" s="6451"/>
      <c r="O121" s="6704" t="s">
        <v>45</v>
      </c>
      <c r="P121" s="6451"/>
      <c r="Q121" s="6705" t="s">
        <v>46</v>
      </c>
      <c r="R121" s="6448"/>
      <c r="S121" s="6705" t="s">
        <v>47</v>
      </c>
      <c r="T121" s="6448"/>
      <c r="U121" s="6705" t="s">
        <v>48</v>
      </c>
      <c r="V121" s="6448"/>
      <c r="W121" s="6705" t="s">
        <v>49</v>
      </c>
      <c r="X121" s="6448"/>
      <c r="Y121" s="6705" t="s">
        <v>50</v>
      </c>
      <c r="Z121" s="6448"/>
      <c r="AA121" s="6705" t="s">
        <v>51</v>
      </c>
      <c r="AB121" s="6448"/>
      <c r="AC121" s="6705" t="s">
        <v>52</v>
      </c>
      <c r="AD121" s="6448"/>
      <c r="AE121" s="6705" t="s">
        <v>53</v>
      </c>
      <c r="AF121" s="6448"/>
      <c r="AG121" s="6705" t="s">
        <v>54</v>
      </c>
      <c r="AH121" s="6448"/>
      <c r="AI121" s="6705" t="s">
        <v>55</v>
      </c>
      <c r="AJ121" s="6448"/>
      <c r="AK121" s="6705" t="s">
        <v>56</v>
      </c>
      <c r="AL121" s="6448"/>
      <c r="AM121" s="6705" t="s">
        <v>57</v>
      </c>
      <c r="AN121" s="6447"/>
      <c r="AO121" s="6451"/>
      <c r="AP121" s="1839"/>
      <c r="AQ121" s="1839"/>
      <c r="AR121" s="1839"/>
      <c r="AS121" s="1839"/>
      <c r="AT121" s="1839"/>
      <c r="AU121" s="1839"/>
      <c r="AV121" s="1839"/>
      <c r="AW121" s="1839"/>
      <c r="AX121" s="1839"/>
      <c r="AY121" s="1839"/>
      <c r="AZ121" s="1839"/>
      <c r="BA121" s="1839"/>
      <c r="BB121" s="1839"/>
    </row>
    <row r="122" spans="1:92" ht="16.350000000000001" customHeight="1" x14ac:dyDescent="0.2">
      <c r="A122" s="6"/>
      <c r="B122" s="6750"/>
      <c r="C122" s="6913"/>
      <c r="D122" s="866" t="s">
        <v>79</v>
      </c>
      <c r="E122" s="490" t="s">
        <v>461</v>
      </c>
      <c r="F122" s="464" t="s">
        <v>59</v>
      </c>
      <c r="G122" s="744" t="s">
        <v>461</v>
      </c>
      <c r="H122" s="464" t="s">
        <v>59</v>
      </c>
      <c r="I122" s="744" t="s">
        <v>461</v>
      </c>
      <c r="J122" s="464" t="s">
        <v>59</v>
      </c>
      <c r="K122" s="744" t="s">
        <v>461</v>
      </c>
      <c r="L122" s="464" t="s">
        <v>59</v>
      </c>
      <c r="M122" s="744" t="s">
        <v>461</v>
      </c>
      <c r="N122" s="464" t="s">
        <v>59</v>
      </c>
      <c r="O122" s="744" t="s">
        <v>461</v>
      </c>
      <c r="P122" s="464" t="s">
        <v>59</v>
      </c>
      <c r="Q122" s="744" t="s">
        <v>461</v>
      </c>
      <c r="R122" s="464" t="s">
        <v>59</v>
      </c>
      <c r="S122" s="744" t="s">
        <v>461</v>
      </c>
      <c r="T122" s="464" t="s">
        <v>59</v>
      </c>
      <c r="U122" s="744" t="s">
        <v>461</v>
      </c>
      <c r="V122" s="464" t="s">
        <v>59</v>
      </c>
      <c r="W122" s="744" t="s">
        <v>461</v>
      </c>
      <c r="X122" s="464" t="s">
        <v>59</v>
      </c>
      <c r="Y122" s="744" t="s">
        <v>461</v>
      </c>
      <c r="Z122" s="464" t="s">
        <v>59</v>
      </c>
      <c r="AA122" s="744" t="s">
        <v>461</v>
      </c>
      <c r="AB122" s="464" t="s">
        <v>59</v>
      </c>
      <c r="AC122" s="744" t="s">
        <v>461</v>
      </c>
      <c r="AD122" s="464" t="s">
        <v>59</v>
      </c>
      <c r="AE122" s="744" t="s">
        <v>461</v>
      </c>
      <c r="AF122" s="590" t="s">
        <v>59</v>
      </c>
      <c r="AG122" s="744" t="s">
        <v>461</v>
      </c>
      <c r="AH122" s="464" t="s">
        <v>59</v>
      </c>
      <c r="AI122" s="744" t="s">
        <v>461</v>
      </c>
      <c r="AJ122" s="590" t="s">
        <v>59</v>
      </c>
      <c r="AK122" s="744" t="s">
        <v>461</v>
      </c>
      <c r="AL122" s="464" t="s">
        <v>59</v>
      </c>
      <c r="AM122" s="744" t="s">
        <v>461</v>
      </c>
      <c r="AN122" s="465" t="s">
        <v>59</v>
      </c>
      <c r="AO122" s="6451"/>
      <c r="AP122" s="3339"/>
      <c r="AQ122" s="1839"/>
      <c r="AR122" s="1839"/>
      <c r="AS122" s="1839"/>
      <c r="AT122" s="1839"/>
      <c r="AU122" s="1839"/>
      <c r="AV122" s="1839"/>
      <c r="AW122" s="1839"/>
      <c r="AX122" s="1839"/>
      <c r="AY122" s="1839"/>
      <c r="AZ122" s="1839"/>
      <c r="BA122" s="1839"/>
      <c r="BB122" s="1839"/>
    </row>
    <row r="123" spans="1:92" ht="15" customHeight="1" x14ac:dyDescent="0.2">
      <c r="A123" s="5795" t="s">
        <v>5627</v>
      </c>
      <c r="B123" s="6914" t="s">
        <v>1454</v>
      </c>
      <c r="C123" s="6915"/>
      <c r="D123" s="316" t="s">
        <v>4567</v>
      </c>
      <c r="E123" s="2199" t="s">
        <v>4568</v>
      </c>
      <c r="F123" s="141" t="s">
        <v>4569</v>
      </c>
      <c r="G123" s="326" t="s">
        <v>4570</v>
      </c>
      <c r="H123" s="882" t="s">
        <v>4571</v>
      </c>
      <c r="I123" s="326" t="s">
        <v>4572</v>
      </c>
      <c r="J123" s="882" t="s">
        <v>4573</v>
      </c>
      <c r="K123" s="326" t="s">
        <v>4574</v>
      </c>
      <c r="L123" s="882" t="s">
        <v>4575</v>
      </c>
      <c r="M123" s="326" t="s">
        <v>4576</v>
      </c>
      <c r="N123" s="882" t="s">
        <v>4577</v>
      </c>
      <c r="O123" s="326" t="s">
        <v>4578</v>
      </c>
      <c r="P123" s="882" t="s">
        <v>4579</v>
      </c>
      <c r="Q123" s="326" t="s">
        <v>4580</v>
      </c>
      <c r="R123" s="882" t="s">
        <v>4581</v>
      </c>
      <c r="S123" s="326" t="s">
        <v>4582</v>
      </c>
      <c r="T123" s="882" t="s">
        <v>4583</v>
      </c>
      <c r="U123" s="326" t="s">
        <v>4584</v>
      </c>
      <c r="V123" s="882" t="s">
        <v>4585</v>
      </c>
      <c r="W123" s="326" t="s">
        <v>4586</v>
      </c>
      <c r="X123" s="882" t="s">
        <v>4587</v>
      </c>
      <c r="Y123" s="326" t="s">
        <v>4588</v>
      </c>
      <c r="Z123" s="882" t="s">
        <v>4589</v>
      </c>
      <c r="AA123" s="326" t="s">
        <v>4590</v>
      </c>
      <c r="AB123" s="882" t="s">
        <v>4591</v>
      </c>
      <c r="AC123" s="326" t="s">
        <v>4592</v>
      </c>
      <c r="AD123" s="882" t="s">
        <v>4593</v>
      </c>
      <c r="AE123" s="44" t="s">
        <v>4594</v>
      </c>
      <c r="AF123" s="1133" t="s">
        <v>4595</v>
      </c>
      <c r="AG123" s="326" t="s">
        <v>4596</v>
      </c>
      <c r="AH123" s="882" t="s">
        <v>4597</v>
      </c>
      <c r="AI123" s="44" t="s">
        <v>4598</v>
      </c>
      <c r="AJ123" s="1133" t="s">
        <v>4599</v>
      </c>
      <c r="AK123" s="326" t="s">
        <v>4600</v>
      </c>
      <c r="AL123" s="882" t="s">
        <v>4601</v>
      </c>
      <c r="AM123" s="44" t="s">
        <v>4602</v>
      </c>
      <c r="AN123" s="1001" t="s">
        <v>4603</v>
      </c>
      <c r="AO123" s="142" t="s">
        <v>4604</v>
      </c>
      <c r="AP123" s="3258"/>
      <c r="AQ123" s="3229"/>
      <c r="AR123" s="3229"/>
      <c r="AS123" s="3229"/>
      <c r="AT123" s="3229"/>
      <c r="AU123" s="3229"/>
      <c r="AV123" s="3229"/>
      <c r="AW123" s="3229"/>
      <c r="AX123" s="3229"/>
      <c r="AY123" s="3229"/>
      <c r="AZ123" s="3229"/>
      <c r="BA123" s="3229"/>
      <c r="BB123" s="1839"/>
      <c r="CB123" s="431" t="str">
        <f>IF(AND($D123&gt;0,AO123="")," * No olvide digitar la variable "&amp;AO$120&amp;""&amp;". Digite CERO si no tiene",IF(AO123&gt;$D123," * La variable "&amp;AO$120&amp;""&amp;" No puede ser mayor al Total.",""))</f>
        <v xml:space="preserve"> * La variable Beneficiarios No puede ser mayor al Total.</v>
      </c>
      <c r="CN123" s="180">
        <f>IF(AND($D123&gt;0,AO123=""),1,IF(AO123&gt;$D123,1,0))</f>
        <v>1</v>
      </c>
    </row>
    <row r="124" spans="1:92" ht="15" customHeight="1" x14ac:dyDescent="0.2">
      <c r="A124" s="5795" t="s">
        <v>5628</v>
      </c>
      <c r="B124" s="6617" t="s">
        <v>1455</v>
      </c>
      <c r="C124" s="6618"/>
      <c r="D124" s="737" t="s">
        <v>4567</v>
      </c>
      <c r="E124" s="751" t="s">
        <v>4568</v>
      </c>
      <c r="F124" s="344" t="s">
        <v>4569</v>
      </c>
      <c r="G124" s="328" t="s">
        <v>4570</v>
      </c>
      <c r="H124" s="1969" t="s">
        <v>4571</v>
      </c>
      <c r="I124" s="328" t="s">
        <v>4572</v>
      </c>
      <c r="J124" s="1969" t="s">
        <v>4573</v>
      </c>
      <c r="K124" s="328" t="s">
        <v>4574</v>
      </c>
      <c r="L124" s="1969" t="s">
        <v>4575</v>
      </c>
      <c r="M124" s="328" t="s">
        <v>4576</v>
      </c>
      <c r="N124" s="1969" t="s">
        <v>4577</v>
      </c>
      <c r="O124" s="328" t="s">
        <v>4578</v>
      </c>
      <c r="P124" s="1969" t="s">
        <v>4579</v>
      </c>
      <c r="Q124" s="328" t="s">
        <v>4580</v>
      </c>
      <c r="R124" s="1969" t="s">
        <v>4581</v>
      </c>
      <c r="S124" s="328" t="s">
        <v>4582</v>
      </c>
      <c r="T124" s="1969" t="s">
        <v>4583</v>
      </c>
      <c r="U124" s="328" t="s">
        <v>4584</v>
      </c>
      <c r="V124" s="1969" t="s">
        <v>4585</v>
      </c>
      <c r="W124" s="328" t="s">
        <v>4586</v>
      </c>
      <c r="X124" s="1969" t="s">
        <v>4587</v>
      </c>
      <c r="Y124" s="328" t="s">
        <v>4588</v>
      </c>
      <c r="Z124" s="1969" t="s">
        <v>4589</v>
      </c>
      <c r="AA124" s="328" t="s">
        <v>4590</v>
      </c>
      <c r="AB124" s="1969" t="s">
        <v>4591</v>
      </c>
      <c r="AC124" s="328" t="s">
        <v>4592</v>
      </c>
      <c r="AD124" s="1969" t="s">
        <v>4593</v>
      </c>
      <c r="AE124" s="2034" t="s">
        <v>4594</v>
      </c>
      <c r="AF124" s="2201" t="s">
        <v>4595</v>
      </c>
      <c r="AG124" s="328" t="s">
        <v>4596</v>
      </c>
      <c r="AH124" s="1969" t="s">
        <v>4597</v>
      </c>
      <c r="AI124" s="2034" t="s">
        <v>4598</v>
      </c>
      <c r="AJ124" s="2201" t="s">
        <v>4599</v>
      </c>
      <c r="AK124" s="328" t="s">
        <v>4600</v>
      </c>
      <c r="AL124" s="1969" t="s">
        <v>4601</v>
      </c>
      <c r="AM124" s="2034" t="s">
        <v>4602</v>
      </c>
      <c r="AN124" s="331" t="s">
        <v>4603</v>
      </c>
      <c r="AO124" s="329" t="s">
        <v>4604</v>
      </c>
      <c r="AP124" s="3258"/>
      <c r="AQ124" s="3229"/>
      <c r="AR124" s="3229"/>
      <c r="AS124" s="3229"/>
      <c r="AT124" s="3229"/>
      <c r="AU124" s="3229"/>
      <c r="AV124" s="3229"/>
      <c r="AW124" s="3229"/>
      <c r="AX124" s="3229"/>
      <c r="AY124" s="3229"/>
      <c r="AZ124" s="3229"/>
      <c r="BA124" s="3229"/>
      <c r="BB124" s="1839"/>
      <c r="CB124" s="431" t="str">
        <f t="shared" ref="CB124:CB125" si="52">IF(AND($D124&gt;0,AO124="")," * No olvide digitar la variable "&amp;AO$120&amp;""&amp;". Digite CERO si no tiene",IF(AO124&gt;$D124," * La variable "&amp;AO$120&amp;""&amp;" No puede ser mayor al Total.",""))</f>
        <v xml:space="preserve"> * La variable Beneficiarios No puede ser mayor al Total.</v>
      </c>
      <c r="CN124" s="180">
        <f t="shared" ref="CN124:CN125" si="53">IF(AND($D124&gt;0,AO124=""),1,IF(AO124&gt;$D124,1,0))</f>
        <v>1</v>
      </c>
    </row>
    <row r="125" spans="1:92" ht="15" customHeight="1" x14ac:dyDescent="0.2">
      <c r="A125" s="5795" t="s">
        <v>5629</v>
      </c>
      <c r="B125" s="6916" t="s">
        <v>1456</v>
      </c>
      <c r="C125" s="6917"/>
      <c r="D125" s="703" t="s">
        <v>4567</v>
      </c>
      <c r="E125" s="2202" t="s">
        <v>4568</v>
      </c>
      <c r="F125" s="625" t="s">
        <v>4569</v>
      </c>
      <c r="G125" s="853" t="s">
        <v>4570</v>
      </c>
      <c r="H125" s="1975" t="s">
        <v>4571</v>
      </c>
      <c r="I125" s="853" t="s">
        <v>4572</v>
      </c>
      <c r="J125" s="1975" t="s">
        <v>4573</v>
      </c>
      <c r="K125" s="853" t="s">
        <v>4574</v>
      </c>
      <c r="L125" s="1975" t="s">
        <v>4575</v>
      </c>
      <c r="M125" s="853" t="s">
        <v>4576</v>
      </c>
      <c r="N125" s="1975" t="s">
        <v>4577</v>
      </c>
      <c r="O125" s="853" t="s">
        <v>4578</v>
      </c>
      <c r="P125" s="1975" t="s">
        <v>4579</v>
      </c>
      <c r="Q125" s="853" t="s">
        <v>4580</v>
      </c>
      <c r="R125" s="1975" t="s">
        <v>4581</v>
      </c>
      <c r="S125" s="853" t="s">
        <v>4582</v>
      </c>
      <c r="T125" s="1975" t="s">
        <v>4583</v>
      </c>
      <c r="U125" s="853" t="s">
        <v>4584</v>
      </c>
      <c r="V125" s="1975" t="s">
        <v>4585</v>
      </c>
      <c r="W125" s="853" t="s">
        <v>4586</v>
      </c>
      <c r="X125" s="1975" t="s">
        <v>4587</v>
      </c>
      <c r="Y125" s="853" t="s">
        <v>4588</v>
      </c>
      <c r="Z125" s="1975" t="s">
        <v>4589</v>
      </c>
      <c r="AA125" s="853" t="s">
        <v>4590</v>
      </c>
      <c r="AB125" s="1975" t="s">
        <v>4591</v>
      </c>
      <c r="AC125" s="853" t="s">
        <v>4592</v>
      </c>
      <c r="AD125" s="1975" t="s">
        <v>4593</v>
      </c>
      <c r="AE125" s="1877" t="s">
        <v>4594</v>
      </c>
      <c r="AF125" s="2203" t="s">
        <v>4595</v>
      </c>
      <c r="AG125" s="853" t="s">
        <v>4596</v>
      </c>
      <c r="AH125" s="1975" t="s">
        <v>4597</v>
      </c>
      <c r="AI125" s="1877" t="s">
        <v>4598</v>
      </c>
      <c r="AJ125" s="2203" t="s">
        <v>4599</v>
      </c>
      <c r="AK125" s="853" t="s">
        <v>4600</v>
      </c>
      <c r="AL125" s="1975" t="s">
        <v>4601</v>
      </c>
      <c r="AM125" s="1877" t="s">
        <v>4602</v>
      </c>
      <c r="AN125" s="1919" t="s">
        <v>4603</v>
      </c>
      <c r="AO125" s="854" t="s">
        <v>4604</v>
      </c>
      <c r="AP125" s="3258"/>
      <c r="AQ125" s="3229"/>
      <c r="AR125" s="3229"/>
      <c r="AS125" s="3229"/>
      <c r="AT125" s="3229"/>
      <c r="AU125" s="3229"/>
      <c r="AV125" s="3229"/>
      <c r="AW125" s="3229"/>
      <c r="AX125" s="3229"/>
      <c r="AY125" s="3229"/>
      <c r="AZ125" s="3229"/>
      <c r="BA125" s="3229"/>
      <c r="BB125" s="1839"/>
      <c r="CB125" s="431" t="str">
        <f t="shared" si="52"/>
        <v xml:space="preserve"> * La variable Beneficiarios No puede ser mayor al Total.</v>
      </c>
      <c r="CN125" s="180">
        <f t="shared" si="53"/>
        <v>1</v>
      </c>
    </row>
    <row r="126" spans="1:92" s="8" customFormat="1" ht="18" customHeight="1" x14ac:dyDescent="0.15">
      <c r="A126" s="5797"/>
      <c r="B126" s="1" t="s">
        <v>1457</v>
      </c>
      <c r="Y126" s="5"/>
      <c r="Z126" s="5"/>
      <c r="BW126" s="5"/>
      <c r="BX126" s="5"/>
      <c r="BY126" s="3252"/>
      <c r="BZ126" s="3252"/>
    </row>
    <row r="127" spans="1:92" ht="26.25" customHeight="1" x14ac:dyDescent="0.2">
      <c r="A127" s="5797"/>
      <c r="B127" s="6575" t="s">
        <v>285</v>
      </c>
      <c r="C127" s="6576"/>
      <c r="D127" s="6575" t="s">
        <v>77</v>
      </c>
      <c r="E127" s="6491"/>
      <c r="F127" s="6576"/>
      <c r="G127" s="6704" t="s">
        <v>458</v>
      </c>
      <c r="H127" s="6451"/>
      <c r="I127" s="6918" t="s">
        <v>1458</v>
      </c>
      <c r="J127" s="6451"/>
      <c r="K127" s="6704" t="s">
        <v>1204</v>
      </c>
      <c r="L127" s="6451"/>
      <c r="M127" s="6704" t="s">
        <v>45</v>
      </c>
      <c r="N127" s="6451"/>
      <c r="O127" s="6704" t="s">
        <v>1459</v>
      </c>
      <c r="P127" s="6451"/>
      <c r="Q127" s="6704" t="s">
        <v>1460</v>
      </c>
      <c r="R127" s="6451"/>
      <c r="S127" s="6705" t="s">
        <v>1461</v>
      </c>
      <c r="T127" s="6448"/>
      <c r="U127" s="6705" t="s">
        <v>1462</v>
      </c>
      <c r="V127" s="6448"/>
      <c r="W127" s="6705" t="s">
        <v>1463</v>
      </c>
      <c r="X127" s="6534"/>
      <c r="Y127" s="6705" t="s">
        <v>1464</v>
      </c>
      <c r="Z127" s="6448"/>
      <c r="AA127" s="6926" t="s">
        <v>1465</v>
      </c>
      <c r="AB127" s="6534"/>
      <c r="AC127" s="6534"/>
      <c r="AD127" s="6534"/>
      <c r="AE127" s="6448"/>
      <c r="AF127" s="6744" t="s">
        <v>1466</v>
      </c>
      <c r="AG127" s="6517" t="s">
        <v>34</v>
      </c>
      <c r="AH127" s="6511" t="s">
        <v>35</v>
      </c>
      <c r="AI127" s="6919" t="s">
        <v>1467</v>
      </c>
      <c r="AJ127" s="6920" t="s">
        <v>453</v>
      </c>
      <c r="AK127" s="6645" t="s">
        <v>36</v>
      </c>
      <c r="AL127" s="6511" t="s">
        <v>37</v>
      </c>
      <c r="BW127" s="9"/>
      <c r="BX127" s="9"/>
      <c r="BY127" s="9"/>
      <c r="BZ127" s="9"/>
    </row>
    <row r="128" spans="1:92" ht="26.25" customHeight="1" x14ac:dyDescent="0.2">
      <c r="A128" s="5797"/>
      <c r="B128" s="6750"/>
      <c r="C128" s="6913"/>
      <c r="D128" s="866" t="s">
        <v>79</v>
      </c>
      <c r="E128" s="490" t="s">
        <v>58</v>
      </c>
      <c r="F128" s="570" t="s">
        <v>59</v>
      </c>
      <c r="G128" s="744" t="s">
        <v>461</v>
      </c>
      <c r="H128" s="468" t="s">
        <v>59</v>
      </c>
      <c r="I128" s="744" t="s">
        <v>461</v>
      </c>
      <c r="J128" s="468" t="s">
        <v>59</v>
      </c>
      <c r="K128" s="744" t="s">
        <v>461</v>
      </c>
      <c r="L128" s="468" t="s">
        <v>59</v>
      </c>
      <c r="M128" s="744" t="s">
        <v>461</v>
      </c>
      <c r="N128" s="468" t="s">
        <v>59</v>
      </c>
      <c r="O128" s="744" t="s">
        <v>461</v>
      </c>
      <c r="P128" s="468" t="s">
        <v>59</v>
      </c>
      <c r="Q128" s="744" t="s">
        <v>461</v>
      </c>
      <c r="R128" s="468" t="s">
        <v>59</v>
      </c>
      <c r="S128" s="744" t="s">
        <v>461</v>
      </c>
      <c r="T128" s="468" t="s">
        <v>59</v>
      </c>
      <c r="U128" s="744" t="s">
        <v>461</v>
      </c>
      <c r="V128" s="468" t="s">
        <v>59</v>
      </c>
      <c r="W128" s="744" t="s">
        <v>461</v>
      </c>
      <c r="X128" s="2704" t="s">
        <v>59</v>
      </c>
      <c r="Y128" s="744" t="s">
        <v>461</v>
      </c>
      <c r="Z128" s="468" t="s">
        <v>59</v>
      </c>
      <c r="AA128" s="550" t="s">
        <v>1468</v>
      </c>
      <c r="AB128" s="548" t="s">
        <v>1469</v>
      </c>
      <c r="AC128" s="3341" t="s">
        <v>1470</v>
      </c>
      <c r="AD128" s="548" t="s">
        <v>1471</v>
      </c>
      <c r="AE128" s="590" t="s">
        <v>1472</v>
      </c>
      <c r="AF128" s="6744"/>
      <c r="AG128" s="6035"/>
      <c r="AH128" s="6736"/>
      <c r="AI128" s="6919"/>
      <c r="AJ128" s="6920"/>
      <c r="AK128" s="6086"/>
      <c r="AL128" s="6736"/>
      <c r="BW128" s="9"/>
      <c r="BX128" s="9"/>
      <c r="BY128" s="9"/>
      <c r="BZ128" s="9"/>
    </row>
    <row r="129" spans="1:97" ht="15" customHeight="1" x14ac:dyDescent="0.25">
      <c r="A129" s="5795" t="s">
        <v>5630</v>
      </c>
      <c r="B129" s="6914" t="s">
        <v>1473</v>
      </c>
      <c r="C129" s="6915"/>
      <c r="D129" s="3254" t="s">
        <v>4567</v>
      </c>
      <c r="E129" s="746" t="s">
        <v>4568</v>
      </c>
      <c r="F129" s="606" t="s">
        <v>4569</v>
      </c>
      <c r="G129" s="3278" t="s">
        <v>4570</v>
      </c>
      <c r="H129" s="848" t="s">
        <v>4571</v>
      </c>
      <c r="I129" s="3278" t="s">
        <v>4572</v>
      </c>
      <c r="J129" s="848" t="s">
        <v>4573</v>
      </c>
      <c r="K129" s="3278" t="s">
        <v>4574</v>
      </c>
      <c r="L129" s="848" t="s">
        <v>4575</v>
      </c>
      <c r="M129" s="3278" t="s">
        <v>4576</v>
      </c>
      <c r="N129" s="848" t="s">
        <v>4577</v>
      </c>
      <c r="O129" s="3278" t="s">
        <v>4578</v>
      </c>
      <c r="P129" s="848" t="s">
        <v>4579</v>
      </c>
      <c r="Q129" s="3278" t="s">
        <v>4580</v>
      </c>
      <c r="R129" s="848" t="s">
        <v>4581</v>
      </c>
      <c r="S129" s="3278" t="s">
        <v>4582</v>
      </c>
      <c r="T129" s="848" t="s">
        <v>4583</v>
      </c>
      <c r="U129" s="3278" t="s">
        <v>4584</v>
      </c>
      <c r="V129" s="848" t="s">
        <v>4585</v>
      </c>
      <c r="W129" s="3278" t="s">
        <v>4586</v>
      </c>
      <c r="X129" s="848" t="s">
        <v>4587</v>
      </c>
      <c r="Y129" s="3278" t="s">
        <v>4588</v>
      </c>
      <c r="Z129" s="3342" t="s">
        <v>4589</v>
      </c>
      <c r="AA129" s="3044" t="s">
        <v>4590</v>
      </c>
      <c r="AB129" s="935" t="s">
        <v>4591</v>
      </c>
      <c r="AC129" s="935" t="s">
        <v>4592</v>
      </c>
      <c r="AD129" s="935" t="s">
        <v>4593</v>
      </c>
      <c r="AE129" s="848" t="s">
        <v>4594</v>
      </c>
      <c r="AF129" s="3343" t="s">
        <v>4595</v>
      </c>
      <c r="AG129" s="3044" t="s">
        <v>4596</v>
      </c>
      <c r="AH129" s="848" t="s">
        <v>4597</v>
      </c>
      <c r="AI129" s="3278" t="s">
        <v>4598</v>
      </c>
      <c r="AJ129" s="935" t="s">
        <v>4599</v>
      </c>
      <c r="AK129" s="935" t="s">
        <v>4600</v>
      </c>
      <c r="AL129" s="848" t="s">
        <v>4601</v>
      </c>
      <c r="AM129" s="9" t="str">
        <f>CB129&amp;CC129&amp;CD129&amp;CE129&amp;CF129&amp;CG129</f>
        <v xml:space="preserve"> * La variable Niños, Niñas, Adolescentes y Jóvenes SENAME No puede ser mayor al Total. * La variable Niños, Niñas, Adolescentes y Jóvenes Mejor Niñez No puede ser mayor al Total. * La variable Diversidad de género No puede ser mayor al Total. * La variable Gestantes No puede ser mayor al Total. * La variable Pueblos Originarios No puede ser mayor al Total. * La variable Migrantes No puede ser mayor al Total.</v>
      </c>
      <c r="BW129" s="9"/>
      <c r="BX129" s="9"/>
      <c r="BY129" s="9"/>
      <c r="BZ129" s="9"/>
      <c r="CB129" s="431" t="str">
        <f>IF(AND($D129&gt;0,AG129="")," * No olvide digitar la variable "&amp;AG$127&amp;""&amp;". Digite CERO si no tiene",IF(AG129&gt;$D129," * La variable "&amp;AG$127&amp;""&amp;" No puede ser mayor al Total.",""))</f>
        <v xml:space="preserve"> * La variable Niños, Niñas, Adolescentes y Jóvenes SENAME No puede ser mayor al Total.</v>
      </c>
      <c r="CC129" s="431" t="str">
        <f>IF(AND($D129&gt;0,AH129="")," * No olvide digitar la variable "&amp;AH$127&amp;""&amp;". Digite CERO si no tiene",IF(AH129&gt;$D129," * La variable "&amp;AH$127&amp;""&amp;" No puede ser mayor al Total.",""))</f>
        <v xml:space="preserve"> * La variable Niños, Niñas, Adolescentes y Jóvenes Mejor Niñez No puede ser mayor al Total.</v>
      </c>
      <c r="CD129" s="431" t="str">
        <f>IF(AND($D129&gt;0,AI129="")," * No olvide digitar la variable "&amp;AI$127&amp;""&amp;". Digite CERO si no tiene",IF(AI129&gt;$D129," * La variable "&amp;AI$127&amp;""&amp;" No puede ser mayor al Total.",""))</f>
        <v xml:space="preserve"> * La variable Diversidad de género No puede ser mayor al Total.</v>
      </c>
      <c r="CE129" s="431" t="str">
        <f>IF(AND($F129&gt;0,AJ129="")," * No olvide digitar la variable "&amp;AJ$127&amp;""&amp;". Digite CERO si no tiene",IF(AJ129&gt;$F129," * La variable "&amp;AJ$127&amp;""&amp;" No puede ser mayor al Total.",""))</f>
        <v xml:space="preserve"> * La variable Gestantes No puede ser mayor al Total.</v>
      </c>
      <c r="CF129" s="431" t="str">
        <f>IF(AND($D129&gt;0,AK129="")," * No olvide digitar la variable "&amp;AK$127&amp;""&amp;". Digite CERO si no tiene",IF(AK129&gt;$D129," * La variable "&amp;AK$127&amp;""&amp;" No puede ser mayor al Total.",""))</f>
        <v xml:space="preserve"> * La variable Pueblos Originarios No puede ser mayor al Total.</v>
      </c>
      <c r="CG129" s="431" t="str">
        <f>IF(AND($D129&gt;0,AL129="")," * No olvide digitar la variable "&amp;AL$127&amp;""&amp;". Digite CERO si no tiene",IF(AL129&gt;$D129," * La variable "&amp;AL$127&amp;""&amp;" No puede ser mayor al Total.",""))</f>
        <v xml:space="preserve"> * La variable Migrantes No puede ser mayor al Total.</v>
      </c>
      <c r="CN129" s="180">
        <f>IF(AND($D129&gt;0,AG129=""),1,IF(AG129&gt;$D129,1,0))</f>
        <v>1</v>
      </c>
      <c r="CO129" s="180">
        <f t="shared" ref="CO129:CR129" si="54">IF(AND($D129&gt;0,AH129=""),1,IF(AH129&gt;$D129,1,0))</f>
        <v>1</v>
      </c>
      <c r="CP129" s="180">
        <f t="shared" si="54"/>
        <v>1</v>
      </c>
      <c r="CQ129" s="180">
        <f t="shared" si="54"/>
        <v>1</v>
      </c>
      <c r="CR129" s="180">
        <f t="shared" si="54"/>
        <v>1</v>
      </c>
      <c r="CS129" s="2948">
        <f>IF(AND($D129&gt;0,AL129=""),1,IF(AL129&gt;$D129,1,0))</f>
        <v>1</v>
      </c>
    </row>
    <row r="130" spans="1:97" ht="15" customHeight="1" x14ac:dyDescent="0.25">
      <c r="A130" s="5795" t="s">
        <v>5631</v>
      </c>
      <c r="B130" s="6909" t="s">
        <v>1474</v>
      </c>
      <c r="C130" s="6910"/>
      <c r="D130" s="302" t="s">
        <v>4567</v>
      </c>
      <c r="E130" s="2199" t="s">
        <v>4568</v>
      </c>
      <c r="F130" s="141" t="s">
        <v>4569</v>
      </c>
      <c r="G130" s="326" t="s">
        <v>4570</v>
      </c>
      <c r="H130" s="142" t="s">
        <v>4571</v>
      </c>
      <c r="I130" s="326" t="s">
        <v>4572</v>
      </c>
      <c r="J130" s="142" t="s">
        <v>4573</v>
      </c>
      <c r="K130" s="326" t="s">
        <v>4574</v>
      </c>
      <c r="L130" s="142" t="s">
        <v>4575</v>
      </c>
      <c r="M130" s="326" t="s">
        <v>4576</v>
      </c>
      <c r="N130" s="142" t="s">
        <v>4577</v>
      </c>
      <c r="O130" s="326" t="s">
        <v>4578</v>
      </c>
      <c r="P130" s="142" t="s">
        <v>4579</v>
      </c>
      <c r="Q130" s="326" t="s">
        <v>4580</v>
      </c>
      <c r="R130" s="142" t="s">
        <v>4581</v>
      </c>
      <c r="S130" s="326" t="s">
        <v>4582</v>
      </c>
      <c r="T130" s="142" t="s">
        <v>4583</v>
      </c>
      <c r="U130" s="326" t="s">
        <v>4584</v>
      </c>
      <c r="V130" s="142" t="s">
        <v>4585</v>
      </c>
      <c r="W130" s="326" t="s">
        <v>4586</v>
      </c>
      <c r="X130" s="142" t="s">
        <v>4587</v>
      </c>
      <c r="Y130" s="326" t="s">
        <v>4588</v>
      </c>
      <c r="Z130" s="1884" t="s">
        <v>4589</v>
      </c>
      <c r="AA130" s="336" t="s">
        <v>4590</v>
      </c>
      <c r="AB130" s="1014" t="s">
        <v>4591</v>
      </c>
      <c r="AC130" s="1014" t="s">
        <v>4592</v>
      </c>
      <c r="AD130" s="1014" t="s">
        <v>4593</v>
      </c>
      <c r="AE130" s="142" t="s">
        <v>4594</v>
      </c>
      <c r="AF130" s="3344" t="s">
        <v>4595</v>
      </c>
      <c r="AG130" s="336" t="s">
        <v>4596</v>
      </c>
      <c r="AH130" s="142" t="s">
        <v>4597</v>
      </c>
      <c r="AI130" s="326" t="s">
        <v>4598</v>
      </c>
      <c r="AJ130" s="1014" t="s">
        <v>4599</v>
      </c>
      <c r="AK130" s="1014" t="s">
        <v>4600</v>
      </c>
      <c r="AL130" s="142" t="s">
        <v>4601</v>
      </c>
      <c r="AM130" s="9" t="str">
        <f t="shared" ref="AM130:AM131" si="55">CB130&amp;CC130&amp;CD130&amp;CE130&amp;CF130&amp;CG130</f>
        <v xml:space="preserve"> * La variable Niños, Niñas, Adolescentes y Jóvenes SENAME No puede ser mayor al Total. * La variable Niños, Niñas, Adolescentes y Jóvenes Mejor Niñez No puede ser mayor al Total. * La variable Diversidad de género No puede ser mayor al Total. * La variable Gestantes No puede ser mayor al Total. * La variable Pueblos Originarios No puede ser mayor al Total. * La variable Migrantes No puede ser mayor al Total.</v>
      </c>
      <c r="BW130" s="9"/>
      <c r="BX130" s="9"/>
      <c r="BY130" s="9"/>
      <c r="BZ130" s="9"/>
      <c r="CB130" s="431" t="str">
        <f t="shared" ref="CB130:CB131" si="56">IF(AND($D130&gt;0,AG130="")," * No olvide digitar la variable "&amp;AG$127&amp;""&amp;". Digite CERO si no tiene",IF(AG130&gt;$D130," * La variable "&amp;AG$127&amp;""&amp;" No puede ser mayor al Total.",""))</f>
        <v xml:space="preserve"> * La variable Niños, Niñas, Adolescentes y Jóvenes SENAME No puede ser mayor al Total.</v>
      </c>
      <c r="CC130" s="431" t="str">
        <f t="shared" ref="CC130:CC131" si="57">IF(AND($D130&gt;0,AH130="")," * No olvide digitar la variable "&amp;AH$127&amp;""&amp;". Digite CERO si no tiene",IF(AH130&gt;$D130," * La variable "&amp;AH$127&amp;""&amp;" No puede ser mayor al Total.",""))</f>
        <v xml:space="preserve"> * La variable Niños, Niñas, Adolescentes y Jóvenes Mejor Niñez No puede ser mayor al Total.</v>
      </c>
      <c r="CD130" s="431" t="str">
        <f t="shared" ref="CD130:CD131" si="58">IF(AND($D130&gt;0,AI130="")," * No olvide digitar la variable "&amp;AI$127&amp;""&amp;". Digite CERO si no tiene",IF(AI130&gt;$D130," * La variable "&amp;AI$127&amp;""&amp;" No puede ser mayor al Total.",""))</f>
        <v xml:space="preserve"> * La variable Diversidad de género No puede ser mayor al Total.</v>
      </c>
      <c r="CE130" s="431" t="str">
        <f t="shared" ref="CE130:CE131" si="59">IF(AND($F130&gt;0,AJ130="")," * No olvide digitar la variable "&amp;AJ$127&amp;""&amp;". Digite CERO si no tiene",IF(AJ130&gt;$F130," * La variable "&amp;AJ$127&amp;""&amp;" No puede ser mayor al Total.",""))</f>
        <v xml:space="preserve"> * La variable Gestantes No puede ser mayor al Total.</v>
      </c>
      <c r="CF130" s="431" t="str">
        <f t="shared" ref="CF130:CF131" si="60">IF(AND($D130&gt;0,AK130="")," * No olvide digitar la variable "&amp;AK$127&amp;""&amp;". Digite CERO si no tiene",IF(AK130&gt;$D130," * La variable "&amp;AK$127&amp;""&amp;" No puede ser mayor al Total.",""))</f>
        <v xml:space="preserve"> * La variable Pueblos Originarios No puede ser mayor al Total.</v>
      </c>
      <c r="CG130" s="431" t="str">
        <f t="shared" ref="CG130:CG131" si="61">IF(AND($D130&gt;0,AL130="")," * No olvide digitar la variable "&amp;AL$127&amp;""&amp;". Digite CERO si no tiene",IF(AL130&gt;$D130," * La variable "&amp;AL$127&amp;""&amp;" No puede ser mayor al Total.",""))</f>
        <v xml:space="preserve"> * La variable Migrantes No puede ser mayor al Total.</v>
      </c>
      <c r="CN130" s="180">
        <f t="shared" ref="CN130:CN131" si="62">IF(AND($D130&gt;0,AG130=""),1,IF(AG130&gt;$D130,1,0))</f>
        <v>1</v>
      </c>
      <c r="CO130" s="180">
        <f t="shared" ref="CO130:CO131" si="63">IF(AND($D130&gt;0,AH130=""),1,IF(AH130&gt;$D130,1,0))</f>
        <v>1</v>
      </c>
      <c r="CP130" s="180">
        <f t="shared" ref="CP130:CP131" si="64">IF(AND($D130&gt;0,AI130=""),1,IF(AI130&gt;$D130,1,0))</f>
        <v>1</v>
      </c>
      <c r="CQ130" s="180">
        <f t="shared" ref="CQ130:CQ131" si="65">IF(AND($D130&gt;0,AJ130=""),1,IF(AJ130&gt;$D130,1,0))</f>
        <v>1</v>
      </c>
      <c r="CR130" s="180">
        <f t="shared" ref="CR130:CR131" si="66">IF(AND($D130&gt;0,AK130=""),1,IF(AK130&gt;$D130,1,0))</f>
        <v>1</v>
      </c>
      <c r="CS130" s="2948">
        <f t="shared" ref="CS130:CS131" si="67">IF(AND($D130&gt;0,AL130=""),1,IF(AL130&gt;$D130,1,0))</f>
        <v>1</v>
      </c>
    </row>
    <row r="131" spans="1:97" ht="15" customHeight="1" x14ac:dyDescent="0.25">
      <c r="A131" s="5804" t="s">
        <v>5632</v>
      </c>
      <c r="B131" s="6921" t="s">
        <v>1475</v>
      </c>
      <c r="C131" s="6922"/>
      <c r="D131" s="1058" t="s">
        <v>4567</v>
      </c>
      <c r="E131" s="317" t="s">
        <v>4568</v>
      </c>
      <c r="F131" s="3346" t="s">
        <v>4569</v>
      </c>
      <c r="G131" s="874" t="s">
        <v>4570</v>
      </c>
      <c r="H131" s="875" t="s">
        <v>4571</v>
      </c>
      <c r="I131" s="874" t="s">
        <v>4572</v>
      </c>
      <c r="J131" s="875" t="s">
        <v>4573</v>
      </c>
      <c r="K131" s="874" t="s">
        <v>4574</v>
      </c>
      <c r="L131" s="875" t="s">
        <v>4575</v>
      </c>
      <c r="M131" s="874" t="s">
        <v>4576</v>
      </c>
      <c r="N131" s="875" t="s">
        <v>4577</v>
      </c>
      <c r="O131" s="874" t="s">
        <v>4578</v>
      </c>
      <c r="P131" s="875" t="s">
        <v>4579</v>
      </c>
      <c r="Q131" s="874" t="s">
        <v>4580</v>
      </c>
      <c r="R131" s="875" t="s">
        <v>4581</v>
      </c>
      <c r="S131" s="874" t="s">
        <v>4582</v>
      </c>
      <c r="T131" s="875" t="s">
        <v>4583</v>
      </c>
      <c r="U131" s="874" t="s">
        <v>4584</v>
      </c>
      <c r="V131" s="875" t="s">
        <v>4585</v>
      </c>
      <c r="W131" s="874" t="s">
        <v>4586</v>
      </c>
      <c r="X131" s="875" t="s">
        <v>4587</v>
      </c>
      <c r="Y131" s="874" t="s">
        <v>4588</v>
      </c>
      <c r="Z131" s="3347" t="s">
        <v>4589</v>
      </c>
      <c r="AA131" s="2075" t="s">
        <v>4590</v>
      </c>
      <c r="AB131" s="1880" t="s">
        <v>4591</v>
      </c>
      <c r="AC131" s="1880" t="s">
        <v>4592</v>
      </c>
      <c r="AD131" s="1880" t="s">
        <v>4593</v>
      </c>
      <c r="AE131" s="875" t="s">
        <v>4594</v>
      </c>
      <c r="AF131" s="3348" t="s">
        <v>4595</v>
      </c>
      <c r="AG131" s="2075" t="s">
        <v>4596</v>
      </c>
      <c r="AH131" s="875" t="s">
        <v>4597</v>
      </c>
      <c r="AI131" s="874" t="s">
        <v>4598</v>
      </c>
      <c r="AJ131" s="1880" t="s">
        <v>4599</v>
      </c>
      <c r="AK131" s="1880" t="s">
        <v>4600</v>
      </c>
      <c r="AL131" s="875" t="s">
        <v>4601</v>
      </c>
      <c r="AM131" s="9" t="str">
        <f t="shared" si="55"/>
        <v xml:space="preserve"> * La variable Niños, Niñas, Adolescentes y Jóvenes SENAME No puede ser mayor al Total. * La variable Niños, Niñas, Adolescentes y Jóvenes Mejor Niñez No puede ser mayor al Total. * La variable Diversidad de género No puede ser mayor al Total. * La variable Gestantes No puede ser mayor al Total. * La variable Pueblos Originarios No puede ser mayor al Total. * La variable Migrantes No puede ser mayor al Total.</v>
      </c>
      <c r="BW131" s="9"/>
      <c r="BX131" s="9"/>
      <c r="BY131" s="9"/>
      <c r="BZ131" s="9"/>
      <c r="CB131" s="431" t="str">
        <f t="shared" si="56"/>
        <v xml:space="preserve"> * La variable Niños, Niñas, Adolescentes y Jóvenes SENAME No puede ser mayor al Total.</v>
      </c>
      <c r="CC131" s="431" t="str">
        <f t="shared" si="57"/>
        <v xml:space="preserve"> * La variable Niños, Niñas, Adolescentes y Jóvenes Mejor Niñez No puede ser mayor al Total.</v>
      </c>
      <c r="CD131" s="431" t="str">
        <f t="shared" si="58"/>
        <v xml:space="preserve"> * La variable Diversidad de género No puede ser mayor al Total.</v>
      </c>
      <c r="CE131" s="431" t="str">
        <f t="shared" si="59"/>
        <v xml:space="preserve"> * La variable Gestantes No puede ser mayor al Total.</v>
      </c>
      <c r="CF131" s="431" t="str">
        <f t="shared" si="60"/>
        <v xml:space="preserve"> * La variable Pueblos Originarios No puede ser mayor al Total.</v>
      </c>
      <c r="CG131" s="431" t="str">
        <f t="shared" si="61"/>
        <v xml:space="preserve"> * La variable Migrantes No puede ser mayor al Total.</v>
      </c>
      <c r="CN131" s="180">
        <f t="shared" si="62"/>
        <v>1</v>
      </c>
      <c r="CO131" s="180">
        <f t="shared" si="63"/>
        <v>1</v>
      </c>
      <c r="CP131" s="180">
        <f t="shared" si="64"/>
        <v>1</v>
      </c>
      <c r="CQ131" s="180">
        <f t="shared" si="65"/>
        <v>1</v>
      </c>
      <c r="CR131" s="180">
        <f t="shared" si="66"/>
        <v>1</v>
      </c>
      <c r="CS131" s="2948">
        <f t="shared" si="67"/>
        <v>1</v>
      </c>
    </row>
    <row r="132" spans="1:97" s="8" customFormat="1" ht="18" customHeight="1" x14ac:dyDescent="0.15">
      <c r="A132" s="5797"/>
      <c r="B132" s="11" t="s">
        <v>4339</v>
      </c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AM132" s="5"/>
      <c r="AN132" s="5"/>
      <c r="AO132" s="5"/>
      <c r="AP132" s="5"/>
      <c r="AQ132" s="5"/>
      <c r="AR132" s="5"/>
      <c r="AS132" s="3252"/>
      <c r="AT132" s="3252"/>
      <c r="AU132" s="3252"/>
      <c r="AV132" s="3252"/>
      <c r="AW132" s="3252"/>
      <c r="AX132" s="3252"/>
      <c r="AY132" s="3252"/>
      <c r="AZ132" s="3252"/>
      <c r="BA132" s="3252"/>
      <c r="BB132" s="3252"/>
      <c r="BC132" s="3252"/>
      <c r="BD132" s="3252"/>
      <c r="BE132" s="3252"/>
      <c r="BF132" s="3252"/>
      <c r="BG132" s="3252"/>
      <c r="BH132" s="3252"/>
      <c r="BI132" s="3252"/>
      <c r="BJ132" s="3252"/>
      <c r="BK132" s="3252"/>
      <c r="BL132" s="3252"/>
      <c r="BM132" s="3252"/>
      <c r="BN132" s="3252"/>
      <c r="BO132" s="3252"/>
      <c r="BP132" s="3252"/>
      <c r="BQ132" s="3252"/>
      <c r="BR132" s="3252"/>
      <c r="BW132" s="5"/>
      <c r="BX132" s="5"/>
      <c r="BY132" s="5"/>
      <c r="BZ132" s="5"/>
    </row>
    <row r="133" spans="1:97" ht="16.350000000000001" customHeight="1" x14ac:dyDescent="0.2">
      <c r="A133" s="5797"/>
      <c r="B133" s="6923" t="s">
        <v>285</v>
      </c>
      <c r="C133" s="6534" t="s">
        <v>1476</v>
      </c>
      <c r="D133" s="6534"/>
      <c r="E133" s="6534"/>
      <c r="F133" s="6448"/>
      <c r="G133" s="6925" t="s">
        <v>919</v>
      </c>
      <c r="H133" s="6925"/>
      <c r="AC133" s="3349"/>
      <c r="AD133" s="3349"/>
      <c r="AE133" s="3349"/>
      <c r="AI133" s="3349"/>
      <c r="AJ133" s="3349"/>
      <c r="AK133" s="3349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283"/>
      <c r="BL133" s="1839"/>
      <c r="BM133" s="1839"/>
      <c r="BN133" s="1839"/>
      <c r="BO133" s="1839"/>
      <c r="BP133" s="1839"/>
      <c r="BQ133" s="1839"/>
      <c r="BV133" s="1839"/>
      <c r="BY133" s="1839"/>
      <c r="BZ133" s="1839"/>
    </row>
    <row r="134" spans="1:97" ht="21" customHeight="1" x14ac:dyDescent="0.2">
      <c r="A134" s="5797"/>
      <c r="B134" s="6924"/>
      <c r="C134" s="3350" t="s">
        <v>1477</v>
      </c>
      <c r="D134" s="3351" t="s">
        <v>1478</v>
      </c>
      <c r="E134" s="548" t="s">
        <v>1479</v>
      </c>
      <c r="F134" s="464" t="s">
        <v>1480</v>
      </c>
      <c r="G134" s="3352" t="s">
        <v>522</v>
      </c>
      <c r="H134" s="3353" t="s">
        <v>751</v>
      </c>
      <c r="AC134" s="3349"/>
      <c r="AD134" s="3349"/>
      <c r="AE134" s="3349"/>
      <c r="AI134" s="3349"/>
      <c r="AJ134" s="3349"/>
      <c r="AK134" s="3349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283"/>
      <c r="BL134" s="1839"/>
      <c r="BM134" s="1839"/>
      <c r="BN134" s="1839"/>
      <c r="BO134" s="1839"/>
      <c r="BP134" s="1839"/>
      <c r="BQ134" s="1839"/>
      <c r="BV134" s="1839"/>
      <c r="BY134" s="1839"/>
      <c r="BZ134" s="1839"/>
    </row>
    <row r="135" spans="1:97" ht="15" customHeight="1" x14ac:dyDescent="0.25">
      <c r="A135" s="5807" t="s">
        <v>5633</v>
      </c>
      <c r="B135" s="3354" t="s">
        <v>1473</v>
      </c>
      <c r="C135" s="3278" t="s">
        <v>4567</v>
      </c>
      <c r="D135" s="935" t="s">
        <v>4568</v>
      </c>
      <c r="E135" s="3127" t="s">
        <v>4569</v>
      </c>
      <c r="F135" s="3355" t="s">
        <v>4570</v>
      </c>
      <c r="G135" s="3278" t="s">
        <v>4571</v>
      </c>
      <c r="H135" s="848" t="s">
        <v>4572</v>
      </c>
      <c r="Q135" s="3349"/>
      <c r="AC135" s="3349"/>
      <c r="AD135" s="3349"/>
      <c r="AE135" s="3349"/>
      <c r="AG135"/>
      <c r="AH135"/>
      <c r="AI135" s="3349"/>
      <c r="AJ135" s="3349"/>
      <c r="AK135" s="3349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283"/>
      <c r="BL135" s="1839"/>
      <c r="BM135" s="1839"/>
      <c r="BN135" s="1839"/>
      <c r="BO135" s="1839"/>
      <c r="BP135" s="1839"/>
      <c r="BQ135" s="1839"/>
      <c r="BV135" s="1839"/>
      <c r="BY135" s="1839"/>
      <c r="BZ135" s="1839"/>
    </row>
    <row r="136" spans="1:97" ht="15" customHeight="1" x14ac:dyDescent="0.25">
      <c r="A136" s="5807" t="s">
        <v>5634</v>
      </c>
      <c r="B136" s="3356" t="s">
        <v>1474</v>
      </c>
      <c r="C136" s="2306" t="s">
        <v>4567</v>
      </c>
      <c r="D136" s="3357" t="s">
        <v>4568</v>
      </c>
      <c r="E136" s="1939" t="s">
        <v>4569</v>
      </c>
      <c r="F136" s="329" t="s">
        <v>4570</v>
      </c>
      <c r="G136" s="328" t="s">
        <v>4571</v>
      </c>
      <c r="H136" s="329" t="s">
        <v>4572</v>
      </c>
      <c r="Q136" s="3349"/>
      <c r="AC136" s="3349"/>
      <c r="AD136" s="3349"/>
      <c r="AE136" s="3349"/>
      <c r="AG136"/>
      <c r="AH136"/>
      <c r="AI136" s="3349"/>
      <c r="AJ136" s="3349"/>
      <c r="AK136" s="3349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283"/>
      <c r="BL136" s="1839"/>
      <c r="BM136" s="1839"/>
      <c r="BN136" s="1839"/>
      <c r="BO136" s="1839"/>
      <c r="BP136" s="1839"/>
      <c r="BQ136" s="1839"/>
      <c r="BV136" s="1839"/>
      <c r="BY136" s="1839"/>
      <c r="BZ136" s="1839"/>
    </row>
    <row r="137" spans="1:97" ht="15" customHeight="1" x14ac:dyDescent="0.25">
      <c r="A137" s="5804" t="s">
        <v>5635</v>
      </c>
      <c r="B137" s="1445" t="s">
        <v>1475</v>
      </c>
      <c r="C137" s="874" t="s">
        <v>4567</v>
      </c>
      <c r="D137" s="1880" t="s">
        <v>4568</v>
      </c>
      <c r="E137" s="1880" t="s">
        <v>4569</v>
      </c>
      <c r="F137" s="875" t="s">
        <v>4570</v>
      </c>
      <c r="G137" s="874" t="s">
        <v>4571</v>
      </c>
      <c r="H137" s="875" t="s">
        <v>4572</v>
      </c>
      <c r="Q137" s="3349"/>
      <c r="AC137" s="3349"/>
      <c r="AD137" s="3349"/>
      <c r="AE137" s="3349"/>
      <c r="AG137"/>
      <c r="AH137"/>
      <c r="AI137" s="3349"/>
      <c r="AJ137" s="3349"/>
      <c r="AK137" s="3349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283"/>
      <c r="BL137" s="1839"/>
      <c r="BM137" s="1839"/>
      <c r="BN137" s="1839"/>
      <c r="BO137" s="1839"/>
      <c r="BP137" s="1839"/>
      <c r="BQ137" s="1839"/>
      <c r="BV137" s="1839"/>
      <c r="BY137" s="1839"/>
      <c r="BZ137" s="1839"/>
    </row>
    <row r="138" spans="1:97" s="8" customFormat="1" ht="18" customHeight="1" x14ac:dyDescent="0.15">
      <c r="A138" s="5797"/>
      <c r="B138" s="1" t="s">
        <v>1481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BW138" s="5"/>
      <c r="BX138" s="5"/>
      <c r="BY138" s="5"/>
      <c r="BZ138" s="5"/>
    </row>
    <row r="139" spans="1:97" ht="16.350000000000001" customHeight="1" x14ac:dyDescent="0.2">
      <c r="A139" s="5797"/>
      <c r="B139" s="6575" t="s">
        <v>285</v>
      </c>
      <c r="C139" s="6576"/>
      <c r="D139" s="6444" t="s">
        <v>77</v>
      </c>
      <c r="E139" s="6704" t="s">
        <v>1364</v>
      </c>
      <c r="F139" s="6515"/>
      <c r="G139" s="6515"/>
      <c r="H139" s="6515"/>
      <c r="I139" s="6515"/>
      <c r="J139" s="6455"/>
      <c r="K139" s="6511" t="s">
        <v>597</v>
      </c>
      <c r="L139" s="7"/>
      <c r="M139" s="3223"/>
      <c r="N139" s="3223"/>
      <c r="O139" s="3223"/>
      <c r="P139" s="3223"/>
      <c r="Q139" s="3223"/>
      <c r="R139" s="3223"/>
      <c r="AE139" s="1839"/>
      <c r="AF139" s="1839"/>
      <c r="AG139" s="1839"/>
      <c r="AH139" s="1839"/>
      <c r="AI139" s="1839"/>
      <c r="AJ139" s="1839"/>
      <c r="AK139" s="1839"/>
      <c r="AL139" s="1839"/>
      <c r="AM139" s="1839"/>
      <c r="AN139" s="1839"/>
      <c r="AO139" s="1839"/>
      <c r="AP139" s="1839"/>
      <c r="AQ139" s="1839"/>
      <c r="AR139" s="1839"/>
      <c r="AS139" s="1839"/>
    </row>
    <row r="140" spans="1:97" ht="16.350000000000001" customHeight="1" x14ac:dyDescent="0.2">
      <c r="A140" s="5797"/>
      <c r="B140" s="6750"/>
      <c r="C140" s="6913"/>
      <c r="D140" s="6733"/>
      <c r="E140" s="744" t="s">
        <v>94</v>
      </c>
      <c r="F140" s="548" t="s">
        <v>44</v>
      </c>
      <c r="G140" s="548" t="s">
        <v>45</v>
      </c>
      <c r="H140" s="548" t="s">
        <v>1459</v>
      </c>
      <c r="I140" s="548" t="s">
        <v>1460</v>
      </c>
      <c r="J140" s="469" t="s">
        <v>1461</v>
      </c>
      <c r="K140" s="6736"/>
      <c r="L140" s="7"/>
      <c r="M140" s="3223"/>
      <c r="N140" s="3223"/>
      <c r="O140" s="3223"/>
      <c r="P140" s="3223"/>
      <c r="Q140" s="3223"/>
      <c r="R140" s="3223"/>
    </row>
    <row r="141" spans="1:97" ht="15" customHeight="1" x14ac:dyDescent="0.2">
      <c r="A141" s="5795" t="s">
        <v>5636</v>
      </c>
      <c r="B141" s="6453" t="s">
        <v>1482</v>
      </c>
      <c r="C141" s="3358" t="s">
        <v>1483</v>
      </c>
      <c r="D141" s="3359" t="s">
        <v>4567</v>
      </c>
      <c r="E141" s="3227" t="s">
        <v>4568</v>
      </c>
      <c r="F141" s="750" t="s">
        <v>4569</v>
      </c>
      <c r="G141" s="750" t="s">
        <v>4570</v>
      </c>
      <c r="H141" s="750" t="s">
        <v>4571</v>
      </c>
      <c r="I141" s="750" t="s">
        <v>4572</v>
      </c>
      <c r="J141" s="736" t="s">
        <v>4573</v>
      </c>
      <c r="K141" s="566" t="s">
        <v>4574</v>
      </c>
      <c r="L141" s="3258" t="str">
        <f>CB141</f>
        <v xml:space="preserve"> * La variable Beneficiarios No puede ser mayor al Total.</v>
      </c>
      <c r="M141" s="3229"/>
      <c r="N141" s="3229"/>
      <c r="O141" s="3229"/>
      <c r="P141" s="3229"/>
      <c r="Q141" s="3229"/>
      <c r="R141" s="3229"/>
      <c r="S141" s="3229"/>
      <c r="T141" s="3229"/>
      <c r="U141" s="3229"/>
      <c r="V141" s="3229"/>
      <c r="W141" s="3229"/>
      <c r="X141" s="1839"/>
      <c r="Y141" s="1839"/>
      <c r="Z141" s="1839"/>
      <c r="CB141" s="431" t="str">
        <f>IF(AND($D141&gt;0,K141="")," * No olvide digitar la variable "&amp;K$139&amp;""&amp;". Digite CERO si no tiene",IF(K141&gt;$D141," * La variable "&amp;K$139&amp;""&amp;" No puede ser mayor al Total.",""))</f>
        <v xml:space="preserve"> * La variable Beneficiarios No puede ser mayor al Total.</v>
      </c>
      <c r="CN141" s="180">
        <f>IF(AND($D141&gt;0,K141=""),1,IF(K141&gt;$D141,1,0))</f>
        <v>1</v>
      </c>
    </row>
    <row r="142" spans="1:97" ht="15" customHeight="1" x14ac:dyDescent="0.2">
      <c r="A142" s="5795" t="s">
        <v>5637</v>
      </c>
      <c r="B142" s="6842"/>
      <c r="C142" s="1985" t="s">
        <v>1484</v>
      </c>
      <c r="D142" s="517" t="s">
        <v>4567</v>
      </c>
      <c r="E142" s="379" t="s">
        <v>4568</v>
      </c>
      <c r="F142" s="2872" t="s">
        <v>4569</v>
      </c>
      <c r="G142" s="2872" t="s">
        <v>4570</v>
      </c>
      <c r="H142" s="2872" t="s">
        <v>4571</v>
      </c>
      <c r="I142" s="2872" t="s">
        <v>4572</v>
      </c>
      <c r="J142" s="389" t="s">
        <v>4573</v>
      </c>
      <c r="K142" s="387" t="s">
        <v>4574</v>
      </c>
      <c r="L142" s="3258" t="str">
        <f>CB142</f>
        <v xml:space="preserve"> * La variable Beneficiarios No puede ser mayor al Total.</v>
      </c>
      <c r="M142" s="3229"/>
      <c r="N142" s="3229"/>
      <c r="O142" s="3229"/>
      <c r="P142" s="3229"/>
      <c r="Q142" s="3229"/>
      <c r="R142" s="3229"/>
      <c r="S142" s="3229"/>
      <c r="T142" s="3229"/>
      <c r="U142" s="3229"/>
      <c r="V142" s="3229"/>
      <c r="W142" s="3229"/>
      <c r="X142" s="1839"/>
      <c r="Y142" s="1839"/>
      <c r="Z142" s="1839"/>
      <c r="CB142" s="431" t="str">
        <f>IF(AND($D142&gt;0,K142="")," * No olvide digitar la variable "&amp;K$139&amp;""&amp;". Digite CERO si no tiene",IF(K142&gt;$D142," * La variable "&amp;K$139&amp;""&amp;" No puede ser mayor al Total.",""))</f>
        <v xml:space="preserve"> * La variable Beneficiarios No puede ser mayor al Total.</v>
      </c>
      <c r="CN142" s="180">
        <f>IF(AND($D142&gt;0,K142=""),1,IF(K142&gt;$D142,1,0))</f>
        <v>1</v>
      </c>
    </row>
    <row r="143" spans="1:97" s="8" customFormat="1" ht="18" customHeight="1" x14ac:dyDescent="0.15">
      <c r="A143" s="5797"/>
      <c r="B143" s="1" t="s">
        <v>1485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BW143" s="5"/>
      <c r="BX143" s="5"/>
      <c r="BY143" s="3252"/>
      <c r="BZ143" s="3252"/>
    </row>
    <row r="144" spans="1:97" ht="16.350000000000001" customHeight="1" x14ac:dyDescent="0.2">
      <c r="A144" s="5797"/>
      <c r="B144" s="6458" t="s">
        <v>712</v>
      </c>
      <c r="C144" s="6458" t="s">
        <v>1486</v>
      </c>
      <c r="D144" s="7"/>
      <c r="E144" s="2384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</row>
    <row r="145" spans="1:78" ht="16.350000000000001" customHeight="1" x14ac:dyDescent="0.2">
      <c r="A145" s="5797"/>
      <c r="B145" s="6739"/>
      <c r="C145" s="6739"/>
      <c r="D145" s="7"/>
      <c r="E145" s="2384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</row>
    <row r="146" spans="1:78" ht="15" customHeight="1" x14ac:dyDescent="0.2">
      <c r="A146" s="5795">
        <v>24100200</v>
      </c>
      <c r="B146" s="3360" t="s">
        <v>1487</v>
      </c>
      <c r="C146" s="5487" t="s">
        <v>4567</v>
      </c>
      <c r="D146" s="3273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</row>
    <row r="147" spans="1:78" ht="15" customHeight="1" x14ac:dyDescent="0.2">
      <c r="A147" s="5795" t="s">
        <v>5638</v>
      </c>
      <c r="B147" s="392" t="s">
        <v>1488</v>
      </c>
      <c r="C147" s="2692" t="s">
        <v>4567</v>
      </c>
      <c r="D147" s="3273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</row>
    <row r="148" spans="1:78" ht="15" customHeight="1" x14ac:dyDescent="0.2">
      <c r="A148" s="5795" t="s">
        <v>5639</v>
      </c>
      <c r="B148" s="392" t="s">
        <v>717</v>
      </c>
      <c r="C148" s="2692" t="s">
        <v>4567</v>
      </c>
      <c r="D148" s="3273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</row>
    <row r="149" spans="1:78" ht="15" customHeight="1" x14ac:dyDescent="0.2">
      <c r="A149" s="5795" t="s">
        <v>5640</v>
      </c>
      <c r="B149" s="392" t="s">
        <v>719</v>
      </c>
      <c r="C149" s="2692" t="s">
        <v>4567</v>
      </c>
      <c r="D149" s="3273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</row>
    <row r="150" spans="1:78" ht="15" customHeight="1" x14ac:dyDescent="0.2">
      <c r="A150" s="5795">
        <v>24100300</v>
      </c>
      <c r="B150" s="392" t="s">
        <v>1489</v>
      </c>
      <c r="C150" s="2692" t="s">
        <v>4567</v>
      </c>
      <c r="D150" s="3273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</row>
    <row r="151" spans="1:78" ht="15" customHeight="1" x14ac:dyDescent="0.2">
      <c r="A151" s="5795" t="s">
        <v>5641</v>
      </c>
      <c r="B151" s="3362" t="s">
        <v>1490</v>
      </c>
      <c r="C151" s="5489" t="s">
        <v>4567</v>
      </c>
      <c r="D151" s="3273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</row>
    <row r="152" spans="1:78" ht="15" customHeight="1" x14ac:dyDescent="0.2">
      <c r="A152" s="5795">
        <v>24100400</v>
      </c>
      <c r="B152" s="3362" t="s">
        <v>1491</v>
      </c>
      <c r="C152" s="5489" t="s">
        <v>4567</v>
      </c>
      <c r="D152" s="3273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</row>
    <row r="153" spans="1:78" ht="15" customHeight="1" x14ac:dyDescent="0.2">
      <c r="A153" s="5795">
        <v>24100500</v>
      </c>
      <c r="B153" s="3362" t="s">
        <v>1492</v>
      </c>
      <c r="C153" s="2692" t="s">
        <v>4567</v>
      </c>
      <c r="D153" s="3273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</row>
    <row r="154" spans="1:78" ht="15" customHeight="1" x14ac:dyDescent="0.2">
      <c r="A154" s="5795">
        <v>24100600</v>
      </c>
      <c r="B154" s="3362" t="s">
        <v>1493</v>
      </c>
      <c r="C154" s="5489" t="s">
        <v>4567</v>
      </c>
      <c r="D154" s="3273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BY154" s="1839"/>
      <c r="BZ154" s="1839"/>
    </row>
    <row r="155" spans="1:78" ht="15" customHeight="1" x14ac:dyDescent="0.2">
      <c r="A155" s="5795" t="s">
        <v>5642</v>
      </c>
      <c r="B155" s="2250" t="s">
        <v>1494</v>
      </c>
      <c r="C155" s="5809" t="s">
        <v>4567</v>
      </c>
      <c r="D155" s="3273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</row>
    <row r="156" spans="1:78" ht="15" customHeight="1" x14ac:dyDescent="0.2">
      <c r="A156" s="5795" t="s">
        <v>5643</v>
      </c>
      <c r="B156" s="196" t="s">
        <v>1495</v>
      </c>
      <c r="C156" s="5809" t="s">
        <v>4567</v>
      </c>
      <c r="D156" s="3273"/>
      <c r="E156" s="7"/>
      <c r="F156" s="7"/>
      <c r="G156" s="7"/>
      <c r="H156" s="2147"/>
      <c r="I156" s="2147"/>
      <c r="J156" s="2147"/>
      <c r="K156" s="2147"/>
      <c r="L156" s="2147"/>
      <c r="M156" s="2147"/>
      <c r="N156" s="2147"/>
      <c r="O156" s="2147"/>
      <c r="P156" s="2147"/>
      <c r="Q156" s="2147"/>
      <c r="R156" s="2147"/>
      <c r="S156" s="2147"/>
      <c r="T156" s="2147"/>
      <c r="U156" s="2147"/>
      <c r="V156" s="2147"/>
      <c r="W156" s="2147"/>
      <c r="X156" s="7"/>
    </row>
    <row r="157" spans="1:78" ht="15" customHeight="1" x14ac:dyDescent="0.2">
      <c r="A157" s="5795" t="s">
        <v>5644</v>
      </c>
      <c r="B157" s="196" t="s">
        <v>1496</v>
      </c>
      <c r="C157" s="5809" t="s">
        <v>4567</v>
      </c>
      <c r="D157" s="3273"/>
      <c r="E157" s="7"/>
      <c r="F157" s="7"/>
      <c r="G157" s="7"/>
      <c r="H157" s="2147"/>
      <c r="I157" s="2147"/>
      <c r="J157" s="2147"/>
      <c r="K157" s="2147"/>
      <c r="L157" s="2147"/>
      <c r="M157" s="2147"/>
      <c r="N157" s="2147"/>
      <c r="O157" s="2147"/>
      <c r="P157" s="2147"/>
      <c r="Q157" s="2147"/>
      <c r="R157" s="2147"/>
      <c r="S157" s="2147"/>
      <c r="T157" s="2147"/>
      <c r="U157" s="2147"/>
      <c r="V157" s="2147"/>
      <c r="W157" s="2147"/>
      <c r="X157" s="7"/>
    </row>
    <row r="158" spans="1:78" ht="26.25" customHeight="1" x14ac:dyDescent="0.2">
      <c r="A158" s="5806"/>
      <c r="B158" s="754" t="s">
        <v>77</v>
      </c>
      <c r="C158" s="778">
        <f>SUM(C146:C157)</f>
        <v>0</v>
      </c>
      <c r="D158" s="7"/>
      <c r="E158" s="7"/>
      <c r="F158" s="7"/>
      <c r="G158" s="7"/>
      <c r="H158" s="2147"/>
      <c r="I158" s="2147"/>
      <c r="J158" s="2147"/>
      <c r="K158" s="2147"/>
      <c r="L158" s="2147"/>
      <c r="M158" s="2147"/>
      <c r="N158" s="2147"/>
      <c r="O158" s="2147"/>
      <c r="P158" s="2147"/>
      <c r="Q158" s="2147"/>
      <c r="R158" s="2147"/>
      <c r="S158" s="2147"/>
      <c r="T158" s="2147"/>
      <c r="U158" s="2147"/>
      <c r="V158" s="2147"/>
      <c r="W158" s="2147"/>
      <c r="X158" s="7"/>
      <c r="BX158" s="283"/>
    </row>
    <row r="159" spans="1:78" s="8" customFormat="1" ht="18" customHeight="1" x14ac:dyDescent="0.15">
      <c r="A159" s="5797"/>
      <c r="B159" s="3" t="s">
        <v>1497</v>
      </c>
      <c r="C159" s="1"/>
      <c r="D159" s="1"/>
      <c r="BW159" s="5"/>
      <c r="BX159" s="5"/>
      <c r="BY159" s="3252"/>
      <c r="BZ159" s="3252"/>
    </row>
    <row r="160" spans="1:78" ht="24" customHeight="1" x14ac:dyDescent="0.2">
      <c r="A160" s="5797"/>
      <c r="B160" s="6704" t="s">
        <v>1498</v>
      </c>
      <c r="C160" s="6451"/>
      <c r="D160" s="1765" t="s">
        <v>1499</v>
      </c>
      <c r="E160" s="1765" t="s">
        <v>1500</v>
      </c>
      <c r="BW160" s="283"/>
      <c r="BX160" s="283"/>
    </row>
    <row r="161" spans="1:78" ht="15" customHeight="1" x14ac:dyDescent="0.2">
      <c r="A161" s="5795" t="s">
        <v>5645</v>
      </c>
      <c r="B161" s="762" t="s">
        <v>1501</v>
      </c>
      <c r="C161" s="1762" t="s">
        <v>1502</v>
      </c>
      <c r="D161" s="3364" t="s">
        <v>4567</v>
      </c>
      <c r="E161" s="3364" t="s">
        <v>4568</v>
      </c>
      <c r="BW161" s="283"/>
      <c r="BX161" s="283"/>
    </row>
    <row r="162" spans="1:78" s="8" customFormat="1" ht="18" customHeight="1" x14ac:dyDescent="0.15">
      <c r="A162" s="5797"/>
      <c r="B162" s="1" t="s">
        <v>1503</v>
      </c>
      <c r="C162" s="1"/>
      <c r="D162" s="1"/>
      <c r="E162" s="1"/>
      <c r="F162" s="1"/>
      <c r="G162" s="1"/>
      <c r="H162" s="11"/>
      <c r="I162" s="11"/>
      <c r="J162" s="11"/>
      <c r="K162" s="11"/>
      <c r="L162" s="11"/>
      <c r="M162" s="11"/>
      <c r="N162" s="5"/>
      <c r="BW162" s="5"/>
      <c r="BX162" s="5"/>
      <c r="BY162" s="3252"/>
      <c r="BZ162" s="3252"/>
    </row>
    <row r="163" spans="1:78" ht="24" customHeight="1" x14ac:dyDescent="0.2">
      <c r="A163" s="5797"/>
      <c r="B163" s="6575" t="s">
        <v>1498</v>
      </c>
      <c r="C163" s="6576"/>
      <c r="D163" s="6705" t="s">
        <v>1504</v>
      </c>
      <c r="E163" s="6534"/>
      <c r="F163" s="6448"/>
      <c r="G163" s="6458" t="s">
        <v>597</v>
      </c>
      <c r="H163" s="6515" t="s">
        <v>1505</v>
      </c>
      <c r="I163" s="6515"/>
      <c r="J163" s="6451"/>
      <c r="K163" s="6704" t="s">
        <v>1506</v>
      </c>
      <c r="L163" s="6515"/>
      <c r="M163" s="6451"/>
      <c r="BX163" s="283"/>
    </row>
    <row r="164" spans="1:78" ht="22.15" customHeight="1" x14ac:dyDescent="0.2">
      <c r="A164" s="5797"/>
      <c r="B164" s="6750"/>
      <c r="C164" s="6913"/>
      <c r="D164" s="743" t="s">
        <v>77</v>
      </c>
      <c r="E164" s="463" t="s">
        <v>1507</v>
      </c>
      <c r="F164" s="486" t="s">
        <v>1508</v>
      </c>
      <c r="G164" s="6739"/>
      <c r="H164" s="463" t="s">
        <v>1509</v>
      </c>
      <c r="I164" s="503" t="s">
        <v>1510</v>
      </c>
      <c r="J164" s="486" t="s">
        <v>1511</v>
      </c>
      <c r="K164" s="463" t="s">
        <v>1509</v>
      </c>
      <c r="L164" s="503" t="s">
        <v>1510</v>
      </c>
      <c r="M164" s="486" t="s">
        <v>1511</v>
      </c>
      <c r="BX164" s="283"/>
    </row>
    <row r="165" spans="1:78" ht="15" customHeight="1" x14ac:dyDescent="0.2">
      <c r="A165" s="5795" t="s">
        <v>5646</v>
      </c>
      <c r="B165" s="6453" t="s">
        <v>1512</v>
      </c>
      <c r="C165" s="3365" t="s">
        <v>1513</v>
      </c>
      <c r="D165" s="3359" t="s">
        <v>4567</v>
      </c>
      <c r="E165" s="3227" t="s">
        <v>4568</v>
      </c>
      <c r="F165" s="566" t="s">
        <v>4569</v>
      </c>
      <c r="G165" s="3361" t="s">
        <v>4570</v>
      </c>
      <c r="H165" s="3227" t="s">
        <v>4571</v>
      </c>
      <c r="I165" s="3226" t="s">
        <v>4572</v>
      </c>
      <c r="J165" s="566" t="s">
        <v>4573</v>
      </c>
      <c r="K165" s="3227" t="s">
        <v>4574</v>
      </c>
      <c r="L165" s="3226" t="s">
        <v>4575</v>
      </c>
      <c r="M165" s="566" t="s">
        <v>4576</v>
      </c>
      <c r="BX165" s="283"/>
    </row>
    <row r="166" spans="1:78" ht="15" customHeight="1" x14ac:dyDescent="0.2">
      <c r="A166" s="5795" t="s">
        <v>5647</v>
      </c>
      <c r="B166" s="6842"/>
      <c r="C166" s="3366" t="s">
        <v>1514</v>
      </c>
      <c r="D166" s="3108" t="s">
        <v>4567</v>
      </c>
      <c r="E166" s="1264" t="s">
        <v>4568</v>
      </c>
      <c r="F166" s="1447" t="s">
        <v>4569</v>
      </c>
      <c r="G166" s="3367" t="s">
        <v>4570</v>
      </c>
      <c r="H166" s="1264" t="s">
        <v>4571</v>
      </c>
      <c r="I166" s="3249" t="s">
        <v>4572</v>
      </c>
      <c r="J166" s="1447" t="s">
        <v>4573</v>
      </c>
      <c r="K166" s="1264" t="s">
        <v>4574</v>
      </c>
      <c r="L166" s="3249" t="s">
        <v>4575</v>
      </c>
      <c r="M166" s="1447" t="s">
        <v>4576</v>
      </c>
      <c r="BX166" s="283"/>
    </row>
    <row r="167" spans="1:78" s="8" customFormat="1" ht="18" customHeight="1" x14ac:dyDescent="0.2">
      <c r="A167" s="6"/>
      <c r="B167" s="3" t="s">
        <v>1515</v>
      </c>
      <c r="BW167" s="5"/>
      <c r="BX167" s="5"/>
      <c r="BY167" s="3252"/>
      <c r="BZ167" s="3252"/>
    </row>
    <row r="168" spans="1:78" ht="28.15" customHeight="1" x14ac:dyDescent="0.2">
      <c r="A168" s="6"/>
      <c r="B168" s="6705" t="s">
        <v>277</v>
      </c>
      <c r="C168" s="6448"/>
      <c r="D168" s="1765" t="s">
        <v>919</v>
      </c>
      <c r="E168" s="744" t="s">
        <v>597</v>
      </c>
      <c r="F168" s="548" t="s">
        <v>1516</v>
      </c>
      <c r="G168" s="464" t="s">
        <v>591</v>
      </c>
      <c r="H168" s="2147"/>
    </row>
    <row r="169" spans="1:78" ht="15" customHeight="1" x14ac:dyDescent="0.2">
      <c r="A169" s="5795" t="s">
        <v>5648</v>
      </c>
      <c r="B169" s="6453" t="s">
        <v>1517</v>
      </c>
      <c r="C169" s="1746" t="s">
        <v>1518</v>
      </c>
      <c r="D169" s="3361" t="s">
        <v>4567</v>
      </c>
      <c r="E169" s="3227" t="s">
        <v>4568</v>
      </c>
      <c r="F169" s="3368" t="s">
        <v>4569</v>
      </c>
      <c r="G169" s="817" t="s">
        <v>4570</v>
      </c>
      <c r="H169" s="3258"/>
    </row>
    <row r="170" spans="1:78" ht="15" customHeight="1" x14ac:dyDescent="0.2">
      <c r="A170" s="5795" t="s">
        <v>5649</v>
      </c>
      <c r="B170" s="6842"/>
      <c r="C170" s="523" t="s">
        <v>889</v>
      </c>
      <c r="D170" s="3367" t="s">
        <v>4567</v>
      </c>
      <c r="E170" s="1264" t="s">
        <v>4568</v>
      </c>
      <c r="F170" s="3369" t="s">
        <v>4569</v>
      </c>
      <c r="G170" s="1455" t="s">
        <v>4570</v>
      </c>
      <c r="H170" s="3258"/>
    </row>
    <row r="171" spans="1:78" ht="15" customHeight="1" x14ac:dyDescent="0.2">
      <c r="A171" s="5795" t="s">
        <v>5650</v>
      </c>
      <c r="B171" s="1747" t="s">
        <v>1519</v>
      </c>
      <c r="C171" s="1747" t="s">
        <v>1518</v>
      </c>
      <c r="D171" s="3364" t="s">
        <v>4567</v>
      </c>
      <c r="E171" s="760" t="s">
        <v>4568</v>
      </c>
      <c r="F171" s="528" t="s">
        <v>4569</v>
      </c>
      <c r="G171" s="731" t="s">
        <v>4570</v>
      </c>
      <c r="H171" s="3258"/>
    </row>
    <row r="172" spans="1:78" ht="15" customHeight="1" x14ac:dyDescent="0.2">
      <c r="A172" s="5795" t="s">
        <v>5651</v>
      </c>
      <c r="B172" s="6453" t="s">
        <v>1520</v>
      </c>
      <c r="C172" s="1746" t="s">
        <v>592</v>
      </c>
      <c r="D172" s="3361" t="s">
        <v>4567</v>
      </c>
      <c r="E172" s="3227" t="s">
        <v>4568</v>
      </c>
      <c r="F172" s="750" t="s">
        <v>4569</v>
      </c>
      <c r="G172" s="817" t="s">
        <v>4570</v>
      </c>
      <c r="H172" s="3258"/>
    </row>
    <row r="173" spans="1:78" ht="15" customHeight="1" x14ac:dyDescent="0.2">
      <c r="A173" s="5795" t="s">
        <v>5652</v>
      </c>
      <c r="B173" s="6112"/>
      <c r="C173" s="360" t="s">
        <v>1521</v>
      </c>
      <c r="D173" s="2692" t="s">
        <v>4567</v>
      </c>
      <c r="E173" s="290" t="s">
        <v>4568</v>
      </c>
      <c r="F173" s="531" t="s">
        <v>4569</v>
      </c>
      <c r="G173" s="107" t="s">
        <v>4570</v>
      </c>
      <c r="H173" s="3258"/>
    </row>
    <row r="174" spans="1:78" ht="15" customHeight="1" x14ac:dyDescent="0.2">
      <c r="A174" s="5795" t="s">
        <v>5653</v>
      </c>
      <c r="B174" s="6842"/>
      <c r="C174" s="523" t="s">
        <v>1522</v>
      </c>
      <c r="D174" s="3367" t="s">
        <v>4567</v>
      </c>
      <c r="E174" s="1264" t="s">
        <v>4568</v>
      </c>
      <c r="F174" s="262" t="s">
        <v>4569</v>
      </c>
      <c r="G174" s="1447" t="s">
        <v>4570</v>
      </c>
      <c r="H174" s="3258"/>
    </row>
    <row r="175" spans="1:78" s="8" customFormat="1" ht="18" customHeight="1" x14ac:dyDescent="0.15">
      <c r="A175" s="5797"/>
      <c r="B175" s="3370" t="s">
        <v>1523</v>
      </c>
      <c r="C175" s="1"/>
      <c r="D175" s="1"/>
      <c r="E175" s="1"/>
      <c r="F175" s="1"/>
      <c r="G175" s="1"/>
      <c r="H175" s="1"/>
      <c r="I175" s="1"/>
      <c r="J175" s="1"/>
      <c r="BW175" s="5"/>
      <c r="BX175" s="5"/>
      <c r="BY175" s="3252"/>
      <c r="BZ175" s="3252"/>
    </row>
    <row r="176" spans="1:78" x14ac:dyDescent="0.2">
      <c r="A176" s="5797"/>
      <c r="B176" s="6575" t="s">
        <v>1498</v>
      </c>
      <c r="C176" s="6576"/>
      <c r="D176" s="6705" t="s">
        <v>1524</v>
      </c>
      <c r="E176" s="6534"/>
      <c r="F176" s="6534"/>
      <c r="G176" s="6706" t="s">
        <v>597</v>
      </c>
      <c r="H176" s="6920" t="s">
        <v>1516</v>
      </c>
      <c r="I176" s="6451" t="s">
        <v>591</v>
      </c>
      <c r="BX176" s="283"/>
    </row>
    <row r="177" spans="1:78" x14ac:dyDescent="0.2">
      <c r="A177" s="5797"/>
      <c r="B177" s="6750"/>
      <c r="C177" s="6913"/>
      <c r="D177" s="743" t="s">
        <v>1525</v>
      </c>
      <c r="E177" s="744" t="s">
        <v>1517</v>
      </c>
      <c r="F177" s="464" t="s">
        <v>1526</v>
      </c>
      <c r="G177" s="6706"/>
      <c r="H177" s="6920"/>
      <c r="I177" s="6451"/>
      <c r="BX177" s="283"/>
    </row>
    <row r="178" spans="1:78" ht="15.6" customHeight="1" x14ac:dyDescent="0.2">
      <c r="A178" s="5795" t="s">
        <v>5654</v>
      </c>
      <c r="B178" s="6927" t="s">
        <v>1527</v>
      </c>
      <c r="C178" s="3371" t="s">
        <v>1522</v>
      </c>
      <c r="D178" s="3359" t="s">
        <v>4567</v>
      </c>
      <c r="E178" s="3227" t="s">
        <v>4568</v>
      </c>
      <c r="F178" s="566" t="s">
        <v>4569</v>
      </c>
      <c r="G178" s="3227" t="s">
        <v>4570</v>
      </c>
      <c r="H178" s="750" t="s">
        <v>4571</v>
      </c>
      <c r="I178" s="566" t="s">
        <v>4572</v>
      </c>
      <c r="J178" s="3349"/>
      <c r="BX178" s="283"/>
    </row>
    <row r="179" spans="1:78" ht="15.6" customHeight="1" x14ac:dyDescent="0.2">
      <c r="A179" s="5795" t="s">
        <v>5655</v>
      </c>
      <c r="B179" s="6050"/>
      <c r="C179" s="332" t="s">
        <v>592</v>
      </c>
      <c r="D179" s="357" t="s">
        <v>4567</v>
      </c>
      <c r="E179" s="345" t="s">
        <v>4568</v>
      </c>
      <c r="F179" s="346" t="s">
        <v>4569</v>
      </c>
      <c r="G179" s="345" t="s">
        <v>4570</v>
      </c>
      <c r="H179" s="368" t="s">
        <v>4571</v>
      </c>
      <c r="I179" s="346" t="s">
        <v>4572</v>
      </c>
      <c r="J179" s="3349"/>
      <c r="BX179" s="283"/>
    </row>
    <row r="180" spans="1:78" ht="15.6" customHeight="1" x14ac:dyDescent="0.2">
      <c r="A180" s="5795" t="s">
        <v>5656</v>
      </c>
      <c r="B180" s="6312"/>
      <c r="C180" s="3366" t="s">
        <v>1521</v>
      </c>
      <c r="D180" s="517" t="s">
        <v>4567</v>
      </c>
      <c r="E180" s="1264" t="s">
        <v>4568</v>
      </c>
      <c r="F180" s="1447" t="s">
        <v>4569</v>
      </c>
      <c r="G180" s="1264" t="s">
        <v>4570</v>
      </c>
      <c r="H180" s="262" t="s">
        <v>4571</v>
      </c>
      <c r="I180" s="1447" t="s">
        <v>4572</v>
      </c>
      <c r="J180" s="3349"/>
      <c r="BX180" s="283"/>
    </row>
    <row r="181" spans="1:78" ht="18.600000000000001" customHeight="1" x14ac:dyDescent="0.2">
      <c r="A181" s="5795" t="s">
        <v>5657</v>
      </c>
      <c r="B181" s="6453" t="s">
        <v>1528</v>
      </c>
      <c r="C181" s="3371" t="s">
        <v>1522</v>
      </c>
      <c r="D181" s="3359" t="s">
        <v>4567</v>
      </c>
      <c r="E181" s="3227" t="s">
        <v>4568</v>
      </c>
      <c r="F181" s="566" t="s">
        <v>4569</v>
      </c>
      <c r="G181" s="3227" t="s">
        <v>4570</v>
      </c>
      <c r="H181" s="750" t="s">
        <v>4571</v>
      </c>
      <c r="I181" s="566" t="s">
        <v>4572</v>
      </c>
      <c r="J181" s="3349"/>
      <c r="BX181" s="283"/>
    </row>
    <row r="182" spans="1:78" ht="20.45" customHeight="1" x14ac:dyDescent="0.2">
      <c r="A182" s="5795" t="s">
        <v>5658</v>
      </c>
      <c r="B182" s="6112"/>
      <c r="C182" s="332" t="s">
        <v>592</v>
      </c>
      <c r="D182" s="357" t="s">
        <v>4567</v>
      </c>
      <c r="E182" s="345" t="s">
        <v>4568</v>
      </c>
      <c r="F182" s="346" t="s">
        <v>4569</v>
      </c>
      <c r="G182" s="345" t="s">
        <v>4570</v>
      </c>
      <c r="H182" s="368" t="s">
        <v>4571</v>
      </c>
      <c r="I182" s="346" t="s">
        <v>4572</v>
      </c>
      <c r="J182" s="3349"/>
      <c r="BX182" s="283"/>
    </row>
    <row r="183" spans="1:78" ht="21" customHeight="1" x14ac:dyDescent="0.2">
      <c r="A183" s="5795" t="s">
        <v>5659</v>
      </c>
      <c r="B183" s="6842"/>
      <c r="C183" s="3366" t="s">
        <v>1521</v>
      </c>
      <c r="D183" s="517" t="s">
        <v>4567</v>
      </c>
      <c r="E183" s="1264" t="s">
        <v>4568</v>
      </c>
      <c r="F183" s="1447" t="s">
        <v>4569</v>
      </c>
      <c r="G183" s="1264" t="s">
        <v>4570</v>
      </c>
      <c r="H183" s="262" t="s">
        <v>4571</v>
      </c>
      <c r="I183" s="1447" t="s">
        <v>4572</v>
      </c>
      <c r="J183" s="3349"/>
      <c r="BX183" s="283"/>
    </row>
    <row r="184" spans="1:78" s="8" customFormat="1" ht="18" customHeight="1" x14ac:dyDescent="0.15">
      <c r="A184" s="5797"/>
      <c r="B184" s="903" t="s">
        <v>1529</v>
      </c>
      <c r="C184" s="903"/>
      <c r="D184" s="903"/>
      <c r="E184" s="903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BW184" s="5"/>
      <c r="BX184" s="5"/>
      <c r="BY184" s="3252"/>
      <c r="BZ184" s="3252"/>
    </row>
    <row r="185" spans="1:78" x14ac:dyDescent="0.2">
      <c r="A185" s="5797"/>
      <c r="B185" s="6930" t="s">
        <v>1530</v>
      </c>
      <c r="C185" s="6899" t="s">
        <v>1531</v>
      </c>
      <c r="D185" s="6761"/>
      <c r="E185" s="6762"/>
      <c r="F185" s="6933" t="s">
        <v>1364</v>
      </c>
      <c r="G185" s="6934"/>
      <c r="H185" s="6934"/>
      <c r="I185" s="6934"/>
      <c r="J185" s="6934"/>
      <c r="K185" s="6934"/>
      <c r="L185" s="6934"/>
      <c r="M185" s="6934"/>
      <c r="N185" s="6934"/>
      <c r="O185" s="6934"/>
      <c r="P185" s="6934"/>
      <c r="Q185" s="6934"/>
      <c r="R185" s="6934"/>
      <c r="S185" s="6934"/>
      <c r="T185" s="6934"/>
      <c r="U185" s="6934"/>
      <c r="V185" s="6934"/>
      <c r="W185" s="6934"/>
      <c r="X185" s="6934"/>
      <c r="Y185" s="6934"/>
      <c r="Z185" s="6934"/>
      <c r="AA185" s="6934"/>
      <c r="AB185" s="6934"/>
      <c r="AC185" s="6934"/>
      <c r="AD185" s="6934"/>
      <c r="AE185" s="6934"/>
      <c r="AF185" s="6934"/>
      <c r="AG185" s="6934"/>
      <c r="AH185" s="6934"/>
      <c r="AI185" s="6934"/>
      <c r="AJ185" s="6934"/>
      <c r="AK185" s="6934"/>
      <c r="AL185" s="6934"/>
      <c r="AM185" s="6935"/>
      <c r="BX185" s="283"/>
    </row>
    <row r="186" spans="1:78" x14ac:dyDescent="0.2">
      <c r="A186" s="5797"/>
      <c r="B186" s="6931"/>
      <c r="C186" s="6900"/>
      <c r="D186" s="6764"/>
      <c r="E186" s="6765"/>
      <c r="F186" s="6704" t="s">
        <v>343</v>
      </c>
      <c r="G186" s="6451"/>
      <c r="H186" s="6704" t="s">
        <v>326</v>
      </c>
      <c r="I186" s="6451"/>
      <c r="J186" s="6704" t="s">
        <v>94</v>
      </c>
      <c r="K186" s="6451"/>
      <c r="L186" s="6704" t="s">
        <v>44</v>
      </c>
      <c r="M186" s="6451"/>
      <c r="N186" s="6704" t="s">
        <v>45</v>
      </c>
      <c r="O186" s="6451"/>
      <c r="P186" s="6705" t="s">
        <v>46</v>
      </c>
      <c r="Q186" s="6448"/>
      <c r="R186" s="6705" t="s">
        <v>47</v>
      </c>
      <c r="S186" s="6448"/>
      <c r="T186" s="6705" t="s">
        <v>48</v>
      </c>
      <c r="U186" s="6448"/>
      <c r="V186" s="6705" t="s">
        <v>49</v>
      </c>
      <c r="W186" s="6448"/>
      <c r="X186" s="6705" t="s">
        <v>50</v>
      </c>
      <c r="Y186" s="6448"/>
      <c r="Z186" s="6705" t="s">
        <v>51</v>
      </c>
      <c r="AA186" s="6448"/>
      <c r="AB186" s="6705" t="s">
        <v>52</v>
      </c>
      <c r="AC186" s="6448"/>
      <c r="AD186" s="6705" t="s">
        <v>53</v>
      </c>
      <c r="AE186" s="6448"/>
      <c r="AF186" s="6705" t="s">
        <v>54</v>
      </c>
      <c r="AG186" s="6448"/>
      <c r="AH186" s="6705" t="s">
        <v>55</v>
      </c>
      <c r="AI186" s="6448"/>
      <c r="AJ186" s="6705" t="s">
        <v>56</v>
      </c>
      <c r="AK186" s="6448"/>
      <c r="AL186" s="6705" t="s">
        <v>57</v>
      </c>
      <c r="AM186" s="6448"/>
      <c r="BX186" s="283"/>
    </row>
    <row r="187" spans="1:78" x14ac:dyDescent="0.2">
      <c r="A187" s="5797"/>
      <c r="B187" s="6932"/>
      <c r="C187" s="3373" t="s">
        <v>79</v>
      </c>
      <c r="D187" s="3374" t="s">
        <v>58</v>
      </c>
      <c r="E187" s="3372" t="s">
        <v>59</v>
      </c>
      <c r="F187" s="744" t="s">
        <v>461</v>
      </c>
      <c r="G187" s="464" t="s">
        <v>59</v>
      </c>
      <c r="H187" s="744" t="s">
        <v>461</v>
      </c>
      <c r="I187" s="464" t="s">
        <v>59</v>
      </c>
      <c r="J187" s="744" t="s">
        <v>461</v>
      </c>
      <c r="K187" s="464" t="s">
        <v>59</v>
      </c>
      <c r="L187" s="744" t="s">
        <v>461</v>
      </c>
      <c r="M187" s="590" t="s">
        <v>59</v>
      </c>
      <c r="N187" s="744" t="s">
        <v>461</v>
      </c>
      <c r="O187" s="464" t="s">
        <v>59</v>
      </c>
      <c r="P187" s="744" t="s">
        <v>461</v>
      </c>
      <c r="Q187" s="590" t="s">
        <v>59</v>
      </c>
      <c r="R187" s="744" t="s">
        <v>461</v>
      </c>
      <c r="S187" s="464" t="s">
        <v>59</v>
      </c>
      <c r="T187" s="744" t="s">
        <v>461</v>
      </c>
      <c r="U187" s="590" t="s">
        <v>59</v>
      </c>
      <c r="V187" s="744" t="s">
        <v>461</v>
      </c>
      <c r="W187" s="464" t="s">
        <v>59</v>
      </c>
      <c r="X187" s="744" t="s">
        <v>461</v>
      </c>
      <c r="Y187" s="590" t="s">
        <v>59</v>
      </c>
      <c r="Z187" s="744" t="s">
        <v>461</v>
      </c>
      <c r="AA187" s="464" t="s">
        <v>59</v>
      </c>
      <c r="AB187" s="744" t="s">
        <v>461</v>
      </c>
      <c r="AC187" s="464" t="s">
        <v>59</v>
      </c>
      <c r="AD187" s="744" t="s">
        <v>461</v>
      </c>
      <c r="AE187" s="464" t="s">
        <v>59</v>
      </c>
      <c r="AF187" s="744" t="s">
        <v>461</v>
      </c>
      <c r="AG187" s="464" t="s">
        <v>59</v>
      </c>
      <c r="AH187" s="744" t="s">
        <v>461</v>
      </c>
      <c r="AI187" s="464" t="s">
        <v>59</v>
      </c>
      <c r="AJ187" s="744" t="s">
        <v>461</v>
      </c>
      <c r="AK187" s="464" t="s">
        <v>59</v>
      </c>
      <c r="AL187" s="744" t="s">
        <v>461</v>
      </c>
      <c r="AM187" s="464" t="s">
        <v>59</v>
      </c>
      <c r="BX187" s="283"/>
    </row>
    <row r="188" spans="1:78" ht="15" customHeight="1" x14ac:dyDescent="0.2">
      <c r="A188" s="5795" t="s">
        <v>5660</v>
      </c>
      <c r="B188" s="3375" t="s">
        <v>1532</v>
      </c>
      <c r="C188" s="3376" t="s">
        <v>4567</v>
      </c>
      <c r="D188" s="3377" t="s">
        <v>4568</v>
      </c>
      <c r="E188" s="3378" t="s">
        <v>4569</v>
      </c>
      <c r="F188" s="3379" t="s">
        <v>4570</v>
      </c>
      <c r="G188" s="211" t="s">
        <v>4571</v>
      </c>
      <c r="H188" s="3380" t="s">
        <v>4572</v>
      </c>
      <c r="I188" s="3381" t="s">
        <v>4573</v>
      </c>
      <c r="J188" s="3379" t="s">
        <v>4574</v>
      </c>
      <c r="K188" s="211" t="s">
        <v>4575</v>
      </c>
      <c r="L188" s="3380" t="s">
        <v>4576</v>
      </c>
      <c r="M188" s="3381" t="s">
        <v>4577</v>
      </c>
      <c r="N188" s="3380" t="s">
        <v>4578</v>
      </c>
      <c r="O188" s="3381" t="s">
        <v>4579</v>
      </c>
      <c r="P188" s="3382" t="s">
        <v>4580</v>
      </c>
      <c r="Q188" s="3383" t="s">
        <v>4581</v>
      </c>
      <c r="R188" s="3384" t="s">
        <v>4582</v>
      </c>
      <c r="S188" s="3385" t="s">
        <v>4583</v>
      </c>
      <c r="T188" s="3382" t="s">
        <v>4584</v>
      </c>
      <c r="U188" s="3383" t="s">
        <v>4585</v>
      </c>
      <c r="V188" s="3384" t="s">
        <v>4586</v>
      </c>
      <c r="W188" s="3385" t="s">
        <v>4587</v>
      </c>
      <c r="X188" s="3382" t="s">
        <v>4588</v>
      </c>
      <c r="Y188" s="3383" t="s">
        <v>4589</v>
      </c>
      <c r="Z188" s="3384" t="s">
        <v>4590</v>
      </c>
      <c r="AA188" s="3385" t="s">
        <v>4591</v>
      </c>
      <c r="AB188" s="3384" t="s">
        <v>4592</v>
      </c>
      <c r="AC188" s="3385" t="s">
        <v>4593</v>
      </c>
      <c r="AD188" s="3384" t="s">
        <v>4594</v>
      </c>
      <c r="AE188" s="3385" t="s">
        <v>4595</v>
      </c>
      <c r="AF188" s="3384" t="s">
        <v>4596</v>
      </c>
      <c r="AG188" s="3385" t="s">
        <v>4597</v>
      </c>
      <c r="AH188" s="3384" t="s">
        <v>4598</v>
      </c>
      <c r="AI188" s="3385" t="s">
        <v>4599</v>
      </c>
      <c r="AJ188" s="3384" t="s">
        <v>4600</v>
      </c>
      <c r="AK188" s="3385" t="s">
        <v>4601</v>
      </c>
      <c r="AL188" s="3384" t="s">
        <v>4602</v>
      </c>
      <c r="AM188" s="3385" t="s">
        <v>4603</v>
      </c>
      <c r="BX188" s="283"/>
    </row>
    <row r="189" spans="1:78" ht="15" customHeight="1" x14ac:dyDescent="0.2">
      <c r="A189" s="5795" t="s">
        <v>5661</v>
      </c>
      <c r="B189" s="3386" t="s">
        <v>1533</v>
      </c>
      <c r="C189" s="3387" t="s">
        <v>4567</v>
      </c>
      <c r="D189" s="3388" t="s">
        <v>4568</v>
      </c>
      <c r="E189" s="2629" t="s">
        <v>4569</v>
      </c>
      <c r="F189" s="3389" t="s">
        <v>4570</v>
      </c>
      <c r="G189" s="3390" t="s">
        <v>4571</v>
      </c>
      <c r="H189" s="3389" t="s">
        <v>4572</v>
      </c>
      <c r="I189" s="3390" t="s">
        <v>4573</v>
      </c>
      <c r="J189" s="3389" t="s">
        <v>4574</v>
      </c>
      <c r="K189" s="3390" t="s">
        <v>4575</v>
      </c>
      <c r="L189" s="3391" t="s">
        <v>4576</v>
      </c>
      <c r="M189" s="3392" t="s">
        <v>4577</v>
      </c>
      <c r="N189" s="3389" t="s">
        <v>4578</v>
      </c>
      <c r="O189" s="3390" t="s">
        <v>4579</v>
      </c>
      <c r="P189" s="3391" t="s">
        <v>4580</v>
      </c>
      <c r="Q189" s="3392" t="s">
        <v>4581</v>
      </c>
      <c r="R189" s="3389" t="s">
        <v>4582</v>
      </c>
      <c r="S189" s="3390" t="s">
        <v>4583</v>
      </c>
      <c r="T189" s="3391" t="s">
        <v>4584</v>
      </c>
      <c r="U189" s="3392" t="s">
        <v>4585</v>
      </c>
      <c r="V189" s="3389" t="s">
        <v>4586</v>
      </c>
      <c r="W189" s="3390" t="s">
        <v>4587</v>
      </c>
      <c r="X189" s="3391" t="s">
        <v>4588</v>
      </c>
      <c r="Y189" s="3392" t="s">
        <v>4589</v>
      </c>
      <c r="Z189" s="3389" t="s">
        <v>4590</v>
      </c>
      <c r="AA189" s="3390" t="s">
        <v>4591</v>
      </c>
      <c r="AB189" s="3389" t="s">
        <v>4592</v>
      </c>
      <c r="AC189" s="3390" t="s">
        <v>4593</v>
      </c>
      <c r="AD189" s="3389" t="s">
        <v>4594</v>
      </c>
      <c r="AE189" s="3390" t="s">
        <v>4595</v>
      </c>
      <c r="AF189" s="3389" t="s">
        <v>4596</v>
      </c>
      <c r="AG189" s="3390" t="s">
        <v>4597</v>
      </c>
      <c r="AH189" s="3389" t="s">
        <v>4598</v>
      </c>
      <c r="AI189" s="3390" t="s">
        <v>4599</v>
      </c>
      <c r="AJ189" s="3389" t="s">
        <v>4600</v>
      </c>
      <c r="AK189" s="3390" t="s">
        <v>4601</v>
      </c>
      <c r="AL189" s="3389" t="s">
        <v>4602</v>
      </c>
      <c r="AM189" s="3390" t="s">
        <v>4603</v>
      </c>
      <c r="BX189" s="283"/>
    </row>
    <row r="190" spans="1:78" ht="15" customHeight="1" x14ac:dyDescent="0.2">
      <c r="A190" s="5795" t="s">
        <v>5662</v>
      </c>
      <c r="B190" s="3393" t="s">
        <v>1534</v>
      </c>
      <c r="C190" s="3387" t="s">
        <v>4567</v>
      </c>
      <c r="D190" s="3388" t="s">
        <v>4568</v>
      </c>
      <c r="E190" s="2629" t="s">
        <v>4569</v>
      </c>
      <c r="F190" s="3389" t="s">
        <v>4570</v>
      </c>
      <c r="G190" s="3390" t="s">
        <v>4571</v>
      </c>
      <c r="H190" s="3389" t="s">
        <v>4572</v>
      </c>
      <c r="I190" s="3390" t="s">
        <v>4573</v>
      </c>
      <c r="J190" s="3389" t="s">
        <v>4574</v>
      </c>
      <c r="K190" s="3390" t="s">
        <v>4575</v>
      </c>
      <c r="L190" s="3391" t="s">
        <v>4576</v>
      </c>
      <c r="M190" s="3392" t="s">
        <v>4577</v>
      </c>
      <c r="N190" s="3389" t="s">
        <v>4578</v>
      </c>
      <c r="O190" s="3390" t="s">
        <v>4579</v>
      </c>
      <c r="P190" s="3391" t="s">
        <v>4580</v>
      </c>
      <c r="Q190" s="3392" t="s">
        <v>4581</v>
      </c>
      <c r="R190" s="3389" t="s">
        <v>4582</v>
      </c>
      <c r="S190" s="3390" t="s">
        <v>4583</v>
      </c>
      <c r="T190" s="3391" t="s">
        <v>4584</v>
      </c>
      <c r="U190" s="3392" t="s">
        <v>4585</v>
      </c>
      <c r="V190" s="3389" t="s">
        <v>4586</v>
      </c>
      <c r="W190" s="3390" t="s">
        <v>4587</v>
      </c>
      <c r="X190" s="3391" t="s">
        <v>4588</v>
      </c>
      <c r="Y190" s="3392" t="s">
        <v>4589</v>
      </c>
      <c r="Z190" s="3389" t="s">
        <v>4590</v>
      </c>
      <c r="AA190" s="3390" t="s">
        <v>4591</v>
      </c>
      <c r="AB190" s="3389" t="s">
        <v>4592</v>
      </c>
      <c r="AC190" s="3390" t="s">
        <v>4593</v>
      </c>
      <c r="AD190" s="3389" t="s">
        <v>4594</v>
      </c>
      <c r="AE190" s="3390" t="s">
        <v>4595</v>
      </c>
      <c r="AF190" s="3389" t="s">
        <v>4596</v>
      </c>
      <c r="AG190" s="3390" t="s">
        <v>4597</v>
      </c>
      <c r="AH190" s="3389" t="s">
        <v>4598</v>
      </c>
      <c r="AI190" s="3390" t="s">
        <v>4599</v>
      </c>
      <c r="AJ190" s="3389" t="s">
        <v>4600</v>
      </c>
      <c r="AK190" s="3390" t="s">
        <v>4601</v>
      </c>
      <c r="AL190" s="3389" t="s">
        <v>4602</v>
      </c>
      <c r="AM190" s="3390" t="s">
        <v>4603</v>
      </c>
      <c r="BX190" s="283"/>
    </row>
    <row r="191" spans="1:78" ht="15" customHeight="1" x14ac:dyDescent="0.2">
      <c r="A191" s="5795" t="s">
        <v>5663</v>
      </c>
      <c r="B191" s="3394" t="s">
        <v>591</v>
      </c>
      <c r="C191" s="3395" t="s">
        <v>4567</v>
      </c>
      <c r="D191" s="3396" t="s">
        <v>4568</v>
      </c>
      <c r="E191" s="3397" t="s">
        <v>4569</v>
      </c>
      <c r="F191" s="3398" t="s">
        <v>4570</v>
      </c>
      <c r="G191" s="3399" t="s">
        <v>4571</v>
      </c>
      <c r="H191" s="3398" t="s">
        <v>4572</v>
      </c>
      <c r="I191" s="3399" t="s">
        <v>4573</v>
      </c>
      <c r="J191" s="3398" t="s">
        <v>4574</v>
      </c>
      <c r="K191" s="3399" t="s">
        <v>4575</v>
      </c>
      <c r="L191" s="3400" t="s">
        <v>4576</v>
      </c>
      <c r="M191" s="3401" t="s">
        <v>4577</v>
      </c>
      <c r="N191" s="3398" t="s">
        <v>4578</v>
      </c>
      <c r="O191" s="3399" t="s">
        <v>4579</v>
      </c>
      <c r="P191" s="3400" t="s">
        <v>4580</v>
      </c>
      <c r="Q191" s="3401" t="s">
        <v>4581</v>
      </c>
      <c r="R191" s="3398" t="s">
        <v>4582</v>
      </c>
      <c r="S191" s="3399" t="s">
        <v>4583</v>
      </c>
      <c r="T191" s="3400" t="s">
        <v>4584</v>
      </c>
      <c r="U191" s="3401" t="s">
        <v>4585</v>
      </c>
      <c r="V191" s="3398" t="s">
        <v>4586</v>
      </c>
      <c r="W191" s="3399" t="s">
        <v>4587</v>
      </c>
      <c r="X191" s="3400" t="s">
        <v>4588</v>
      </c>
      <c r="Y191" s="3401" t="s">
        <v>4589</v>
      </c>
      <c r="Z191" s="3398" t="s">
        <v>4590</v>
      </c>
      <c r="AA191" s="3399" t="s">
        <v>4591</v>
      </c>
      <c r="AB191" s="3398" t="s">
        <v>4592</v>
      </c>
      <c r="AC191" s="3399" t="s">
        <v>4593</v>
      </c>
      <c r="AD191" s="3398" t="s">
        <v>4594</v>
      </c>
      <c r="AE191" s="3399" t="s">
        <v>4595</v>
      </c>
      <c r="AF191" s="3398" t="s">
        <v>4596</v>
      </c>
      <c r="AG191" s="3399" t="s">
        <v>4597</v>
      </c>
      <c r="AH191" s="3398" t="s">
        <v>4598</v>
      </c>
      <c r="AI191" s="3399" t="s">
        <v>4599</v>
      </c>
      <c r="AJ191" s="3398" t="s">
        <v>4600</v>
      </c>
      <c r="AK191" s="3399" t="s">
        <v>4601</v>
      </c>
      <c r="AL191" s="3398" t="s">
        <v>4602</v>
      </c>
      <c r="AM191" s="3399" t="s">
        <v>4603</v>
      </c>
      <c r="BX191" s="283"/>
    </row>
    <row r="192" spans="1:78" s="8" customFormat="1" ht="18" customHeight="1" x14ac:dyDescent="0.15">
      <c r="A192" s="5797"/>
      <c r="B192" s="3269" t="s">
        <v>1535</v>
      </c>
      <c r="C192" s="3402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BW192" s="5"/>
      <c r="BX192" s="3252"/>
      <c r="BY192" s="3252"/>
      <c r="BZ192" s="3252"/>
    </row>
    <row r="193" spans="1:96" ht="24" customHeight="1" x14ac:dyDescent="0.2">
      <c r="A193" s="5797"/>
      <c r="B193" s="6912" t="s">
        <v>285</v>
      </c>
      <c r="C193" s="6912"/>
      <c r="D193" s="6912" t="s">
        <v>77</v>
      </c>
      <c r="E193" s="6912"/>
      <c r="F193" s="6912"/>
      <c r="G193" s="6928" t="s">
        <v>343</v>
      </c>
      <c r="H193" s="6928"/>
      <c r="I193" s="6928" t="s">
        <v>326</v>
      </c>
      <c r="J193" s="6928"/>
      <c r="K193" s="6928" t="s">
        <v>94</v>
      </c>
      <c r="L193" s="6928"/>
      <c r="M193" s="6928" t="s">
        <v>1203</v>
      </c>
      <c r="N193" s="6928"/>
      <c r="O193" s="6928" t="s">
        <v>1536</v>
      </c>
      <c r="P193" s="6928"/>
      <c r="Q193" s="6912" t="s">
        <v>366</v>
      </c>
      <c r="R193" s="6912"/>
      <c r="S193" s="6912" t="s">
        <v>307</v>
      </c>
      <c r="T193" s="6912"/>
      <c r="U193" s="6912" t="s">
        <v>1537</v>
      </c>
      <c r="V193" s="6929"/>
      <c r="W193" s="6511" t="s">
        <v>453</v>
      </c>
      <c r="X193" s="6458" t="s">
        <v>1538</v>
      </c>
      <c r="Y193" s="6458" t="s">
        <v>1539</v>
      </c>
      <c r="Z193" s="6458" t="s">
        <v>1540</v>
      </c>
      <c r="AA193" s="6458" t="s">
        <v>1541</v>
      </c>
      <c r="AB193" s="6458" t="s">
        <v>1542</v>
      </c>
      <c r="AC193" s="6705" t="s">
        <v>1543</v>
      </c>
      <c r="AD193" s="6941"/>
      <c r="AE193" s="6941"/>
      <c r="AF193" s="6448"/>
      <c r="AG193" s="6933" t="s">
        <v>919</v>
      </c>
      <c r="AH193" s="6942"/>
      <c r="AI193" s="6936" t="s">
        <v>1466</v>
      </c>
      <c r="AJ193" s="6936" t="s">
        <v>1467</v>
      </c>
      <c r="AK193" s="6458" t="s">
        <v>36</v>
      </c>
      <c r="AL193" s="6458" t="s">
        <v>37</v>
      </c>
      <c r="AM193" s="6454" t="s">
        <v>34</v>
      </c>
      <c r="AN193" s="6511" t="s">
        <v>35</v>
      </c>
      <c r="AO193" s="1839"/>
      <c r="AP193" s="1839"/>
      <c r="AQ193" s="1839"/>
      <c r="AR193" s="1839"/>
      <c r="AS193" s="1839"/>
      <c r="AT193" s="1839"/>
      <c r="AU193" s="1839"/>
      <c r="AV193" s="1839"/>
      <c r="BY193" s="1839"/>
    </row>
    <row r="194" spans="1:96" ht="29.25" customHeight="1" x14ac:dyDescent="0.2">
      <c r="A194" s="5797"/>
      <c r="B194" s="6912"/>
      <c r="C194" s="6912"/>
      <c r="D194" s="866" t="s">
        <v>79</v>
      </c>
      <c r="E194" s="490" t="s">
        <v>461</v>
      </c>
      <c r="F194" s="570" t="s">
        <v>59</v>
      </c>
      <c r="G194" s="744" t="s">
        <v>461</v>
      </c>
      <c r="H194" s="468" t="s">
        <v>59</v>
      </c>
      <c r="I194" s="744" t="s">
        <v>461</v>
      </c>
      <c r="J194" s="468" t="s">
        <v>59</v>
      </c>
      <c r="K194" s="744" t="s">
        <v>461</v>
      </c>
      <c r="L194" s="468" t="s">
        <v>59</v>
      </c>
      <c r="M194" s="744" t="s">
        <v>461</v>
      </c>
      <c r="N194" s="468" t="s">
        <v>59</v>
      </c>
      <c r="O194" s="744" t="s">
        <v>461</v>
      </c>
      <c r="P194" s="468" t="s">
        <v>59</v>
      </c>
      <c r="Q194" s="744" t="s">
        <v>461</v>
      </c>
      <c r="R194" s="468" t="s">
        <v>59</v>
      </c>
      <c r="S194" s="744" t="s">
        <v>461</v>
      </c>
      <c r="T194" s="468" t="s">
        <v>59</v>
      </c>
      <c r="U194" s="3405" t="s">
        <v>461</v>
      </c>
      <c r="V194" s="469" t="s">
        <v>59</v>
      </c>
      <c r="W194" s="6736"/>
      <c r="X194" s="6739"/>
      <c r="Y194" s="6739"/>
      <c r="Z194" s="6739"/>
      <c r="AA194" s="6739"/>
      <c r="AB194" s="6739"/>
      <c r="AC194" s="1765" t="s">
        <v>1477</v>
      </c>
      <c r="AD194" s="1765" t="s">
        <v>1478</v>
      </c>
      <c r="AE194" s="1765" t="s">
        <v>1479</v>
      </c>
      <c r="AF194" s="464" t="s">
        <v>1480</v>
      </c>
      <c r="AG194" s="3406" t="s">
        <v>522</v>
      </c>
      <c r="AH194" s="3407" t="s">
        <v>751</v>
      </c>
      <c r="AI194" s="6937"/>
      <c r="AJ194" s="6937"/>
      <c r="AK194" s="6739"/>
      <c r="AL194" s="6739"/>
      <c r="AM194" s="6751"/>
      <c r="AN194" s="6736"/>
      <c r="AO194" s="1839"/>
      <c r="AP194" s="1839"/>
      <c r="AQ194" s="1839"/>
      <c r="AR194" s="1839"/>
      <c r="AS194" s="1839"/>
      <c r="AT194" s="1839"/>
      <c r="AU194" s="1839"/>
      <c r="AV194" s="1839"/>
      <c r="BY194" s="1839"/>
    </row>
    <row r="195" spans="1:96" ht="15" customHeight="1" x14ac:dyDescent="0.2">
      <c r="A195" s="5795" t="s">
        <v>5664</v>
      </c>
      <c r="B195" s="6938" t="s">
        <v>853</v>
      </c>
      <c r="C195" s="3235" t="s">
        <v>1544</v>
      </c>
      <c r="D195" s="3254" t="s">
        <v>4567</v>
      </c>
      <c r="E195" s="3408" t="s">
        <v>4568</v>
      </c>
      <c r="F195" s="584" t="s">
        <v>4569</v>
      </c>
      <c r="G195" s="3278" t="s">
        <v>4570</v>
      </c>
      <c r="H195" s="3409" t="s">
        <v>4571</v>
      </c>
      <c r="I195" s="3278" t="s">
        <v>4572</v>
      </c>
      <c r="J195" s="3409" t="s">
        <v>4573</v>
      </c>
      <c r="K195" s="3278" t="s">
        <v>4574</v>
      </c>
      <c r="L195" s="3409" t="s">
        <v>4575</v>
      </c>
      <c r="M195" s="3278" t="s">
        <v>4576</v>
      </c>
      <c r="N195" s="3409" t="s">
        <v>4577</v>
      </c>
      <c r="O195" s="3278" t="s">
        <v>4578</v>
      </c>
      <c r="P195" s="3409" t="s">
        <v>4579</v>
      </c>
      <c r="Q195" s="3278" t="s">
        <v>4580</v>
      </c>
      <c r="R195" s="3409" t="s">
        <v>4581</v>
      </c>
      <c r="S195" s="3278" t="s">
        <v>4582</v>
      </c>
      <c r="T195" s="3409" t="s">
        <v>4583</v>
      </c>
      <c r="U195" s="3278" t="s">
        <v>4584</v>
      </c>
      <c r="V195" s="3410" t="s">
        <v>4585</v>
      </c>
      <c r="W195" s="3411" t="s">
        <v>4586</v>
      </c>
      <c r="X195" s="3412" t="s">
        <v>4587</v>
      </c>
      <c r="Y195" s="3412" t="s">
        <v>4588</v>
      </c>
      <c r="Z195" s="3412" t="s">
        <v>4589</v>
      </c>
      <c r="AA195" s="3412" t="s">
        <v>4590</v>
      </c>
      <c r="AB195" s="3279" t="s">
        <v>4591</v>
      </c>
      <c r="AC195" s="3412" t="s">
        <v>4592</v>
      </c>
      <c r="AD195" s="3412" t="s">
        <v>4593</v>
      </c>
      <c r="AE195" s="3412" t="s">
        <v>4594</v>
      </c>
      <c r="AF195" s="848" t="s">
        <v>4595</v>
      </c>
      <c r="AG195" s="3412" t="s">
        <v>4596</v>
      </c>
      <c r="AH195" s="3342" t="s">
        <v>4597</v>
      </c>
      <c r="AI195" s="3413" t="s">
        <v>4598</v>
      </c>
      <c r="AJ195" s="848" t="s">
        <v>4599</v>
      </c>
      <c r="AK195" s="3412" t="s">
        <v>4600</v>
      </c>
      <c r="AL195" s="3412" t="s">
        <v>4601</v>
      </c>
      <c r="AM195" s="3278" t="s">
        <v>4602</v>
      </c>
      <c r="AN195" s="848" t="s">
        <v>4603</v>
      </c>
      <c r="AO195" s="3229" t="str">
        <f>CB195&amp;CC195&amp;CD195&amp;CE195&amp;CF195</f>
        <v xml:space="preserve"> * La variable Diversidad de género No puede ser mayor al Total.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AP195" s="3229"/>
      <c r="AQ195" s="3229"/>
      <c r="AR195" s="3229"/>
      <c r="AS195" s="3229"/>
      <c r="AT195" s="1839"/>
      <c r="AU195" s="1839"/>
      <c r="BY195" s="1839"/>
      <c r="CB195" s="431" t="str">
        <f t="shared" ref="CB195:CF196" si="68">IF(AND($D195&gt;0,AJ195="")," * No olvide digitar la variable "&amp;AJ$193&amp;""&amp;". Digite CERO si no tiene",IF(AJ195&gt;$D195," * La variable "&amp;AJ$193&amp;""&amp;" No puede ser mayor al Total.",""))</f>
        <v xml:space="preserve"> * La variable Diversidad de género No puede ser mayor al Total.</v>
      </c>
      <c r="CC195" s="431" t="str">
        <f t="shared" si="68"/>
        <v xml:space="preserve"> * La variable Pueblos Originarios No puede ser mayor al Total.</v>
      </c>
      <c r="CD195" s="431" t="str">
        <f t="shared" si="68"/>
        <v xml:space="preserve"> * La variable Migrantes No puede ser mayor al Total.</v>
      </c>
      <c r="CE195" s="431" t="str">
        <f t="shared" si="68"/>
        <v xml:space="preserve"> * La variable Niños, Niñas, Adolescentes y Jóvenes SENAME No puede ser mayor al Total.</v>
      </c>
      <c r="CF195" s="431" t="str">
        <f t="shared" si="68"/>
        <v xml:space="preserve"> * La variable Niños, Niñas, Adolescentes y Jóvenes Mejor Niñez No puede ser mayor al Total.</v>
      </c>
      <c r="CN195" s="180">
        <f>IF(AND($D195&gt;0,AJ195=""),1,IF(AJ195&gt;$D195,1,0))</f>
        <v>1</v>
      </c>
      <c r="CO195" s="180">
        <f t="shared" ref="CO195:CQ195" si="69">IF(AND($D195&gt;0,AK195=""),1,IF(AK195&gt;$D195,1,0))</f>
        <v>1</v>
      </c>
      <c r="CP195" s="180">
        <f t="shared" si="69"/>
        <v>1</v>
      </c>
      <c r="CQ195" s="180">
        <f t="shared" si="69"/>
        <v>1</v>
      </c>
      <c r="CR195" s="180">
        <f>IF(AND($D195&gt;0,AN195=""),1,IF(AN195&gt;$D195,1,0))</f>
        <v>1</v>
      </c>
    </row>
    <row r="196" spans="1:96" ht="15" customHeight="1" x14ac:dyDescent="0.2">
      <c r="A196" s="5795" t="s">
        <v>5665</v>
      </c>
      <c r="B196" s="6938"/>
      <c r="C196" s="523" t="s">
        <v>1545</v>
      </c>
      <c r="D196" s="871" t="s">
        <v>4567</v>
      </c>
      <c r="E196" s="303" t="s">
        <v>4568</v>
      </c>
      <c r="F196" s="3414" t="s">
        <v>4569</v>
      </c>
      <c r="G196" s="853" t="s">
        <v>4570</v>
      </c>
      <c r="H196" s="1873" t="s">
        <v>4571</v>
      </c>
      <c r="I196" s="853" t="s">
        <v>4572</v>
      </c>
      <c r="J196" s="1873" t="s">
        <v>4573</v>
      </c>
      <c r="K196" s="853" t="s">
        <v>4574</v>
      </c>
      <c r="L196" s="1873" t="s">
        <v>4575</v>
      </c>
      <c r="M196" s="853" t="s">
        <v>4576</v>
      </c>
      <c r="N196" s="1873" t="s">
        <v>4577</v>
      </c>
      <c r="O196" s="853" t="s">
        <v>4578</v>
      </c>
      <c r="P196" s="1873" t="s">
        <v>4579</v>
      </c>
      <c r="Q196" s="853" t="s">
        <v>4580</v>
      </c>
      <c r="R196" s="1873" t="s">
        <v>4581</v>
      </c>
      <c r="S196" s="853" t="s">
        <v>4582</v>
      </c>
      <c r="T196" s="1873" t="s">
        <v>4583</v>
      </c>
      <c r="U196" s="853" t="s">
        <v>4584</v>
      </c>
      <c r="V196" s="1919" t="s">
        <v>4585</v>
      </c>
      <c r="W196" s="968" t="s">
        <v>4586</v>
      </c>
      <c r="X196" s="1920" t="s">
        <v>4587</v>
      </c>
      <c r="Y196" s="1920" t="s">
        <v>4588</v>
      </c>
      <c r="Z196" s="1920" t="s">
        <v>4589</v>
      </c>
      <c r="AA196" s="1920" t="s">
        <v>4590</v>
      </c>
      <c r="AB196" s="1877" t="s">
        <v>4591</v>
      </c>
      <c r="AC196" s="1920" t="s">
        <v>4592</v>
      </c>
      <c r="AD196" s="1920" t="s">
        <v>4593</v>
      </c>
      <c r="AE196" s="1920" t="s">
        <v>4594</v>
      </c>
      <c r="AF196" s="854" t="s">
        <v>4595</v>
      </c>
      <c r="AG196" s="1920" t="s">
        <v>4596</v>
      </c>
      <c r="AH196" s="1878" t="s">
        <v>4597</v>
      </c>
      <c r="AI196" s="3415" t="s">
        <v>4598</v>
      </c>
      <c r="AJ196" s="854" t="s">
        <v>4599</v>
      </c>
      <c r="AK196" s="1920" t="s">
        <v>4600</v>
      </c>
      <c r="AL196" s="1920" t="s">
        <v>4601</v>
      </c>
      <c r="AM196" s="874" t="s">
        <v>4602</v>
      </c>
      <c r="AN196" s="3416" t="s">
        <v>4603</v>
      </c>
      <c r="AO196" s="3229" t="str">
        <f>CB196&amp;CC196&amp;CD196&amp;CE196&amp;CF196</f>
        <v xml:space="preserve"> * La variable Diversidad de género No puede ser mayor al Total.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AP196" s="3229"/>
      <c r="AQ196" s="3229"/>
      <c r="AR196" s="3229"/>
      <c r="AS196" s="3229"/>
      <c r="AT196" s="1839"/>
      <c r="AU196" s="1839"/>
      <c r="BY196" s="1839"/>
      <c r="CB196" s="431" t="str">
        <f t="shared" si="68"/>
        <v xml:space="preserve"> * La variable Diversidad de género No puede ser mayor al Total.</v>
      </c>
      <c r="CC196" s="431" t="str">
        <f t="shared" si="68"/>
        <v xml:space="preserve"> * La variable Pueblos Originarios No puede ser mayor al Total.</v>
      </c>
      <c r="CD196" s="431" t="str">
        <f t="shared" si="68"/>
        <v xml:space="preserve"> * La variable Migrantes No puede ser mayor al Total.</v>
      </c>
      <c r="CE196" s="431" t="str">
        <f t="shared" si="68"/>
        <v xml:space="preserve"> * La variable Niños, Niñas, Adolescentes y Jóvenes SENAME No puede ser mayor al Total.</v>
      </c>
      <c r="CF196" s="431" t="str">
        <f t="shared" si="68"/>
        <v xml:space="preserve"> * La variable Niños, Niñas, Adolescentes y Jóvenes Mejor Niñez No puede ser mayor al Total.</v>
      </c>
      <c r="CN196" s="180">
        <f>IF(AND($D196&gt;0,AJ196=""),1,IF(AJ196&gt;$D196,1,0))</f>
        <v>1</v>
      </c>
      <c r="CO196" s="180">
        <f t="shared" ref="CO196" si="70">IF(AND($D196&gt;0,AK196=""),1,IF(AK196&gt;$D196,1,0))</f>
        <v>1</v>
      </c>
      <c r="CP196" s="180">
        <f t="shared" ref="CP196" si="71">IF(AND($D196&gt;0,AL196=""),1,IF(AL196&gt;$D196,1,0))</f>
        <v>1</v>
      </c>
      <c r="CQ196" s="180">
        <f t="shared" ref="CQ196" si="72">IF(AND($D196&gt;0,AM196=""),1,IF(AM196&gt;$D196,1,0))</f>
        <v>1</v>
      </c>
      <c r="CR196" s="180">
        <f>IF(AND($D196&gt;0,AN196=""),1,IF(AN196&gt;$D196,1,0))</f>
        <v>1</v>
      </c>
    </row>
    <row r="197" spans="1:96" s="8" customFormat="1" ht="18" customHeight="1" x14ac:dyDescent="0.15">
      <c r="A197" s="5797"/>
      <c r="B197" s="1" t="s">
        <v>1546</v>
      </c>
      <c r="C197" s="1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BW197" s="5"/>
      <c r="BX197" s="5"/>
      <c r="BY197" s="5"/>
      <c r="BZ197" s="5"/>
    </row>
    <row r="198" spans="1:96" ht="16.350000000000001" customHeight="1" x14ac:dyDescent="0.2">
      <c r="A198" s="6"/>
      <c r="B198" s="743" t="s">
        <v>1362</v>
      </c>
      <c r="C198" s="743" t="s">
        <v>77</v>
      </c>
      <c r="D198" s="463" t="s">
        <v>1547</v>
      </c>
      <c r="E198" s="486" t="s">
        <v>1548</v>
      </c>
      <c r="AJ198" s="1839"/>
      <c r="AK198" s="1839"/>
      <c r="AL198" s="1839"/>
      <c r="AM198" s="1839"/>
      <c r="AN198" s="1839"/>
      <c r="AO198" s="1839"/>
      <c r="AP198" s="1839"/>
      <c r="AQ198" s="1839"/>
      <c r="AR198" s="1839"/>
      <c r="AS198" s="1839"/>
      <c r="AT198" s="1839"/>
      <c r="AU198" s="1839"/>
      <c r="AV198" s="1839"/>
      <c r="AW198" s="1839"/>
    </row>
    <row r="199" spans="1:96" ht="15" customHeight="1" x14ac:dyDescent="0.2">
      <c r="A199" s="5795" t="s">
        <v>5666</v>
      </c>
      <c r="B199" s="3235" t="s">
        <v>1549</v>
      </c>
      <c r="C199" s="3417" t="s">
        <v>4567</v>
      </c>
      <c r="D199" s="3278" t="s">
        <v>4568</v>
      </c>
      <c r="E199" s="848" t="s">
        <v>4569</v>
      </c>
      <c r="AJ199" s="1839"/>
      <c r="AK199" s="1839"/>
      <c r="AL199" s="1839"/>
      <c r="AM199" s="1839"/>
      <c r="AN199" s="1839"/>
      <c r="AO199" s="1839"/>
      <c r="AP199" s="1839"/>
      <c r="AQ199" s="1839"/>
      <c r="AR199" s="1839"/>
      <c r="AS199" s="1839"/>
      <c r="AT199" s="1839"/>
      <c r="AU199" s="1839"/>
      <c r="AV199" s="1839"/>
      <c r="AW199" s="1839"/>
    </row>
    <row r="200" spans="1:96" ht="15" customHeight="1" x14ac:dyDescent="0.2">
      <c r="A200" s="5795" t="s">
        <v>5667</v>
      </c>
      <c r="B200" s="523" t="s">
        <v>1550</v>
      </c>
      <c r="C200" s="775" t="s">
        <v>4567</v>
      </c>
      <c r="D200" s="853" t="s">
        <v>4568</v>
      </c>
      <c r="E200" s="3418" t="s">
        <v>4569</v>
      </c>
      <c r="AJ200" s="1839"/>
      <c r="AK200" s="1839"/>
      <c r="AL200" s="1839"/>
      <c r="AM200" s="1839"/>
      <c r="AN200" s="1839"/>
      <c r="AO200" s="1839"/>
      <c r="AP200" s="1839"/>
      <c r="AQ200" s="1839"/>
      <c r="AR200" s="1839"/>
      <c r="AS200" s="1839"/>
      <c r="AT200" s="1839"/>
      <c r="AU200" s="1839"/>
      <c r="AV200" s="1839"/>
      <c r="AW200" s="1839"/>
    </row>
    <row r="201" spans="1:96" s="8" customFormat="1" ht="18" customHeight="1" x14ac:dyDescent="0.15">
      <c r="A201" s="5797"/>
      <c r="B201" s="3419" t="s">
        <v>1551</v>
      </c>
      <c r="C201" s="3420"/>
      <c r="D201" s="3421"/>
      <c r="E201" s="903"/>
      <c r="G201" s="3422"/>
      <c r="H201" s="3337"/>
      <c r="I201" s="4"/>
      <c r="J201" s="3337"/>
      <c r="K201" s="3423"/>
      <c r="L201" s="3423"/>
      <c r="M201" s="3337"/>
      <c r="N201" s="4"/>
      <c r="O201" s="3337"/>
      <c r="P201" s="3337"/>
      <c r="Q201" s="4"/>
      <c r="R201" s="3337"/>
      <c r="S201" s="3337"/>
      <c r="T201" s="4"/>
      <c r="U201" s="3337"/>
      <c r="V201" s="3337"/>
      <c r="W201" s="3423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BW201" s="5"/>
      <c r="BX201" s="5"/>
      <c r="BY201" s="5"/>
      <c r="BZ201" s="5"/>
    </row>
    <row r="202" spans="1:96" ht="20.25" customHeight="1" x14ac:dyDescent="0.2">
      <c r="A202" s="5797"/>
      <c r="B202" s="6444" t="s">
        <v>285</v>
      </c>
      <c r="C202" s="6575" t="s">
        <v>77</v>
      </c>
      <c r="D202" s="6491"/>
      <c r="E202" s="6576"/>
      <c r="F202" s="6944" t="s">
        <v>1364</v>
      </c>
      <c r="G202" s="6945"/>
      <c r="H202" s="6945"/>
      <c r="I202" s="6945"/>
      <c r="J202" s="6945"/>
      <c r="K202" s="6945"/>
      <c r="L202" s="6945"/>
      <c r="M202" s="6945"/>
      <c r="N202" s="6945"/>
      <c r="O202" s="6945"/>
      <c r="P202" s="6945"/>
      <c r="Q202" s="6945"/>
      <c r="R202" s="6945"/>
      <c r="S202" s="6945"/>
      <c r="T202" s="6945"/>
      <c r="U202" s="6945"/>
      <c r="V202" s="6945"/>
      <c r="W202" s="6945"/>
      <c r="X202" s="6945"/>
      <c r="Y202" s="6945"/>
      <c r="Z202" s="6945"/>
      <c r="AA202" s="6945"/>
      <c r="AB202" s="6945"/>
      <c r="AC202" s="6945"/>
      <c r="AD202" s="6945"/>
      <c r="AE202" s="6945"/>
      <c r="AF202" s="6945"/>
      <c r="AG202" s="6945"/>
      <c r="AH202" s="6945"/>
      <c r="AI202" s="6945"/>
      <c r="AJ202" s="6945"/>
      <c r="AK202" s="6946"/>
      <c r="AL202" s="6939" t="s">
        <v>1552</v>
      </c>
      <c r="AM202" s="6511"/>
      <c r="AN202" s="6706" t="s">
        <v>34</v>
      </c>
      <c r="AO202" s="6451" t="s">
        <v>35</v>
      </c>
      <c r="BU202" s="1839"/>
      <c r="BV202" s="1839"/>
      <c r="BY202" s="1839"/>
      <c r="BZ202" s="89"/>
    </row>
    <row r="203" spans="1:96" ht="20.25" customHeight="1" x14ac:dyDescent="0.2">
      <c r="A203" s="5797"/>
      <c r="B203" s="6039"/>
      <c r="C203" s="6750"/>
      <c r="D203" s="6749"/>
      <c r="E203" s="6913"/>
      <c r="F203" s="6704" t="s">
        <v>326</v>
      </c>
      <c r="G203" s="6451"/>
      <c r="H203" s="6704" t="s">
        <v>94</v>
      </c>
      <c r="I203" s="6451"/>
      <c r="J203" s="6704" t="s">
        <v>44</v>
      </c>
      <c r="K203" s="6451"/>
      <c r="L203" s="6704" t="s">
        <v>45</v>
      </c>
      <c r="M203" s="6451"/>
      <c r="N203" s="6705" t="s">
        <v>46</v>
      </c>
      <c r="O203" s="6448"/>
      <c r="P203" s="6705" t="s">
        <v>47</v>
      </c>
      <c r="Q203" s="6448"/>
      <c r="R203" s="6705" t="s">
        <v>48</v>
      </c>
      <c r="S203" s="6448"/>
      <c r="T203" s="6705" t="s">
        <v>49</v>
      </c>
      <c r="U203" s="6448"/>
      <c r="V203" s="6705" t="s">
        <v>50</v>
      </c>
      <c r="W203" s="6448"/>
      <c r="X203" s="6705" t="s">
        <v>51</v>
      </c>
      <c r="Y203" s="6448"/>
      <c r="Z203" s="6705" t="s">
        <v>52</v>
      </c>
      <c r="AA203" s="6448"/>
      <c r="AB203" s="6705" t="s">
        <v>53</v>
      </c>
      <c r="AC203" s="6448"/>
      <c r="AD203" s="6705" t="s">
        <v>54</v>
      </c>
      <c r="AE203" s="6448"/>
      <c r="AF203" s="6705" t="s">
        <v>55</v>
      </c>
      <c r="AG203" s="6448"/>
      <c r="AH203" s="6705" t="s">
        <v>56</v>
      </c>
      <c r="AI203" s="6448"/>
      <c r="AJ203" s="6705" t="s">
        <v>57</v>
      </c>
      <c r="AK203" s="6943"/>
      <c r="AL203" s="6940"/>
      <c r="AM203" s="6736"/>
      <c r="AN203" s="6706"/>
      <c r="AO203" s="6451"/>
      <c r="BU203" s="1839"/>
      <c r="BV203" s="1839"/>
      <c r="BY203" s="1839"/>
      <c r="BZ203" s="89"/>
    </row>
    <row r="204" spans="1:96" ht="20.25" customHeight="1" x14ac:dyDescent="0.2">
      <c r="A204" s="5797"/>
      <c r="B204" s="6733"/>
      <c r="C204" s="866" t="s">
        <v>79</v>
      </c>
      <c r="D204" s="3224" t="s">
        <v>58</v>
      </c>
      <c r="E204" s="570" t="s">
        <v>59</v>
      </c>
      <c r="F204" s="744" t="s">
        <v>461</v>
      </c>
      <c r="G204" s="468" t="s">
        <v>59</v>
      </c>
      <c r="H204" s="744" t="s">
        <v>461</v>
      </c>
      <c r="I204" s="468" t="s">
        <v>59</v>
      </c>
      <c r="J204" s="744" t="s">
        <v>461</v>
      </c>
      <c r="K204" s="468" t="s">
        <v>59</v>
      </c>
      <c r="L204" s="744" t="s">
        <v>461</v>
      </c>
      <c r="M204" s="468" t="s">
        <v>59</v>
      </c>
      <c r="N204" s="744" t="s">
        <v>461</v>
      </c>
      <c r="O204" s="464" t="s">
        <v>59</v>
      </c>
      <c r="P204" s="744" t="s">
        <v>461</v>
      </c>
      <c r="Q204" s="464" t="s">
        <v>59</v>
      </c>
      <c r="R204" s="744" t="s">
        <v>461</v>
      </c>
      <c r="S204" s="464" t="s">
        <v>59</v>
      </c>
      <c r="T204" s="744" t="s">
        <v>461</v>
      </c>
      <c r="U204" s="468" t="s">
        <v>59</v>
      </c>
      <c r="V204" s="744" t="s">
        <v>461</v>
      </c>
      <c r="W204" s="468" t="s">
        <v>59</v>
      </c>
      <c r="X204" s="3424" t="s">
        <v>461</v>
      </c>
      <c r="Y204" s="468" t="s">
        <v>59</v>
      </c>
      <c r="Z204" s="3424" t="s">
        <v>461</v>
      </c>
      <c r="AA204" s="468" t="s">
        <v>59</v>
      </c>
      <c r="AB204" s="3424" t="s">
        <v>461</v>
      </c>
      <c r="AC204" s="468" t="s">
        <v>59</v>
      </c>
      <c r="AD204" s="3424" t="s">
        <v>461</v>
      </c>
      <c r="AE204" s="468" t="s">
        <v>59</v>
      </c>
      <c r="AF204" s="3424" t="s">
        <v>461</v>
      </c>
      <c r="AG204" s="468" t="s">
        <v>59</v>
      </c>
      <c r="AH204" s="3424" t="s">
        <v>461</v>
      </c>
      <c r="AI204" s="468" t="s">
        <v>59</v>
      </c>
      <c r="AJ204" s="3424" t="s">
        <v>461</v>
      </c>
      <c r="AK204" s="3407" t="s">
        <v>59</v>
      </c>
      <c r="AL204" s="3425" t="s">
        <v>462</v>
      </c>
      <c r="AM204" s="3425" t="s">
        <v>1553</v>
      </c>
      <c r="AN204" s="6706"/>
      <c r="AO204" s="6451"/>
      <c r="BU204" s="1839"/>
      <c r="BV204" s="1839"/>
      <c r="BY204" s="1839"/>
      <c r="BZ204" s="89"/>
    </row>
    <row r="205" spans="1:96" ht="15" customHeight="1" x14ac:dyDescent="0.2">
      <c r="A205" s="5796" t="s">
        <v>5668</v>
      </c>
      <c r="B205" s="3403" t="s">
        <v>1554</v>
      </c>
      <c r="C205" s="3426" t="s">
        <v>4567</v>
      </c>
      <c r="D205" s="610" t="s">
        <v>4568</v>
      </c>
      <c r="E205" s="3427" t="s">
        <v>4569</v>
      </c>
      <c r="F205" s="3428" t="s">
        <v>4570</v>
      </c>
      <c r="G205" s="888" t="s">
        <v>4571</v>
      </c>
      <c r="H205" s="3428" t="s">
        <v>4572</v>
      </c>
      <c r="I205" s="888" t="s">
        <v>4573</v>
      </c>
      <c r="J205" s="3428" t="s">
        <v>4574</v>
      </c>
      <c r="K205" s="888" t="s">
        <v>4575</v>
      </c>
      <c r="L205" s="3428" t="s">
        <v>4576</v>
      </c>
      <c r="M205" s="888" t="s">
        <v>4577</v>
      </c>
      <c r="N205" s="3428" t="s">
        <v>4578</v>
      </c>
      <c r="O205" s="3429" t="s">
        <v>4579</v>
      </c>
      <c r="P205" s="3428" t="s">
        <v>4580</v>
      </c>
      <c r="Q205" s="3429" t="s">
        <v>4581</v>
      </c>
      <c r="R205" s="3428" t="s">
        <v>4582</v>
      </c>
      <c r="S205" s="3429" t="s">
        <v>4583</v>
      </c>
      <c r="T205" s="3428" t="s">
        <v>4584</v>
      </c>
      <c r="U205" s="888" t="s">
        <v>4585</v>
      </c>
      <c r="V205" s="3428" t="s">
        <v>4586</v>
      </c>
      <c r="W205" s="888" t="s">
        <v>4587</v>
      </c>
      <c r="X205" s="3428" t="s">
        <v>4588</v>
      </c>
      <c r="Y205" s="3429" t="s">
        <v>4589</v>
      </c>
      <c r="Z205" s="3428" t="s">
        <v>4590</v>
      </c>
      <c r="AA205" s="3429" t="s">
        <v>4591</v>
      </c>
      <c r="AB205" s="3428" t="s">
        <v>4592</v>
      </c>
      <c r="AC205" s="3429" t="s">
        <v>4593</v>
      </c>
      <c r="AD205" s="3428" t="s">
        <v>4594</v>
      </c>
      <c r="AE205" s="3429" t="s">
        <v>4595</v>
      </c>
      <c r="AF205" s="3428" t="s">
        <v>4596</v>
      </c>
      <c r="AG205" s="3429" t="s">
        <v>4597</v>
      </c>
      <c r="AH205" s="3428" t="s">
        <v>4598</v>
      </c>
      <c r="AI205" s="3429" t="s">
        <v>4599</v>
      </c>
      <c r="AJ205" s="3428" t="s">
        <v>4600</v>
      </c>
      <c r="AK205" s="3430" t="s">
        <v>4601</v>
      </c>
      <c r="AL205" s="3429" t="s">
        <v>4602</v>
      </c>
      <c r="AM205" s="3429" t="s">
        <v>4603</v>
      </c>
      <c r="AN205" s="3428" t="s">
        <v>4604</v>
      </c>
      <c r="AO205" s="3429" t="s">
        <v>4605</v>
      </c>
      <c r="AP205" s="9" t="str">
        <f>CB205&amp;CC205&amp;CD205&amp;CE205</f>
        <v xml:space="preserve"> * La variable 
Trans
 Masculino No puede ser mayor al Total Mujeres. * La variable 
Trans
 Femenino No puede ser mayor al Total Hombres. * La variable Niños, Niñas, Adolescentes y Jóvenes SENAME No puede ser mayor al Total. * La variable Niños, Niñas, Adolescentes y Jóvenes Mejor Niñez No puede ser mayor al Total.</v>
      </c>
      <c r="BU205" s="1839"/>
      <c r="BV205" s="1839"/>
      <c r="BY205" s="1839"/>
      <c r="BZ205" s="89"/>
      <c r="CB205" s="431" t="str">
        <f>IF(AND($E205&gt;0,AL205="")," * No olvide digitar la variable "&amp;AL$202&amp;""&amp;" Masculimo. Digite CERO si no tiene",IF(AL205&gt;$E205," * La variable "&amp;AL$202&amp;""&amp;" Masculino No puede ser mayor al Total Mujeres.",""))</f>
        <v xml:space="preserve"> * La variable 
Trans
 Masculino No puede ser mayor al Total Mujeres.</v>
      </c>
      <c r="CC205" s="431" t="str">
        <f>IF(AND($D205&gt;0,AM205="")," * No olvide digitar la variable "&amp;AL$202&amp;""&amp;" Femenino. Digite CERO si no tiene",IF(AM205&gt;$D205," * La variable "&amp;AL$202&amp;""&amp;" Femenino No puede ser mayor al Total Hombres.",""))</f>
        <v xml:space="preserve"> * La variable 
Trans
 Femenino No puede ser mayor al Total Hombres.</v>
      </c>
      <c r="CD205" s="431" t="str">
        <f>IF(AND($C205&gt;0,AN205="")," * No olvide digitar la variable "&amp;AN$202&amp;""&amp;". Digite CERO si no tiene",IF(AN205&gt;$C205," * La variable "&amp;AN$202&amp;""&amp;" No puede ser mayor al Total.",""))</f>
        <v xml:space="preserve"> * La variable Niños, Niñas, Adolescentes y Jóvenes SENAME No puede ser mayor al Total.</v>
      </c>
      <c r="CE205" s="431" t="str">
        <f>IF(AND($C205&gt;0,AO205="")," * No olvide digitar la variable "&amp;AO$202&amp;""&amp;". Digite CERO si no tiene",IF(AO205&gt;$C205," * La variable "&amp;AO$202&amp;""&amp;" No puede ser mayor al Total.",""))</f>
        <v xml:space="preserve"> * La variable Niños, Niñas, Adolescentes y Jóvenes Mejor Niñez No puede ser mayor al Total.</v>
      </c>
      <c r="CN205" s="180">
        <f>IF(AND($E205&gt;0,AL205=""),1,IF(AL205&gt;$E205,1,0))</f>
        <v>1</v>
      </c>
      <c r="CO205" s="180">
        <f>IF(AND($D205&gt;0,AM205=""),1,IF(AM205&gt;$D205,1,0))</f>
        <v>1</v>
      </c>
      <c r="CP205" s="180">
        <f>IF(AND($C205&gt;0,AN205=""),1,IF(AN205&gt;$C205,1,0))</f>
        <v>1</v>
      </c>
      <c r="CQ205" s="180">
        <f>IF(AND($C205&gt;0,AO205=""),1,IF(AO205&gt;$C205,1,0))</f>
        <v>1</v>
      </c>
    </row>
    <row r="206" spans="1:96" s="8" customFormat="1" ht="18" customHeight="1" x14ac:dyDescent="0.2">
      <c r="A206" s="6"/>
      <c r="B206" s="1" t="s">
        <v>1555</v>
      </c>
      <c r="C206" s="1"/>
      <c r="BW206" s="5"/>
      <c r="BX206" s="5"/>
      <c r="BY206" s="5"/>
      <c r="BZ206" s="5"/>
    </row>
    <row r="207" spans="1:96" ht="16.350000000000001" customHeight="1" x14ac:dyDescent="0.2">
      <c r="A207" s="5783"/>
      <c r="B207" s="6576" t="s">
        <v>1556</v>
      </c>
      <c r="C207" s="6212" t="s">
        <v>77</v>
      </c>
      <c r="D207" s="6510"/>
      <c r="E207" s="6511"/>
      <c r="F207" s="6947" t="s">
        <v>1557</v>
      </c>
      <c r="G207" s="6948"/>
      <c r="H207" s="6948"/>
      <c r="I207" s="6948"/>
      <c r="J207" s="6948"/>
      <c r="K207" s="6948"/>
      <c r="L207" s="6948"/>
      <c r="M207" s="6949"/>
      <c r="N207" s="6510" t="s">
        <v>1558</v>
      </c>
      <c r="O207" s="6518"/>
      <c r="P207" s="6511" t="s">
        <v>1559</v>
      </c>
      <c r="BY207" s="1839"/>
      <c r="BZ207" s="1839"/>
    </row>
    <row r="208" spans="1:96" ht="16.350000000000001" customHeight="1" x14ac:dyDescent="0.2">
      <c r="A208" s="5783"/>
      <c r="B208" s="6331"/>
      <c r="C208" s="6734"/>
      <c r="D208" s="6735"/>
      <c r="E208" s="6736"/>
      <c r="F208" s="6704" t="s">
        <v>343</v>
      </c>
      <c r="G208" s="6451"/>
      <c r="H208" s="6704" t="s">
        <v>326</v>
      </c>
      <c r="I208" s="6451"/>
      <c r="J208" s="6704" t="s">
        <v>94</v>
      </c>
      <c r="K208" s="6451"/>
      <c r="L208" s="6704" t="s">
        <v>1560</v>
      </c>
      <c r="M208" s="6455"/>
      <c r="N208" s="6735"/>
      <c r="O208" s="6759"/>
      <c r="P208" s="6027"/>
    </row>
    <row r="209" spans="1:97" ht="16.350000000000001" customHeight="1" x14ac:dyDescent="0.2">
      <c r="A209" s="5783"/>
      <c r="B209" s="6331"/>
      <c r="C209" s="866" t="s">
        <v>79</v>
      </c>
      <c r="D209" s="490" t="s">
        <v>58</v>
      </c>
      <c r="E209" s="570" t="s">
        <v>59</v>
      </c>
      <c r="F209" s="744" t="s">
        <v>461</v>
      </c>
      <c r="G209" s="3234" t="s">
        <v>59</v>
      </c>
      <c r="H209" s="744" t="s">
        <v>461</v>
      </c>
      <c r="I209" s="3234" t="s">
        <v>59</v>
      </c>
      <c r="J209" s="1802" t="s">
        <v>461</v>
      </c>
      <c r="K209" s="1751" t="s">
        <v>59</v>
      </c>
      <c r="L209" s="744" t="s">
        <v>461</v>
      </c>
      <c r="M209" s="3431" t="s">
        <v>59</v>
      </c>
      <c r="N209" s="550" t="s">
        <v>1561</v>
      </c>
      <c r="O209" s="1797" t="s">
        <v>1562</v>
      </c>
      <c r="P209" s="6736"/>
    </row>
    <row r="210" spans="1:97" ht="16.350000000000001" customHeight="1" x14ac:dyDescent="0.2">
      <c r="A210" s="5783"/>
      <c r="B210" s="6913"/>
      <c r="C210" s="970">
        <f t="shared" ref="C210" si="73">+D210+E210</f>
        <v>0</v>
      </c>
      <c r="D210" s="261">
        <f>+F210+H210+J210+L210</f>
        <v>0</v>
      </c>
      <c r="E210" s="3432">
        <f>+G210+I210+K210+M210</f>
        <v>0</v>
      </c>
      <c r="F210" s="3433">
        <f t="shared" ref="F210:P210" si="74">SUM(F211:F215)</f>
        <v>0</v>
      </c>
      <c r="G210" s="3434">
        <f t="shared" si="74"/>
        <v>0</v>
      </c>
      <c r="H210" s="3433">
        <f t="shared" si="74"/>
        <v>0</v>
      </c>
      <c r="I210" s="3434">
        <f t="shared" si="74"/>
        <v>0</v>
      </c>
      <c r="J210" s="3433">
        <f t="shared" si="74"/>
        <v>0</v>
      </c>
      <c r="K210" s="3435">
        <f t="shared" si="74"/>
        <v>0</v>
      </c>
      <c r="L210" s="3426">
        <f t="shared" si="74"/>
        <v>0</v>
      </c>
      <c r="M210" s="3436">
        <f t="shared" si="74"/>
        <v>0</v>
      </c>
      <c r="N210" s="3437">
        <f t="shared" si="74"/>
        <v>0</v>
      </c>
      <c r="O210" s="3434">
        <f t="shared" si="74"/>
        <v>0</v>
      </c>
      <c r="P210" s="3438">
        <f t="shared" si="74"/>
        <v>0</v>
      </c>
      <c r="Q210" s="1839"/>
      <c r="R210" s="1839"/>
      <c r="S210" s="1839"/>
      <c r="T210" s="1839"/>
      <c r="U210" s="1839"/>
      <c r="V210" s="1839"/>
      <c r="W210" s="1839"/>
      <c r="X210" s="1839"/>
      <c r="Y210" s="1839"/>
      <c r="Z210" s="1839"/>
      <c r="AA210" s="1839"/>
      <c r="AB210" s="1839"/>
      <c r="AC210" s="1839"/>
      <c r="AD210" s="1839"/>
      <c r="AE210" s="1839"/>
      <c r="AF210" s="1839"/>
    </row>
    <row r="211" spans="1:97" ht="15" customHeight="1" x14ac:dyDescent="0.2">
      <c r="A211" s="5796" t="s">
        <v>5669</v>
      </c>
      <c r="B211" s="3235" t="s">
        <v>1563</v>
      </c>
      <c r="C211" s="3439" t="s">
        <v>4567</v>
      </c>
      <c r="D211" s="995" t="s">
        <v>4568</v>
      </c>
      <c r="E211" s="606" t="s">
        <v>4569</v>
      </c>
      <c r="F211" s="326" t="s">
        <v>4570</v>
      </c>
      <c r="G211" s="142" t="s">
        <v>4571</v>
      </c>
      <c r="H211" s="326" t="s">
        <v>4572</v>
      </c>
      <c r="I211" s="142" t="s">
        <v>4573</v>
      </c>
      <c r="J211" s="326" t="s">
        <v>4574</v>
      </c>
      <c r="K211" s="882" t="s">
        <v>4575</v>
      </c>
      <c r="L211" s="326" t="s">
        <v>4576</v>
      </c>
      <c r="M211" s="1884" t="s">
        <v>4577</v>
      </c>
      <c r="N211" s="44" t="s">
        <v>4578</v>
      </c>
      <c r="O211" s="142" t="s">
        <v>4579</v>
      </c>
      <c r="P211" s="2035" t="s">
        <v>4580</v>
      </c>
      <c r="Q211" s="3258" t="e">
        <f>CB211&amp;CC211&amp;CD211&amp;CE211</f>
        <v>#VALUE!</v>
      </c>
      <c r="R211" s="3229"/>
      <c r="S211" s="3229"/>
      <c r="T211" s="3229"/>
      <c r="U211" s="3229"/>
      <c r="V211" s="3229"/>
      <c r="W211" s="3229"/>
      <c r="X211" s="3229"/>
      <c r="Y211" s="3229"/>
      <c r="Z211" s="3229"/>
      <c r="AA211" s="3229"/>
      <c r="AB211" s="3229"/>
      <c r="AC211" s="1839"/>
      <c r="AD211" s="1839"/>
      <c r="AE211" s="1839"/>
      <c r="AF211" s="1839"/>
      <c r="CB211" s="431" t="str">
        <f>IF(AND($C211&gt;0,N211="")," * No olvide digitar la variable "&amp;N$207&amp;""&amp;" Única. Digite CERO si no tiene.","")</f>
        <v/>
      </c>
      <c r="CC211" s="431" t="str">
        <f>IF(AND($C211&gt;0,O211="")," * No olvide digitar la variable "&amp;N$207&amp;""&amp;" Múltiple. Digite CERO si no tiene.","")</f>
        <v/>
      </c>
      <c r="CD211" s="431" t="e">
        <f>IF(AND(N211+O211&gt;$C211)," * La variable "&amp;N$207&amp;""&amp;"  No puede ser mayor al Total.","")</f>
        <v>#VALUE!</v>
      </c>
      <c r="CE211" s="431" t="str">
        <f>IF(AND($C211&gt;0,P211="")," * No olvide digitar la variable "&amp;P$207&amp;""&amp;". Digite CERO si no tiene",IF(P211&gt;$C211," * La variable "&amp;P$207&amp;""&amp;" No puede ser mayor al Total.",""))</f>
        <v xml:space="preserve"> * La variable Indicación de Vacuna No puede ser mayor al Total.</v>
      </c>
      <c r="CN211" s="180">
        <f>IF(AND($C211&gt;0,N211=""),1,0)</f>
        <v>0</v>
      </c>
      <c r="CO211" s="180">
        <f>IF(AND($C211&gt;0,O211=""),1,0)</f>
        <v>0</v>
      </c>
      <c r="CP211" s="180" t="e">
        <f>IF(AND(N211+O211&gt;$C211),1,0)</f>
        <v>#VALUE!</v>
      </c>
      <c r="CQ211" s="180">
        <f>IF(AND($C211&gt;0,P211=""),1,0)</f>
        <v>0</v>
      </c>
      <c r="CS211" s="8"/>
    </row>
    <row r="212" spans="1:97" ht="15" customHeight="1" x14ac:dyDescent="0.2">
      <c r="A212" s="5795" t="s">
        <v>5670</v>
      </c>
      <c r="B212" s="360" t="s">
        <v>1564</v>
      </c>
      <c r="C212" s="3440" t="s">
        <v>4567</v>
      </c>
      <c r="D212" s="3441" t="s">
        <v>4568</v>
      </c>
      <c r="E212" s="344" t="s">
        <v>4569</v>
      </c>
      <c r="F212" s="328" t="s">
        <v>4570</v>
      </c>
      <c r="G212" s="329" t="s">
        <v>4571</v>
      </c>
      <c r="H212" s="328" t="s">
        <v>4572</v>
      </c>
      <c r="I212" s="329" t="s">
        <v>4573</v>
      </c>
      <c r="J212" s="328" t="s">
        <v>4574</v>
      </c>
      <c r="K212" s="1969" t="s">
        <v>4575</v>
      </c>
      <c r="L212" s="328" t="s">
        <v>4576</v>
      </c>
      <c r="M212" s="2268" t="s">
        <v>4577</v>
      </c>
      <c r="N212" s="2034" t="s">
        <v>4578</v>
      </c>
      <c r="O212" s="329" t="s">
        <v>4579</v>
      </c>
      <c r="P212" s="3442" t="s">
        <v>4580</v>
      </c>
      <c r="Q212" s="3258" t="e">
        <f t="shared" ref="Q212:Q215" si="75">CB212&amp;CC212&amp;CD212&amp;CE212</f>
        <v>#VALUE!</v>
      </c>
      <c r="R212" s="3229"/>
      <c r="S212" s="3229"/>
      <c r="T212" s="3229"/>
      <c r="U212" s="3229"/>
      <c r="V212" s="3229"/>
      <c r="W212" s="3229"/>
      <c r="X212" s="3229"/>
      <c r="Y212" s="3229"/>
      <c r="Z212" s="3229"/>
      <c r="AA212" s="3229"/>
      <c r="AB212" s="3229"/>
      <c r="AC212" s="1839"/>
      <c r="AD212" s="1839"/>
      <c r="AE212" s="1839"/>
      <c r="AF212" s="1839"/>
      <c r="CB212" s="431" t="str">
        <f t="shared" ref="CB212:CB215" si="76">IF(AND($C212&gt;0,N212="")," * No olvide digitar la variable "&amp;N$207&amp;""&amp;" Única. Digite CERO si no tiene.","")</f>
        <v/>
      </c>
      <c r="CC212" s="431" t="str">
        <f t="shared" ref="CC212:CC215" si="77">IF(AND($C212&gt;0,O212="")," * No olvide digitar la variable "&amp;N$207&amp;""&amp;" Múltiple. Digite CERO si no tiene.","")</f>
        <v/>
      </c>
      <c r="CD212" s="431" t="e">
        <f t="shared" ref="CD212:CD215" si="78">IF(AND(N212+O212&gt;$C212)," * La variable "&amp;N$207&amp;""&amp;"  No puede ser mayor al Total.","")</f>
        <v>#VALUE!</v>
      </c>
      <c r="CE212" s="431" t="str">
        <f t="shared" ref="CE212:CE215" si="79">IF(AND($C212&gt;0,P212="")," * No olvide digitar la variable "&amp;P$207&amp;""&amp;". Digite CERO si no tiene",IF(P212&gt;$C212," * La variable "&amp;P$207&amp;""&amp;" No puede ser mayor al Total.",""))</f>
        <v xml:space="preserve"> * La variable Indicación de Vacuna No puede ser mayor al Total.</v>
      </c>
      <c r="CN212" s="180">
        <f t="shared" ref="CN212:CN215" si="80">IF(AND($C212&gt;0,N212=""),1,0)</f>
        <v>0</v>
      </c>
      <c r="CO212" s="180">
        <f t="shared" ref="CO212:CO215" si="81">IF(AND($C212&gt;0,O212=""),1,0)</f>
        <v>0</v>
      </c>
      <c r="CP212" s="180" t="e">
        <f t="shared" ref="CP212:CP215" si="82">IF(AND(N212+O212&gt;$C212),1,0)</f>
        <v>#VALUE!</v>
      </c>
      <c r="CQ212" s="180">
        <f t="shared" ref="CQ212:CQ215" si="83">IF(AND($C212&gt;0,P212=""),1,0)</f>
        <v>0</v>
      </c>
    </row>
    <row r="213" spans="1:97" ht="15" customHeight="1" x14ac:dyDescent="0.2">
      <c r="A213" s="5795" t="s">
        <v>5671</v>
      </c>
      <c r="B213" s="360" t="s">
        <v>1565</v>
      </c>
      <c r="C213" s="3440" t="s">
        <v>4567</v>
      </c>
      <c r="D213" s="3441" t="s">
        <v>4568</v>
      </c>
      <c r="E213" s="344" t="s">
        <v>4569</v>
      </c>
      <c r="F213" s="328" t="s">
        <v>4570</v>
      </c>
      <c r="G213" s="329" t="s">
        <v>4571</v>
      </c>
      <c r="H213" s="328" t="s">
        <v>4572</v>
      </c>
      <c r="I213" s="329" t="s">
        <v>4573</v>
      </c>
      <c r="J213" s="328" t="s">
        <v>4574</v>
      </c>
      <c r="K213" s="1969" t="s">
        <v>4575</v>
      </c>
      <c r="L213" s="328" t="s">
        <v>4576</v>
      </c>
      <c r="M213" s="2268" t="s">
        <v>4577</v>
      </c>
      <c r="N213" s="2034" t="s">
        <v>4578</v>
      </c>
      <c r="O213" s="329" t="s">
        <v>4579</v>
      </c>
      <c r="P213" s="3442" t="s">
        <v>4580</v>
      </c>
      <c r="Q213" s="3258" t="e">
        <f t="shared" si="75"/>
        <v>#VALUE!</v>
      </c>
      <c r="R213" s="3229"/>
      <c r="S213" s="3229"/>
      <c r="T213" s="3229"/>
      <c r="U213" s="3229"/>
      <c r="V213" s="3229"/>
      <c r="W213" s="3229"/>
      <c r="X213" s="3229"/>
      <c r="Y213" s="3229"/>
      <c r="Z213" s="3229"/>
      <c r="AA213" s="3229"/>
      <c r="AB213" s="3229"/>
      <c r="AC213" s="1839"/>
      <c r="AD213" s="1839"/>
      <c r="AE213" s="1839"/>
      <c r="AF213" s="1839"/>
      <c r="CB213" s="431" t="str">
        <f t="shared" si="76"/>
        <v/>
      </c>
      <c r="CC213" s="431" t="str">
        <f t="shared" si="77"/>
        <v/>
      </c>
      <c r="CD213" s="431" t="e">
        <f t="shared" si="78"/>
        <v>#VALUE!</v>
      </c>
      <c r="CE213" s="431" t="str">
        <f t="shared" si="79"/>
        <v xml:space="preserve"> * La variable Indicación de Vacuna No puede ser mayor al Total.</v>
      </c>
      <c r="CN213" s="180">
        <f t="shared" si="80"/>
        <v>0</v>
      </c>
      <c r="CO213" s="180">
        <f t="shared" si="81"/>
        <v>0</v>
      </c>
      <c r="CP213" s="180" t="e">
        <f t="shared" si="82"/>
        <v>#VALUE!</v>
      </c>
      <c r="CQ213" s="180">
        <f t="shared" si="83"/>
        <v>0</v>
      </c>
    </row>
    <row r="214" spans="1:97" ht="15" customHeight="1" x14ac:dyDescent="0.2">
      <c r="A214" s="5795" t="s">
        <v>5672</v>
      </c>
      <c r="B214" s="360" t="s">
        <v>1566</v>
      </c>
      <c r="C214" s="3440" t="s">
        <v>4567</v>
      </c>
      <c r="D214" s="3441" t="s">
        <v>4568</v>
      </c>
      <c r="E214" s="344" t="s">
        <v>4569</v>
      </c>
      <c r="F214" s="212" t="s">
        <v>4570</v>
      </c>
      <c r="G214" s="34" t="s">
        <v>4571</v>
      </c>
      <c r="H214" s="212" t="s">
        <v>4572</v>
      </c>
      <c r="I214" s="34" t="s">
        <v>4573</v>
      </c>
      <c r="J214" s="212" t="s">
        <v>4574</v>
      </c>
      <c r="K214" s="1136" t="s">
        <v>4575</v>
      </c>
      <c r="L214" s="212" t="s">
        <v>4576</v>
      </c>
      <c r="M214" s="3443" t="s">
        <v>4577</v>
      </c>
      <c r="N214" s="1137" t="s">
        <v>4578</v>
      </c>
      <c r="O214" s="34" t="s">
        <v>4579</v>
      </c>
      <c r="P214" s="3444" t="s">
        <v>4580</v>
      </c>
      <c r="Q214" s="3258" t="e">
        <f t="shared" si="75"/>
        <v>#VALUE!</v>
      </c>
      <c r="R214" s="3229"/>
      <c r="S214" s="3229"/>
      <c r="T214" s="3229"/>
      <c r="U214" s="3229"/>
      <c r="V214" s="3229"/>
      <c r="W214" s="3229"/>
      <c r="X214" s="3229"/>
      <c r="Y214" s="3229"/>
      <c r="Z214" s="3229"/>
      <c r="AA214" s="3229"/>
      <c r="AB214" s="3229"/>
      <c r="AC214" s="1839"/>
      <c r="AD214" s="1839"/>
      <c r="AE214" s="1839"/>
      <c r="AF214" s="1839"/>
      <c r="CB214" s="431" t="str">
        <f t="shared" si="76"/>
        <v/>
      </c>
      <c r="CC214" s="431" t="str">
        <f t="shared" si="77"/>
        <v/>
      </c>
      <c r="CD214" s="431" t="e">
        <f t="shared" si="78"/>
        <v>#VALUE!</v>
      </c>
      <c r="CE214" s="431" t="str">
        <f t="shared" si="79"/>
        <v xml:space="preserve"> * La variable Indicación de Vacuna No puede ser mayor al Total.</v>
      </c>
      <c r="CN214" s="180">
        <f t="shared" si="80"/>
        <v>0</v>
      </c>
      <c r="CO214" s="180">
        <f t="shared" si="81"/>
        <v>0</v>
      </c>
      <c r="CP214" s="180" t="e">
        <f t="shared" si="82"/>
        <v>#VALUE!</v>
      </c>
      <c r="CQ214" s="180">
        <f t="shared" si="83"/>
        <v>0</v>
      </c>
    </row>
    <row r="215" spans="1:97" ht="15" customHeight="1" x14ac:dyDescent="0.2">
      <c r="A215" s="5795" t="s">
        <v>5673</v>
      </c>
      <c r="B215" s="870" t="s">
        <v>1567</v>
      </c>
      <c r="C215" s="1552" t="s">
        <v>4567</v>
      </c>
      <c r="D215" s="277" t="s">
        <v>4568</v>
      </c>
      <c r="E215" s="3346" t="s">
        <v>4569</v>
      </c>
      <c r="F215" s="853" t="s">
        <v>4570</v>
      </c>
      <c r="G215" s="1975" t="s">
        <v>4571</v>
      </c>
      <c r="H215" s="853" t="s">
        <v>4572</v>
      </c>
      <c r="I215" s="1975" t="s">
        <v>4573</v>
      </c>
      <c r="J215" s="853" t="s">
        <v>4574</v>
      </c>
      <c r="K215" s="1975" t="s">
        <v>4575</v>
      </c>
      <c r="L215" s="853" t="s">
        <v>4576</v>
      </c>
      <c r="M215" s="1919" t="s">
        <v>4577</v>
      </c>
      <c r="N215" s="1877" t="s">
        <v>4578</v>
      </c>
      <c r="O215" s="1975" t="s">
        <v>4579</v>
      </c>
      <c r="P215" s="2286" t="s">
        <v>4580</v>
      </c>
      <c r="Q215" s="3258" t="e">
        <f t="shared" si="75"/>
        <v>#VALUE!</v>
      </c>
      <c r="R215" s="3229"/>
      <c r="S215" s="3229"/>
      <c r="T215" s="3229"/>
      <c r="U215" s="3229"/>
      <c r="V215" s="3229"/>
      <c r="W215" s="3229"/>
      <c r="X215" s="3229"/>
      <c r="Y215" s="3229"/>
      <c r="Z215" s="3229"/>
      <c r="AA215" s="3229"/>
      <c r="AB215" s="3229"/>
      <c r="AC215" s="1839"/>
      <c r="AD215" s="1839"/>
      <c r="AE215" s="1839"/>
      <c r="AF215" s="1839"/>
      <c r="CB215" s="431" t="str">
        <f t="shared" si="76"/>
        <v/>
      </c>
      <c r="CC215" s="431" t="str">
        <f t="shared" si="77"/>
        <v/>
      </c>
      <c r="CD215" s="431" t="e">
        <f t="shared" si="78"/>
        <v>#VALUE!</v>
      </c>
      <c r="CE215" s="431" t="str">
        <f t="shared" si="79"/>
        <v xml:space="preserve"> * La variable Indicación de Vacuna No puede ser mayor al Total.</v>
      </c>
      <c r="CN215" s="180">
        <f t="shared" si="80"/>
        <v>0</v>
      </c>
      <c r="CO215" s="180">
        <f t="shared" si="81"/>
        <v>0</v>
      </c>
      <c r="CP215" s="180" t="e">
        <f t="shared" si="82"/>
        <v>#VALUE!</v>
      </c>
      <c r="CQ215" s="180">
        <f t="shared" si="83"/>
        <v>0</v>
      </c>
    </row>
    <row r="216" spans="1:97" x14ac:dyDescent="0.2">
      <c r="A216" s="5797"/>
    </row>
    <row r="217" spans="1:97" x14ac:dyDescent="0.2">
      <c r="A217" s="5797"/>
    </row>
    <row r="218" spans="1:97" x14ac:dyDescent="0.2">
      <c r="A218" s="5608" t="s">
        <v>4566</v>
      </c>
    </row>
    <row r="219" spans="1:97" x14ac:dyDescent="0.2">
      <c r="A219" s="5808" t="s">
        <v>5566</v>
      </c>
    </row>
    <row r="220" spans="1:97" x14ac:dyDescent="0.2">
      <c r="A220" s="5808" t="s">
        <v>5591</v>
      </c>
    </row>
    <row r="221" spans="1:97" x14ac:dyDescent="0.2">
      <c r="A221" s="5808" t="s">
        <v>5592</v>
      </c>
    </row>
    <row r="222" spans="1:97" x14ac:dyDescent="0.2">
      <c r="A222" s="5808" t="s">
        <v>5593</v>
      </c>
    </row>
    <row r="223" spans="1:97" x14ac:dyDescent="0.2">
      <c r="A223" s="5808" t="s">
        <v>5594</v>
      </c>
    </row>
    <row r="224" spans="1:97" x14ac:dyDescent="0.2">
      <c r="A224" s="5808" t="s">
        <v>5595</v>
      </c>
    </row>
    <row r="225" spans="1:14" x14ac:dyDescent="0.2">
      <c r="A225" s="5808" t="s">
        <v>5596</v>
      </c>
    </row>
    <row r="226" spans="1:14" x14ac:dyDescent="0.2">
      <c r="A226" s="5808" t="s">
        <v>5632</v>
      </c>
    </row>
    <row r="227" spans="1:14" x14ac:dyDescent="0.2">
      <c r="A227" s="5808" t="s">
        <v>5635</v>
      </c>
    </row>
    <row r="232" spans="1:14" hidden="1" x14ac:dyDescent="0.2">
      <c r="B232" s="3445">
        <f>SUM(C12:C15,C20:C25,C41:C46,C67,C101,D106:D113,E116:E118,D123:D125,D129:D130,C135,D135,E136,F136,D141:D142,C158,D161:E161,D165:D166,D169:D174,D178:D183,C188:C191,D195:D196,C199:C200,C205,C210)</f>
        <v>0</v>
      </c>
      <c r="C232" s="3445" t="e">
        <f>SUM(#REF!)</f>
        <v>#REF!</v>
      </c>
      <c r="D232" s="3445"/>
      <c r="E232" s="3445"/>
      <c r="F232" s="3445"/>
      <c r="G232" s="3445"/>
      <c r="H232" s="3445"/>
      <c r="I232" s="3445"/>
      <c r="J232" s="3445"/>
      <c r="K232" s="3445"/>
      <c r="L232" s="3445"/>
      <c r="M232" s="3445"/>
      <c r="N232" s="3445"/>
    </row>
    <row r="248" spans="2:3" ht="15" hidden="1" x14ac:dyDescent="0.25">
      <c r="B248" s="3032">
        <f>SUM(C12:C15,C20:C26,C31:C36,C41:C46,C51:C56,C61:C66,C72:C77,C81:C100,D107:D113,E116:E118,D123:D125,D129:D131,D141:D142,C146:C157,D161:E161,D165:D166,D169:G174,D178:D183,C188:C191,D195:D196,C199:C200,C205,C211:C215)</f>
        <v>0</v>
      </c>
      <c r="C248" s="3033" t="e">
        <f>SUM(CN12:CT215)</f>
        <v>#VALUE!</v>
      </c>
    </row>
  </sheetData>
  <mergeCells count="344">
    <mergeCell ref="B207:B210"/>
    <mergeCell ref="C207:E208"/>
    <mergeCell ref="F207:M207"/>
    <mergeCell ref="N207:O208"/>
    <mergeCell ref="P207:P209"/>
    <mergeCell ref="F208:G208"/>
    <mergeCell ref="H208:I208"/>
    <mergeCell ref="J208:K208"/>
    <mergeCell ref="L208:M208"/>
    <mergeCell ref="M193:N193"/>
    <mergeCell ref="AN202:AN204"/>
    <mergeCell ref="AO202:AO204"/>
    <mergeCell ref="F203:G203"/>
    <mergeCell ref="H203:I203"/>
    <mergeCell ref="J203:K203"/>
    <mergeCell ref="L203:M203"/>
    <mergeCell ref="N203:O203"/>
    <mergeCell ref="P203:Q203"/>
    <mergeCell ref="R203:S203"/>
    <mergeCell ref="T203:U203"/>
    <mergeCell ref="V203:W203"/>
    <mergeCell ref="X203:Y203"/>
    <mergeCell ref="Z203:AA203"/>
    <mergeCell ref="AB203:AC203"/>
    <mergeCell ref="AD203:AE203"/>
    <mergeCell ref="AF203:AG203"/>
    <mergeCell ref="AH203:AI203"/>
    <mergeCell ref="AJ203:AK203"/>
    <mergeCell ref="F202:AK202"/>
    <mergeCell ref="AJ186:AK186"/>
    <mergeCell ref="AL186:AM186"/>
    <mergeCell ref="AJ193:AJ194"/>
    <mergeCell ref="AK193:AK194"/>
    <mergeCell ref="AL193:AL194"/>
    <mergeCell ref="AM193:AM194"/>
    <mergeCell ref="AN193:AN194"/>
    <mergeCell ref="B195:B196"/>
    <mergeCell ref="B202:B204"/>
    <mergeCell ref="C202:E203"/>
    <mergeCell ref="AL202:AM203"/>
    <mergeCell ref="W193:W194"/>
    <mergeCell ref="X193:X194"/>
    <mergeCell ref="Y193:Y194"/>
    <mergeCell ref="Z193:Z194"/>
    <mergeCell ref="AA193:AA194"/>
    <mergeCell ref="AB193:AB194"/>
    <mergeCell ref="AC193:AF193"/>
    <mergeCell ref="AG193:AH193"/>
    <mergeCell ref="AI193:AI194"/>
    <mergeCell ref="D193:F193"/>
    <mergeCell ref="G193:H193"/>
    <mergeCell ref="I193:J193"/>
    <mergeCell ref="K193:L193"/>
    <mergeCell ref="B178:B180"/>
    <mergeCell ref="B181:B183"/>
    <mergeCell ref="O193:P193"/>
    <mergeCell ref="Q193:R193"/>
    <mergeCell ref="S193:T193"/>
    <mergeCell ref="U193:V193"/>
    <mergeCell ref="B185:B187"/>
    <mergeCell ref="C185:E186"/>
    <mergeCell ref="F185:AM185"/>
    <mergeCell ref="F186:G186"/>
    <mergeCell ref="H186:I186"/>
    <mergeCell ref="J186:K186"/>
    <mergeCell ref="L186:M186"/>
    <mergeCell ref="N186:O186"/>
    <mergeCell ref="P186:Q186"/>
    <mergeCell ref="R186:S186"/>
    <mergeCell ref="T186:U186"/>
    <mergeCell ref="V186:W186"/>
    <mergeCell ref="X186:Y186"/>
    <mergeCell ref="Z186:AA186"/>
    <mergeCell ref="AB186:AC186"/>
    <mergeCell ref="AD186:AE186"/>
    <mergeCell ref="AF186:AG186"/>
    <mergeCell ref="AH186:AI186"/>
    <mergeCell ref="B160:C160"/>
    <mergeCell ref="B163:C164"/>
    <mergeCell ref="D163:F163"/>
    <mergeCell ref="G163:G164"/>
    <mergeCell ref="H163:J163"/>
    <mergeCell ref="K163:M163"/>
    <mergeCell ref="B169:B170"/>
    <mergeCell ref="B172:B174"/>
    <mergeCell ref="B176:C177"/>
    <mergeCell ref="D176:F176"/>
    <mergeCell ref="G176:G177"/>
    <mergeCell ref="H176:H177"/>
    <mergeCell ref="I176:I177"/>
    <mergeCell ref="AF127:AF128"/>
    <mergeCell ref="AG127:AG128"/>
    <mergeCell ref="AH127:AH128"/>
    <mergeCell ref="B139:C140"/>
    <mergeCell ref="D139:D140"/>
    <mergeCell ref="E139:J139"/>
    <mergeCell ref="K139:K140"/>
    <mergeCell ref="B141:B142"/>
    <mergeCell ref="B144:B145"/>
    <mergeCell ref="C144:C145"/>
    <mergeCell ref="B133:B134"/>
    <mergeCell ref="C133:F133"/>
    <mergeCell ref="G133:H133"/>
    <mergeCell ref="Q127:R127"/>
    <mergeCell ref="S127:T127"/>
    <mergeCell ref="U127:V127"/>
    <mergeCell ref="W127:X127"/>
    <mergeCell ref="Y127:Z127"/>
    <mergeCell ref="AA127:AE127"/>
    <mergeCell ref="AO120:AO122"/>
    <mergeCell ref="I121:J121"/>
    <mergeCell ref="K121:L121"/>
    <mergeCell ref="M121:N121"/>
    <mergeCell ref="O121:P121"/>
    <mergeCell ref="Q121:R121"/>
    <mergeCell ref="S121:T121"/>
    <mergeCell ref="U121:V121"/>
    <mergeCell ref="W121:X121"/>
    <mergeCell ref="Y121:Z121"/>
    <mergeCell ref="AA121:AB121"/>
    <mergeCell ref="AC121:AD121"/>
    <mergeCell ref="AE121:AF121"/>
    <mergeCell ref="AG121:AH121"/>
    <mergeCell ref="AI121:AJ121"/>
    <mergeCell ref="AK121:AL121"/>
    <mergeCell ref="AM121:AN121"/>
    <mergeCell ref="AO103:AO105"/>
    <mergeCell ref="AP103:AP105"/>
    <mergeCell ref="G104:H104"/>
    <mergeCell ref="I104:J104"/>
    <mergeCell ref="K104:L104"/>
    <mergeCell ref="M104:N104"/>
    <mergeCell ref="O104:P104"/>
    <mergeCell ref="Q104:R104"/>
    <mergeCell ref="S104:T104"/>
    <mergeCell ref="U104:V104"/>
    <mergeCell ref="W104:X104"/>
    <mergeCell ref="Y104:Z104"/>
    <mergeCell ref="AA104:AB104"/>
    <mergeCell ref="AC104:AD104"/>
    <mergeCell ref="AE104:AF104"/>
    <mergeCell ref="AG104:AH104"/>
    <mergeCell ref="AI104:AJ104"/>
    <mergeCell ref="AK104:AL104"/>
    <mergeCell ref="AM104:AN104"/>
    <mergeCell ref="B69:B71"/>
    <mergeCell ref="C69:E70"/>
    <mergeCell ref="F69:AM69"/>
    <mergeCell ref="F70:G70"/>
    <mergeCell ref="H70:I70"/>
    <mergeCell ref="J70:K70"/>
    <mergeCell ref="L70:M70"/>
    <mergeCell ref="N70:O70"/>
    <mergeCell ref="P70:Q70"/>
    <mergeCell ref="R70:S70"/>
    <mergeCell ref="T70:U70"/>
    <mergeCell ref="V70:W70"/>
    <mergeCell ref="X70:Y70"/>
    <mergeCell ref="Z70:AA70"/>
    <mergeCell ref="AB70:AC70"/>
    <mergeCell ref="AD70:AE70"/>
    <mergeCell ref="AF70:AG70"/>
    <mergeCell ref="AH70:AI70"/>
    <mergeCell ref="AJ70:AK70"/>
    <mergeCell ref="AL70:AM70"/>
    <mergeCell ref="AS17:AS19"/>
    <mergeCell ref="F18:G18"/>
    <mergeCell ref="H18:I18"/>
    <mergeCell ref="J18:K18"/>
    <mergeCell ref="L18:M18"/>
    <mergeCell ref="N18:O18"/>
    <mergeCell ref="P18:Q18"/>
    <mergeCell ref="R18:S18"/>
    <mergeCell ref="T18:U18"/>
    <mergeCell ref="V18:W18"/>
    <mergeCell ref="X18:Y18"/>
    <mergeCell ref="Z18:AA18"/>
    <mergeCell ref="AB18:AC18"/>
    <mergeCell ref="AD18:AE18"/>
    <mergeCell ref="AF18:AG18"/>
    <mergeCell ref="AH18:AI18"/>
    <mergeCell ref="AJ18:AK18"/>
    <mergeCell ref="AL18:AM18"/>
    <mergeCell ref="B193:C194"/>
    <mergeCell ref="B165:B166"/>
    <mergeCell ref="B168:C168"/>
    <mergeCell ref="B120:C122"/>
    <mergeCell ref="D120:F121"/>
    <mergeCell ref="G120:AN120"/>
    <mergeCell ref="B123:C123"/>
    <mergeCell ref="B124:C124"/>
    <mergeCell ref="B125:C125"/>
    <mergeCell ref="B127:C128"/>
    <mergeCell ref="D127:F127"/>
    <mergeCell ref="G127:H127"/>
    <mergeCell ref="I127:J127"/>
    <mergeCell ref="K127:L127"/>
    <mergeCell ref="M127:N127"/>
    <mergeCell ref="O127:P127"/>
    <mergeCell ref="G121:H121"/>
    <mergeCell ref="AI127:AI128"/>
    <mergeCell ref="AJ127:AJ128"/>
    <mergeCell ref="AK127:AK128"/>
    <mergeCell ref="AL127:AL128"/>
    <mergeCell ref="B129:C129"/>
    <mergeCell ref="B130:C130"/>
    <mergeCell ref="B131:C131"/>
    <mergeCell ref="B116:C118"/>
    <mergeCell ref="B119:L119"/>
    <mergeCell ref="B113:C113"/>
    <mergeCell ref="B112:C112"/>
    <mergeCell ref="B110:C110"/>
    <mergeCell ref="B111:C111"/>
    <mergeCell ref="B115:D115"/>
    <mergeCell ref="B103:C105"/>
    <mergeCell ref="D103:F104"/>
    <mergeCell ref="G103:AN103"/>
    <mergeCell ref="B106:C106"/>
    <mergeCell ref="B107:B109"/>
    <mergeCell ref="T59:U59"/>
    <mergeCell ref="V59:W59"/>
    <mergeCell ref="X59:Y59"/>
    <mergeCell ref="Z59:AA59"/>
    <mergeCell ref="AB59:AC59"/>
    <mergeCell ref="B58:B60"/>
    <mergeCell ref="C58:E59"/>
    <mergeCell ref="F58:AM58"/>
    <mergeCell ref="AL59:AM59"/>
    <mergeCell ref="AN58:AO59"/>
    <mergeCell ref="F59:G59"/>
    <mergeCell ref="H59:I59"/>
    <mergeCell ref="J59:K59"/>
    <mergeCell ref="L59:M59"/>
    <mergeCell ref="N59:O59"/>
    <mergeCell ref="P59:Q59"/>
    <mergeCell ref="AB49:AC49"/>
    <mergeCell ref="AD49:AE49"/>
    <mergeCell ref="AF49:AG49"/>
    <mergeCell ref="AH49:AI49"/>
    <mergeCell ref="AJ49:AK49"/>
    <mergeCell ref="AL49:AM49"/>
    <mergeCell ref="P49:Q49"/>
    <mergeCell ref="R49:S49"/>
    <mergeCell ref="T49:U49"/>
    <mergeCell ref="V49:W49"/>
    <mergeCell ref="X49:Y49"/>
    <mergeCell ref="Z49:AA49"/>
    <mergeCell ref="AD59:AE59"/>
    <mergeCell ref="AF59:AG59"/>
    <mergeCell ref="AH59:AI59"/>
    <mergeCell ref="AJ59:AK59"/>
    <mergeCell ref="R59:S59"/>
    <mergeCell ref="B48:B50"/>
    <mergeCell ref="C48:E49"/>
    <mergeCell ref="F48:AM48"/>
    <mergeCell ref="AN48:AN50"/>
    <mergeCell ref="AO48:AO50"/>
    <mergeCell ref="F49:G49"/>
    <mergeCell ref="H49:I49"/>
    <mergeCell ref="J49:K49"/>
    <mergeCell ref="L49:M49"/>
    <mergeCell ref="N49:O49"/>
    <mergeCell ref="B38:B40"/>
    <mergeCell ref="C38:E39"/>
    <mergeCell ref="F38:AM38"/>
    <mergeCell ref="AN38:AN40"/>
    <mergeCell ref="AO38:AO40"/>
    <mergeCell ref="F39:G39"/>
    <mergeCell ref="H39:I39"/>
    <mergeCell ref="J39:K39"/>
    <mergeCell ref="L39:M39"/>
    <mergeCell ref="N39:O39"/>
    <mergeCell ref="AB39:AC39"/>
    <mergeCell ref="AD39:AE39"/>
    <mergeCell ref="AF39:AG39"/>
    <mergeCell ref="AH39:AI39"/>
    <mergeCell ref="AJ39:AK39"/>
    <mergeCell ref="AL39:AM39"/>
    <mergeCell ref="P39:Q39"/>
    <mergeCell ref="R39:S39"/>
    <mergeCell ref="T39:U39"/>
    <mergeCell ref="V39:W39"/>
    <mergeCell ref="X39:Y39"/>
    <mergeCell ref="Z39:AA39"/>
    <mergeCell ref="B28:B30"/>
    <mergeCell ref="C28:E29"/>
    <mergeCell ref="F28:AM28"/>
    <mergeCell ref="AN28:AN30"/>
    <mergeCell ref="AO28:AO30"/>
    <mergeCell ref="F29:G29"/>
    <mergeCell ref="H29:I29"/>
    <mergeCell ref="J29:K29"/>
    <mergeCell ref="L29:M29"/>
    <mergeCell ref="N29:O29"/>
    <mergeCell ref="AB29:AC29"/>
    <mergeCell ref="AD29:AE29"/>
    <mergeCell ref="AF29:AG29"/>
    <mergeCell ref="AH29:AI29"/>
    <mergeCell ref="AJ29:AK29"/>
    <mergeCell ref="AL29:AM29"/>
    <mergeCell ref="P29:Q29"/>
    <mergeCell ref="R29:S29"/>
    <mergeCell ref="T29:U29"/>
    <mergeCell ref="V29:W29"/>
    <mergeCell ref="X29:Y29"/>
    <mergeCell ref="Z29:AA29"/>
    <mergeCell ref="B27:I27"/>
    <mergeCell ref="B17:B19"/>
    <mergeCell ref="C17:E18"/>
    <mergeCell ref="F17:AM17"/>
    <mergeCell ref="AN9:AN11"/>
    <mergeCell ref="AO9:AR9"/>
    <mergeCell ref="AD10:AE10"/>
    <mergeCell ref="AF10:AG10"/>
    <mergeCell ref="AH10:AI10"/>
    <mergeCell ref="AJ10:AK10"/>
    <mergeCell ref="AL10:AM10"/>
    <mergeCell ref="AO10:AO11"/>
    <mergeCell ref="AP10:AP11"/>
    <mergeCell ref="AN17:AN19"/>
    <mergeCell ref="AO17:AO19"/>
    <mergeCell ref="AP17:AP19"/>
    <mergeCell ref="AQ17:AQ19"/>
    <mergeCell ref="AR17:AR19"/>
    <mergeCell ref="AS9:AS11"/>
    <mergeCell ref="AT9:AT11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B6:P6"/>
    <mergeCell ref="B9:B11"/>
    <mergeCell ref="C9:E10"/>
    <mergeCell ref="F9:AM9"/>
    <mergeCell ref="X10:Y10"/>
    <mergeCell ref="Z10:AA10"/>
    <mergeCell ref="AB10:AC10"/>
    <mergeCell ref="AQ10:AQ11"/>
    <mergeCell ref="AR10:AR11"/>
  </mergeCells>
  <dataValidations count="9">
    <dataValidation type="whole" operator="greaterThanOrEqual" allowBlank="1" showInputMessage="1" showErrorMessage="1" errorTitle="Error" error="Favor Ingrese sólo Números." sqref="F211:P215 F72:AM77 G129:AL131 G123:AO125 E165:M166 G195:AN196 D161:E161 F205:AO205 D81:F100 F43:AN46 AP27:AP30 E116:E118 E178:I183 E141:K142 F53:AN56 AQ27:AQ36 AO41:AO46 AO51:AO56 C146:C157" xr:uid="{06C3B37C-2123-4342-8B6F-B599B47A1EBD}">
      <formula1>0</formula1>
    </dataValidation>
    <dataValidation type="whole" allowBlank="1" showInputMessage="1" showErrorMessage="1" sqref="F12:AT15 F20:AS26 F31:AN32 F41:AN42 F51:AN52" xr:uid="{F9E0FC18-384A-4619-91A3-35F558B25C30}">
      <formula1>0</formula1>
      <formula2>9.99999999999999E+40</formula2>
    </dataValidation>
    <dataValidation type="whole" allowBlank="1" showInputMessage="1" showErrorMessage="1" sqref="D199:E200 AO31:AO36 F33:AN36" xr:uid="{CC2E5394-F564-4269-AB5A-97EC4FB2C8F9}">
      <formula1>0</formula1>
      <formula2>9.99999999999999E+41</formula2>
    </dataValidation>
    <dataValidation type="whole" allowBlank="1" showInputMessage="1" showErrorMessage="1" sqref="F61:AO66" xr:uid="{485888A8-DE30-4B4C-9CFF-51697648D8C4}">
      <formula1>0</formula1>
      <formula2>9.99999999999999E+46</formula2>
    </dataValidation>
    <dataValidation type="whole" allowBlank="1" showInputMessage="1" showErrorMessage="1" sqref="G107:AP113" xr:uid="{5E416A39-7CA9-417B-AB10-841A66482361}">
      <formula1>0</formula1>
      <formula2>9.99999999999999E+33</formula2>
    </dataValidation>
    <dataValidation type="whole" allowBlank="1" showInputMessage="1" showErrorMessage="1" sqref="C135:H137" xr:uid="{01063305-AE40-4863-B87A-942BAB5DFED5}">
      <formula1>0</formula1>
      <formula2>9.99999999999999E+32</formula2>
    </dataValidation>
    <dataValidation type="whole" allowBlank="1" showInputMessage="1" showErrorMessage="1" sqref="D169:G174" xr:uid="{12F180FE-B742-4C4C-AE63-8FA088092320}">
      <formula1>0</formula1>
      <formula2>9.99999999999999E+35</formula2>
    </dataValidation>
    <dataValidation type="whole" allowBlank="1" showInputMessage="1" showErrorMessage="1" sqref="F188:AM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P31:AP36 A12:A26 A31:A215 A218:A227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J453"/>
  <sheetViews>
    <sheetView showGridLines="0" zoomScaleNormal="100" workbookViewId="0"/>
  </sheetViews>
  <sheetFormatPr baseColWidth="10" defaultColWidth="11.42578125" defaultRowHeight="15" x14ac:dyDescent="0.25"/>
  <cols>
    <col min="1" max="1" width="21.42578125" customWidth="1"/>
    <col min="2" max="2" width="38.5703125" customWidth="1"/>
    <col min="3" max="3" width="27.28515625" customWidth="1"/>
    <col min="4" max="4" width="33.7109375" customWidth="1"/>
    <col min="5" max="5" width="14.140625" customWidth="1"/>
    <col min="6" max="7" width="13.28515625" customWidth="1"/>
    <col min="8" max="8" width="14.42578125" customWidth="1"/>
    <col min="9" max="9" width="13.28515625" customWidth="1"/>
    <col min="10" max="12" width="14.7109375" customWidth="1"/>
    <col min="14" max="41" width="11.42578125" customWidth="1"/>
    <col min="42" max="42" width="12.42578125" customWidth="1"/>
    <col min="43" max="43" width="12.140625" customWidth="1"/>
    <col min="44" max="44" width="13.7109375" customWidth="1"/>
    <col min="45" max="45" width="13.28515625" customWidth="1"/>
    <col min="46" max="46" width="14.28515625" customWidth="1"/>
    <col min="47" max="47" width="11.85546875" customWidth="1"/>
    <col min="48" max="48" width="12" customWidth="1"/>
    <col min="49" max="49" width="16.140625" customWidth="1"/>
    <col min="50" max="51" width="13.140625" customWidth="1"/>
    <col min="52" max="77" width="11.42578125" customWidth="1"/>
    <col min="78" max="79" width="11.42578125" hidden="1" customWidth="1"/>
    <col min="80" max="105" width="11.42578125" style="25" hidden="1" customWidth="1"/>
    <col min="106" max="108" width="11.42578125" hidden="1" customWidth="1"/>
    <col min="109" max="122" width="11.42578125" customWidth="1"/>
    <col min="131" max="131" width="10.140625" customWidth="1"/>
    <col min="137" max="170" width="11.42578125" customWidth="1"/>
  </cols>
  <sheetData>
    <row r="1" spans="1:140" x14ac:dyDescent="0.25">
      <c r="B1" s="50" t="s">
        <v>23</v>
      </c>
    </row>
    <row r="2" spans="1:140" x14ac:dyDescent="0.25">
      <c r="B2" s="50" t="str">
        <f>CONCATENATE("COMUNA: ",NOMBRE!B2, " (",NOMBRE!C2,NOMBRE!D2,NOMBRE!E2,NOMBRE!F2,NOMBRE!G2,")")</f>
        <v>COMUNA:  ()</v>
      </c>
    </row>
    <row r="3" spans="1:140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140" x14ac:dyDescent="0.25">
      <c r="B4" s="50" t="str">
        <f>CONCATENATE("MES: ",NOMBRE!B6, " (",NOMBRE!C6,NOMBRE!D6,")")</f>
        <v>MES:  ()</v>
      </c>
    </row>
    <row r="5" spans="1:140" x14ac:dyDescent="0.25">
      <c r="B5" s="50" t="str">
        <f>CONCATENATE("AÑO: ",NOMBRE!B7)</f>
        <v>AÑO: 2025</v>
      </c>
    </row>
    <row r="6" spans="1:140" s="88" customFormat="1" ht="18" customHeight="1" x14ac:dyDescent="0.25">
      <c r="B6" s="6383" t="s">
        <v>1568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  <c r="R6" s="3446"/>
      <c r="S6" s="3446"/>
      <c r="T6" s="3446"/>
      <c r="U6" s="3446"/>
      <c r="V6" s="3446"/>
      <c r="W6" s="3446"/>
      <c r="X6" s="3446"/>
      <c r="Y6" s="3446"/>
      <c r="Z6" s="3446"/>
      <c r="AA6" s="3446"/>
      <c r="AB6" s="3446"/>
      <c r="AC6" s="3446"/>
      <c r="AD6" s="3446"/>
      <c r="AE6" s="3446"/>
      <c r="AF6" s="3446"/>
      <c r="AG6" s="3446"/>
      <c r="AH6" s="3446"/>
      <c r="AI6" s="3446"/>
      <c r="AJ6" s="3446"/>
      <c r="AK6" s="3446"/>
      <c r="AL6" s="3446"/>
      <c r="AM6" s="3446"/>
      <c r="AN6" s="3446"/>
      <c r="AO6" s="3446"/>
      <c r="AP6" s="3446"/>
      <c r="AQ6" s="3446"/>
      <c r="AR6" s="3446"/>
      <c r="AS6" s="3446"/>
      <c r="AT6" s="3446"/>
      <c r="AU6" s="3446"/>
      <c r="AV6" s="3446"/>
      <c r="AW6" s="344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 s="6953"/>
      <c r="DT6" s="6953"/>
      <c r="DU6" s="6953"/>
      <c r="DV6" s="6953"/>
      <c r="DW6" s="6953"/>
      <c r="DX6" s="6953"/>
      <c r="DY6" s="6953"/>
      <c r="DZ6" s="6953"/>
      <c r="EA6" s="6953"/>
      <c r="EB6" s="6953"/>
      <c r="EC6" s="6953"/>
      <c r="ED6" s="6953"/>
      <c r="EE6" s="6953"/>
      <c r="EF6" s="6953"/>
      <c r="EG6" s="6953"/>
      <c r="EH6" s="6953"/>
      <c r="EI6" s="6953"/>
      <c r="EJ6" s="6953"/>
    </row>
    <row r="8" spans="1:140" ht="18" customHeight="1" x14ac:dyDescent="0.25">
      <c r="B8" s="13" t="s">
        <v>4340</v>
      </c>
      <c r="C8" s="3447"/>
      <c r="D8" s="3447"/>
      <c r="E8" s="3448"/>
      <c r="F8" s="3448"/>
      <c r="G8" s="3449"/>
      <c r="H8" s="88"/>
      <c r="I8" s="3449"/>
      <c r="J8" s="3449"/>
      <c r="K8" s="3449"/>
      <c r="L8" s="3449"/>
      <c r="M8" s="3449"/>
      <c r="N8" s="3449"/>
      <c r="O8" s="3449"/>
      <c r="P8" s="3449"/>
      <c r="Q8" s="88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1839"/>
      <c r="AJ8" s="1839"/>
      <c r="AK8" s="1839"/>
      <c r="AL8" s="1839"/>
      <c r="AM8" s="1839"/>
      <c r="AN8" s="1839"/>
      <c r="AO8" s="1839"/>
      <c r="AP8" s="1839"/>
      <c r="AQ8" s="1839"/>
      <c r="AR8" s="1839"/>
      <c r="AS8" s="1839"/>
      <c r="AT8" s="1839"/>
      <c r="AU8" s="1839"/>
      <c r="AV8" s="1839"/>
      <c r="AW8" s="1839"/>
      <c r="AX8" s="1839"/>
      <c r="AY8" s="9"/>
    </row>
    <row r="9" spans="1:140" ht="15" customHeight="1" x14ac:dyDescent="0.25">
      <c r="B9" s="6491" t="s">
        <v>1569</v>
      </c>
      <c r="C9" s="6491"/>
      <c r="D9" s="6576"/>
      <c r="E9" s="6510" t="s">
        <v>77</v>
      </c>
      <c r="F9" s="6510"/>
      <c r="G9" s="6511"/>
      <c r="H9" s="6956" t="s">
        <v>101</v>
      </c>
      <c r="I9" s="6515"/>
      <c r="J9" s="6515"/>
      <c r="K9" s="6515"/>
      <c r="L9" s="6515"/>
      <c r="M9" s="6515"/>
      <c r="N9" s="6515"/>
      <c r="O9" s="6515"/>
      <c r="P9" s="6515"/>
      <c r="Q9" s="6515"/>
      <c r="R9" s="6515"/>
      <c r="S9" s="6515"/>
      <c r="T9" s="6515"/>
      <c r="U9" s="6515"/>
      <c r="V9" s="6515"/>
      <c r="W9" s="6515"/>
      <c r="X9" s="6515"/>
      <c r="Y9" s="6515"/>
      <c r="Z9" s="6515"/>
      <c r="AA9" s="6515"/>
      <c r="AB9" s="6515"/>
      <c r="AC9" s="6515"/>
      <c r="AD9" s="6515"/>
      <c r="AE9" s="6515"/>
      <c r="AF9" s="6515"/>
      <c r="AG9" s="6515"/>
      <c r="AH9" s="6515"/>
      <c r="AI9" s="6515"/>
      <c r="AJ9" s="6515"/>
      <c r="AK9" s="6515"/>
      <c r="AL9" s="6515"/>
      <c r="AM9" s="6515"/>
      <c r="AN9" s="6515"/>
      <c r="AO9" s="6515"/>
      <c r="AP9" s="6515"/>
      <c r="AQ9" s="6957"/>
      <c r="AR9" s="6517" t="s">
        <v>1570</v>
      </c>
      <c r="AS9" s="6645" t="s">
        <v>1571</v>
      </c>
      <c r="AT9" s="6645" t="s">
        <v>1572</v>
      </c>
      <c r="AU9" s="6645" t="s">
        <v>1573</v>
      </c>
      <c r="AV9" s="6645" t="s">
        <v>37</v>
      </c>
      <c r="AW9" s="6958" t="s">
        <v>1574</v>
      </c>
      <c r="AX9" s="6645" t="s">
        <v>1575</v>
      </c>
      <c r="AY9" s="6511" t="s">
        <v>1576</v>
      </c>
    </row>
    <row r="10" spans="1:140" ht="15" customHeight="1" x14ac:dyDescent="0.25">
      <c r="B10" s="6954"/>
      <c r="C10" s="6954"/>
      <c r="D10" s="6331"/>
      <c r="E10" s="6735"/>
      <c r="F10" s="6735"/>
      <c r="G10" s="6955"/>
      <c r="H10" s="6947" t="s">
        <v>474</v>
      </c>
      <c r="I10" s="6961"/>
      <c r="J10" s="6956" t="s">
        <v>380</v>
      </c>
      <c r="K10" s="6545"/>
      <c r="L10" s="6515" t="s">
        <v>381</v>
      </c>
      <c r="M10" s="6545"/>
      <c r="N10" s="6956" t="s">
        <v>1577</v>
      </c>
      <c r="O10" s="6545"/>
      <c r="P10" s="6956" t="s">
        <v>383</v>
      </c>
      <c r="Q10" s="6545"/>
      <c r="R10" s="6956" t="s">
        <v>384</v>
      </c>
      <c r="S10" s="6545"/>
      <c r="T10" s="6956" t="s">
        <v>385</v>
      </c>
      <c r="U10" s="6545"/>
      <c r="V10" s="6956" t="s">
        <v>386</v>
      </c>
      <c r="W10" s="6545"/>
      <c r="X10" s="6956" t="s">
        <v>1578</v>
      </c>
      <c r="Y10" s="6545"/>
      <c r="Z10" s="6956" t="s">
        <v>303</v>
      </c>
      <c r="AA10" s="6962"/>
      <c r="AB10" s="6956" t="s">
        <v>304</v>
      </c>
      <c r="AC10" s="6962"/>
      <c r="AD10" s="6956" t="s">
        <v>1579</v>
      </c>
      <c r="AE10" s="6962"/>
      <c r="AF10" s="6956" t="s">
        <v>1580</v>
      </c>
      <c r="AG10" s="6962"/>
      <c r="AH10" s="6956" t="s">
        <v>1581</v>
      </c>
      <c r="AI10" s="6962"/>
      <c r="AJ10" s="6956" t="s">
        <v>1582</v>
      </c>
      <c r="AK10" s="6962"/>
      <c r="AL10" s="6956" t="s">
        <v>1583</v>
      </c>
      <c r="AM10" s="6962"/>
      <c r="AN10" s="6956" t="s">
        <v>1584</v>
      </c>
      <c r="AO10" s="6962"/>
      <c r="AP10" s="6956" t="s">
        <v>938</v>
      </c>
      <c r="AQ10" s="6943"/>
      <c r="AR10" s="6034"/>
      <c r="AS10" s="6386"/>
      <c r="AT10" s="6386"/>
      <c r="AU10" s="6386"/>
      <c r="AV10" s="6386"/>
      <c r="AW10" s="6959"/>
      <c r="AX10" s="6386"/>
      <c r="AY10" s="6027"/>
    </row>
    <row r="11" spans="1:140" x14ac:dyDescent="0.25">
      <c r="B11" s="6749"/>
      <c r="C11" s="6749"/>
      <c r="D11" s="6913"/>
      <c r="E11" s="3452" t="s">
        <v>79</v>
      </c>
      <c r="F11" s="3453" t="s">
        <v>58</v>
      </c>
      <c r="G11" s="591" t="s">
        <v>59</v>
      </c>
      <c r="H11" s="3405" t="s">
        <v>58</v>
      </c>
      <c r="I11" s="591" t="s">
        <v>59</v>
      </c>
      <c r="J11" s="3405" t="s">
        <v>58</v>
      </c>
      <c r="K11" s="591" t="s">
        <v>59</v>
      </c>
      <c r="L11" s="3405" t="s">
        <v>58</v>
      </c>
      <c r="M11" s="591" t="s">
        <v>59</v>
      </c>
      <c r="N11" s="3405" t="s">
        <v>58</v>
      </c>
      <c r="O11" s="591" t="s">
        <v>59</v>
      </c>
      <c r="P11" s="3405" t="s">
        <v>58</v>
      </c>
      <c r="Q11" s="591" t="s">
        <v>59</v>
      </c>
      <c r="R11" s="3405" t="s">
        <v>58</v>
      </c>
      <c r="S11" s="591" t="s">
        <v>59</v>
      </c>
      <c r="T11" s="3405" t="s">
        <v>58</v>
      </c>
      <c r="U11" s="591" t="s">
        <v>59</v>
      </c>
      <c r="V11" s="3405" t="s">
        <v>58</v>
      </c>
      <c r="W11" s="591" t="s">
        <v>59</v>
      </c>
      <c r="X11" s="3405" t="s">
        <v>58</v>
      </c>
      <c r="Y11" s="591" t="s">
        <v>59</v>
      </c>
      <c r="Z11" s="3405" t="s">
        <v>58</v>
      </c>
      <c r="AA11" s="591" t="s">
        <v>59</v>
      </c>
      <c r="AB11" s="3405" t="s">
        <v>58</v>
      </c>
      <c r="AC11" s="591" t="s">
        <v>59</v>
      </c>
      <c r="AD11" s="3405" t="s">
        <v>58</v>
      </c>
      <c r="AE11" s="591" t="s">
        <v>59</v>
      </c>
      <c r="AF11" s="3405" t="s">
        <v>58</v>
      </c>
      <c r="AG11" s="591" t="s">
        <v>59</v>
      </c>
      <c r="AH11" s="3405" t="s">
        <v>58</v>
      </c>
      <c r="AI11" s="591" t="s">
        <v>59</v>
      </c>
      <c r="AJ11" s="3405" t="s">
        <v>58</v>
      </c>
      <c r="AK11" s="591" t="s">
        <v>59</v>
      </c>
      <c r="AL11" s="3405" t="s">
        <v>58</v>
      </c>
      <c r="AM11" s="591" t="s">
        <v>59</v>
      </c>
      <c r="AN11" s="3405" t="s">
        <v>58</v>
      </c>
      <c r="AO11" s="591" t="s">
        <v>59</v>
      </c>
      <c r="AP11" s="3405" t="s">
        <v>58</v>
      </c>
      <c r="AQ11" s="3431" t="s">
        <v>59</v>
      </c>
      <c r="AR11" s="6035"/>
      <c r="AS11" s="6086"/>
      <c r="AT11" s="6086"/>
      <c r="AU11" s="6086"/>
      <c r="AV11" s="6086"/>
      <c r="AW11" s="6960"/>
      <c r="AX11" s="6086"/>
      <c r="AY11" s="6955"/>
    </row>
    <row r="12" spans="1:140" ht="15" customHeight="1" x14ac:dyDescent="0.25">
      <c r="A12" s="5810" t="s">
        <v>5674</v>
      </c>
      <c r="B12" s="6965" t="s">
        <v>1585</v>
      </c>
      <c r="C12" s="6966"/>
      <c r="D12" s="6967"/>
      <c r="E12" s="299" t="s">
        <v>4567</v>
      </c>
      <c r="F12" s="2292" t="s">
        <v>4568</v>
      </c>
      <c r="G12" s="574" t="s">
        <v>4569</v>
      </c>
      <c r="H12" s="290" t="s">
        <v>4570</v>
      </c>
      <c r="I12" s="107" t="s">
        <v>4571</v>
      </c>
      <c r="J12" s="290" t="s">
        <v>4572</v>
      </c>
      <c r="K12" s="107" t="s">
        <v>4573</v>
      </c>
      <c r="L12" s="290" t="s">
        <v>4574</v>
      </c>
      <c r="M12" s="107" t="s">
        <v>4575</v>
      </c>
      <c r="N12" s="290" t="s">
        <v>4576</v>
      </c>
      <c r="O12" s="107" t="s">
        <v>4577</v>
      </c>
      <c r="P12" s="290" t="s">
        <v>4578</v>
      </c>
      <c r="Q12" s="107" t="s">
        <v>4579</v>
      </c>
      <c r="R12" s="290" t="s">
        <v>4580</v>
      </c>
      <c r="S12" s="622" t="s">
        <v>4581</v>
      </c>
      <c r="T12" s="290" t="s">
        <v>4582</v>
      </c>
      <c r="U12" s="622" t="s">
        <v>4583</v>
      </c>
      <c r="V12" s="290" t="s">
        <v>4584</v>
      </c>
      <c r="W12" s="622" t="s">
        <v>4585</v>
      </c>
      <c r="X12" s="290" t="s">
        <v>4586</v>
      </c>
      <c r="Y12" s="622" t="s">
        <v>4587</v>
      </c>
      <c r="Z12" s="290" t="s">
        <v>4588</v>
      </c>
      <c r="AA12" s="622" t="s">
        <v>4589</v>
      </c>
      <c r="AB12" s="290" t="s">
        <v>4590</v>
      </c>
      <c r="AC12" s="622" t="s">
        <v>4591</v>
      </c>
      <c r="AD12" s="290" t="s">
        <v>4592</v>
      </c>
      <c r="AE12" s="622" t="s">
        <v>4593</v>
      </c>
      <c r="AF12" s="290" t="s">
        <v>4594</v>
      </c>
      <c r="AG12" s="622" t="s">
        <v>4595</v>
      </c>
      <c r="AH12" s="290" t="s">
        <v>4596</v>
      </c>
      <c r="AI12" s="622" t="s">
        <v>4597</v>
      </c>
      <c r="AJ12" s="290" t="s">
        <v>4598</v>
      </c>
      <c r="AK12" s="622" t="s">
        <v>4599</v>
      </c>
      <c r="AL12" s="290" t="s">
        <v>4600</v>
      </c>
      <c r="AM12" s="622" t="s">
        <v>4601</v>
      </c>
      <c r="AN12" s="290" t="s">
        <v>4602</v>
      </c>
      <c r="AO12" s="622" t="s">
        <v>4603</v>
      </c>
      <c r="AP12" s="290" t="s">
        <v>4604</v>
      </c>
      <c r="AQ12" s="430" t="s">
        <v>4605</v>
      </c>
      <c r="AR12" s="296" t="s">
        <v>4606</v>
      </c>
      <c r="AS12" s="531" t="s">
        <v>4934</v>
      </c>
      <c r="AT12" s="531" t="s">
        <v>4935</v>
      </c>
      <c r="AU12" s="531" t="s">
        <v>4936</v>
      </c>
      <c r="AV12" s="531" t="s">
        <v>4937</v>
      </c>
      <c r="AW12" s="531" t="s">
        <v>5234</v>
      </c>
      <c r="AX12" s="531" t="s">
        <v>5235</v>
      </c>
      <c r="AY12" s="107" t="s">
        <v>5236</v>
      </c>
      <c r="AZ12" t="e">
        <f>CB12&amp;CC12&amp;CD12&amp;CE12&amp;CF12&amp;CG12&amp;CH12&amp;CI12</f>
        <v>#VALUE!</v>
      </c>
      <c r="CB12" s="433" t="e">
        <f>IF(AND((Z12+AA12)&gt;0,AR12="")," * No olvide digitar la variable 12 años (incluido en el grupo de 10-14 años). Si no tiene digite Cero.",IF(AR12&gt;(Z12+AA12),"* Las Consultas de 12 años (incluido en el grupo de 10-14 años) NO DEBEN ser mayor que el total de Consultas entre 10-14 años",""))</f>
        <v>#VALUE!</v>
      </c>
      <c r="CC12" s="433" t="str">
        <f>IF(AND($G12&gt;0,AS12="")," * No olvide digitar la variable Gestante. Digite cero si no tiene.",IF(AS12&gt;$G12," * La variable Gestante NO DEBEN ser mayor al Total de Mujeres. ",""))</f>
        <v xml:space="preserve"> * La variable Gestante NO DEBEN ser mayor al Total de Mujeres. </v>
      </c>
      <c r="CD12" s="433" t="e">
        <f>IF(AND((AL12+AM12)&gt;0,AT12="")," * No olvide digitar la variable 60 años (incluido en grupos de 60-64 años). Digite Cero si no tiene.",IF(AT12&gt;(AL12+AM12)," * La variable 60 años (incluido en grupos de 60-64 años) NO DEBE ser mayor que el Total de consultas del grupo 60-64 años",""))</f>
        <v>#VALUE!</v>
      </c>
      <c r="CE12" s="433" t="str">
        <f>IF(AND(E12&gt;0,AU12="")," * No olvide digitar la variable Usuarios con Discapacidad. Digite Cero si no tiene.",IF(AU12&gt;E12," * La variable Usuarios con Discapacidad No puede ser mayor al Total Ambos Sexos.",""))</f>
        <v xml:space="preserve"> * La variable Usuarios con Discapacidad No puede ser mayor al Total Ambos Sexos.</v>
      </c>
      <c r="CF12" s="433" t="str">
        <f>IF(AND(E12&gt;0,AV12="")," * No olvide digitar la variable Migrantes. Digite Cero si no tiene.",IF(AV12&gt;$E12," * La variable Migrantes No puede ser mayor al Total Ambos Sexos.",""))</f>
        <v xml:space="preserve"> * La variable Migrantes No puede ser mayor al Total Ambos Sexos.</v>
      </c>
      <c r="CG12" s="433" t="str">
        <f>IF(AND($E12&gt;0,AW12="")," * No olvide digitar la variable Persona con ingreso integral y condición crónica. Digite Cero si no tiene.",IF(AW12&gt;$E12,"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H12" s="433" t="str">
        <f>IF(AND(E12&gt;0,AX12="")," * No olvide digitar la variable Niños, niñas, adolescentes y jóvenes SENAME. Digite Cero si no tiene.",IF(AX12&gt;E12,"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2" s="433" t="str">
        <f>IF(AND($E12&gt;0,AY12="")," * No olvide digitar la variable Niños, niñas, adolescentes y jóvenes Mejor Niñez. Digite Cero si no tiene.",IF(AY12&gt;$E12,"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P12" s="434" t="e">
        <f t="shared" ref="CP12:CP17" si="0">IF(AND((Z12+AA12)&gt;0,AR12=""),1,IF(AR12&gt;(Z12+AA12),1,0))</f>
        <v>#VALUE!</v>
      </c>
      <c r="CQ12" s="434">
        <f t="shared" ref="CQ12:CQ17" si="1">IF(AND($G12&gt;0,AS12=""),1,IF(AS12&gt;$G12,1,0))</f>
        <v>1</v>
      </c>
      <c r="CR12" s="434" t="e">
        <f t="shared" ref="CR12:CR17" si="2">IF(AND((AL12+AM12)&gt;0,AT12=""),1,IF(AT12&gt;(AL12+AM12),1,0))</f>
        <v>#VALUE!</v>
      </c>
      <c r="CS12" s="434">
        <f t="shared" ref="CS12:CV17" si="3">IF(AND($E12&gt;0,AU12=""),1,IF(AU12&gt;$E12,1,0))</f>
        <v>1</v>
      </c>
      <c r="CT12" s="434">
        <f t="shared" si="3"/>
        <v>1</v>
      </c>
      <c r="CU12" s="434">
        <f t="shared" si="3"/>
        <v>1</v>
      </c>
      <c r="CV12" s="434">
        <f t="shared" si="3"/>
        <v>1</v>
      </c>
      <c r="CW12" s="434">
        <f t="shared" ref="CW12:CW17" si="4">IF(AND(E12&gt;0,AY12=""),1,IF(AY12&gt;E12,1,0))</f>
        <v>1</v>
      </c>
    </row>
    <row r="13" spans="1:140" ht="15" customHeight="1" x14ac:dyDescent="0.25">
      <c r="A13" s="5810" t="s">
        <v>5675</v>
      </c>
      <c r="B13" s="6968" t="s">
        <v>1586</v>
      </c>
      <c r="C13" s="6969"/>
      <c r="D13" s="6970"/>
      <c r="E13" s="477" t="s">
        <v>4567</v>
      </c>
      <c r="F13" s="478" t="s">
        <v>4568</v>
      </c>
      <c r="G13" s="553" t="s">
        <v>4569</v>
      </c>
      <c r="H13" s="345" t="s">
        <v>4570</v>
      </c>
      <c r="I13" s="346" t="s">
        <v>4571</v>
      </c>
      <c r="J13" s="345" t="s">
        <v>4572</v>
      </c>
      <c r="K13" s="346" t="s">
        <v>4573</v>
      </c>
      <c r="L13" s="345" t="s">
        <v>4574</v>
      </c>
      <c r="M13" s="346" t="s">
        <v>4575</v>
      </c>
      <c r="N13" s="345" t="s">
        <v>4576</v>
      </c>
      <c r="O13" s="346" t="s">
        <v>4577</v>
      </c>
      <c r="P13" s="345" t="s">
        <v>4578</v>
      </c>
      <c r="Q13" s="346" t="s">
        <v>4579</v>
      </c>
      <c r="R13" s="345" t="s">
        <v>4580</v>
      </c>
      <c r="S13" s="349" t="s">
        <v>4581</v>
      </c>
      <c r="T13" s="345" t="s">
        <v>4582</v>
      </c>
      <c r="U13" s="349" t="s">
        <v>4583</v>
      </c>
      <c r="V13" s="345" t="s">
        <v>4584</v>
      </c>
      <c r="W13" s="349" t="s">
        <v>4585</v>
      </c>
      <c r="X13" s="345" t="s">
        <v>4586</v>
      </c>
      <c r="Y13" s="349" t="s">
        <v>4587</v>
      </c>
      <c r="Z13" s="345" t="s">
        <v>4588</v>
      </c>
      <c r="AA13" s="349" t="s">
        <v>4589</v>
      </c>
      <c r="AB13" s="345" t="s">
        <v>4590</v>
      </c>
      <c r="AC13" s="349" t="s">
        <v>4591</v>
      </c>
      <c r="AD13" s="345" t="s">
        <v>4592</v>
      </c>
      <c r="AE13" s="349" t="s">
        <v>4593</v>
      </c>
      <c r="AF13" s="345" t="s">
        <v>4594</v>
      </c>
      <c r="AG13" s="349" t="s">
        <v>4595</v>
      </c>
      <c r="AH13" s="345" t="s">
        <v>4596</v>
      </c>
      <c r="AI13" s="349" t="s">
        <v>4597</v>
      </c>
      <c r="AJ13" s="345" t="s">
        <v>4598</v>
      </c>
      <c r="AK13" s="349" t="s">
        <v>4599</v>
      </c>
      <c r="AL13" s="345" t="s">
        <v>4600</v>
      </c>
      <c r="AM13" s="349" t="s">
        <v>4601</v>
      </c>
      <c r="AN13" s="345" t="s">
        <v>4602</v>
      </c>
      <c r="AO13" s="349" t="s">
        <v>4603</v>
      </c>
      <c r="AP13" s="345" t="s">
        <v>4604</v>
      </c>
      <c r="AQ13" s="351" t="s">
        <v>4605</v>
      </c>
      <c r="AR13" s="429" t="s">
        <v>4606</v>
      </c>
      <c r="AS13" s="368" t="s">
        <v>4934</v>
      </c>
      <c r="AT13" s="368" t="s">
        <v>4935</v>
      </c>
      <c r="AU13" s="368" t="s">
        <v>4936</v>
      </c>
      <c r="AV13" s="368" t="s">
        <v>4937</v>
      </c>
      <c r="AW13" s="368" t="s">
        <v>5234</v>
      </c>
      <c r="AX13" s="368" t="s">
        <v>5235</v>
      </c>
      <c r="AY13" s="346" t="s">
        <v>5236</v>
      </c>
      <c r="AZ13" t="e">
        <f t="shared" ref="AZ13:AZ14" si="5">CB13&amp;CC13&amp;CD13&amp;CE13&amp;CF13&amp;CG13&amp;CH13&amp;CI13</f>
        <v>#VALUE!</v>
      </c>
      <c r="CB13" s="433" t="e">
        <f t="shared" ref="CB13:CB17" si="6">IF(AND((Z13+AA13)&gt;0,AR13="")," * No olvide digitar la variable 12 años (incluido en el grupo de 10-14 años). Si no tiene digite Cero.",IF(AR13&gt;(Z13+AA13),"* Las Consultas de 12 años (incluido en el grupo de 10-14 años) NO DEBEN ser mayor que el total de Consultas entre 10-14 años",""))</f>
        <v>#VALUE!</v>
      </c>
      <c r="CC13" s="433" t="str">
        <f t="shared" ref="CC13:CC16" si="7">IF(AND($G13&gt;0,AS13="")," * No olvide digitar la variable Gestante. Digite cero si no tiene.",IF(AS13&gt;$G13," * La variable Gestante NO DEBEN ser mayor al Total de Mujeres. ",""))</f>
        <v xml:space="preserve"> * La variable Gestante NO DEBEN ser mayor al Total de Mujeres. </v>
      </c>
      <c r="CD13" s="433" t="e">
        <f t="shared" ref="CD13:CD17" si="8">IF(AND((AL13+AM13)&gt;0,AT13="")," * No olvide digitar la variable 60 años (incluido en grupos de 60-64 años). Digite Cero si no tiene.",IF(AT13&gt;(AL13+AM13)," * La variable 60 años (incluido en grupos de 60-64 años) NO DEBE ser mayor que el Total de consultas del grupo 60-64 años",""))</f>
        <v>#VALUE!</v>
      </c>
      <c r="CE13" s="433" t="str">
        <f t="shared" ref="CE13:CE17" si="9">IF(AND(E13&gt;0,AU13="")," * No olvide digitar la variable Usuarios con Discapacidad. Digite Cero si no tiene.",IF(AU13&gt;E13," * La variable Usuarios con Discapacidad No puede ser mayor al Total Ambos Sexos.",""))</f>
        <v xml:space="preserve"> * La variable Usuarios con Discapacidad No puede ser mayor al Total Ambos Sexos.</v>
      </c>
      <c r="CF13" s="433" t="str">
        <f t="shared" ref="CF13:CF17" si="10">IF(AND(E13&gt;0,AV13="")," * No olvide digitar la variable Migrantes. Digite Cero si no tiene.",IF(AV13&gt;$E13," * La variable Migrantes No puede ser mayor al Total Ambos Sexos.",""))</f>
        <v xml:space="preserve"> * La variable Migrantes No puede ser mayor al Total Ambos Sexos.</v>
      </c>
      <c r="CG13" s="433" t="str">
        <f t="shared" ref="CG13:CG17" si="11">IF(AND($E13&gt;0,AW13="")," * No olvide digitar la variable Persona con ingreso integral y condición crónica. Digite Cero si no tiene.",IF(AW13&gt;$E13,"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H13" s="433" t="str">
        <f t="shared" ref="CH13:CH17" si="12">IF(AND(E13&gt;0,AX13="")," * No olvide digitar la variable Niños, niñas, adolescentes y jóvenes SENAME. Digite Cero si no tiene.",IF(AX13&gt;E13,"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3" s="433" t="str">
        <f t="shared" ref="CI13:CI17" si="13">IF(AND($E13&gt;0,AY13="")," * No olvide digitar la variable Niños, niñas, adolescentes y jóvenes Mejor Niñez. Digite Cero si no tiene.",IF(AY13&gt;$E13,"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P13" s="434" t="e">
        <f t="shared" si="0"/>
        <v>#VALUE!</v>
      </c>
      <c r="CQ13" s="434">
        <f t="shared" si="1"/>
        <v>1</v>
      </c>
      <c r="CR13" s="434" t="e">
        <f t="shared" si="2"/>
        <v>#VALUE!</v>
      </c>
      <c r="CS13" s="434">
        <f t="shared" si="3"/>
        <v>1</v>
      </c>
      <c r="CT13" s="434">
        <f t="shared" si="3"/>
        <v>1</v>
      </c>
      <c r="CU13" s="434">
        <f t="shared" si="3"/>
        <v>1</v>
      </c>
      <c r="CV13" s="434">
        <f t="shared" si="3"/>
        <v>1</v>
      </c>
      <c r="CW13" s="434">
        <f t="shared" si="4"/>
        <v>1</v>
      </c>
    </row>
    <row r="14" spans="1:140" ht="15" customHeight="1" x14ac:dyDescent="0.25">
      <c r="A14" s="5810" t="s">
        <v>5676</v>
      </c>
      <c r="B14" s="6968" t="s">
        <v>1587</v>
      </c>
      <c r="C14" s="6969"/>
      <c r="D14" s="6970"/>
      <c r="E14" s="477" t="s">
        <v>4567</v>
      </c>
      <c r="F14" s="478" t="s">
        <v>4568</v>
      </c>
      <c r="G14" s="553" t="s">
        <v>4569</v>
      </c>
      <c r="H14" s="345" t="s">
        <v>4570</v>
      </c>
      <c r="I14" s="346" t="s">
        <v>4571</v>
      </c>
      <c r="J14" s="345" t="s">
        <v>4572</v>
      </c>
      <c r="K14" s="346" t="s">
        <v>4573</v>
      </c>
      <c r="L14" s="345" t="s">
        <v>4574</v>
      </c>
      <c r="M14" s="346" t="s">
        <v>4575</v>
      </c>
      <c r="N14" s="345" t="s">
        <v>4576</v>
      </c>
      <c r="O14" s="349" t="s">
        <v>4577</v>
      </c>
      <c r="P14" s="345" t="s">
        <v>4578</v>
      </c>
      <c r="Q14" s="349" t="s">
        <v>4579</v>
      </c>
      <c r="R14" s="345" t="s">
        <v>4580</v>
      </c>
      <c r="S14" s="349" t="s">
        <v>4581</v>
      </c>
      <c r="T14" s="345" t="s">
        <v>4582</v>
      </c>
      <c r="U14" s="349" t="s">
        <v>4583</v>
      </c>
      <c r="V14" s="345" t="s">
        <v>4584</v>
      </c>
      <c r="W14" s="349" t="s">
        <v>4585</v>
      </c>
      <c r="X14" s="345" t="s">
        <v>4586</v>
      </c>
      <c r="Y14" s="349" t="s">
        <v>4587</v>
      </c>
      <c r="Z14" s="345" t="s">
        <v>4588</v>
      </c>
      <c r="AA14" s="349" t="s">
        <v>4589</v>
      </c>
      <c r="AB14" s="345" t="s">
        <v>4590</v>
      </c>
      <c r="AC14" s="349" t="s">
        <v>4591</v>
      </c>
      <c r="AD14" s="345" t="s">
        <v>4592</v>
      </c>
      <c r="AE14" s="349" t="s">
        <v>4593</v>
      </c>
      <c r="AF14" s="345" t="s">
        <v>4594</v>
      </c>
      <c r="AG14" s="349" t="s">
        <v>4595</v>
      </c>
      <c r="AH14" s="345" t="s">
        <v>4596</v>
      </c>
      <c r="AI14" s="349" t="s">
        <v>4597</v>
      </c>
      <c r="AJ14" s="345" t="s">
        <v>4598</v>
      </c>
      <c r="AK14" s="349" t="s">
        <v>4599</v>
      </c>
      <c r="AL14" s="345" t="s">
        <v>4600</v>
      </c>
      <c r="AM14" s="349" t="s">
        <v>4601</v>
      </c>
      <c r="AN14" s="345" t="s">
        <v>4602</v>
      </c>
      <c r="AO14" s="349" t="s">
        <v>4603</v>
      </c>
      <c r="AP14" s="345" t="s">
        <v>4604</v>
      </c>
      <c r="AQ14" s="351" t="s">
        <v>4605</v>
      </c>
      <c r="AR14" s="429" t="s">
        <v>4606</v>
      </c>
      <c r="AS14" s="368" t="s">
        <v>4934</v>
      </c>
      <c r="AT14" s="368" t="s">
        <v>4935</v>
      </c>
      <c r="AU14" s="368" t="s">
        <v>4936</v>
      </c>
      <c r="AV14" s="368" t="s">
        <v>4937</v>
      </c>
      <c r="AW14" s="368" t="s">
        <v>5234</v>
      </c>
      <c r="AX14" s="368" t="s">
        <v>5235</v>
      </c>
      <c r="AY14" s="346" t="s">
        <v>5236</v>
      </c>
      <c r="AZ14" t="e">
        <f t="shared" si="5"/>
        <v>#VALUE!</v>
      </c>
      <c r="CB14" s="433" t="e">
        <f t="shared" si="6"/>
        <v>#VALUE!</v>
      </c>
      <c r="CC14" s="433" t="str">
        <f t="shared" si="7"/>
        <v xml:space="preserve"> * La variable Gestante NO DEBEN ser mayor al Total de Mujeres. </v>
      </c>
      <c r="CD14" s="433" t="e">
        <f t="shared" si="8"/>
        <v>#VALUE!</v>
      </c>
      <c r="CE14" s="433" t="str">
        <f t="shared" si="9"/>
        <v xml:space="preserve"> * La variable Usuarios con Discapacidad No puede ser mayor al Total Ambos Sexos.</v>
      </c>
      <c r="CF14" s="433" t="str">
        <f t="shared" si="10"/>
        <v xml:space="preserve"> * La variable Migrantes No puede ser mayor al Total Ambos Sexos.</v>
      </c>
      <c r="CG14" s="433" t="str">
        <f t="shared" si="11"/>
        <v xml:space="preserve"> * La variable Persona con ingreso integral y condición crónica No puede ser mayor al Total Ambos Sexos.</v>
      </c>
      <c r="CH14" s="433" t="str">
        <f t="shared" si="12"/>
        <v xml:space="preserve"> * La variable Niños, niñas, adolescentes y jóvenes SENAME No puede ser mayor al Total Ambos Sexos.</v>
      </c>
      <c r="CI14" s="433" t="str">
        <f t="shared" si="13"/>
        <v xml:space="preserve"> * La variable Niños, niñas, adolescentes y jóvenes Mejor Niñez no puede ser mayor al Total Ambos Sexos.</v>
      </c>
      <c r="CP14" s="434" t="e">
        <f t="shared" si="0"/>
        <v>#VALUE!</v>
      </c>
      <c r="CQ14" s="434">
        <f t="shared" si="1"/>
        <v>1</v>
      </c>
      <c r="CR14" s="434" t="e">
        <f t="shared" si="2"/>
        <v>#VALUE!</v>
      </c>
      <c r="CS14" s="434">
        <f t="shared" si="3"/>
        <v>1</v>
      </c>
      <c r="CT14" s="434">
        <f t="shared" si="3"/>
        <v>1</v>
      </c>
      <c r="CU14" s="434">
        <f t="shared" si="3"/>
        <v>1</v>
      </c>
      <c r="CV14" s="434">
        <f t="shared" si="3"/>
        <v>1</v>
      </c>
      <c r="CW14" s="434">
        <f t="shared" si="4"/>
        <v>1</v>
      </c>
    </row>
    <row r="15" spans="1:140" ht="15" customHeight="1" x14ac:dyDescent="0.25">
      <c r="A15" s="5810" t="s">
        <v>5677</v>
      </c>
      <c r="B15" s="6968" t="s">
        <v>1588</v>
      </c>
      <c r="C15" s="6969"/>
      <c r="D15" s="6970"/>
      <c r="E15" s="477" t="s">
        <v>4567</v>
      </c>
      <c r="F15" s="478" t="s">
        <v>4568</v>
      </c>
      <c r="G15" s="553" t="s">
        <v>4569</v>
      </c>
      <c r="H15" s="345" t="s">
        <v>4570</v>
      </c>
      <c r="I15" s="346" t="s">
        <v>4571</v>
      </c>
      <c r="J15" s="345" t="s">
        <v>4572</v>
      </c>
      <c r="K15" s="346" t="s">
        <v>4573</v>
      </c>
      <c r="L15" s="345" t="s">
        <v>4574</v>
      </c>
      <c r="M15" s="346" t="s">
        <v>4575</v>
      </c>
      <c r="N15" s="345" t="s">
        <v>4576</v>
      </c>
      <c r="O15" s="349" t="s">
        <v>4577</v>
      </c>
      <c r="P15" s="345" t="s">
        <v>4578</v>
      </c>
      <c r="Q15" s="349" t="s">
        <v>4579</v>
      </c>
      <c r="R15" s="345" t="s">
        <v>4580</v>
      </c>
      <c r="S15" s="349" t="s">
        <v>4581</v>
      </c>
      <c r="T15" s="345" t="s">
        <v>4582</v>
      </c>
      <c r="U15" s="349" t="s">
        <v>4583</v>
      </c>
      <c r="V15" s="345" t="s">
        <v>4584</v>
      </c>
      <c r="W15" s="349" t="s">
        <v>4585</v>
      </c>
      <c r="X15" s="345" t="s">
        <v>4586</v>
      </c>
      <c r="Y15" s="349" t="s">
        <v>4587</v>
      </c>
      <c r="Z15" s="345" t="s">
        <v>4588</v>
      </c>
      <c r="AA15" s="349" t="s">
        <v>4589</v>
      </c>
      <c r="AB15" s="345" t="s">
        <v>4590</v>
      </c>
      <c r="AC15" s="349" t="s">
        <v>4591</v>
      </c>
      <c r="AD15" s="345" t="s">
        <v>4592</v>
      </c>
      <c r="AE15" s="349" t="s">
        <v>4593</v>
      </c>
      <c r="AF15" s="345" t="s">
        <v>4594</v>
      </c>
      <c r="AG15" s="349" t="s">
        <v>4595</v>
      </c>
      <c r="AH15" s="345" t="s">
        <v>4596</v>
      </c>
      <c r="AI15" s="349" t="s">
        <v>4597</v>
      </c>
      <c r="AJ15" s="345" t="s">
        <v>4598</v>
      </c>
      <c r="AK15" s="349" t="s">
        <v>4599</v>
      </c>
      <c r="AL15" s="345" t="s">
        <v>4600</v>
      </c>
      <c r="AM15" s="349" t="s">
        <v>4601</v>
      </c>
      <c r="AN15" s="345" t="s">
        <v>4602</v>
      </c>
      <c r="AO15" s="349" t="s">
        <v>4603</v>
      </c>
      <c r="AP15" s="345" t="s">
        <v>4604</v>
      </c>
      <c r="AQ15" s="351" t="s">
        <v>4605</v>
      </c>
      <c r="AR15" s="429" t="s">
        <v>4606</v>
      </c>
      <c r="AS15" s="368" t="s">
        <v>4934</v>
      </c>
      <c r="AT15" s="368" t="s">
        <v>4935</v>
      </c>
      <c r="AU15" s="368" t="s">
        <v>4936</v>
      </c>
      <c r="AV15" s="368" t="s">
        <v>4937</v>
      </c>
      <c r="AW15" s="368" t="s">
        <v>5234</v>
      </c>
      <c r="AX15" s="368" t="s">
        <v>5235</v>
      </c>
      <c r="AY15" s="346" t="s">
        <v>5236</v>
      </c>
      <c r="AZ15" t="e">
        <f>CB15&amp;CC15&amp;CD15&amp;CE15&amp;CF15&amp;CG15&amp;CH15&amp;CI15</f>
        <v>#VALUE!</v>
      </c>
      <c r="CB15" s="433" t="e">
        <f t="shared" si="6"/>
        <v>#VALUE!</v>
      </c>
      <c r="CC15" s="433" t="str">
        <f t="shared" si="7"/>
        <v xml:space="preserve"> * La variable Gestante NO DEBEN ser mayor al Total de Mujeres. </v>
      </c>
      <c r="CD15" s="433" t="e">
        <f t="shared" si="8"/>
        <v>#VALUE!</v>
      </c>
      <c r="CE15" s="433" t="str">
        <f t="shared" si="9"/>
        <v xml:space="preserve"> * La variable Usuarios con Discapacidad No puede ser mayor al Total Ambos Sexos.</v>
      </c>
      <c r="CF15" s="433" t="str">
        <f t="shared" si="10"/>
        <v xml:space="preserve"> * La variable Migrantes No puede ser mayor al Total Ambos Sexos.</v>
      </c>
      <c r="CG15" s="433" t="str">
        <f t="shared" si="11"/>
        <v xml:space="preserve"> * La variable Persona con ingreso integral y condición crónica No puede ser mayor al Total Ambos Sexos.</v>
      </c>
      <c r="CH15" s="433" t="str">
        <f t="shared" si="12"/>
        <v xml:space="preserve"> * La variable Niños, niñas, adolescentes y jóvenes SENAME No puede ser mayor al Total Ambos Sexos.</v>
      </c>
      <c r="CI15" s="433" t="str">
        <f t="shared" si="13"/>
        <v xml:space="preserve"> * La variable Niños, niñas, adolescentes y jóvenes Mejor Niñez no puede ser mayor al Total Ambos Sexos.</v>
      </c>
      <c r="CP15" s="434" t="e">
        <f t="shared" si="0"/>
        <v>#VALUE!</v>
      </c>
      <c r="CQ15" s="434">
        <f t="shared" si="1"/>
        <v>1</v>
      </c>
      <c r="CR15" s="434" t="e">
        <f t="shared" si="2"/>
        <v>#VALUE!</v>
      </c>
      <c r="CS15" s="434">
        <f t="shared" si="3"/>
        <v>1</v>
      </c>
      <c r="CT15" s="434">
        <f t="shared" si="3"/>
        <v>1</v>
      </c>
      <c r="CU15" s="434">
        <f t="shared" si="3"/>
        <v>1</v>
      </c>
      <c r="CV15" s="434">
        <f t="shared" si="3"/>
        <v>1</v>
      </c>
      <c r="CW15" s="434">
        <f t="shared" si="4"/>
        <v>1</v>
      </c>
    </row>
    <row r="16" spans="1:140" ht="15" customHeight="1" x14ac:dyDescent="0.25">
      <c r="A16" s="5811" t="s">
        <v>5678</v>
      </c>
      <c r="B16" s="6975" t="s">
        <v>1589</v>
      </c>
      <c r="C16" s="6976"/>
      <c r="D16" s="6977"/>
      <c r="E16" s="299" t="s">
        <v>4567</v>
      </c>
      <c r="F16" s="2292" t="s">
        <v>4568</v>
      </c>
      <c r="G16" s="574" t="s">
        <v>4569</v>
      </c>
      <c r="H16" s="290" t="s">
        <v>4570</v>
      </c>
      <c r="I16" s="107" t="s">
        <v>4571</v>
      </c>
      <c r="J16" s="290" t="s">
        <v>4572</v>
      </c>
      <c r="K16" s="107" t="s">
        <v>4573</v>
      </c>
      <c r="L16" s="290" t="s">
        <v>4574</v>
      </c>
      <c r="M16" s="107" t="s">
        <v>4575</v>
      </c>
      <c r="N16" s="290" t="s">
        <v>4576</v>
      </c>
      <c r="O16" s="107" t="s">
        <v>4577</v>
      </c>
      <c r="P16" s="290" t="s">
        <v>4578</v>
      </c>
      <c r="Q16" s="107" t="s">
        <v>4579</v>
      </c>
      <c r="R16" s="290" t="s">
        <v>4580</v>
      </c>
      <c r="S16" s="622" t="s">
        <v>4581</v>
      </c>
      <c r="T16" s="290" t="s">
        <v>4582</v>
      </c>
      <c r="U16" s="622" t="s">
        <v>4583</v>
      </c>
      <c r="V16" s="290" t="s">
        <v>4584</v>
      </c>
      <c r="W16" s="622" t="s">
        <v>4585</v>
      </c>
      <c r="X16" s="290" t="s">
        <v>4586</v>
      </c>
      <c r="Y16" s="622" t="s">
        <v>4587</v>
      </c>
      <c r="Z16" s="290" t="s">
        <v>4588</v>
      </c>
      <c r="AA16" s="622" t="s">
        <v>4589</v>
      </c>
      <c r="AB16" s="290" t="s">
        <v>4590</v>
      </c>
      <c r="AC16" s="622" t="s">
        <v>4591</v>
      </c>
      <c r="AD16" s="290" t="s">
        <v>4592</v>
      </c>
      <c r="AE16" s="622" t="s">
        <v>4593</v>
      </c>
      <c r="AF16" s="290" t="s">
        <v>4594</v>
      </c>
      <c r="AG16" s="622" t="s">
        <v>4595</v>
      </c>
      <c r="AH16" s="290" t="s">
        <v>4596</v>
      </c>
      <c r="AI16" s="622" t="s">
        <v>4597</v>
      </c>
      <c r="AJ16" s="290" t="s">
        <v>4598</v>
      </c>
      <c r="AK16" s="622" t="s">
        <v>4599</v>
      </c>
      <c r="AL16" s="290" t="s">
        <v>4600</v>
      </c>
      <c r="AM16" s="622" t="s">
        <v>4601</v>
      </c>
      <c r="AN16" s="290" t="s">
        <v>4602</v>
      </c>
      <c r="AO16" s="622" t="s">
        <v>4603</v>
      </c>
      <c r="AP16" s="290" t="s">
        <v>4604</v>
      </c>
      <c r="AQ16" s="430" t="s">
        <v>4605</v>
      </c>
      <c r="AR16" s="296" t="s">
        <v>4606</v>
      </c>
      <c r="AS16" s="531" t="s">
        <v>4934</v>
      </c>
      <c r="AT16" s="531" t="s">
        <v>4935</v>
      </c>
      <c r="AU16" s="531" t="s">
        <v>4936</v>
      </c>
      <c r="AV16" s="531" t="s">
        <v>4937</v>
      </c>
      <c r="AW16" s="531" t="s">
        <v>5234</v>
      </c>
      <c r="AX16" s="531" t="s">
        <v>5235</v>
      </c>
      <c r="AY16" s="107" t="s">
        <v>5236</v>
      </c>
      <c r="AZ16" t="e">
        <f>CB16&amp;CC16&amp;CD16&amp;CE16&amp;CF16&amp;CG16&amp;CH16&amp;CI16</f>
        <v>#VALUE!</v>
      </c>
      <c r="CB16" s="433" t="e">
        <f t="shared" si="6"/>
        <v>#VALUE!</v>
      </c>
      <c r="CC16" s="433" t="str">
        <f t="shared" si="7"/>
        <v xml:space="preserve"> * La variable Gestante NO DEBEN ser mayor al Total de Mujeres. </v>
      </c>
      <c r="CD16" s="433" t="e">
        <f t="shared" si="8"/>
        <v>#VALUE!</v>
      </c>
      <c r="CE16" s="433" t="str">
        <f t="shared" si="9"/>
        <v xml:space="preserve"> * La variable Usuarios con Discapacidad No puede ser mayor al Total Ambos Sexos.</v>
      </c>
      <c r="CF16" s="433" t="str">
        <f t="shared" si="10"/>
        <v xml:space="preserve"> * La variable Migrantes No puede ser mayor al Total Ambos Sexos.</v>
      </c>
      <c r="CG16" s="433" t="str">
        <f t="shared" si="11"/>
        <v xml:space="preserve"> * La variable Persona con ingreso integral y condición crónica No puede ser mayor al Total Ambos Sexos.</v>
      </c>
      <c r="CH16" s="433" t="str">
        <f t="shared" si="12"/>
        <v xml:space="preserve"> * La variable Niños, niñas, adolescentes y jóvenes SENAME No puede ser mayor al Total Ambos Sexos.</v>
      </c>
      <c r="CI16" s="433" t="str">
        <f t="shared" si="13"/>
        <v xml:space="preserve"> * La variable Niños, niñas, adolescentes y jóvenes Mejor Niñez no puede ser mayor al Total Ambos Sexos.</v>
      </c>
      <c r="CP16" s="434" t="e">
        <f t="shared" si="0"/>
        <v>#VALUE!</v>
      </c>
      <c r="CQ16" s="434">
        <f t="shared" si="1"/>
        <v>1</v>
      </c>
      <c r="CR16" s="434" t="e">
        <f t="shared" si="2"/>
        <v>#VALUE!</v>
      </c>
      <c r="CS16" s="434">
        <f t="shared" si="3"/>
        <v>1</v>
      </c>
      <c r="CT16" s="434">
        <f t="shared" si="3"/>
        <v>1</v>
      </c>
      <c r="CU16" s="434">
        <f t="shared" si="3"/>
        <v>1</v>
      </c>
      <c r="CV16" s="434">
        <f t="shared" si="3"/>
        <v>1</v>
      </c>
      <c r="CW16" s="434">
        <f t="shared" si="4"/>
        <v>1</v>
      </c>
    </row>
    <row r="17" spans="1:101" ht="15" customHeight="1" x14ac:dyDescent="0.25">
      <c r="A17" s="5811" t="s">
        <v>5679</v>
      </c>
      <c r="B17" s="6978" t="s">
        <v>1590</v>
      </c>
      <c r="C17" s="6979"/>
      <c r="D17" s="6980"/>
      <c r="E17" s="482" t="s">
        <v>4567</v>
      </c>
      <c r="F17" s="483" t="s">
        <v>4568</v>
      </c>
      <c r="G17" s="556" t="s">
        <v>4569</v>
      </c>
      <c r="H17" s="379" t="s">
        <v>4570</v>
      </c>
      <c r="I17" s="387" t="s">
        <v>4571</v>
      </c>
      <c r="J17" s="379" t="s">
        <v>4572</v>
      </c>
      <c r="K17" s="387" t="s">
        <v>4573</v>
      </c>
      <c r="L17" s="379" t="s">
        <v>4574</v>
      </c>
      <c r="M17" s="387" t="s">
        <v>4575</v>
      </c>
      <c r="N17" s="379" t="s">
        <v>4576</v>
      </c>
      <c r="O17" s="388" t="s">
        <v>4577</v>
      </c>
      <c r="P17" s="379" t="s">
        <v>4578</v>
      </c>
      <c r="Q17" s="388" t="s">
        <v>4579</v>
      </c>
      <c r="R17" s="379" t="s">
        <v>4580</v>
      </c>
      <c r="S17" s="388" t="s">
        <v>4581</v>
      </c>
      <c r="T17" s="379" t="s">
        <v>4582</v>
      </c>
      <c r="U17" s="388" t="s">
        <v>4583</v>
      </c>
      <c r="V17" s="379" t="s">
        <v>4584</v>
      </c>
      <c r="W17" s="388" t="s">
        <v>4585</v>
      </c>
      <c r="X17" s="379" t="s">
        <v>4586</v>
      </c>
      <c r="Y17" s="388" t="s">
        <v>4587</v>
      </c>
      <c r="Z17" s="379" t="s">
        <v>4588</v>
      </c>
      <c r="AA17" s="388" t="s">
        <v>4589</v>
      </c>
      <c r="AB17" s="379" t="s">
        <v>4590</v>
      </c>
      <c r="AC17" s="388" t="s">
        <v>4591</v>
      </c>
      <c r="AD17" s="379" t="s">
        <v>4592</v>
      </c>
      <c r="AE17" s="388" t="s">
        <v>4593</v>
      </c>
      <c r="AF17" s="379" t="s">
        <v>4594</v>
      </c>
      <c r="AG17" s="388" t="s">
        <v>4595</v>
      </c>
      <c r="AH17" s="379" t="s">
        <v>4596</v>
      </c>
      <c r="AI17" s="388" t="s">
        <v>4597</v>
      </c>
      <c r="AJ17" s="379" t="s">
        <v>4598</v>
      </c>
      <c r="AK17" s="388" t="s">
        <v>4599</v>
      </c>
      <c r="AL17" s="379" t="s">
        <v>4600</v>
      </c>
      <c r="AM17" s="388" t="s">
        <v>4601</v>
      </c>
      <c r="AN17" s="379" t="s">
        <v>4602</v>
      </c>
      <c r="AO17" s="388" t="s">
        <v>4603</v>
      </c>
      <c r="AP17" s="379" t="s">
        <v>4604</v>
      </c>
      <c r="AQ17" s="389" t="s">
        <v>4605</v>
      </c>
      <c r="AR17" s="378" t="s">
        <v>4606</v>
      </c>
      <c r="AS17" s="2872" t="s">
        <v>4934</v>
      </c>
      <c r="AT17" s="2872" t="s">
        <v>4935</v>
      </c>
      <c r="AU17" s="2872" t="s">
        <v>4936</v>
      </c>
      <c r="AV17" s="2872" t="s">
        <v>4937</v>
      </c>
      <c r="AW17" s="2872" t="s">
        <v>5234</v>
      </c>
      <c r="AX17" s="2872" t="s">
        <v>5235</v>
      </c>
      <c r="AY17" s="387" t="s">
        <v>5236</v>
      </c>
      <c r="AZ17" t="e">
        <f>CB17&amp;CC17&amp;CD17&amp;CE17&amp;CF17&amp;CG17&amp;CH17&amp;CI17</f>
        <v>#VALUE!</v>
      </c>
      <c r="CB17" s="433" t="e">
        <f t="shared" si="6"/>
        <v>#VALUE!</v>
      </c>
      <c r="CC17" s="433" t="str">
        <f>IF(AND($G17&gt;0,AS17="")," * No olvide digitar la variable Gestante. Digite cero si no tiene.",IF(AS17&gt;$G17," * La variable Gestante NO DEBEN ser mayor al Total de Mujeres. ",""))</f>
        <v xml:space="preserve"> * La variable Gestante NO DEBEN ser mayor al Total de Mujeres. </v>
      </c>
      <c r="CD17" s="433" t="e">
        <f t="shared" si="8"/>
        <v>#VALUE!</v>
      </c>
      <c r="CE17" s="433" t="str">
        <f t="shared" si="9"/>
        <v xml:space="preserve"> * La variable Usuarios con Discapacidad No puede ser mayor al Total Ambos Sexos.</v>
      </c>
      <c r="CF17" s="433" t="str">
        <f t="shared" si="10"/>
        <v xml:space="preserve"> * La variable Migrantes No puede ser mayor al Total Ambos Sexos.</v>
      </c>
      <c r="CG17" s="433" t="str">
        <f t="shared" si="11"/>
        <v xml:space="preserve"> * La variable Persona con ingreso integral y condición crónica No puede ser mayor al Total Ambos Sexos.</v>
      </c>
      <c r="CH17" s="433" t="str">
        <f t="shared" si="12"/>
        <v xml:space="preserve"> * La variable Niños, niñas, adolescentes y jóvenes SENAME No puede ser mayor al Total Ambos Sexos.</v>
      </c>
      <c r="CI17" s="433" t="str">
        <f t="shared" si="13"/>
        <v xml:space="preserve"> * La variable Niños, niñas, adolescentes y jóvenes Mejor Niñez no puede ser mayor al Total Ambos Sexos.</v>
      </c>
      <c r="CP17" s="434" t="e">
        <f t="shared" si="0"/>
        <v>#VALUE!</v>
      </c>
      <c r="CQ17" s="434">
        <f t="shared" si="1"/>
        <v>1</v>
      </c>
      <c r="CR17" s="434" t="e">
        <f t="shared" si="2"/>
        <v>#VALUE!</v>
      </c>
      <c r="CS17" s="434">
        <f t="shared" si="3"/>
        <v>1</v>
      </c>
      <c r="CT17" s="434">
        <f t="shared" si="3"/>
        <v>1</v>
      </c>
      <c r="CU17" s="434">
        <f t="shared" si="3"/>
        <v>1</v>
      </c>
      <c r="CV17" s="434">
        <f t="shared" si="3"/>
        <v>1</v>
      </c>
      <c r="CW17" s="434">
        <f t="shared" si="4"/>
        <v>1</v>
      </c>
    </row>
    <row r="18" spans="1:101" ht="18" customHeight="1" x14ac:dyDescent="0.25">
      <c r="A18" s="5548"/>
      <c r="B18" s="3" t="s">
        <v>1591</v>
      </c>
      <c r="C18" s="3457"/>
      <c r="D18" s="3457"/>
      <c r="E18" s="3449"/>
      <c r="F18" s="3449"/>
      <c r="G18" s="3449"/>
      <c r="H18" s="3458"/>
      <c r="I18" s="3458"/>
      <c r="J18" s="3449"/>
      <c r="K18" s="3449"/>
      <c r="L18" s="3449"/>
      <c r="M18" s="3449"/>
      <c r="N18" s="3449"/>
      <c r="O18" s="3449"/>
      <c r="P18" s="3449"/>
      <c r="Q18" s="4"/>
      <c r="R18" s="3449"/>
      <c r="S18" s="3449"/>
      <c r="T18" s="3449"/>
      <c r="U18" s="3449"/>
      <c r="V18" s="3449"/>
      <c r="W18" s="3449"/>
      <c r="X18" s="3449"/>
      <c r="Y18" s="3449"/>
      <c r="Z18" s="3449"/>
      <c r="AA18" s="3449"/>
      <c r="AB18" s="3449"/>
      <c r="AC18" s="3449"/>
      <c r="AD18" s="3449"/>
      <c r="AE18" s="3449"/>
      <c r="AF18" s="3449"/>
      <c r="AG18" s="3449"/>
      <c r="AH18" s="3449"/>
      <c r="AI18" s="1839"/>
      <c r="AJ18" s="1839"/>
      <c r="AK18" s="1839"/>
      <c r="AL18" s="1839"/>
      <c r="AM18" s="1839"/>
      <c r="AN18" s="1839"/>
      <c r="AO18" s="1839"/>
      <c r="AP18" s="1839"/>
      <c r="AQ18" s="1839"/>
      <c r="AR18" s="1839"/>
      <c r="AS18" s="1839"/>
      <c r="AT18" s="1839"/>
      <c r="AU18" s="1839"/>
      <c r="AV18" s="1839"/>
      <c r="AW18" s="1839"/>
      <c r="AX18" s="1839"/>
      <c r="AY18" s="1839"/>
    </row>
    <row r="19" spans="1:101" x14ac:dyDescent="0.25">
      <c r="A19" s="5548"/>
      <c r="B19" s="6575" t="s">
        <v>1592</v>
      </c>
      <c r="C19" s="6491"/>
      <c r="D19" s="6576"/>
      <c r="E19" s="6956" t="s">
        <v>192</v>
      </c>
      <c r="F19" s="6515"/>
      <c r="G19" s="6545"/>
      <c r="H19" s="6899" t="s">
        <v>474</v>
      </c>
      <c r="I19" s="6762"/>
      <c r="J19" s="6545" t="s">
        <v>380</v>
      </c>
      <c r="K19" s="6928"/>
      <c r="L19" s="6956" t="s">
        <v>381</v>
      </c>
      <c r="M19" s="6545"/>
      <c r="N19" s="6545" t="s">
        <v>1577</v>
      </c>
      <c r="O19" s="6928"/>
      <c r="P19" s="6956" t="s">
        <v>383</v>
      </c>
      <c r="Q19" s="6545"/>
      <c r="R19" s="6956" t="s">
        <v>384</v>
      </c>
      <c r="S19" s="6545"/>
      <c r="T19" s="6956" t="s">
        <v>385</v>
      </c>
      <c r="U19" s="6545"/>
      <c r="V19" s="6956" t="s">
        <v>386</v>
      </c>
      <c r="W19" s="6545"/>
      <c r="X19" s="6515" t="s">
        <v>1578</v>
      </c>
      <c r="Y19" s="6515"/>
      <c r="Z19" s="6956" t="s">
        <v>303</v>
      </c>
      <c r="AA19" s="6962"/>
      <c r="AB19" s="6515" t="s">
        <v>304</v>
      </c>
      <c r="AC19" s="6534"/>
      <c r="AD19" s="6515" t="s">
        <v>1579</v>
      </c>
      <c r="AE19" s="6534"/>
      <c r="AF19" s="6515" t="s">
        <v>1580</v>
      </c>
      <c r="AG19" s="6534"/>
      <c r="AH19" s="6515" t="s">
        <v>1581</v>
      </c>
      <c r="AI19" s="6534"/>
      <c r="AJ19" s="6515" t="s">
        <v>1582</v>
      </c>
      <c r="AK19" s="6534"/>
      <c r="AL19" s="6515" t="s">
        <v>1583</v>
      </c>
      <c r="AM19" s="6534"/>
      <c r="AN19" s="6515" t="s">
        <v>1584</v>
      </c>
      <c r="AO19" s="6962"/>
      <c r="AP19" s="6515" t="s">
        <v>938</v>
      </c>
      <c r="AQ19" s="6943"/>
      <c r="AR19" s="6517" t="s">
        <v>1570</v>
      </c>
      <c r="AS19" s="6645" t="s">
        <v>1593</v>
      </c>
      <c r="AT19" s="6645" t="s">
        <v>1572</v>
      </c>
      <c r="AU19" s="6645" t="s">
        <v>1594</v>
      </c>
      <c r="AV19" s="6645" t="s">
        <v>1573</v>
      </c>
      <c r="AW19" s="6963" t="s">
        <v>37</v>
      </c>
      <c r="AX19" s="6963" t="s">
        <v>1575</v>
      </c>
      <c r="AY19" s="6896" t="s">
        <v>1576</v>
      </c>
    </row>
    <row r="20" spans="1:101" ht="30.75" customHeight="1" x14ac:dyDescent="0.25">
      <c r="A20" s="5548"/>
      <c r="B20" s="6750"/>
      <c r="C20" s="6749"/>
      <c r="D20" s="6913"/>
      <c r="E20" s="3405" t="s">
        <v>79</v>
      </c>
      <c r="F20" s="3424" t="s">
        <v>58</v>
      </c>
      <c r="G20" s="90" t="s">
        <v>59</v>
      </c>
      <c r="H20" s="3405" t="s">
        <v>58</v>
      </c>
      <c r="I20" s="591" t="s">
        <v>59</v>
      </c>
      <c r="J20" s="463" t="s">
        <v>58</v>
      </c>
      <c r="K20" s="90" t="s">
        <v>59</v>
      </c>
      <c r="L20" s="463" t="s">
        <v>58</v>
      </c>
      <c r="M20" s="486" t="s">
        <v>59</v>
      </c>
      <c r="N20" s="463" t="s">
        <v>58</v>
      </c>
      <c r="O20" s="90" t="s">
        <v>59</v>
      </c>
      <c r="P20" s="463" t="s">
        <v>58</v>
      </c>
      <c r="Q20" s="90" t="s">
        <v>59</v>
      </c>
      <c r="R20" s="463" t="s">
        <v>58</v>
      </c>
      <c r="S20" s="90" t="s">
        <v>59</v>
      </c>
      <c r="T20" s="463" t="s">
        <v>58</v>
      </c>
      <c r="U20" s="90" t="s">
        <v>59</v>
      </c>
      <c r="V20" s="3405" t="s">
        <v>58</v>
      </c>
      <c r="W20" s="591" t="s">
        <v>59</v>
      </c>
      <c r="X20" s="3424" t="s">
        <v>58</v>
      </c>
      <c r="Y20" s="590" t="s">
        <v>59</v>
      </c>
      <c r="Z20" s="3405" t="s">
        <v>58</v>
      </c>
      <c r="AA20" s="591" t="s">
        <v>59</v>
      </c>
      <c r="AB20" s="3424" t="s">
        <v>58</v>
      </c>
      <c r="AC20" s="590" t="s">
        <v>59</v>
      </c>
      <c r="AD20" s="3405" t="s">
        <v>58</v>
      </c>
      <c r="AE20" s="591" t="s">
        <v>59</v>
      </c>
      <c r="AF20" s="3424" t="s">
        <v>58</v>
      </c>
      <c r="AG20" s="590" t="s">
        <v>59</v>
      </c>
      <c r="AH20" s="3405" t="s">
        <v>58</v>
      </c>
      <c r="AI20" s="591" t="s">
        <v>59</v>
      </c>
      <c r="AJ20" s="3424" t="s">
        <v>58</v>
      </c>
      <c r="AK20" s="590" t="s">
        <v>59</v>
      </c>
      <c r="AL20" s="3405" t="s">
        <v>58</v>
      </c>
      <c r="AM20" s="591" t="s">
        <v>59</v>
      </c>
      <c r="AN20" s="3424" t="s">
        <v>58</v>
      </c>
      <c r="AO20" s="591" t="s">
        <v>59</v>
      </c>
      <c r="AP20" s="3424" t="s">
        <v>58</v>
      </c>
      <c r="AQ20" s="3431" t="s">
        <v>59</v>
      </c>
      <c r="AR20" s="6034"/>
      <c r="AS20" s="6984"/>
      <c r="AT20" s="6086"/>
      <c r="AU20" s="6086"/>
      <c r="AV20" s="6086"/>
      <c r="AW20" s="6083"/>
      <c r="AX20" s="6083"/>
      <c r="AY20" s="6964"/>
    </row>
    <row r="21" spans="1:101" ht="15" customHeight="1" x14ac:dyDescent="0.25">
      <c r="A21" s="5812" t="s">
        <v>5680</v>
      </c>
      <c r="B21" s="6981" t="s">
        <v>1595</v>
      </c>
      <c r="C21" s="6982"/>
      <c r="D21" s="6983"/>
      <c r="E21" s="3459" t="s">
        <v>4567</v>
      </c>
      <c r="F21" s="3460" t="s">
        <v>4568</v>
      </c>
      <c r="G21" s="2963" t="s">
        <v>4569</v>
      </c>
      <c r="H21" s="3227" t="s">
        <v>4570</v>
      </c>
      <c r="I21" s="748" t="s">
        <v>4571</v>
      </c>
      <c r="J21" s="3227" t="s">
        <v>4572</v>
      </c>
      <c r="K21" s="566" t="s">
        <v>4573</v>
      </c>
      <c r="L21" s="3227" t="s">
        <v>4574</v>
      </c>
      <c r="M21" s="748" t="s">
        <v>4575</v>
      </c>
      <c r="N21" s="3227" t="s">
        <v>4576</v>
      </c>
      <c r="O21" s="566" t="s">
        <v>4577</v>
      </c>
      <c r="P21" s="3227" t="s">
        <v>4578</v>
      </c>
      <c r="Q21" s="748" t="s">
        <v>4579</v>
      </c>
      <c r="R21" s="3227" t="s">
        <v>4580</v>
      </c>
      <c r="S21" s="748" t="s">
        <v>4581</v>
      </c>
      <c r="T21" s="3227" t="s">
        <v>4582</v>
      </c>
      <c r="U21" s="748" t="s">
        <v>4583</v>
      </c>
      <c r="V21" s="3227" t="s">
        <v>4584</v>
      </c>
      <c r="W21" s="748" t="s">
        <v>4585</v>
      </c>
      <c r="X21" s="3226" t="s">
        <v>4586</v>
      </c>
      <c r="Y21" s="3261" t="s">
        <v>4587</v>
      </c>
      <c r="Z21" s="3227" t="s">
        <v>4588</v>
      </c>
      <c r="AA21" s="748" t="s">
        <v>4589</v>
      </c>
      <c r="AB21" s="3226" t="s">
        <v>4590</v>
      </c>
      <c r="AC21" s="3261" t="s">
        <v>4591</v>
      </c>
      <c r="AD21" s="3227" t="s">
        <v>4592</v>
      </c>
      <c r="AE21" s="748" t="s">
        <v>4593</v>
      </c>
      <c r="AF21" s="3226" t="s">
        <v>4594</v>
      </c>
      <c r="AG21" s="3261" t="s">
        <v>4595</v>
      </c>
      <c r="AH21" s="3227" t="s">
        <v>4596</v>
      </c>
      <c r="AI21" s="748" t="s">
        <v>4597</v>
      </c>
      <c r="AJ21" s="3226" t="s">
        <v>4598</v>
      </c>
      <c r="AK21" s="3261" t="s">
        <v>4599</v>
      </c>
      <c r="AL21" s="3227" t="s">
        <v>4600</v>
      </c>
      <c r="AM21" s="748" t="s">
        <v>4601</v>
      </c>
      <c r="AN21" s="3226" t="s">
        <v>4602</v>
      </c>
      <c r="AO21" s="748" t="s">
        <v>4603</v>
      </c>
      <c r="AP21" s="3226" t="s">
        <v>4604</v>
      </c>
      <c r="AQ21" s="736" t="s">
        <v>4605</v>
      </c>
      <c r="AR21" s="735" t="s">
        <v>4606</v>
      </c>
      <c r="AS21" s="750" t="s">
        <v>4934</v>
      </c>
      <c r="AT21" s="750" t="s">
        <v>4935</v>
      </c>
      <c r="AU21" s="750" t="s">
        <v>4936</v>
      </c>
      <c r="AV21" s="750" t="s">
        <v>4937</v>
      </c>
      <c r="AW21" s="750" t="s">
        <v>5234</v>
      </c>
      <c r="AX21" s="750" t="s">
        <v>5235</v>
      </c>
      <c r="AY21" s="566" t="s">
        <v>5236</v>
      </c>
      <c r="AZ21" t="e">
        <f>CB21&amp;CC21&amp;CD21&amp;CE21&amp;CF21&amp;CG21&amp;CH21&amp;CI21</f>
        <v>#VALUE!</v>
      </c>
      <c r="CB21" s="433" t="e">
        <f t="shared" ref="CB21" si="14">IF(AND((Z21+AA21)&gt;0,AR21="")," * No olvide digitar la variable 12 años (incluido en el grupo de 10-14 años). Si no tiene digite Cero.",IF(AR21&gt;(Z21+AA21),"* Las Consultas de 12 años (incluido en el grupo de 10-14 años) NO DEBEN ser mayor que el total de Consultas entre 10-14 años",""))</f>
        <v>#VALUE!</v>
      </c>
      <c r="CC21" s="433" t="str">
        <f t="shared" ref="CC21" si="15">IF(AND($G21&gt;0,AS21="")," * No olvide digitar la variable Gestante. Digite cero si no tiene.",IF(AS21&gt;$G21," * La variable Gestante NO DEBEN ser mayor al Total de Mujeres. ",""))</f>
        <v xml:space="preserve"> * La variable Gestante NO DEBEN ser mayor al Total de Mujeres. </v>
      </c>
      <c r="CD21" s="433" t="e">
        <f>IF(AND((AL21+AM21)&gt;0,AT21="")," * No olvide digitar la variable 60 años (incluido en grupos de 60-64 años). Digite Cero si no tiene.",IF(AT21&gt;(AL21+AM21)," * La variable 60 años (incluido en grupos de 60-64 años) NO DEBE ser mayor que el Total de consultas del grupo 60-64 años",""))</f>
        <v>#VALUE!</v>
      </c>
      <c r="CE21" s="433" t="str">
        <f>IF(AND(E21&gt;0,AU21="")," * No olvide digitar la variable Compra de servicio. Digite Cero si no tiene.",IF(AU21&gt;E21," * La variable Compra de servicio No puede ser mayor al Total Ambos Sexos.",""))</f>
        <v xml:space="preserve"> * La variable Compra de servicio No puede ser mayor al Total Ambos Sexos.</v>
      </c>
      <c r="CF21" s="433" t="str">
        <f t="shared" ref="CF21:CF37" si="16">IF(AND(E21&gt;0,AV21="")," * No olvide digitar la variable Usuarios con Discapacidad. Digite Cero si no tiene.",IF(AV21&gt;$E21," * La variable Usuarios con Discapacidad No puede ser mayor al Total Ambos Sexos.",""))</f>
        <v xml:space="preserve"> * La variable Usuarios con Discapacidad No puede ser mayor al Total Ambos Sexos.</v>
      </c>
      <c r="CG21" s="433" t="str">
        <f>IF(AND($E21&gt;0,AW21="")," * No olvide digitar la variable Migrantes. Digite Cero si no tiene.",IF(AW21&gt;$E21," * La variable Migrantes No puede ser mayor al Total Ambos Sexos.",""))</f>
        <v xml:space="preserve"> * La variable Migrantes No puede ser mayor al Total Ambos Sexos.</v>
      </c>
      <c r="CH21" s="433" t="str">
        <f>IF(AND(E21&gt;0,AX21="")," * No olvide digitar la variable Niños, niñas, adolescentes y jóvenes SENAME. Digite Cero si no tiene.",IF(AX21&gt;E21," * La variable Niños, niñas, adolescentes y jóvenes SENAME No puede ser mayor al Total Ambos Sexos.",""))</f>
        <v xml:space="preserve"> * La variable Niños, niñas, adolescentes y jóvenes SENAME No puede ser mayor al Total Ambos Sexos.</v>
      </c>
      <c r="CI21" s="433" t="str">
        <f>IF(AND($E21&gt;0,AY21="")," * No olvide digitar la variable Niños, niñas, adolescentes y jóvenes Mejor Niñez. Digite Cero si no tiene.",IF(AY21&gt;$E21,"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P21" s="434" t="e">
        <f t="shared" ref="CP21:CP38" si="17">IF(AND((Z21+AA21)&gt;0,AR21=""),1,IF(AR21&gt;(Z21+AA21),1,0))</f>
        <v>#VALUE!</v>
      </c>
      <c r="CQ21" s="434">
        <f t="shared" ref="CQ21:CQ38" si="18">IF(AND($G21&gt;0,AS21=""),1,IF(AS21&gt;$G21,1,0))</f>
        <v>1</v>
      </c>
      <c r="CR21" s="434" t="e">
        <f t="shared" ref="CR21:CR38" si="19">IF(AND((AL21+AM21)&gt;0,AT21=""),1,IF(AT21&gt;(AL21+AM21),1,0))</f>
        <v>#VALUE!</v>
      </c>
      <c r="CS21" s="434">
        <f t="shared" ref="CS21:CS38" si="20">IF(AND($E21&gt;0,AU21=""),1,IF(AU21&gt;$E21,1,0))</f>
        <v>1</v>
      </c>
      <c r="CT21" s="434">
        <f t="shared" ref="CT21:CT38" si="21">IF(AND($E21&gt;0,AV21=""),1,IF(AV21&gt;$E21,1,0))</f>
        <v>1</v>
      </c>
      <c r="CU21" s="434">
        <f t="shared" ref="CU21:CU38" si="22">IF(AND($E21&gt;0,AW21=""),1,IF(AW21&gt;$E21,1,0))</f>
        <v>1</v>
      </c>
      <c r="CV21" s="434">
        <f t="shared" ref="CV21:CV38" si="23">IF(AND($E21&gt;0,AX21=""),1,IF(AX21&gt;$E21,1,0))</f>
        <v>1</v>
      </c>
      <c r="CW21" s="434">
        <f t="shared" ref="CW21:CW38" si="24">IF(AND(E21&gt;0,AY21=""),1,IF(AY21&gt;E21,1,0))</f>
        <v>1</v>
      </c>
    </row>
    <row r="22" spans="1:101" ht="15" customHeight="1" x14ac:dyDescent="0.25">
      <c r="A22" s="5812" t="s">
        <v>5681</v>
      </c>
      <c r="B22" s="6971" t="s">
        <v>1596</v>
      </c>
      <c r="C22" s="6972"/>
      <c r="D22" s="6973"/>
      <c r="E22" s="477" t="s">
        <v>4567</v>
      </c>
      <c r="F22" s="478" t="s">
        <v>4568</v>
      </c>
      <c r="G22" s="553" t="s">
        <v>4569</v>
      </c>
      <c r="H22" s="619" t="s">
        <v>4570</v>
      </c>
      <c r="I22" s="824" t="s">
        <v>4571</v>
      </c>
      <c r="J22" s="619" t="s">
        <v>4572</v>
      </c>
      <c r="K22" s="367" t="s">
        <v>4573</v>
      </c>
      <c r="L22" s="619" t="s">
        <v>4574</v>
      </c>
      <c r="M22" s="824" t="s">
        <v>4575</v>
      </c>
      <c r="N22" s="619" t="s">
        <v>4576</v>
      </c>
      <c r="O22" s="367" t="s">
        <v>4577</v>
      </c>
      <c r="P22" s="619" t="s">
        <v>4578</v>
      </c>
      <c r="Q22" s="824" t="s">
        <v>4579</v>
      </c>
      <c r="R22" s="619" t="s">
        <v>4580</v>
      </c>
      <c r="S22" s="824" t="s">
        <v>4581</v>
      </c>
      <c r="T22" s="619" t="s">
        <v>4582</v>
      </c>
      <c r="U22" s="824" t="s">
        <v>4583</v>
      </c>
      <c r="V22" s="345" t="s">
        <v>4584</v>
      </c>
      <c r="W22" s="349" t="s">
        <v>4585</v>
      </c>
      <c r="X22" s="347" t="s">
        <v>4586</v>
      </c>
      <c r="Y22" s="348" t="s">
        <v>4587</v>
      </c>
      <c r="Z22" s="345" t="s">
        <v>4588</v>
      </c>
      <c r="AA22" s="349" t="s">
        <v>4589</v>
      </c>
      <c r="AB22" s="347" t="s">
        <v>4590</v>
      </c>
      <c r="AC22" s="348" t="s">
        <v>4591</v>
      </c>
      <c r="AD22" s="345" t="s">
        <v>4592</v>
      </c>
      <c r="AE22" s="349" t="s">
        <v>4593</v>
      </c>
      <c r="AF22" s="347" t="s">
        <v>4594</v>
      </c>
      <c r="AG22" s="348" t="s">
        <v>4595</v>
      </c>
      <c r="AH22" s="345" t="s">
        <v>4596</v>
      </c>
      <c r="AI22" s="349" t="s">
        <v>4597</v>
      </c>
      <c r="AJ22" s="347" t="s">
        <v>4598</v>
      </c>
      <c r="AK22" s="348" t="s">
        <v>4599</v>
      </c>
      <c r="AL22" s="345" t="s">
        <v>4600</v>
      </c>
      <c r="AM22" s="349" t="s">
        <v>4601</v>
      </c>
      <c r="AN22" s="347" t="s">
        <v>4602</v>
      </c>
      <c r="AO22" s="349" t="s">
        <v>4603</v>
      </c>
      <c r="AP22" s="347" t="s">
        <v>4604</v>
      </c>
      <c r="AQ22" s="351" t="s">
        <v>4605</v>
      </c>
      <c r="AR22" s="429" t="s">
        <v>4606</v>
      </c>
      <c r="AS22" s="368" t="s">
        <v>4934</v>
      </c>
      <c r="AT22" s="368" t="s">
        <v>4935</v>
      </c>
      <c r="AU22" s="368" t="s">
        <v>4936</v>
      </c>
      <c r="AV22" s="368" t="s">
        <v>4937</v>
      </c>
      <c r="AW22" s="368" t="s">
        <v>5234</v>
      </c>
      <c r="AX22" s="368" t="s">
        <v>5235</v>
      </c>
      <c r="AY22" s="346" t="s">
        <v>5236</v>
      </c>
      <c r="AZ22" t="e">
        <f t="shared" ref="AZ22:AZ37" si="25">CB22&amp;CC22&amp;CD22&amp;CE22&amp;CF22&amp;CG22&amp;CH22&amp;CI22</f>
        <v>#VALUE!</v>
      </c>
      <c r="CB22" s="433" t="e">
        <f t="shared" ref="CB22:CB38" si="26">IF(AND((Z22+AA22)&gt;0,AR22="")," * No olvide digitar la variable 12 años (incluido en el grupo de 10-14 años). Si no tiene digite Cero.",IF(AR22&gt;(Z22+AA22),"* Las Consultas de 12 años (incluido en el grupo de 10-14 años) NO DEBEN ser mayor que el total de Consultas entre 10-14 años",""))</f>
        <v>#VALUE!</v>
      </c>
      <c r="CC22" s="433" t="str">
        <f t="shared" ref="CC22:CC38" si="27">IF(AND($G22&gt;0,AS22="")," * No olvide digitar la variable Gestante. Digite cero si no tiene.",IF(AS22&gt;$G22," * La variable Gestante NO DEBEN ser mayor al Total de Mujeres. ",""))</f>
        <v xml:space="preserve"> * La variable Gestante NO DEBEN ser mayor al Total de Mujeres. </v>
      </c>
      <c r="CD22" s="433" t="e">
        <f t="shared" ref="CD22:CD38" si="28">IF(AND((AL22+AM22)&gt;0,AT22="")," * No olvide digitar la variable 60 años (incluido en grupos de 60-64 años). Digite Cero si no tiene.",IF(AT22&gt;(AL22+AM22)," * La variable 60 años (incluido en grupos de 60-64 años) NO DEBE ser mayor que el Total de consultas del grupo 60-64 años",""))</f>
        <v>#VALUE!</v>
      </c>
      <c r="CE22" s="433" t="str">
        <f t="shared" ref="CE22:CE38" si="29">IF(AND(E22&gt;0,AU22="")," * No olvide digitar la variable Compra de servicio. Digite Cero si no tiene.",IF(AU22&gt;E22," * La variable Compra de servicio No puede ser mayor al Total Ambos Sexos.",""))</f>
        <v xml:space="preserve"> * La variable Compra de servicio No puede ser mayor al Total Ambos Sexos.</v>
      </c>
      <c r="CF22" s="433" t="str">
        <f t="shared" si="16"/>
        <v xml:space="preserve"> * La variable Usuarios con Discapacidad No puede ser mayor al Total Ambos Sexos.</v>
      </c>
      <c r="CG22" s="433" t="str">
        <f t="shared" ref="CG22:CG38" si="30">IF(AND($E22&gt;0,AW22="")," * No olvide digitar la variable Migrantes. Digite Cero si no tiene.",IF(AW22&gt;$E22," * La variable Migrantes No puede ser mayor al Total Ambos Sexos.",""))</f>
        <v xml:space="preserve"> * La variable Migrantes No puede ser mayor al Total Ambos Sexos.</v>
      </c>
      <c r="CH22" s="433" t="str">
        <f t="shared" ref="CH22:CH38" si="31">IF(AND(E22&gt;0,AX22="")," * No olvide digitar la variable Niños, niñas, adolescentes y jóvenes SENAME. Digite Cero si no tiene.",IF(AX22&gt;E22," * La variable Niños, niñas, adolescentes y jóvenes SENAME No puede ser mayor al Total Ambos Sexos.",""))</f>
        <v xml:space="preserve"> * La variable Niños, niñas, adolescentes y jóvenes SENAME No puede ser mayor al Total Ambos Sexos.</v>
      </c>
      <c r="CI22" s="433" t="str">
        <f t="shared" ref="CI22:CI38" si="32">IF(AND($E22&gt;0,AY22="")," * No olvide digitar la variable Niños, niñas, adolescentes y jóvenes Mejor Niñez. Digite Cero si no tiene.",IF(AY22&gt;$E22,"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P22" s="434" t="e">
        <f t="shared" si="17"/>
        <v>#VALUE!</v>
      </c>
      <c r="CQ22" s="434">
        <f t="shared" si="18"/>
        <v>1</v>
      </c>
      <c r="CR22" s="434" t="e">
        <f t="shared" si="19"/>
        <v>#VALUE!</v>
      </c>
      <c r="CS22" s="434">
        <f t="shared" si="20"/>
        <v>1</v>
      </c>
      <c r="CT22" s="434">
        <f t="shared" si="21"/>
        <v>1</v>
      </c>
      <c r="CU22" s="434">
        <f t="shared" si="22"/>
        <v>1</v>
      </c>
      <c r="CV22" s="434">
        <f t="shared" si="23"/>
        <v>1</v>
      </c>
      <c r="CW22" s="434">
        <f t="shared" si="24"/>
        <v>1</v>
      </c>
    </row>
    <row r="23" spans="1:101" ht="15" customHeight="1" x14ac:dyDescent="0.25">
      <c r="A23" s="5812" t="s">
        <v>5682</v>
      </c>
      <c r="B23" s="6617" t="s">
        <v>1597</v>
      </c>
      <c r="C23" s="6974"/>
      <c r="D23" s="6618"/>
      <c r="E23" s="477" t="s">
        <v>4567</v>
      </c>
      <c r="F23" s="478" t="s">
        <v>4568</v>
      </c>
      <c r="G23" s="553" t="s">
        <v>4569</v>
      </c>
      <c r="H23" s="345" t="s">
        <v>4570</v>
      </c>
      <c r="I23" s="349" t="s">
        <v>4571</v>
      </c>
      <c r="J23" s="345" t="s">
        <v>4572</v>
      </c>
      <c r="K23" s="346" t="s">
        <v>4573</v>
      </c>
      <c r="L23" s="345" t="s">
        <v>4574</v>
      </c>
      <c r="M23" s="349" t="s">
        <v>4575</v>
      </c>
      <c r="N23" s="345" t="s">
        <v>4576</v>
      </c>
      <c r="O23" s="346" t="s">
        <v>4577</v>
      </c>
      <c r="P23" s="345" t="s">
        <v>4578</v>
      </c>
      <c r="Q23" s="349" t="s">
        <v>4579</v>
      </c>
      <c r="R23" s="345" t="s">
        <v>4580</v>
      </c>
      <c r="S23" s="349" t="s">
        <v>4581</v>
      </c>
      <c r="T23" s="345" t="s">
        <v>4582</v>
      </c>
      <c r="U23" s="349" t="s">
        <v>4583</v>
      </c>
      <c r="V23" s="345" t="s">
        <v>4584</v>
      </c>
      <c r="W23" s="349" t="s">
        <v>4585</v>
      </c>
      <c r="X23" s="347" t="s">
        <v>4586</v>
      </c>
      <c r="Y23" s="348" t="s">
        <v>4587</v>
      </c>
      <c r="Z23" s="345" t="s">
        <v>4588</v>
      </c>
      <c r="AA23" s="349" t="s">
        <v>4589</v>
      </c>
      <c r="AB23" s="347" t="s">
        <v>4590</v>
      </c>
      <c r="AC23" s="348" t="s">
        <v>4591</v>
      </c>
      <c r="AD23" s="345" t="s">
        <v>4592</v>
      </c>
      <c r="AE23" s="349" t="s">
        <v>4593</v>
      </c>
      <c r="AF23" s="347" t="s">
        <v>4594</v>
      </c>
      <c r="AG23" s="348" t="s">
        <v>4595</v>
      </c>
      <c r="AH23" s="345" t="s">
        <v>4596</v>
      </c>
      <c r="AI23" s="349" t="s">
        <v>4597</v>
      </c>
      <c r="AJ23" s="347" t="s">
        <v>4598</v>
      </c>
      <c r="AK23" s="348" t="s">
        <v>4599</v>
      </c>
      <c r="AL23" s="345" t="s">
        <v>4600</v>
      </c>
      <c r="AM23" s="349" t="s">
        <v>4601</v>
      </c>
      <c r="AN23" s="347" t="s">
        <v>4602</v>
      </c>
      <c r="AO23" s="349" t="s">
        <v>4603</v>
      </c>
      <c r="AP23" s="347" t="s">
        <v>4604</v>
      </c>
      <c r="AQ23" s="351" t="s">
        <v>4605</v>
      </c>
      <c r="AR23" s="429" t="s">
        <v>4606</v>
      </c>
      <c r="AS23" s="368" t="s">
        <v>4934</v>
      </c>
      <c r="AT23" s="368" t="s">
        <v>4935</v>
      </c>
      <c r="AU23" s="368" t="s">
        <v>4936</v>
      </c>
      <c r="AV23" s="368" t="s">
        <v>4937</v>
      </c>
      <c r="AW23" s="368" t="s">
        <v>5234</v>
      </c>
      <c r="AX23" s="368" t="s">
        <v>5235</v>
      </c>
      <c r="AY23" s="346" t="s">
        <v>5236</v>
      </c>
      <c r="AZ23" t="e">
        <f t="shared" si="25"/>
        <v>#VALUE!</v>
      </c>
      <c r="CB23" s="433" t="e">
        <f t="shared" si="26"/>
        <v>#VALUE!</v>
      </c>
      <c r="CC23" s="433" t="str">
        <f t="shared" si="27"/>
        <v xml:space="preserve"> * La variable Gestante NO DEBEN ser mayor al Total de Mujeres. </v>
      </c>
      <c r="CD23" s="433" t="e">
        <f t="shared" si="28"/>
        <v>#VALUE!</v>
      </c>
      <c r="CE23" s="433" t="str">
        <f t="shared" si="29"/>
        <v xml:space="preserve"> * La variable Compra de servicio No puede ser mayor al Total Ambos Sexos.</v>
      </c>
      <c r="CF23" s="433" t="str">
        <f t="shared" si="16"/>
        <v xml:space="preserve"> * La variable Usuarios con Discapacidad No puede ser mayor al Total Ambos Sexos.</v>
      </c>
      <c r="CG23" s="433" t="str">
        <f t="shared" si="30"/>
        <v xml:space="preserve"> * La variable Migrantes No puede ser mayor al Total Ambos Sexos.</v>
      </c>
      <c r="CH23" s="433" t="str">
        <f t="shared" si="31"/>
        <v xml:space="preserve"> * La variable Niños, niñas, adolescentes y jóvenes SENAME No puede ser mayor al Total Ambos Sexos.</v>
      </c>
      <c r="CI23" s="433" t="str">
        <f t="shared" si="32"/>
        <v xml:space="preserve"> * La variable Niños, niñas, adolescentes y jóvenes Mejor Niñez no puede ser mayor al Total Ambos Sexos.</v>
      </c>
      <c r="CP23" s="434" t="e">
        <f t="shared" si="17"/>
        <v>#VALUE!</v>
      </c>
      <c r="CQ23" s="434">
        <f t="shared" si="18"/>
        <v>1</v>
      </c>
      <c r="CR23" s="434" t="e">
        <f t="shared" si="19"/>
        <v>#VALUE!</v>
      </c>
      <c r="CS23" s="434">
        <f t="shared" si="20"/>
        <v>1</v>
      </c>
      <c r="CT23" s="434">
        <f t="shared" si="21"/>
        <v>1</v>
      </c>
      <c r="CU23" s="434">
        <f t="shared" si="22"/>
        <v>1</v>
      </c>
      <c r="CV23" s="434">
        <f t="shared" si="23"/>
        <v>1</v>
      </c>
      <c r="CW23" s="434">
        <f t="shared" si="24"/>
        <v>1</v>
      </c>
    </row>
    <row r="24" spans="1:101" ht="15" customHeight="1" x14ac:dyDescent="0.25">
      <c r="A24" s="5812" t="s">
        <v>5683</v>
      </c>
      <c r="B24" s="6617" t="s">
        <v>1598</v>
      </c>
      <c r="C24" s="6974"/>
      <c r="D24" s="6618"/>
      <c r="E24" s="477" t="s">
        <v>4567</v>
      </c>
      <c r="F24" s="478" t="s">
        <v>4568</v>
      </c>
      <c r="G24" s="553" t="s">
        <v>4569</v>
      </c>
      <c r="H24" s="345" t="s">
        <v>4570</v>
      </c>
      <c r="I24" s="349" t="s">
        <v>4571</v>
      </c>
      <c r="J24" s="345" t="s">
        <v>4572</v>
      </c>
      <c r="K24" s="346" t="s">
        <v>4573</v>
      </c>
      <c r="L24" s="345" t="s">
        <v>4574</v>
      </c>
      <c r="M24" s="349" t="s">
        <v>4575</v>
      </c>
      <c r="N24" s="345" t="s">
        <v>4576</v>
      </c>
      <c r="O24" s="346" t="s">
        <v>4577</v>
      </c>
      <c r="P24" s="345" t="s">
        <v>4578</v>
      </c>
      <c r="Q24" s="349" t="s">
        <v>4579</v>
      </c>
      <c r="R24" s="345" t="s">
        <v>4580</v>
      </c>
      <c r="S24" s="349" t="s">
        <v>4581</v>
      </c>
      <c r="T24" s="345" t="s">
        <v>4582</v>
      </c>
      <c r="U24" s="349" t="s">
        <v>4583</v>
      </c>
      <c r="V24" s="345" t="s">
        <v>4584</v>
      </c>
      <c r="W24" s="349" t="s">
        <v>4585</v>
      </c>
      <c r="X24" s="347" t="s">
        <v>4586</v>
      </c>
      <c r="Y24" s="348" t="s">
        <v>4587</v>
      </c>
      <c r="Z24" s="345" t="s">
        <v>4588</v>
      </c>
      <c r="AA24" s="349" t="s">
        <v>4589</v>
      </c>
      <c r="AB24" s="347" t="s">
        <v>4590</v>
      </c>
      <c r="AC24" s="348" t="s">
        <v>4591</v>
      </c>
      <c r="AD24" s="345" t="s">
        <v>4592</v>
      </c>
      <c r="AE24" s="349" t="s">
        <v>4593</v>
      </c>
      <c r="AF24" s="347" t="s">
        <v>4594</v>
      </c>
      <c r="AG24" s="348" t="s">
        <v>4595</v>
      </c>
      <c r="AH24" s="345" t="s">
        <v>4596</v>
      </c>
      <c r="AI24" s="349" t="s">
        <v>4597</v>
      </c>
      <c r="AJ24" s="347" t="s">
        <v>4598</v>
      </c>
      <c r="AK24" s="348" t="s">
        <v>4599</v>
      </c>
      <c r="AL24" s="345" t="s">
        <v>4600</v>
      </c>
      <c r="AM24" s="349" t="s">
        <v>4601</v>
      </c>
      <c r="AN24" s="347" t="s">
        <v>4602</v>
      </c>
      <c r="AO24" s="349" t="s">
        <v>4603</v>
      </c>
      <c r="AP24" s="347" t="s">
        <v>4604</v>
      </c>
      <c r="AQ24" s="351" t="s">
        <v>4605</v>
      </c>
      <c r="AR24" s="429" t="s">
        <v>4606</v>
      </c>
      <c r="AS24" s="368" t="s">
        <v>4934</v>
      </c>
      <c r="AT24" s="368" t="s">
        <v>4935</v>
      </c>
      <c r="AU24" s="368" t="s">
        <v>4936</v>
      </c>
      <c r="AV24" s="368" t="s">
        <v>4937</v>
      </c>
      <c r="AW24" s="368" t="s">
        <v>5234</v>
      </c>
      <c r="AX24" s="368" t="s">
        <v>5235</v>
      </c>
      <c r="AY24" s="346" t="s">
        <v>5236</v>
      </c>
      <c r="AZ24" t="e">
        <f t="shared" si="25"/>
        <v>#VALUE!</v>
      </c>
      <c r="CB24" s="433" t="e">
        <f t="shared" si="26"/>
        <v>#VALUE!</v>
      </c>
      <c r="CC24" s="433" t="str">
        <f t="shared" si="27"/>
        <v xml:space="preserve"> * La variable Gestante NO DEBEN ser mayor al Total de Mujeres. </v>
      </c>
      <c r="CD24" s="433" t="e">
        <f t="shared" si="28"/>
        <v>#VALUE!</v>
      </c>
      <c r="CE24" s="433" t="str">
        <f t="shared" si="29"/>
        <v xml:space="preserve"> * La variable Compra de servicio No puede ser mayor al Total Ambos Sexos.</v>
      </c>
      <c r="CF24" s="433" t="str">
        <f t="shared" si="16"/>
        <v xml:space="preserve"> * La variable Usuarios con Discapacidad No puede ser mayor al Total Ambos Sexos.</v>
      </c>
      <c r="CG24" s="433" t="str">
        <f t="shared" si="30"/>
        <v xml:space="preserve"> * La variable Migrantes No puede ser mayor al Total Ambos Sexos.</v>
      </c>
      <c r="CH24" s="433" t="str">
        <f t="shared" si="31"/>
        <v xml:space="preserve"> * La variable Niños, niñas, adolescentes y jóvenes SENAME No puede ser mayor al Total Ambos Sexos.</v>
      </c>
      <c r="CI24" s="433" t="str">
        <f t="shared" si="32"/>
        <v xml:space="preserve"> * La variable Niños, niñas, adolescentes y jóvenes Mejor Niñez no puede ser mayor al Total Ambos Sexos.</v>
      </c>
      <c r="CP24" s="434" t="e">
        <f t="shared" si="17"/>
        <v>#VALUE!</v>
      </c>
      <c r="CQ24" s="434">
        <f t="shared" si="18"/>
        <v>1</v>
      </c>
      <c r="CR24" s="434" t="e">
        <f t="shared" si="19"/>
        <v>#VALUE!</v>
      </c>
      <c r="CS24" s="434">
        <f t="shared" si="20"/>
        <v>1</v>
      </c>
      <c r="CT24" s="434">
        <f t="shared" si="21"/>
        <v>1</v>
      </c>
      <c r="CU24" s="434">
        <f t="shared" si="22"/>
        <v>1</v>
      </c>
      <c r="CV24" s="434">
        <f t="shared" si="23"/>
        <v>1</v>
      </c>
      <c r="CW24" s="434">
        <f t="shared" si="24"/>
        <v>1</v>
      </c>
    </row>
    <row r="25" spans="1:101" ht="15" customHeight="1" x14ac:dyDescent="0.25">
      <c r="A25" s="5812" t="s">
        <v>5684</v>
      </c>
      <c r="B25" s="6617" t="s">
        <v>1599</v>
      </c>
      <c r="C25" s="6974"/>
      <c r="D25" s="6618"/>
      <c r="E25" s="477" t="s">
        <v>4567</v>
      </c>
      <c r="F25" s="478" t="s">
        <v>4568</v>
      </c>
      <c r="G25" s="553" t="s">
        <v>4569</v>
      </c>
      <c r="H25" s="345" t="s">
        <v>4570</v>
      </c>
      <c r="I25" s="349" t="s">
        <v>4571</v>
      </c>
      <c r="J25" s="345" t="s">
        <v>4572</v>
      </c>
      <c r="K25" s="346" t="s">
        <v>4573</v>
      </c>
      <c r="L25" s="345" t="s">
        <v>4574</v>
      </c>
      <c r="M25" s="349" t="s">
        <v>4575</v>
      </c>
      <c r="N25" s="345" t="s">
        <v>4576</v>
      </c>
      <c r="O25" s="346" t="s">
        <v>4577</v>
      </c>
      <c r="P25" s="345" t="s">
        <v>4578</v>
      </c>
      <c r="Q25" s="349" t="s">
        <v>4579</v>
      </c>
      <c r="R25" s="345" t="s">
        <v>4580</v>
      </c>
      <c r="S25" s="349" t="s">
        <v>4581</v>
      </c>
      <c r="T25" s="345" t="s">
        <v>4582</v>
      </c>
      <c r="U25" s="349" t="s">
        <v>4583</v>
      </c>
      <c r="V25" s="345" t="s">
        <v>4584</v>
      </c>
      <c r="W25" s="349" t="s">
        <v>4585</v>
      </c>
      <c r="X25" s="347" t="s">
        <v>4586</v>
      </c>
      <c r="Y25" s="348" t="s">
        <v>4587</v>
      </c>
      <c r="Z25" s="345" t="s">
        <v>4588</v>
      </c>
      <c r="AA25" s="349" t="s">
        <v>4589</v>
      </c>
      <c r="AB25" s="347" t="s">
        <v>4590</v>
      </c>
      <c r="AC25" s="348" t="s">
        <v>4591</v>
      </c>
      <c r="AD25" s="345" t="s">
        <v>4592</v>
      </c>
      <c r="AE25" s="349" t="s">
        <v>4593</v>
      </c>
      <c r="AF25" s="347" t="s">
        <v>4594</v>
      </c>
      <c r="AG25" s="348" t="s">
        <v>4595</v>
      </c>
      <c r="AH25" s="345" t="s">
        <v>4596</v>
      </c>
      <c r="AI25" s="349" t="s">
        <v>4597</v>
      </c>
      <c r="AJ25" s="347" t="s">
        <v>4598</v>
      </c>
      <c r="AK25" s="348" t="s">
        <v>4599</v>
      </c>
      <c r="AL25" s="345" t="s">
        <v>4600</v>
      </c>
      <c r="AM25" s="349" t="s">
        <v>4601</v>
      </c>
      <c r="AN25" s="347" t="s">
        <v>4602</v>
      </c>
      <c r="AO25" s="349" t="s">
        <v>4603</v>
      </c>
      <c r="AP25" s="347" t="s">
        <v>4604</v>
      </c>
      <c r="AQ25" s="351" t="s">
        <v>4605</v>
      </c>
      <c r="AR25" s="429" t="s">
        <v>4606</v>
      </c>
      <c r="AS25" s="368" t="s">
        <v>4934</v>
      </c>
      <c r="AT25" s="368" t="s">
        <v>4935</v>
      </c>
      <c r="AU25" s="368" t="s">
        <v>4936</v>
      </c>
      <c r="AV25" s="368" t="s">
        <v>4937</v>
      </c>
      <c r="AW25" s="368" t="s">
        <v>5234</v>
      </c>
      <c r="AX25" s="368" t="s">
        <v>5235</v>
      </c>
      <c r="AY25" s="346" t="s">
        <v>5236</v>
      </c>
      <c r="AZ25" t="e">
        <f t="shared" si="25"/>
        <v>#VALUE!</v>
      </c>
      <c r="CB25" s="433" t="e">
        <f t="shared" si="26"/>
        <v>#VALUE!</v>
      </c>
      <c r="CC25" s="433" t="str">
        <f t="shared" si="27"/>
        <v xml:space="preserve"> * La variable Gestante NO DEBEN ser mayor al Total de Mujeres. </v>
      </c>
      <c r="CD25" s="433" t="e">
        <f t="shared" si="28"/>
        <v>#VALUE!</v>
      </c>
      <c r="CE25" s="433" t="str">
        <f t="shared" si="29"/>
        <v xml:space="preserve"> * La variable Compra de servicio No puede ser mayor al Total Ambos Sexos.</v>
      </c>
      <c r="CF25" s="433" t="str">
        <f t="shared" si="16"/>
        <v xml:space="preserve"> * La variable Usuarios con Discapacidad No puede ser mayor al Total Ambos Sexos.</v>
      </c>
      <c r="CG25" s="433" t="str">
        <f t="shared" si="30"/>
        <v xml:space="preserve"> * La variable Migrantes No puede ser mayor al Total Ambos Sexos.</v>
      </c>
      <c r="CH25" s="433" t="str">
        <f t="shared" si="31"/>
        <v xml:space="preserve"> * La variable Niños, niñas, adolescentes y jóvenes SENAME No puede ser mayor al Total Ambos Sexos.</v>
      </c>
      <c r="CI25" s="433" t="str">
        <f t="shared" si="32"/>
        <v xml:space="preserve"> * La variable Niños, niñas, adolescentes y jóvenes Mejor Niñez no puede ser mayor al Total Ambos Sexos.</v>
      </c>
      <c r="CP25" s="434" t="e">
        <f t="shared" si="17"/>
        <v>#VALUE!</v>
      </c>
      <c r="CQ25" s="434">
        <f t="shared" si="18"/>
        <v>1</v>
      </c>
      <c r="CR25" s="434" t="e">
        <f t="shared" si="19"/>
        <v>#VALUE!</v>
      </c>
      <c r="CS25" s="434">
        <f t="shared" si="20"/>
        <v>1</v>
      </c>
      <c r="CT25" s="434">
        <f t="shared" si="21"/>
        <v>1</v>
      </c>
      <c r="CU25" s="434">
        <f t="shared" si="22"/>
        <v>1</v>
      </c>
      <c r="CV25" s="434">
        <f t="shared" si="23"/>
        <v>1</v>
      </c>
      <c r="CW25" s="434">
        <f t="shared" si="24"/>
        <v>1</v>
      </c>
    </row>
    <row r="26" spans="1:101" ht="15" customHeight="1" x14ac:dyDescent="0.25">
      <c r="A26" s="5812" t="s">
        <v>5685</v>
      </c>
      <c r="B26" s="6617" t="s">
        <v>1600</v>
      </c>
      <c r="C26" s="6974"/>
      <c r="D26" s="6618"/>
      <c r="E26" s="477" t="s">
        <v>4567</v>
      </c>
      <c r="F26" s="478" t="s">
        <v>4568</v>
      </c>
      <c r="G26" s="553" t="s">
        <v>4569</v>
      </c>
      <c r="H26" s="345" t="s">
        <v>4570</v>
      </c>
      <c r="I26" s="349" t="s">
        <v>4571</v>
      </c>
      <c r="J26" s="345" t="s">
        <v>4572</v>
      </c>
      <c r="K26" s="346" t="s">
        <v>4573</v>
      </c>
      <c r="L26" s="345" t="s">
        <v>4574</v>
      </c>
      <c r="M26" s="349" t="s">
        <v>4575</v>
      </c>
      <c r="N26" s="345" t="s">
        <v>4576</v>
      </c>
      <c r="O26" s="346" t="s">
        <v>4577</v>
      </c>
      <c r="P26" s="345" t="s">
        <v>4578</v>
      </c>
      <c r="Q26" s="349" t="s">
        <v>4579</v>
      </c>
      <c r="R26" s="345" t="s">
        <v>4580</v>
      </c>
      <c r="S26" s="349" t="s">
        <v>4581</v>
      </c>
      <c r="T26" s="345" t="s">
        <v>4582</v>
      </c>
      <c r="U26" s="349" t="s">
        <v>4583</v>
      </c>
      <c r="V26" s="345" t="s">
        <v>4584</v>
      </c>
      <c r="W26" s="349" t="s">
        <v>4585</v>
      </c>
      <c r="X26" s="347" t="s">
        <v>4586</v>
      </c>
      <c r="Y26" s="348" t="s">
        <v>4587</v>
      </c>
      <c r="Z26" s="345" t="s">
        <v>4588</v>
      </c>
      <c r="AA26" s="349" t="s">
        <v>4589</v>
      </c>
      <c r="AB26" s="347" t="s">
        <v>4590</v>
      </c>
      <c r="AC26" s="348" t="s">
        <v>4591</v>
      </c>
      <c r="AD26" s="345" t="s">
        <v>4592</v>
      </c>
      <c r="AE26" s="349" t="s">
        <v>4593</v>
      </c>
      <c r="AF26" s="347" t="s">
        <v>4594</v>
      </c>
      <c r="AG26" s="348" t="s">
        <v>4595</v>
      </c>
      <c r="AH26" s="345" t="s">
        <v>4596</v>
      </c>
      <c r="AI26" s="349" t="s">
        <v>4597</v>
      </c>
      <c r="AJ26" s="347" t="s">
        <v>4598</v>
      </c>
      <c r="AK26" s="348" t="s">
        <v>4599</v>
      </c>
      <c r="AL26" s="345" t="s">
        <v>4600</v>
      </c>
      <c r="AM26" s="349" t="s">
        <v>4601</v>
      </c>
      <c r="AN26" s="347" t="s">
        <v>4602</v>
      </c>
      <c r="AO26" s="349" t="s">
        <v>4603</v>
      </c>
      <c r="AP26" s="347" t="s">
        <v>4604</v>
      </c>
      <c r="AQ26" s="351" t="s">
        <v>4605</v>
      </c>
      <c r="AR26" s="429" t="s">
        <v>4606</v>
      </c>
      <c r="AS26" s="368" t="s">
        <v>4934</v>
      </c>
      <c r="AT26" s="368" t="s">
        <v>4935</v>
      </c>
      <c r="AU26" s="368" t="s">
        <v>4936</v>
      </c>
      <c r="AV26" s="368" t="s">
        <v>4937</v>
      </c>
      <c r="AW26" s="368" t="s">
        <v>5234</v>
      </c>
      <c r="AX26" s="368" t="s">
        <v>5235</v>
      </c>
      <c r="AY26" s="346" t="s">
        <v>5236</v>
      </c>
      <c r="AZ26" t="e">
        <f t="shared" si="25"/>
        <v>#VALUE!</v>
      </c>
      <c r="CB26" s="433" t="e">
        <f t="shared" si="26"/>
        <v>#VALUE!</v>
      </c>
      <c r="CC26" s="433" t="str">
        <f t="shared" si="27"/>
        <v xml:space="preserve"> * La variable Gestante NO DEBEN ser mayor al Total de Mujeres. </v>
      </c>
      <c r="CD26" s="433" t="e">
        <f t="shared" si="28"/>
        <v>#VALUE!</v>
      </c>
      <c r="CE26" s="433" t="str">
        <f t="shared" si="29"/>
        <v xml:space="preserve"> * La variable Compra de servicio No puede ser mayor al Total Ambos Sexos.</v>
      </c>
      <c r="CF26" s="433" t="str">
        <f t="shared" si="16"/>
        <v xml:space="preserve"> * La variable Usuarios con Discapacidad No puede ser mayor al Total Ambos Sexos.</v>
      </c>
      <c r="CG26" s="433" t="str">
        <f t="shared" si="30"/>
        <v xml:space="preserve"> * La variable Migrantes No puede ser mayor al Total Ambos Sexos.</v>
      </c>
      <c r="CH26" s="433" t="str">
        <f t="shared" si="31"/>
        <v xml:space="preserve"> * La variable Niños, niñas, adolescentes y jóvenes SENAME No puede ser mayor al Total Ambos Sexos.</v>
      </c>
      <c r="CI26" s="433" t="str">
        <f t="shared" si="32"/>
        <v xml:space="preserve"> * La variable Niños, niñas, adolescentes y jóvenes Mejor Niñez no puede ser mayor al Total Ambos Sexos.</v>
      </c>
      <c r="CP26" s="434" t="e">
        <f t="shared" si="17"/>
        <v>#VALUE!</v>
      </c>
      <c r="CQ26" s="434">
        <f t="shared" si="18"/>
        <v>1</v>
      </c>
      <c r="CR26" s="434" t="e">
        <f t="shared" si="19"/>
        <v>#VALUE!</v>
      </c>
      <c r="CS26" s="434">
        <f t="shared" si="20"/>
        <v>1</v>
      </c>
      <c r="CT26" s="434">
        <f t="shared" si="21"/>
        <v>1</v>
      </c>
      <c r="CU26" s="434">
        <f t="shared" si="22"/>
        <v>1</v>
      </c>
      <c r="CV26" s="434">
        <f t="shared" si="23"/>
        <v>1</v>
      </c>
      <c r="CW26" s="434">
        <f t="shared" si="24"/>
        <v>1</v>
      </c>
    </row>
    <row r="27" spans="1:101" ht="15" customHeight="1" x14ac:dyDescent="0.25">
      <c r="A27" s="5812" t="s">
        <v>5686</v>
      </c>
      <c r="B27" s="6617" t="s">
        <v>1601</v>
      </c>
      <c r="C27" s="6974"/>
      <c r="D27" s="6618"/>
      <c r="E27" s="477" t="s">
        <v>4567</v>
      </c>
      <c r="F27" s="478" t="s">
        <v>4568</v>
      </c>
      <c r="G27" s="553" t="s">
        <v>4569</v>
      </c>
      <c r="H27" s="345" t="s">
        <v>4570</v>
      </c>
      <c r="I27" s="349" t="s">
        <v>4571</v>
      </c>
      <c r="J27" s="345" t="s">
        <v>4572</v>
      </c>
      <c r="K27" s="346" t="s">
        <v>4573</v>
      </c>
      <c r="L27" s="345" t="s">
        <v>4574</v>
      </c>
      <c r="M27" s="349" t="s">
        <v>4575</v>
      </c>
      <c r="N27" s="345" t="s">
        <v>4576</v>
      </c>
      <c r="O27" s="346" t="s">
        <v>4577</v>
      </c>
      <c r="P27" s="345" t="s">
        <v>4578</v>
      </c>
      <c r="Q27" s="349" t="s">
        <v>4579</v>
      </c>
      <c r="R27" s="345" t="s">
        <v>4580</v>
      </c>
      <c r="S27" s="349" t="s">
        <v>4581</v>
      </c>
      <c r="T27" s="345" t="s">
        <v>4582</v>
      </c>
      <c r="U27" s="349" t="s">
        <v>4583</v>
      </c>
      <c r="V27" s="345" t="s">
        <v>4584</v>
      </c>
      <c r="W27" s="349" t="s">
        <v>4585</v>
      </c>
      <c r="X27" s="347" t="s">
        <v>4586</v>
      </c>
      <c r="Y27" s="348" t="s">
        <v>4587</v>
      </c>
      <c r="Z27" s="345" t="s">
        <v>4588</v>
      </c>
      <c r="AA27" s="349" t="s">
        <v>4589</v>
      </c>
      <c r="AB27" s="347" t="s">
        <v>4590</v>
      </c>
      <c r="AC27" s="348" t="s">
        <v>4591</v>
      </c>
      <c r="AD27" s="345" t="s">
        <v>4592</v>
      </c>
      <c r="AE27" s="349" t="s">
        <v>4593</v>
      </c>
      <c r="AF27" s="347" t="s">
        <v>4594</v>
      </c>
      <c r="AG27" s="348" t="s">
        <v>4595</v>
      </c>
      <c r="AH27" s="345" t="s">
        <v>4596</v>
      </c>
      <c r="AI27" s="349" t="s">
        <v>4597</v>
      </c>
      <c r="AJ27" s="347" t="s">
        <v>4598</v>
      </c>
      <c r="AK27" s="348" t="s">
        <v>4599</v>
      </c>
      <c r="AL27" s="345" t="s">
        <v>4600</v>
      </c>
      <c r="AM27" s="349" t="s">
        <v>4601</v>
      </c>
      <c r="AN27" s="347" t="s">
        <v>4602</v>
      </c>
      <c r="AO27" s="349" t="s">
        <v>4603</v>
      </c>
      <c r="AP27" s="347" t="s">
        <v>4604</v>
      </c>
      <c r="AQ27" s="351" t="s">
        <v>4605</v>
      </c>
      <c r="AR27" s="429" t="s">
        <v>4606</v>
      </c>
      <c r="AS27" s="368" t="s">
        <v>4934</v>
      </c>
      <c r="AT27" s="368" t="s">
        <v>4935</v>
      </c>
      <c r="AU27" s="368" t="s">
        <v>4936</v>
      </c>
      <c r="AV27" s="368" t="s">
        <v>4937</v>
      </c>
      <c r="AW27" s="368" t="s">
        <v>5234</v>
      </c>
      <c r="AX27" s="368" t="s">
        <v>5235</v>
      </c>
      <c r="AY27" s="346" t="s">
        <v>5236</v>
      </c>
      <c r="AZ27" t="e">
        <f t="shared" si="25"/>
        <v>#VALUE!</v>
      </c>
      <c r="CB27" s="433" t="e">
        <f t="shared" si="26"/>
        <v>#VALUE!</v>
      </c>
      <c r="CC27" s="433" t="str">
        <f t="shared" si="27"/>
        <v xml:space="preserve"> * La variable Gestante NO DEBEN ser mayor al Total de Mujeres. </v>
      </c>
      <c r="CD27" s="433" t="e">
        <f t="shared" si="28"/>
        <v>#VALUE!</v>
      </c>
      <c r="CE27" s="433" t="str">
        <f t="shared" si="29"/>
        <v xml:space="preserve"> * La variable Compra de servicio No puede ser mayor al Total Ambos Sexos.</v>
      </c>
      <c r="CF27" s="433" t="str">
        <f t="shared" si="16"/>
        <v xml:space="preserve"> * La variable Usuarios con Discapacidad No puede ser mayor al Total Ambos Sexos.</v>
      </c>
      <c r="CG27" s="433" t="str">
        <f t="shared" si="30"/>
        <v xml:space="preserve"> * La variable Migrantes No puede ser mayor al Total Ambos Sexos.</v>
      </c>
      <c r="CH27" s="433" t="str">
        <f t="shared" si="31"/>
        <v xml:space="preserve"> * La variable Niños, niñas, adolescentes y jóvenes SENAME No puede ser mayor al Total Ambos Sexos.</v>
      </c>
      <c r="CI27" s="433" t="str">
        <f t="shared" si="32"/>
        <v xml:space="preserve"> * La variable Niños, niñas, adolescentes y jóvenes Mejor Niñez no puede ser mayor al Total Ambos Sexos.</v>
      </c>
      <c r="CP27" s="434" t="e">
        <f t="shared" si="17"/>
        <v>#VALUE!</v>
      </c>
      <c r="CQ27" s="434">
        <f t="shared" si="18"/>
        <v>1</v>
      </c>
      <c r="CR27" s="434" t="e">
        <f t="shared" si="19"/>
        <v>#VALUE!</v>
      </c>
      <c r="CS27" s="434">
        <f t="shared" si="20"/>
        <v>1</v>
      </c>
      <c r="CT27" s="434">
        <f t="shared" si="21"/>
        <v>1</v>
      </c>
      <c r="CU27" s="434">
        <f t="shared" si="22"/>
        <v>1</v>
      </c>
      <c r="CV27" s="434">
        <f t="shared" si="23"/>
        <v>1</v>
      </c>
      <c r="CW27" s="434">
        <f t="shared" si="24"/>
        <v>1</v>
      </c>
    </row>
    <row r="28" spans="1:101" ht="15" customHeight="1" x14ac:dyDescent="0.25">
      <c r="A28" s="5812" t="s">
        <v>5687</v>
      </c>
      <c r="B28" s="6617" t="s">
        <v>1602</v>
      </c>
      <c r="C28" s="6974"/>
      <c r="D28" s="6618"/>
      <c r="E28" s="3461" t="s">
        <v>4567</v>
      </c>
      <c r="F28" s="478" t="s">
        <v>4568</v>
      </c>
      <c r="G28" s="553" t="s">
        <v>4569</v>
      </c>
      <c r="H28" s="345" t="s">
        <v>4570</v>
      </c>
      <c r="I28" s="349" t="s">
        <v>4571</v>
      </c>
      <c r="J28" s="345" t="s">
        <v>4572</v>
      </c>
      <c r="K28" s="346" t="s">
        <v>4573</v>
      </c>
      <c r="L28" s="345" t="s">
        <v>4574</v>
      </c>
      <c r="M28" s="349" t="s">
        <v>4575</v>
      </c>
      <c r="N28" s="345" t="s">
        <v>4576</v>
      </c>
      <c r="O28" s="346" t="s">
        <v>4577</v>
      </c>
      <c r="P28" s="345" t="s">
        <v>4578</v>
      </c>
      <c r="Q28" s="349" t="s">
        <v>4579</v>
      </c>
      <c r="R28" s="345" t="s">
        <v>4580</v>
      </c>
      <c r="S28" s="349" t="s">
        <v>4581</v>
      </c>
      <c r="T28" s="345" t="s">
        <v>4582</v>
      </c>
      <c r="U28" s="349" t="s">
        <v>4583</v>
      </c>
      <c r="V28" s="345" t="s">
        <v>4584</v>
      </c>
      <c r="W28" s="349" t="s">
        <v>4585</v>
      </c>
      <c r="X28" s="347" t="s">
        <v>4586</v>
      </c>
      <c r="Y28" s="348" t="s">
        <v>4587</v>
      </c>
      <c r="Z28" s="345" t="s">
        <v>4588</v>
      </c>
      <c r="AA28" s="349" t="s">
        <v>4589</v>
      </c>
      <c r="AB28" s="347" t="s">
        <v>4590</v>
      </c>
      <c r="AC28" s="348" t="s">
        <v>4591</v>
      </c>
      <c r="AD28" s="345" t="s">
        <v>4592</v>
      </c>
      <c r="AE28" s="349" t="s">
        <v>4593</v>
      </c>
      <c r="AF28" s="347" t="s">
        <v>4594</v>
      </c>
      <c r="AG28" s="348" t="s">
        <v>4595</v>
      </c>
      <c r="AH28" s="345" t="s">
        <v>4596</v>
      </c>
      <c r="AI28" s="349" t="s">
        <v>4597</v>
      </c>
      <c r="AJ28" s="347" t="s">
        <v>4598</v>
      </c>
      <c r="AK28" s="348" t="s">
        <v>4599</v>
      </c>
      <c r="AL28" s="345" t="s">
        <v>4600</v>
      </c>
      <c r="AM28" s="349" t="s">
        <v>4601</v>
      </c>
      <c r="AN28" s="347" t="s">
        <v>4602</v>
      </c>
      <c r="AO28" s="349" t="s">
        <v>4603</v>
      </c>
      <c r="AP28" s="347" t="s">
        <v>4604</v>
      </c>
      <c r="AQ28" s="351" t="s">
        <v>4605</v>
      </c>
      <c r="AR28" s="429" t="s">
        <v>4606</v>
      </c>
      <c r="AS28" s="368" t="s">
        <v>4934</v>
      </c>
      <c r="AT28" s="368" t="s">
        <v>4935</v>
      </c>
      <c r="AU28" s="368" t="s">
        <v>4936</v>
      </c>
      <c r="AV28" s="368" t="s">
        <v>4937</v>
      </c>
      <c r="AW28" s="368" t="s">
        <v>5234</v>
      </c>
      <c r="AX28" s="368" t="s">
        <v>5235</v>
      </c>
      <c r="AY28" s="346" t="s">
        <v>5236</v>
      </c>
      <c r="AZ28" t="e">
        <f t="shared" si="25"/>
        <v>#VALUE!</v>
      </c>
      <c r="CB28" s="433" t="e">
        <f t="shared" si="26"/>
        <v>#VALUE!</v>
      </c>
      <c r="CC28" s="433" t="str">
        <f t="shared" si="27"/>
        <v xml:space="preserve"> * La variable Gestante NO DEBEN ser mayor al Total de Mujeres. </v>
      </c>
      <c r="CD28" s="433" t="e">
        <f t="shared" si="28"/>
        <v>#VALUE!</v>
      </c>
      <c r="CE28" s="433" t="str">
        <f t="shared" si="29"/>
        <v xml:space="preserve"> * La variable Compra de servicio No puede ser mayor al Total Ambos Sexos.</v>
      </c>
      <c r="CF28" s="433" t="str">
        <f t="shared" si="16"/>
        <v xml:space="preserve"> * La variable Usuarios con Discapacidad No puede ser mayor al Total Ambos Sexos.</v>
      </c>
      <c r="CG28" s="433" t="str">
        <f t="shared" si="30"/>
        <v xml:space="preserve"> * La variable Migrantes No puede ser mayor al Total Ambos Sexos.</v>
      </c>
      <c r="CH28" s="433" t="str">
        <f t="shared" si="31"/>
        <v xml:space="preserve"> * La variable Niños, niñas, adolescentes y jóvenes SENAME No puede ser mayor al Total Ambos Sexos.</v>
      </c>
      <c r="CI28" s="433" t="str">
        <f t="shared" si="32"/>
        <v xml:space="preserve"> * La variable Niños, niñas, adolescentes y jóvenes Mejor Niñez no puede ser mayor al Total Ambos Sexos.</v>
      </c>
      <c r="CP28" s="434" t="e">
        <f t="shared" si="17"/>
        <v>#VALUE!</v>
      </c>
      <c r="CQ28" s="434">
        <f t="shared" si="18"/>
        <v>1</v>
      </c>
      <c r="CR28" s="434" t="e">
        <f t="shared" si="19"/>
        <v>#VALUE!</v>
      </c>
      <c r="CS28" s="434">
        <f t="shared" si="20"/>
        <v>1</v>
      </c>
      <c r="CT28" s="434">
        <f t="shared" si="21"/>
        <v>1</v>
      </c>
      <c r="CU28" s="434">
        <f t="shared" si="22"/>
        <v>1</v>
      </c>
      <c r="CV28" s="434">
        <f t="shared" si="23"/>
        <v>1</v>
      </c>
      <c r="CW28" s="434">
        <f t="shared" si="24"/>
        <v>1</v>
      </c>
    </row>
    <row r="29" spans="1:101" ht="15" customHeight="1" x14ac:dyDescent="0.25">
      <c r="A29" s="5812" t="s">
        <v>5688</v>
      </c>
      <c r="B29" s="6617" t="s">
        <v>1603</v>
      </c>
      <c r="C29" s="6974"/>
      <c r="D29" s="6618"/>
      <c r="E29" s="3461" t="s">
        <v>4567</v>
      </c>
      <c r="F29" s="478" t="s">
        <v>4568</v>
      </c>
      <c r="G29" s="553" t="s">
        <v>4569</v>
      </c>
      <c r="H29" s="345" t="s">
        <v>4570</v>
      </c>
      <c r="I29" s="349" t="s">
        <v>4571</v>
      </c>
      <c r="J29" s="345" t="s">
        <v>4572</v>
      </c>
      <c r="K29" s="346" t="s">
        <v>4573</v>
      </c>
      <c r="L29" s="345" t="s">
        <v>4574</v>
      </c>
      <c r="M29" s="349" t="s">
        <v>4575</v>
      </c>
      <c r="N29" s="345" t="s">
        <v>4576</v>
      </c>
      <c r="O29" s="346" t="s">
        <v>4577</v>
      </c>
      <c r="P29" s="345" t="s">
        <v>4578</v>
      </c>
      <c r="Q29" s="349" t="s">
        <v>4579</v>
      </c>
      <c r="R29" s="345" t="s">
        <v>4580</v>
      </c>
      <c r="S29" s="349" t="s">
        <v>4581</v>
      </c>
      <c r="T29" s="345" t="s">
        <v>4582</v>
      </c>
      <c r="U29" s="349" t="s">
        <v>4583</v>
      </c>
      <c r="V29" s="345" t="s">
        <v>4584</v>
      </c>
      <c r="W29" s="349" t="s">
        <v>4585</v>
      </c>
      <c r="X29" s="347" t="s">
        <v>4586</v>
      </c>
      <c r="Y29" s="348" t="s">
        <v>4587</v>
      </c>
      <c r="Z29" s="345" t="s">
        <v>4588</v>
      </c>
      <c r="AA29" s="349" t="s">
        <v>4589</v>
      </c>
      <c r="AB29" s="347" t="s">
        <v>4590</v>
      </c>
      <c r="AC29" s="348" t="s">
        <v>4591</v>
      </c>
      <c r="AD29" s="345" t="s">
        <v>4592</v>
      </c>
      <c r="AE29" s="349" t="s">
        <v>4593</v>
      </c>
      <c r="AF29" s="347" t="s">
        <v>4594</v>
      </c>
      <c r="AG29" s="348" t="s">
        <v>4595</v>
      </c>
      <c r="AH29" s="345" t="s">
        <v>4596</v>
      </c>
      <c r="AI29" s="349" t="s">
        <v>4597</v>
      </c>
      <c r="AJ29" s="347" t="s">
        <v>4598</v>
      </c>
      <c r="AK29" s="348" t="s">
        <v>4599</v>
      </c>
      <c r="AL29" s="345" t="s">
        <v>4600</v>
      </c>
      <c r="AM29" s="349" t="s">
        <v>4601</v>
      </c>
      <c r="AN29" s="347" t="s">
        <v>4602</v>
      </c>
      <c r="AO29" s="349" t="s">
        <v>4603</v>
      </c>
      <c r="AP29" s="347" t="s">
        <v>4604</v>
      </c>
      <c r="AQ29" s="351" t="s">
        <v>4605</v>
      </c>
      <c r="AR29" s="429" t="s">
        <v>4606</v>
      </c>
      <c r="AS29" s="368" t="s">
        <v>4934</v>
      </c>
      <c r="AT29" s="368" t="s">
        <v>4935</v>
      </c>
      <c r="AU29" s="368" t="s">
        <v>4936</v>
      </c>
      <c r="AV29" s="368" t="s">
        <v>4937</v>
      </c>
      <c r="AW29" s="368" t="s">
        <v>5234</v>
      </c>
      <c r="AX29" s="368" t="s">
        <v>5235</v>
      </c>
      <c r="AY29" s="346" t="s">
        <v>5236</v>
      </c>
      <c r="AZ29" t="e">
        <f t="shared" si="25"/>
        <v>#VALUE!</v>
      </c>
      <c r="CB29" s="433" t="e">
        <f t="shared" si="26"/>
        <v>#VALUE!</v>
      </c>
      <c r="CC29" s="433" t="str">
        <f t="shared" si="27"/>
        <v xml:space="preserve"> * La variable Gestante NO DEBEN ser mayor al Total de Mujeres. </v>
      </c>
      <c r="CD29" s="433" t="e">
        <f t="shared" si="28"/>
        <v>#VALUE!</v>
      </c>
      <c r="CE29" s="433" t="str">
        <f t="shared" si="29"/>
        <v xml:space="preserve"> * La variable Compra de servicio No puede ser mayor al Total Ambos Sexos.</v>
      </c>
      <c r="CF29" s="433" t="str">
        <f t="shared" si="16"/>
        <v xml:space="preserve"> * La variable Usuarios con Discapacidad No puede ser mayor al Total Ambos Sexos.</v>
      </c>
      <c r="CG29" s="433" t="str">
        <f t="shared" si="30"/>
        <v xml:space="preserve"> * La variable Migrantes No puede ser mayor al Total Ambos Sexos.</v>
      </c>
      <c r="CH29" s="433" t="str">
        <f t="shared" si="31"/>
        <v xml:space="preserve"> * La variable Niños, niñas, adolescentes y jóvenes SENAME No puede ser mayor al Total Ambos Sexos.</v>
      </c>
      <c r="CI29" s="433" t="str">
        <f t="shared" si="32"/>
        <v xml:space="preserve"> * La variable Niños, niñas, adolescentes y jóvenes Mejor Niñez no puede ser mayor al Total Ambos Sexos.</v>
      </c>
      <c r="CP29" s="434" t="e">
        <f t="shared" si="17"/>
        <v>#VALUE!</v>
      </c>
      <c r="CQ29" s="434">
        <f t="shared" si="18"/>
        <v>1</v>
      </c>
      <c r="CR29" s="434" t="e">
        <f t="shared" si="19"/>
        <v>#VALUE!</v>
      </c>
      <c r="CS29" s="434">
        <f t="shared" si="20"/>
        <v>1</v>
      </c>
      <c r="CT29" s="434">
        <f t="shared" si="21"/>
        <v>1</v>
      </c>
      <c r="CU29" s="434">
        <f t="shared" si="22"/>
        <v>1</v>
      </c>
      <c r="CV29" s="434">
        <f t="shared" si="23"/>
        <v>1</v>
      </c>
      <c r="CW29" s="434">
        <f t="shared" si="24"/>
        <v>1</v>
      </c>
    </row>
    <row r="30" spans="1:101" ht="15" customHeight="1" x14ac:dyDescent="0.25">
      <c r="A30" s="5812" t="s">
        <v>5689</v>
      </c>
      <c r="B30" s="6617" t="s">
        <v>1604</v>
      </c>
      <c r="C30" s="6974"/>
      <c r="D30" s="6618"/>
      <c r="E30" s="477" t="s">
        <v>4567</v>
      </c>
      <c r="F30" s="478" t="s">
        <v>4568</v>
      </c>
      <c r="G30" s="553" t="s">
        <v>4569</v>
      </c>
      <c r="H30" s="345" t="s">
        <v>4570</v>
      </c>
      <c r="I30" s="349" t="s">
        <v>4571</v>
      </c>
      <c r="J30" s="345" t="s">
        <v>4572</v>
      </c>
      <c r="K30" s="346" t="s">
        <v>4573</v>
      </c>
      <c r="L30" s="345" t="s">
        <v>4574</v>
      </c>
      <c r="M30" s="349" t="s">
        <v>4575</v>
      </c>
      <c r="N30" s="345" t="s">
        <v>4576</v>
      </c>
      <c r="O30" s="346" t="s">
        <v>4577</v>
      </c>
      <c r="P30" s="345" t="s">
        <v>4578</v>
      </c>
      <c r="Q30" s="349" t="s">
        <v>4579</v>
      </c>
      <c r="R30" s="345" t="s">
        <v>4580</v>
      </c>
      <c r="S30" s="349" t="s">
        <v>4581</v>
      </c>
      <c r="T30" s="345" t="s">
        <v>4582</v>
      </c>
      <c r="U30" s="349" t="s">
        <v>4583</v>
      </c>
      <c r="V30" s="345" t="s">
        <v>4584</v>
      </c>
      <c r="W30" s="349" t="s">
        <v>4585</v>
      </c>
      <c r="X30" s="347" t="s">
        <v>4586</v>
      </c>
      <c r="Y30" s="348" t="s">
        <v>4587</v>
      </c>
      <c r="Z30" s="345" t="s">
        <v>4588</v>
      </c>
      <c r="AA30" s="349" t="s">
        <v>4589</v>
      </c>
      <c r="AB30" s="347" t="s">
        <v>4590</v>
      </c>
      <c r="AC30" s="348" t="s">
        <v>4591</v>
      </c>
      <c r="AD30" s="345" t="s">
        <v>4592</v>
      </c>
      <c r="AE30" s="349" t="s">
        <v>4593</v>
      </c>
      <c r="AF30" s="347" t="s">
        <v>4594</v>
      </c>
      <c r="AG30" s="348" t="s">
        <v>4595</v>
      </c>
      <c r="AH30" s="345" t="s">
        <v>4596</v>
      </c>
      <c r="AI30" s="349" t="s">
        <v>4597</v>
      </c>
      <c r="AJ30" s="347" t="s">
        <v>4598</v>
      </c>
      <c r="AK30" s="348" t="s">
        <v>4599</v>
      </c>
      <c r="AL30" s="345" t="s">
        <v>4600</v>
      </c>
      <c r="AM30" s="349" t="s">
        <v>4601</v>
      </c>
      <c r="AN30" s="347" t="s">
        <v>4602</v>
      </c>
      <c r="AO30" s="349" t="s">
        <v>4603</v>
      </c>
      <c r="AP30" s="347" t="s">
        <v>4604</v>
      </c>
      <c r="AQ30" s="351" t="s">
        <v>4605</v>
      </c>
      <c r="AR30" s="429" t="s">
        <v>4606</v>
      </c>
      <c r="AS30" s="368" t="s">
        <v>4934</v>
      </c>
      <c r="AT30" s="368" t="s">
        <v>4935</v>
      </c>
      <c r="AU30" s="368" t="s">
        <v>4936</v>
      </c>
      <c r="AV30" s="368" t="s">
        <v>4937</v>
      </c>
      <c r="AW30" s="368" t="s">
        <v>5234</v>
      </c>
      <c r="AX30" s="368" t="s">
        <v>5235</v>
      </c>
      <c r="AY30" s="346" t="s">
        <v>5236</v>
      </c>
      <c r="AZ30" t="e">
        <f t="shared" si="25"/>
        <v>#VALUE!</v>
      </c>
      <c r="CB30" s="433" t="e">
        <f t="shared" si="26"/>
        <v>#VALUE!</v>
      </c>
      <c r="CC30" s="433" t="str">
        <f t="shared" si="27"/>
        <v xml:space="preserve"> * La variable Gestante NO DEBEN ser mayor al Total de Mujeres. </v>
      </c>
      <c r="CD30" s="433" t="e">
        <f t="shared" si="28"/>
        <v>#VALUE!</v>
      </c>
      <c r="CE30" s="433" t="str">
        <f t="shared" si="29"/>
        <v xml:space="preserve"> * La variable Compra de servicio No puede ser mayor al Total Ambos Sexos.</v>
      </c>
      <c r="CF30" s="433" t="str">
        <f t="shared" si="16"/>
        <v xml:space="preserve"> * La variable Usuarios con Discapacidad No puede ser mayor al Total Ambos Sexos.</v>
      </c>
      <c r="CG30" s="433" t="str">
        <f t="shared" si="30"/>
        <v xml:space="preserve"> * La variable Migrantes No puede ser mayor al Total Ambos Sexos.</v>
      </c>
      <c r="CH30" s="433" t="str">
        <f t="shared" si="31"/>
        <v xml:space="preserve"> * La variable Niños, niñas, adolescentes y jóvenes SENAME No puede ser mayor al Total Ambos Sexos.</v>
      </c>
      <c r="CI30" s="433" t="str">
        <f t="shared" si="32"/>
        <v xml:space="preserve"> * La variable Niños, niñas, adolescentes y jóvenes Mejor Niñez no puede ser mayor al Total Ambos Sexos.</v>
      </c>
      <c r="CP30" s="434" t="e">
        <f t="shared" si="17"/>
        <v>#VALUE!</v>
      </c>
      <c r="CQ30" s="434">
        <f t="shared" si="18"/>
        <v>1</v>
      </c>
      <c r="CR30" s="434" t="e">
        <f t="shared" si="19"/>
        <v>#VALUE!</v>
      </c>
      <c r="CS30" s="434">
        <f t="shared" si="20"/>
        <v>1</v>
      </c>
      <c r="CT30" s="434">
        <f t="shared" si="21"/>
        <v>1</v>
      </c>
      <c r="CU30" s="434">
        <f t="shared" si="22"/>
        <v>1</v>
      </c>
      <c r="CV30" s="434">
        <f t="shared" si="23"/>
        <v>1</v>
      </c>
      <c r="CW30" s="434">
        <f t="shared" si="24"/>
        <v>1</v>
      </c>
    </row>
    <row r="31" spans="1:101" ht="15" customHeight="1" x14ac:dyDescent="0.25">
      <c r="A31" s="5812" t="s">
        <v>5690</v>
      </c>
      <c r="B31" s="6617" t="s">
        <v>1605</v>
      </c>
      <c r="C31" s="6974"/>
      <c r="D31" s="6618"/>
      <c r="E31" s="477" t="s">
        <v>4567</v>
      </c>
      <c r="F31" s="478" t="s">
        <v>4568</v>
      </c>
      <c r="G31" s="553" t="s">
        <v>4569</v>
      </c>
      <c r="H31" s="345" t="s">
        <v>4570</v>
      </c>
      <c r="I31" s="349" t="s">
        <v>4571</v>
      </c>
      <c r="J31" s="345" t="s">
        <v>4572</v>
      </c>
      <c r="K31" s="346" t="s">
        <v>4573</v>
      </c>
      <c r="L31" s="345" t="s">
        <v>4574</v>
      </c>
      <c r="M31" s="349" t="s">
        <v>4575</v>
      </c>
      <c r="N31" s="345" t="s">
        <v>4576</v>
      </c>
      <c r="O31" s="346" t="s">
        <v>4577</v>
      </c>
      <c r="P31" s="345" t="s">
        <v>4578</v>
      </c>
      <c r="Q31" s="349" t="s">
        <v>4579</v>
      </c>
      <c r="R31" s="345" t="s">
        <v>4580</v>
      </c>
      <c r="S31" s="349" t="s">
        <v>4581</v>
      </c>
      <c r="T31" s="345" t="s">
        <v>4582</v>
      </c>
      <c r="U31" s="349" t="s">
        <v>4583</v>
      </c>
      <c r="V31" s="345" t="s">
        <v>4584</v>
      </c>
      <c r="W31" s="349" t="s">
        <v>4585</v>
      </c>
      <c r="X31" s="347" t="s">
        <v>4586</v>
      </c>
      <c r="Y31" s="348" t="s">
        <v>4587</v>
      </c>
      <c r="Z31" s="345" t="s">
        <v>4588</v>
      </c>
      <c r="AA31" s="349" t="s">
        <v>4589</v>
      </c>
      <c r="AB31" s="347" t="s">
        <v>4590</v>
      </c>
      <c r="AC31" s="348" t="s">
        <v>4591</v>
      </c>
      <c r="AD31" s="345" t="s">
        <v>4592</v>
      </c>
      <c r="AE31" s="349" t="s">
        <v>4593</v>
      </c>
      <c r="AF31" s="347" t="s">
        <v>4594</v>
      </c>
      <c r="AG31" s="348" t="s">
        <v>4595</v>
      </c>
      <c r="AH31" s="345" t="s">
        <v>4596</v>
      </c>
      <c r="AI31" s="349" t="s">
        <v>4597</v>
      </c>
      <c r="AJ31" s="347" t="s">
        <v>4598</v>
      </c>
      <c r="AK31" s="348" t="s">
        <v>4599</v>
      </c>
      <c r="AL31" s="345" t="s">
        <v>4600</v>
      </c>
      <c r="AM31" s="349" t="s">
        <v>4601</v>
      </c>
      <c r="AN31" s="347" t="s">
        <v>4602</v>
      </c>
      <c r="AO31" s="349" t="s">
        <v>4603</v>
      </c>
      <c r="AP31" s="347" t="s">
        <v>4604</v>
      </c>
      <c r="AQ31" s="351" t="s">
        <v>4605</v>
      </c>
      <c r="AR31" s="429" t="s">
        <v>4606</v>
      </c>
      <c r="AS31" s="368" t="s">
        <v>4934</v>
      </c>
      <c r="AT31" s="368" t="s">
        <v>4935</v>
      </c>
      <c r="AU31" s="368" t="s">
        <v>4936</v>
      </c>
      <c r="AV31" s="368" t="s">
        <v>4937</v>
      </c>
      <c r="AW31" s="368" t="s">
        <v>5234</v>
      </c>
      <c r="AX31" s="368" t="s">
        <v>5235</v>
      </c>
      <c r="AY31" s="346" t="s">
        <v>5236</v>
      </c>
      <c r="AZ31" t="e">
        <f t="shared" si="25"/>
        <v>#VALUE!</v>
      </c>
      <c r="CB31" s="433" t="e">
        <f t="shared" si="26"/>
        <v>#VALUE!</v>
      </c>
      <c r="CC31" s="433" t="str">
        <f t="shared" si="27"/>
        <v xml:space="preserve"> * La variable Gestante NO DEBEN ser mayor al Total de Mujeres. </v>
      </c>
      <c r="CD31" s="433" t="e">
        <f t="shared" si="28"/>
        <v>#VALUE!</v>
      </c>
      <c r="CE31" s="433" t="str">
        <f t="shared" si="29"/>
        <v xml:space="preserve"> * La variable Compra de servicio No puede ser mayor al Total Ambos Sexos.</v>
      </c>
      <c r="CF31" s="433" t="str">
        <f t="shared" si="16"/>
        <v xml:space="preserve"> * La variable Usuarios con Discapacidad No puede ser mayor al Total Ambos Sexos.</v>
      </c>
      <c r="CG31" s="433" t="str">
        <f t="shared" si="30"/>
        <v xml:space="preserve"> * La variable Migrantes No puede ser mayor al Total Ambos Sexos.</v>
      </c>
      <c r="CH31" s="433" t="str">
        <f t="shared" si="31"/>
        <v xml:space="preserve"> * La variable Niños, niñas, adolescentes y jóvenes SENAME No puede ser mayor al Total Ambos Sexos.</v>
      </c>
      <c r="CI31" s="433" t="str">
        <f t="shared" si="32"/>
        <v xml:space="preserve"> * La variable Niños, niñas, adolescentes y jóvenes Mejor Niñez no puede ser mayor al Total Ambos Sexos.</v>
      </c>
      <c r="CP31" s="434" t="e">
        <f t="shared" si="17"/>
        <v>#VALUE!</v>
      </c>
      <c r="CQ31" s="434">
        <f t="shared" si="18"/>
        <v>1</v>
      </c>
      <c r="CR31" s="434" t="e">
        <f t="shared" si="19"/>
        <v>#VALUE!</v>
      </c>
      <c r="CS31" s="434">
        <f t="shared" si="20"/>
        <v>1</v>
      </c>
      <c r="CT31" s="434">
        <f t="shared" si="21"/>
        <v>1</v>
      </c>
      <c r="CU31" s="434">
        <f t="shared" si="22"/>
        <v>1</v>
      </c>
      <c r="CV31" s="434">
        <f t="shared" si="23"/>
        <v>1</v>
      </c>
      <c r="CW31" s="434">
        <f t="shared" si="24"/>
        <v>1</v>
      </c>
    </row>
    <row r="32" spans="1:101" ht="15" customHeight="1" x14ac:dyDescent="0.25">
      <c r="A32" s="5812" t="s">
        <v>5691</v>
      </c>
      <c r="B32" s="6617" t="s">
        <v>1606</v>
      </c>
      <c r="C32" s="6974"/>
      <c r="D32" s="6618"/>
      <c r="E32" s="477" t="s">
        <v>4567</v>
      </c>
      <c r="F32" s="478" t="s">
        <v>4568</v>
      </c>
      <c r="G32" s="553" t="s">
        <v>4569</v>
      </c>
      <c r="H32" s="345" t="s">
        <v>4570</v>
      </c>
      <c r="I32" s="349" t="s">
        <v>4571</v>
      </c>
      <c r="J32" s="345" t="s">
        <v>4572</v>
      </c>
      <c r="K32" s="346" t="s">
        <v>4573</v>
      </c>
      <c r="L32" s="345" t="s">
        <v>4574</v>
      </c>
      <c r="M32" s="349" t="s">
        <v>4575</v>
      </c>
      <c r="N32" s="345" t="s">
        <v>4576</v>
      </c>
      <c r="O32" s="346" t="s">
        <v>4577</v>
      </c>
      <c r="P32" s="345" t="s">
        <v>4578</v>
      </c>
      <c r="Q32" s="349" t="s">
        <v>4579</v>
      </c>
      <c r="R32" s="345" t="s">
        <v>4580</v>
      </c>
      <c r="S32" s="349" t="s">
        <v>4581</v>
      </c>
      <c r="T32" s="345" t="s">
        <v>4582</v>
      </c>
      <c r="U32" s="349" t="s">
        <v>4583</v>
      </c>
      <c r="V32" s="345" t="s">
        <v>4584</v>
      </c>
      <c r="W32" s="349" t="s">
        <v>4585</v>
      </c>
      <c r="X32" s="347" t="s">
        <v>4586</v>
      </c>
      <c r="Y32" s="348" t="s">
        <v>4587</v>
      </c>
      <c r="Z32" s="345" t="s">
        <v>4588</v>
      </c>
      <c r="AA32" s="349" t="s">
        <v>4589</v>
      </c>
      <c r="AB32" s="347" t="s">
        <v>4590</v>
      </c>
      <c r="AC32" s="348" t="s">
        <v>4591</v>
      </c>
      <c r="AD32" s="345" t="s">
        <v>4592</v>
      </c>
      <c r="AE32" s="349" t="s">
        <v>4593</v>
      </c>
      <c r="AF32" s="347" t="s">
        <v>4594</v>
      </c>
      <c r="AG32" s="348" t="s">
        <v>4595</v>
      </c>
      <c r="AH32" s="345" t="s">
        <v>4596</v>
      </c>
      <c r="AI32" s="349" t="s">
        <v>4597</v>
      </c>
      <c r="AJ32" s="347" t="s">
        <v>4598</v>
      </c>
      <c r="AK32" s="348" t="s">
        <v>4599</v>
      </c>
      <c r="AL32" s="345" t="s">
        <v>4600</v>
      </c>
      <c r="AM32" s="349" t="s">
        <v>4601</v>
      </c>
      <c r="AN32" s="347" t="s">
        <v>4602</v>
      </c>
      <c r="AO32" s="349" t="s">
        <v>4603</v>
      </c>
      <c r="AP32" s="347" t="s">
        <v>4604</v>
      </c>
      <c r="AQ32" s="351" t="s">
        <v>4605</v>
      </c>
      <c r="AR32" s="429" t="s">
        <v>4606</v>
      </c>
      <c r="AS32" s="368" t="s">
        <v>4934</v>
      </c>
      <c r="AT32" s="368" t="s">
        <v>4935</v>
      </c>
      <c r="AU32" s="368" t="s">
        <v>4936</v>
      </c>
      <c r="AV32" s="368" t="s">
        <v>4937</v>
      </c>
      <c r="AW32" s="368" t="s">
        <v>5234</v>
      </c>
      <c r="AX32" s="368" t="s">
        <v>5235</v>
      </c>
      <c r="AY32" s="346" t="s">
        <v>5236</v>
      </c>
      <c r="AZ32" t="e">
        <f t="shared" si="25"/>
        <v>#VALUE!</v>
      </c>
      <c r="CB32" s="433" t="e">
        <f t="shared" si="26"/>
        <v>#VALUE!</v>
      </c>
      <c r="CC32" s="433" t="str">
        <f t="shared" si="27"/>
        <v xml:space="preserve"> * La variable Gestante NO DEBEN ser mayor al Total de Mujeres. </v>
      </c>
      <c r="CD32" s="433" t="e">
        <f t="shared" si="28"/>
        <v>#VALUE!</v>
      </c>
      <c r="CE32" s="433" t="str">
        <f t="shared" si="29"/>
        <v xml:space="preserve"> * La variable Compra de servicio No puede ser mayor al Total Ambos Sexos.</v>
      </c>
      <c r="CF32" s="433" t="str">
        <f t="shared" si="16"/>
        <v xml:space="preserve"> * La variable Usuarios con Discapacidad No puede ser mayor al Total Ambos Sexos.</v>
      </c>
      <c r="CG32" s="433" t="str">
        <f t="shared" si="30"/>
        <v xml:space="preserve"> * La variable Migrantes No puede ser mayor al Total Ambos Sexos.</v>
      </c>
      <c r="CH32" s="433" t="str">
        <f t="shared" si="31"/>
        <v xml:space="preserve"> * La variable Niños, niñas, adolescentes y jóvenes SENAME No puede ser mayor al Total Ambos Sexos.</v>
      </c>
      <c r="CI32" s="433" t="str">
        <f t="shared" si="32"/>
        <v xml:space="preserve"> * La variable Niños, niñas, adolescentes y jóvenes Mejor Niñez no puede ser mayor al Total Ambos Sexos.</v>
      </c>
      <c r="CP32" s="434" t="e">
        <f t="shared" si="17"/>
        <v>#VALUE!</v>
      </c>
      <c r="CQ32" s="434">
        <f t="shared" si="18"/>
        <v>1</v>
      </c>
      <c r="CR32" s="434" t="e">
        <f t="shared" si="19"/>
        <v>#VALUE!</v>
      </c>
      <c r="CS32" s="434">
        <f t="shared" si="20"/>
        <v>1</v>
      </c>
      <c r="CT32" s="434">
        <f t="shared" si="21"/>
        <v>1</v>
      </c>
      <c r="CU32" s="434">
        <f t="shared" si="22"/>
        <v>1</v>
      </c>
      <c r="CV32" s="434">
        <f t="shared" si="23"/>
        <v>1</v>
      </c>
      <c r="CW32" s="434">
        <f t="shared" si="24"/>
        <v>1</v>
      </c>
    </row>
    <row r="33" spans="1:101" ht="15" customHeight="1" x14ac:dyDescent="0.25">
      <c r="A33" s="5812" t="s">
        <v>5692</v>
      </c>
      <c r="B33" s="6617" t="s">
        <v>1607</v>
      </c>
      <c r="C33" s="6974"/>
      <c r="D33" s="6618"/>
      <c r="E33" s="477" t="s">
        <v>4567</v>
      </c>
      <c r="F33" s="478" t="s">
        <v>4568</v>
      </c>
      <c r="G33" s="553" t="s">
        <v>4569</v>
      </c>
      <c r="H33" s="345" t="s">
        <v>4570</v>
      </c>
      <c r="I33" s="349" t="s">
        <v>4571</v>
      </c>
      <c r="J33" s="345" t="s">
        <v>4572</v>
      </c>
      <c r="K33" s="346" t="s">
        <v>4573</v>
      </c>
      <c r="L33" s="345" t="s">
        <v>4574</v>
      </c>
      <c r="M33" s="349" t="s">
        <v>4575</v>
      </c>
      <c r="N33" s="345" t="s">
        <v>4576</v>
      </c>
      <c r="O33" s="346" t="s">
        <v>4577</v>
      </c>
      <c r="P33" s="345" t="s">
        <v>4578</v>
      </c>
      <c r="Q33" s="349" t="s">
        <v>4579</v>
      </c>
      <c r="R33" s="345" t="s">
        <v>4580</v>
      </c>
      <c r="S33" s="349" t="s">
        <v>4581</v>
      </c>
      <c r="T33" s="345" t="s">
        <v>4582</v>
      </c>
      <c r="U33" s="349" t="s">
        <v>4583</v>
      </c>
      <c r="V33" s="345" t="s">
        <v>4584</v>
      </c>
      <c r="W33" s="349" t="s">
        <v>4585</v>
      </c>
      <c r="X33" s="347" t="s">
        <v>4586</v>
      </c>
      <c r="Y33" s="348" t="s">
        <v>4587</v>
      </c>
      <c r="Z33" s="345" t="s">
        <v>4588</v>
      </c>
      <c r="AA33" s="349" t="s">
        <v>4589</v>
      </c>
      <c r="AB33" s="347" t="s">
        <v>4590</v>
      </c>
      <c r="AC33" s="348" t="s">
        <v>4591</v>
      </c>
      <c r="AD33" s="345" t="s">
        <v>4592</v>
      </c>
      <c r="AE33" s="349" t="s">
        <v>4593</v>
      </c>
      <c r="AF33" s="347" t="s">
        <v>4594</v>
      </c>
      <c r="AG33" s="348" t="s">
        <v>4595</v>
      </c>
      <c r="AH33" s="345" t="s">
        <v>4596</v>
      </c>
      <c r="AI33" s="349" t="s">
        <v>4597</v>
      </c>
      <c r="AJ33" s="347" t="s">
        <v>4598</v>
      </c>
      <c r="AK33" s="348" t="s">
        <v>4599</v>
      </c>
      <c r="AL33" s="345" t="s">
        <v>4600</v>
      </c>
      <c r="AM33" s="349" t="s">
        <v>4601</v>
      </c>
      <c r="AN33" s="347" t="s">
        <v>4602</v>
      </c>
      <c r="AO33" s="349" t="s">
        <v>4603</v>
      </c>
      <c r="AP33" s="347" t="s">
        <v>4604</v>
      </c>
      <c r="AQ33" s="351" t="s">
        <v>4605</v>
      </c>
      <c r="AR33" s="429" t="s">
        <v>4606</v>
      </c>
      <c r="AS33" s="368" t="s">
        <v>4934</v>
      </c>
      <c r="AT33" s="368" t="s">
        <v>4935</v>
      </c>
      <c r="AU33" s="368" t="s">
        <v>4936</v>
      </c>
      <c r="AV33" s="368" t="s">
        <v>4937</v>
      </c>
      <c r="AW33" s="368" t="s">
        <v>5234</v>
      </c>
      <c r="AX33" s="368" t="s">
        <v>5235</v>
      </c>
      <c r="AY33" s="346" t="s">
        <v>5236</v>
      </c>
      <c r="AZ33" t="e">
        <f t="shared" si="25"/>
        <v>#VALUE!</v>
      </c>
      <c r="CB33" s="433" t="e">
        <f t="shared" si="26"/>
        <v>#VALUE!</v>
      </c>
      <c r="CC33" s="433" t="str">
        <f t="shared" si="27"/>
        <v xml:space="preserve"> * La variable Gestante NO DEBEN ser mayor al Total de Mujeres. </v>
      </c>
      <c r="CD33" s="433" t="e">
        <f t="shared" si="28"/>
        <v>#VALUE!</v>
      </c>
      <c r="CE33" s="433" t="str">
        <f t="shared" si="29"/>
        <v xml:space="preserve"> * La variable Compra de servicio No puede ser mayor al Total Ambos Sexos.</v>
      </c>
      <c r="CF33" s="433" t="str">
        <f t="shared" si="16"/>
        <v xml:space="preserve"> * La variable Usuarios con Discapacidad No puede ser mayor al Total Ambos Sexos.</v>
      </c>
      <c r="CG33" s="433" t="str">
        <f t="shared" si="30"/>
        <v xml:space="preserve"> * La variable Migrantes No puede ser mayor al Total Ambos Sexos.</v>
      </c>
      <c r="CH33" s="433" t="str">
        <f t="shared" si="31"/>
        <v xml:space="preserve"> * La variable Niños, niñas, adolescentes y jóvenes SENAME No puede ser mayor al Total Ambos Sexos.</v>
      </c>
      <c r="CI33" s="433" t="str">
        <f t="shared" si="32"/>
        <v xml:space="preserve"> * La variable Niños, niñas, adolescentes y jóvenes Mejor Niñez no puede ser mayor al Total Ambos Sexos.</v>
      </c>
      <c r="CP33" s="434" t="e">
        <f t="shared" si="17"/>
        <v>#VALUE!</v>
      </c>
      <c r="CQ33" s="434">
        <f t="shared" si="18"/>
        <v>1</v>
      </c>
      <c r="CR33" s="434" t="e">
        <f t="shared" si="19"/>
        <v>#VALUE!</v>
      </c>
      <c r="CS33" s="434">
        <f t="shared" si="20"/>
        <v>1</v>
      </c>
      <c r="CT33" s="434">
        <f t="shared" si="21"/>
        <v>1</v>
      </c>
      <c r="CU33" s="434">
        <f t="shared" si="22"/>
        <v>1</v>
      </c>
      <c r="CV33" s="434">
        <f t="shared" si="23"/>
        <v>1</v>
      </c>
      <c r="CW33" s="434">
        <f t="shared" si="24"/>
        <v>1</v>
      </c>
    </row>
    <row r="34" spans="1:101" ht="15" customHeight="1" x14ac:dyDescent="0.25">
      <c r="A34" s="5812" t="s">
        <v>5693</v>
      </c>
      <c r="B34" s="6617" t="s">
        <v>1608</v>
      </c>
      <c r="C34" s="6974"/>
      <c r="D34" s="6618"/>
      <c r="E34" s="477" t="s">
        <v>4567</v>
      </c>
      <c r="F34" s="478" t="s">
        <v>4568</v>
      </c>
      <c r="G34" s="553" t="s">
        <v>4569</v>
      </c>
      <c r="H34" s="619" t="s">
        <v>4570</v>
      </c>
      <c r="I34" s="824" t="s">
        <v>4571</v>
      </c>
      <c r="J34" s="619" t="s">
        <v>4572</v>
      </c>
      <c r="K34" s="367" t="s">
        <v>4573</v>
      </c>
      <c r="L34" s="619" t="s">
        <v>4574</v>
      </c>
      <c r="M34" s="824" t="s">
        <v>4575</v>
      </c>
      <c r="N34" s="619" t="s">
        <v>4576</v>
      </c>
      <c r="O34" s="367" t="s">
        <v>4577</v>
      </c>
      <c r="P34" s="619" t="s">
        <v>4578</v>
      </c>
      <c r="Q34" s="824" t="s">
        <v>4579</v>
      </c>
      <c r="R34" s="619" t="s">
        <v>4580</v>
      </c>
      <c r="S34" s="824" t="s">
        <v>4581</v>
      </c>
      <c r="T34" s="619" t="s">
        <v>4582</v>
      </c>
      <c r="U34" s="824" t="s">
        <v>4583</v>
      </c>
      <c r="V34" s="345" t="s">
        <v>4584</v>
      </c>
      <c r="W34" s="349" t="s">
        <v>4585</v>
      </c>
      <c r="X34" s="347" t="s">
        <v>4586</v>
      </c>
      <c r="Y34" s="348" t="s">
        <v>4587</v>
      </c>
      <c r="Z34" s="345" t="s">
        <v>4588</v>
      </c>
      <c r="AA34" s="349" t="s">
        <v>4589</v>
      </c>
      <c r="AB34" s="347" t="s">
        <v>4590</v>
      </c>
      <c r="AC34" s="348" t="s">
        <v>4591</v>
      </c>
      <c r="AD34" s="345" t="s">
        <v>4592</v>
      </c>
      <c r="AE34" s="349" t="s">
        <v>4593</v>
      </c>
      <c r="AF34" s="347" t="s">
        <v>4594</v>
      </c>
      <c r="AG34" s="348" t="s">
        <v>4595</v>
      </c>
      <c r="AH34" s="345" t="s">
        <v>4596</v>
      </c>
      <c r="AI34" s="349" t="s">
        <v>4597</v>
      </c>
      <c r="AJ34" s="347" t="s">
        <v>4598</v>
      </c>
      <c r="AK34" s="348" t="s">
        <v>4599</v>
      </c>
      <c r="AL34" s="345" t="s">
        <v>4600</v>
      </c>
      <c r="AM34" s="349" t="s">
        <v>4601</v>
      </c>
      <c r="AN34" s="347" t="s">
        <v>4602</v>
      </c>
      <c r="AO34" s="349" t="s">
        <v>4603</v>
      </c>
      <c r="AP34" s="347" t="s">
        <v>4604</v>
      </c>
      <c r="AQ34" s="351" t="s">
        <v>4605</v>
      </c>
      <c r="AR34" s="429" t="s">
        <v>4606</v>
      </c>
      <c r="AS34" s="368" t="s">
        <v>4934</v>
      </c>
      <c r="AT34" s="368" t="s">
        <v>4935</v>
      </c>
      <c r="AU34" s="368" t="s">
        <v>4936</v>
      </c>
      <c r="AV34" s="368" t="s">
        <v>4937</v>
      </c>
      <c r="AW34" s="368" t="s">
        <v>5234</v>
      </c>
      <c r="AX34" s="368" t="s">
        <v>5235</v>
      </c>
      <c r="AY34" s="346" t="s">
        <v>5236</v>
      </c>
      <c r="AZ34" t="e">
        <f t="shared" si="25"/>
        <v>#VALUE!</v>
      </c>
      <c r="CB34" s="433" t="e">
        <f t="shared" si="26"/>
        <v>#VALUE!</v>
      </c>
      <c r="CC34" s="433" t="str">
        <f t="shared" si="27"/>
        <v xml:space="preserve"> * La variable Gestante NO DEBEN ser mayor al Total de Mujeres. </v>
      </c>
      <c r="CD34" s="433" t="e">
        <f t="shared" si="28"/>
        <v>#VALUE!</v>
      </c>
      <c r="CE34" s="433" t="str">
        <f t="shared" si="29"/>
        <v xml:space="preserve"> * La variable Compra de servicio No puede ser mayor al Total Ambos Sexos.</v>
      </c>
      <c r="CF34" s="433" t="str">
        <f t="shared" si="16"/>
        <v xml:space="preserve"> * La variable Usuarios con Discapacidad No puede ser mayor al Total Ambos Sexos.</v>
      </c>
      <c r="CG34" s="433" t="str">
        <f t="shared" si="30"/>
        <v xml:space="preserve"> * La variable Migrantes No puede ser mayor al Total Ambos Sexos.</v>
      </c>
      <c r="CH34" s="433" t="str">
        <f t="shared" si="31"/>
        <v xml:space="preserve"> * La variable Niños, niñas, adolescentes y jóvenes SENAME No puede ser mayor al Total Ambos Sexos.</v>
      </c>
      <c r="CI34" s="433" t="str">
        <f t="shared" si="32"/>
        <v xml:space="preserve"> * La variable Niños, niñas, adolescentes y jóvenes Mejor Niñez no puede ser mayor al Total Ambos Sexos.</v>
      </c>
      <c r="CP34" s="434" t="e">
        <f t="shared" si="17"/>
        <v>#VALUE!</v>
      </c>
      <c r="CQ34" s="434">
        <f t="shared" si="18"/>
        <v>1</v>
      </c>
      <c r="CR34" s="434" t="e">
        <f t="shared" si="19"/>
        <v>#VALUE!</v>
      </c>
      <c r="CS34" s="434">
        <f t="shared" si="20"/>
        <v>1</v>
      </c>
      <c r="CT34" s="434">
        <f t="shared" si="21"/>
        <v>1</v>
      </c>
      <c r="CU34" s="434">
        <f t="shared" si="22"/>
        <v>1</v>
      </c>
      <c r="CV34" s="434">
        <f t="shared" si="23"/>
        <v>1</v>
      </c>
      <c r="CW34" s="434">
        <f t="shared" si="24"/>
        <v>1</v>
      </c>
    </row>
    <row r="35" spans="1:101" ht="15" customHeight="1" x14ac:dyDescent="0.25">
      <c r="A35" s="5812" t="s">
        <v>5694</v>
      </c>
      <c r="B35" s="6617" t="s">
        <v>1609</v>
      </c>
      <c r="C35" s="6974"/>
      <c r="D35" s="6618"/>
      <c r="E35" s="477" t="s">
        <v>4567</v>
      </c>
      <c r="F35" s="478" t="s">
        <v>4568</v>
      </c>
      <c r="G35" s="553" t="s">
        <v>4569</v>
      </c>
      <c r="H35" s="345" t="s">
        <v>4570</v>
      </c>
      <c r="I35" s="349" t="s">
        <v>4571</v>
      </c>
      <c r="J35" s="345" t="s">
        <v>4572</v>
      </c>
      <c r="K35" s="346" t="s">
        <v>4573</v>
      </c>
      <c r="L35" s="345" t="s">
        <v>4574</v>
      </c>
      <c r="M35" s="349" t="s">
        <v>4575</v>
      </c>
      <c r="N35" s="345" t="s">
        <v>4576</v>
      </c>
      <c r="O35" s="346" t="s">
        <v>4577</v>
      </c>
      <c r="P35" s="345" t="s">
        <v>4578</v>
      </c>
      <c r="Q35" s="349" t="s">
        <v>4579</v>
      </c>
      <c r="R35" s="345" t="s">
        <v>4580</v>
      </c>
      <c r="S35" s="349" t="s">
        <v>4581</v>
      </c>
      <c r="T35" s="345" t="s">
        <v>4582</v>
      </c>
      <c r="U35" s="349" t="s">
        <v>4583</v>
      </c>
      <c r="V35" s="345" t="s">
        <v>4584</v>
      </c>
      <c r="W35" s="349" t="s">
        <v>4585</v>
      </c>
      <c r="X35" s="347" t="s">
        <v>4586</v>
      </c>
      <c r="Y35" s="348" t="s">
        <v>4587</v>
      </c>
      <c r="Z35" s="345" t="s">
        <v>4588</v>
      </c>
      <c r="AA35" s="349" t="s">
        <v>4589</v>
      </c>
      <c r="AB35" s="347" t="s">
        <v>4590</v>
      </c>
      <c r="AC35" s="348" t="s">
        <v>4591</v>
      </c>
      <c r="AD35" s="345" t="s">
        <v>4592</v>
      </c>
      <c r="AE35" s="349" t="s">
        <v>4593</v>
      </c>
      <c r="AF35" s="347" t="s">
        <v>4594</v>
      </c>
      <c r="AG35" s="348" t="s">
        <v>4595</v>
      </c>
      <c r="AH35" s="345" t="s">
        <v>4596</v>
      </c>
      <c r="AI35" s="349" t="s">
        <v>4597</v>
      </c>
      <c r="AJ35" s="347" t="s">
        <v>4598</v>
      </c>
      <c r="AK35" s="348" t="s">
        <v>4599</v>
      </c>
      <c r="AL35" s="345" t="s">
        <v>4600</v>
      </c>
      <c r="AM35" s="349" t="s">
        <v>4601</v>
      </c>
      <c r="AN35" s="347" t="s">
        <v>4602</v>
      </c>
      <c r="AO35" s="349" t="s">
        <v>4603</v>
      </c>
      <c r="AP35" s="347" t="s">
        <v>4604</v>
      </c>
      <c r="AQ35" s="351" t="s">
        <v>4605</v>
      </c>
      <c r="AR35" s="429" t="s">
        <v>4606</v>
      </c>
      <c r="AS35" s="368" t="s">
        <v>4934</v>
      </c>
      <c r="AT35" s="368" t="s">
        <v>4935</v>
      </c>
      <c r="AU35" s="368" t="s">
        <v>4936</v>
      </c>
      <c r="AV35" s="368" t="s">
        <v>4937</v>
      </c>
      <c r="AW35" s="368" t="s">
        <v>5234</v>
      </c>
      <c r="AX35" s="368" t="s">
        <v>5235</v>
      </c>
      <c r="AY35" s="346" t="s">
        <v>5236</v>
      </c>
      <c r="AZ35" t="e">
        <f t="shared" si="25"/>
        <v>#VALUE!</v>
      </c>
      <c r="CB35" s="433" t="e">
        <f t="shared" si="26"/>
        <v>#VALUE!</v>
      </c>
      <c r="CC35" s="433" t="str">
        <f t="shared" si="27"/>
        <v xml:space="preserve"> * La variable Gestante NO DEBEN ser mayor al Total de Mujeres. </v>
      </c>
      <c r="CD35" s="433" t="e">
        <f t="shared" si="28"/>
        <v>#VALUE!</v>
      </c>
      <c r="CE35" s="433" t="str">
        <f t="shared" si="29"/>
        <v xml:space="preserve"> * La variable Compra de servicio No puede ser mayor al Total Ambos Sexos.</v>
      </c>
      <c r="CF35" s="433" t="str">
        <f t="shared" si="16"/>
        <v xml:space="preserve"> * La variable Usuarios con Discapacidad No puede ser mayor al Total Ambos Sexos.</v>
      </c>
      <c r="CG35" s="433" t="str">
        <f t="shared" si="30"/>
        <v xml:space="preserve"> * La variable Migrantes No puede ser mayor al Total Ambos Sexos.</v>
      </c>
      <c r="CH35" s="433" t="str">
        <f t="shared" si="31"/>
        <v xml:space="preserve"> * La variable Niños, niñas, adolescentes y jóvenes SENAME No puede ser mayor al Total Ambos Sexos.</v>
      </c>
      <c r="CI35" s="433" t="str">
        <f t="shared" si="32"/>
        <v xml:space="preserve"> * La variable Niños, niñas, adolescentes y jóvenes Mejor Niñez no puede ser mayor al Total Ambos Sexos.</v>
      </c>
      <c r="CP35" s="434" t="e">
        <f t="shared" si="17"/>
        <v>#VALUE!</v>
      </c>
      <c r="CQ35" s="434">
        <f t="shared" si="18"/>
        <v>1</v>
      </c>
      <c r="CR35" s="434" t="e">
        <f t="shared" si="19"/>
        <v>#VALUE!</v>
      </c>
      <c r="CS35" s="434">
        <f t="shared" si="20"/>
        <v>1</v>
      </c>
      <c r="CT35" s="434">
        <f t="shared" si="21"/>
        <v>1</v>
      </c>
      <c r="CU35" s="434">
        <f t="shared" si="22"/>
        <v>1</v>
      </c>
      <c r="CV35" s="434">
        <f t="shared" si="23"/>
        <v>1</v>
      </c>
      <c r="CW35" s="434">
        <f t="shared" si="24"/>
        <v>1</v>
      </c>
    </row>
    <row r="36" spans="1:101" ht="15" customHeight="1" x14ac:dyDescent="0.25">
      <c r="A36" s="5813" t="s">
        <v>5695</v>
      </c>
      <c r="B36" s="6617" t="s">
        <v>1610</v>
      </c>
      <c r="C36" s="6974"/>
      <c r="D36" s="6618"/>
      <c r="E36" s="477" t="s">
        <v>4567</v>
      </c>
      <c r="F36" s="478" t="s">
        <v>4568</v>
      </c>
      <c r="G36" s="553" t="s">
        <v>4569</v>
      </c>
      <c r="H36" s="345" t="s">
        <v>4570</v>
      </c>
      <c r="I36" s="349" t="s">
        <v>4571</v>
      </c>
      <c r="J36" s="345" t="s">
        <v>4572</v>
      </c>
      <c r="K36" s="346" t="s">
        <v>4573</v>
      </c>
      <c r="L36" s="345" t="s">
        <v>4574</v>
      </c>
      <c r="M36" s="349" t="s">
        <v>4575</v>
      </c>
      <c r="N36" s="345" t="s">
        <v>4576</v>
      </c>
      <c r="O36" s="346" t="s">
        <v>4577</v>
      </c>
      <c r="P36" s="345" t="s">
        <v>4578</v>
      </c>
      <c r="Q36" s="349" t="s">
        <v>4579</v>
      </c>
      <c r="R36" s="345" t="s">
        <v>4580</v>
      </c>
      <c r="S36" s="349" t="s">
        <v>4581</v>
      </c>
      <c r="T36" s="345" t="s">
        <v>4582</v>
      </c>
      <c r="U36" s="349" t="s">
        <v>4583</v>
      </c>
      <c r="V36" s="345" t="s">
        <v>4584</v>
      </c>
      <c r="W36" s="349" t="s">
        <v>4585</v>
      </c>
      <c r="X36" s="347" t="s">
        <v>4586</v>
      </c>
      <c r="Y36" s="348" t="s">
        <v>4587</v>
      </c>
      <c r="Z36" s="345" t="s">
        <v>4588</v>
      </c>
      <c r="AA36" s="349" t="s">
        <v>4589</v>
      </c>
      <c r="AB36" s="347" t="s">
        <v>4590</v>
      </c>
      <c r="AC36" s="348" t="s">
        <v>4591</v>
      </c>
      <c r="AD36" s="345" t="s">
        <v>4592</v>
      </c>
      <c r="AE36" s="349" t="s">
        <v>4593</v>
      </c>
      <c r="AF36" s="347" t="s">
        <v>4594</v>
      </c>
      <c r="AG36" s="348" t="s">
        <v>4595</v>
      </c>
      <c r="AH36" s="345" t="s">
        <v>4596</v>
      </c>
      <c r="AI36" s="349" t="s">
        <v>4597</v>
      </c>
      <c r="AJ36" s="347" t="s">
        <v>4598</v>
      </c>
      <c r="AK36" s="348" t="s">
        <v>4599</v>
      </c>
      <c r="AL36" s="345" t="s">
        <v>4600</v>
      </c>
      <c r="AM36" s="349" t="s">
        <v>4601</v>
      </c>
      <c r="AN36" s="347" t="s">
        <v>4602</v>
      </c>
      <c r="AO36" s="349" t="s">
        <v>4603</v>
      </c>
      <c r="AP36" s="347" t="s">
        <v>4604</v>
      </c>
      <c r="AQ36" s="351" t="s">
        <v>4605</v>
      </c>
      <c r="AR36" s="429" t="s">
        <v>4606</v>
      </c>
      <c r="AS36" s="368" t="s">
        <v>4934</v>
      </c>
      <c r="AT36" s="368" t="s">
        <v>4935</v>
      </c>
      <c r="AU36" s="368" t="s">
        <v>4936</v>
      </c>
      <c r="AV36" s="368" t="s">
        <v>4937</v>
      </c>
      <c r="AW36" s="368" t="s">
        <v>5234</v>
      </c>
      <c r="AX36" s="368" t="s">
        <v>5235</v>
      </c>
      <c r="AY36" s="346" t="s">
        <v>5236</v>
      </c>
      <c r="AZ36" t="e">
        <f t="shared" si="25"/>
        <v>#VALUE!</v>
      </c>
      <c r="CB36" s="433" t="e">
        <f t="shared" si="26"/>
        <v>#VALUE!</v>
      </c>
      <c r="CC36" s="433" t="str">
        <f t="shared" si="27"/>
        <v xml:space="preserve"> * La variable Gestante NO DEBEN ser mayor al Total de Mujeres. </v>
      </c>
      <c r="CD36" s="433" t="e">
        <f t="shared" si="28"/>
        <v>#VALUE!</v>
      </c>
      <c r="CE36" s="433" t="str">
        <f t="shared" si="29"/>
        <v xml:space="preserve"> * La variable Compra de servicio No puede ser mayor al Total Ambos Sexos.</v>
      </c>
      <c r="CF36" s="433" t="str">
        <f t="shared" si="16"/>
        <v xml:space="preserve"> * La variable Usuarios con Discapacidad No puede ser mayor al Total Ambos Sexos.</v>
      </c>
      <c r="CG36" s="433" t="str">
        <f t="shared" si="30"/>
        <v xml:space="preserve"> * La variable Migrantes No puede ser mayor al Total Ambos Sexos.</v>
      </c>
      <c r="CH36" s="433" t="str">
        <f t="shared" si="31"/>
        <v xml:space="preserve"> * La variable Niños, niñas, adolescentes y jóvenes SENAME No puede ser mayor al Total Ambos Sexos.</v>
      </c>
      <c r="CI36" s="433" t="str">
        <f t="shared" si="32"/>
        <v xml:space="preserve"> * La variable Niños, niñas, adolescentes y jóvenes Mejor Niñez no puede ser mayor al Total Ambos Sexos.</v>
      </c>
      <c r="CP36" s="434" t="e">
        <f t="shared" si="17"/>
        <v>#VALUE!</v>
      </c>
      <c r="CQ36" s="434">
        <f t="shared" si="18"/>
        <v>1</v>
      </c>
      <c r="CR36" s="434" t="e">
        <f t="shared" si="19"/>
        <v>#VALUE!</v>
      </c>
      <c r="CS36" s="434">
        <f t="shared" si="20"/>
        <v>1</v>
      </c>
      <c r="CT36" s="434">
        <f t="shared" si="21"/>
        <v>1</v>
      </c>
      <c r="CU36" s="434">
        <f t="shared" si="22"/>
        <v>1</v>
      </c>
      <c r="CV36" s="434">
        <f t="shared" si="23"/>
        <v>1</v>
      </c>
      <c r="CW36" s="434">
        <f t="shared" si="24"/>
        <v>1</v>
      </c>
    </row>
    <row r="37" spans="1:101" ht="15" customHeight="1" x14ac:dyDescent="0.25">
      <c r="A37" s="5812" t="s">
        <v>5696</v>
      </c>
      <c r="B37" s="6985" t="s">
        <v>1611</v>
      </c>
      <c r="C37" s="6986"/>
      <c r="D37" s="6987"/>
      <c r="E37" s="477" t="s">
        <v>4567</v>
      </c>
      <c r="F37" s="478" t="s">
        <v>4568</v>
      </c>
      <c r="G37" s="553" t="s">
        <v>4569</v>
      </c>
      <c r="H37" s="345" t="s">
        <v>4570</v>
      </c>
      <c r="I37" s="349" t="s">
        <v>4571</v>
      </c>
      <c r="J37" s="345" t="s">
        <v>4572</v>
      </c>
      <c r="K37" s="346" t="s">
        <v>4573</v>
      </c>
      <c r="L37" s="345" t="s">
        <v>4574</v>
      </c>
      <c r="M37" s="349" t="s">
        <v>4575</v>
      </c>
      <c r="N37" s="345" t="s">
        <v>4576</v>
      </c>
      <c r="O37" s="346" t="s">
        <v>4577</v>
      </c>
      <c r="P37" s="345" t="s">
        <v>4578</v>
      </c>
      <c r="Q37" s="349" t="s">
        <v>4579</v>
      </c>
      <c r="R37" s="345" t="s">
        <v>4580</v>
      </c>
      <c r="S37" s="349" t="s">
        <v>4581</v>
      </c>
      <c r="T37" s="345" t="s">
        <v>4582</v>
      </c>
      <c r="U37" s="349" t="s">
        <v>4583</v>
      </c>
      <c r="V37" s="345" t="s">
        <v>4584</v>
      </c>
      <c r="W37" s="349" t="s">
        <v>4585</v>
      </c>
      <c r="X37" s="347" t="s">
        <v>4586</v>
      </c>
      <c r="Y37" s="348" t="s">
        <v>4587</v>
      </c>
      <c r="Z37" s="345" t="s">
        <v>4588</v>
      </c>
      <c r="AA37" s="349" t="s">
        <v>4589</v>
      </c>
      <c r="AB37" s="347" t="s">
        <v>4590</v>
      </c>
      <c r="AC37" s="348" t="s">
        <v>4591</v>
      </c>
      <c r="AD37" s="345" t="s">
        <v>4592</v>
      </c>
      <c r="AE37" s="349" t="s">
        <v>4593</v>
      </c>
      <c r="AF37" s="347" t="s">
        <v>4594</v>
      </c>
      <c r="AG37" s="348" t="s">
        <v>4595</v>
      </c>
      <c r="AH37" s="345" t="s">
        <v>4596</v>
      </c>
      <c r="AI37" s="349" t="s">
        <v>4597</v>
      </c>
      <c r="AJ37" s="347" t="s">
        <v>4598</v>
      </c>
      <c r="AK37" s="348" t="s">
        <v>4599</v>
      </c>
      <c r="AL37" s="345" t="s">
        <v>4600</v>
      </c>
      <c r="AM37" s="349" t="s">
        <v>4601</v>
      </c>
      <c r="AN37" s="347" t="s">
        <v>4602</v>
      </c>
      <c r="AO37" s="349" t="s">
        <v>4603</v>
      </c>
      <c r="AP37" s="347" t="s">
        <v>4604</v>
      </c>
      <c r="AQ37" s="351" t="s">
        <v>4605</v>
      </c>
      <c r="AR37" s="429" t="s">
        <v>4606</v>
      </c>
      <c r="AS37" s="368" t="s">
        <v>4934</v>
      </c>
      <c r="AT37" s="368" t="s">
        <v>4935</v>
      </c>
      <c r="AU37" s="368" t="s">
        <v>4936</v>
      </c>
      <c r="AV37" s="368" t="s">
        <v>4937</v>
      </c>
      <c r="AW37" s="368" t="s">
        <v>5234</v>
      </c>
      <c r="AX37" s="368" t="s">
        <v>5235</v>
      </c>
      <c r="AY37" s="346" t="s">
        <v>5236</v>
      </c>
      <c r="AZ37" t="e">
        <f t="shared" si="25"/>
        <v>#VALUE!</v>
      </c>
      <c r="CB37" s="433" t="e">
        <f t="shared" si="26"/>
        <v>#VALUE!</v>
      </c>
      <c r="CC37" s="433" t="str">
        <f t="shared" si="27"/>
        <v xml:space="preserve"> * La variable Gestante NO DEBEN ser mayor al Total de Mujeres. </v>
      </c>
      <c r="CD37" s="433" t="e">
        <f t="shared" si="28"/>
        <v>#VALUE!</v>
      </c>
      <c r="CE37" s="433" t="str">
        <f t="shared" si="29"/>
        <v xml:space="preserve"> * La variable Compra de servicio No puede ser mayor al Total Ambos Sexos.</v>
      </c>
      <c r="CF37" s="433" t="str">
        <f t="shared" si="16"/>
        <v xml:space="preserve"> * La variable Usuarios con Discapacidad No puede ser mayor al Total Ambos Sexos.</v>
      </c>
      <c r="CG37" s="433" t="str">
        <f t="shared" si="30"/>
        <v xml:space="preserve"> * La variable Migrantes No puede ser mayor al Total Ambos Sexos.</v>
      </c>
      <c r="CH37" s="433" t="str">
        <f t="shared" si="31"/>
        <v xml:space="preserve"> * La variable Niños, niñas, adolescentes y jóvenes SENAME No puede ser mayor al Total Ambos Sexos.</v>
      </c>
      <c r="CI37" s="433" t="str">
        <f t="shared" si="32"/>
        <v xml:space="preserve"> * La variable Niños, niñas, adolescentes y jóvenes Mejor Niñez no puede ser mayor al Total Ambos Sexos.</v>
      </c>
      <c r="CP37" s="434" t="e">
        <f t="shared" si="17"/>
        <v>#VALUE!</v>
      </c>
      <c r="CQ37" s="434">
        <f t="shared" si="18"/>
        <v>1</v>
      </c>
      <c r="CR37" s="434" t="e">
        <f t="shared" si="19"/>
        <v>#VALUE!</v>
      </c>
      <c r="CS37" s="434">
        <f t="shared" si="20"/>
        <v>1</v>
      </c>
      <c r="CT37" s="434">
        <f t="shared" si="21"/>
        <v>1</v>
      </c>
      <c r="CU37" s="434">
        <f t="shared" si="22"/>
        <v>1</v>
      </c>
      <c r="CV37" s="434">
        <f t="shared" si="23"/>
        <v>1</v>
      </c>
      <c r="CW37" s="434">
        <f t="shared" si="24"/>
        <v>1</v>
      </c>
    </row>
    <row r="38" spans="1:101" ht="15" customHeight="1" x14ac:dyDescent="0.25">
      <c r="A38" s="5813" t="s">
        <v>5697</v>
      </c>
      <c r="B38" s="3463" t="s">
        <v>1612</v>
      </c>
      <c r="C38" s="3464"/>
      <c r="D38" s="3465"/>
      <c r="E38" s="482" t="s">
        <v>4567</v>
      </c>
      <c r="F38" s="483" t="s">
        <v>4568</v>
      </c>
      <c r="G38" s="556" t="s">
        <v>4569</v>
      </c>
      <c r="H38" s="379" t="s">
        <v>4570</v>
      </c>
      <c r="I38" s="387" t="s">
        <v>4571</v>
      </c>
      <c r="J38" s="379" t="s">
        <v>4572</v>
      </c>
      <c r="K38" s="387" t="s">
        <v>4573</v>
      </c>
      <c r="L38" s="379" t="s">
        <v>4574</v>
      </c>
      <c r="M38" s="387" t="s">
        <v>4575</v>
      </c>
      <c r="N38" s="379" t="s">
        <v>4576</v>
      </c>
      <c r="O38" s="387" t="s">
        <v>4577</v>
      </c>
      <c r="P38" s="379" t="s">
        <v>4578</v>
      </c>
      <c r="Q38" s="387" t="s">
        <v>4579</v>
      </c>
      <c r="R38" s="379" t="s">
        <v>4580</v>
      </c>
      <c r="S38" s="387" t="s">
        <v>4581</v>
      </c>
      <c r="T38" s="379" t="s">
        <v>4582</v>
      </c>
      <c r="U38" s="387" t="s">
        <v>4583</v>
      </c>
      <c r="V38" s="379" t="s">
        <v>4584</v>
      </c>
      <c r="W38" s="387" t="s">
        <v>4585</v>
      </c>
      <c r="X38" s="428" t="s">
        <v>4586</v>
      </c>
      <c r="Y38" s="557" t="s">
        <v>4587</v>
      </c>
      <c r="Z38" s="379" t="s">
        <v>4588</v>
      </c>
      <c r="AA38" s="387" t="s">
        <v>4589</v>
      </c>
      <c r="AB38" s="428" t="s">
        <v>4590</v>
      </c>
      <c r="AC38" s="557" t="s">
        <v>4591</v>
      </c>
      <c r="AD38" s="379" t="s">
        <v>4592</v>
      </c>
      <c r="AE38" s="387" t="s">
        <v>4593</v>
      </c>
      <c r="AF38" s="428" t="s">
        <v>4594</v>
      </c>
      <c r="AG38" s="557" t="s">
        <v>4595</v>
      </c>
      <c r="AH38" s="379" t="s">
        <v>4596</v>
      </c>
      <c r="AI38" s="387" t="s">
        <v>4597</v>
      </c>
      <c r="AJ38" s="428" t="s">
        <v>4598</v>
      </c>
      <c r="AK38" s="557" t="s">
        <v>4599</v>
      </c>
      <c r="AL38" s="379" t="s">
        <v>4600</v>
      </c>
      <c r="AM38" s="387" t="s">
        <v>4601</v>
      </c>
      <c r="AN38" s="428" t="s">
        <v>4602</v>
      </c>
      <c r="AO38" s="387" t="s">
        <v>4603</v>
      </c>
      <c r="AP38" s="428" t="s">
        <v>4604</v>
      </c>
      <c r="AQ38" s="391" t="s">
        <v>4605</v>
      </c>
      <c r="AR38" s="378" t="s">
        <v>4606</v>
      </c>
      <c r="AS38" s="2872" t="s">
        <v>4934</v>
      </c>
      <c r="AT38" s="2872" t="s">
        <v>4935</v>
      </c>
      <c r="AU38" s="2872" t="s">
        <v>4936</v>
      </c>
      <c r="AV38" s="2872" t="s">
        <v>4937</v>
      </c>
      <c r="AW38" s="2872" t="s">
        <v>5234</v>
      </c>
      <c r="AX38" s="2872" t="s">
        <v>5235</v>
      </c>
      <c r="AY38" s="387" t="s">
        <v>5236</v>
      </c>
      <c r="AZ38" t="e">
        <f>CB38&amp;CC38&amp;CD38&amp;CE38&amp;CF38&amp;CG38&amp;CH38&amp;CI38</f>
        <v>#VALUE!</v>
      </c>
      <c r="CB38" s="433" t="e">
        <f t="shared" si="26"/>
        <v>#VALUE!</v>
      </c>
      <c r="CC38" s="433" t="str">
        <f t="shared" si="27"/>
        <v xml:space="preserve"> * La variable Gestante NO DEBEN ser mayor al Total de Mujeres. </v>
      </c>
      <c r="CD38" s="433" t="e">
        <f t="shared" si="28"/>
        <v>#VALUE!</v>
      </c>
      <c r="CE38" s="433" t="str">
        <f t="shared" si="29"/>
        <v xml:space="preserve"> * La variable Compra de servicio No puede ser mayor al Total Ambos Sexos.</v>
      </c>
      <c r="CF38" s="433" t="str">
        <f>IF(AND(E38&gt;0,AV38="")," * No olvide digitar la variable Usuarios con Discapacidad. Digite Cero si no tiene.",IF(AV38&gt;$E38," * La variable Usuarios con Discapacidad No puede ser mayor al Total Ambos Sexos.",""))</f>
        <v xml:space="preserve"> * La variable Usuarios con Discapacidad No puede ser mayor al Total Ambos Sexos.</v>
      </c>
      <c r="CG38" s="433" t="str">
        <f t="shared" si="30"/>
        <v xml:space="preserve"> * La variable Migrantes No puede ser mayor al Total Ambos Sexos.</v>
      </c>
      <c r="CH38" s="433" t="str">
        <f t="shared" si="31"/>
        <v xml:space="preserve"> * La variable Niños, niñas, adolescentes y jóvenes SENAME No puede ser mayor al Total Ambos Sexos.</v>
      </c>
      <c r="CI38" s="433" t="str">
        <f t="shared" si="32"/>
        <v xml:space="preserve"> * La variable Niños, niñas, adolescentes y jóvenes Mejor Niñez no puede ser mayor al Total Ambos Sexos.</v>
      </c>
      <c r="CP38" s="434" t="e">
        <f t="shared" si="17"/>
        <v>#VALUE!</v>
      </c>
      <c r="CQ38" s="434">
        <f t="shared" si="18"/>
        <v>1</v>
      </c>
      <c r="CR38" s="434" t="e">
        <f t="shared" si="19"/>
        <v>#VALUE!</v>
      </c>
      <c r="CS38" s="434">
        <f t="shared" si="20"/>
        <v>1</v>
      </c>
      <c r="CT38" s="434">
        <f t="shared" si="21"/>
        <v>1</v>
      </c>
      <c r="CU38" s="434">
        <f t="shared" si="22"/>
        <v>1</v>
      </c>
      <c r="CV38" s="434">
        <f t="shared" si="23"/>
        <v>1</v>
      </c>
      <c r="CW38" s="434">
        <f t="shared" si="24"/>
        <v>1</v>
      </c>
    </row>
    <row r="39" spans="1:101" x14ac:dyDescent="0.25">
      <c r="A39" s="5616"/>
      <c r="B39" s="6928" t="s">
        <v>1613</v>
      </c>
      <c r="C39" s="6928"/>
      <c r="D39" s="6928"/>
      <c r="E39" s="3466">
        <f>SUM(E21:E38)</f>
        <v>0</v>
      </c>
      <c r="F39" s="3467">
        <f>SUM(F21:F38)</f>
        <v>0</v>
      </c>
      <c r="G39" s="601">
        <f t="shared" ref="G39:AY39" si="33">SUM(G21:G38)</f>
        <v>0</v>
      </c>
      <c r="H39" s="3466">
        <f t="shared" si="33"/>
        <v>0</v>
      </c>
      <c r="I39" s="601">
        <f t="shared" si="33"/>
        <v>0</v>
      </c>
      <c r="J39" s="3466">
        <f t="shared" si="33"/>
        <v>0</v>
      </c>
      <c r="K39" s="601">
        <f t="shared" si="33"/>
        <v>0</v>
      </c>
      <c r="L39" s="3466">
        <f t="shared" si="33"/>
        <v>0</v>
      </c>
      <c r="M39" s="601">
        <f t="shared" si="33"/>
        <v>0</v>
      </c>
      <c r="N39" s="3466">
        <f t="shared" si="33"/>
        <v>0</v>
      </c>
      <c r="O39" s="601">
        <f t="shared" si="33"/>
        <v>0</v>
      </c>
      <c r="P39" s="3466">
        <f t="shared" si="33"/>
        <v>0</v>
      </c>
      <c r="Q39" s="601">
        <f t="shared" si="33"/>
        <v>0</v>
      </c>
      <c r="R39" s="3466">
        <f t="shared" si="33"/>
        <v>0</v>
      </c>
      <c r="S39" s="601">
        <f t="shared" si="33"/>
        <v>0</v>
      </c>
      <c r="T39" s="3466">
        <f t="shared" si="33"/>
        <v>0</v>
      </c>
      <c r="U39" s="601">
        <f t="shared" si="33"/>
        <v>0</v>
      </c>
      <c r="V39" s="3466">
        <f t="shared" si="33"/>
        <v>0</v>
      </c>
      <c r="W39" s="601">
        <f t="shared" si="33"/>
        <v>0</v>
      </c>
      <c r="X39" s="3466">
        <f t="shared" si="33"/>
        <v>0</v>
      </c>
      <c r="Y39" s="601">
        <f t="shared" si="33"/>
        <v>0</v>
      </c>
      <c r="Z39" s="3466">
        <f t="shared" si="33"/>
        <v>0</v>
      </c>
      <c r="AA39" s="601">
        <f t="shared" si="33"/>
        <v>0</v>
      </c>
      <c r="AB39" s="3466">
        <f t="shared" si="33"/>
        <v>0</v>
      </c>
      <c r="AC39" s="601">
        <f t="shared" si="33"/>
        <v>0</v>
      </c>
      <c r="AD39" s="3466">
        <f t="shared" si="33"/>
        <v>0</v>
      </c>
      <c r="AE39" s="601">
        <f t="shared" si="33"/>
        <v>0</v>
      </c>
      <c r="AF39" s="3466">
        <f t="shared" si="33"/>
        <v>0</v>
      </c>
      <c r="AG39" s="601">
        <f t="shared" si="33"/>
        <v>0</v>
      </c>
      <c r="AH39" s="3466">
        <f t="shared" si="33"/>
        <v>0</v>
      </c>
      <c r="AI39" s="601">
        <f t="shared" si="33"/>
        <v>0</v>
      </c>
      <c r="AJ39" s="3466">
        <f t="shared" si="33"/>
        <v>0</v>
      </c>
      <c r="AK39" s="601">
        <f t="shared" si="33"/>
        <v>0</v>
      </c>
      <c r="AL39" s="3466">
        <f t="shared" si="33"/>
        <v>0</v>
      </c>
      <c r="AM39" s="601">
        <f t="shared" si="33"/>
        <v>0</v>
      </c>
      <c r="AN39" s="3466">
        <f t="shared" si="33"/>
        <v>0</v>
      </c>
      <c r="AO39" s="601">
        <f t="shared" si="33"/>
        <v>0</v>
      </c>
      <c r="AP39" s="3466">
        <f t="shared" si="33"/>
        <v>0</v>
      </c>
      <c r="AQ39" s="601">
        <f t="shared" si="33"/>
        <v>0</v>
      </c>
      <c r="AR39" s="3466">
        <f t="shared" si="33"/>
        <v>0</v>
      </c>
      <c r="AS39" s="601">
        <f t="shared" si="33"/>
        <v>0</v>
      </c>
      <c r="AT39" s="3466">
        <f t="shared" si="33"/>
        <v>0</v>
      </c>
      <c r="AU39" s="601">
        <f t="shared" si="33"/>
        <v>0</v>
      </c>
      <c r="AV39" s="3466">
        <f t="shared" si="33"/>
        <v>0</v>
      </c>
      <c r="AW39" s="601">
        <f t="shared" si="33"/>
        <v>0</v>
      </c>
      <c r="AX39" s="3466">
        <f t="shared" si="33"/>
        <v>0</v>
      </c>
      <c r="AY39" s="601">
        <f t="shared" si="33"/>
        <v>0</v>
      </c>
    </row>
    <row r="40" spans="1:101" ht="18" customHeight="1" x14ac:dyDescent="0.25">
      <c r="A40" s="5548"/>
      <c r="B40" s="3" t="s">
        <v>4341</v>
      </c>
      <c r="C40" s="3468"/>
      <c r="D40" s="3468"/>
      <c r="E40" s="4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3469"/>
      <c r="AT40" s="3469"/>
      <c r="AU40" s="3469"/>
      <c r="AV40" s="88"/>
      <c r="AW40" s="88"/>
      <c r="AX40" s="88"/>
      <c r="AY40" s="88"/>
    </row>
    <row r="41" spans="1:101" ht="15" customHeight="1" x14ac:dyDescent="0.25">
      <c r="A41" s="5548"/>
      <c r="B41" s="6212" t="s">
        <v>971</v>
      </c>
      <c r="C41" s="6510"/>
      <c r="D41" s="6510"/>
      <c r="E41" s="6212" t="s">
        <v>212</v>
      </c>
      <c r="F41" s="6510"/>
      <c r="G41" s="6511"/>
      <c r="H41" s="6956" t="s">
        <v>101</v>
      </c>
      <c r="I41" s="6515"/>
      <c r="J41" s="6515"/>
      <c r="K41" s="6515"/>
      <c r="L41" s="6515"/>
      <c r="M41" s="6515"/>
      <c r="N41" s="6515"/>
      <c r="O41" s="6515"/>
      <c r="P41" s="6515"/>
      <c r="Q41" s="6515"/>
      <c r="R41" s="6515"/>
      <c r="S41" s="6515"/>
      <c r="T41" s="6515"/>
      <c r="U41" s="6515"/>
      <c r="V41" s="6515"/>
      <c r="W41" s="6515"/>
      <c r="X41" s="6515"/>
      <c r="Y41" s="6515"/>
      <c r="Z41" s="6515"/>
      <c r="AA41" s="6515"/>
      <c r="AB41" s="6515"/>
      <c r="AC41" s="6515"/>
      <c r="AD41" s="6515"/>
      <c r="AE41" s="6515"/>
      <c r="AF41" s="6515"/>
      <c r="AG41" s="6515"/>
      <c r="AH41" s="6515"/>
      <c r="AI41" s="6515"/>
      <c r="AJ41" s="6515"/>
      <c r="AK41" s="6515"/>
      <c r="AL41" s="6515"/>
      <c r="AM41" s="6515"/>
      <c r="AN41" s="6515"/>
      <c r="AO41" s="6515"/>
      <c r="AP41" s="6515"/>
      <c r="AQ41" s="6957"/>
      <c r="AR41" s="6517" t="s">
        <v>1570</v>
      </c>
      <c r="AS41" s="6645" t="s">
        <v>453</v>
      </c>
      <c r="AT41" s="6645" t="s">
        <v>1572</v>
      </c>
      <c r="AU41" s="6645" t="s">
        <v>1573</v>
      </c>
      <c r="AV41" s="6645" t="s">
        <v>1614</v>
      </c>
      <c r="AW41" s="6645" t="s">
        <v>1576</v>
      </c>
      <c r="AX41" s="6645" t="s">
        <v>37</v>
      </c>
      <c r="AY41" s="6511" t="s">
        <v>1574</v>
      </c>
    </row>
    <row r="42" spans="1:101" x14ac:dyDescent="0.25">
      <c r="A42" s="5548"/>
      <c r="B42" s="6044"/>
      <c r="C42" s="6045"/>
      <c r="D42" s="6988"/>
      <c r="E42" s="6993"/>
      <c r="F42" s="6994"/>
      <c r="G42" s="6955"/>
      <c r="H42" s="6989" t="s">
        <v>474</v>
      </c>
      <c r="I42" s="6962"/>
      <c r="J42" s="6956" t="s">
        <v>380</v>
      </c>
      <c r="K42" s="6545"/>
      <c r="L42" s="6515" t="s">
        <v>381</v>
      </c>
      <c r="M42" s="6545"/>
      <c r="N42" s="6956" t="s">
        <v>1577</v>
      </c>
      <c r="O42" s="6545"/>
      <c r="P42" s="6956" t="s">
        <v>383</v>
      </c>
      <c r="Q42" s="6545"/>
      <c r="R42" s="6956" t="s">
        <v>384</v>
      </c>
      <c r="S42" s="6545"/>
      <c r="T42" s="6956" t="s">
        <v>385</v>
      </c>
      <c r="U42" s="6545"/>
      <c r="V42" s="6956" t="s">
        <v>386</v>
      </c>
      <c r="W42" s="6545"/>
      <c r="X42" s="6956" t="s">
        <v>1578</v>
      </c>
      <c r="Y42" s="6545"/>
      <c r="Z42" s="6956" t="s">
        <v>303</v>
      </c>
      <c r="AA42" s="6962"/>
      <c r="AB42" s="6956" t="s">
        <v>304</v>
      </c>
      <c r="AC42" s="6962"/>
      <c r="AD42" s="6956" t="s">
        <v>1579</v>
      </c>
      <c r="AE42" s="6962"/>
      <c r="AF42" s="6956" t="s">
        <v>1580</v>
      </c>
      <c r="AG42" s="6962"/>
      <c r="AH42" s="6956" t="s">
        <v>1581</v>
      </c>
      <c r="AI42" s="6962"/>
      <c r="AJ42" s="6956" t="s">
        <v>1582</v>
      </c>
      <c r="AK42" s="6962"/>
      <c r="AL42" s="6956" t="s">
        <v>1583</v>
      </c>
      <c r="AM42" s="6962"/>
      <c r="AN42" s="6956" t="s">
        <v>1584</v>
      </c>
      <c r="AO42" s="6962"/>
      <c r="AP42" s="6956" t="s">
        <v>938</v>
      </c>
      <c r="AQ42" s="6943"/>
      <c r="AR42" s="6034"/>
      <c r="AS42" s="6386"/>
      <c r="AT42" s="6386"/>
      <c r="AU42" s="6386"/>
      <c r="AV42" s="6386"/>
      <c r="AW42" s="6386"/>
      <c r="AX42" s="6386"/>
      <c r="AY42" s="6027"/>
    </row>
    <row r="43" spans="1:101" ht="21" customHeight="1" x14ac:dyDescent="0.25">
      <c r="A43" s="5548"/>
      <c r="B43" s="6988"/>
      <c r="C43" s="6988"/>
      <c r="D43" s="6027"/>
      <c r="E43" s="3452" t="s">
        <v>79</v>
      </c>
      <c r="F43" s="490" t="s">
        <v>58</v>
      </c>
      <c r="G43" s="3451" t="s">
        <v>59</v>
      </c>
      <c r="H43" s="3452" t="s">
        <v>58</v>
      </c>
      <c r="I43" s="3451" t="s">
        <v>59</v>
      </c>
      <c r="J43" s="3452" t="s">
        <v>58</v>
      </c>
      <c r="K43" s="3451" t="s">
        <v>59</v>
      </c>
      <c r="L43" s="3453" t="s">
        <v>58</v>
      </c>
      <c r="M43" s="3451" t="s">
        <v>59</v>
      </c>
      <c r="N43" s="490" t="s">
        <v>58</v>
      </c>
      <c r="O43" s="3451" t="s">
        <v>59</v>
      </c>
      <c r="P43" s="490" t="s">
        <v>58</v>
      </c>
      <c r="Q43" s="3451" t="s">
        <v>59</v>
      </c>
      <c r="R43" s="490" t="s">
        <v>58</v>
      </c>
      <c r="S43" s="3451" t="s">
        <v>59</v>
      </c>
      <c r="T43" s="490" t="s">
        <v>58</v>
      </c>
      <c r="U43" s="3451" t="s">
        <v>59</v>
      </c>
      <c r="V43" s="3450" t="s">
        <v>58</v>
      </c>
      <c r="W43" s="591" t="s">
        <v>59</v>
      </c>
      <c r="X43" s="3450" t="s">
        <v>58</v>
      </c>
      <c r="Y43" s="591" t="s">
        <v>59</v>
      </c>
      <c r="Z43" s="1803" t="s">
        <v>58</v>
      </c>
      <c r="AA43" s="591" t="s">
        <v>59</v>
      </c>
      <c r="AB43" s="1803" t="s">
        <v>58</v>
      </c>
      <c r="AC43" s="591" t="s">
        <v>59</v>
      </c>
      <c r="AD43" s="1803" t="s">
        <v>58</v>
      </c>
      <c r="AE43" s="591" t="s">
        <v>59</v>
      </c>
      <c r="AF43" s="1803" t="s">
        <v>58</v>
      </c>
      <c r="AG43" s="591" t="s">
        <v>59</v>
      </c>
      <c r="AH43" s="1803" t="s">
        <v>58</v>
      </c>
      <c r="AI43" s="591" t="s">
        <v>59</v>
      </c>
      <c r="AJ43" s="1803" t="s">
        <v>58</v>
      </c>
      <c r="AK43" s="591" t="s">
        <v>59</v>
      </c>
      <c r="AL43" s="1803" t="s">
        <v>58</v>
      </c>
      <c r="AM43" s="591" t="s">
        <v>59</v>
      </c>
      <c r="AN43" s="1803" t="s">
        <v>58</v>
      </c>
      <c r="AO43" s="591" t="s">
        <v>59</v>
      </c>
      <c r="AP43" s="1803" t="s">
        <v>58</v>
      </c>
      <c r="AQ43" s="3431" t="s">
        <v>59</v>
      </c>
      <c r="AR43" s="6035"/>
      <c r="AS43" s="6086"/>
      <c r="AT43" s="6086"/>
      <c r="AU43" s="6086"/>
      <c r="AV43" s="6086"/>
      <c r="AW43" s="6086"/>
      <c r="AX43" s="6086"/>
      <c r="AY43" s="6955"/>
    </row>
    <row r="44" spans="1:101" ht="15" customHeight="1" x14ac:dyDescent="0.25">
      <c r="A44" s="5812" t="s">
        <v>5698</v>
      </c>
      <c r="B44" s="6990" t="s">
        <v>1615</v>
      </c>
      <c r="C44" s="6991"/>
      <c r="D44" s="6992"/>
      <c r="E44" s="3439" t="s">
        <v>4567</v>
      </c>
      <c r="F44" s="995" t="s">
        <v>4568</v>
      </c>
      <c r="G44" s="3470" t="s">
        <v>4569</v>
      </c>
      <c r="H44" s="1967" t="s">
        <v>4570</v>
      </c>
      <c r="I44" s="1944" t="s">
        <v>4571</v>
      </c>
      <c r="J44" s="1967" t="s">
        <v>4572</v>
      </c>
      <c r="K44" s="1944" t="s">
        <v>4573</v>
      </c>
      <c r="L44" s="1967" t="s">
        <v>4574</v>
      </c>
      <c r="M44" s="1944" t="s">
        <v>4575</v>
      </c>
      <c r="N44" s="1967" t="s">
        <v>4576</v>
      </c>
      <c r="O44" s="1944" t="s">
        <v>4577</v>
      </c>
      <c r="P44" s="1967" t="s">
        <v>4578</v>
      </c>
      <c r="Q44" s="1944" t="s">
        <v>4579</v>
      </c>
      <c r="R44" s="1967" t="s">
        <v>4580</v>
      </c>
      <c r="S44" s="1944" t="s">
        <v>4581</v>
      </c>
      <c r="T44" s="3471" t="s">
        <v>4582</v>
      </c>
      <c r="U44" s="3472" t="s">
        <v>4583</v>
      </c>
      <c r="V44" s="1967" t="s">
        <v>4584</v>
      </c>
      <c r="W44" s="1944" t="s">
        <v>4585</v>
      </c>
      <c r="X44" s="1967" t="s">
        <v>4586</v>
      </c>
      <c r="Y44" s="1944" t="s">
        <v>4587</v>
      </c>
      <c r="Z44" s="3471" t="s">
        <v>4588</v>
      </c>
      <c r="AA44" s="3472" t="s">
        <v>4589</v>
      </c>
      <c r="AB44" s="3473" t="s">
        <v>4590</v>
      </c>
      <c r="AC44" s="3472" t="s">
        <v>4591</v>
      </c>
      <c r="AD44" s="3474" t="s">
        <v>4592</v>
      </c>
      <c r="AE44" s="3472" t="s">
        <v>4593</v>
      </c>
      <c r="AF44" s="3473" t="s">
        <v>4594</v>
      </c>
      <c r="AG44" s="3472" t="s">
        <v>4595</v>
      </c>
      <c r="AH44" s="3471" t="s">
        <v>4596</v>
      </c>
      <c r="AI44" s="3472" t="s">
        <v>4597</v>
      </c>
      <c r="AJ44" s="3471" t="s">
        <v>4598</v>
      </c>
      <c r="AK44" s="3472" t="s">
        <v>4599</v>
      </c>
      <c r="AL44" s="3473" t="s">
        <v>4600</v>
      </c>
      <c r="AM44" s="3472" t="s">
        <v>4601</v>
      </c>
      <c r="AN44" s="3474" t="s">
        <v>4602</v>
      </c>
      <c r="AO44" s="3472" t="s">
        <v>4603</v>
      </c>
      <c r="AP44" s="3475" t="s">
        <v>4604</v>
      </c>
      <c r="AQ44" s="3476" t="s">
        <v>4605</v>
      </c>
      <c r="AR44" s="3477" t="s">
        <v>4606</v>
      </c>
      <c r="AS44" s="3478" t="s">
        <v>4934</v>
      </c>
      <c r="AT44" s="3478" t="s">
        <v>4935</v>
      </c>
      <c r="AU44" s="3478" t="s">
        <v>4936</v>
      </c>
      <c r="AV44" s="3478" t="s">
        <v>4937</v>
      </c>
      <c r="AW44" s="3478" t="s">
        <v>5234</v>
      </c>
      <c r="AX44" s="3478" t="s">
        <v>5235</v>
      </c>
      <c r="AY44" s="3479" t="s">
        <v>5236</v>
      </c>
      <c r="AZ44" t="e">
        <f>CB44&amp;CC44&amp;CD44&amp;CE44&amp;CF44&amp;CG44&amp;CH44&amp;CI44</f>
        <v>#VALUE!</v>
      </c>
      <c r="CB44" s="433" t="e">
        <f>IF(AND((Z44+AA44)&gt;0,AR44="")," * No olvide digitar la variable 12 años (incluido en el grupo de 10-14 años). Digite Cero si no tiene.",IF(AR44&gt;(Z44+AA44),"* Las Consultas de 12 años (incluido en el grupo de 10-14 años) NO DEBEN ser mayor que el total de Consultas entre 10-14 años",""))</f>
        <v>#VALUE!</v>
      </c>
      <c r="CC44" s="433" t="str">
        <f>IF(AND($G44&gt;0,AS44="")," * No olvide digitar la variable Gestantes. Digite cero si no tiene.",IF(AS44&gt;$G44," * La variable Gestantes NO DEBEN ser mayor al Total de Mujeres. ",""))</f>
        <v xml:space="preserve"> * La variable Gestantes NO DEBEN ser mayor al Total de Mujeres. </v>
      </c>
      <c r="CD44" s="433" t="e">
        <f>IF(AND((AL44+AM44)&gt;0,AT44="")," * No olvide digitar la variable 60 años (incluido en grupos de 60-64 años). Digite Cero si no tiene.",IF(AT44&gt;(AL44+AM44)," * La variable 60 años (incluido en grupos de 60-64 años) NO DEBE ser mayor que el Total de consultas del grupo 60-64 años",""))</f>
        <v>#VALUE!</v>
      </c>
      <c r="CE44" s="433" t="str">
        <f>IF(AND(E44&gt;0,AU44="")," * No olvide digitar la variable Usuarios con Discapacidad. Digite Cero si no tiene.",IF(AU44&gt;E44," * La variable Usuarios con Discapacidad No puede ser mayor al Total Ambos Sexos.",""))</f>
        <v xml:space="preserve"> * La variable Usuarios con Discapacidad No puede ser mayor al Total Ambos Sexos.</v>
      </c>
      <c r="CF44" s="433" t="str">
        <f>IF(AND(E44&gt;0,AV44="")," * No olvide digitar la variable Niños, niñas, adolescentes y jóvenes SENAME. Digite Cero si no tiene.",IF(AV44&gt;$E44," * La variable Usuarios con Discapacidad No puede ser mayor al Total Ambos Sexos.",""))</f>
        <v xml:space="preserve"> * La variable Usuarios con Discapacidad No puede ser mayor al Total Ambos Sexos.</v>
      </c>
      <c r="CG44" s="433" t="str">
        <f>IF(AND($E44&gt;0,AW44="")," * No olvide digitar la variable Niños, niñas, adolescentes y jóvenes Mejor Niñez. Digite Cero si no tiene.",IF(AW44&gt;$E44,"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44" s="433" t="str">
        <f>IF(AND($E44&gt;0,AX44="")," * No olvide digitar la variable Migrantes. Digite Cero si no tiene.",IF(AX44&gt;$E44," * La variable Migrantes No puede ser mayor al Total Ambos Sexos.",""))</f>
        <v xml:space="preserve"> * La variable Migrantes No puede ser mayor al Total Ambos Sexos.</v>
      </c>
      <c r="CI44" s="433" t="str">
        <f>IF(AND($E44&gt;0,AY44="")," * No olvide digitar la variable Persona con ingreso integral y condición crónica. Digite Cero si no tiene.",IF(AY44&gt;$E44,"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4" s="434" t="e">
        <f>IF(AND((Z44+AA44)&gt;0,AR44=""),1,IF(AR44&gt;(Z44+AA44),1,0))</f>
        <v>#VALUE!</v>
      </c>
      <c r="CQ44" s="434">
        <f>IF(AND($G44&gt;0,AS44=""),1,IF(AS44&gt;$G44,1,0))</f>
        <v>1</v>
      </c>
      <c r="CR44" s="434" t="e">
        <f>IF(AND((AL44+AM44)&gt;0,AT44=""),1,IF(AT44&gt;(AL44+AM44),1,0))</f>
        <v>#VALUE!</v>
      </c>
      <c r="CS44" s="434">
        <f>IF(AND($E44&gt;0,AU44=""),1,IF(AU44&gt;$E44,1,0))</f>
        <v>1</v>
      </c>
      <c r="CT44" s="434">
        <f>IF(AND($E44&gt;0,AV44=""),1,IF(AV44&gt;$E44,1,0))</f>
        <v>1</v>
      </c>
      <c r="CU44" s="434">
        <f>IF(AND($E44&gt;0,AW44=""),1,IF(AW44&gt;$E44,1,0))</f>
        <v>1</v>
      </c>
      <c r="CV44" s="434">
        <f>IF(AND($E44&gt;0,AX44=""),1,IF(AX44&gt;$E44,1,0))</f>
        <v>1</v>
      </c>
      <c r="CW44" s="434">
        <f>IF(AND(E44&gt;0,AY44=""),1,IF(AY44&gt;E44,1,0))</f>
        <v>1</v>
      </c>
    </row>
    <row r="45" spans="1:101" ht="15" customHeight="1" x14ac:dyDescent="0.25">
      <c r="A45" s="5812" t="s">
        <v>5699</v>
      </c>
      <c r="B45" s="6617" t="s">
        <v>1616</v>
      </c>
      <c r="C45" s="6974"/>
      <c r="D45" s="6618"/>
      <c r="E45" s="307" t="s">
        <v>4567</v>
      </c>
      <c r="F45" s="986" t="s">
        <v>4568</v>
      </c>
      <c r="G45" s="3480" t="s">
        <v>4569</v>
      </c>
      <c r="H45" s="3481" t="s">
        <v>4570</v>
      </c>
      <c r="I45" s="3482" t="s">
        <v>4571</v>
      </c>
      <c r="J45" s="3481" t="s">
        <v>4572</v>
      </c>
      <c r="K45" s="3483" t="s">
        <v>4573</v>
      </c>
      <c r="L45" s="3481" t="s">
        <v>4574</v>
      </c>
      <c r="M45" s="3482" t="s">
        <v>4575</v>
      </c>
      <c r="N45" s="3481" t="s">
        <v>4576</v>
      </c>
      <c r="O45" s="3482" t="s">
        <v>4577</v>
      </c>
      <c r="P45" s="3481" t="s">
        <v>4578</v>
      </c>
      <c r="Q45" s="3482" t="s">
        <v>4579</v>
      </c>
      <c r="R45" s="3481" t="s">
        <v>4580</v>
      </c>
      <c r="S45" s="3484" t="s">
        <v>4581</v>
      </c>
      <c r="T45" s="3481" t="s">
        <v>4582</v>
      </c>
      <c r="U45" s="3484" t="s">
        <v>4583</v>
      </c>
      <c r="V45" s="3481" t="s">
        <v>4584</v>
      </c>
      <c r="W45" s="3482" t="s">
        <v>4585</v>
      </c>
      <c r="X45" s="3481" t="s">
        <v>4586</v>
      </c>
      <c r="Y45" s="3484" t="s">
        <v>4587</v>
      </c>
      <c r="Z45" s="3481" t="s">
        <v>4588</v>
      </c>
      <c r="AA45" s="3484" t="s">
        <v>4589</v>
      </c>
      <c r="AB45" s="3481" t="s">
        <v>4590</v>
      </c>
      <c r="AC45" s="3482" t="s">
        <v>4591</v>
      </c>
      <c r="AD45" s="3485" t="s">
        <v>4592</v>
      </c>
      <c r="AE45" s="3486" t="s">
        <v>4593</v>
      </c>
      <c r="AF45" s="2047" t="s">
        <v>4594</v>
      </c>
      <c r="AG45" s="3486" t="s">
        <v>4595</v>
      </c>
      <c r="AH45" s="3485" t="s">
        <v>4596</v>
      </c>
      <c r="AI45" s="2001" t="s">
        <v>4597</v>
      </c>
      <c r="AJ45" s="3485" t="s">
        <v>4598</v>
      </c>
      <c r="AK45" s="2001" t="s">
        <v>4599</v>
      </c>
      <c r="AL45" s="2047" t="s">
        <v>4600</v>
      </c>
      <c r="AM45" s="3487" t="s">
        <v>4601</v>
      </c>
      <c r="AN45" s="3485" t="s">
        <v>4602</v>
      </c>
      <c r="AO45" s="3486" t="s">
        <v>4603</v>
      </c>
      <c r="AP45" s="2047" t="s">
        <v>4604</v>
      </c>
      <c r="AQ45" s="3488" t="s">
        <v>4605</v>
      </c>
      <c r="AR45" s="3489" t="s">
        <v>4606</v>
      </c>
      <c r="AS45" s="3490" t="s">
        <v>4934</v>
      </c>
      <c r="AT45" s="3491" t="s">
        <v>4935</v>
      </c>
      <c r="AU45" s="3492" t="s">
        <v>4936</v>
      </c>
      <c r="AV45" s="3492" t="s">
        <v>4937</v>
      </c>
      <c r="AW45" s="3492" t="s">
        <v>5234</v>
      </c>
      <c r="AX45" s="3492" t="s">
        <v>5235</v>
      </c>
      <c r="AY45" s="3482" t="s">
        <v>5236</v>
      </c>
      <c r="AZ45" t="e">
        <f>CB45&amp;CC45&amp;CE45&amp;CF45&amp;CG45&amp;CH45&amp;CI45</f>
        <v>#VALUE!</v>
      </c>
      <c r="CB45" s="433" t="e">
        <f>IF(AND((Z45+AA45)&gt;0,AR45="")," * No olvide digitar la variable 12 años (incluido en el grupo de 10-14 años). Digite Cero si no tiene.",IF(AR45&gt;(Z45+AA45),"* Las Consultas de 12 años (incluido en el grupo de 10-14 años) NO DEBEN ser mayor que el total de Consultas entre 10-14 años",""))</f>
        <v>#VALUE!</v>
      </c>
      <c r="CC45" s="433" t="str">
        <f>IF(AND($G45&gt;0,AS45="")," * No olvide digitar la variable Gestante. Digite cero si no tiene.",IF(AS45&gt;$G45," * La variable Gestante NO DEBEN ser mayor al Total de Mujeres. ",""))</f>
        <v xml:space="preserve"> * La variable Gestante NO DEBEN ser mayor al Total de Mujeres. </v>
      </c>
      <c r="CD45" s="435"/>
      <c r="CE45" s="433" t="str">
        <f t="shared" ref="CE45:CE46" si="34">IF(AND(E45&gt;0,AU45="")," * No olvide digitar la variable Usuarios con Discapacidad. Digite Cero si no tiene.",IF(AU45&gt;E45," * La variable Usuarios con Discapacidad No puede ser mayor al Total Ambos Sexos.",""))</f>
        <v xml:space="preserve"> * La variable Usuarios con Discapacidad No puede ser mayor al Total Ambos Sexos.</v>
      </c>
      <c r="CF45" s="433" t="str">
        <f t="shared" ref="CF45:CF46" si="35">IF(AND(E45&gt;0,AV45="")," * No olvide digitar la variable Niños, niñas, adolescentes y jóvenes SENAME. Digite Cero si no tiene.",IF(AV45&gt;$E45," * La variable Usuarios con Discapacidad No puede ser mayor al Total Ambos Sexos.",""))</f>
        <v xml:space="preserve"> * La variable Usuarios con Discapacidad No puede ser mayor al Total Ambos Sexos.</v>
      </c>
      <c r="CG45" s="433" t="str">
        <f t="shared" ref="CG45:CG46" si="36">IF(AND($E45&gt;0,AW45="")," * No olvide digitar la variable Niños, niñas, adolescentes y jóvenes Mejor Niñez. Digite Cero si no tiene.",IF(AW45&gt;$E45,"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45" s="433" t="str">
        <f t="shared" ref="CH45:CH46" si="37">IF(AND($E45&gt;0,AX45="")," * No olvide digitar la variable Migrantes. Digite Cero si no tiene.",IF(AX45&gt;$E45," * La variable Migrantes No puede ser mayor al Total Ambos Sexos.",""))</f>
        <v xml:space="preserve"> * La variable Migrantes No puede ser mayor al Total Ambos Sexos.</v>
      </c>
      <c r="CI45" s="433" t="str">
        <f t="shared" ref="CI45:CI46" si="38">IF(AND($E45&gt;0,AY45="")," * No olvide digitar la variable Persona con ingreso integral y condición crónica. Digite Cero si no tiene.",IF(AY45&gt;$E45,"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5" s="434" t="e">
        <f t="shared" ref="CP45:CP56" si="39">IF(AND((Z45+AA45)&gt;0,AR45=""),1,IF(AR45&gt;(Z45+AA45),1,0))</f>
        <v>#VALUE!</v>
      </c>
      <c r="CQ45" s="434">
        <f t="shared" ref="CQ45:CQ56" si="40">IF(AND($G45&gt;0,AS45=""),1,IF(AS45&gt;$G45,1,0))</f>
        <v>1</v>
      </c>
      <c r="CR45" s="435"/>
      <c r="CS45" s="434">
        <f t="shared" ref="CS45:CS56" si="41">IF(AND($E45&gt;0,AU45=""),1,IF(AU45&gt;$E45,1,0))</f>
        <v>1</v>
      </c>
      <c r="CT45" s="434">
        <f t="shared" ref="CT45:CT56" si="42">IF(AND($E45&gt;0,AV45=""),1,IF(AV45&gt;$E45,1,0))</f>
        <v>1</v>
      </c>
      <c r="CU45" s="434">
        <f t="shared" ref="CU45:CU56" si="43">IF(AND($E45&gt;0,AW45=""),1,IF(AW45&gt;$E45,1,0))</f>
        <v>1</v>
      </c>
      <c r="CV45" s="434">
        <f t="shared" ref="CV45:CV56" si="44">IF(AND($E45&gt;0,AX45=""),1,IF(AX45&gt;$E45,1,0))</f>
        <v>1</v>
      </c>
      <c r="CW45" s="434">
        <f t="shared" ref="CW45:CW56" si="45">IF(AND(E45&gt;0,AY45=""),1,IF(AY45&gt;E45,1,0))</f>
        <v>1</v>
      </c>
    </row>
    <row r="46" spans="1:101" ht="15" customHeight="1" x14ac:dyDescent="0.25">
      <c r="A46" s="5812" t="s">
        <v>5700</v>
      </c>
      <c r="B46" s="6617" t="s">
        <v>1617</v>
      </c>
      <c r="C46" s="6974"/>
      <c r="D46" s="6618"/>
      <c r="E46" s="307" t="s">
        <v>4567</v>
      </c>
      <c r="F46" s="986" t="s">
        <v>4568</v>
      </c>
      <c r="G46" s="3480" t="s">
        <v>4569</v>
      </c>
      <c r="H46" s="3481" t="s">
        <v>4570</v>
      </c>
      <c r="I46" s="3482" t="s">
        <v>4571</v>
      </c>
      <c r="J46" s="3481" t="s">
        <v>4572</v>
      </c>
      <c r="K46" s="3483" t="s">
        <v>4573</v>
      </c>
      <c r="L46" s="3481" t="s">
        <v>4574</v>
      </c>
      <c r="M46" s="3482" t="s">
        <v>4575</v>
      </c>
      <c r="N46" s="3481" t="s">
        <v>4576</v>
      </c>
      <c r="O46" s="3482" t="s">
        <v>4577</v>
      </c>
      <c r="P46" s="3481" t="s">
        <v>4578</v>
      </c>
      <c r="Q46" s="3482" t="s">
        <v>4579</v>
      </c>
      <c r="R46" s="3481" t="s">
        <v>4580</v>
      </c>
      <c r="S46" s="3484" t="s">
        <v>4581</v>
      </c>
      <c r="T46" s="3481" t="s">
        <v>4582</v>
      </c>
      <c r="U46" s="3484" t="s">
        <v>4583</v>
      </c>
      <c r="V46" s="3481" t="s">
        <v>4584</v>
      </c>
      <c r="W46" s="3482" t="s">
        <v>4585</v>
      </c>
      <c r="X46" s="3481" t="s">
        <v>4586</v>
      </c>
      <c r="Y46" s="3484" t="s">
        <v>4587</v>
      </c>
      <c r="Z46" s="3481" t="s">
        <v>4588</v>
      </c>
      <c r="AA46" s="3484" t="s">
        <v>4589</v>
      </c>
      <c r="AB46" s="3481" t="s">
        <v>4590</v>
      </c>
      <c r="AC46" s="3482" t="s">
        <v>4591</v>
      </c>
      <c r="AD46" s="3485" t="s">
        <v>4592</v>
      </c>
      <c r="AE46" s="3486" t="s">
        <v>4593</v>
      </c>
      <c r="AF46" s="2047" t="s">
        <v>4594</v>
      </c>
      <c r="AG46" s="3486" t="s">
        <v>4595</v>
      </c>
      <c r="AH46" s="3485" t="s">
        <v>4596</v>
      </c>
      <c r="AI46" s="2001" t="s">
        <v>4597</v>
      </c>
      <c r="AJ46" s="3485" t="s">
        <v>4598</v>
      </c>
      <c r="AK46" s="2001" t="s">
        <v>4599</v>
      </c>
      <c r="AL46" s="2047" t="s">
        <v>4600</v>
      </c>
      <c r="AM46" s="3487" t="s">
        <v>4601</v>
      </c>
      <c r="AN46" s="3485" t="s">
        <v>4602</v>
      </c>
      <c r="AO46" s="3486" t="s">
        <v>4603</v>
      </c>
      <c r="AP46" s="2047" t="s">
        <v>4604</v>
      </c>
      <c r="AQ46" s="3488" t="s">
        <v>4605</v>
      </c>
      <c r="AR46" s="3489" t="s">
        <v>4606</v>
      </c>
      <c r="AS46" s="3490" t="s">
        <v>4934</v>
      </c>
      <c r="AT46" s="3491" t="s">
        <v>4935</v>
      </c>
      <c r="AU46" s="3492" t="s">
        <v>4936</v>
      </c>
      <c r="AV46" s="3492" t="s">
        <v>4937</v>
      </c>
      <c r="AW46" s="3492" t="s">
        <v>5234</v>
      </c>
      <c r="AX46" s="3492" t="s">
        <v>5235</v>
      </c>
      <c r="AY46" s="3482" t="s">
        <v>5236</v>
      </c>
      <c r="AZ46" t="e">
        <f>CB46&amp;CC46&amp;CE46&amp;CF46&amp;CG46&amp;CH46&amp;CI46</f>
        <v>#VALUE!</v>
      </c>
      <c r="CB46" s="433" t="e">
        <f>IF(AND((Z46+AA46)&gt;0,AR46="")," * No olvide digitar la variable 12 años (incluido en el grupo de 10-14 años). Digite Cero si no tiene.",IF(AR46&gt;(Z46+AA46),"* Las Consultas de 12 años (incluido en el grupo de 10-14 años) NO DEBEN ser mayor que el total de Consultas entre 10-14 años",""))</f>
        <v>#VALUE!</v>
      </c>
      <c r="CC46" s="433" t="str">
        <f>IF(AND($G46&gt;0,AS46="")," * No olvide digitar la variable Gestante. Digite cero si no tiene.",IF(AS46&gt;$G46," * La variable Gestante NO DEBEN ser mayor al Total de Mujeres. ",""))</f>
        <v xml:space="preserve"> * La variable Gestante NO DEBEN ser mayor al Total de Mujeres. </v>
      </c>
      <c r="CD46" s="435"/>
      <c r="CE46" s="433" t="str">
        <f t="shared" si="34"/>
        <v xml:space="preserve"> * La variable Usuarios con Discapacidad No puede ser mayor al Total Ambos Sexos.</v>
      </c>
      <c r="CF46" s="433" t="str">
        <f t="shared" si="35"/>
        <v xml:space="preserve"> * La variable Usuarios con Discapacidad No puede ser mayor al Total Ambos Sexos.</v>
      </c>
      <c r="CG46" s="433" t="str">
        <f t="shared" si="36"/>
        <v xml:space="preserve"> * La variable Niños, niñas, adolescentes y jóvenes Mejor Niñez No puede ser mayor al Total Ambos Sexos.</v>
      </c>
      <c r="CH46" s="433" t="str">
        <f t="shared" si="37"/>
        <v xml:space="preserve"> * La variable Migrantes No puede ser mayor al Total Ambos Sexos.</v>
      </c>
      <c r="CI46" s="433" t="str">
        <f t="shared" si="38"/>
        <v xml:space="preserve"> * La variable Persona con ingreso integral y condición crónica no puede ser mayor al Total Ambos Sexos.</v>
      </c>
      <c r="CP46" s="434" t="e">
        <f t="shared" si="39"/>
        <v>#VALUE!</v>
      </c>
      <c r="CQ46" s="434">
        <f t="shared" si="40"/>
        <v>1</v>
      </c>
      <c r="CR46" s="435"/>
      <c r="CS46" s="434">
        <f t="shared" si="41"/>
        <v>1</v>
      </c>
      <c r="CT46" s="434">
        <f t="shared" si="42"/>
        <v>1</v>
      </c>
      <c r="CU46" s="434">
        <f t="shared" si="43"/>
        <v>1</v>
      </c>
      <c r="CV46" s="434">
        <f t="shared" si="44"/>
        <v>1</v>
      </c>
      <c r="CW46" s="434">
        <f t="shared" si="45"/>
        <v>1</v>
      </c>
    </row>
    <row r="47" spans="1:101" ht="15" customHeight="1" x14ac:dyDescent="0.25">
      <c r="A47" s="5812" t="s">
        <v>5701</v>
      </c>
      <c r="B47" s="6617" t="s">
        <v>1618</v>
      </c>
      <c r="C47" s="6974"/>
      <c r="D47" s="6618"/>
      <c r="E47" s="307" t="s">
        <v>4567</v>
      </c>
      <c r="F47" s="986" t="s">
        <v>4568</v>
      </c>
      <c r="G47" s="3480" t="s">
        <v>4569</v>
      </c>
      <c r="H47" s="1967" t="s">
        <v>4570</v>
      </c>
      <c r="I47" s="1944" t="s">
        <v>4571</v>
      </c>
      <c r="J47" s="1967" t="s">
        <v>4572</v>
      </c>
      <c r="K47" s="1944" t="s">
        <v>4573</v>
      </c>
      <c r="L47" s="1967" t="s">
        <v>4574</v>
      </c>
      <c r="M47" s="1944" t="s">
        <v>4575</v>
      </c>
      <c r="N47" s="1967" t="s">
        <v>4576</v>
      </c>
      <c r="O47" s="1944" t="s">
        <v>4577</v>
      </c>
      <c r="P47" s="1967" t="s">
        <v>4578</v>
      </c>
      <c r="Q47" s="1944" t="s">
        <v>4579</v>
      </c>
      <c r="R47" s="1967" t="s">
        <v>4580</v>
      </c>
      <c r="S47" s="1944" t="s">
        <v>4581</v>
      </c>
      <c r="T47" s="3493" t="s">
        <v>4582</v>
      </c>
      <c r="U47" s="3494" t="s">
        <v>4583</v>
      </c>
      <c r="V47" s="3493" t="s">
        <v>4584</v>
      </c>
      <c r="W47" s="3494" t="s">
        <v>4585</v>
      </c>
      <c r="X47" s="3493" t="s">
        <v>4586</v>
      </c>
      <c r="Y47" s="3494" t="s">
        <v>4587</v>
      </c>
      <c r="Z47" s="3493" t="s">
        <v>4588</v>
      </c>
      <c r="AA47" s="3494" t="s">
        <v>4589</v>
      </c>
      <c r="AB47" s="3495" t="s">
        <v>4590</v>
      </c>
      <c r="AC47" s="3496" t="s">
        <v>4591</v>
      </c>
      <c r="AD47" s="3493" t="s">
        <v>4592</v>
      </c>
      <c r="AE47" s="3494" t="s">
        <v>4593</v>
      </c>
      <c r="AF47" s="3495" t="s">
        <v>4594</v>
      </c>
      <c r="AG47" s="3494" t="s">
        <v>4595</v>
      </c>
      <c r="AH47" s="3493" t="s">
        <v>4596</v>
      </c>
      <c r="AI47" s="3494" t="s">
        <v>4597</v>
      </c>
      <c r="AJ47" s="3493" t="s">
        <v>4598</v>
      </c>
      <c r="AK47" s="3494" t="s">
        <v>4599</v>
      </c>
      <c r="AL47" s="3495" t="s">
        <v>4600</v>
      </c>
      <c r="AM47" s="3496" t="s">
        <v>4601</v>
      </c>
      <c r="AN47" s="3493" t="s">
        <v>4602</v>
      </c>
      <c r="AO47" s="3494" t="s">
        <v>4603</v>
      </c>
      <c r="AP47" s="3495" t="s">
        <v>4604</v>
      </c>
      <c r="AQ47" s="3497" t="s">
        <v>4605</v>
      </c>
      <c r="AR47" s="3498" t="s">
        <v>4606</v>
      </c>
      <c r="AS47" s="3490" t="s">
        <v>4934</v>
      </c>
      <c r="AT47" s="3490" t="s">
        <v>4935</v>
      </c>
      <c r="AU47" s="3490" t="s">
        <v>4936</v>
      </c>
      <c r="AV47" s="3490" t="s">
        <v>4937</v>
      </c>
      <c r="AW47" s="3490" t="s">
        <v>5234</v>
      </c>
      <c r="AX47" s="3490" t="s">
        <v>5235</v>
      </c>
      <c r="AY47" s="3499" t="s">
        <v>5236</v>
      </c>
      <c r="AZ47" t="e">
        <f t="shared" ref="AZ47:AZ55" si="46">CB47&amp;CC47&amp;CD47&amp;CE47&amp;CF47&amp;CG47&amp;CH47&amp;CI47</f>
        <v>#VALUE!</v>
      </c>
      <c r="CB47" s="433" t="e">
        <f>IF(AND((Z47+AA47)&gt;0,AR47="")," * No olvide digitar la variable 12 años (incluido en el grupo de 10-14 años). Digite Cero si no tiene.",IF(AR47&gt;(Z47+AA47),"* Las Consultas de 12 años (incluido en el grupo de 10-14 años) NO DEBEN ser mayor que el total de Consultas entre 10-14 años",""))</f>
        <v>#VALUE!</v>
      </c>
      <c r="CC47" s="433" t="str">
        <f>IF(AND($G47&gt;0,AS47="")," * No olvide digitar la variable Gestante. Digite cero si no tiene.",IF(AS47&gt;$G47," * La variable Gestante NO DEBEN ser mayor al Total de Mujeres. ",""))</f>
        <v xml:space="preserve"> * La variable Gestante NO DEBEN ser mayor al Total de Mujeres. </v>
      </c>
      <c r="CD47" s="433" t="e">
        <f>IF(AND((AL47+AM47)&gt;0,AT47="")," * No olvide digitar la variable 60 años (incluido en grupos de 60-64 años). Digite Cero si no tiene.",IF(AT47&gt;(AL47+AM47)," * La variable 60 años (incluido en grupos de 60-64 años) NO DEBE ser mayor que el Total de consultas del grupo 60-64 años",""))</f>
        <v>#VALUE!</v>
      </c>
      <c r="CE47" s="433" t="str">
        <f>IF(AND(E47&gt;0,AU47="")," * No olvide digitar la variable Usuarios con Discapacidad. Digite Cero si no tiene.",IF(AU47&gt;E47," * La variable Usuarios con Discapacidad No puede ser mayor al Total Ambos Sexos.",""))</f>
        <v xml:space="preserve"> * La variable Usuarios con Discapacidad No puede ser mayor al Total Ambos Sexos.</v>
      </c>
      <c r="CF47" s="433" t="str">
        <f>IF(AND(E47&gt;0,AV47="")," * No olvide digitar la variable Niños, niñas, adolescentes y jóvenes SENAME. Digite Cero si no tiene.",IF(AV47&gt;$E47," * La variable Usuarios con Discapacidad No puede ser mayor al Total Ambos Sexos.",""))</f>
        <v xml:space="preserve"> * La variable Usuarios con Discapacidad No puede ser mayor al Total Ambos Sexos.</v>
      </c>
      <c r="CG47" s="433" t="str">
        <f>IF(AND($E47&gt;0,AW47="")," * No olvide digitar la variable Niños, niñas, adolescentes y jóvenes Mejor Niñez. Digite Cero si no tiene.",IF(AW47&gt;$E47,"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47" s="433" t="str">
        <f>IF(AND($E47&gt;0,AX47="")," * No olvide digitar la variable Migrantes. Digite Cero si no tiene.",IF(AX47&gt;$E47," * La variable Migrantes No puede ser mayor al Total Ambos Sexos.",""))</f>
        <v xml:space="preserve"> * La variable Migrantes No puede ser mayor al Total Ambos Sexos.</v>
      </c>
      <c r="CI47" s="433" t="str">
        <f>IF(AND($E47&gt;0,AY47="")," * No olvide digitar la variable Persona con ingreso integral y condición crónica. Digite Cero si no tiene.",IF(AY47&gt;$E47,"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7" s="434" t="e">
        <f t="shared" si="39"/>
        <v>#VALUE!</v>
      </c>
      <c r="CQ47" s="434">
        <f t="shared" si="40"/>
        <v>1</v>
      </c>
      <c r="CR47" s="434" t="e">
        <f t="shared" ref="CR47:CR56" si="47">IF(AND((AL47+AM47)&gt;0,AT47=""),1,IF(AT47&gt;(AL47+AM47),1,0))</f>
        <v>#VALUE!</v>
      </c>
      <c r="CS47" s="434">
        <f t="shared" si="41"/>
        <v>1</v>
      </c>
      <c r="CT47" s="434">
        <f t="shared" si="42"/>
        <v>1</v>
      </c>
      <c r="CU47" s="434">
        <f t="shared" si="43"/>
        <v>1</v>
      </c>
      <c r="CV47" s="434">
        <f t="shared" si="44"/>
        <v>1</v>
      </c>
      <c r="CW47" s="434">
        <f t="shared" si="45"/>
        <v>1</v>
      </c>
    </row>
    <row r="48" spans="1:101" ht="15" customHeight="1" x14ac:dyDescent="0.25">
      <c r="A48" s="5813" t="s">
        <v>5702</v>
      </c>
      <c r="B48" s="6996" t="s">
        <v>1619</v>
      </c>
      <c r="C48" s="6997"/>
      <c r="D48" s="6998"/>
      <c r="E48" s="307" t="s">
        <v>4567</v>
      </c>
      <c r="F48" s="986" t="s">
        <v>4568</v>
      </c>
      <c r="G48" s="3501" t="s">
        <v>4569</v>
      </c>
      <c r="H48" s="3481" t="s">
        <v>4570</v>
      </c>
      <c r="I48" s="3482" t="s">
        <v>4571</v>
      </c>
      <c r="J48" s="3481" t="s">
        <v>4572</v>
      </c>
      <c r="K48" s="3483" t="s">
        <v>4573</v>
      </c>
      <c r="L48" s="3481" t="s">
        <v>4574</v>
      </c>
      <c r="M48" s="3482" t="s">
        <v>4575</v>
      </c>
      <c r="N48" s="3481" t="s">
        <v>4576</v>
      </c>
      <c r="O48" s="3482" t="s">
        <v>4577</v>
      </c>
      <c r="P48" s="3481" t="s">
        <v>4578</v>
      </c>
      <c r="Q48" s="3482" t="s">
        <v>4579</v>
      </c>
      <c r="R48" s="3481" t="s">
        <v>4580</v>
      </c>
      <c r="S48" s="3484" t="s">
        <v>4581</v>
      </c>
      <c r="T48" s="3481" t="s">
        <v>4582</v>
      </c>
      <c r="U48" s="3484" t="s">
        <v>4583</v>
      </c>
      <c r="V48" s="3481" t="s">
        <v>4584</v>
      </c>
      <c r="W48" s="3482" t="s">
        <v>4585</v>
      </c>
      <c r="X48" s="3481" t="s">
        <v>4586</v>
      </c>
      <c r="Y48" s="3484" t="s">
        <v>4587</v>
      </c>
      <c r="Z48" s="3481" t="s">
        <v>4588</v>
      </c>
      <c r="AA48" s="3484" t="s">
        <v>4589</v>
      </c>
      <c r="AB48" s="3481" t="s">
        <v>4590</v>
      </c>
      <c r="AC48" s="3482" t="s">
        <v>4591</v>
      </c>
      <c r="AD48" s="3493" t="s">
        <v>4592</v>
      </c>
      <c r="AE48" s="3499" t="s">
        <v>4593</v>
      </c>
      <c r="AF48" s="3495" t="s">
        <v>4594</v>
      </c>
      <c r="AG48" s="3502" t="s">
        <v>4595</v>
      </c>
      <c r="AH48" s="3493" t="s">
        <v>4596</v>
      </c>
      <c r="AI48" s="3502" t="s">
        <v>4597</v>
      </c>
      <c r="AJ48" s="3493" t="s">
        <v>4598</v>
      </c>
      <c r="AK48" s="3499" t="s">
        <v>4599</v>
      </c>
      <c r="AL48" s="3495" t="s">
        <v>4600</v>
      </c>
      <c r="AM48" s="3502" t="s">
        <v>4601</v>
      </c>
      <c r="AN48" s="3493" t="s">
        <v>4602</v>
      </c>
      <c r="AO48" s="3499" t="s">
        <v>4603</v>
      </c>
      <c r="AP48" s="3495" t="s">
        <v>4604</v>
      </c>
      <c r="AQ48" s="3497" t="s">
        <v>4605</v>
      </c>
      <c r="AR48" s="3498" t="s">
        <v>4606</v>
      </c>
      <c r="AS48" s="3490" t="s">
        <v>4934</v>
      </c>
      <c r="AT48" s="3490" t="s">
        <v>4935</v>
      </c>
      <c r="AU48" s="3490" t="s">
        <v>4936</v>
      </c>
      <c r="AV48" s="3490" t="s">
        <v>4937</v>
      </c>
      <c r="AW48" s="3490" t="s">
        <v>5234</v>
      </c>
      <c r="AX48" s="3490" t="s">
        <v>5235</v>
      </c>
      <c r="AY48" s="3499" t="s">
        <v>5236</v>
      </c>
      <c r="AZ48" t="e">
        <f>CB48&amp;CC48&amp;CD48&amp;CE48&amp;CF48&amp;CG48&amp;CH48&amp;CI48</f>
        <v>#VALUE!</v>
      </c>
      <c r="CB48" s="433" t="e">
        <f>IF(AND((Z48+AA48)&gt;0,AR48="")," * No olvide digitar la variable 12 años (incluido en el grupo de 10-14 años). Digite Cero si no tiene.",IF(AR48&gt;(Z48+AA48),"* Las Consultas de 12 años (incluido en el grupo de 10-14 años) NO DEBEN ser mayor que el total de Consultas entre 10-14 años",""))</f>
        <v>#VALUE!</v>
      </c>
      <c r="CC48" s="433" t="str">
        <f t="shared" ref="CC48:CC49" si="48">IF(AND($G48&gt;0,AS48="")," * No olvide digitar la variable Gestante. Digite cero si no tiene.",IF(AS48&gt;$G48," * La variable Gestante NO DEBEN ser mayor al Total de Mujeres. ",""))</f>
        <v xml:space="preserve"> * La variable Gestante NO DEBEN ser mayor al Total de Mujeres. </v>
      </c>
      <c r="CD48" s="433" t="e">
        <f t="shared" ref="CD48:CD49" si="49">IF(AND((AL48+AM48)&gt;0,AT48="")," * No olvide digitar la variable 60 años (incluido en grupos de 60-64 años). Digite Cero si no tiene.",IF(AT48&gt;(AL48+AM48)," * La variable 60 años (incluido en grupos de 60-64 años) NO DEBE ser mayor que el Total de consultas del grupo 60-64 años",""))</f>
        <v>#VALUE!</v>
      </c>
      <c r="CE48" s="433" t="str">
        <f t="shared" ref="CE48:CE49" si="50">IF(AND(E48&gt;0,AU48="")," * No olvide digitar la variable Usuarios con Discapacidad. Digite Cero si no tiene.",IF(AU48&gt;E48," * La variable Usuarios con Discapacidad No puede ser mayor al Total Ambos Sexos.",""))</f>
        <v xml:space="preserve"> * La variable Usuarios con Discapacidad No puede ser mayor al Total Ambos Sexos.</v>
      </c>
      <c r="CF48" s="433" t="str">
        <f t="shared" ref="CF48:CF49" si="51">IF(AND(E48&gt;0,AV48="")," * No olvide digitar la variable Niños, niñas, adolescentes y jóvenes SENAME. Digite Cero si no tiene.",IF(AV48&gt;$E48," * La variable Usuarios con Discapacidad No puede ser mayor al Total Ambos Sexos.",""))</f>
        <v xml:space="preserve"> * La variable Usuarios con Discapacidad No puede ser mayor al Total Ambos Sexos.</v>
      </c>
      <c r="CG48" s="433" t="str">
        <f t="shared" ref="CG48:CG49" si="52">IF(AND($E48&gt;0,AW48="")," * No olvide digitar la variable Niños, niñas, adolescentes y jóvenes Mejor Niñez. Digite Cero si no tiene.",IF(AW48&gt;$E48,"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48" s="433" t="str">
        <f t="shared" ref="CH48:CH49" si="53">IF(AND($E48&gt;0,AX48="")," * No olvide digitar la variable Migrantes. Digite Cero si no tiene.",IF(AX48&gt;$E48," * La variable Migrantes No puede ser mayor al Total Ambos Sexos.",""))</f>
        <v xml:space="preserve"> * La variable Migrantes No puede ser mayor al Total Ambos Sexos.</v>
      </c>
      <c r="CI48" s="433" t="str">
        <f>IF(AND($E48&gt;0,AY48="")," * No olvide digitar la variable Persona con ingreso integral y condición crónica. Digite Cero si no tiene.",IF(AY48&gt;$E48,"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8" s="434" t="e">
        <f t="shared" si="39"/>
        <v>#VALUE!</v>
      </c>
      <c r="CQ48" s="434">
        <f t="shared" si="40"/>
        <v>1</v>
      </c>
      <c r="CR48" s="434" t="e">
        <f t="shared" si="47"/>
        <v>#VALUE!</v>
      </c>
      <c r="CS48" s="434">
        <f t="shared" si="41"/>
        <v>1</v>
      </c>
      <c r="CT48" s="434">
        <f t="shared" si="42"/>
        <v>1</v>
      </c>
      <c r="CU48" s="434">
        <f t="shared" si="43"/>
        <v>1</v>
      </c>
      <c r="CV48" s="434">
        <f t="shared" si="44"/>
        <v>1</v>
      </c>
      <c r="CW48" s="434">
        <f t="shared" si="45"/>
        <v>1</v>
      </c>
    </row>
    <row r="49" spans="1:101" ht="15" customHeight="1" x14ac:dyDescent="0.25">
      <c r="A49" s="5813" t="s">
        <v>5703</v>
      </c>
      <c r="B49" s="6916" t="s">
        <v>1620</v>
      </c>
      <c r="C49" s="7006"/>
      <c r="D49" s="6917"/>
      <c r="E49" s="3503" t="s">
        <v>4567</v>
      </c>
      <c r="F49" s="986" t="s">
        <v>4568</v>
      </c>
      <c r="G49" s="3501" t="s">
        <v>4569</v>
      </c>
      <c r="H49" s="3504" t="s">
        <v>4570</v>
      </c>
      <c r="I49" s="3482" t="s">
        <v>4571</v>
      </c>
      <c r="J49" s="3481" t="s">
        <v>4572</v>
      </c>
      <c r="K49" s="3483" t="s">
        <v>4573</v>
      </c>
      <c r="L49" s="3481" t="s">
        <v>4574</v>
      </c>
      <c r="M49" s="3482" t="s">
        <v>4575</v>
      </c>
      <c r="N49" s="3481" t="s">
        <v>4576</v>
      </c>
      <c r="O49" s="3482" t="s">
        <v>4577</v>
      </c>
      <c r="P49" s="3481" t="s">
        <v>4578</v>
      </c>
      <c r="Q49" s="3482" t="s">
        <v>4579</v>
      </c>
      <c r="R49" s="3481" t="s">
        <v>4580</v>
      </c>
      <c r="S49" s="3484" t="s">
        <v>4581</v>
      </c>
      <c r="T49" s="3481" t="s">
        <v>4582</v>
      </c>
      <c r="U49" s="3484" t="s">
        <v>4583</v>
      </c>
      <c r="V49" s="3481" t="s">
        <v>4584</v>
      </c>
      <c r="W49" s="3482" t="s">
        <v>4585</v>
      </c>
      <c r="X49" s="3481" t="s">
        <v>4586</v>
      </c>
      <c r="Y49" s="3484" t="s">
        <v>4587</v>
      </c>
      <c r="Z49" s="3481" t="s">
        <v>4588</v>
      </c>
      <c r="AA49" s="3484" t="s">
        <v>4589</v>
      </c>
      <c r="AB49" s="3481" t="s">
        <v>4590</v>
      </c>
      <c r="AC49" s="3482" t="s">
        <v>4591</v>
      </c>
      <c r="AD49" s="3505" t="s">
        <v>4592</v>
      </c>
      <c r="AE49" s="3506" t="s">
        <v>4593</v>
      </c>
      <c r="AF49" s="3507" t="s">
        <v>4594</v>
      </c>
      <c r="AG49" s="3508" t="s">
        <v>4595</v>
      </c>
      <c r="AH49" s="3505" t="s">
        <v>4596</v>
      </c>
      <c r="AI49" s="3508" t="s">
        <v>4597</v>
      </c>
      <c r="AJ49" s="3505" t="s">
        <v>4598</v>
      </c>
      <c r="AK49" s="3506" t="s">
        <v>4599</v>
      </c>
      <c r="AL49" s="3509" t="s">
        <v>4600</v>
      </c>
      <c r="AM49" s="3510" t="s">
        <v>4601</v>
      </c>
      <c r="AN49" s="3505" t="s">
        <v>4602</v>
      </c>
      <c r="AO49" s="3506" t="s">
        <v>4603</v>
      </c>
      <c r="AP49" s="3507" t="s">
        <v>4604</v>
      </c>
      <c r="AQ49" s="3511" t="s">
        <v>4605</v>
      </c>
      <c r="AR49" s="3512" t="s">
        <v>4606</v>
      </c>
      <c r="AS49" s="3513" t="s">
        <v>4934</v>
      </c>
      <c r="AT49" s="3513" t="s">
        <v>4935</v>
      </c>
      <c r="AU49" s="3513" t="s">
        <v>4936</v>
      </c>
      <c r="AV49" s="3513" t="s">
        <v>4937</v>
      </c>
      <c r="AW49" s="3513" t="s">
        <v>5234</v>
      </c>
      <c r="AX49" s="3513" t="s">
        <v>5235</v>
      </c>
      <c r="AY49" s="3506" t="s">
        <v>5236</v>
      </c>
      <c r="AZ49" t="e">
        <f t="shared" si="46"/>
        <v>#VALUE!</v>
      </c>
      <c r="CB49" s="433" t="e">
        <f t="shared" ref="CB49" si="54">IF(AND((Z49+AA49)&gt;0,AR49="")," * No olvide digitar la variable 12 años (incluido en el grupo de 10-14 años). Digite Cero si no tiene.",IF(AR49&gt;(Z49+AA49),"* Las Consultas de 12 años (incluido en el grupo de 10-14 años) NO DEBEN ser mayor que el total de Consultas entre 10-14 años",""))</f>
        <v>#VALUE!</v>
      </c>
      <c r="CC49" s="433" t="str">
        <f t="shared" si="48"/>
        <v xml:space="preserve"> * La variable Gestante NO DEBEN ser mayor al Total de Mujeres. </v>
      </c>
      <c r="CD49" s="433" t="e">
        <f t="shared" si="49"/>
        <v>#VALUE!</v>
      </c>
      <c r="CE49" s="433" t="str">
        <f t="shared" si="50"/>
        <v xml:space="preserve"> * La variable Usuarios con Discapacidad No puede ser mayor al Total Ambos Sexos.</v>
      </c>
      <c r="CF49" s="433" t="str">
        <f t="shared" si="51"/>
        <v xml:space="preserve"> * La variable Usuarios con Discapacidad No puede ser mayor al Total Ambos Sexos.</v>
      </c>
      <c r="CG49" s="433" t="str">
        <f t="shared" si="52"/>
        <v xml:space="preserve"> * La variable Niños, niñas, adolescentes y jóvenes Mejor Niñez No puede ser mayor al Total Ambos Sexos.</v>
      </c>
      <c r="CH49" s="433" t="str">
        <f t="shared" si="53"/>
        <v xml:space="preserve"> * La variable Migrantes No puede ser mayor al Total Ambos Sexos.</v>
      </c>
      <c r="CI49" s="433" t="str">
        <f>IF(AND($E49&gt;0,AY49="")," * No olvide digitar la variable Persona con ingreso integral y condición crónica. Digite Cero si no tiene.",IF(AY49&gt;$E49,"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9" s="434" t="e">
        <f t="shared" si="39"/>
        <v>#VALUE!</v>
      </c>
      <c r="CQ49" s="434">
        <f t="shared" si="40"/>
        <v>1</v>
      </c>
      <c r="CR49" s="434" t="e">
        <f t="shared" si="47"/>
        <v>#VALUE!</v>
      </c>
      <c r="CS49" s="434">
        <f t="shared" si="41"/>
        <v>1</v>
      </c>
      <c r="CT49" s="434">
        <f t="shared" si="42"/>
        <v>1</v>
      </c>
      <c r="CU49" s="434">
        <f t="shared" si="43"/>
        <v>1</v>
      </c>
      <c r="CV49" s="434">
        <f t="shared" si="44"/>
        <v>1</v>
      </c>
      <c r="CW49" s="434">
        <f t="shared" si="45"/>
        <v>1</v>
      </c>
    </row>
    <row r="50" spans="1:101" ht="15" customHeight="1" x14ac:dyDescent="0.25">
      <c r="A50" s="5812" t="s">
        <v>5704</v>
      </c>
      <c r="B50" s="6999" t="s">
        <v>1022</v>
      </c>
      <c r="C50" s="7000"/>
      <c r="D50" s="7001"/>
      <c r="E50" s="3514" t="s">
        <v>4567</v>
      </c>
      <c r="F50" s="857" t="s">
        <v>4568</v>
      </c>
      <c r="G50" s="3515" t="s">
        <v>4569</v>
      </c>
      <c r="H50" s="3516" t="s">
        <v>4570</v>
      </c>
      <c r="I50" s="3517" t="s">
        <v>4571</v>
      </c>
      <c r="J50" s="3516" t="s">
        <v>4572</v>
      </c>
      <c r="K50" s="3518" t="s">
        <v>4573</v>
      </c>
      <c r="L50" s="3516" t="s">
        <v>4574</v>
      </c>
      <c r="M50" s="3517" t="s">
        <v>4575</v>
      </c>
      <c r="N50" s="3516" t="s">
        <v>4576</v>
      </c>
      <c r="O50" s="3517" t="s">
        <v>4577</v>
      </c>
      <c r="P50" s="3516" t="s">
        <v>4578</v>
      </c>
      <c r="Q50" s="3517" t="s">
        <v>4579</v>
      </c>
      <c r="R50" s="3516" t="s">
        <v>4580</v>
      </c>
      <c r="S50" s="3519" t="s">
        <v>4581</v>
      </c>
      <c r="T50" s="3516" t="s">
        <v>4582</v>
      </c>
      <c r="U50" s="3519" t="s">
        <v>4583</v>
      </c>
      <c r="V50" s="3516" t="s">
        <v>4584</v>
      </c>
      <c r="W50" s="3519" t="s">
        <v>4585</v>
      </c>
      <c r="X50" s="3516" t="s">
        <v>4586</v>
      </c>
      <c r="Y50" s="3519" t="s">
        <v>4587</v>
      </c>
      <c r="Z50" s="3516" t="s">
        <v>4588</v>
      </c>
      <c r="AA50" s="3519" t="s">
        <v>4589</v>
      </c>
      <c r="AB50" s="3516" t="s">
        <v>4590</v>
      </c>
      <c r="AC50" s="3519" t="s">
        <v>4591</v>
      </c>
      <c r="AD50" s="3520" t="s">
        <v>4592</v>
      </c>
      <c r="AE50" s="3519" t="s">
        <v>4593</v>
      </c>
      <c r="AF50" s="3521" t="s">
        <v>4594</v>
      </c>
      <c r="AG50" s="3519" t="s">
        <v>4595</v>
      </c>
      <c r="AH50" s="3516" t="s">
        <v>4596</v>
      </c>
      <c r="AI50" s="3519" t="s">
        <v>4597</v>
      </c>
      <c r="AJ50" s="3516" t="s">
        <v>4598</v>
      </c>
      <c r="AK50" s="3519" t="s">
        <v>4599</v>
      </c>
      <c r="AL50" s="3516" t="s">
        <v>4600</v>
      </c>
      <c r="AM50" s="3519" t="s">
        <v>4601</v>
      </c>
      <c r="AN50" s="3520" t="s">
        <v>4602</v>
      </c>
      <c r="AO50" s="3519" t="s">
        <v>4603</v>
      </c>
      <c r="AP50" s="3518" t="s">
        <v>4604</v>
      </c>
      <c r="AQ50" s="3522" t="s">
        <v>4605</v>
      </c>
      <c r="AR50" s="3523" t="s">
        <v>4606</v>
      </c>
      <c r="AS50" s="3524" t="s">
        <v>4934</v>
      </c>
      <c r="AT50" s="3524" t="s">
        <v>4935</v>
      </c>
      <c r="AU50" s="3524" t="s">
        <v>4936</v>
      </c>
      <c r="AV50" s="3524" t="s">
        <v>4937</v>
      </c>
      <c r="AW50" s="3524" t="s">
        <v>5234</v>
      </c>
      <c r="AX50" s="3524" t="s">
        <v>5235</v>
      </c>
      <c r="AY50" s="3517" t="s">
        <v>5236</v>
      </c>
      <c r="AZ50" t="e">
        <f t="shared" si="46"/>
        <v>#VALUE!</v>
      </c>
      <c r="CB50" s="433" t="e">
        <f t="shared" ref="CB50:CB56" si="55">IF(AND((Z50+AA50)&gt;0,AR50="")," * No olvide digitar la variable 12 años (incluido en el grupo de 10-14 años). Digite Cero si no tiene.",IF(AR50&gt;(Z50+AA50),"* Las Consultas de 12 años (incluido en el grupo de 10-14 años) NO DEBEN ser mayor que el total de Consultas entre 10-14 años",""))</f>
        <v>#VALUE!</v>
      </c>
      <c r="CC50" s="433" t="str">
        <f t="shared" ref="CC50:CC56" si="56">IF(AND($G50&gt;0,AS50="")," * No olvide digitar la variable Gestante. Digite cero si no tiene.",IF(AS50&gt;$G50," * La variable Gestante NO DEBEN ser mayor al Total de Mujeres. ",""))</f>
        <v xml:space="preserve"> * La variable Gestante NO DEBEN ser mayor al Total de Mujeres. </v>
      </c>
      <c r="CD50" s="433" t="e">
        <f t="shared" ref="CD50:CD56" si="57">IF(AND((AL50+AM50)&gt;0,AT50="")," * No olvide digitar la variable 60 años (incluido en grupos de 60-64 años). Digite Cero si no tiene.",IF(AT50&gt;(AL50+AM50)," * La variable 60 años (incluido en grupos de 60-64 años) NO DEBE ser mayor que el Total de consultas del grupo 60-64 años",""))</f>
        <v>#VALUE!</v>
      </c>
      <c r="CE50" s="433" t="str">
        <f t="shared" ref="CE50:CE56" si="58">IF(AND(E50&gt;0,AU50="")," * No olvide digitar la variable Usuarios con Discapacidad. Digite Cero si no tiene.",IF(AU50&gt;E50," * La variable Usuarios con Discapacidad No puede ser mayor al Total Ambos Sexos.",""))</f>
        <v xml:space="preserve"> * La variable Usuarios con Discapacidad No puede ser mayor al Total Ambos Sexos.</v>
      </c>
      <c r="CF50" s="433" t="str">
        <f t="shared" ref="CF50:CF56" si="59">IF(AND(E50&gt;0,AV50="")," * No olvide digitar la variable Niños, niñas, adolescentes y jóvenes SENAME. Digite Cero si no tiene.",IF(AV50&gt;$E50," * La variable Usuarios con Discapacidad No puede ser mayor al Total Ambos Sexos.",""))</f>
        <v xml:space="preserve"> * La variable Usuarios con Discapacidad No puede ser mayor al Total Ambos Sexos.</v>
      </c>
      <c r="CG50" s="433" t="str">
        <f t="shared" ref="CG50:CG56" si="60">IF(AND($E50&gt;0,AW50="")," * No olvide digitar la variable Niños, niñas, adolescentes y jóvenes Mejor Niñez. Digite Cero si no tiene.",IF(AW50&gt;$E50,"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50" s="433" t="str">
        <f t="shared" ref="CH50:CH56" si="61">IF(AND($E50&gt;0,AX50="")," * No olvide digitar la variable Migrantes. Digite Cero si no tiene.",IF(AX50&gt;$E50," * La variable Migrantes No puede ser mayor al Total Ambos Sexos.",""))</f>
        <v xml:space="preserve"> * La variable Migrantes No puede ser mayor al Total Ambos Sexos.</v>
      </c>
      <c r="CI50" s="433" t="str">
        <f t="shared" ref="CI50:CI56" si="62">IF(AND($E50&gt;0,AY50="")," * No olvide digitar la variable Persona con ingreso integral y condición crónica. Digite Cero si no tiene.",IF(AY50&gt;$E50,"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50" s="434" t="e">
        <f t="shared" si="39"/>
        <v>#VALUE!</v>
      </c>
      <c r="CQ50" s="434">
        <f t="shared" si="40"/>
        <v>1</v>
      </c>
      <c r="CR50" s="434" t="e">
        <f t="shared" si="47"/>
        <v>#VALUE!</v>
      </c>
      <c r="CS50" s="434">
        <f t="shared" si="41"/>
        <v>1</v>
      </c>
      <c r="CT50" s="434">
        <f t="shared" si="42"/>
        <v>1</v>
      </c>
      <c r="CU50" s="434">
        <f t="shared" si="43"/>
        <v>1</v>
      </c>
      <c r="CV50" s="434">
        <f t="shared" si="44"/>
        <v>1</v>
      </c>
      <c r="CW50" s="434">
        <f t="shared" si="45"/>
        <v>1</v>
      </c>
    </row>
    <row r="51" spans="1:101" ht="15" customHeight="1" x14ac:dyDescent="0.25">
      <c r="A51" s="5812" t="s">
        <v>5705</v>
      </c>
      <c r="B51" s="7002" t="s">
        <v>4342</v>
      </c>
      <c r="C51" s="7003"/>
      <c r="D51" s="3525">
        <v>0</v>
      </c>
      <c r="E51" s="3526" t="s">
        <v>4567</v>
      </c>
      <c r="F51" s="3527" t="s">
        <v>4568</v>
      </c>
      <c r="G51" s="3480" t="s">
        <v>4569</v>
      </c>
      <c r="H51" s="3481" t="s">
        <v>4570</v>
      </c>
      <c r="I51" s="3482" t="s">
        <v>4571</v>
      </c>
      <c r="J51" s="3481" t="s">
        <v>4572</v>
      </c>
      <c r="K51" s="3483" t="s">
        <v>4573</v>
      </c>
      <c r="L51" s="3481" t="s">
        <v>4574</v>
      </c>
      <c r="M51" s="3482" t="s">
        <v>4575</v>
      </c>
      <c r="N51" s="3481" t="s">
        <v>4576</v>
      </c>
      <c r="O51" s="3482" t="s">
        <v>4577</v>
      </c>
      <c r="P51" s="3481" t="s">
        <v>4578</v>
      </c>
      <c r="Q51" s="3482" t="s">
        <v>4579</v>
      </c>
      <c r="R51" s="3481" t="s">
        <v>4580</v>
      </c>
      <c r="S51" s="3484" t="s">
        <v>4581</v>
      </c>
      <c r="T51" s="3481" t="s">
        <v>4582</v>
      </c>
      <c r="U51" s="3484" t="s">
        <v>4583</v>
      </c>
      <c r="V51" s="3481" t="s">
        <v>4584</v>
      </c>
      <c r="W51" s="3484" t="s">
        <v>4585</v>
      </c>
      <c r="X51" s="3481" t="s">
        <v>4586</v>
      </c>
      <c r="Y51" s="3484" t="s">
        <v>4587</v>
      </c>
      <c r="Z51" s="3481" t="s">
        <v>4588</v>
      </c>
      <c r="AA51" s="3484" t="s">
        <v>4589</v>
      </c>
      <c r="AB51" s="3481" t="s">
        <v>4590</v>
      </c>
      <c r="AC51" s="3484" t="s">
        <v>4591</v>
      </c>
      <c r="AD51" s="3528" t="s">
        <v>4592</v>
      </c>
      <c r="AE51" s="3484" t="s">
        <v>4593</v>
      </c>
      <c r="AF51" s="3529" t="s">
        <v>4594</v>
      </c>
      <c r="AG51" s="3484" t="s">
        <v>4595</v>
      </c>
      <c r="AH51" s="3481" t="s">
        <v>4596</v>
      </c>
      <c r="AI51" s="3484" t="s">
        <v>4597</v>
      </c>
      <c r="AJ51" s="3481" t="s">
        <v>4598</v>
      </c>
      <c r="AK51" s="3484" t="s">
        <v>4599</v>
      </c>
      <c r="AL51" s="3481" t="s">
        <v>4600</v>
      </c>
      <c r="AM51" s="3484" t="s">
        <v>4601</v>
      </c>
      <c r="AN51" s="3528" t="s">
        <v>4602</v>
      </c>
      <c r="AO51" s="3484" t="s">
        <v>4603</v>
      </c>
      <c r="AP51" s="3483" t="s">
        <v>4604</v>
      </c>
      <c r="AQ51" s="3530" t="s">
        <v>4605</v>
      </c>
      <c r="AR51" s="3489" t="s">
        <v>4606</v>
      </c>
      <c r="AS51" s="3492" t="s">
        <v>4934</v>
      </c>
      <c r="AT51" s="3492" t="s">
        <v>4935</v>
      </c>
      <c r="AU51" s="3492" t="s">
        <v>4936</v>
      </c>
      <c r="AV51" s="3492" t="s">
        <v>4937</v>
      </c>
      <c r="AW51" s="3492" t="s">
        <v>5234</v>
      </c>
      <c r="AX51" s="3492" t="s">
        <v>5235</v>
      </c>
      <c r="AY51" s="3482" t="s">
        <v>5236</v>
      </c>
      <c r="AZ51" t="e">
        <f t="shared" si="46"/>
        <v>#VALUE!</v>
      </c>
      <c r="CB51" s="433" t="e">
        <f t="shared" si="55"/>
        <v>#VALUE!</v>
      </c>
      <c r="CC51" s="433" t="str">
        <f t="shared" si="56"/>
        <v xml:space="preserve"> * La variable Gestante NO DEBEN ser mayor al Total de Mujeres. </v>
      </c>
      <c r="CD51" s="433" t="e">
        <f t="shared" si="57"/>
        <v>#VALUE!</v>
      </c>
      <c r="CE51" s="433" t="str">
        <f t="shared" si="58"/>
        <v xml:space="preserve"> * La variable Usuarios con Discapacidad No puede ser mayor al Total Ambos Sexos.</v>
      </c>
      <c r="CF51" s="433" t="str">
        <f t="shared" si="59"/>
        <v xml:space="preserve"> * La variable Usuarios con Discapacidad No puede ser mayor al Total Ambos Sexos.</v>
      </c>
      <c r="CG51" s="433" t="str">
        <f t="shared" si="60"/>
        <v xml:space="preserve"> * La variable Niños, niñas, adolescentes y jóvenes Mejor Niñez No puede ser mayor al Total Ambos Sexos.</v>
      </c>
      <c r="CH51" s="433" t="str">
        <f t="shared" si="61"/>
        <v xml:space="preserve"> * La variable Migrantes No puede ser mayor al Total Ambos Sexos.</v>
      </c>
      <c r="CI51" s="433" t="str">
        <f t="shared" si="62"/>
        <v xml:space="preserve"> * La variable Persona con ingreso integral y condición crónica no puede ser mayor al Total Ambos Sexos.</v>
      </c>
      <c r="CP51" s="434" t="e">
        <f t="shared" si="39"/>
        <v>#VALUE!</v>
      </c>
      <c r="CQ51" s="434">
        <f t="shared" si="40"/>
        <v>1</v>
      </c>
      <c r="CR51" s="434" t="e">
        <f t="shared" si="47"/>
        <v>#VALUE!</v>
      </c>
      <c r="CS51" s="434">
        <f t="shared" si="41"/>
        <v>1</v>
      </c>
      <c r="CT51" s="434">
        <f t="shared" si="42"/>
        <v>1</v>
      </c>
      <c r="CU51" s="434">
        <f t="shared" si="43"/>
        <v>1</v>
      </c>
      <c r="CV51" s="434">
        <f t="shared" si="44"/>
        <v>1</v>
      </c>
      <c r="CW51" s="434">
        <f t="shared" si="45"/>
        <v>1</v>
      </c>
    </row>
    <row r="52" spans="1:101" ht="15" customHeight="1" x14ac:dyDescent="0.25">
      <c r="A52" s="5812" t="s">
        <v>5706</v>
      </c>
      <c r="B52" s="7004"/>
      <c r="C52" s="7005"/>
      <c r="D52" s="3331" t="s">
        <v>1621</v>
      </c>
      <c r="E52" s="3440" t="s">
        <v>4567</v>
      </c>
      <c r="F52" s="3527" t="s">
        <v>4568</v>
      </c>
      <c r="G52" s="3480" t="s">
        <v>4569</v>
      </c>
      <c r="H52" s="3493" t="s">
        <v>4570</v>
      </c>
      <c r="I52" s="3499" t="s">
        <v>4571</v>
      </c>
      <c r="J52" s="3493" t="s">
        <v>4572</v>
      </c>
      <c r="K52" s="3502" t="s">
        <v>4573</v>
      </c>
      <c r="L52" s="3493" t="s">
        <v>4574</v>
      </c>
      <c r="M52" s="3499" t="s">
        <v>4575</v>
      </c>
      <c r="N52" s="3493" t="s">
        <v>4576</v>
      </c>
      <c r="O52" s="3499" t="s">
        <v>4577</v>
      </c>
      <c r="P52" s="3493" t="s">
        <v>4578</v>
      </c>
      <c r="Q52" s="3499" t="s">
        <v>4579</v>
      </c>
      <c r="R52" s="3493" t="s">
        <v>4580</v>
      </c>
      <c r="S52" s="3494" t="s">
        <v>4581</v>
      </c>
      <c r="T52" s="3493" t="s">
        <v>4582</v>
      </c>
      <c r="U52" s="3494" t="s">
        <v>4583</v>
      </c>
      <c r="V52" s="3493" t="s">
        <v>4584</v>
      </c>
      <c r="W52" s="3494" t="s">
        <v>4585</v>
      </c>
      <c r="X52" s="3493" t="s">
        <v>4586</v>
      </c>
      <c r="Y52" s="3494" t="s">
        <v>4587</v>
      </c>
      <c r="Z52" s="3493" t="s">
        <v>4588</v>
      </c>
      <c r="AA52" s="3494" t="s">
        <v>4589</v>
      </c>
      <c r="AB52" s="3493" t="s">
        <v>4590</v>
      </c>
      <c r="AC52" s="3494" t="s">
        <v>4591</v>
      </c>
      <c r="AD52" s="3531" t="s">
        <v>4592</v>
      </c>
      <c r="AE52" s="3494" t="s">
        <v>4593</v>
      </c>
      <c r="AF52" s="3495" t="s">
        <v>4594</v>
      </c>
      <c r="AG52" s="3494" t="s">
        <v>4595</v>
      </c>
      <c r="AH52" s="3493" t="s">
        <v>4596</v>
      </c>
      <c r="AI52" s="3494" t="s">
        <v>4597</v>
      </c>
      <c r="AJ52" s="3493" t="s">
        <v>4598</v>
      </c>
      <c r="AK52" s="3494" t="s">
        <v>4599</v>
      </c>
      <c r="AL52" s="3493" t="s">
        <v>4600</v>
      </c>
      <c r="AM52" s="3494" t="s">
        <v>4601</v>
      </c>
      <c r="AN52" s="3531" t="s">
        <v>4602</v>
      </c>
      <c r="AO52" s="3494" t="s">
        <v>4603</v>
      </c>
      <c r="AP52" s="3502" t="s">
        <v>4604</v>
      </c>
      <c r="AQ52" s="3497" t="s">
        <v>4605</v>
      </c>
      <c r="AR52" s="3498" t="s">
        <v>4606</v>
      </c>
      <c r="AS52" s="3490" t="s">
        <v>4934</v>
      </c>
      <c r="AT52" s="3490" t="s">
        <v>4935</v>
      </c>
      <c r="AU52" s="3490" t="s">
        <v>4936</v>
      </c>
      <c r="AV52" s="3490" t="s">
        <v>4937</v>
      </c>
      <c r="AW52" s="3490" t="s">
        <v>5234</v>
      </c>
      <c r="AX52" s="3490" t="s">
        <v>5235</v>
      </c>
      <c r="AY52" s="3499" t="s">
        <v>5236</v>
      </c>
      <c r="AZ52" t="e">
        <f t="shared" si="46"/>
        <v>#VALUE!</v>
      </c>
      <c r="CB52" s="433" t="e">
        <f t="shared" si="55"/>
        <v>#VALUE!</v>
      </c>
      <c r="CC52" s="433" t="str">
        <f t="shared" si="56"/>
        <v xml:space="preserve"> * La variable Gestante NO DEBEN ser mayor al Total de Mujeres. </v>
      </c>
      <c r="CD52" s="433" t="e">
        <f t="shared" si="57"/>
        <v>#VALUE!</v>
      </c>
      <c r="CE52" s="433" t="str">
        <f t="shared" si="58"/>
        <v xml:space="preserve"> * La variable Usuarios con Discapacidad No puede ser mayor al Total Ambos Sexos.</v>
      </c>
      <c r="CF52" s="433" t="str">
        <f t="shared" si="59"/>
        <v xml:space="preserve"> * La variable Usuarios con Discapacidad No puede ser mayor al Total Ambos Sexos.</v>
      </c>
      <c r="CG52" s="433" t="str">
        <f t="shared" si="60"/>
        <v xml:space="preserve"> * La variable Niños, niñas, adolescentes y jóvenes Mejor Niñez No puede ser mayor al Total Ambos Sexos.</v>
      </c>
      <c r="CH52" s="433" t="str">
        <f t="shared" si="61"/>
        <v xml:space="preserve"> * La variable Migrantes No puede ser mayor al Total Ambos Sexos.</v>
      </c>
      <c r="CI52" s="433" t="str">
        <f t="shared" si="62"/>
        <v xml:space="preserve"> * La variable Persona con ingreso integral y condición crónica no puede ser mayor al Total Ambos Sexos.</v>
      </c>
      <c r="CP52" s="434" t="e">
        <f t="shared" si="39"/>
        <v>#VALUE!</v>
      </c>
      <c r="CQ52" s="434">
        <f t="shared" si="40"/>
        <v>1</v>
      </c>
      <c r="CR52" s="434" t="e">
        <f t="shared" si="47"/>
        <v>#VALUE!</v>
      </c>
      <c r="CS52" s="434">
        <f t="shared" si="41"/>
        <v>1</v>
      </c>
      <c r="CT52" s="434">
        <f t="shared" si="42"/>
        <v>1</v>
      </c>
      <c r="CU52" s="434">
        <f t="shared" si="43"/>
        <v>1</v>
      </c>
      <c r="CV52" s="434">
        <f t="shared" si="44"/>
        <v>1</v>
      </c>
      <c r="CW52" s="434">
        <f t="shared" si="45"/>
        <v>1</v>
      </c>
    </row>
    <row r="53" spans="1:101" ht="15" customHeight="1" x14ac:dyDescent="0.25">
      <c r="A53" s="5812" t="s">
        <v>5707</v>
      </c>
      <c r="B53" s="7004"/>
      <c r="C53" s="7005"/>
      <c r="D53" s="3331" t="s">
        <v>1622</v>
      </c>
      <c r="E53" s="3440" t="s">
        <v>4567</v>
      </c>
      <c r="F53" s="3527" t="s">
        <v>4568</v>
      </c>
      <c r="G53" s="3480" t="s">
        <v>4569</v>
      </c>
      <c r="H53" s="3493" t="s">
        <v>4570</v>
      </c>
      <c r="I53" s="3499" t="s">
        <v>4571</v>
      </c>
      <c r="J53" s="3493" t="s">
        <v>4572</v>
      </c>
      <c r="K53" s="3502" t="s">
        <v>4573</v>
      </c>
      <c r="L53" s="3493" t="s">
        <v>4574</v>
      </c>
      <c r="M53" s="3499" t="s">
        <v>4575</v>
      </c>
      <c r="N53" s="3493" t="s">
        <v>4576</v>
      </c>
      <c r="O53" s="3499" t="s">
        <v>4577</v>
      </c>
      <c r="P53" s="3493" t="s">
        <v>4578</v>
      </c>
      <c r="Q53" s="3499" t="s">
        <v>4579</v>
      </c>
      <c r="R53" s="3493" t="s">
        <v>4580</v>
      </c>
      <c r="S53" s="3494" t="s">
        <v>4581</v>
      </c>
      <c r="T53" s="3493" t="s">
        <v>4582</v>
      </c>
      <c r="U53" s="3494" t="s">
        <v>4583</v>
      </c>
      <c r="V53" s="3493" t="s">
        <v>4584</v>
      </c>
      <c r="W53" s="3494" t="s">
        <v>4585</v>
      </c>
      <c r="X53" s="3493" t="s">
        <v>4586</v>
      </c>
      <c r="Y53" s="3494" t="s">
        <v>4587</v>
      </c>
      <c r="Z53" s="3493" t="s">
        <v>4588</v>
      </c>
      <c r="AA53" s="3494" t="s">
        <v>4589</v>
      </c>
      <c r="AB53" s="3493" t="s">
        <v>4590</v>
      </c>
      <c r="AC53" s="3494" t="s">
        <v>4591</v>
      </c>
      <c r="AD53" s="3531" t="s">
        <v>4592</v>
      </c>
      <c r="AE53" s="3494" t="s">
        <v>4593</v>
      </c>
      <c r="AF53" s="3495" t="s">
        <v>4594</v>
      </c>
      <c r="AG53" s="3494" t="s">
        <v>4595</v>
      </c>
      <c r="AH53" s="3493" t="s">
        <v>4596</v>
      </c>
      <c r="AI53" s="3494" t="s">
        <v>4597</v>
      </c>
      <c r="AJ53" s="3493" t="s">
        <v>4598</v>
      </c>
      <c r="AK53" s="3494" t="s">
        <v>4599</v>
      </c>
      <c r="AL53" s="3493" t="s">
        <v>4600</v>
      </c>
      <c r="AM53" s="3494" t="s">
        <v>4601</v>
      </c>
      <c r="AN53" s="3531" t="s">
        <v>4602</v>
      </c>
      <c r="AO53" s="3494" t="s">
        <v>4603</v>
      </c>
      <c r="AP53" s="3502" t="s">
        <v>4604</v>
      </c>
      <c r="AQ53" s="3497" t="s">
        <v>4605</v>
      </c>
      <c r="AR53" s="3498" t="s">
        <v>4606</v>
      </c>
      <c r="AS53" s="3490" t="s">
        <v>4934</v>
      </c>
      <c r="AT53" s="3490" t="s">
        <v>4935</v>
      </c>
      <c r="AU53" s="3490" t="s">
        <v>4936</v>
      </c>
      <c r="AV53" s="3490" t="s">
        <v>4937</v>
      </c>
      <c r="AW53" s="3490" t="s">
        <v>5234</v>
      </c>
      <c r="AX53" s="3490" t="s">
        <v>5235</v>
      </c>
      <c r="AY53" s="3499" t="s">
        <v>5236</v>
      </c>
      <c r="AZ53" t="e">
        <f t="shared" si="46"/>
        <v>#VALUE!</v>
      </c>
      <c r="CB53" s="433" t="e">
        <f t="shared" si="55"/>
        <v>#VALUE!</v>
      </c>
      <c r="CC53" s="433" t="str">
        <f t="shared" si="56"/>
        <v xml:space="preserve"> * La variable Gestante NO DEBEN ser mayor al Total de Mujeres. </v>
      </c>
      <c r="CD53" s="433" t="e">
        <f t="shared" si="57"/>
        <v>#VALUE!</v>
      </c>
      <c r="CE53" s="433" t="str">
        <f t="shared" si="58"/>
        <v xml:space="preserve"> * La variable Usuarios con Discapacidad No puede ser mayor al Total Ambos Sexos.</v>
      </c>
      <c r="CF53" s="433" t="str">
        <f t="shared" si="59"/>
        <v xml:space="preserve"> * La variable Usuarios con Discapacidad No puede ser mayor al Total Ambos Sexos.</v>
      </c>
      <c r="CG53" s="433" t="str">
        <f t="shared" si="60"/>
        <v xml:space="preserve"> * La variable Niños, niñas, adolescentes y jóvenes Mejor Niñez No puede ser mayor al Total Ambos Sexos.</v>
      </c>
      <c r="CH53" s="433" t="str">
        <f t="shared" si="61"/>
        <v xml:space="preserve"> * La variable Migrantes No puede ser mayor al Total Ambos Sexos.</v>
      </c>
      <c r="CI53" s="433" t="str">
        <f t="shared" si="62"/>
        <v xml:space="preserve"> * La variable Persona con ingreso integral y condición crónica no puede ser mayor al Total Ambos Sexos.</v>
      </c>
      <c r="CP53" s="434" t="e">
        <f t="shared" si="39"/>
        <v>#VALUE!</v>
      </c>
      <c r="CQ53" s="434">
        <f t="shared" si="40"/>
        <v>1</v>
      </c>
      <c r="CR53" s="434" t="e">
        <f t="shared" si="47"/>
        <v>#VALUE!</v>
      </c>
      <c r="CS53" s="434">
        <f t="shared" si="41"/>
        <v>1</v>
      </c>
      <c r="CT53" s="434">
        <f t="shared" si="42"/>
        <v>1</v>
      </c>
      <c r="CU53" s="434">
        <f t="shared" si="43"/>
        <v>1</v>
      </c>
      <c r="CV53" s="434">
        <f t="shared" si="44"/>
        <v>1</v>
      </c>
      <c r="CW53" s="434">
        <f t="shared" si="45"/>
        <v>1</v>
      </c>
    </row>
    <row r="54" spans="1:101" ht="15" customHeight="1" x14ac:dyDescent="0.25">
      <c r="A54" s="5812" t="s">
        <v>5708</v>
      </c>
      <c r="B54" s="7004"/>
      <c r="C54" s="7005"/>
      <c r="D54" s="3331" t="s">
        <v>1623</v>
      </c>
      <c r="E54" s="3440" t="s">
        <v>4567</v>
      </c>
      <c r="F54" s="3527" t="s">
        <v>4568</v>
      </c>
      <c r="G54" s="3480" t="s">
        <v>4569</v>
      </c>
      <c r="H54" s="3493" t="s">
        <v>4570</v>
      </c>
      <c r="I54" s="3499" t="s">
        <v>4571</v>
      </c>
      <c r="J54" s="3493" t="s">
        <v>4572</v>
      </c>
      <c r="K54" s="3502" t="s">
        <v>4573</v>
      </c>
      <c r="L54" s="3493" t="s">
        <v>4574</v>
      </c>
      <c r="M54" s="3499" t="s">
        <v>4575</v>
      </c>
      <c r="N54" s="3493" t="s">
        <v>4576</v>
      </c>
      <c r="O54" s="3499" t="s">
        <v>4577</v>
      </c>
      <c r="P54" s="3493" t="s">
        <v>4578</v>
      </c>
      <c r="Q54" s="3499" t="s">
        <v>4579</v>
      </c>
      <c r="R54" s="3493" t="s">
        <v>4580</v>
      </c>
      <c r="S54" s="3494" t="s">
        <v>4581</v>
      </c>
      <c r="T54" s="3493" t="s">
        <v>4582</v>
      </c>
      <c r="U54" s="3494" t="s">
        <v>4583</v>
      </c>
      <c r="V54" s="3493" t="s">
        <v>4584</v>
      </c>
      <c r="W54" s="3494" t="s">
        <v>4585</v>
      </c>
      <c r="X54" s="3493" t="s">
        <v>4586</v>
      </c>
      <c r="Y54" s="3494" t="s">
        <v>4587</v>
      </c>
      <c r="Z54" s="3493" t="s">
        <v>4588</v>
      </c>
      <c r="AA54" s="3494" t="s">
        <v>4589</v>
      </c>
      <c r="AB54" s="3493" t="s">
        <v>4590</v>
      </c>
      <c r="AC54" s="3494" t="s">
        <v>4591</v>
      </c>
      <c r="AD54" s="3531" t="s">
        <v>4592</v>
      </c>
      <c r="AE54" s="3494" t="s">
        <v>4593</v>
      </c>
      <c r="AF54" s="3495" t="s">
        <v>4594</v>
      </c>
      <c r="AG54" s="3494" t="s">
        <v>4595</v>
      </c>
      <c r="AH54" s="3493" t="s">
        <v>4596</v>
      </c>
      <c r="AI54" s="3494" t="s">
        <v>4597</v>
      </c>
      <c r="AJ54" s="3493" t="s">
        <v>4598</v>
      </c>
      <c r="AK54" s="3494" t="s">
        <v>4599</v>
      </c>
      <c r="AL54" s="3493" t="s">
        <v>4600</v>
      </c>
      <c r="AM54" s="3494" t="s">
        <v>4601</v>
      </c>
      <c r="AN54" s="3531" t="s">
        <v>4602</v>
      </c>
      <c r="AO54" s="3494" t="s">
        <v>4603</v>
      </c>
      <c r="AP54" s="3502" t="s">
        <v>4604</v>
      </c>
      <c r="AQ54" s="3497" t="s">
        <v>4605</v>
      </c>
      <c r="AR54" s="3498" t="s">
        <v>4606</v>
      </c>
      <c r="AS54" s="3490" t="s">
        <v>4934</v>
      </c>
      <c r="AT54" s="3490" t="s">
        <v>4935</v>
      </c>
      <c r="AU54" s="3490" t="s">
        <v>4936</v>
      </c>
      <c r="AV54" s="3490" t="s">
        <v>4937</v>
      </c>
      <c r="AW54" s="3490" t="s">
        <v>5234</v>
      </c>
      <c r="AX54" s="3490" t="s">
        <v>5235</v>
      </c>
      <c r="AY54" s="3499" t="s">
        <v>5236</v>
      </c>
      <c r="AZ54" t="e">
        <f t="shared" si="46"/>
        <v>#VALUE!</v>
      </c>
      <c r="CB54" s="433" t="e">
        <f t="shared" si="55"/>
        <v>#VALUE!</v>
      </c>
      <c r="CC54" s="433" t="str">
        <f t="shared" si="56"/>
        <v xml:space="preserve"> * La variable Gestante NO DEBEN ser mayor al Total de Mujeres. </v>
      </c>
      <c r="CD54" s="433" t="e">
        <f t="shared" si="57"/>
        <v>#VALUE!</v>
      </c>
      <c r="CE54" s="433" t="str">
        <f t="shared" si="58"/>
        <v xml:space="preserve"> * La variable Usuarios con Discapacidad No puede ser mayor al Total Ambos Sexos.</v>
      </c>
      <c r="CF54" s="433" t="str">
        <f t="shared" si="59"/>
        <v xml:space="preserve"> * La variable Usuarios con Discapacidad No puede ser mayor al Total Ambos Sexos.</v>
      </c>
      <c r="CG54" s="433" t="str">
        <f t="shared" si="60"/>
        <v xml:space="preserve"> * La variable Niños, niñas, adolescentes y jóvenes Mejor Niñez No puede ser mayor al Total Ambos Sexos.</v>
      </c>
      <c r="CH54" s="433" t="str">
        <f t="shared" si="61"/>
        <v xml:space="preserve"> * La variable Migrantes No puede ser mayor al Total Ambos Sexos.</v>
      </c>
      <c r="CI54" s="433" t="str">
        <f t="shared" si="62"/>
        <v xml:space="preserve"> * La variable Persona con ingreso integral y condición crónica no puede ser mayor al Total Ambos Sexos.</v>
      </c>
      <c r="CP54" s="434" t="e">
        <f t="shared" si="39"/>
        <v>#VALUE!</v>
      </c>
      <c r="CQ54" s="434">
        <f t="shared" si="40"/>
        <v>1</v>
      </c>
      <c r="CR54" s="434" t="e">
        <f t="shared" si="47"/>
        <v>#VALUE!</v>
      </c>
      <c r="CS54" s="434">
        <f t="shared" si="41"/>
        <v>1</v>
      </c>
      <c r="CT54" s="434">
        <f t="shared" si="42"/>
        <v>1</v>
      </c>
      <c r="CU54" s="434">
        <f t="shared" si="43"/>
        <v>1</v>
      </c>
      <c r="CV54" s="434">
        <f t="shared" si="44"/>
        <v>1</v>
      </c>
      <c r="CW54" s="434">
        <f t="shared" si="45"/>
        <v>1</v>
      </c>
    </row>
    <row r="55" spans="1:101" ht="15" customHeight="1" x14ac:dyDescent="0.25">
      <c r="A55" s="5812" t="s">
        <v>5709</v>
      </c>
      <c r="B55" s="7004"/>
      <c r="C55" s="7005"/>
      <c r="D55" s="3532" t="s">
        <v>1624</v>
      </c>
      <c r="E55" s="3533" t="s">
        <v>4567</v>
      </c>
      <c r="F55" s="3527" t="s">
        <v>4568</v>
      </c>
      <c r="G55" s="3480" t="s">
        <v>4569</v>
      </c>
      <c r="H55" s="3493" t="s">
        <v>4570</v>
      </c>
      <c r="I55" s="3499" t="s">
        <v>4571</v>
      </c>
      <c r="J55" s="3493" t="s">
        <v>4572</v>
      </c>
      <c r="K55" s="3502" t="s">
        <v>4573</v>
      </c>
      <c r="L55" s="3534" t="s">
        <v>4574</v>
      </c>
      <c r="M55" s="3535" t="s">
        <v>4575</v>
      </c>
      <c r="N55" s="3534" t="s">
        <v>4576</v>
      </c>
      <c r="O55" s="3535" t="s">
        <v>4577</v>
      </c>
      <c r="P55" s="3534" t="s">
        <v>4578</v>
      </c>
      <c r="Q55" s="3535" t="s">
        <v>4579</v>
      </c>
      <c r="R55" s="3534" t="s">
        <v>4580</v>
      </c>
      <c r="S55" s="3537" t="s">
        <v>4581</v>
      </c>
      <c r="T55" s="3534" t="s">
        <v>4582</v>
      </c>
      <c r="U55" s="3537" t="s">
        <v>4583</v>
      </c>
      <c r="V55" s="3534" t="s">
        <v>4584</v>
      </c>
      <c r="W55" s="3537" t="s">
        <v>4585</v>
      </c>
      <c r="X55" s="3534" t="s">
        <v>4586</v>
      </c>
      <c r="Y55" s="3537" t="s">
        <v>4587</v>
      </c>
      <c r="Z55" s="3534" t="s">
        <v>4588</v>
      </c>
      <c r="AA55" s="3537" t="s">
        <v>4589</v>
      </c>
      <c r="AB55" s="3534" t="s">
        <v>4590</v>
      </c>
      <c r="AC55" s="3537" t="s">
        <v>4591</v>
      </c>
      <c r="AD55" s="3538" t="s">
        <v>4592</v>
      </c>
      <c r="AE55" s="3537" t="s">
        <v>4593</v>
      </c>
      <c r="AF55" s="3539" t="s">
        <v>4594</v>
      </c>
      <c r="AG55" s="3537" t="s">
        <v>4595</v>
      </c>
      <c r="AH55" s="3534" t="s">
        <v>4596</v>
      </c>
      <c r="AI55" s="3537" t="s">
        <v>4597</v>
      </c>
      <c r="AJ55" s="3534" t="s">
        <v>4598</v>
      </c>
      <c r="AK55" s="3537" t="s">
        <v>4599</v>
      </c>
      <c r="AL55" s="3534" t="s">
        <v>4600</v>
      </c>
      <c r="AM55" s="3537" t="s">
        <v>4601</v>
      </c>
      <c r="AN55" s="3538" t="s">
        <v>4602</v>
      </c>
      <c r="AO55" s="3537" t="s">
        <v>4603</v>
      </c>
      <c r="AP55" s="3536" t="s">
        <v>4604</v>
      </c>
      <c r="AQ55" s="3540" t="s">
        <v>4605</v>
      </c>
      <c r="AR55" s="3541" t="s">
        <v>4606</v>
      </c>
      <c r="AS55" s="3542" t="s">
        <v>4934</v>
      </c>
      <c r="AT55" s="3542" t="s">
        <v>4935</v>
      </c>
      <c r="AU55" s="3542" t="s">
        <v>4936</v>
      </c>
      <c r="AV55" s="3542" t="s">
        <v>4937</v>
      </c>
      <c r="AW55" s="3542" t="s">
        <v>5234</v>
      </c>
      <c r="AX55" s="3542" t="s">
        <v>5235</v>
      </c>
      <c r="AY55" s="3535" t="s">
        <v>5236</v>
      </c>
      <c r="AZ55" t="e">
        <f t="shared" si="46"/>
        <v>#VALUE!</v>
      </c>
      <c r="CB55" s="433" t="e">
        <f t="shared" si="55"/>
        <v>#VALUE!</v>
      </c>
      <c r="CC55" s="433" t="str">
        <f t="shared" si="56"/>
        <v xml:space="preserve"> * La variable Gestante NO DEBEN ser mayor al Total de Mujeres. </v>
      </c>
      <c r="CD55" s="433" t="e">
        <f t="shared" si="57"/>
        <v>#VALUE!</v>
      </c>
      <c r="CE55" s="433" t="str">
        <f t="shared" si="58"/>
        <v xml:space="preserve"> * La variable Usuarios con Discapacidad No puede ser mayor al Total Ambos Sexos.</v>
      </c>
      <c r="CF55" s="433" t="str">
        <f t="shared" si="59"/>
        <v xml:space="preserve"> * La variable Usuarios con Discapacidad No puede ser mayor al Total Ambos Sexos.</v>
      </c>
      <c r="CG55" s="433" t="str">
        <f t="shared" si="60"/>
        <v xml:space="preserve"> * La variable Niños, niñas, adolescentes y jóvenes Mejor Niñez No puede ser mayor al Total Ambos Sexos.</v>
      </c>
      <c r="CH55" s="433" t="str">
        <f t="shared" si="61"/>
        <v xml:space="preserve"> * La variable Migrantes No puede ser mayor al Total Ambos Sexos.</v>
      </c>
      <c r="CI55" s="433" t="str">
        <f t="shared" si="62"/>
        <v xml:space="preserve"> * La variable Persona con ingreso integral y condición crónica no puede ser mayor al Total Ambos Sexos.</v>
      </c>
      <c r="CP55" s="434" t="e">
        <f t="shared" si="39"/>
        <v>#VALUE!</v>
      </c>
      <c r="CQ55" s="434">
        <f t="shared" si="40"/>
        <v>1</v>
      </c>
      <c r="CR55" s="434" t="e">
        <f t="shared" si="47"/>
        <v>#VALUE!</v>
      </c>
      <c r="CS55" s="434">
        <f t="shared" si="41"/>
        <v>1</v>
      </c>
      <c r="CT55" s="434">
        <f t="shared" si="42"/>
        <v>1</v>
      </c>
      <c r="CU55" s="434">
        <f t="shared" si="43"/>
        <v>1</v>
      </c>
      <c r="CV55" s="434">
        <f t="shared" si="44"/>
        <v>1</v>
      </c>
      <c r="CW55" s="434">
        <f t="shared" si="45"/>
        <v>1</v>
      </c>
    </row>
    <row r="56" spans="1:101" ht="15" customHeight="1" x14ac:dyDescent="0.25">
      <c r="A56" s="5812" t="s">
        <v>5710</v>
      </c>
      <c r="B56" s="7004"/>
      <c r="C56" s="7005"/>
      <c r="D56" s="3532" t="s">
        <v>1625</v>
      </c>
      <c r="E56" s="3503" t="s">
        <v>4567</v>
      </c>
      <c r="F56" s="3543" t="s">
        <v>4568</v>
      </c>
      <c r="G56" s="2906" t="s">
        <v>4569</v>
      </c>
      <c r="H56" s="5472" t="s">
        <v>4570</v>
      </c>
      <c r="I56" s="5474" t="s">
        <v>4571</v>
      </c>
      <c r="J56" s="5472" t="s">
        <v>4572</v>
      </c>
      <c r="K56" s="5474" t="s">
        <v>4573</v>
      </c>
      <c r="L56" s="3504" t="s">
        <v>4574</v>
      </c>
      <c r="M56" s="3544" t="s">
        <v>4575</v>
      </c>
      <c r="N56" s="3504" t="s">
        <v>4576</v>
      </c>
      <c r="O56" s="3544" t="s">
        <v>4577</v>
      </c>
      <c r="P56" s="3504" t="s">
        <v>4578</v>
      </c>
      <c r="Q56" s="3544" t="s">
        <v>4579</v>
      </c>
      <c r="R56" s="3504" t="s">
        <v>4580</v>
      </c>
      <c r="S56" s="3546" t="s">
        <v>4581</v>
      </c>
      <c r="T56" s="3504" t="s">
        <v>4582</v>
      </c>
      <c r="U56" s="3546" t="s">
        <v>4583</v>
      </c>
      <c r="V56" s="3504" t="s">
        <v>4584</v>
      </c>
      <c r="W56" s="3546" t="s">
        <v>4585</v>
      </c>
      <c r="X56" s="3504" t="s">
        <v>4586</v>
      </c>
      <c r="Y56" s="3546" t="s">
        <v>4587</v>
      </c>
      <c r="Z56" s="3504" t="s">
        <v>4588</v>
      </c>
      <c r="AA56" s="3546" t="s">
        <v>4589</v>
      </c>
      <c r="AB56" s="3504" t="s">
        <v>4590</v>
      </c>
      <c r="AC56" s="3546" t="s">
        <v>4591</v>
      </c>
      <c r="AD56" s="3547" t="s">
        <v>4592</v>
      </c>
      <c r="AE56" s="3546" t="s">
        <v>4593</v>
      </c>
      <c r="AF56" s="3548" t="s">
        <v>4594</v>
      </c>
      <c r="AG56" s="3546" t="s">
        <v>4595</v>
      </c>
      <c r="AH56" s="3504" t="s">
        <v>4596</v>
      </c>
      <c r="AI56" s="3546" t="s">
        <v>4597</v>
      </c>
      <c r="AJ56" s="3504" t="s">
        <v>4598</v>
      </c>
      <c r="AK56" s="3546" t="s">
        <v>4599</v>
      </c>
      <c r="AL56" s="3504" t="s">
        <v>4600</v>
      </c>
      <c r="AM56" s="3546" t="s">
        <v>4601</v>
      </c>
      <c r="AN56" s="3547" t="s">
        <v>4602</v>
      </c>
      <c r="AO56" s="3546" t="s">
        <v>4603</v>
      </c>
      <c r="AP56" s="3545" t="s">
        <v>4604</v>
      </c>
      <c r="AQ56" s="3549" t="s">
        <v>4605</v>
      </c>
      <c r="AR56" s="3550" t="s">
        <v>4606</v>
      </c>
      <c r="AS56" s="3551" t="s">
        <v>4934</v>
      </c>
      <c r="AT56" s="3551" t="s">
        <v>4935</v>
      </c>
      <c r="AU56" s="3551" t="s">
        <v>4936</v>
      </c>
      <c r="AV56" s="3551" t="s">
        <v>4937</v>
      </c>
      <c r="AW56" s="3551" t="s">
        <v>5234</v>
      </c>
      <c r="AX56" s="3551" t="s">
        <v>5235</v>
      </c>
      <c r="AY56" s="3544" t="s">
        <v>5236</v>
      </c>
      <c r="AZ56" t="e">
        <f>CB56&amp;CC56&amp;CD56&amp;CE56&amp;CF56&amp;CG56&amp;CH56&amp;CI56</f>
        <v>#VALUE!</v>
      </c>
      <c r="CB56" s="433" t="e">
        <f t="shared" si="55"/>
        <v>#VALUE!</v>
      </c>
      <c r="CC56" s="433" t="str">
        <f t="shared" si="56"/>
        <v xml:space="preserve"> * La variable Gestante NO DEBEN ser mayor al Total de Mujeres. </v>
      </c>
      <c r="CD56" s="433" t="e">
        <f t="shared" si="57"/>
        <v>#VALUE!</v>
      </c>
      <c r="CE56" s="433" t="str">
        <f t="shared" si="58"/>
        <v xml:space="preserve"> * La variable Usuarios con Discapacidad No puede ser mayor al Total Ambos Sexos.</v>
      </c>
      <c r="CF56" s="433" t="str">
        <f t="shared" si="59"/>
        <v xml:space="preserve"> * La variable Usuarios con Discapacidad No puede ser mayor al Total Ambos Sexos.</v>
      </c>
      <c r="CG56" s="433" t="str">
        <f t="shared" si="60"/>
        <v xml:space="preserve"> * La variable Niños, niñas, adolescentes y jóvenes Mejor Niñez No puede ser mayor al Total Ambos Sexos.</v>
      </c>
      <c r="CH56" s="433" t="str">
        <f t="shared" si="61"/>
        <v xml:space="preserve"> * La variable Migrantes No puede ser mayor al Total Ambos Sexos.</v>
      </c>
      <c r="CI56" s="433" t="str">
        <f t="shared" si="62"/>
        <v xml:space="preserve"> * La variable Persona con ingreso integral y condición crónica no puede ser mayor al Total Ambos Sexos.</v>
      </c>
      <c r="CP56" s="434" t="e">
        <f t="shared" si="39"/>
        <v>#VALUE!</v>
      </c>
      <c r="CQ56" s="434">
        <f t="shared" si="40"/>
        <v>1</v>
      </c>
      <c r="CR56" s="434" t="e">
        <f t="shared" si="47"/>
        <v>#VALUE!</v>
      </c>
      <c r="CS56" s="434">
        <f t="shared" si="41"/>
        <v>1</v>
      </c>
      <c r="CT56" s="434">
        <f t="shared" si="42"/>
        <v>1</v>
      </c>
      <c r="CU56" s="434">
        <f t="shared" si="43"/>
        <v>1</v>
      </c>
      <c r="CV56" s="434">
        <f t="shared" si="44"/>
        <v>1</v>
      </c>
      <c r="CW56" s="434">
        <f t="shared" si="45"/>
        <v>1</v>
      </c>
    </row>
    <row r="57" spans="1:101" ht="15" customHeight="1" x14ac:dyDescent="0.25">
      <c r="A57" s="5616"/>
      <c r="B57" s="6928" t="s">
        <v>77</v>
      </c>
      <c r="C57" s="6928"/>
      <c r="D57" s="6928"/>
      <c r="E57" s="3514">
        <f>SUM(E51:E56)</f>
        <v>0</v>
      </c>
      <c r="F57" s="3552">
        <f>SUM(F51:F56)</f>
        <v>0</v>
      </c>
      <c r="G57" s="3515">
        <f>SUM(G51:G56)</f>
        <v>0</v>
      </c>
      <c r="H57" s="3514">
        <f>SUM(H51:H56)</f>
        <v>0</v>
      </c>
      <c r="I57" s="3552">
        <f t="shared" ref="I57:AX57" si="63">SUM(I51:I56)</f>
        <v>0</v>
      </c>
      <c r="J57" s="3514">
        <f t="shared" si="63"/>
        <v>0</v>
      </c>
      <c r="K57" s="3552">
        <f t="shared" si="63"/>
        <v>0</v>
      </c>
      <c r="L57" s="3514">
        <f t="shared" si="63"/>
        <v>0</v>
      </c>
      <c r="M57" s="3552">
        <f t="shared" si="63"/>
        <v>0</v>
      </c>
      <c r="N57" s="3514">
        <f t="shared" si="63"/>
        <v>0</v>
      </c>
      <c r="O57" s="3552">
        <f t="shared" si="63"/>
        <v>0</v>
      </c>
      <c r="P57" s="3514">
        <f t="shared" si="63"/>
        <v>0</v>
      </c>
      <c r="Q57" s="3552">
        <f t="shared" si="63"/>
        <v>0</v>
      </c>
      <c r="R57" s="3514">
        <f t="shared" si="63"/>
        <v>0</v>
      </c>
      <c r="S57" s="3552">
        <f t="shared" si="63"/>
        <v>0</v>
      </c>
      <c r="T57" s="3514">
        <f t="shared" si="63"/>
        <v>0</v>
      </c>
      <c r="U57" s="3552">
        <f t="shared" si="63"/>
        <v>0</v>
      </c>
      <c r="V57" s="3514">
        <f t="shared" si="63"/>
        <v>0</v>
      </c>
      <c r="W57" s="3552">
        <f t="shared" si="63"/>
        <v>0</v>
      </c>
      <c r="X57" s="3514">
        <f t="shared" si="63"/>
        <v>0</v>
      </c>
      <c r="Y57" s="3552">
        <f t="shared" si="63"/>
        <v>0</v>
      </c>
      <c r="Z57" s="3514">
        <f>SUM(Z51:Z56)</f>
        <v>0</v>
      </c>
      <c r="AA57" s="3552">
        <f>SUM(AA51:AA56)</f>
        <v>0</v>
      </c>
      <c r="AB57" s="3514">
        <f t="shared" si="63"/>
        <v>0</v>
      </c>
      <c r="AC57" s="3552">
        <f t="shared" si="63"/>
        <v>0</v>
      </c>
      <c r="AD57" s="3514">
        <f t="shared" si="63"/>
        <v>0</v>
      </c>
      <c r="AE57" s="3552">
        <f t="shared" si="63"/>
        <v>0</v>
      </c>
      <c r="AF57" s="3514">
        <f t="shared" si="63"/>
        <v>0</v>
      </c>
      <c r="AG57" s="3552">
        <f t="shared" si="63"/>
        <v>0</v>
      </c>
      <c r="AH57" s="3514">
        <f t="shared" si="63"/>
        <v>0</v>
      </c>
      <c r="AI57" s="3552">
        <f t="shared" si="63"/>
        <v>0</v>
      </c>
      <c r="AJ57" s="3514">
        <f t="shared" si="63"/>
        <v>0</v>
      </c>
      <c r="AK57" s="3552">
        <f t="shared" si="63"/>
        <v>0</v>
      </c>
      <c r="AL57" s="3514">
        <f t="shared" si="63"/>
        <v>0</v>
      </c>
      <c r="AM57" s="3552">
        <f t="shared" si="63"/>
        <v>0</v>
      </c>
      <c r="AN57" s="3514">
        <f t="shared" si="63"/>
        <v>0</v>
      </c>
      <c r="AO57" s="3552">
        <f t="shared" si="63"/>
        <v>0</v>
      </c>
      <c r="AP57" s="3514">
        <f t="shared" si="63"/>
        <v>0</v>
      </c>
      <c r="AQ57" s="3553">
        <f t="shared" si="63"/>
        <v>0</v>
      </c>
      <c r="AR57" s="3554">
        <f t="shared" si="63"/>
        <v>0</v>
      </c>
      <c r="AS57" s="857">
        <f t="shared" si="63"/>
        <v>0</v>
      </c>
      <c r="AT57" s="857">
        <f t="shared" si="63"/>
        <v>0</v>
      </c>
      <c r="AU57" s="857">
        <f t="shared" si="63"/>
        <v>0</v>
      </c>
      <c r="AV57" s="857">
        <f t="shared" si="63"/>
        <v>0</v>
      </c>
      <c r="AW57" s="857">
        <f>SUM(AW51:AW56)</f>
        <v>0</v>
      </c>
      <c r="AX57" s="857">
        <f t="shared" si="63"/>
        <v>0</v>
      </c>
      <c r="AY57" s="3515">
        <f>SUM(AY51:AY56)</f>
        <v>0</v>
      </c>
      <c r="AZ57" t="str">
        <f t="shared" ref="AZ57:AZ66" si="64">CB57&amp;CC57&amp;CD57&amp;CE57&amp;CF57&amp;CG57&amp;CH57&amp;CI57</f>
        <v/>
      </c>
    </row>
    <row r="58" spans="1:101" ht="15" customHeight="1" x14ac:dyDescent="0.25">
      <c r="A58" s="5812" t="s">
        <v>5711</v>
      </c>
      <c r="B58" s="7004" t="s">
        <v>1626</v>
      </c>
      <c r="C58" s="7005"/>
      <c r="D58" s="3555">
        <v>0</v>
      </c>
      <c r="E58" s="3439" t="s">
        <v>4567</v>
      </c>
      <c r="F58" s="3556" t="s">
        <v>4568</v>
      </c>
      <c r="G58" s="3557" t="s">
        <v>4569</v>
      </c>
      <c r="H58" s="3471" t="s">
        <v>4570</v>
      </c>
      <c r="I58" s="3472" t="s">
        <v>4571</v>
      </c>
      <c r="J58" s="3471" t="s">
        <v>4572</v>
      </c>
      <c r="K58" s="3472" t="s">
        <v>4573</v>
      </c>
      <c r="L58" s="3471" t="s">
        <v>4574</v>
      </c>
      <c r="M58" s="3472" t="s">
        <v>4575</v>
      </c>
      <c r="N58" s="3471" t="s">
        <v>4576</v>
      </c>
      <c r="O58" s="3472" t="s">
        <v>4577</v>
      </c>
      <c r="P58" s="3471" t="s">
        <v>4578</v>
      </c>
      <c r="Q58" s="3472" t="s">
        <v>4579</v>
      </c>
      <c r="R58" s="3471" t="s">
        <v>4580</v>
      </c>
      <c r="S58" s="3472" t="s">
        <v>4581</v>
      </c>
      <c r="T58" s="3471" t="s">
        <v>4582</v>
      </c>
      <c r="U58" s="3472" t="s">
        <v>4583</v>
      </c>
      <c r="V58" s="3471" t="s">
        <v>4584</v>
      </c>
      <c r="W58" s="3472" t="s">
        <v>4585</v>
      </c>
      <c r="X58" s="3471" t="s">
        <v>4586</v>
      </c>
      <c r="Y58" s="3472" t="s">
        <v>4587</v>
      </c>
      <c r="Z58" s="3471" t="s">
        <v>4588</v>
      </c>
      <c r="AA58" s="3472" t="s">
        <v>4589</v>
      </c>
      <c r="AB58" s="3471" t="s">
        <v>4590</v>
      </c>
      <c r="AC58" s="3472" t="s">
        <v>4591</v>
      </c>
      <c r="AD58" s="3471" t="s">
        <v>4592</v>
      </c>
      <c r="AE58" s="3472" t="s">
        <v>4593</v>
      </c>
      <c r="AF58" s="3471" t="s">
        <v>4594</v>
      </c>
      <c r="AG58" s="3472" t="s">
        <v>4595</v>
      </c>
      <c r="AH58" s="3471" t="s">
        <v>4596</v>
      </c>
      <c r="AI58" s="3472" t="s">
        <v>4597</v>
      </c>
      <c r="AJ58" s="3471" t="s">
        <v>4598</v>
      </c>
      <c r="AK58" s="3472" t="s">
        <v>4599</v>
      </c>
      <c r="AL58" s="3471" t="s">
        <v>4600</v>
      </c>
      <c r="AM58" s="3472" t="s">
        <v>4601</v>
      </c>
      <c r="AN58" s="3471" t="s">
        <v>4602</v>
      </c>
      <c r="AO58" s="3472" t="s">
        <v>4603</v>
      </c>
      <c r="AP58" s="3471" t="s">
        <v>4604</v>
      </c>
      <c r="AQ58" s="3476" t="s">
        <v>4605</v>
      </c>
      <c r="AR58" s="3477" t="s">
        <v>4606</v>
      </c>
      <c r="AS58" s="3478" t="s">
        <v>4934</v>
      </c>
      <c r="AT58" s="3478" t="s">
        <v>4935</v>
      </c>
      <c r="AU58" s="3478" t="s">
        <v>4936</v>
      </c>
      <c r="AV58" s="3478" t="s">
        <v>4937</v>
      </c>
      <c r="AW58" s="3478" t="s">
        <v>5234</v>
      </c>
      <c r="AX58" s="3478" t="s">
        <v>5235</v>
      </c>
      <c r="AY58" s="3479" t="s">
        <v>5236</v>
      </c>
      <c r="AZ58" t="e">
        <f t="shared" si="64"/>
        <v>#VALUE!</v>
      </c>
      <c r="CB58" s="433" t="e">
        <f t="shared" ref="CB58:CB62" si="65">IF(AND((Z58+AA58)&gt;0,AR58="")," * No olvide digitar la variable 12 años (incluido en el grupo de 10-14 años). Digite Cero si no tiene.",IF(AR58&gt;(Z58+AA58),"* Las Consultas de 12 años (incluido en el grupo de 10-14 años) NO DEBEN ser mayor que el total de Consultas entre 10-14 años",""))</f>
        <v>#VALUE!</v>
      </c>
      <c r="CC58" s="433" t="str">
        <f t="shared" ref="CC58:CC62" si="66">IF(AND($G58&gt;0,AS58="")," * No olvide digitar la variable Gestante. Digite cero si no tiene.",IF(AS58&gt;$G58," * La variable Gestante NO DEBEN ser mayor al Total de Mujeres. ",""))</f>
        <v xml:space="preserve"> * La variable Gestante NO DEBEN ser mayor al Total de Mujeres. </v>
      </c>
      <c r="CD58" s="433" t="e">
        <f t="shared" ref="CD58:CD62" si="67">IF(AND((AL58+AM58)&gt;0,AT58="")," * No olvide digitar la variable 60 años (incluido en grupos de 60-64 años). Digite Cero si no tiene.",IF(AT58&gt;(AL58+AM58)," * La variable 60 años (incluido en grupos de 60-64 años) NO DEBE ser mayor que el Total de consultas del grupo 60-64 años",""))</f>
        <v>#VALUE!</v>
      </c>
      <c r="CE58" s="433" t="str">
        <f t="shared" ref="CE58:CE62" si="68">IF(AND(E58&gt;0,AU58="")," * No olvide digitar la variable Usuarios con Discapacidad. Digite Cero si no tiene.",IF(AU58&gt;E58," * La variable Usuarios con Discapacidad No puede ser mayor al Total Ambos Sexos.",""))</f>
        <v xml:space="preserve"> * La variable Usuarios con Discapacidad No puede ser mayor al Total Ambos Sexos.</v>
      </c>
      <c r="CF58" s="433" t="str">
        <f t="shared" ref="CF58:CF62" si="69">IF(AND(E58&gt;0,AV58="")," * No olvide digitar la variable Niños, niñas, adolescentes y jóvenes SENAME. Digite Cero si no tiene.",IF(AV58&gt;$E58," * La variable Usuarios con Discapacidad No puede ser mayor al Total Ambos Sexos.",""))</f>
        <v xml:space="preserve"> * La variable Usuarios con Discapacidad No puede ser mayor al Total Ambos Sexos.</v>
      </c>
      <c r="CG58" s="433" t="str">
        <f t="shared" ref="CG58:CG62" si="70">IF(AND($E58&gt;0,AW58="")," * No olvide digitar la variable Niños, niñas, adolescentes y jóvenes Mejor Niñez. Digite Cero si no tiene.",IF(AW58&gt;$E58,"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58" s="433" t="str">
        <f t="shared" ref="CH58:CH62" si="71">IF(AND($E58&gt;0,AX58="")," * No olvide digitar la variable Migrantes. Digite Cero si no tiene.",IF(AX58&gt;$E58," * La variable Migrantes No puede ser mayor al Total Ambos Sexos.",""))</f>
        <v xml:space="preserve"> * La variable Migrantes No puede ser mayor al Total Ambos Sexos.</v>
      </c>
      <c r="CI58" s="433" t="str">
        <f t="shared" ref="CI58:CI62" si="72">IF(AND($E58&gt;0,AY58="")," * No olvide digitar la variable Persona con ingreso integral y condición crónica. Digite Cero si no tiene.",IF(AY58&gt;$E58,"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58" s="434" t="e">
        <f>IF(AND((Z58+AA58)&gt;0,AR58=""),1,IF(AR58&gt;(Z58+AA58),1,0))</f>
        <v>#VALUE!</v>
      </c>
      <c r="CQ58" s="434">
        <f>IF(AND($G58&gt;0,AS58=""),1,IF(AS58&gt;$G58,1,0))</f>
        <v>1</v>
      </c>
      <c r="CR58" s="434" t="e">
        <f>IF(AND((AL58+AM58)&gt;0,AT58=""),1,IF(AT58&gt;(AL58+AM58),1,0))</f>
        <v>#VALUE!</v>
      </c>
      <c r="CS58" s="434">
        <f t="shared" ref="CS58:CV62" si="73">IF(AND($E58&gt;0,AU58=""),1,IF(AU58&gt;$E58,1,0))</f>
        <v>1</v>
      </c>
      <c r="CT58" s="434">
        <f t="shared" si="73"/>
        <v>1</v>
      </c>
      <c r="CU58" s="434">
        <f t="shared" si="73"/>
        <v>1</v>
      </c>
      <c r="CV58" s="434">
        <f t="shared" si="73"/>
        <v>1</v>
      </c>
      <c r="CW58" s="434">
        <f>IF(AND(E58&gt;0,AY58=""),1,IF(AY58&gt;E58,1,0))</f>
        <v>1</v>
      </c>
    </row>
    <row r="59" spans="1:101" ht="15" customHeight="1" x14ac:dyDescent="0.25">
      <c r="A59" s="5812" t="s">
        <v>5712</v>
      </c>
      <c r="B59" s="7004"/>
      <c r="C59" s="7005"/>
      <c r="D59" s="3331" t="s">
        <v>1627</v>
      </c>
      <c r="E59" s="3440" t="s">
        <v>4567</v>
      </c>
      <c r="F59" s="3558" t="s">
        <v>4568</v>
      </c>
      <c r="G59" s="3559" t="s">
        <v>4569</v>
      </c>
      <c r="H59" s="3493" t="s">
        <v>4570</v>
      </c>
      <c r="I59" s="3494" t="s">
        <v>4571</v>
      </c>
      <c r="J59" s="3493" t="s">
        <v>4572</v>
      </c>
      <c r="K59" s="3494" t="s">
        <v>4573</v>
      </c>
      <c r="L59" s="3493" t="s">
        <v>4574</v>
      </c>
      <c r="M59" s="3494" t="s">
        <v>4575</v>
      </c>
      <c r="N59" s="3493" t="s">
        <v>4576</v>
      </c>
      <c r="O59" s="3494" t="s">
        <v>4577</v>
      </c>
      <c r="P59" s="3493" t="s">
        <v>4578</v>
      </c>
      <c r="Q59" s="3494" t="s">
        <v>4579</v>
      </c>
      <c r="R59" s="3493" t="s">
        <v>4580</v>
      </c>
      <c r="S59" s="3494" t="s">
        <v>4581</v>
      </c>
      <c r="T59" s="3493" t="s">
        <v>4582</v>
      </c>
      <c r="U59" s="3494" t="s">
        <v>4583</v>
      </c>
      <c r="V59" s="3493" t="s">
        <v>4584</v>
      </c>
      <c r="W59" s="3494" t="s">
        <v>4585</v>
      </c>
      <c r="X59" s="3493" t="s">
        <v>4586</v>
      </c>
      <c r="Y59" s="3494" t="s">
        <v>4587</v>
      </c>
      <c r="Z59" s="3493" t="s">
        <v>4588</v>
      </c>
      <c r="AA59" s="3494" t="s">
        <v>4589</v>
      </c>
      <c r="AB59" s="3493" t="s">
        <v>4590</v>
      </c>
      <c r="AC59" s="3494" t="s">
        <v>4591</v>
      </c>
      <c r="AD59" s="3493" t="s">
        <v>4592</v>
      </c>
      <c r="AE59" s="3494" t="s">
        <v>4593</v>
      </c>
      <c r="AF59" s="3493" t="s">
        <v>4594</v>
      </c>
      <c r="AG59" s="3494" t="s">
        <v>4595</v>
      </c>
      <c r="AH59" s="3493" t="s">
        <v>4596</v>
      </c>
      <c r="AI59" s="3494" t="s">
        <v>4597</v>
      </c>
      <c r="AJ59" s="3493" t="s">
        <v>4598</v>
      </c>
      <c r="AK59" s="3494" t="s">
        <v>4599</v>
      </c>
      <c r="AL59" s="3493" t="s">
        <v>4600</v>
      </c>
      <c r="AM59" s="3494" t="s">
        <v>4601</v>
      </c>
      <c r="AN59" s="3493" t="s">
        <v>4602</v>
      </c>
      <c r="AO59" s="3494" t="s">
        <v>4603</v>
      </c>
      <c r="AP59" s="3493" t="s">
        <v>4604</v>
      </c>
      <c r="AQ59" s="3497" t="s">
        <v>4605</v>
      </c>
      <c r="AR59" s="3498" t="s">
        <v>4606</v>
      </c>
      <c r="AS59" s="3490" t="s">
        <v>4934</v>
      </c>
      <c r="AT59" s="3490" t="s">
        <v>4935</v>
      </c>
      <c r="AU59" s="3490" t="s">
        <v>4936</v>
      </c>
      <c r="AV59" s="3490" t="s">
        <v>4937</v>
      </c>
      <c r="AW59" s="3490" t="s">
        <v>5234</v>
      </c>
      <c r="AX59" s="3490" t="s">
        <v>5235</v>
      </c>
      <c r="AY59" s="3499" t="s">
        <v>5236</v>
      </c>
      <c r="AZ59" t="e">
        <f t="shared" si="64"/>
        <v>#VALUE!</v>
      </c>
      <c r="CB59" s="433" t="e">
        <f t="shared" si="65"/>
        <v>#VALUE!</v>
      </c>
      <c r="CC59" s="433" t="str">
        <f t="shared" si="66"/>
        <v xml:space="preserve"> * La variable Gestante NO DEBEN ser mayor al Total de Mujeres. </v>
      </c>
      <c r="CD59" s="433" t="e">
        <f t="shared" si="67"/>
        <v>#VALUE!</v>
      </c>
      <c r="CE59" s="433" t="str">
        <f t="shared" si="68"/>
        <v xml:space="preserve"> * La variable Usuarios con Discapacidad No puede ser mayor al Total Ambos Sexos.</v>
      </c>
      <c r="CF59" s="433" t="str">
        <f t="shared" si="69"/>
        <v xml:space="preserve"> * La variable Usuarios con Discapacidad No puede ser mayor al Total Ambos Sexos.</v>
      </c>
      <c r="CG59" s="433" t="str">
        <f t="shared" si="70"/>
        <v xml:space="preserve"> * La variable Niños, niñas, adolescentes y jóvenes Mejor Niñez No puede ser mayor al Total Ambos Sexos.</v>
      </c>
      <c r="CH59" s="433" t="str">
        <f t="shared" si="71"/>
        <v xml:space="preserve"> * La variable Migrantes No puede ser mayor al Total Ambos Sexos.</v>
      </c>
      <c r="CI59" s="433" t="str">
        <f t="shared" si="72"/>
        <v xml:space="preserve"> * La variable Persona con ingreso integral y condición crónica no puede ser mayor al Total Ambos Sexos.</v>
      </c>
      <c r="CP59" s="434" t="e">
        <f>IF(AND((Z59+AA59)&gt;0,AR59=""),1,IF(AR59&gt;(Z59+AA59),1,0))</f>
        <v>#VALUE!</v>
      </c>
      <c r="CQ59" s="434">
        <f>IF(AND($G59&gt;0,AS59=""),1,IF(AS59&gt;$G59,1,0))</f>
        <v>1</v>
      </c>
      <c r="CR59" s="434" t="e">
        <f>IF(AND((AL59+AM59)&gt;0,AT59=""),1,IF(AT59&gt;(AL59+AM59),1,0))</f>
        <v>#VALUE!</v>
      </c>
      <c r="CS59" s="434">
        <f t="shared" si="73"/>
        <v>1</v>
      </c>
      <c r="CT59" s="434">
        <f t="shared" si="73"/>
        <v>1</v>
      </c>
      <c r="CU59" s="434">
        <f t="shared" si="73"/>
        <v>1</v>
      </c>
      <c r="CV59" s="434">
        <f t="shared" si="73"/>
        <v>1</v>
      </c>
      <c r="CW59" s="434">
        <f>IF(AND(E59&gt;0,AY59=""),1,IF(AY59&gt;E59,1,0))</f>
        <v>1</v>
      </c>
    </row>
    <row r="60" spans="1:101" ht="15" customHeight="1" x14ac:dyDescent="0.25">
      <c r="A60" s="5812" t="s">
        <v>5713</v>
      </c>
      <c r="B60" s="7004"/>
      <c r="C60" s="7005"/>
      <c r="D60" s="3331" t="s">
        <v>1628</v>
      </c>
      <c r="E60" s="3440" t="s">
        <v>4567</v>
      </c>
      <c r="F60" s="3558" t="s">
        <v>4568</v>
      </c>
      <c r="G60" s="3559" t="s">
        <v>4569</v>
      </c>
      <c r="H60" s="5470" t="s">
        <v>4570</v>
      </c>
      <c r="I60" s="5471" t="s">
        <v>4571</v>
      </c>
      <c r="J60" s="3493" t="s">
        <v>4572</v>
      </c>
      <c r="K60" s="3494" t="s">
        <v>4573</v>
      </c>
      <c r="L60" s="3493" t="s">
        <v>4574</v>
      </c>
      <c r="M60" s="3494" t="s">
        <v>4575</v>
      </c>
      <c r="N60" s="3493" t="s">
        <v>4576</v>
      </c>
      <c r="O60" s="3494" t="s">
        <v>4577</v>
      </c>
      <c r="P60" s="3493" t="s">
        <v>4578</v>
      </c>
      <c r="Q60" s="3494" t="s">
        <v>4579</v>
      </c>
      <c r="R60" s="3493" t="s">
        <v>4580</v>
      </c>
      <c r="S60" s="3494" t="s">
        <v>4581</v>
      </c>
      <c r="T60" s="3493" t="s">
        <v>4582</v>
      </c>
      <c r="U60" s="3494" t="s">
        <v>4583</v>
      </c>
      <c r="V60" s="3493" t="s">
        <v>4584</v>
      </c>
      <c r="W60" s="3494" t="s">
        <v>4585</v>
      </c>
      <c r="X60" s="3493" t="s">
        <v>4586</v>
      </c>
      <c r="Y60" s="3494" t="s">
        <v>4587</v>
      </c>
      <c r="Z60" s="3493" t="s">
        <v>4588</v>
      </c>
      <c r="AA60" s="3494" t="s">
        <v>4589</v>
      </c>
      <c r="AB60" s="3493" t="s">
        <v>4590</v>
      </c>
      <c r="AC60" s="3494" t="s">
        <v>4591</v>
      </c>
      <c r="AD60" s="3493" t="s">
        <v>4592</v>
      </c>
      <c r="AE60" s="3494" t="s">
        <v>4593</v>
      </c>
      <c r="AF60" s="3493" t="s">
        <v>4594</v>
      </c>
      <c r="AG60" s="3494" t="s">
        <v>4595</v>
      </c>
      <c r="AH60" s="3493" t="s">
        <v>4596</v>
      </c>
      <c r="AI60" s="3494" t="s">
        <v>4597</v>
      </c>
      <c r="AJ60" s="3493" t="s">
        <v>4598</v>
      </c>
      <c r="AK60" s="3494" t="s">
        <v>4599</v>
      </c>
      <c r="AL60" s="3493" t="s">
        <v>4600</v>
      </c>
      <c r="AM60" s="3494" t="s">
        <v>4601</v>
      </c>
      <c r="AN60" s="3493" t="s">
        <v>4602</v>
      </c>
      <c r="AO60" s="3494" t="s">
        <v>4603</v>
      </c>
      <c r="AP60" s="3493" t="s">
        <v>4604</v>
      </c>
      <c r="AQ60" s="3497" t="s">
        <v>4605</v>
      </c>
      <c r="AR60" s="3498" t="s">
        <v>4606</v>
      </c>
      <c r="AS60" s="3490" t="s">
        <v>4934</v>
      </c>
      <c r="AT60" s="3490" t="s">
        <v>4935</v>
      </c>
      <c r="AU60" s="3490" t="s">
        <v>4936</v>
      </c>
      <c r="AV60" s="3490" t="s">
        <v>4937</v>
      </c>
      <c r="AW60" s="3490" t="s">
        <v>5234</v>
      </c>
      <c r="AX60" s="3490" t="s">
        <v>5235</v>
      </c>
      <c r="AY60" s="3499" t="s">
        <v>5236</v>
      </c>
      <c r="AZ60" t="e">
        <f t="shared" si="64"/>
        <v>#VALUE!</v>
      </c>
      <c r="CB60" s="433" t="e">
        <f t="shared" si="65"/>
        <v>#VALUE!</v>
      </c>
      <c r="CC60" s="433" t="str">
        <f t="shared" si="66"/>
        <v xml:space="preserve"> * La variable Gestante NO DEBEN ser mayor al Total de Mujeres. </v>
      </c>
      <c r="CD60" s="433" t="e">
        <f t="shared" si="67"/>
        <v>#VALUE!</v>
      </c>
      <c r="CE60" s="433" t="str">
        <f t="shared" si="68"/>
        <v xml:space="preserve"> * La variable Usuarios con Discapacidad No puede ser mayor al Total Ambos Sexos.</v>
      </c>
      <c r="CF60" s="433" t="str">
        <f t="shared" si="69"/>
        <v xml:space="preserve"> * La variable Usuarios con Discapacidad No puede ser mayor al Total Ambos Sexos.</v>
      </c>
      <c r="CG60" s="433" t="str">
        <f t="shared" si="70"/>
        <v xml:space="preserve"> * La variable Niños, niñas, adolescentes y jóvenes Mejor Niñez No puede ser mayor al Total Ambos Sexos.</v>
      </c>
      <c r="CH60" s="433" t="str">
        <f t="shared" si="71"/>
        <v xml:space="preserve"> * La variable Migrantes No puede ser mayor al Total Ambos Sexos.</v>
      </c>
      <c r="CI60" s="433" t="str">
        <f t="shared" si="72"/>
        <v xml:space="preserve"> * La variable Persona con ingreso integral y condición crónica no puede ser mayor al Total Ambos Sexos.</v>
      </c>
      <c r="CP60" s="434" t="e">
        <f>IF(AND((Z60+AA60)&gt;0,AR60=""),1,IF(AR60&gt;(Z60+AA60),1,0))</f>
        <v>#VALUE!</v>
      </c>
      <c r="CQ60" s="434">
        <f>IF(AND($G60&gt;0,AS60=""),1,IF(AS60&gt;$G60,1,0))</f>
        <v>1</v>
      </c>
      <c r="CR60" s="434" t="e">
        <f>IF(AND((AL60+AM60)&gt;0,AT60=""),1,IF(AT60&gt;(AL60+AM60),1,0))</f>
        <v>#VALUE!</v>
      </c>
      <c r="CS60" s="434">
        <f t="shared" si="73"/>
        <v>1</v>
      </c>
      <c r="CT60" s="434">
        <f t="shared" si="73"/>
        <v>1</v>
      </c>
      <c r="CU60" s="434">
        <f t="shared" si="73"/>
        <v>1</v>
      </c>
      <c r="CV60" s="434">
        <f t="shared" si="73"/>
        <v>1</v>
      </c>
      <c r="CW60" s="434">
        <f>IF(AND(E60&gt;0,AY60=""),1,IF(AY60&gt;E60,1,0))</f>
        <v>1</v>
      </c>
    </row>
    <row r="61" spans="1:101" ht="15" customHeight="1" x14ac:dyDescent="0.25">
      <c r="A61" s="5812" t="s">
        <v>5714</v>
      </c>
      <c r="B61" s="7004"/>
      <c r="C61" s="7005"/>
      <c r="D61" s="3331" t="s">
        <v>1629</v>
      </c>
      <c r="E61" s="3440" t="s">
        <v>4567</v>
      </c>
      <c r="F61" s="3558" t="s">
        <v>4568</v>
      </c>
      <c r="G61" s="3559" t="s">
        <v>4569</v>
      </c>
      <c r="H61" s="5470" t="s">
        <v>4570</v>
      </c>
      <c r="I61" s="5471" t="s">
        <v>4571</v>
      </c>
      <c r="J61" s="5470" t="s">
        <v>4572</v>
      </c>
      <c r="K61" s="5471" t="s">
        <v>4573</v>
      </c>
      <c r="L61" s="3493" t="s">
        <v>4574</v>
      </c>
      <c r="M61" s="3494" t="s">
        <v>4575</v>
      </c>
      <c r="N61" s="3493" t="s">
        <v>4576</v>
      </c>
      <c r="O61" s="3494" t="s">
        <v>4577</v>
      </c>
      <c r="P61" s="3493" t="s">
        <v>4578</v>
      </c>
      <c r="Q61" s="3494" t="s">
        <v>4579</v>
      </c>
      <c r="R61" s="3493" t="s">
        <v>4580</v>
      </c>
      <c r="S61" s="3494" t="s">
        <v>4581</v>
      </c>
      <c r="T61" s="3493" t="s">
        <v>4582</v>
      </c>
      <c r="U61" s="3494" t="s">
        <v>4583</v>
      </c>
      <c r="V61" s="3493" t="s">
        <v>4584</v>
      </c>
      <c r="W61" s="3494" t="s">
        <v>4585</v>
      </c>
      <c r="X61" s="3493" t="s">
        <v>4586</v>
      </c>
      <c r="Y61" s="3494" t="s">
        <v>4587</v>
      </c>
      <c r="Z61" s="3493" t="s">
        <v>4588</v>
      </c>
      <c r="AA61" s="3494" t="s">
        <v>4589</v>
      </c>
      <c r="AB61" s="3493" t="s">
        <v>4590</v>
      </c>
      <c r="AC61" s="3494" t="s">
        <v>4591</v>
      </c>
      <c r="AD61" s="3493" t="s">
        <v>4592</v>
      </c>
      <c r="AE61" s="3494" t="s">
        <v>4593</v>
      </c>
      <c r="AF61" s="3493" t="s">
        <v>4594</v>
      </c>
      <c r="AG61" s="3494" t="s">
        <v>4595</v>
      </c>
      <c r="AH61" s="3493" t="s">
        <v>4596</v>
      </c>
      <c r="AI61" s="3494" t="s">
        <v>4597</v>
      </c>
      <c r="AJ61" s="3493" t="s">
        <v>4598</v>
      </c>
      <c r="AK61" s="3494" t="s">
        <v>4599</v>
      </c>
      <c r="AL61" s="3493" t="s">
        <v>4600</v>
      </c>
      <c r="AM61" s="3494" t="s">
        <v>4601</v>
      </c>
      <c r="AN61" s="3493" t="s">
        <v>4602</v>
      </c>
      <c r="AO61" s="3494" t="s">
        <v>4603</v>
      </c>
      <c r="AP61" s="3493" t="s">
        <v>4604</v>
      </c>
      <c r="AQ61" s="3497" t="s">
        <v>4605</v>
      </c>
      <c r="AR61" s="3498" t="s">
        <v>4606</v>
      </c>
      <c r="AS61" s="3490" t="s">
        <v>4934</v>
      </c>
      <c r="AT61" s="3490" t="s">
        <v>4935</v>
      </c>
      <c r="AU61" s="3490" t="s">
        <v>4936</v>
      </c>
      <c r="AV61" s="3490" t="s">
        <v>4937</v>
      </c>
      <c r="AW61" s="3490" t="s">
        <v>5234</v>
      </c>
      <c r="AX61" s="3490" t="s">
        <v>5235</v>
      </c>
      <c r="AY61" s="3499" t="s">
        <v>5236</v>
      </c>
      <c r="AZ61" t="e">
        <f t="shared" si="64"/>
        <v>#VALUE!</v>
      </c>
      <c r="CB61" s="433" t="e">
        <f t="shared" si="65"/>
        <v>#VALUE!</v>
      </c>
      <c r="CC61" s="433" t="str">
        <f t="shared" si="66"/>
        <v xml:space="preserve"> * La variable Gestante NO DEBEN ser mayor al Total de Mujeres. </v>
      </c>
      <c r="CD61" s="433" t="e">
        <f t="shared" si="67"/>
        <v>#VALUE!</v>
      </c>
      <c r="CE61" s="433" t="str">
        <f t="shared" si="68"/>
        <v xml:space="preserve"> * La variable Usuarios con Discapacidad No puede ser mayor al Total Ambos Sexos.</v>
      </c>
      <c r="CF61" s="433" t="str">
        <f t="shared" si="69"/>
        <v xml:space="preserve"> * La variable Usuarios con Discapacidad No puede ser mayor al Total Ambos Sexos.</v>
      </c>
      <c r="CG61" s="433" t="str">
        <f t="shared" si="70"/>
        <v xml:space="preserve"> * La variable Niños, niñas, adolescentes y jóvenes Mejor Niñez No puede ser mayor al Total Ambos Sexos.</v>
      </c>
      <c r="CH61" s="433" t="str">
        <f t="shared" si="71"/>
        <v xml:space="preserve"> * La variable Migrantes No puede ser mayor al Total Ambos Sexos.</v>
      </c>
      <c r="CI61" s="433" t="str">
        <f t="shared" si="72"/>
        <v xml:space="preserve"> * La variable Persona con ingreso integral y condición crónica no puede ser mayor al Total Ambos Sexos.</v>
      </c>
      <c r="CP61" s="434" t="e">
        <f>IF(AND((Z61+AA61)&gt;0,AR61=""),1,IF(AR61&gt;(Z61+AA61),1,0))</f>
        <v>#VALUE!</v>
      </c>
      <c r="CQ61" s="434">
        <f>IF(AND($G61&gt;0,AS61=""),1,IF(AS61&gt;$G61,1,0))</f>
        <v>1</v>
      </c>
      <c r="CR61" s="434" t="e">
        <f>IF(AND((AL61+AM61)&gt;0,AT61=""),1,IF(AT61&gt;(AL61+AM61),1,0))</f>
        <v>#VALUE!</v>
      </c>
      <c r="CS61" s="434">
        <f t="shared" si="73"/>
        <v>1</v>
      </c>
      <c r="CT61" s="434">
        <f t="shared" si="73"/>
        <v>1</v>
      </c>
      <c r="CU61" s="434">
        <f t="shared" si="73"/>
        <v>1</v>
      </c>
      <c r="CV61" s="434">
        <f t="shared" si="73"/>
        <v>1</v>
      </c>
      <c r="CW61" s="434">
        <f>IF(AND(E61&gt;0,AY61=""),1,IF(AY61&gt;E61,1,0))</f>
        <v>1</v>
      </c>
    </row>
    <row r="62" spans="1:101" ht="15" customHeight="1" x14ac:dyDescent="0.25">
      <c r="A62" s="5812" t="s">
        <v>5715</v>
      </c>
      <c r="B62" s="6978"/>
      <c r="C62" s="6980"/>
      <c r="D62" s="3332" t="s">
        <v>1630</v>
      </c>
      <c r="E62" s="3503" t="s">
        <v>4567</v>
      </c>
      <c r="F62" s="3543" t="s">
        <v>4568</v>
      </c>
      <c r="G62" s="3560" t="s">
        <v>4569</v>
      </c>
      <c r="H62" s="5472" t="s">
        <v>4570</v>
      </c>
      <c r="I62" s="5473" t="s">
        <v>4571</v>
      </c>
      <c r="J62" s="5472" t="s">
        <v>4572</v>
      </c>
      <c r="K62" s="5473" t="s">
        <v>4573</v>
      </c>
      <c r="L62" s="3504" t="s">
        <v>4574</v>
      </c>
      <c r="M62" s="3546" t="s">
        <v>4575</v>
      </c>
      <c r="N62" s="3504" t="s">
        <v>4576</v>
      </c>
      <c r="O62" s="3546" t="s">
        <v>4577</v>
      </c>
      <c r="P62" s="3504" t="s">
        <v>4578</v>
      </c>
      <c r="Q62" s="3546" t="s">
        <v>4579</v>
      </c>
      <c r="R62" s="3504" t="s">
        <v>4580</v>
      </c>
      <c r="S62" s="3546" t="s">
        <v>4581</v>
      </c>
      <c r="T62" s="3504" t="s">
        <v>4582</v>
      </c>
      <c r="U62" s="3546" t="s">
        <v>4583</v>
      </c>
      <c r="V62" s="3504" t="s">
        <v>4584</v>
      </c>
      <c r="W62" s="3546" t="s">
        <v>4585</v>
      </c>
      <c r="X62" s="3504" t="s">
        <v>4586</v>
      </c>
      <c r="Y62" s="3546" t="s">
        <v>4587</v>
      </c>
      <c r="Z62" s="3504" t="s">
        <v>4588</v>
      </c>
      <c r="AA62" s="3546" t="s">
        <v>4589</v>
      </c>
      <c r="AB62" s="3504" t="s">
        <v>4590</v>
      </c>
      <c r="AC62" s="3546" t="s">
        <v>4591</v>
      </c>
      <c r="AD62" s="3504" t="s">
        <v>4592</v>
      </c>
      <c r="AE62" s="3546" t="s">
        <v>4593</v>
      </c>
      <c r="AF62" s="3504" t="s">
        <v>4594</v>
      </c>
      <c r="AG62" s="3546" t="s">
        <v>4595</v>
      </c>
      <c r="AH62" s="3504" t="s">
        <v>4596</v>
      </c>
      <c r="AI62" s="3546" t="s">
        <v>4597</v>
      </c>
      <c r="AJ62" s="3504" t="s">
        <v>4598</v>
      </c>
      <c r="AK62" s="3546" t="s">
        <v>4599</v>
      </c>
      <c r="AL62" s="3504" t="s">
        <v>4600</v>
      </c>
      <c r="AM62" s="3546" t="s">
        <v>4601</v>
      </c>
      <c r="AN62" s="3504" t="s">
        <v>4602</v>
      </c>
      <c r="AO62" s="3546" t="s">
        <v>4603</v>
      </c>
      <c r="AP62" s="3504" t="s">
        <v>4604</v>
      </c>
      <c r="AQ62" s="3549" t="s">
        <v>4605</v>
      </c>
      <c r="AR62" s="3550" t="s">
        <v>4606</v>
      </c>
      <c r="AS62" s="3551" t="s">
        <v>4934</v>
      </c>
      <c r="AT62" s="3551" t="s">
        <v>4935</v>
      </c>
      <c r="AU62" s="3551" t="s">
        <v>4936</v>
      </c>
      <c r="AV62" s="3551" t="s">
        <v>4937</v>
      </c>
      <c r="AW62" s="3551" t="s">
        <v>5234</v>
      </c>
      <c r="AX62" s="3551" t="s">
        <v>5235</v>
      </c>
      <c r="AY62" s="3544" t="s">
        <v>5236</v>
      </c>
      <c r="AZ62" t="e">
        <f t="shared" si="64"/>
        <v>#VALUE!</v>
      </c>
      <c r="CB62" s="433" t="e">
        <f t="shared" si="65"/>
        <v>#VALUE!</v>
      </c>
      <c r="CC62" s="433" t="str">
        <f t="shared" si="66"/>
        <v xml:space="preserve"> * La variable Gestante NO DEBEN ser mayor al Total de Mujeres. </v>
      </c>
      <c r="CD62" s="433" t="e">
        <f t="shared" si="67"/>
        <v>#VALUE!</v>
      </c>
      <c r="CE62" s="433" t="str">
        <f t="shared" si="68"/>
        <v xml:space="preserve"> * La variable Usuarios con Discapacidad No puede ser mayor al Total Ambos Sexos.</v>
      </c>
      <c r="CF62" s="433" t="str">
        <f t="shared" si="69"/>
        <v xml:space="preserve"> * La variable Usuarios con Discapacidad No puede ser mayor al Total Ambos Sexos.</v>
      </c>
      <c r="CG62" s="433" t="str">
        <f t="shared" si="70"/>
        <v xml:space="preserve"> * La variable Niños, niñas, adolescentes y jóvenes Mejor Niñez No puede ser mayor al Total Ambos Sexos.</v>
      </c>
      <c r="CH62" s="433" t="str">
        <f t="shared" si="71"/>
        <v xml:space="preserve"> * La variable Migrantes No puede ser mayor al Total Ambos Sexos.</v>
      </c>
      <c r="CI62" s="433" t="str">
        <f t="shared" si="72"/>
        <v xml:space="preserve"> * La variable Persona con ingreso integral y condición crónica no puede ser mayor al Total Ambos Sexos.</v>
      </c>
      <c r="CP62" s="434" t="e">
        <f>IF(AND((Z62+AA62)&gt;0,AR62=""),1,IF(AR62&gt;(Z62+AA62),1,0))</f>
        <v>#VALUE!</v>
      </c>
      <c r="CQ62" s="434">
        <f>IF(AND($G62&gt;0,AS62=""),1,IF(AS62&gt;$G62,1,0))</f>
        <v>1</v>
      </c>
      <c r="CR62" s="434" t="e">
        <f>IF(AND((AL62+AM62)&gt;0,AT62=""),1,IF(AT62&gt;(AL62+AM62),1,0))</f>
        <v>#VALUE!</v>
      </c>
      <c r="CS62" s="434">
        <f t="shared" si="73"/>
        <v>1</v>
      </c>
      <c r="CT62" s="434">
        <f t="shared" si="73"/>
        <v>1</v>
      </c>
      <c r="CU62" s="434">
        <f t="shared" si="73"/>
        <v>1</v>
      </c>
      <c r="CV62" s="434">
        <f t="shared" si="73"/>
        <v>1</v>
      </c>
      <c r="CW62" s="434">
        <f>IF(AND(E62&gt;0,AY62=""),1,IF(AY62&gt;E62,1,0))</f>
        <v>1</v>
      </c>
    </row>
    <row r="63" spans="1:101" ht="15" customHeight="1" x14ac:dyDescent="0.25">
      <c r="A63" s="5606"/>
      <c r="B63" s="6956" t="s">
        <v>77</v>
      </c>
      <c r="C63" s="6515"/>
      <c r="D63" s="6955"/>
      <c r="E63" s="3514">
        <f>SUM(E58:E62)</f>
        <v>0</v>
      </c>
      <c r="F63" s="857">
        <f>SUM(F58:F62)</f>
        <v>0</v>
      </c>
      <c r="G63" s="859">
        <f>SUM(G58:G62)</f>
        <v>0</v>
      </c>
      <c r="H63" s="3514">
        <f t="shared" ref="H63:AY63" si="74">SUM(H58:H62)</f>
        <v>0</v>
      </c>
      <c r="I63" s="3552">
        <f t="shared" si="74"/>
        <v>0</v>
      </c>
      <c r="J63" s="3514">
        <f t="shared" si="74"/>
        <v>0</v>
      </c>
      <c r="K63" s="3552">
        <f t="shared" si="74"/>
        <v>0</v>
      </c>
      <c r="L63" s="3514">
        <f t="shared" si="74"/>
        <v>0</v>
      </c>
      <c r="M63" s="3552">
        <f t="shared" si="74"/>
        <v>0</v>
      </c>
      <c r="N63" s="3514">
        <f t="shared" si="74"/>
        <v>0</v>
      </c>
      <c r="O63" s="3552">
        <f t="shared" si="74"/>
        <v>0</v>
      </c>
      <c r="P63" s="3514">
        <f t="shared" si="74"/>
        <v>0</v>
      </c>
      <c r="Q63" s="3552">
        <f t="shared" si="74"/>
        <v>0</v>
      </c>
      <c r="R63" s="3514">
        <f t="shared" si="74"/>
        <v>0</v>
      </c>
      <c r="S63" s="3552">
        <f t="shared" si="74"/>
        <v>0</v>
      </c>
      <c r="T63" s="3514">
        <f t="shared" si="74"/>
        <v>0</v>
      </c>
      <c r="U63" s="859">
        <f t="shared" si="74"/>
        <v>0</v>
      </c>
      <c r="V63" s="3514">
        <f t="shared" si="74"/>
        <v>0</v>
      </c>
      <c r="W63" s="3552">
        <f t="shared" si="74"/>
        <v>0</v>
      </c>
      <c r="X63" s="3514">
        <f t="shared" si="74"/>
        <v>0</v>
      </c>
      <c r="Y63" s="3552">
        <f t="shared" si="74"/>
        <v>0</v>
      </c>
      <c r="Z63" s="3514">
        <f t="shared" si="74"/>
        <v>0</v>
      </c>
      <c r="AA63" s="3552">
        <f t="shared" si="74"/>
        <v>0</v>
      </c>
      <c r="AB63" s="3514">
        <f t="shared" si="74"/>
        <v>0</v>
      </c>
      <c r="AC63" s="3552">
        <f t="shared" si="74"/>
        <v>0</v>
      </c>
      <c r="AD63" s="3514">
        <f t="shared" si="74"/>
        <v>0</v>
      </c>
      <c r="AE63" s="3552">
        <f t="shared" si="74"/>
        <v>0</v>
      </c>
      <c r="AF63" s="3514">
        <f t="shared" si="74"/>
        <v>0</v>
      </c>
      <c r="AG63" s="3552">
        <f t="shared" si="74"/>
        <v>0</v>
      </c>
      <c r="AH63" s="3514">
        <f t="shared" si="74"/>
        <v>0</v>
      </c>
      <c r="AI63" s="3552">
        <f t="shared" si="74"/>
        <v>0</v>
      </c>
      <c r="AJ63" s="3514">
        <f t="shared" si="74"/>
        <v>0</v>
      </c>
      <c r="AK63" s="3552">
        <f t="shared" si="74"/>
        <v>0</v>
      </c>
      <c r="AL63" s="3514">
        <f t="shared" si="74"/>
        <v>0</v>
      </c>
      <c r="AM63" s="3552">
        <f t="shared" si="74"/>
        <v>0</v>
      </c>
      <c r="AN63" s="3514">
        <f t="shared" si="74"/>
        <v>0</v>
      </c>
      <c r="AO63" s="3552">
        <f t="shared" si="74"/>
        <v>0</v>
      </c>
      <c r="AP63" s="3514">
        <f t="shared" si="74"/>
        <v>0</v>
      </c>
      <c r="AQ63" s="3553">
        <f t="shared" si="74"/>
        <v>0</v>
      </c>
      <c r="AR63" s="3554">
        <f t="shared" si="74"/>
        <v>0</v>
      </c>
      <c r="AS63" s="857">
        <f t="shared" si="74"/>
        <v>0</v>
      </c>
      <c r="AT63" s="857">
        <f t="shared" si="74"/>
        <v>0</v>
      </c>
      <c r="AU63" s="857">
        <f t="shared" si="74"/>
        <v>0</v>
      </c>
      <c r="AV63" s="857">
        <f t="shared" si="74"/>
        <v>0</v>
      </c>
      <c r="AW63" s="857">
        <f>SUM(AW58:AW62)</f>
        <v>0</v>
      </c>
      <c r="AX63" s="857">
        <f t="shared" si="74"/>
        <v>0</v>
      </c>
      <c r="AY63" s="3515">
        <f t="shared" si="74"/>
        <v>0</v>
      </c>
    </row>
    <row r="64" spans="1:101" ht="15" customHeight="1" x14ac:dyDescent="0.25">
      <c r="A64" s="5812" t="s">
        <v>5716</v>
      </c>
      <c r="B64" s="6904" t="s">
        <v>1631</v>
      </c>
      <c r="C64" s="6642"/>
      <c r="D64" s="3329">
        <v>0</v>
      </c>
      <c r="E64" s="3533" t="s">
        <v>4567</v>
      </c>
      <c r="F64" s="3561" t="s">
        <v>4568</v>
      </c>
      <c r="G64" s="3562" t="s">
        <v>4569</v>
      </c>
      <c r="H64" s="3563" t="s">
        <v>4570</v>
      </c>
      <c r="I64" s="3564" t="s">
        <v>4571</v>
      </c>
      <c r="J64" s="3565" t="s">
        <v>4572</v>
      </c>
      <c r="K64" s="3564" t="s">
        <v>4573</v>
      </c>
      <c r="L64" s="3565" t="s">
        <v>4574</v>
      </c>
      <c r="M64" s="3564" t="s">
        <v>4575</v>
      </c>
      <c r="N64" s="3565" t="s">
        <v>4576</v>
      </c>
      <c r="O64" s="3564" t="s">
        <v>4577</v>
      </c>
      <c r="P64" s="3565" t="s">
        <v>4578</v>
      </c>
      <c r="Q64" s="3564" t="s">
        <v>4579</v>
      </c>
      <c r="R64" s="3565" t="s">
        <v>4580</v>
      </c>
      <c r="S64" s="3564" t="s">
        <v>4581</v>
      </c>
      <c r="T64" s="3566" t="s">
        <v>4582</v>
      </c>
      <c r="U64" s="3567" t="s">
        <v>4583</v>
      </c>
      <c r="V64" s="3565" t="s">
        <v>4584</v>
      </c>
      <c r="W64" s="3564" t="s">
        <v>4585</v>
      </c>
      <c r="X64" s="3565" t="s">
        <v>4586</v>
      </c>
      <c r="Y64" s="3564" t="s">
        <v>4587</v>
      </c>
      <c r="Z64" s="3565" t="s">
        <v>4588</v>
      </c>
      <c r="AA64" s="3564" t="s">
        <v>4589</v>
      </c>
      <c r="AB64" s="3534" t="s">
        <v>4590</v>
      </c>
      <c r="AC64" s="3537" t="s">
        <v>4591</v>
      </c>
      <c r="AD64" s="3568" t="s">
        <v>4592</v>
      </c>
      <c r="AE64" s="3569" t="s">
        <v>4593</v>
      </c>
      <c r="AF64" s="3509" t="s">
        <v>4594</v>
      </c>
      <c r="AG64" s="3570" t="s">
        <v>4595</v>
      </c>
      <c r="AH64" s="3509" t="s">
        <v>4596</v>
      </c>
      <c r="AI64" s="3570" t="s">
        <v>4597</v>
      </c>
      <c r="AJ64" s="3539" t="s">
        <v>4598</v>
      </c>
      <c r="AK64" s="3537" t="s">
        <v>4599</v>
      </c>
      <c r="AL64" s="3534" t="s">
        <v>4600</v>
      </c>
      <c r="AM64" s="3537" t="s">
        <v>4601</v>
      </c>
      <c r="AN64" s="3568" t="s">
        <v>4602</v>
      </c>
      <c r="AO64" s="3569" t="s">
        <v>4603</v>
      </c>
      <c r="AP64" s="3539" t="s">
        <v>4604</v>
      </c>
      <c r="AQ64" s="3476" t="s">
        <v>4605</v>
      </c>
      <c r="AR64" s="3571" t="s">
        <v>4606</v>
      </c>
      <c r="AS64" s="3542" t="s">
        <v>4934</v>
      </c>
      <c r="AT64" s="3542" t="s">
        <v>4935</v>
      </c>
      <c r="AU64" s="3572" t="s">
        <v>4936</v>
      </c>
      <c r="AV64" s="3542" t="s">
        <v>4937</v>
      </c>
      <c r="AW64" s="3542" t="s">
        <v>5234</v>
      </c>
      <c r="AX64" s="3572" t="s">
        <v>5235</v>
      </c>
      <c r="AY64" s="3573" t="s">
        <v>5236</v>
      </c>
      <c r="AZ64" t="e">
        <f t="shared" si="64"/>
        <v>#VALUE!</v>
      </c>
      <c r="CB64" s="433" t="e">
        <f>IF(AND((Z64+AA64)&gt;0,AR64="")," * No olvide digitar la variable 12 años (incluido en el grupo de 10-14 años). Digite Cero si no tiene.",IF(AR64&gt;(Z64+AA64),"* Las Consultas de 12 años (incluido en el grupo de 10-14 años) NO DEBEN ser mayor que el total de Consultas entre 10-14 años",""))</f>
        <v>#VALUE!</v>
      </c>
      <c r="CC64" s="433" t="str">
        <f>IF(AND($G64&gt;0,AS64="")," * No olvide digitar la variable Gestante. Digite cero si no tiene.",IF(AS64&gt;$G64," * La variable Gestante NO DEBEN ser mayor al Total de Mujeres. ",""))</f>
        <v xml:space="preserve"> * La variable Gestante NO DEBEN ser mayor al Total de Mujeres. </v>
      </c>
      <c r="CD64" s="433" t="e">
        <f t="shared" ref="CD64:CD66" si="75">IF(AND((AL64+AM64)&gt;0,AT64="")," * No olvide digitar la variable 60 años (incluido en grupos de 60-64 años). Digite Cero si no tiene.",IF(AT64&gt;(AL64+AM64)," * La variable 60 años (incluido en grupos de 60-64 años) NO DEBE ser mayor que el Total de consultas del grupo 60-64 años",""))</f>
        <v>#VALUE!</v>
      </c>
      <c r="CE64" s="433" t="str">
        <f t="shared" ref="CE64:CE66" si="76">IF(AND(E64&gt;0,AU64="")," * No olvide digitar la variable Usuarios con Discapacidad. Digite Cero si no tiene.",IF(AU64&gt;E64," * La variable Usuarios con Discapacidad No puede ser mayor al Total Ambos Sexos.",""))</f>
        <v xml:space="preserve"> * La variable Usuarios con Discapacidad No puede ser mayor al Total Ambos Sexos.</v>
      </c>
      <c r="CF64" s="433" t="str">
        <f t="shared" ref="CF64:CF66" si="77">IF(AND(E64&gt;0,AV64="")," * No olvide digitar la variable Niños, niñas, adolescentes y jóvenes SENAME. Digite Cero si no tiene.",IF(AV64&gt;$E64," * La variable Usuarios con Discapacidad No puede ser mayor al Total Ambos Sexos.",""))</f>
        <v xml:space="preserve"> * La variable Usuarios con Discapacidad No puede ser mayor al Total Ambos Sexos.</v>
      </c>
      <c r="CG64" s="433" t="str">
        <f t="shared" ref="CG64:CG66" si="78">IF(AND($E64&gt;0,AW64="")," * No olvide digitar la variable Niños, niñas, adolescentes y jóvenes Mejor Niñez. Digite Cero si no tiene.",IF(AW64&gt;$E64,"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64" s="433" t="str">
        <f t="shared" ref="CH64:CH66" si="79">IF(AND($E64&gt;0,AX64="")," * No olvide digitar la variable Migrantes. Digite Cero si no tiene.",IF(AX64&gt;$E64," * La variable Migrantes No puede ser mayor al Total Ambos Sexos.",""))</f>
        <v xml:space="preserve"> * La variable Migrantes No puede ser mayor al Total Ambos Sexos.</v>
      </c>
      <c r="CI64" s="433" t="str">
        <f t="shared" ref="CI64:CI66" si="80">IF(AND($E64&gt;0,AY64="")," * No olvide digitar la variable Persona con ingreso integral y condición crónica. Digite Cero si no tiene.",IF(AY64&gt;$E64,"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64" s="434" t="e">
        <f>IF(AND((Z64+AA64)&gt;0,AR64=""),1,IF(AR64&gt;(Z64+AA64),1,0))</f>
        <v>#VALUE!</v>
      </c>
      <c r="CQ64" s="434">
        <f>IF(AND($G64&gt;0,AS64=""),1,IF(AS64&gt;$G64,1,0))</f>
        <v>1</v>
      </c>
      <c r="CR64" s="434" t="e">
        <f>IF(AND((AL64+AM64)&gt;0,AT64=""),1,IF(AT64&gt;(AL64+AM64),1,0))</f>
        <v>#VALUE!</v>
      </c>
      <c r="CS64" s="434">
        <f t="shared" ref="CS64:CV66" si="81">IF(AND($E64&gt;0,AU64=""),1,IF(AU64&gt;$E64,1,0))</f>
        <v>1</v>
      </c>
      <c r="CT64" s="434">
        <f t="shared" si="81"/>
        <v>1</v>
      </c>
      <c r="CU64" s="434">
        <f t="shared" si="81"/>
        <v>1</v>
      </c>
      <c r="CV64" s="434">
        <f t="shared" si="81"/>
        <v>1</v>
      </c>
      <c r="CW64" s="434">
        <f>IF(AND(E64&gt;0,AY64=""),1,IF(AY64&gt;E64,1,0))</f>
        <v>1</v>
      </c>
    </row>
    <row r="65" spans="1:101" ht="15" customHeight="1" x14ac:dyDescent="0.25">
      <c r="A65" s="5812" t="s">
        <v>5717</v>
      </c>
      <c r="B65" s="6905"/>
      <c r="C65" s="6643"/>
      <c r="D65" s="3331" t="s">
        <v>1632</v>
      </c>
      <c r="E65" s="3533" t="s">
        <v>4567</v>
      </c>
      <c r="F65" s="3561" t="s">
        <v>4568</v>
      </c>
      <c r="G65" s="3562" t="s">
        <v>4569</v>
      </c>
      <c r="H65" s="3574" t="s">
        <v>4570</v>
      </c>
      <c r="I65" s="3575" t="s">
        <v>4571</v>
      </c>
      <c r="J65" s="3574" t="s">
        <v>4572</v>
      </c>
      <c r="K65" s="3575" t="s">
        <v>4573</v>
      </c>
      <c r="L65" s="3574" t="s">
        <v>4574</v>
      </c>
      <c r="M65" s="3575" t="s">
        <v>4575</v>
      </c>
      <c r="N65" s="3574" t="s">
        <v>4576</v>
      </c>
      <c r="O65" s="3575" t="s">
        <v>4577</v>
      </c>
      <c r="P65" s="3574" t="s">
        <v>4578</v>
      </c>
      <c r="Q65" s="3575" t="s">
        <v>4579</v>
      </c>
      <c r="R65" s="3574" t="s">
        <v>4580</v>
      </c>
      <c r="S65" s="3575" t="s">
        <v>4581</v>
      </c>
      <c r="T65" s="3566" t="s">
        <v>4582</v>
      </c>
      <c r="U65" s="3567" t="s">
        <v>4583</v>
      </c>
      <c r="V65" s="3574" t="s">
        <v>4584</v>
      </c>
      <c r="W65" s="3575" t="s">
        <v>4585</v>
      </c>
      <c r="X65" s="3574" t="s">
        <v>4586</v>
      </c>
      <c r="Y65" s="3575" t="s">
        <v>4587</v>
      </c>
      <c r="Z65" s="3574" t="s">
        <v>4588</v>
      </c>
      <c r="AA65" s="3575" t="s">
        <v>4589</v>
      </c>
      <c r="AB65" s="3534" t="s">
        <v>4590</v>
      </c>
      <c r="AC65" s="3537" t="s">
        <v>4591</v>
      </c>
      <c r="AD65" s="3534" t="s">
        <v>4592</v>
      </c>
      <c r="AE65" s="3537" t="s">
        <v>4593</v>
      </c>
      <c r="AF65" s="3539" t="s">
        <v>4594</v>
      </c>
      <c r="AG65" s="3537" t="s">
        <v>4595</v>
      </c>
      <c r="AH65" s="3539" t="s">
        <v>4596</v>
      </c>
      <c r="AI65" s="3537" t="s">
        <v>4597</v>
      </c>
      <c r="AJ65" s="3539" t="s">
        <v>4598</v>
      </c>
      <c r="AK65" s="3537" t="s">
        <v>4599</v>
      </c>
      <c r="AL65" s="3534" t="s">
        <v>4600</v>
      </c>
      <c r="AM65" s="3537" t="s">
        <v>4601</v>
      </c>
      <c r="AN65" s="3534" t="s">
        <v>4602</v>
      </c>
      <c r="AO65" s="3537" t="s">
        <v>4603</v>
      </c>
      <c r="AP65" s="3539" t="s">
        <v>4604</v>
      </c>
      <c r="AQ65" s="3540" t="s">
        <v>4605</v>
      </c>
      <c r="AR65" s="3541" t="s">
        <v>4606</v>
      </c>
      <c r="AS65" s="3542" t="s">
        <v>4934</v>
      </c>
      <c r="AT65" s="3542" t="s">
        <v>4935</v>
      </c>
      <c r="AU65" s="3542" t="s">
        <v>4936</v>
      </c>
      <c r="AV65" s="3542" t="s">
        <v>4937</v>
      </c>
      <c r="AW65" s="3542" t="s">
        <v>5234</v>
      </c>
      <c r="AX65" s="3542" t="s">
        <v>5235</v>
      </c>
      <c r="AY65" s="3535" t="s">
        <v>5236</v>
      </c>
      <c r="AZ65" t="e">
        <f t="shared" si="64"/>
        <v>#VALUE!</v>
      </c>
      <c r="CB65" s="433" t="e">
        <f t="shared" ref="CB65:CB66" si="82">IF(AND((Z65+AA65)&gt;0,AR65="")," * No olvide digitar la variable 12 años (incluido en el grupo de 10-14 años). Digite Cero si no tiene.",IF(AR65&gt;(Z65+AA65),"* Las Consultas de 12 años (incluido en el grupo de 10-14 años) NO DEBEN ser mayor que el total de Consultas entre 10-14 años",""))</f>
        <v>#VALUE!</v>
      </c>
      <c r="CC65" s="433" t="str">
        <f t="shared" ref="CC65:CC66" si="83">IF(AND($G65&gt;0,AS65="")," * No olvide digitar la variable Gestante. Digite cero si no tiene.",IF(AS65&gt;$G65," * La variable Gestante NO DEBEN ser mayor al Total de Mujeres. ",""))</f>
        <v xml:space="preserve"> * La variable Gestante NO DEBEN ser mayor al Total de Mujeres. </v>
      </c>
      <c r="CD65" s="433" t="e">
        <f t="shared" si="75"/>
        <v>#VALUE!</v>
      </c>
      <c r="CE65" s="433" t="str">
        <f t="shared" si="76"/>
        <v xml:space="preserve"> * La variable Usuarios con Discapacidad No puede ser mayor al Total Ambos Sexos.</v>
      </c>
      <c r="CF65" s="433" t="str">
        <f t="shared" si="77"/>
        <v xml:space="preserve"> * La variable Usuarios con Discapacidad No puede ser mayor al Total Ambos Sexos.</v>
      </c>
      <c r="CG65" s="433" t="str">
        <f t="shared" si="78"/>
        <v xml:space="preserve"> * La variable Niños, niñas, adolescentes y jóvenes Mejor Niñez No puede ser mayor al Total Ambos Sexos.</v>
      </c>
      <c r="CH65" s="433" t="str">
        <f t="shared" si="79"/>
        <v xml:space="preserve"> * La variable Migrantes No puede ser mayor al Total Ambos Sexos.</v>
      </c>
      <c r="CI65" s="433" t="str">
        <f t="shared" si="80"/>
        <v xml:space="preserve"> * La variable Persona con ingreso integral y condición crónica no puede ser mayor al Total Ambos Sexos.</v>
      </c>
      <c r="CP65" s="434" t="e">
        <f>IF(AND((Z65+AA65)&gt;0,AR65=""),1,IF(AR65&gt;(Z65+AA65),1,0))</f>
        <v>#VALUE!</v>
      </c>
      <c r="CQ65" s="434">
        <f>IF(AND($G65&gt;0,AS65=""),1,IF(AS65&gt;$G65,1,0))</f>
        <v>1</v>
      </c>
      <c r="CR65" s="434" t="e">
        <f>IF(AND((AL65+AM65)&gt;0,AT65=""),1,IF(AT65&gt;(AL65+AM65),1,0))</f>
        <v>#VALUE!</v>
      </c>
      <c r="CS65" s="434">
        <f t="shared" si="81"/>
        <v>1</v>
      </c>
      <c r="CT65" s="434">
        <f t="shared" si="81"/>
        <v>1</v>
      </c>
      <c r="CU65" s="434">
        <f t="shared" si="81"/>
        <v>1</v>
      </c>
      <c r="CV65" s="434">
        <f t="shared" si="81"/>
        <v>1</v>
      </c>
      <c r="CW65" s="434">
        <f>IF(AND(E65&gt;0,AY65=""),1,IF(AY65&gt;E65,1,0))</f>
        <v>1</v>
      </c>
    </row>
    <row r="66" spans="1:101" ht="15" customHeight="1" x14ac:dyDescent="0.25">
      <c r="A66" s="5812" t="s">
        <v>5718</v>
      </c>
      <c r="B66" s="6906"/>
      <c r="C66" s="7007"/>
      <c r="D66" s="3332" t="s">
        <v>1633</v>
      </c>
      <c r="E66" s="3533" t="s">
        <v>4567</v>
      </c>
      <c r="F66" s="3561" t="s">
        <v>4568</v>
      </c>
      <c r="G66" s="3562" t="s">
        <v>4569</v>
      </c>
      <c r="H66" s="3574" t="s">
        <v>4570</v>
      </c>
      <c r="I66" s="3575" t="s">
        <v>4571</v>
      </c>
      <c r="J66" s="3574" t="s">
        <v>4572</v>
      </c>
      <c r="K66" s="3575" t="s">
        <v>4573</v>
      </c>
      <c r="L66" s="3574" t="s">
        <v>4574</v>
      </c>
      <c r="M66" s="3575" t="s">
        <v>4575</v>
      </c>
      <c r="N66" s="3574" t="s">
        <v>4576</v>
      </c>
      <c r="O66" s="3575" t="s">
        <v>4577</v>
      </c>
      <c r="P66" s="3574" t="s">
        <v>4578</v>
      </c>
      <c r="Q66" s="3575" t="s">
        <v>4579</v>
      </c>
      <c r="R66" s="3574" t="s">
        <v>4580</v>
      </c>
      <c r="S66" s="3575" t="s">
        <v>4581</v>
      </c>
      <c r="T66" s="3566" t="s">
        <v>4582</v>
      </c>
      <c r="U66" s="3567" t="s">
        <v>4583</v>
      </c>
      <c r="V66" s="3574" t="s">
        <v>4584</v>
      </c>
      <c r="W66" s="3575" t="s">
        <v>4585</v>
      </c>
      <c r="X66" s="3574" t="s">
        <v>4586</v>
      </c>
      <c r="Y66" s="3575" t="s">
        <v>4587</v>
      </c>
      <c r="Z66" s="3574" t="s">
        <v>4588</v>
      </c>
      <c r="AA66" s="3575" t="s">
        <v>4589</v>
      </c>
      <c r="AB66" s="3534" t="s">
        <v>4590</v>
      </c>
      <c r="AC66" s="3537" t="s">
        <v>4591</v>
      </c>
      <c r="AD66" s="3534" t="s">
        <v>4592</v>
      </c>
      <c r="AE66" s="3537" t="s">
        <v>4593</v>
      </c>
      <c r="AF66" s="3539" t="s">
        <v>4594</v>
      </c>
      <c r="AG66" s="3537" t="s">
        <v>4595</v>
      </c>
      <c r="AH66" s="3539" t="s">
        <v>4596</v>
      </c>
      <c r="AI66" s="3537" t="s">
        <v>4597</v>
      </c>
      <c r="AJ66" s="3539" t="s">
        <v>4598</v>
      </c>
      <c r="AK66" s="3537" t="s">
        <v>4599</v>
      </c>
      <c r="AL66" s="3534" t="s">
        <v>4600</v>
      </c>
      <c r="AM66" s="3537" t="s">
        <v>4601</v>
      </c>
      <c r="AN66" s="3504" t="s">
        <v>4602</v>
      </c>
      <c r="AO66" s="3546" t="s">
        <v>4603</v>
      </c>
      <c r="AP66" s="3539" t="s">
        <v>4604</v>
      </c>
      <c r="AQ66" s="3540" t="s">
        <v>4605</v>
      </c>
      <c r="AR66" s="3550" t="s">
        <v>4606</v>
      </c>
      <c r="AS66" s="3542" t="s">
        <v>4934</v>
      </c>
      <c r="AT66" s="3542" t="s">
        <v>4935</v>
      </c>
      <c r="AU66" s="3542" t="s">
        <v>4936</v>
      </c>
      <c r="AV66" s="3542" t="s">
        <v>4937</v>
      </c>
      <c r="AW66" s="3542" t="s">
        <v>5234</v>
      </c>
      <c r="AX66" s="3542" t="s">
        <v>5235</v>
      </c>
      <c r="AY66" s="3535" t="s">
        <v>5236</v>
      </c>
      <c r="AZ66" t="e">
        <f t="shared" si="64"/>
        <v>#VALUE!</v>
      </c>
      <c r="CB66" s="433" t="e">
        <f t="shared" si="82"/>
        <v>#VALUE!</v>
      </c>
      <c r="CC66" s="433" t="str">
        <f t="shared" si="83"/>
        <v xml:space="preserve"> * La variable Gestante NO DEBEN ser mayor al Total de Mujeres. </v>
      </c>
      <c r="CD66" s="433" t="e">
        <f t="shared" si="75"/>
        <v>#VALUE!</v>
      </c>
      <c r="CE66" s="433" t="str">
        <f t="shared" si="76"/>
        <v xml:space="preserve"> * La variable Usuarios con Discapacidad No puede ser mayor al Total Ambos Sexos.</v>
      </c>
      <c r="CF66" s="433" t="str">
        <f t="shared" si="77"/>
        <v xml:space="preserve"> * La variable Usuarios con Discapacidad No puede ser mayor al Total Ambos Sexos.</v>
      </c>
      <c r="CG66" s="433" t="str">
        <f t="shared" si="78"/>
        <v xml:space="preserve"> * La variable Niños, niñas, adolescentes y jóvenes Mejor Niñez No puede ser mayor al Total Ambos Sexos.</v>
      </c>
      <c r="CH66" s="433" t="str">
        <f t="shared" si="79"/>
        <v xml:space="preserve"> * La variable Migrantes No puede ser mayor al Total Ambos Sexos.</v>
      </c>
      <c r="CI66" s="433" t="str">
        <f t="shared" si="80"/>
        <v xml:space="preserve"> * La variable Persona con ingreso integral y condición crónica no puede ser mayor al Total Ambos Sexos.</v>
      </c>
      <c r="CP66" s="434" t="e">
        <f>IF(AND((Z66+AA66)&gt;0,AR66=""),1,IF(AR66&gt;(Z66+AA66),1,0))</f>
        <v>#VALUE!</v>
      </c>
      <c r="CQ66" s="434">
        <f>IF(AND($G66&gt;0,AS66=""),1,IF(AS66&gt;$G66,1,0))</f>
        <v>1</v>
      </c>
      <c r="CR66" s="434" t="e">
        <f>IF(AND((AL66+AM66)&gt;0,AT66=""),1,IF(AT66&gt;(AL66+AM66),1,0))</f>
        <v>#VALUE!</v>
      </c>
      <c r="CS66" s="434">
        <f t="shared" si="81"/>
        <v>1</v>
      </c>
      <c r="CT66" s="434">
        <f t="shared" si="81"/>
        <v>1</v>
      </c>
      <c r="CU66" s="434">
        <f t="shared" si="81"/>
        <v>1</v>
      </c>
      <c r="CV66" s="434">
        <f t="shared" si="81"/>
        <v>1</v>
      </c>
      <c r="CW66" s="434">
        <f>IF(AND(E66&gt;0,AY66=""),1,IF(AY66&gt;E66,1,0))</f>
        <v>1</v>
      </c>
    </row>
    <row r="67" spans="1:101" ht="15" customHeight="1" x14ac:dyDescent="0.25">
      <c r="A67" s="5606"/>
      <c r="B67" s="6734" t="s">
        <v>77</v>
      </c>
      <c r="C67" s="6735"/>
      <c r="D67" s="6955"/>
      <c r="E67" s="3514">
        <f>SUM(E64:E66)</f>
        <v>0</v>
      </c>
      <c r="F67" s="857">
        <f>SUM(F64:F66)</f>
        <v>0</v>
      </c>
      <c r="G67" s="3515">
        <f>SUM(G64:G66)</f>
        <v>0</v>
      </c>
      <c r="H67" s="6950"/>
      <c r="I67" s="6951"/>
      <c r="J67" s="6951"/>
      <c r="K67" s="6951"/>
      <c r="L67" s="6951"/>
      <c r="M67" s="6951"/>
      <c r="N67" s="6951"/>
      <c r="O67" s="6951"/>
      <c r="P67" s="6951"/>
      <c r="Q67" s="6951"/>
      <c r="R67" s="6951"/>
      <c r="S67" s="6951"/>
      <c r="T67" s="6951"/>
      <c r="U67" s="6951"/>
      <c r="V67" s="6951"/>
      <c r="W67" s="6951"/>
      <c r="X67" s="6951"/>
      <c r="Y67" s="6951"/>
      <c r="Z67" s="6951"/>
      <c r="AA67" s="6952"/>
      <c r="AB67" s="3514">
        <f t="shared" ref="AB67:AY67" si="84">SUM(AB64:AB66)</f>
        <v>0</v>
      </c>
      <c r="AC67" s="3515">
        <f t="shared" si="84"/>
        <v>0</v>
      </c>
      <c r="AD67" s="3514">
        <f t="shared" si="84"/>
        <v>0</v>
      </c>
      <c r="AE67" s="859">
        <f t="shared" si="84"/>
        <v>0</v>
      </c>
      <c r="AF67" s="3552">
        <f t="shared" si="84"/>
        <v>0</v>
      </c>
      <c r="AG67" s="859">
        <f t="shared" si="84"/>
        <v>0</v>
      </c>
      <c r="AH67" s="3552">
        <f t="shared" si="84"/>
        <v>0</v>
      </c>
      <c r="AI67" s="859">
        <f t="shared" si="84"/>
        <v>0</v>
      </c>
      <c r="AJ67" s="3552">
        <f t="shared" si="84"/>
        <v>0</v>
      </c>
      <c r="AK67" s="3515">
        <f t="shared" si="84"/>
        <v>0</v>
      </c>
      <c r="AL67" s="3514">
        <f t="shared" si="84"/>
        <v>0</v>
      </c>
      <c r="AM67" s="3515">
        <f t="shared" si="84"/>
        <v>0</v>
      </c>
      <c r="AN67" s="3514">
        <f t="shared" si="84"/>
        <v>0</v>
      </c>
      <c r="AO67" s="859">
        <f t="shared" si="84"/>
        <v>0</v>
      </c>
      <c r="AP67" s="3552">
        <f t="shared" si="84"/>
        <v>0</v>
      </c>
      <c r="AQ67" s="3553">
        <f t="shared" si="84"/>
        <v>0</v>
      </c>
      <c r="AR67" s="3554">
        <f t="shared" si="84"/>
        <v>0</v>
      </c>
      <c r="AS67" s="857">
        <f t="shared" si="84"/>
        <v>0</v>
      </c>
      <c r="AT67" s="857">
        <f t="shared" si="84"/>
        <v>0</v>
      </c>
      <c r="AU67" s="857">
        <f t="shared" si="84"/>
        <v>0</v>
      </c>
      <c r="AV67" s="857">
        <f t="shared" si="84"/>
        <v>0</v>
      </c>
      <c r="AW67" s="857">
        <f t="shared" si="84"/>
        <v>0</v>
      </c>
      <c r="AX67" s="857">
        <f t="shared" si="84"/>
        <v>0</v>
      </c>
      <c r="AY67" s="3515">
        <f t="shared" si="84"/>
        <v>0</v>
      </c>
    </row>
    <row r="68" spans="1:101" ht="18" customHeight="1" x14ac:dyDescent="0.25">
      <c r="B68" s="3" t="s">
        <v>1634</v>
      </c>
      <c r="C68" s="3577"/>
      <c r="D68" s="3577"/>
      <c r="E68" s="3578"/>
      <c r="F68" s="4"/>
      <c r="G68" s="88"/>
      <c r="H68" s="88"/>
      <c r="I68" s="88"/>
      <c r="J68" s="88"/>
      <c r="K68" s="88"/>
    </row>
    <row r="69" spans="1:101" x14ac:dyDescent="0.25">
      <c r="B69" s="6575" t="s">
        <v>1635</v>
      </c>
      <c r="C69" s="6491"/>
      <c r="D69" s="6576"/>
      <c r="E69" s="7061" t="s">
        <v>1636</v>
      </c>
      <c r="F69" s="7062"/>
      <c r="G69" s="7062"/>
      <c r="H69" s="7062"/>
      <c r="I69" s="7063"/>
      <c r="J69" s="7061" t="s">
        <v>1637</v>
      </c>
      <c r="K69" s="7062"/>
      <c r="L69" s="7062"/>
      <c r="M69" s="7062"/>
      <c r="N69" s="7064"/>
      <c r="O69" s="6820" t="s">
        <v>1638</v>
      </c>
    </row>
    <row r="70" spans="1:101" ht="22.5" customHeight="1" x14ac:dyDescent="0.25">
      <c r="B70" s="6750"/>
      <c r="C70" s="6749"/>
      <c r="D70" s="6913"/>
      <c r="E70" s="3579" t="s">
        <v>919</v>
      </c>
      <c r="F70" s="3580" t="s">
        <v>1007</v>
      </c>
      <c r="G70" s="3454" t="s">
        <v>1639</v>
      </c>
      <c r="H70" s="3581" t="s">
        <v>1640</v>
      </c>
      <c r="I70" s="3582" t="s">
        <v>554</v>
      </c>
      <c r="J70" s="3579" t="s">
        <v>919</v>
      </c>
      <c r="K70" s="3580" t="s">
        <v>1007</v>
      </c>
      <c r="L70" s="3454" t="s">
        <v>1639</v>
      </c>
      <c r="M70" s="3581" t="s">
        <v>1640</v>
      </c>
      <c r="N70" s="3583" t="s">
        <v>554</v>
      </c>
      <c r="O70" s="7065"/>
    </row>
    <row r="71" spans="1:101" ht="15" customHeight="1" x14ac:dyDescent="0.25">
      <c r="A71" s="5810" t="s">
        <v>5719</v>
      </c>
      <c r="B71" s="7066" t="s">
        <v>1641</v>
      </c>
      <c r="C71" s="7067"/>
      <c r="D71" s="7067"/>
      <c r="E71" s="3584" t="s">
        <v>4567</v>
      </c>
      <c r="F71" s="653" t="s">
        <v>4568</v>
      </c>
      <c r="G71" s="768" t="s">
        <v>4569</v>
      </c>
      <c r="H71" s="768" t="s">
        <v>4570</v>
      </c>
      <c r="I71" s="655" t="s">
        <v>4571</v>
      </c>
      <c r="J71" s="26" t="s">
        <v>4572</v>
      </c>
      <c r="K71" s="653" t="s">
        <v>4573</v>
      </c>
      <c r="L71" s="768" t="s">
        <v>4574</v>
      </c>
      <c r="M71" s="768" t="s">
        <v>4575</v>
      </c>
      <c r="N71" s="766" t="s">
        <v>4576</v>
      </c>
      <c r="O71" s="652" t="s">
        <v>4577</v>
      </c>
      <c r="P71" t="str">
        <f>CB71&amp;CC71</f>
        <v xml:space="preserve"> * El Total de PERTINENCIA ORIGEN  No puede ser mayor al Total Interconsultas generadas.</v>
      </c>
      <c r="CB71" s="433" t="str">
        <f>IF(J71&gt;E71," * El Total de PERTINENCIA ORIGEN  No puede ser mayor al Total Interconsultas generadas.","")</f>
        <v xml:space="preserve"> * El Total de PERTINENCIA ORIGEN  No puede ser mayor al Total Interconsultas generadas.</v>
      </c>
      <c r="CC71" s="433"/>
      <c r="CP71" s="436">
        <f>IF(J71&gt;E71,1,0)</f>
        <v>1</v>
      </c>
      <c r="CQ71" s="436"/>
    </row>
    <row r="72" spans="1:101" ht="15" customHeight="1" x14ac:dyDescent="0.25">
      <c r="A72" s="5810" t="s">
        <v>5720</v>
      </c>
      <c r="B72" s="7068" t="s">
        <v>1642</v>
      </c>
      <c r="C72" s="6995" t="s">
        <v>1643</v>
      </c>
      <c r="D72" s="6974"/>
      <c r="E72" s="3585" t="s">
        <v>4567</v>
      </c>
      <c r="F72" s="192" t="s">
        <v>4568</v>
      </c>
      <c r="G72" s="580" t="s">
        <v>4569</v>
      </c>
      <c r="H72" s="580" t="s">
        <v>4570</v>
      </c>
      <c r="I72" s="382" t="s">
        <v>4571</v>
      </c>
      <c r="J72" s="3533" t="s">
        <v>4572</v>
      </c>
      <c r="K72" s="192" t="s">
        <v>4573</v>
      </c>
      <c r="L72" s="580" t="s">
        <v>4574</v>
      </c>
      <c r="M72" s="580" t="s">
        <v>4575</v>
      </c>
      <c r="N72" s="383" t="s">
        <v>4576</v>
      </c>
      <c r="O72" s="2" t="s">
        <v>4577</v>
      </c>
      <c r="P72" t="str">
        <f t="shared" ref="P72:P81" si="85">CB72&amp;CC72</f>
        <v xml:space="preserve"> * El Total de PERTINENCIA ORIGEN  No puede ser mayor al Total Interconsultas generadas.</v>
      </c>
      <c r="CB72" s="433" t="str">
        <f t="shared" ref="CB72:CB80" si="86">IF(J72&gt;E72," * El Total de PERTINENCIA ORIGEN  No puede ser mayor al Total Interconsultas generadas.","")</f>
        <v xml:space="preserve"> * El Total de PERTINENCIA ORIGEN  No puede ser mayor al Total Interconsultas generadas.</v>
      </c>
      <c r="CC72" s="433"/>
      <c r="CP72" s="436">
        <f t="shared" ref="CP72:CP81" si="87">IF(J72&gt;E72,1,0)</f>
        <v>1</v>
      </c>
      <c r="CQ72" s="436"/>
    </row>
    <row r="73" spans="1:101" ht="15" customHeight="1" x14ac:dyDescent="0.25">
      <c r="A73" s="5810" t="s">
        <v>5721</v>
      </c>
      <c r="B73" s="7069"/>
      <c r="C73" s="6995" t="s">
        <v>1644</v>
      </c>
      <c r="D73" s="6974"/>
      <c r="E73" s="3585" t="s">
        <v>4567</v>
      </c>
      <c r="F73" s="345" t="s">
        <v>4568</v>
      </c>
      <c r="G73" s="368" t="s">
        <v>4569</v>
      </c>
      <c r="H73" s="368" t="s">
        <v>4570</v>
      </c>
      <c r="I73" s="349" t="s">
        <v>4571</v>
      </c>
      <c r="J73" s="3533" t="s">
        <v>4572</v>
      </c>
      <c r="K73" s="345" t="s">
        <v>4573</v>
      </c>
      <c r="L73" s="368" t="s">
        <v>4574</v>
      </c>
      <c r="M73" s="368" t="s">
        <v>4575</v>
      </c>
      <c r="N73" s="351" t="s">
        <v>4576</v>
      </c>
      <c r="O73" s="346" t="s">
        <v>4577</v>
      </c>
      <c r="P73" t="str">
        <f t="shared" si="85"/>
        <v xml:space="preserve"> * El Total de PERTINENCIA ORIGEN  No puede ser mayor al Total Interconsultas generadas.</v>
      </c>
      <c r="CB73" s="433" t="str">
        <f t="shared" si="86"/>
        <v xml:space="preserve"> * El Total de PERTINENCIA ORIGEN  No puede ser mayor al Total Interconsultas generadas.</v>
      </c>
      <c r="CC73" s="433"/>
      <c r="CP73" s="436">
        <f t="shared" si="87"/>
        <v>1</v>
      </c>
      <c r="CQ73" s="436"/>
    </row>
    <row r="74" spans="1:101" ht="15" customHeight="1" x14ac:dyDescent="0.25">
      <c r="A74" s="5810" t="s">
        <v>5722</v>
      </c>
      <c r="B74" s="6995" t="s">
        <v>1645</v>
      </c>
      <c r="C74" s="6974"/>
      <c r="D74" s="6974"/>
      <c r="E74" s="3585" t="s">
        <v>4567</v>
      </c>
      <c r="F74" s="345" t="s">
        <v>4568</v>
      </c>
      <c r="G74" s="368" t="s">
        <v>4569</v>
      </c>
      <c r="H74" s="368" t="s">
        <v>4570</v>
      </c>
      <c r="I74" s="349" t="s">
        <v>4571</v>
      </c>
      <c r="J74" s="3533" t="s">
        <v>4572</v>
      </c>
      <c r="K74" s="345" t="s">
        <v>4573</v>
      </c>
      <c r="L74" s="368" t="s">
        <v>4574</v>
      </c>
      <c r="M74" s="368" t="s">
        <v>4575</v>
      </c>
      <c r="N74" s="351" t="s">
        <v>4576</v>
      </c>
      <c r="O74" s="346" t="s">
        <v>4577</v>
      </c>
      <c r="P74" t="str">
        <f t="shared" si="85"/>
        <v xml:space="preserve"> * El Total de PERTINENCIA ORIGEN  No puede ser mayor al Total Interconsultas generadas.</v>
      </c>
      <c r="CB74" s="433" t="str">
        <f t="shared" si="86"/>
        <v xml:space="preserve"> * El Total de PERTINENCIA ORIGEN  No puede ser mayor al Total Interconsultas generadas.</v>
      </c>
      <c r="CC74" s="433"/>
      <c r="CP74" s="436">
        <f t="shared" si="87"/>
        <v>1</v>
      </c>
      <c r="CQ74" s="436"/>
    </row>
    <row r="75" spans="1:101" ht="15" customHeight="1" x14ac:dyDescent="0.25">
      <c r="A75" s="5810" t="s">
        <v>5723</v>
      </c>
      <c r="B75" s="7011" t="s">
        <v>1646</v>
      </c>
      <c r="C75" s="7012"/>
      <c r="D75" s="7012"/>
      <c r="E75" s="3585" t="s">
        <v>4567</v>
      </c>
      <c r="F75" s="345" t="s">
        <v>4568</v>
      </c>
      <c r="G75" s="368" t="s">
        <v>4569</v>
      </c>
      <c r="H75" s="368" t="s">
        <v>4570</v>
      </c>
      <c r="I75" s="349" t="s">
        <v>4571</v>
      </c>
      <c r="J75" s="3533" t="s">
        <v>4572</v>
      </c>
      <c r="K75" s="345" t="s">
        <v>4573</v>
      </c>
      <c r="L75" s="368" t="s">
        <v>4574</v>
      </c>
      <c r="M75" s="368" t="s">
        <v>4575</v>
      </c>
      <c r="N75" s="351" t="s">
        <v>4576</v>
      </c>
      <c r="O75" s="346" t="s">
        <v>4577</v>
      </c>
      <c r="P75" t="str">
        <f t="shared" si="85"/>
        <v xml:space="preserve"> * El Total de PERTINENCIA ORIGEN  No puede ser mayor al Total Interconsultas generadas.</v>
      </c>
      <c r="CB75" s="433" t="str">
        <f t="shared" si="86"/>
        <v xml:space="preserve"> * El Total de PERTINENCIA ORIGEN  No puede ser mayor al Total Interconsultas generadas.</v>
      </c>
      <c r="CC75" s="433"/>
      <c r="CP75" s="436">
        <f t="shared" si="87"/>
        <v>1</v>
      </c>
      <c r="CQ75" s="436"/>
    </row>
    <row r="76" spans="1:101" ht="15" customHeight="1" x14ac:dyDescent="0.25">
      <c r="A76" s="5810" t="s">
        <v>5724</v>
      </c>
      <c r="B76" s="6995" t="s">
        <v>1647</v>
      </c>
      <c r="C76" s="6974"/>
      <c r="D76" s="6974"/>
      <c r="E76" s="3585" t="s">
        <v>4567</v>
      </c>
      <c r="F76" s="345" t="s">
        <v>4568</v>
      </c>
      <c r="G76" s="368" t="s">
        <v>4569</v>
      </c>
      <c r="H76" s="368" t="s">
        <v>4570</v>
      </c>
      <c r="I76" s="349" t="s">
        <v>4571</v>
      </c>
      <c r="J76" s="3533" t="s">
        <v>4572</v>
      </c>
      <c r="K76" s="345" t="s">
        <v>4573</v>
      </c>
      <c r="L76" s="368" t="s">
        <v>4574</v>
      </c>
      <c r="M76" s="368" t="s">
        <v>4575</v>
      </c>
      <c r="N76" s="351" t="s">
        <v>4576</v>
      </c>
      <c r="O76" s="346" t="s">
        <v>4577</v>
      </c>
      <c r="P76" t="str">
        <f t="shared" si="85"/>
        <v xml:space="preserve"> * El Total de PERTINENCIA ORIGEN  No puede ser mayor al Total Interconsultas generadas.</v>
      </c>
      <c r="CB76" s="433" t="str">
        <f t="shared" si="86"/>
        <v xml:space="preserve"> * El Total de PERTINENCIA ORIGEN  No puede ser mayor al Total Interconsultas generadas.</v>
      </c>
      <c r="CC76" s="433"/>
      <c r="CP76" s="436">
        <f t="shared" si="87"/>
        <v>1</v>
      </c>
      <c r="CQ76" s="436"/>
    </row>
    <row r="77" spans="1:101" ht="15" customHeight="1" x14ac:dyDescent="0.25">
      <c r="A77" s="5810" t="s">
        <v>5725</v>
      </c>
      <c r="B77" s="7011" t="s">
        <v>1648</v>
      </c>
      <c r="C77" s="7012"/>
      <c r="D77" s="7012"/>
      <c r="E77" s="3585" t="s">
        <v>4567</v>
      </c>
      <c r="F77" s="345" t="s">
        <v>4568</v>
      </c>
      <c r="G77" s="368" t="s">
        <v>4569</v>
      </c>
      <c r="H77" s="368" t="s">
        <v>4570</v>
      </c>
      <c r="I77" s="349" t="s">
        <v>4571</v>
      </c>
      <c r="J77" s="3533" t="s">
        <v>4572</v>
      </c>
      <c r="K77" s="345" t="s">
        <v>4573</v>
      </c>
      <c r="L77" s="368" t="s">
        <v>4574</v>
      </c>
      <c r="M77" s="368" t="s">
        <v>4575</v>
      </c>
      <c r="N77" s="351" t="s">
        <v>4576</v>
      </c>
      <c r="O77" s="346" t="s">
        <v>4577</v>
      </c>
      <c r="P77" t="str">
        <f t="shared" si="85"/>
        <v xml:space="preserve"> * El Total de PERTINENCIA ORIGEN  No puede ser mayor al Total Interconsultas generadas.</v>
      </c>
      <c r="CB77" s="433" t="str">
        <f t="shared" si="86"/>
        <v xml:space="preserve"> * El Total de PERTINENCIA ORIGEN  No puede ser mayor al Total Interconsultas generadas.</v>
      </c>
      <c r="CC77" s="433"/>
      <c r="CP77" s="436">
        <f t="shared" si="87"/>
        <v>1</v>
      </c>
      <c r="CQ77" s="436"/>
    </row>
    <row r="78" spans="1:101" ht="15" customHeight="1" x14ac:dyDescent="0.25">
      <c r="A78" s="5810" t="s">
        <v>5726</v>
      </c>
      <c r="B78" s="6995" t="s">
        <v>1649</v>
      </c>
      <c r="C78" s="6974"/>
      <c r="D78" s="6974"/>
      <c r="E78" s="3585" t="s">
        <v>4567</v>
      </c>
      <c r="F78" s="345" t="s">
        <v>4568</v>
      </c>
      <c r="G78" s="368" t="s">
        <v>4569</v>
      </c>
      <c r="H78" s="368" t="s">
        <v>4570</v>
      </c>
      <c r="I78" s="349" t="s">
        <v>4571</v>
      </c>
      <c r="J78" s="3533" t="s">
        <v>4572</v>
      </c>
      <c r="K78" s="345" t="s">
        <v>4573</v>
      </c>
      <c r="L78" s="368" t="s">
        <v>4574</v>
      </c>
      <c r="M78" s="368" t="s">
        <v>4575</v>
      </c>
      <c r="N78" s="351" t="s">
        <v>4576</v>
      </c>
      <c r="O78" s="346" t="s">
        <v>4577</v>
      </c>
      <c r="P78" t="str">
        <f t="shared" si="85"/>
        <v xml:space="preserve"> * El Total de PERTINENCIA ORIGEN  No puede ser mayor al Total Interconsultas generadas.</v>
      </c>
      <c r="CB78" s="433" t="str">
        <f t="shared" si="86"/>
        <v xml:space="preserve"> * El Total de PERTINENCIA ORIGEN  No puede ser mayor al Total Interconsultas generadas.</v>
      </c>
      <c r="CC78" s="433"/>
      <c r="CP78" s="436">
        <f t="shared" si="87"/>
        <v>1</v>
      </c>
      <c r="CQ78" s="436"/>
    </row>
    <row r="79" spans="1:101" ht="15" customHeight="1" x14ac:dyDescent="0.25">
      <c r="A79" s="5810" t="s">
        <v>5727</v>
      </c>
      <c r="B79" s="6995" t="s">
        <v>1650</v>
      </c>
      <c r="C79" s="6974"/>
      <c r="D79" s="6974"/>
      <c r="E79" s="3585" t="s">
        <v>4567</v>
      </c>
      <c r="F79" s="345" t="s">
        <v>4568</v>
      </c>
      <c r="G79" s="368" t="s">
        <v>4569</v>
      </c>
      <c r="H79" s="368" t="s">
        <v>4570</v>
      </c>
      <c r="I79" s="349" t="s">
        <v>4571</v>
      </c>
      <c r="J79" s="3533" t="s">
        <v>4572</v>
      </c>
      <c r="K79" s="345" t="s">
        <v>4573</v>
      </c>
      <c r="L79" s="368" t="s">
        <v>4574</v>
      </c>
      <c r="M79" s="368" t="s">
        <v>4575</v>
      </c>
      <c r="N79" s="351" t="s">
        <v>4576</v>
      </c>
      <c r="O79" s="346" t="s">
        <v>4577</v>
      </c>
      <c r="P79" t="str">
        <f t="shared" si="85"/>
        <v xml:space="preserve"> * El Total de PERTINENCIA ORIGEN  No puede ser mayor al Total Interconsultas generadas.</v>
      </c>
      <c r="CB79" s="433" t="str">
        <f t="shared" si="86"/>
        <v xml:space="preserve"> * El Total de PERTINENCIA ORIGEN  No puede ser mayor al Total Interconsultas generadas.</v>
      </c>
      <c r="CC79" s="433"/>
      <c r="CP79" s="436">
        <f t="shared" si="87"/>
        <v>1</v>
      </c>
      <c r="CQ79" s="436"/>
    </row>
    <row r="80" spans="1:101" ht="15" customHeight="1" x14ac:dyDescent="0.25">
      <c r="A80" s="5810" t="s">
        <v>5728</v>
      </c>
      <c r="B80" s="6995" t="s">
        <v>1651</v>
      </c>
      <c r="C80" s="6974"/>
      <c r="D80" s="6974"/>
      <c r="E80" s="3585" t="s">
        <v>4567</v>
      </c>
      <c r="F80" s="345" t="s">
        <v>4568</v>
      </c>
      <c r="G80" s="368" t="s">
        <v>4569</v>
      </c>
      <c r="H80" s="368" t="s">
        <v>4570</v>
      </c>
      <c r="I80" s="349" t="s">
        <v>4571</v>
      </c>
      <c r="J80" s="3533" t="s">
        <v>4572</v>
      </c>
      <c r="K80" s="345" t="s">
        <v>4573</v>
      </c>
      <c r="L80" s="368" t="s">
        <v>4574</v>
      </c>
      <c r="M80" s="368" t="s">
        <v>4575</v>
      </c>
      <c r="N80" s="351" t="s">
        <v>4576</v>
      </c>
      <c r="O80" s="346" t="s">
        <v>4577</v>
      </c>
      <c r="P80" t="str">
        <f t="shared" si="85"/>
        <v xml:space="preserve"> * El Total de PERTINENCIA ORIGEN  No puede ser mayor al Total Interconsultas generadas.</v>
      </c>
      <c r="CB80" s="433" t="str">
        <f t="shared" si="86"/>
        <v xml:space="preserve"> * El Total de PERTINENCIA ORIGEN  No puede ser mayor al Total Interconsultas generadas.</v>
      </c>
      <c r="CC80" s="433"/>
      <c r="CP80" s="436">
        <f t="shared" si="87"/>
        <v>1</v>
      </c>
      <c r="CQ80" s="436"/>
    </row>
    <row r="81" spans="1:103" ht="15" customHeight="1" x14ac:dyDescent="0.25">
      <c r="A81" s="5810" t="s">
        <v>5729</v>
      </c>
      <c r="B81" s="7008" t="s">
        <v>1652</v>
      </c>
      <c r="C81" s="7006"/>
      <c r="D81" s="7006"/>
      <c r="E81" s="775" t="s">
        <v>4567</v>
      </c>
      <c r="F81" s="379" t="s">
        <v>4568</v>
      </c>
      <c r="G81" s="2872" t="s">
        <v>4569</v>
      </c>
      <c r="H81" s="2872" t="s">
        <v>4570</v>
      </c>
      <c r="I81" s="388" t="s">
        <v>4571</v>
      </c>
      <c r="J81" s="775" t="s">
        <v>4572</v>
      </c>
      <c r="K81" s="379" t="s">
        <v>4573</v>
      </c>
      <c r="L81" s="2872" t="s">
        <v>4574</v>
      </c>
      <c r="M81" s="2872" t="s">
        <v>4575</v>
      </c>
      <c r="N81" s="389" t="s">
        <v>4576</v>
      </c>
      <c r="O81" s="387" t="s">
        <v>4577</v>
      </c>
      <c r="P81" t="str">
        <f t="shared" si="85"/>
        <v xml:space="preserve"> * El Total de PERTINENCIA ORIGEN  No puede ser mayor al Total Interconsultas generadas.</v>
      </c>
      <c r="CB81" s="433" t="str">
        <f>IF(J81&gt;E81," * El Total de PERTINENCIA ORIGEN  No puede ser mayor al Total Interconsultas generadas.","")</f>
        <v xml:space="preserve"> * El Total de PERTINENCIA ORIGEN  No puede ser mayor al Total Interconsultas generadas.</v>
      </c>
      <c r="CC81" s="433"/>
      <c r="CP81" s="436">
        <f t="shared" si="87"/>
        <v>1</v>
      </c>
      <c r="CQ81" s="436"/>
    </row>
    <row r="82" spans="1:103" ht="18" customHeight="1" x14ac:dyDescent="0.25">
      <c r="B82" s="13" t="s">
        <v>1653</v>
      </c>
    </row>
    <row r="83" spans="1:103" ht="15" customHeight="1" x14ac:dyDescent="0.25">
      <c r="B83" s="6575" t="s">
        <v>1654</v>
      </c>
      <c r="C83" s="6491"/>
      <c r="D83" s="6576"/>
      <c r="E83" s="6989" t="s">
        <v>1655</v>
      </c>
      <c r="F83" s="6534"/>
      <c r="G83" s="6962"/>
    </row>
    <row r="84" spans="1:103" ht="15" customHeight="1" x14ac:dyDescent="0.25">
      <c r="B84" s="6750"/>
      <c r="C84" s="6749"/>
      <c r="D84" s="6913"/>
      <c r="E84" s="3403" t="s">
        <v>77</v>
      </c>
      <c r="F84" s="3452" t="s">
        <v>58</v>
      </c>
      <c r="G84" s="3586" t="s">
        <v>59</v>
      </c>
    </row>
    <row r="85" spans="1:103" ht="15" customHeight="1" x14ac:dyDescent="0.25">
      <c r="A85" s="5812" t="s">
        <v>5730</v>
      </c>
      <c r="B85" s="6453" t="s">
        <v>1656</v>
      </c>
      <c r="C85" s="7009" t="s">
        <v>1657</v>
      </c>
      <c r="D85" s="7010"/>
      <c r="E85" s="343" t="s">
        <v>4567</v>
      </c>
      <c r="F85" s="290" t="s">
        <v>4568</v>
      </c>
      <c r="G85" s="622" t="s">
        <v>4569</v>
      </c>
    </row>
    <row r="86" spans="1:103" ht="15" customHeight="1" x14ac:dyDescent="0.25">
      <c r="A86" s="5812" t="s">
        <v>5731</v>
      </c>
      <c r="B86" s="6842"/>
      <c r="C86" s="6536" t="s">
        <v>1658</v>
      </c>
      <c r="D86" s="6325"/>
      <c r="E86" s="517" t="s">
        <v>4567</v>
      </c>
      <c r="F86" s="379" t="s">
        <v>4568</v>
      </c>
      <c r="G86" s="388" t="s">
        <v>4569</v>
      </c>
    </row>
    <row r="87" spans="1:103" ht="18" customHeight="1" x14ac:dyDescent="0.25">
      <c r="A87" s="5548"/>
      <c r="B87" s="3" t="s">
        <v>1659</v>
      </c>
      <c r="C87" s="3587"/>
      <c r="D87" s="3587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</row>
    <row r="88" spans="1:103" ht="15" customHeight="1" x14ac:dyDescent="0.25">
      <c r="A88" s="5548"/>
      <c r="B88" s="6491" t="s">
        <v>1660</v>
      </c>
      <c r="C88" s="6491"/>
      <c r="D88" s="6576"/>
      <c r="E88" s="6575" t="s">
        <v>77</v>
      </c>
      <c r="F88" s="6491"/>
      <c r="G88" s="6576"/>
      <c r="H88" s="6956" t="s">
        <v>101</v>
      </c>
      <c r="I88" s="6515"/>
      <c r="J88" s="6515"/>
      <c r="K88" s="6515"/>
      <c r="L88" s="6515"/>
      <c r="M88" s="6515"/>
      <c r="N88" s="6515"/>
      <c r="O88" s="6515"/>
      <c r="P88" s="6515"/>
      <c r="Q88" s="6515"/>
      <c r="R88" s="6515"/>
      <c r="S88" s="6515"/>
      <c r="T88" s="6515"/>
      <c r="U88" s="6515"/>
      <c r="V88" s="6515"/>
      <c r="W88" s="6515"/>
      <c r="X88" s="6515"/>
      <c r="Y88" s="6515"/>
      <c r="Z88" s="6515"/>
      <c r="AA88" s="6515"/>
      <c r="AB88" s="6515"/>
      <c r="AC88" s="6515"/>
      <c r="AD88" s="6515"/>
      <c r="AE88" s="6515"/>
      <c r="AF88" s="6515"/>
      <c r="AG88" s="6515"/>
      <c r="AH88" s="6515"/>
      <c r="AI88" s="6515"/>
      <c r="AJ88" s="6515"/>
      <c r="AK88" s="6515"/>
      <c r="AL88" s="6515"/>
      <c r="AM88" s="6515"/>
      <c r="AN88" s="6515"/>
      <c r="AO88" s="6957"/>
      <c r="AP88" s="7014" t="s">
        <v>1661</v>
      </c>
      <c r="AQ88" s="6920" t="s">
        <v>1593</v>
      </c>
      <c r="AR88" s="6645" t="s">
        <v>1662</v>
      </c>
      <c r="AS88" s="6645" t="s">
        <v>1663</v>
      </c>
      <c r="AT88" s="6645" t="s">
        <v>1664</v>
      </c>
      <c r="AU88" s="7013" t="s">
        <v>1665</v>
      </c>
      <c r="AV88" s="6645" t="s">
        <v>1575</v>
      </c>
      <c r="AW88" s="6645" t="s">
        <v>1576</v>
      </c>
      <c r="AX88" s="6958" t="s">
        <v>37</v>
      </c>
      <c r="AY88" s="6820" t="s">
        <v>1666</v>
      </c>
    </row>
    <row r="89" spans="1:103" ht="15" customHeight="1" x14ac:dyDescent="0.25">
      <c r="A89" s="5548"/>
      <c r="B89" s="6954"/>
      <c r="C89" s="6954"/>
      <c r="D89" s="6331"/>
      <c r="E89" s="6750"/>
      <c r="F89" s="6749"/>
      <c r="G89" s="6913"/>
      <c r="H89" s="6947" t="s">
        <v>1667</v>
      </c>
      <c r="I89" s="6961"/>
      <c r="J89" s="6956" t="s">
        <v>381</v>
      </c>
      <c r="K89" s="6545"/>
      <c r="L89" s="6956" t="s">
        <v>1577</v>
      </c>
      <c r="M89" s="6545"/>
      <c r="N89" s="6956" t="s">
        <v>383</v>
      </c>
      <c r="O89" s="6545"/>
      <c r="P89" s="6956" t="s">
        <v>384</v>
      </c>
      <c r="Q89" s="6545"/>
      <c r="R89" s="6956" t="s">
        <v>385</v>
      </c>
      <c r="S89" s="6545"/>
      <c r="T89" s="6956" t="s">
        <v>386</v>
      </c>
      <c r="U89" s="6545"/>
      <c r="V89" s="6515" t="s">
        <v>1578</v>
      </c>
      <c r="W89" s="6545"/>
      <c r="X89" s="6956" t="s">
        <v>303</v>
      </c>
      <c r="Y89" s="6962"/>
      <c r="Z89" s="6956" t="s">
        <v>304</v>
      </c>
      <c r="AA89" s="6962"/>
      <c r="AB89" s="6956" t="s">
        <v>1579</v>
      </c>
      <c r="AC89" s="6962"/>
      <c r="AD89" s="6956" t="s">
        <v>1580</v>
      </c>
      <c r="AE89" s="6962"/>
      <c r="AF89" s="6956" t="s">
        <v>1581</v>
      </c>
      <c r="AG89" s="6962"/>
      <c r="AH89" s="6956" t="s">
        <v>1582</v>
      </c>
      <c r="AI89" s="6962"/>
      <c r="AJ89" s="6956" t="s">
        <v>1583</v>
      </c>
      <c r="AK89" s="6962"/>
      <c r="AL89" s="6515" t="s">
        <v>1584</v>
      </c>
      <c r="AM89" s="6962"/>
      <c r="AN89" s="6956" t="s">
        <v>938</v>
      </c>
      <c r="AO89" s="6943"/>
      <c r="AP89" s="7014"/>
      <c r="AQ89" s="6920"/>
      <c r="AR89" s="6386"/>
      <c r="AS89" s="6386"/>
      <c r="AT89" s="6386"/>
      <c r="AU89" s="7013"/>
      <c r="AV89" s="6386"/>
      <c r="AW89" s="6386"/>
      <c r="AX89" s="6959"/>
      <c r="AY89" s="6355"/>
    </row>
    <row r="90" spans="1:103" ht="15" customHeight="1" x14ac:dyDescent="0.25">
      <c r="A90" s="5548"/>
      <c r="B90" s="6749"/>
      <c r="C90" s="6749"/>
      <c r="D90" s="6913"/>
      <c r="E90" s="3405" t="s">
        <v>79</v>
      </c>
      <c r="F90" s="3424" t="s">
        <v>58</v>
      </c>
      <c r="G90" s="591" t="s">
        <v>59</v>
      </c>
      <c r="H90" s="3405" t="s">
        <v>58</v>
      </c>
      <c r="I90" s="591" t="s">
        <v>59</v>
      </c>
      <c r="J90" s="3405" t="s">
        <v>58</v>
      </c>
      <c r="K90" s="590" t="s">
        <v>59</v>
      </c>
      <c r="L90" s="3405" t="s">
        <v>58</v>
      </c>
      <c r="M90" s="591" t="s">
        <v>59</v>
      </c>
      <c r="N90" s="3405" t="s">
        <v>58</v>
      </c>
      <c r="O90" s="591" t="s">
        <v>59</v>
      </c>
      <c r="P90" s="3424" t="s">
        <v>58</v>
      </c>
      <c r="Q90" s="591" t="s">
        <v>59</v>
      </c>
      <c r="R90" s="3424" t="s">
        <v>58</v>
      </c>
      <c r="S90" s="591" t="s">
        <v>59</v>
      </c>
      <c r="T90" s="3424" t="s">
        <v>58</v>
      </c>
      <c r="U90" s="591" t="s">
        <v>59</v>
      </c>
      <c r="V90" s="3424" t="s">
        <v>58</v>
      </c>
      <c r="W90" s="591" t="s">
        <v>59</v>
      </c>
      <c r="X90" s="3424" t="s">
        <v>58</v>
      </c>
      <c r="Y90" s="591" t="s">
        <v>59</v>
      </c>
      <c r="Z90" s="3424" t="s">
        <v>58</v>
      </c>
      <c r="AA90" s="591" t="s">
        <v>59</v>
      </c>
      <c r="AB90" s="3424" t="s">
        <v>58</v>
      </c>
      <c r="AC90" s="591" t="s">
        <v>59</v>
      </c>
      <c r="AD90" s="3424" t="s">
        <v>58</v>
      </c>
      <c r="AE90" s="591" t="s">
        <v>59</v>
      </c>
      <c r="AF90" s="3424" t="s">
        <v>58</v>
      </c>
      <c r="AG90" s="591" t="s">
        <v>59</v>
      </c>
      <c r="AH90" s="3424" t="s">
        <v>58</v>
      </c>
      <c r="AI90" s="591" t="s">
        <v>59</v>
      </c>
      <c r="AJ90" s="3424" t="s">
        <v>58</v>
      </c>
      <c r="AK90" s="591" t="s">
        <v>59</v>
      </c>
      <c r="AL90" s="3424" t="s">
        <v>58</v>
      </c>
      <c r="AM90" s="591" t="s">
        <v>59</v>
      </c>
      <c r="AN90" s="3424" t="s">
        <v>58</v>
      </c>
      <c r="AO90" s="3431" t="s">
        <v>59</v>
      </c>
      <c r="AP90" s="7014"/>
      <c r="AQ90" s="6920"/>
      <c r="AR90" s="6086"/>
      <c r="AS90" s="6086"/>
      <c r="AT90" s="6086"/>
      <c r="AU90" s="7013"/>
      <c r="AV90" s="6086"/>
      <c r="AW90" s="6086"/>
      <c r="AX90" s="6960"/>
      <c r="AY90" s="7065"/>
    </row>
    <row r="91" spans="1:103" ht="15" customHeight="1" x14ac:dyDescent="0.25">
      <c r="A91" s="5813" t="s">
        <v>5732</v>
      </c>
      <c r="B91" s="6453" t="s">
        <v>1668</v>
      </c>
      <c r="C91" s="6914" t="s">
        <v>1669</v>
      </c>
      <c r="D91" s="6915"/>
      <c r="E91" s="3254" t="s">
        <v>4567</v>
      </c>
      <c r="F91" s="3460" t="s">
        <v>4568</v>
      </c>
      <c r="G91" s="2963" t="s">
        <v>4569</v>
      </c>
      <c r="H91" s="3227" t="s">
        <v>4570</v>
      </c>
      <c r="I91" s="748" t="s">
        <v>4571</v>
      </c>
      <c r="J91" s="3227" t="s">
        <v>4572</v>
      </c>
      <c r="K91" s="3261" t="s">
        <v>4573</v>
      </c>
      <c r="L91" s="3227" t="s">
        <v>4574</v>
      </c>
      <c r="M91" s="748" t="s">
        <v>4575</v>
      </c>
      <c r="N91" s="3227" t="s">
        <v>4576</v>
      </c>
      <c r="O91" s="748" t="s">
        <v>4577</v>
      </c>
      <c r="P91" s="3226" t="s">
        <v>4578</v>
      </c>
      <c r="Q91" s="748" t="s">
        <v>4579</v>
      </c>
      <c r="R91" s="3226" t="s">
        <v>4580</v>
      </c>
      <c r="S91" s="748" t="s">
        <v>4581</v>
      </c>
      <c r="T91" s="3226" t="s">
        <v>4582</v>
      </c>
      <c r="U91" s="748" t="s">
        <v>4583</v>
      </c>
      <c r="V91" s="3226" t="s">
        <v>4584</v>
      </c>
      <c r="W91" s="748" t="s">
        <v>4585</v>
      </c>
      <c r="X91" s="3226" t="s">
        <v>4586</v>
      </c>
      <c r="Y91" s="748" t="s">
        <v>4587</v>
      </c>
      <c r="Z91" s="3226" t="s">
        <v>4588</v>
      </c>
      <c r="AA91" s="748" t="s">
        <v>4589</v>
      </c>
      <c r="AB91" s="3226" t="s">
        <v>4590</v>
      </c>
      <c r="AC91" s="748" t="s">
        <v>4591</v>
      </c>
      <c r="AD91" s="3226" t="s">
        <v>4592</v>
      </c>
      <c r="AE91" s="748" t="s">
        <v>4593</v>
      </c>
      <c r="AF91" s="3226" t="s">
        <v>4594</v>
      </c>
      <c r="AG91" s="748" t="s">
        <v>4595</v>
      </c>
      <c r="AH91" s="3226" t="s">
        <v>4596</v>
      </c>
      <c r="AI91" s="748" t="s">
        <v>4597</v>
      </c>
      <c r="AJ91" s="3226" t="s">
        <v>4598</v>
      </c>
      <c r="AK91" s="748" t="s">
        <v>4599</v>
      </c>
      <c r="AL91" s="3226" t="s">
        <v>4600</v>
      </c>
      <c r="AM91" s="748" t="s">
        <v>4601</v>
      </c>
      <c r="AN91" s="3226" t="s">
        <v>4602</v>
      </c>
      <c r="AO91" s="736" t="s">
        <v>4603</v>
      </c>
      <c r="AP91" s="735" t="s">
        <v>4604</v>
      </c>
      <c r="AQ91" s="750" t="s">
        <v>4605</v>
      </c>
      <c r="AR91" s="750" t="s">
        <v>4606</v>
      </c>
      <c r="AS91" s="750" t="s">
        <v>4934</v>
      </c>
      <c r="AT91" s="750" t="s">
        <v>4935</v>
      </c>
      <c r="AU91" s="750" t="s">
        <v>4936</v>
      </c>
      <c r="AV91" s="750" t="s">
        <v>4937</v>
      </c>
      <c r="AW91" s="750" t="s">
        <v>5234</v>
      </c>
      <c r="AX91" s="750" t="s">
        <v>5235</v>
      </c>
      <c r="AY91" s="645" t="s">
        <v>5236</v>
      </c>
      <c r="AZ91" t="e">
        <f>CB91&amp;CC91&amp;CD91&amp;CE91&amp;CF91&amp;CG91&amp;CH91&amp;CI91&amp;CJ91&amp;CK91</f>
        <v>#VALUE!</v>
      </c>
      <c r="CB91" s="433" t="e">
        <f t="shared" ref="CB91:CB103" si="88">IF(AND((X91+Y91)&gt;0,AP91="")," * No olvide digitar la variable 12 años (incluido en el grupo de 10-14 años). Digite Cero si no tiene.",IF(AP91&gt;(X91+Y91),"* Las Consultas de 12 años (incluido en el grupo de 10-14 años) NO DEBEN ser mayor que el total de Consultas entre 10-14 años",""))</f>
        <v>#VALUE!</v>
      </c>
      <c r="CC91" s="433" t="str">
        <f>IF(AND($G91&gt;0,AQ91="")," * No olvide digitar la variable Gestante. Digite cero si no tiene.",IF(AQ91&gt;$G91," * La variable Gestante NO DEBEN ser mayor al Total de Mujeres. ",""))</f>
        <v xml:space="preserve"> * La variable Gestante NO DEBEN ser mayor al Total de Mujeres. </v>
      </c>
      <c r="CD91" s="433" t="str">
        <f>IF(AND(E91&gt;0,AR91="")," * No olvide digitar la variable  Atención bajo sedación inhalatoria (con óxido nitroso). Digite Cero si no tiene.",IF(AR91&gt;E91," * La variable  Atención bajo sedación inhalatoria (con óxido nitroso) NO DEBE ser mayor que el Total Ambos Sexos",""))</f>
        <v xml:space="preserve"> * La variable  Atención bajo sedación inhalatoria (con óxido nitroso) NO DEBE ser mayor que el Total Ambos Sexos</v>
      </c>
      <c r="CE91" s="433" t="e">
        <f>IF(AND((AJ91+AK91)&gt;0,AS91="")," * No olvide digitar la variable 60 años (incluido en grupos de 60-64 años). Digite Cero si no tiene.",IF(AS91&gt;(AJ91+AK91)," * La variable 60 años (incluido en grupos de 60-64 años) NO DEBE ser mayor que el Total de consultas del grupo 60-64 años",""))</f>
        <v>#VALUE!</v>
      </c>
      <c r="CF91" s="433" t="str">
        <f>IF(AND($E91&gt;0,AT91="")," * No olvide digitar la variable Compra de Servicios. Digite Cero si no tiene.",IF(AT91&gt;$E91," * La variable Compra de Servicio No puede ser mayor al Total Ambos Sexos.",""))</f>
        <v xml:space="preserve"> * La variable Compra de Servicio No puede ser mayor al Total Ambos Sexos.</v>
      </c>
      <c r="CG91" s="433" t="str">
        <f>IF(AND($E91&gt;0,AU91="")," * No olvide digitar la Usuarios con Discapacidad. Digite Cero si no tiene.",IF(AU91&gt;$E91," * La variable Usuarios con Discapacidad No puede ser mayor al Total Ambos Sexos.",""))</f>
        <v xml:space="preserve"> * La variable Usuarios con Discapacidad No puede ser mayor al Total Ambos Sexos.</v>
      </c>
      <c r="CH91" s="433" t="str">
        <f>IF(AND($E91&gt;0,AV91="")," * No olvide digitar la variable Niños, niñas, adolescentes y jóvenes SENAME. Digite Cero si no tiene.",IF(AV91&gt;$E91," * La variable Niños, niñas, adolescentes y jóvenes SENAME No puede ser mayor al Total Ambos Sexos.",""))</f>
        <v xml:space="preserve"> * La variable Niños, niñas, adolescentes y jóvenes SENAME No puede ser mayor al Total Ambos Sexos.</v>
      </c>
      <c r="CI91" s="433" t="str">
        <f>IF(AND($E91&gt;0,AW91="")," * No olvide digitar la variable Niños, niñas, adolescentes y jóvenes Mejor Niñez. Digite Cero si no tiene.",IF(AW91&gt;$E91,"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J91" s="433" t="str">
        <f>IF(AND($E91&gt;0,AX91="")," * No olvide digitar la variable Migrantes. Digite Cero si no tiene.",IF(AX91&gt;$E91," * La variable Migrantes no puede ser mayor al Total Ambos Sexos.",""))</f>
        <v xml:space="preserve"> * La variable Migrantes no puede ser mayor al Total Ambos Sexos.</v>
      </c>
      <c r="CK91" s="435"/>
      <c r="CP91" s="434">
        <f t="shared" ref="CP91:CP103" si="89">IF(AND($E91&gt;0,AP91=""),1,IF(AP91&gt;E91,1,0))</f>
        <v>1</v>
      </c>
      <c r="CQ91" s="434">
        <f t="shared" ref="CQ91:CQ122" si="90">IF(AND($G91&gt;0,AQ91=""),1,IF(AQ91&gt;$G91,1,0))</f>
        <v>1</v>
      </c>
      <c r="CR91" s="434">
        <f t="shared" ref="CR91:CR122" si="91">IF(AND($E91&gt;0,AR91=""),1,IF(AR91&gt;$E91,1,0))</f>
        <v>1</v>
      </c>
      <c r="CS91" s="434" t="e">
        <f t="shared" ref="CS91:CS104" si="92">IF(AND(AJ91+AK91&gt;0,AS91=""),1,IF(AS91&gt;AJ91+AK91,1,0))</f>
        <v>#VALUE!</v>
      </c>
      <c r="CT91" s="434">
        <f t="shared" ref="CT91:CT122" si="93">IF(AND($E91&gt;0,AT91=""),1,IF(AT91&gt;$E91,1,0))</f>
        <v>1</v>
      </c>
      <c r="CU91" s="434">
        <f t="shared" ref="CU91:CU122" si="94">IF(AND($E91&gt;0,AU91=""),1,IF(AU91&gt;$E91,1,0))</f>
        <v>1</v>
      </c>
      <c r="CV91" s="434">
        <f t="shared" ref="CV91:CV122" si="95">IF(AND($E91&gt;0,AV91=""),1,IF(AV91&gt;$E91,1,0))</f>
        <v>1</v>
      </c>
      <c r="CW91" s="434">
        <f t="shared" ref="CW91:CW122" si="96">IF(AND($E91&gt;0,AW91=""),1,IF(AW91&gt;$E91,1,0))</f>
        <v>1</v>
      </c>
      <c r="CX91" s="434">
        <f t="shared" ref="CX91:CX122" si="97">IF(AND($E91&gt;0,AX91=""),1,IF(AX91&gt;$E91,1,0))</f>
        <v>1</v>
      </c>
      <c r="CY91" s="435"/>
    </row>
    <row r="92" spans="1:103" ht="15" customHeight="1" x14ac:dyDescent="0.25">
      <c r="A92" s="5813" t="s">
        <v>5733</v>
      </c>
      <c r="B92" s="6058"/>
      <c r="C92" s="6617" t="s">
        <v>1641</v>
      </c>
      <c r="D92" s="6618"/>
      <c r="E92" s="737" t="s">
        <v>4567</v>
      </c>
      <c r="F92" s="478" t="s">
        <v>4568</v>
      </c>
      <c r="G92" s="478" t="s">
        <v>4569</v>
      </c>
      <c r="H92" s="290" t="s">
        <v>4570</v>
      </c>
      <c r="I92" s="622" t="s">
        <v>4571</v>
      </c>
      <c r="J92" s="290" t="s">
        <v>4572</v>
      </c>
      <c r="K92" s="714" t="s">
        <v>4573</v>
      </c>
      <c r="L92" s="290" t="s">
        <v>4574</v>
      </c>
      <c r="M92" s="622" t="s">
        <v>4575</v>
      </c>
      <c r="N92" s="290" t="s">
        <v>4576</v>
      </c>
      <c r="O92" s="622" t="s">
        <v>4577</v>
      </c>
      <c r="P92" s="22" t="s">
        <v>4578</v>
      </c>
      <c r="Q92" s="622" t="s">
        <v>4579</v>
      </c>
      <c r="R92" s="22" t="s">
        <v>4580</v>
      </c>
      <c r="S92" s="622" t="s">
        <v>4581</v>
      </c>
      <c r="T92" s="22" t="s">
        <v>4582</v>
      </c>
      <c r="U92" s="622" t="s">
        <v>4583</v>
      </c>
      <c r="V92" s="22" t="s">
        <v>4584</v>
      </c>
      <c r="W92" s="622" t="s">
        <v>4585</v>
      </c>
      <c r="X92" s="22" t="s">
        <v>4586</v>
      </c>
      <c r="Y92" s="622" t="s">
        <v>4587</v>
      </c>
      <c r="Z92" s="22" t="s">
        <v>4588</v>
      </c>
      <c r="AA92" s="622" t="s">
        <v>4589</v>
      </c>
      <c r="AB92" s="22" t="s">
        <v>4590</v>
      </c>
      <c r="AC92" s="622" t="s">
        <v>4591</v>
      </c>
      <c r="AD92" s="22" t="s">
        <v>4592</v>
      </c>
      <c r="AE92" s="622" t="s">
        <v>4593</v>
      </c>
      <c r="AF92" s="22" t="s">
        <v>4594</v>
      </c>
      <c r="AG92" s="622" t="s">
        <v>4595</v>
      </c>
      <c r="AH92" s="22" t="s">
        <v>4596</v>
      </c>
      <c r="AI92" s="622" t="s">
        <v>4597</v>
      </c>
      <c r="AJ92" s="22" t="s">
        <v>4598</v>
      </c>
      <c r="AK92" s="622" t="s">
        <v>4599</v>
      </c>
      <c r="AL92" s="22" t="s">
        <v>4600</v>
      </c>
      <c r="AM92" s="622" t="s">
        <v>4601</v>
      </c>
      <c r="AN92" s="22" t="s">
        <v>4602</v>
      </c>
      <c r="AO92" s="430" t="s">
        <v>4603</v>
      </c>
      <c r="AP92" s="296" t="s">
        <v>4604</v>
      </c>
      <c r="AQ92" s="531" t="s">
        <v>4605</v>
      </c>
      <c r="AR92" s="531" t="s">
        <v>4606</v>
      </c>
      <c r="AS92" s="531" t="s">
        <v>4934</v>
      </c>
      <c r="AT92" s="531" t="s">
        <v>4935</v>
      </c>
      <c r="AU92" s="531" t="s">
        <v>4936</v>
      </c>
      <c r="AV92" s="531" t="s">
        <v>4937</v>
      </c>
      <c r="AW92" s="531" t="s">
        <v>5234</v>
      </c>
      <c r="AX92" s="531" t="s">
        <v>5235</v>
      </c>
      <c r="AY92" s="671" t="s">
        <v>5236</v>
      </c>
      <c r="AZ92" t="e">
        <f t="shared" ref="AZ92:AZ141" si="98">CB92&amp;CC92&amp;CD92&amp;CE92&amp;CF92&amp;CG92&amp;CH92&amp;CI92&amp;CJ92&amp;CK92</f>
        <v>#VALUE!</v>
      </c>
      <c r="CB92" s="433" t="e">
        <f t="shared" si="88"/>
        <v>#VALUE!</v>
      </c>
      <c r="CC92" s="433" t="str">
        <f t="shared" ref="CC92:CC142" si="99">IF(AND($G92&gt;0,AQ92="")," * No olvide digitar la variable Gestante. Digite cero si no tiene.",IF(AQ92&gt;$G92," * La variable Gestante NO DEBEN ser mayor al Total de Mujeres. ",""))</f>
        <v xml:space="preserve"> * La variable Gestante NO DEBEN ser mayor al Total de Mujeres. </v>
      </c>
      <c r="CD92" s="433" t="str">
        <f t="shared" ref="CD92:CD142" si="100">IF(AND(E92&gt;0,AR92="")," * No olvide digitar la variable  Atención bajo sedación inhalatoria (con óxido nitroso). Digite Cero si no tiene.",IF(AR92&gt;E92," * La variable  Atención bajo sedación inhalatoria (con óxido nitroso) NO DEBE ser mayor que el Total Ambos Sexos",""))</f>
        <v xml:space="preserve"> * La variable  Atención bajo sedación inhalatoria (con óxido nitroso) NO DEBE ser mayor que el Total Ambos Sexos</v>
      </c>
      <c r="CE92" s="433" t="e">
        <f t="shared" ref="CE92:CE142" si="101">IF(AND((AJ92+AK92)&gt;0,AS92="")," * No olvide digitar la variable 60 años (incluido en grupos de 60-64 años). Digite Cero si no tiene.",IF(AS92&gt;(AJ92+AK92)," * La variable 60 años (incluido en grupos de 60-64 años) NO DEBE ser mayor que el Total de consultas del grupo 60-64 años",""))</f>
        <v>#VALUE!</v>
      </c>
      <c r="CF92" s="433" t="str">
        <f t="shared" ref="CF92:CF142" si="102">IF(AND($E92&gt;0,AT92="")," * No olvide digitar la variable Compra de Servicios. Digite Cero si no tiene.",IF(AT92&gt;$E92," * La variable Compra de Servicio No puede ser mayor al Total Ambos Sexos.",""))</f>
        <v xml:space="preserve"> * La variable Compra de Servicio No puede ser mayor al Total Ambos Sexos.</v>
      </c>
      <c r="CG92" s="433" t="str">
        <f t="shared" ref="CG92:CG142" si="103">IF(AND($E92&gt;0,AU92="")," * No olvide digitar la Usuarios con Discapacidad. Digite Cero si no tiene.",IF(AU92&gt;$E92," * La variable Usuarios con Discapacidad No puede ser mayor al Total Ambos Sexos.",""))</f>
        <v xml:space="preserve"> * La variable Usuarios con Discapacidad No puede ser mayor al Total Ambos Sexos.</v>
      </c>
      <c r="CH92" s="433" t="str">
        <f t="shared" ref="CH92:CH142" si="104">IF(AND($E92&gt;0,AV92="")," * No olvide digitar la variable Niños, niñas, adolescentes y jóvenes SENAME. Digite Cero si no tiene.",IF(AV92&gt;$E92," * La variable Niños, niñas, adolescentes y jóvenes SENAME No puede ser mayor al Total Ambos Sexos.",""))</f>
        <v xml:space="preserve"> * La variable Niños, niñas, adolescentes y jóvenes SENAME No puede ser mayor al Total Ambos Sexos.</v>
      </c>
      <c r="CI92" s="433" t="str">
        <f t="shared" ref="CI92:CI142" si="105">IF(AND($E92&gt;0,AW92="")," * No olvide digitar la variable Niños, niñas, adolescentes y jóvenes Mejor Niñez. Digite Cero si no tiene.",IF(AW92&gt;$E92,"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J92" s="433" t="str">
        <f t="shared" ref="CJ92:CJ142" si="106">IF(AND($E92&gt;0,AX92="")," * No olvide digitar la variable Migrantes. Digite Cero si no tiene.",IF(AX92&gt;$E92," * La variable Migrantes no puede ser mayor al Total Ambos Sexos.",""))</f>
        <v xml:space="preserve"> * La variable Migrantes no puede ser mayor al Total Ambos Sexos.</v>
      </c>
      <c r="CK92" s="435"/>
      <c r="CP92" s="434">
        <f t="shared" si="89"/>
        <v>1</v>
      </c>
      <c r="CQ92" s="434">
        <f t="shared" si="90"/>
        <v>1</v>
      </c>
      <c r="CR92" s="434">
        <f t="shared" si="91"/>
        <v>1</v>
      </c>
      <c r="CS92" s="434" t="e">
        <f t="shared" si="92"/>
        <v>#VALUE!</v>
      </c>
      <c r="CT92" s="434">
        <f t="shared" si="93"/>
        <v>1</v>
      </c>
      <c r="CU92" s="434">
        <f t="shared" si="94"/>
        <v>1</v>
      </c>
      <c r="CV92" s="434">
        <f t="shared" si="95"/>
        <v>1</v>
      </c>
      <c r="CW92" s="434">
        <f t="shared" si="96"/>
        <v>1</v>
      </c>
      <c r="CX92" s="434">
        <f t="shared" si="97"/>
        <v>1</v>
      </c>
      <c r="CY92" s="435"/>
    </row>
    <row r="93" spans="1:103" ht="15" customHeight="1" x14ac:dyDescent="0.25">
      <c r="A93" s="5813" t="s">
        <v>5734</v>
      </c>
      <c r="B93" s="6058"/>
      <c r="C93" s="6617" t="s">
        <v>1646</v>
      </c>
      <c r="D93" s="6618"/>
      <c r="E93" s="737" t="s">
        <v>4567</v>
      </c>
      <c r="F93" s="478" t="s">
        <v>4568</v>
      </c>
      <c r="G93" s="478" t="s">
        <v>4569</v>
      </c>
      <c r="H93" s="345" t="s">
        <v>4570</v>
      </c>
      <c r="I93" s="622" t="s">
        <v>4571</v>
      </c>
      <c r="J93" s="290" t="s">
        <v>4572</v>
      </c>
      <c r="K93" s="714" t="s">
        <v>4573</v>
      </c>
      <c r="L93" s="290" t="s">
        <v>4574</v>
      </c>
      <c r="M93" s="349" t="s">
        <v>4575</v>
      </c>
      <c r="N93" s="345" t="s">
        <v>4576</v>
      </c>
      <c r="O93" s="349" t="s">
        <v>4577</v>
      </c>
      <c r="P93" s="347" t="s">
        <v>4578</v>
      </c>
      <c r="Q93" s="349" t="s">
        <v>4579</v>
      </c>
      <c r="R93" s="347" t="s">
        <v>4580</v>
      </c>
      <c r="S93" s="349" t="s">
        <v>4581</v>
      </c>
      <c r="T93" s="347" t="s">
        <v>4582</v>
      </c>
      <c r="U93" s="349" t="s">
        <v>4583</v>
      </c>
      <c r="V93" s="347" t="s">
        <v>4584</v>
      </c>
      <c r="W93" s="349" t="s">
        <v>4585</v>
      </c>
      <c r="X93" s="347" t="s">
        <v>4586</v>
      </c>
      <c r="Y93" s="349" t="s">
        <v>4587</v>
      </c>
      <c r="Z93" s="347" t="s">
        <v>4588</v>
      </c>
      <c r="AA93" s="349" t="s">
        <v>4589</v>
      </c>
      <c r="AB93" s="347" t="s">
        <v>4590</v>
      </c>
      <c r="AC93" s="349" t="s">
        <v>4591</v>
      </c>
      <c r="AD93" s="347" t="s">
        <v>4592</v>
      </c>
      <c r="AE93" s="349" t="s">
        <v>4593</v>
      </c>
      <c r="AF93" s="347" t="s">
        <v>4594</v>
      </c>
      <c r="AG93" s="349" t="s">
        <v>4595</v>
      </c>
      <c r="AH93" s="347" t="s">
        <v>4596</v>
      </c>
      <c r="AI93" s="349" t="s">
        <v>4597</v>
      </c>
      <c r="AJ93" s="347" t="s">
        <v>4598</v>
      </c>
      <c r="AK93" s="349" t="s">
        <v>4599</v>
      </c>
      <c r="AL93" s="347" t="s">
        <v>4600</v>
      </c>
      <c r="AM93" s="349" t="s">
        <v>4601</v>
      </c>
      <c r="AN93" s="347" t="s">
        <v>4602</v>
      </c>
      <c r="AO93" s="351" t="s">
        <v>4603</v>
      </c>
      <c r="AP93" s="429" t="s">
        <v>4604</v>
      </c>
      <c r="AQ93" s="531" t="s">
        <v>4605</v>
      </c>
      <c r="AR93" s="531" t="s">
        <v>4606</v>
      </c>
      <c r="AS93" s="531" t="s">
        <v>4934</v>
      </c>
      <c r="AT93" s="531" t="s">
        <v>4935</v>
      </c>
      <c r="AU93" s="531" t="s">
        <v>4936</v>
      </c>
      <c r="AV93" s="531" t="s">
        <v>4937</v>
      </c>
      <c r="AW93" s="531" t="s">
        <v>5234</v>
      </c>
      <c r="AX93" s="531" t="s">
        <v>5235</v>
      </c>
      <c r="AY93" s="671" t="s">
        <v>5236</v>
      </c>
      <c r="AZ93" t="e">
        <f t="shared" si="98"/>
        <v>#VALUE!</v>
      </c>
      <c r="CB93" s="433" t="e">
        <f t="shared" si="88"/>
        <v>#VALUE!</v>
      </c>
      <c r="CC93" s="433" t="str">
        <f t="shared" si="99"/>
        <v xml:space="preserve"> * La variable Gestante NO DEBEN ser mayor al Total de Mujeres. </v>
      </c>
      <c r="CD93" s="433" t="str">
        <f t="shared" si="100"/>
        <v xml:space="preserve"> * La variable  Atención bajo sedación inhalatoria (con óxido nitroso) NO DEBE ser mayor que el Total Ambos Sexos</v>
      </c>
      <c r="CE93" s="433" t="e">
        <f t="shared" si="101"/>
        <v>#VALUE!</v>
      </c>
      <c r="CF93" s="433" t="str">
        <f t="shared" si="102"/>
        <v xml:space="preserve"> * La variable Compra de Servicio No puede ser mayor al Total Ambos Sexos.</v>
      </c>
      <c r="CG93" s="433" t="str">
        <f t="shared" si="103"/>
        <v xml:space="preserve"> * La variable Usuarios con Discapacidad No puede ser mayor al Total Ambos Sexos.</v>
      </c>
      <c r="CH93" s="433" t="str">
        <f t="shared" si="104"/>
        <v xml:space="preserve"> * La variable Niños, niñas, adolescentes y jóvenes SENAME No puede ser mayor al Total Ambos Sexos.</v>
      </c>
      <c r="CI93" s="433" t="str">
        <f t="shared" si="105"/>
        <v xml:space="preserve"> * La variable Niños, niñas, adolescentes y jóvenes Mejor Niñez no puede ser mayor al Total Ambos Sexos.</v>
      </c>
      <c r="CJ93" s="433" t="str">
        <f t="shared" si="106"/>
        <v xml:space="preserve"> * La variable Migrantes no puede ser mayor al Total Ambos Sexos.</v>
      </c>
      <c r="CK93" s="435"/>
      <c r="CP93" s="434">
        <f t="shared" si="89"/>
        <v>1</v>
      </c>
      <c r="CQ93" s="434">
        <f t="shared" si="90"/>
        <v>1</v>
      </c>
      <c r="CR93" s="434">
        <f t="shared" si="91"/>
        <v>1</v>
      </c>
      <c r="CS93" s="434" t="e">
        <f t="shared" si="92"/>
        <v>#VALUE!</v>
      </c>
      <c r="CT93" s="434">
        <f t="shared" si="93"/>
        <v>1</v>
      </c>
      <c r="CU93" s="434">
        <f t="shared" si="94"/>
        <v>1</v>
      </c>
      <c r="CV93" s="434">
        <f t="shared" si="95"/>
        <v>1</v>
      </c>
      <c r="CW93" s="434">
        <f t="shared" si="96"/>
        <v>1</v>
      </c>
      <c r="CX93" s="434">
        <f t="shared" si="97"/>
        <v>1</v>
      </c>
      <c r="CY93" s="435"/>
    </row>
    <row r="94" spans="1:103" ht="15" customHeight="1" x14ac:dyDescent="0.25">
      <c r="A94" s="5813" t="s">
        <v>5735</v>
      </c>
      <c r="B94" s="6058"/>
      <c r="C94" s="6617" t="s">
        <v>1670</v>
      </c>
      <c r="D94" s="6618"/>
      <c r="E94" s="737" t="s">
        <v>4567</v>
      </c>
      <c r="F94" s="478" t="s">
        <v>4568</v>
      </c>
      <c r="G94" s="478" t="s">
        <v>4569</v>
      </c>
      <c r="H94" s="345" t="s">
        <v>4570</v>
      </c>
      <c r="I94" s="622" t="s">
        <v>4571</v>
      </c>
      <c r="J94" s="290" t="s">
        <v>4572</v>
      </c>
      <c r="K94" s="714" t="s">
        <v>4573</v>
      </c>
      <c r="L94" s="290" t="s">
        <v>4574</v>
      </c>
      <c r="M94" s="349" t="s">
        <v>4575</v>
      </c>
      <c r="N94" s="345" t="s">
        <v>4576</v>
      </c>
      <c r="O94" s="349" t="s">
        <v>4577</v>
      </c>
      <c r="P94" s="347" t="s">
        <v>4578</v>
      </c>
      <c r="Q94" s="349" t="s">
        <v>4579</v>
      </c>
      <c r="R94" s="347" t="s">
        <v>4580</v>
      </c>
      <c r="S94" s="349" t="s">
        <v>4581</v>
      </c>
      <c r="T94" s="347" t="s">
        <v>4582</v>
      </c>
      <c r="U94" s="349" t="s">
        <v>4583</v>
      </c>
      <c r="V94" s="347" t="s">
        <v>4584</v>
      </c>
      <c r="W94" s="349" t="s">
        <v>4585</v>
      </c>
      <c r="X94" s="347" t="s">
        <v>4586</v>
      </c>
      <c r="Y94" s="349" t="s">
        <v>4587</v>
      </c>
      <c r="Z94" s="347" t="s">
        <v>4588</v>
      </c>
      <c r="AA94" s="349" t="s">
        <v>4589</v>
      </c>
      <c r="AB94" s="347" t="s">
        <v>4590</v>
      </c>
      <c r="AC94" s="349" t="s">
        <v>4591</v>
      </c>
      <c r="AD94" s="347" t="s">
        <v>4592</v>
      </c>
      <c r="AE94" s="349" t="s">
        <v>4593</v>
      </c>
      <c r="AF94" s="347" t="s">
        <v>4594</v>
      </c>
      <c r="AG94" s="349" t="s">
        <v>4595</v>
      </c>
      <c r="AH94" s="347" t="s">
        <v>4596</v>
      </c>
      <c r="AI94" s="349" t="s">
        <v>4597</v>
      </c>
      <c r="AJ94" s="347" t="s">
        <v>4598</v>
      </c>
      <c r="AK94" s="349" t="s">
        <v>4599</v>
      </c>
      <c r="AL94" s="347" t="s">
        <v>4600</v>
      </c>
      <c r="AM94" s="349" t="s">
        <v>4601</v>
      </c>
      <c r="AN94" s="347" t="s">
        <v>4602</v>
      </c>
      <c r="AO94" s="351" t="s">
        <v>4603</v>
      </c>
      <c r="AP94" s="429" t="s">
        <v>4604</v>
      </c>
      <c r="AQ94" s="531" t="s">
        <v>4605</v>
      </c>
      <c r="AR94" s="531" t="s">
        <v>4606</v>
      </c>
      <c r="AS94" s="531" t="s">
        <v>4934</v>
      </c>
      <c r="AT94" s="531" t="s">
        <v>4935</v>
      </c>
      <c r="AU94" s="531" t="s">
        <v>4936</v>
      </c>
      <c r="AV94" s="531" t="s">
        <v>4937</v>
      </c>
      <c r="AW94" s="531" t="s">
        <v>5234</v>
      </c>
      <c r="AX94" s="531" t="s">
        <v>5235</v>
      </c>
      <c r="AY94" s="671" t="s">
        <v>5236</v>
      </c>
      <c r="AZ94" t="e">
        <f t="shared" si="98"/>
        <v>#VALUE!</v>
      </c>
      <c r="CB94" s="433" t="e">
        <f t="shared" si="88"/>
        <v>#VALUE!</v>
      </c>
      <c r="CC94" s="433" t="str">
        <f t="shared" si="99"/>
        <v xml:space="preserve"> * La variable Gestante NO DEBEN ser mayor al Total de Mujeres. </v>
      </c>
      <c r="CD94" s="433" t="str">
        <f t="shared" si="100"/>
        <v xml:space="preserve"> * La variable  Atención bajo sedación inhalatoria (con óxido nitroso) NO DEBE ser mayor que el Total Ambos Sexos</v>
      </c>
      <c r="CE94" s="433" t="e">
        <f t="shared" si="101"/>
        <v>#VALUE!</v>
      </c>
      <c r="CF94" s="433" t="str">
        <f t="shared" si="102"/>
        <v xml:space="preserve"> * La variable Compra de Servicio No puede ser mayor al Total Ambos Sexos.</v>
      </c>
      <c r="CG94" s="433" t="str">
        <f t="shared" si="103"/>
        <v xml:space="preserve"> * La variable Usuarios con Discapacidad No puede ser mayor al Total Ambos Sexos.</v>
      </c>
      <c r="CH94" s="433" t="str">
        <f t="shared" si="104"/>
        <v xml:space="preserve"> * La variable Niños, niñas, adolescentes y jóvenes SENAME No puede ser mayor al Total Ambos Sexos.</v>
      </c>
      <c r="CI94" s="433" t="str">
        <f t="shared" si="105"/>
        <v xml:space="preserve"> * La variable Niños, niñas, adolescentes y jóvenes Mejor Niñez no puede ser mayor al Total Ambos Sexos.</v>
      </c>
      <c r="CJ94" s="433" t="str">
        <f t="shared" si="106"/>
        <v xml:space="preserve"> * La variable Migrantes no puede ser mayor al Total Ambos Sexos.</v>
      </c>
      <c r="CK94" s="435"/>
      <c r="CP94" s="434">
        <f t="shared" si="89"/>
        <v>1</v>
      </c>
      <c r="CQ94" s="434">
        <f t="shared" si="90"/>
        <v>1</v>
      </c>
      <c r="CR94" s="434">
        <f t="shared" si="91"/>
        <v>1</v>
      </c>
      <c r="CS94" s="434" t="e">
        <f t="shared" si="92"/>
        <v>#VALUE!</v>
      </c>
      <c r="CT94" s="434">
        <f t="shared" si="93"/>
        <v>1</v>
      </c>
      <c r="CU94" s="434">
        <f t="shared" si="94"/>
        <v>1</v>
      </c>
      <c r="CV94" s="434">
        <f t="shared" si="95"/>
        <v>1</v>
      </c>
      <c r="CW94" s="434">
        <f t="shared" si="96"/>
        <v>1</v>
      </c>
      <c r="CX94" s="434">
        <f t="shared" si="97"/>
        <v>1</v>
      </c>
      <c r="CY94" s="435"/>
    </row>
    <row r="95" spans="1:103" ht="15" customHeight="1" x14ac:dyDescent="0.25">
      <c r="A95" s="5813" t="s">
        <v>5736</v>
      </c>
      <c r="B95" s="6058"/>
      <c r="C95" s="6617" t="s">
        <v>1671</v>
      </c>
      <c r="D95" s="6618"/>
      <c r="E95" s="737" t="s">
        <v>4567</v>
      </c>
      <c r="F95" s="478" t="s">
        <v>4568</v>
      </c>
      <c r="G95" s="478" t="s">
        <v>4569</v>
      </c>
      <c r="H95" s="345" t="s">
        <v>4570</v>
      </c>
      <c r="I95" s="349" t="s">
        <v>4571</v>
      </c>
      <c r="J95" s="345" t="s">
        <v>4572</v>
      </c>
      <c r="K95" s="348" t="s">
        <v>4573</v>
      </c>
      <c r="L95" s="345" t="s">
        <v>4574</v>
      </c>
      <c r="M95" s="349" t="s">
        <v>4575</v>
      </c>
      <c r="N95" s="345" t="s">
        <v>4576</v>
      </c>
      <c r="O95" s="349" t="s">
        <v>4577</v>
      </c>
      <c r="P95" s="347" t="s">
        <v>4578</v>
      </c>
      <c r="Q95" s="349" t="s">
        <v>4579</v>
      </c>
      <c r="R95" s="347" t="s">
        <v>4580</v>
      </c>
      <c r="S95" s="349" t="s">
        <v>4581</v>
      </c>
      <c r="T95" s="347" t="s">
        <v>4582</v>
      </c>
      <c r="U95" s="349" t="s">
        <v>4583</v>
      </c>
      <c r="V95" s="347" t="s">
        <v>4584</v>
      </c>
      <c r="W95" s="349" t="s">
        <v>4585</v>
      </c>
      <c r="X95" s="347" t="s">
        <v>4586</v>
      </c>
      <c r="Y95" s="349" t="s">
        <v>4587</v>
      </c>
      <c r="Z95" s="347" t="s">
        <v>4588</v>
      </c>
      <c r="AA95" s="349" t="s">
        <v>4589</v>
      </c>
      <c r="AB95" s="347" t="s">
        <v>4590</v>
      </c>
      <c r="AC95" s="349" t="s">
        <v>4591</v>
      </c>
      <c r="AD95" s="347" t="s">
        <v>4592</v>
      </c>
      <c r="AE95" s="349" t="s">
        <v>4593</v>
      </c>
      <c r="AF95" s="347" t="s">
        <v>4594</v>
      </c>
      <c r="AG95" s="349" t="s">
        <v>4595</v>
      </c>
      <c r="AH95" s="347" t="s">
        <v>4596</v>
      </c>
      <c r="AI95" s="349" t="s">
        <v>4597</v>
      </c>
      <c r="AJ95" s="347" t="s">
        <v>4598</v>
      </c>
      <c r="AK95" s="349" t="s">
        <v>4599</v>
      </c>
      <c r="AL95" s="347" t="s">
        <v>4600</v>
      </c>
      <c r="AM95" s="349" t="s">
        <v>4601</v>
      </c>
      <c r="AN95" s="347" t="s">
        <v>4602</v>
      </c>
      <c r="AO95" s="351" t="s">
        <v>4603</v>
      </c>
      <c r="AP95" s="429" t="s">
        <v>4604</v>
      </c>
      <c r="AQ95" s="368" t="s">
        <v>4605</v>
      </c>
      <c r="AR95" s="368" t="s">
        <v>4606</v>
      </c>
      <c r="AS95" s="368" t="s">
        <v>4934</v>
      </c>
      <c r="AT95" s="368" t="s">
        <v>4935</v>
      </c>
      <c r="AU95" s="368" t="s">
        <v>4936</v>
      </c>
      <c r="AV95" s="368" t="s">
        <v>4937</v>
      </c>
      <c r="AW95" s="368" t="s">
        <v>5234</v>
      </c>
      <c r="AX95" s="368" t="s">
        <v>5235</v>
      </c>
      <c r="AY95" s="671" t="s">
        <v>5236</v>
      </c>
      <c r="AZ95" t="e">
        <f t="shared" si="98"/>
        <v>#VALUE!</v>
      </c>
      <c r="CB95" s="433" t="e">
        <f t="shared" si="88"/>
        <v>#VALUE!</v>
      </c>
      <c r="CC95" s="433" t="str">
        <f t="shared" si="99"/>
        <v xml:space="preserve"> * La variable Gestante NO DEBEN ser mayor al Total de Mujeres. </v>
      </c>
      <c r="CD95" s="433" t="str">
        <f t="shared" si="100"/>
        <v xml:space="preserve"> * La variable  Atención bajo sedación inhalatoria (con óxido nitroso) NO DEBE ser mayor que el Total Ambos Sexos</v>
      </c>
      <c r="CE95" s="433" t="e">
        <f t="shared" si="101"/>
        <v>#VALUE!</v>
      </c>
      <c r="CF95" s="433" t="str">
        <f t="shared" si="102"/>
        <v xml:space="preserve"> * La variable Compra de Servicio No puede ser mayor al Total Ambos Sexos.</v>
      </c>
      <c r="CG95" s="433" t="str">
        <f t="shared" si="103"/>
        <v xml:space="preserve"> * La variable Usuarios con Discapacidad No puede ser mayor al Total Ambos Sexos.</v>
      </c>
      <c r="CH95" s="433" t="str">
        <f t="shared" si="104"/>
        <v xml:space="preserve"> * La variable Niños, niñas, adolescentes y jóvenes SENAME No puede ser mayor al Total Ambos Sexos.</v>
      </c>
      <c r="CI95" s="433" t="str">
        <f t="shared" si="105"/>
        <v xml:space="preserve"> * La variable Niños, niñas, adolescentes y jóvenes Mejor Niñez no puede ser mayor al Total Ambos Sexos.</v>
      </c>
      <c r="CJ95" s="433" t="str">
        <f t="shared" si="106"/>
        <v xml:space="preserve"> * La variable Migrantes no puede ser mayor al Total Ambos Sexos.</v>
      </c>
      <c r="CK95" s="435"/>
      <c r="CP95" s="434">
        <f t="shared" si="89"/>
        <v>1</v>
      </c>
      <c r="CQ95" s="434">
        <f t="shared" si="90"/>
        <v>1</v>
      </c>
      <c r="CR95" s="434">
        <f t="shared" si="91"/>
        <v>1</v>
      </c>
      <c r="CS95" s="434" t="e">
        <f t="shared" si="92"/>
        <v>#VALUE!</v>
      </c>
      <c r="CT95" s="434">
        <f t="shared" si="93"/>
        <v>1</v>
      </c>
      <c r="CU95" s="434">
        <f t="shared" si="94"/>
        <v>1</v>
      </c>
      <c r="CV95" s="434">
        <f t="shared" si="95"/>
        <v>1</v>
      </c>
      <c r="CW95" s="434">
        <f t="shared" si="96"/>
        <v>1</v>
      </c>
      <c r="CX95" s="434">
        <f t="shared" si="97"/>
        <v>1</v>
      </c>
      <c r="CY95" s="435"/>
    </row>
    <row r="96" spans="1:103" ht="15" customHeight="1" x14ac:dyDescent="0.25">
      <c r="A96" s="5813" t="s">
        <v>5737</v>
      </c>
      <c r="B96" s="6842"/>
      <c r="C96" s="7018" t="s">
        <v>1672</v>
      </c>
      <c r="D96" s="7019"/>
      <c r="E96" s="201" t="s">
        <v>4567</v>
      </c>
      <c r="F96" s="2292" t="s">
        <v>4568</v>
      </c>
      <c r="G96" s="2292" t="s">
        <v>4569</v>
      </c>
      <c r="H96" s="47" t="s">
        <v>4570</v>
      </c>
      <c r="I96" s="95" t="s">
        <v>4571</v>
      </c>
      <c r="J96" s="47" t="s">
        <v>4572</v>
      </c>
      <c r="K96" s="3099" t="s">
        <v>4573</v>
      </c>
      <c r="L96" s="47" t="s">
        <v>4574</v>
      </c>
      <c r="M96" s="95" t="s">
        <v>4575</v>
      </c>
      <c r="N96" s="47" t="s">
        <v>4576</v>
      </c>
      <c r="O96" s="95" t="s">
        <v>4577</v>
      </c>
      <c r="P96" s="686" t="s">
        <v>4578</v>
      </c>
      <c r="Q96" s="95" t="s">
        <v>4579</v>
      </c>
      <c r="R96" s="686" t="s">
        <v>4580</v>
      </c>
      <c r="S96" s="95" t="s">
        <v>4581</v>
      </c>
      <c r="T96" s="686" t="s">
        <v>4582</v>
      </c>
      <c r="U96" s="95" t="s">
        <v>4583</v>
      </c>
      <c r="V96" s="686" t="s">
        <v>4584</v>
      </c>
      <c r="W96" s="95" t="s">
        <v>4585</v>
      </c>
      <c r="X96" s="686" t="s">
        <v>4586</v>
      </c>
      <c r="Y96" s="95" t="s">
        <v>4587</v>
      </c>
      <c r="Z96" s="686" t="s">
        <v>4588</v>
      </c>
      <c r="AA96" s="95" t="s">
        <v>4589</v>
      </c>
      <c r="AB96" s="686" t="s">
        <v>4590</v>
      </c>
      <c r="AC96" s="95" t="s">
        <v>4591</v>
      </c>
      <c r="AD96" s="686" t="s">
        <v>4592</v>
      </c>
      <c r="AE96" s="95" t="s">
        <v>4593</v>
      </c>
      <c r="AF96" s="686" t="s">
        <v>4594</v>
      </c>
      <c r="AG96" s="95" t="s">
        <v>4595</v>
      </c>
      <c r="AH96" s="686" t="s">
        <v>4596</v>
      </c>
      <c r="AI96" s="95" t="s">
        <v>4597</v>
      </c>
      <c r="AJ96" s="686" t="s">
        <v>4598</v>
      </c>
      <c r="AK96" s="95" t="s">
        <v>4599</v>
      </c>
      <c r="AL96" s="686" t="s">
        <v>4600</v>
      </c>
      <c r="AM96" s="95" t="s">
        <v>4601</v>
      </c>
      <c r="AN96" s="686" t="s">
        <v>4602</v>
      </c>
      <c r="AO96" s="3588" t="s">
        <v>4603</v>
      </c>
      <c r="AP96" s="74" t="s">
        <v>4604</v>
      </c>
      <c r="AQ96" s="242" t="s">
        <v>4605</v>
      </c>
      <c r="AR96" s="242" t="s">
        <v>4606</v>
      </c>
      <c r="AS96" s="242" t="s">
        <v>4934</v>
      </c>
      <c r="AT96" s="242" t="s">
        <v>4935</v>
      </c>
      <c r="AU96" s="242" t="s">
        <v>4936</v>
      </c>
      <c r="AV96" s="242" t="s">
        <v>4937</v>
      </c>
      <c r="AW96" s="242" t="s">
        <v>5234</v>
      </c>
      <c r="AX96" s="242" t="s">
        <v>5235</v>
      </c>
      <c r="AY96" s="3589" t="s">
        <v>5236</v>
      </c>
      <c r="AZ96" t="e">
        <f t="shared" si="98"/>
        <v>#VALUE!</v>
      </c>
      <c r="CB96" s="433" t="e">
        <f t="shared" si="88"/>
        <v>#VALUE!</v>
      </c>
      <c r="CC96" s="433" t="str">
        <f t="shared" si="99"/>
        <v xml:space="preserve"> * La variable Gestante NO DEBEN ser mayor al Total de Mujeres. </v>
      </c>
      <c r="CD96" s="433" t="str">
        <f t="shared" si="100"/>
        <v xml:space="preserve"> * La variable  Atención bajo sedación inhalatoria (con óxido nitroso) NO DEBE ser mayor que el Total Ambos Sexos</v>
      </c>
      <c r="CE96" s="433" t="e">
        <f t="shared" si="101"/>
        <v>#VALUE!</v>
      </c>
      <c r="CF96" s="433" t="str">
        <f t="shared" si="102"/>
        <v xml:space="preserve"> * La variable Compra de Servicio No puede ser mayor al Total Ambos Sexos.</v>
      </c>
      <c r="CG96" s="433" t="str">
        <f t="shared" si="103"/>
        <v xml:space="preserve"> * La variable Usuarios con Discapacidad No puede ser mayor al Total Ambos Sexos.</v>
      </c>
      <c r="CH96" s="433" t="str">
        <f t="shared" si="104"/>
        <v xml:space="preserve"> * La variable Niños, niñas, adolescentes y jóvenes SENAME No puede ser mayor al Total Ambos Sexos.</v>
      </c>
      <c r="CI96" s="433" t="str">
        <f t="shared" si="105"/>
        <v xml:space="preserve"> * La variable Niños, niñas, adolescentes y jóvenes Mejor Niñez no puede ser mayor al Total Ambos Sexos.</v>
      </c>
      <c r="CJ96" s="433" t="str">
        <f t="shared" si="106"/>
        <v xml:space="preserve"> * La variable Migrantes no puede ser mayor al Total Ambos Sexos.</v>
      </c>
      <c r="CK96" s="435"/>
      <c r="CP96" s="434">
        <f t="shared" si="89"/>
        <v>1</v>
      </c>
      <c r="CQ96" s="434">
        <f t="shared" si="90"/>
        <v>1</v>
      </c>
      <c r="CR96" s="434">
        <f t="shared" si="91"/>
        <v>1</v>
      </c>
      <c r="CS96" s="434" t="e">
        <f t="shared" si="92"/>
        <v>#VALUE!</v>
      </c>
      <c r="CT96" s="434">
        <f t="shared" si="93"/>
        <v>1</v>
      </c>
      <c r="CU96" s="434">
        <f t="shared" si="94"/>
        <v>1</v>
      </c>
      <c r="CV96" s="434">
        <f t="shared" si="95"/>
        <v>1</v>
      </c>
      <c r="CW96" s="434">
        <f t="shared" si="96"/>
        <v>1</v>
      </c>
      <c r="CX96" s="434">
        <f t="shared" si="97"/>
        <v>1</v>
      </c>
      <c r="CY96" s="435"/>
    </row>
    <row r="97" spans="1:103" ht="15" customHeight="1" x14ac:dyDescent="0.25">
      <c r="A97" s="5813" t="s">
        <v>5738</v>
      </c>
      <c r="B97" s="6453" t="s">
        <v>1673</v>
      </c>
      <c r="C97" s="6914" t="s">
        <v>1669</v>
      </c>
      <c r="D97" s="6915"/>
      <c r="E97" s="3254" t="s">
        <v>4567</v>
      </c>
      <c r="F97" s="3460" t="s">
        <v>4568</v>
      </c>
      <c r="G97" s="3460" t="s">
        <v>4569</v>
      </c>
      <c r="H97" s="3227" t="s">
        <v>4570</v>
      </c>
      <c r="I97" s="748" t="s">
        <v>4571</v>
      </c>
      <c r="J97" s="3227" t="s">
        <v>4572</v>
      </c>
      <c r="K97" s="3261" t="s">
        <v>4573</v>
      </c>
      <c r="L97" s="3227" t="s">
        <v>4574</v>
      </c>
      <c r="M97" s="748" t="s">
        <v>4575</v>
      </c>
      <c r="N97" s="3227" t="s">
        <v>4576</v>
      </c>
      <c r="O97" s="748" t="s">
        <v>4577</v>
      </c>
      <c r="P97" s="3226" t="s">
        <v>4578</v>
      </c>
      <c r="Q97" s="748" t="s">
        <v>4579</v>
      </c>
      <c r="R97" s="3226" t="s">
        <v>4580</v>
      </c>
      <c r="S97" s="748" t="s">
        <v>4581</v>
      </c>
      <c r="T97" s="3226" t="s">
        <v>4582</v>
      </c>
      <c r="U97" s="748" t="s">
        <v>4583</v>
      </c>
      <c r="V97" s="3226" t="s">
        <v>4584</v>
      </c>
      <c r="W97" s="748" t="s">
        <v>4585</v>
      </c>
      <c r="X97" s="3226" t="s">
        <v>4586</v>
      </c>
      <c r="Y97" s="748" t="s">
        <v>4587</v>
      </c>
      <c r="Z97" s="3226" t="s">
        <v>4588</v>
      </c>
      <c r="AA97" s="748" t="s">
        <v>4589</v>
      </c>
      <c r="AB97" s="3226" t="s">
        <v>4590</v>
      </c>
      <c r="AC97" s="748" t="s">
        <v>4591</v>
      </c>
      <c r="AD97" s="3226" t="s">
        <v>4592</v>
      </c>
      <c r="AE97" s="748" t="s">
        <v>4593</v>
      </c>
      <c r="AF97" s="3226" t="s">
        <v>4594</v>
      </c>
      <c r="AG97" s="748" t="s">
        <v>4595</v>
      </c>
      <c r="AH97" s="3226" t="s">
        <v>4596</v>
      </c>
      <c r="AI97" s="748" t="s">
        <v>4597</v>
      </c>
      <c r="AJ97" s="3226" t="s">
        <v>4598</v>
      </c>
      <c r="AK97" s="748" t="s">
        <v>4599</v>
      </c>
      <c r="AL97" s="3226" t="s">
        <v>4600</v>
      </c>
      <c r="AM97" s="748" t="s">
        <v>4601</v>
      </c>
      <c r="AN97" s="3226" t="s">
        <v>4602</v>
      </c>
      <c r="AO97" s="736" t="s">
        <v>4603</v>
      </c>
      <c r="AP97" s="735" t="s">
        <v>4604</v>
      </c>
      <c r="AQ97" s="750" t="s">
        <v>4605</v>
      </c>
      <c r="AR97" s="750" t="s">
        <v>4606</v>
      </c>
      <c r="AS97" s="750" t="s">
        <v>4934</v>
      </c>
      <c r="AT97" s="750" t="s">
        <v>4935</v>
      </c>
      <c r="AU97" s="750" t="s">
        <v>4936</v>
      </c>
      <c r="AV97" s="750" t="s">
        <v>4937</v>
      </c>
      <c r="AW97" s="750" t="s">
        <v>5234</v>
      </c>
      <c r="AX97" s="750" t="s">
        <v>5235</v>
      </c>
      <c r="AY97" s="130" t="s">
        <v>5236</v>
      </c>
      <c r="AZ97" t="e">
        <f t="shared" si="98"/>
        <v>#VALUE!</v>
      </c>
      <c r="CB97" s="433" t="e">
        <f t="shared" si="88"/>
        <v>#VALUE!</v>
      </c>
      <c r="CC97" s="433" t="str">
        <f t="shared" si="99"/>
        <v xml:space="preserve"> * La variable Gestante NO DEBEN ser mayor al Total de Mujeres. </v>
      </c>
      <c r="CD97" s="433" t="str">
        <f t="shared" si="100"/>
        <v xml:space="preserve"> * La variable  Atención bajo sedación inhalatoria (con óxido nitroso) NO DEBE ser mayor que el Total Ambos Sexos</v>
      </c>
      <c r="CE97" s="433" t="e">
        <f t="shared" si="101"/>
        <v>#VALUE!</v>
      </c>
      <c r="CF97" s="433" t="str">
        <f t="shared" si="102"/>
        <v xml:space="preserve"> * La variable Compra de Servicio No puede ser mayor al Total Ambos Sexos.</v>
      </c>
      <c r="CG97" s="433" t="str">
        <f t="shared" si="103"/>
        <v xml:space="preserve"> * La variable Usuarios con Discapacidad No puede ser mayor al Total Ambos Sexos.</v>
      </c>
      <c r="CH97" s="433" t="str">
        <f t="shared" si="104"/>
        <v xml:space="preserve"> * La variable Niños, niñas, adolescentes y jóvenes SENAME No puede ser mayor al Total Ambos Sexos.</v>
      </c>
      <c r="CI97" s="433" t="str">
        <f t="shared" si="105"/>
        <v xml:space="preserve"> * La variable Niños, niñas, adolescentes y jóvenes Mejor Niñez no puede ser mayor al Total Ambos Sexos.</v>
      </c>
      <c r="CJ97" s="433" t="str">
        <f t="shared" si="106"/>
        <v xml:space="preserve"> * La variable Migrantes no puede ser mayor al Total Ambos Sexos.</v>
      </c>
      <c r="CK97" s="435"/>
      <c r="CP97" s="434">
        <f t="shared" si="89"/>
        <v>1</v>
      </c>
      <c r="CQ97" s="434">
        <f t="shared" si="90"/>
        <v>1</v>
      </c>
      <c r="CR97" s="434">
        <f t="shared" si="91"/>
        <v>1</v>
      </c>
      <c r="CS97" s="434" t="e">
        <f t="shared" si="92"/>
        <v>#VALUE!</v>
      </c>
      <c r="CT97" s="434">
        <f t="shared" si="93"/>
        <v>1</v>
      </c>
      <c r="CU97" s="434">
        <f t="shared" si="94"/>
        <v>1</v>
      </c>
      <c r="CV97" s="434">
        <f t="shared" si="95"/>
        <v>1</v>
      </c>
      <c r="CW97" s="434">
        <f t="shared" si="96"/>
        <v>1</v>
      </c>
      <c r="CX97" s="434">
        <f t="shared" si="97"/>
        <v>1</v>
      </c>
      <c r="CY97" s="435"/>
    </row>
    <row r="98" spans="1:103" ht="15" customHeight="1" x14ac:dyDescent="0.25">
      <c r="A98" s="5813" t="s">
        <v>5739</v>
      </c>
      <c r="B98" s="6058"/>
      <c r="C98" s="6617" t="s">
        <v>1641</v>
      </c>
      <c r="D98" s="6618"/>
      <c r="E98" s="737" t="s">
        <v>4567</v>
      </c>
      <c r="F98" s="478" t="s">
        <v>4568</v>
      </c>
      <c r="G98" s="478" t="s">
        <v>4569</v>
      </c>
      <c r="H98" s="290" t="s">
        <v>4570</v>
      </c>
      <c r="I98" s="622" t="s">
        <v>4571</v>
      </c>
      <c r="J98" s="290" t="s">
        <v>4572</v>
      </c>
      <c r="K98" s="714" t="s">
        <v>4573</v>
      </c>
      <c r="L98" s="290" t="s">
        <v>4574</v>
      </c>
      <c r="M98" s="622" t="s">
        <v>4575</v>
      </c>
      <c r="N98" s="290" t="s">
        <v>4576</v>
      </c>
      <c r="O98" s="622" t="s">
        <v>4577</v>
      </c>
      <c r="P98" s="22" t="s">
        <v>4578</v>
      </c>
      <c r="Q98" s="622" t="s">
        <v>4579</v>
      </c>
      <c r="R98" s="22" t="s">
        <v>4580</v>
      </c>
      <c r="S98" s="622" t="s">
        <v>4581</v>
      </c>
      <c r="T98" s="22" t="s">
        <v>4582</v>
      </c>
      <c r="U98" s="622" t="s">
        <v>4583</v>
      </c>
      <c r="V98" s="22" t="s">
        <v>4584</v>
      </c>
      <c r="W98" s="622" t="s">
        <v>4585</v>
      </c>
      <c r="X98" s="22" t="s">
        <v>4586</v>
      </c>
      <c r="Y98" s="622" t="s">
        <v>4587</v>
      </c>
      <c r="Z98" s="22" t="s">
        <v>4588</v>
      </c>
      <c r="AA98" s="622" t="s">
        <v>4589</v>
      </c>
      <c r="AB98" s="22" t="s">
        <v>4590</v>
      </c>
      <c r="AC98" s="622" t="s">
        <v>4591</v>
      </c>
      <c r="AD98" s="22" t="s">
        <v>4592</v>
      </c>
      <c r="AE98" s="622" t="s">
        <v>4593</v>
      </c>
      <c r="AF98" s="22" t="s">
        <v>4594</v>
      </c>
      <c r="AG98" s="622" t="s">
        <v>4595</v>
      </c>
      <c r="AH98" s="22" t="s">
        <v>4596</v>
      </c>
      <c r="AI98" s="622" t="s">
        <v>4597</v>
      </c>
      <c r="AJ98" s="22" t="s">
        <v>4598</v>
      </c>
      <c r="AK98" s="622" t="s">
        <v>4599</v>
      </c>
      <c r="AL98" s="22" t="s">
        <v>4600</v>
      </c>
      <c r="AM98" s="622" t="s">
        <v>4601</v>
      </c>
      <c r="AN98" s="22" t="s">
        <v>4602</v>
      </c>
      <c r="AO98" s="430" t="s">
        <v>4603</v>
      </c>
      <c r="AP98" s="296" t="s">
        <v>4604</v>
      </c>
      <c r="AQ98" s="531" t="s">
        <v>4605</v>
      </c>
      <c r="AR98" s="531" t="s">
        <v>4606</v>
      </c>
      <c r="AS98" s="531" t="s">
        <v>4934</v>
      </c>
      <c r="AT98" s="531" t="s">
        <v>4935</v>
      </c>
      <c r="AU98" s="531" t="s">
        <v>4936</v>
      </c>
      <c r="AV98" s="531" t="s">
        <v>4937</v>
      </c>
      <c r="AW98" s="531" t="s">
        <v>5234</v>
      </c>
      <c r="AX98" s="531" t="s">
        <v>5235</v>
      </c>
      <c r="AY98" s="671" t="s">
        <v>5236</v>
      </c>
      <c r="AZ98" t="e">
        <f t="shared" si="98"/>
        <v>#VALUE!</v>
      </c>
      <c r="CB98" s="433" t="e">
        <f t="shared" si="88"/>
        <v>#VALUE!</v>
      </c>
      <c r="CC98" s="433" t="str">
        <f t="shared" si="99"/>
        <v xml:space="preserve"> * La variable Gestante NO DEBEN ser mayor al Total de Mujeres. </v>
      </c>
      <c r="CD98" s="433" t="str">
        <f t="shared" si="100"/>
        <v xml:space="preserve"> * La variable  Atención bajo sedación inhalatoria (con óxido nitroso) NO DEBE ser mayor que el Total Ambos Sexos</v>
      </c>
      <c r="CE98" s="433" t="e">
        <f t="shared" si="101"/>
        <v>#VALUE!</v>
      </c>
      <c r="CF98" s="433" t="str">
        <f t="shared" si="102"/>
        <v xml:space="preserve"> * La variable Compra de Servicio No puede ser mayor al Total Ambos Sexos.</v>
      </c>
      <c r="CG98" s="433" t="str">
        <f t="shared" si="103"/>
        <v xml:space="preserve"> * La variable Usuarios con Discapacidad No puede ser mayor al Total Ambos Sexos.</v>
      </c>
      <c r="CH98" s="433" t="str">
        <f t="shared" si="104"/>
        <v xml:space="preserve"> * La variable Niños, niñas, adolescentes y jóvenes SENAME No puede ser mayor al Total Ambos Sexos.</v>
      </c>
      <c r="CI98" s="433" t="str">
        <f t="shared" si="105"/>
        <v xml:space="preserve"> * La variable Niños, niñas, adolescentes y jóvenes Mejor Niñez no puede ser mayor al Total Ambos Sexos.</v>
      </c>
      <c r="CJ98" s="433" t="str">
        <f t="shared" si="106"/>
        <v xml:space="preserve"> * La variable Migrantes no puede ser mayor al Total Ambos Sexos.</v>
      </c>
      <c r="CK98" s="435"/>
      <c r="CP98" s="434">
        <f t="shared" si="89"/>
        <v>1</v>
      </c>
      <c r="CQ98" s="434">
        <f t="shared" si="90"/>
        <v>1</v>
      </c>
      <c r="CR98" s="434">
        <f t="shared" si="91"/>
        <v>1</v>
      </c>
      <c r="CS98" s="434" t="e">
        <f t="shared" si="92"/>
        <v>#VALUE!</v>
      </c>
      <c r="CT98" s="434">
        <f t="shared" si="93"/>
        <v>1</v>
      </c>
      <c r="CU98" s="434">
        <f t="shared" si="94"/>
        <v>1</v>
      </c>
      <c r="CV98" s="434">
        <f t="shared" si="95"/>
        <v>1</v>
      </c>
      <c r="CW98" s="434">
        <f t="shared" si="96"/>
        <v>1</v>
      </c>
      <c r="CX98" s="434">
        <f t="shared" si="97"/>
        <v>1</v>
      </c>
      <c r="CY98" s="435"/>
    </row>
    <row r="99" spans="1:103" ht="15" customHeight="1" x14ac:dyDescent="0.25">
      <c r="A99" s="5813" t="s">
        <v>5740</v>
      </c>
      <c r="B99" s="6058"/>
      <c r="C99" s="6617" t="s">
        <v>1646</v>
      </c>
      <c r="D99" s="6618"/>
      <c r="E99" s="737" t="s">
        <v>4567</v>
      </c>
      <c r="F99" s="575" t="s">
        <v>4568</v>
      </c>
      <c r="G99" s="478" t="s">
        <v>4569</v>
      </c>
      <c r="H99" s="345" t="s">
        <v>4570</v>
      </c>
      <c r="I99" s="622" t="s">
        <v>4571</v>
      </c>
      <c r="J99" s="290" t="s">
        <v>4572</v>
      </c>
      <c r="K99" s="714" t="s">
        <v>4573</v>
      </c>
      <c r="L99" s="290" t="s">
        <v>4574</v>
      </c>
      <c r="M99" s="349" t="s">
        <v>4575</v>
      </c>
      <c r="N99" s="345" t="s">
        <v>4576</v>
      </c>
      <c r="O99" s="349" t="s">
        <v>4577</v>
      </c>
      <c r="P99" s="347" t="s">
        <v>4578</v>
      </c>
      <c r="Q99" s="349" t="s">
        <v>4579</v>
      </c>
      <c r="R99" s="347" t="s">
        <v>4580</v>
      </c>
      <c r="S99" s="349" t="s">
        <v>4581</v>
      </c>
      <c r="T99" s="347" t="s">
        <v>4582</v>
      </c>
      <c r="U99" s="349" t="s">
        <v>4583</v>
      </c>
      <c r="V99" s="347" t="s">
        <v>4584</v>
      </c>
      <c r="W99" s="349" t="s">
        <v>4585</v>
      </c>
      <c r="X99" s="347" t="s">
        <v>4586</v>
      </c>
      <c r="Y99" s="349" t="s">
        <v>4587</v>
      </c>
      <c r="Z99" s="347" t="s">
        <v>4588</v>
      </c>
      <c r="AA99" s="349" t="s">
        <v>4589</v>
      </c>
      <c r="AB99" s="347" t="s">
        <v>4590</v>
      </c>
      <c r="AC99" s="349" t="s">
        <v>4591</v>
      </c>
      <c r="AD99" s="347" t="s">
        <v>4592</v>
      </c>
      <c r="AE99" s="349" t="s">
        <v>4593</v>
      </c>
      <c r="AF99" s="347" t="s">
        <v>4594</v>
      </c>
      <c r="AG99" s="349" t="s">
        <v>4595</v>
      </c>
      <c r="AH99" s="347" t="s">
        <v>4596</v>
      </c>
      <c r="AI99" s="349" t="s">
        <v>4597</v>
      </c>
      <c r="AJ99" s="347" t="s">
        <v>4598</v>
      </c>
      <c r="AK99" s="349" t="s">
        <v>4599</v>
      </c>
      <c r="AL99" s="347" t="s">
        <v>4600</v>
      </c>
      <c r="AM99" s="349" t="s">
        <v>4601</v>
      </c>
      <c r="AN99" s="347" t="s">
        <v>4602</v>
      </c>
      <c r="AO99" s="351" t="s">
        <v>4603</v>
      </c>
      <c r="AP99" s="429" t="s">
        <v>4604</v>
      </c>
      <c r="AQ99" s="531" t="s">
        <v>4605</v>
      </c>
      <c r="AR99" s="531" t="s">
        <v>4606</v>
      </c>
      <c r="AS99" s="531" t="s">
        <v>4934</v>
      </c>
      <c r="AT99" s="531" t="s">
        <v>4935</v>
      </c>
      <c r="AU99" s="531" t="s">
        <v>4936</v>
      </c>
      <c r="AV99" s="531" t="s">
        <v>4937</v>
      </c>
      <c r="AW99" s="531" t="s">
        <v>5234</v>
      </c>
      <c r="AX99" s="531" t="s">
        <v>5235</v>
      </c>
      <c r="AY99" s="671" t="s">
        <v>5236</v>
      </c>
      <c r="AZ99" t="e">
        <f t="shared" si="98"/>
        <v>#VALUE!</v>
      </c>
      <c r="CB99" s="433" t="e">
        <f t="shared" si="88"/>
        <v>#VALUE!</v>
      </c>
      <c r="CC99" s="433" t="str">
        <f t="shared" si="99"/>
        <v xml:space="preserve"> * La variable Gestante NO DEBEN ser mayor al Total de Mujeres. </v>
      </c>
      <c r="CD99" s="433" t="str">
        <f t="shared" si="100"/>
        <v xml:space="preserve"> * La variable  Atención bajo sedación inhalatoria (con óxido nitroso) NO DEBE ser mayor que el Total Ambos Sexos</v>
      </c>
      <c r="CE99" s="433" t="e">
        <f t="shared" si="101"/>
        <v>#VALUE!</v>
      </c>
      <c r="CF99" s="433" t="str">
        <f t="shared" si="102"/>
        <v xml:space="preserve"> * La variable Compra de Servicio No puede ser mayor al Total Ambos Sexos.</v>
      </c>
      <c r="CG99" s="433" t="str">
        <f t="shared" si="103"/>
        <v xml:space="preserve"> * La variable Usuarios con Discapacidad No puede ser mayor al Total Ambos Sexos.</v>
      </c>
      <c r="CH99" s="433" t="str">
        <f t="shared" si="104"/>
        <v xml:space="preserve"> * La variable Niños, niñas, adolescentes y jóvenes SENAME No puede ser mayor al Total Ambos Sexos.</v>
      </c>
      <c r="CI99" s="433" t="str">
        <f t="shared" si="105"/>
        <v xml:space="preserve"> * La variable Niños, niñas, adolescentes y jóvenes Mejor Niñez no puede ser mayor al Total Ambos Sexos.</v>
      </c>
      <c r="CJ99" s="433" t="str">
        <f t="shared" si="106"/>
        <v xml:space="preserve"> * La variable Migrantes no puede ser mayor al Total Ambos Sexos.</v>
      </c>
      <c r="CK99" s="435"/>
      <c r="CP99" s="434">
        <f t="shared" si="89"/>
        <v>1</v>
      </c>
      <c r="CQ99" s="434">
        <f t="shared" si="90"/>
        <v>1</v>
      </c>
      <c r="CR99" s="434">
        <f t="shared" si="91"/>
        <v>1</v>
      </c>
      <c r="CS99" s="434" t="e">
        <f t="shared" si="92"/>
        <v>#VALUE!</v>
      </c>
      <c r="CT99" s="434">
        <f t="shared" si="93"/>
        <v>1</v>
      </c>
      <c r="CU99" s="434">
        <f t="shared" si="94"/>
        <v>1</v>
      </c>
      <c r="CV99" s="434">
        <f t="shared" si="95"/>
        <v>1</v>
      </c>
      <c r="CW99" s="434">
        <f t="shared" si="96"/>
        <v>1</v>
      </c>
      <c r="CX99" s="434">
        <f t="shared" si="97"/>
        <v>1</v>
      </c>
      <c r="CY99" s="435"/>
    </row>
    <row r="100" spans="1:103" ht="15" customHeight="1" x14ac:dyDescent="0.25">
      <c r="A100" s="5813" t="s">
        <v>5741</v>
      </c>
      <c r="B100" s="6058"/>
      <c r="C100" s="7020" t="s">
        <v>1670</v>
      </c>
      <c r="D100" s="7021"/>
      <c r="E100" s="737" t="s">
        <v>4567</v>
      </c>
      <c r="F100" s="575" t="s">
        <v>4568</v>
      </c>
      <c r="G100" s="478" t="s">
        <v>4569</v>
      </c>
      <c r="H100" s="345" t="s">
        <v>4570</v>
      </c>
      <c r="I100" s="622" t="s">
        <v>4571</v>
      </c>
      <c r="J100" s="290" t="s">
        <v>4572</v>
      </c>
      <c r="K100" s="714" t="s">
        <v>4573</v>
      </c>
      <c r="L100" s="290" t="s">
        <v>4574</v>
      </c>
      <c r="M100" s="349" t="s">
        <v>4575</v>
      </c>
      <c r="N100" s="345" t="s">
        <v>4576</v>
      </c>
      <c r="O100" s="349" t="s">
        <v>4577</v>
      </c>
      <c r="P100" s="347" t="s">
        <v>4578</v>
      </c>
      <c r="Q100" s="349" t="s">
        <v>4579</v>
      </c>
      <c r="R100" s="347" t="s">
        <v>4580</v>
      </c>
      <c r="S100" s="349" t="s">
        <v>4581</v>
      </c>
      <c r="T100" s="347" t="s">
        <v>4582</v>
      </c>
      <c r="U100" s="349" t="s">
        <v>4583</v>
      </c>
      <c r="V100" s="347" t="s">
        <v>4584</v>
      </c>
      <c r="W100" s="349" t="s">
        <v>4585</v>
      </c>
      <c r="X100" s="347" t="s">
        <v>4586</v>
      </c>
      <c r="Y100" s="349" t="s">
        <v>4587</v>
      </c>
      <c r="Z100" s="347" t="s">
        <v>4588</v>
      </c>
      <c r="AA100" s="349" t="s">
        <v>4589</v>
      </c>
      <c r="AB100" s="347" t="s">
        <v>4590</v>
      </c>
      <c r="AC100" s="349" t="s">
        <v>4591</v>
      </c>
      <c r="AD100" s="347" t="s">
        <v>4592</v>
      </c>
      <c r="AE100" s="349" t="s">
        <v>4593</v>
      </c>
      <c r="AF100" s="347" t="s">
        <v>4594</v>
      </c>
      <c r="AG100" s="349" t="s">
        <v>4595</v>
      </c>
      <c r="AH100" s="347" t="s">
        <v>4596</v>
      </c>
      <c r="AI100" s="349" t="s">
        <v>4597</v>
      </c>
      <c r="AJ100" s="347" t="s">
        <v>4598</v>
      </c>
      <c r="AK100" s="349" t="s">
        <v>4599</v>
      </c>
      <c r="AL100" s="347" t="s">
        <v>4600</v>
      </c>
      <c r="AM100" s="349" t="s">
        <v>4601</v>
      </c>
      <c r="AN100" s="347" t="s">
        <v>4602</v>
      </c>
      <c r="AO100" s="351" t="s">
        <v>4603</v>
      </c>
      <c r="AP100" s="429" t="s">
        <v>4604</v>
      </c>
      <c r="AQ100" s="531" t="s">
        <v>4605</v>
      </c>
      <c r="AR100" s="531" t="s">
        <v>4606</v>
      </c>
      <c r="AS100" s="531" t="s">
        <v>4934</v>
      </c>
      <c r="AT100" s="531" t="s">
        <v>4935</v>
      </c>
      <c r="AU100" s="531" t="s">
        <v>4936</v>
      </c>
      <c r="AV100" s="531" t="s">
        <v>4937</v>
      </c>
      <c r="AW100" s="531" t="s">
        <v>5234</v>
      </c>
      <c r="AX100" s="531" t="s">
        <v>5235</v>
      </c>
      <c r="AY100" s="671" t="s">
        <v>5236</v>
      </c>
      <c r="AZ100" t="e">
        <f t="shared" si="98"/>
        <v>#VALUE!</v>
      </c>
      <c r="CB100" s="433" t="e">
        <f t="shared" si="88"/>
        <v>#VALUE!</v>
      </c>
      <c r="CC100" s="433" t="str">
        <f t="shared" si="99"/>
        <v xml:space="preserve"> * La variable Gestante NO DEBEN ser mayor al Total de Mujeres. </v>
      </c>
      <c r="CD100" s="433" t="str">
        <f t="shared" si="100"/>
        <v xml:space="preserve"> * La variable  Atención bajo sedación inhalatoria (con óxido nitroso) NO DEBE ser mayor que el Total Ambos Sexos</v>
      </c>
      <c r="CE100" s="433" t="e">
        <f t="shared" si="101"/>
        <v>#VALUE!</v>
      </c>
      <c r="CF100" s="433" t="str">
        <f t="shared" si="102"/>
        <v xml:space="preserve"> * La variable Compra de Servicio No puede ser mayor al Total Ambos Sexos.</v>
      </c>
      <c r="CG100" s="433" t="str">
        <f t="shared" si="103"/>
        <v xml:space="preserve"> * La variable Usuarios con Discapacidad No puede ser mayor al Total Ambos Sexos.</v>
      </c>
      <c r="CH100" s="433" t="str">
        <f t="shared" si="104"/>
        <v xml:space="preserve"> * La variable Niños, niñas, adolescentes y jóvenes SENAME No puede ser mayor al Total Ambos Sexos.</v>
      </c>
      <c r="CI100" s="433" t="str">
        <f t="shared" si="105"/>
        <v xml:space="preserve"> * La variable Niños, niñas, adolescentes y jóvenes Mejor Niñez no puede ser mayor al Total Ambos Sexos.</v>
      </c>
      <c r="CJ100" s="433" t="str">
        <f t="shared" si="106"/>
        <v xml:space="preserve"> * La variable Migrantes no puede ser mayor al Total Ambos Sexos.</v>
      </c>
      <c r="CK100" s="435"/>
      <c r="CP100" s="434">
        <f t="shared" si="89"/>
        <v>1</v>
      </c>
      <c r="CQ100" s="434">
        <f t="shared" si="90"/>
        <v>1</v>
      </c>
      <c r="CR100" s="434">
        <f t="shared" si="91"/>
        <v>1</v>
      </c>
      <c r="CS100" s="434" t="e">
        <f t="shared" si="92"/>
        <v>#VALUE!</v>
      </c>
      <c r="CT100" s="434">
        <f t="shared" si="93"/>
        <v>1</v>
      </c>
      <c r="CU100" s="434">
        <f t="shared" si="94"/>
        <v>1</v>
      </c>
      <c r="CV100" s="434">
        <f t="shared" si="95"/>
        <v>1</v>
      </c>
      <c r="CW100" s="434">
        <f t="shared" si="96"/>
        <v>1</v>
      </c>
      <c r="CX100" s="434">
        <f t="shared" si="97"/>
        <v>1</v>
      </c>
      <c r="CY100" s="435"/>
    </row>
    <row r="101" spans="1:103" ht="15" customHeight="1" x14ac:dyDescent="0.25">
      <c r="A101" s="5813" t="s">
        <v>5742</v>
      </c>
      <c r="B101" s="6058"/>
      <c r="C101" s="6617" t="s">
        <v>1671</v>
      </c>
      <c r="D101" s="6618"/>
      <c r="E101" s="737" t="s">
        <v>4567</v>
      </c>
      <c r="F101" s="575" t="s">
        <v>4568</v>
      </c>
      <c r="G101" s="478" t="s">
        <v>4569</v>
      </c>
      <c r="H101" s="192" t="s">
        <v>4570</v>
      </c>
      <c r="I101" s="349" t="s">
        <v>4571</v>
      </c>
      <c r="J101" s="345" t="s">
        <v>4572</v>
      </c>
      <c r="K101" s="348" t="s">
        <v>4573</v>
      </c>
      <c r="L101" s="345" t="s">
        <v>4574</v>
      </c>
      <c r="M101" s="349" t="s">
        <v>4575</v>
      </c>
      <c r="N101" s="192" t="s">
        <v>4576</v>
      </c>
      <c r="O101" s="382" t="s">
        <v>4577</v>
      </c>
      <c r="P101" s="481" t="s">
        <v>4578</v>
      </c>
      <c r="Q101" s="382" t="s">
        <v>4579</v>
      </c>
      <c r="R101" s="481" t="s">
        <v>4580</v>
      </c>
      <c r="S101" s="382" t="s">
        <v>4581</v>
      </c>
      <c r="T101" s="481" t="s">
        <v>4582</v>
      </c>
      <c r="U101" s="382" t="s">
        <v>4583</v>
      </c>
      <c r="V101" s="481" t="s">
        <v>4584</v>
      </c>
      <c r="W101" s="382" t="s">
        <v>4585</v>
      </c>
      <c r="X101" s="481" t="s">
        <v>4586</v>
      </c>
      <c r="Y101" s="382" t="s">
        <v>4587</v>
      </c>
      <c r="Z101" s="481" t="s">
        <v>4588</v>
      </c>
      <c r="AA101" s="382" t="s">
        <v>4589</v>
      </c>
      <c r="AB101" s="481" t="s">
        <v>4590</v>
      </c>
      <c r="AC101" s="382" t="s">
        <v>4591</v>
      </c>
      <c r="AD101" s="481" t="s">
        <v>4592</v>
      </c>
      <c r="AE101" s="382" t="s">
        <v>4593</v>
      </c>
      <c r="AF101" s="481" t="s">
        <v>4594</v>
      </c>
      <c r="AG101" s="382" t="s">
        <v>4595</v>
      </c>
      <c r="AH101" s="481" t="s">
        <v>4596</v>
      </c>
      <c r="AI101" s="382" t="s">
        <v>4597</v>
      </c>
      <c r="AJ101" s="481" t="s">
        <v>4598</v>
      </c>
      <c r="AK101" s="382" t="s">
        <v>4599</v>
      </c>
      <c r="AL101" s="481" t="s">
        <v>4600</v>
      </c>
      <c r="AM101" s="382" t="s">
        <v>4601</v>
      </c>
      <c r="AN101" s="481" t="s">
        <v>4602</v>
      </c>
      <c r="AO101" s="383" t="s">
        <v>4603</v>
      </c>
      <c r="AP101" s="376" t="s">
        <v>4604</v>
      </c>
      <c r="AQ101" s="368" t="s">
        <v>4605</v>
      </c>
      <c r="AR101" s="368" t="s">
        <v>4606</v>
      </c>
      <c r="AS101" s="368" t="s">
        <v>4934</v>
      </c>
      <c r="AT101" s="368" t="s">
        <v>4935</v>
      </c>
      <c r="AU101" s="368" t="s">
        <v>4936</v>
      </c>
      <c r="AV101" s="368" t="s">
        <v>4937</v>
      </c>
      <c r="AW101" s="368" t="s">
        <v>5234</v>
      </c>
      <c r="AX101" s="368" t="s">
        <v>5235</v>
      </c>
      <c r="AY101" s="671" t="s">
        <v>5236</v>
      </c>
      <c r="AZ101" t="e">
        <f t="shared" si="98"/>
        <v>#VALUE!</v>
      </c>
      <c r="CB101" s="433" t="e">
        <f t="shared" si="88"/>
        <v>#VALUE!</v>
      </c>
      <c r="CC101" s="433" t="str">
        <f t="shared" si="99"/>
        <v xml:space="preserve"> * La variable Gestante NO DEBEN ser mayor al Total de Mujeres. </v>
      </c>
      <c r="CD101" s="433" t="str">
        <f t="shared" si="100"/>
        <v xml:space="preserve"> * La variable  Atención bajo sedación inhalatoria (con óxido nitroso) NO DEBE ser mayor que el Total Ambos Sexos</v>
      </c>
      <c r="CE101" s="433" t="e">
        <f t="shared" si="101"/>
        <v>#VALUE!</v>
      </c>
      <c r="CF101" s="433" t="str">
        <f t="shared" si="102"/>
        <v xml:space="preserve"> * La variable Compra de Servicio No puede ser mayor al Total Ambos Sexos.</v>
      </c>
      <c r="CG101" s="433" t="str">
        <f t="shared" si="103"/>
        <v xml:space="preserve"> * La variable Usuarios con Discapacidad No puede ser mayor al Total Ambos Sexos.</v>
      </c>
      <c r="CH101" s="433" t="str">
        <f t="shared" si="104"/>
        <v xml:space="preserve"> * La variable Niños, niñas, adolescentes y jóvenes SENAME No puede ser mayor al Total Ambos Sexos.</v>
      </c>
      <c r="CI101" s="433" t="str">
        <f t="shared" si="105"/>
        <v xml:space="preserve"> * La variable Niños, niñas, adolescentes y jóvenes Mejor Niñez no puede ser mayor al Total Ambos Sexos.</v>
      </c>
      <c r="CJ101" s="433" t="str">
        <f t="shared" si="106"/>
        <v xml:space="preserve"> * La variable Migrantes no puede ser mayor al Total Ambos Sexos.</v>
      </c>
      <c r="CK101" s="435"/>
      <c r="CP101" s="434">
        <f t="shared" si="89"/>
        <v>1</v>
      </c>
      <c r="CQ101" s="434">
        <f t="shared" si="90"/>
        <v>1</v>
      </c>
      <c r="CR101" s="434">
        <f t="shared" si="91"/>
        <v>1</v>
      </c>
      <c r="CS101" s="434" t="e">
        <f t="shared" si="92"/>
        <v>#VALUE!</v>
      </c>
      <c r="CT101" s="434">
        <f t="shared" si="93"/>
        <v>1</v>
      </c>
      <c r="CU101" s="434">
        <f t="shared" si="94"/>
        <v>1</v>
      </c>
      <c r="CV101" s="434">
        <f t="shared" si="95"/>
        <v>1</v>
      </c>
      <c r="CW101" s="434">
        <f t="shared" si="96"/>
        <v>1</v>
      </c>
      <c r="CX101" s="434">
        <f t="shared" si="97"/>
        <v>1</v>
      </c>
      <c r="CY101" s="435"/>
    </row>
    <row r="102" spans="1:103" ht="15" customHeight="1" x14ac:dyDescent="0.25">
      <c r="A102" s="5813" t="s">
        <v>5743</v>
      </c>
      <c r="B102" s="6842"/>
      <c r="C102" s="6916" t="s">
        <v>1674</v>
      </c>
      <c r="D102" s="6917"/>
      <c r="E102" s="703" t="s">
        <v>4567</v>
      </c>
      <c r="F102" s="3590" t="s">
        <v>4568</v>
      </c>
      <c r="G102" s="484" t="s">
        <v>4569</v>
      </c>
      <c r="H102" s="379" t="s">
        <v>4570</v>
      </c>
      <c r="I102" s="310" t="s">
        <v>4571</v>
      </c>
      <c r="J102" s="1264" t="s">
        <v>4572</v>
      </c>
      <c r="K102" s="315" t="s">
        <v>4573</v>
      </c>
      <c r="L102" s="1264" t="s">
        <v>4574</v>
      </c>
      <c r="M102" s="310" t="s">
        <v>4575</v>
      </c>
      <c r="N102" s="379" t="s">
        <v>4576</v>
      </c>
      <c r="O102" s="388" t="s">
        <v>4577</v>
      </c>
      <c r="P102" s="428" t="s">
        <v>4578</v>
      </c>
      <c r="Q102" s="388" t="s">
        <v>4579</v>
      </c>
      <c r="R102" s="428" t="s">
        <v>4580</v>
      </c>
      <c r="S102" s="388" t="s">
        <v>4581</v>
      </c>
      <c r="T102" s="428" t="s">
        <v>4582</v>
      </c>
      <c r="U102" s="388" t="s">
        <v>4583</v>
      </c>
      <c r="V102" s="428" t="s">
        <v>4584</v>
      </c>
      <c r="W102" s="388" t="s">
        <v>4585</v>
      </c>
      <c r="X102" s="428" t="s">
        <v>4586</v>
      </c>
      <c r="Y102" s="388" t="s">
        <v>4587</v>
      </c>
      <c r="Z102" s="428" t="s">
        <v>4588</v>
      </c>
      <c r="AA102" s="388" t="s">
        <v>4589</v>
      </c>
      <c r="AB102" s="428" t="s">
        <v>4590</v>
      </c>
      <c r="AC102" s="388" t="s">
        <v>4591</v>
      </c>
      <c r="AD102" s="428" t="s">
        <v>4592</v>
      </c>
      <c r="AE102" s="388" t="s">
        <v>4593</v>
      </c>
      <c r="AF102" s="428" t="s">
        <v>4594</v>
      </c>
      <c r="AG102" s="388" t="s">
        <v>4595</v>
      </c>
      <c r="AH102" s="428" t="s">
        <v>4596</v>
      </c>
      <c r="AI102" s="388" t="s">
        <v>4597</v>
      </c>
      <c r="AJ102" s="428" t="s">
        <v>4598</v>
      </c>
      <c r="AK102" s="388" t="s">
        <v>4599</v>
      </c>
      <c r="AL102" s="428" t="s">
        <v>4600</v>
      </c>
      <c r="AM102" s="388" t="s">
        <v>4601</v>
      </c>
      <c r="AN102" s="428" t="s">
        <v>4602</v>
      </c>
      <c r="AO102" s="389" t="s">
        <v>4603</v>
      </c>
      <c r="AP102" s="378" t="s">
        <v>4604</v>
      </c>
      <c r="AQ102" s="262" t="s">
        <v>4605</v>
      </c>
      <c r="AR102" s="262" t="s">
        <v>4606</v>
      </c>
      <c r="AS102" s="262" t="s">
        <v>4934</v>
      </c>
      <c r="AT102" s="262" t="s">
        <v>4935</v>
      </c>
      <c r="AU102" s="262" t="s">
        <v>4936</v>
      </c>
      <c r="AV102" s="262" t="s">
        <v>4937</v>
      </c>
      <c r="AW102" s="262" t="s">
        <v>5234</v>
      </c>
      <c r="AX102" s="262" t="s">
        <v>5235</v>
      </c>
      <c r="AY102" s="3589" t="s">
        <v>5236</v>
      </c>
      <c r="AZ102" t="e">
        <f t="shared" si="98"/>
        <v>#VALUE!</v>
      </c>
      <c r="CB102" s="433" t="e">
        <f t="shared" si="88"/>
        <v>#VALUE!</v>
      </c>
      <c r="CC102" s="433" t="str">
        <f t="shared" si="99"/>
        <v xml:space="preserve"> * La variable Gestante NO DEBEN ser mayor al Total de Mujeres. </v>
      </c>
      <c r="CD102" s="433" t="str">
        <f t="shared" si="100"/>
        <v xml:space="preserve"> * La variable  Atención bajo sedación inhalatoria (con óxido nitroso) NO DEBE ser mayor que el Total Ambos Sexos</v>
      </c>
      <c r="CE102" s="433" t="e">
        <f t="shared" si="101"/>
        <v>#VALUE!</v>
      </c>
      <c r="CF102" s="433" t="str">
        <f t="shared" si="102"/>
        <v xml:space="preserve"> * La variable Compra de Servicio No puede ser mayor al Total Ambos Sexos.</v>
      </c>
      <c r="CG102" s="433" t="str">
        <f t="shared" si="103"/>
        <v xml:space="preserve"> * La variable Usuarios con Discapacidad No puede ser mayor al Total Ambos Sexos.</v>
      </c>
      <c r="CH102" s="433" t="str">
        <f t="shared" si="104"/>
        <v xml:space="preserve"> * La variable Niños, niñas, adolescentes y jóvenes SENAME No puede ser mayor al Total Ambos Sexos.</v>
      </c>
      <c r="CI102" s="433" t="str">
        <f t="shared" si="105"/>
        <v xml:space="preserve"> * La variable Niños, niñas, adolescentes y jóvenes Mejor Niñez no puede ser mayor al Total Ambos Sexos.</v>
      </c>
      <c r="CJ102" s="433" t="str">
        <f t="shared" si="106"/>
        <v xml:space="preserve"> * La variable Migrantes no puede ser mayor al Total Ambos Sexos.</v>
      </c>
      <c r="CK102" s="435"/>
      <c r="CP102" s="434">
        <f t="shared" si="89"/>
        <v>1</v>
      </c>
      <c r="CQ102" s="434">
        <f t="shared" si="90"/>
        <v>1</v>
      </c>
      <c r="CR102" s="434">
        <f t="shared" si="91"/>
        <v>1</v>
      </c>
      <c r="CS102" s="434" t="e">
        <f t="shared" si="92"/>
        <v>#VALUE!</v>
      </c>
      <c r="CT102" s="434">
        <f t="shared" si="93"/>
        <v>1</v>
      </c>
      <c r="CU102" s="434">
        <f t="shared" si="94"/>
        <v>1</v>
      </c>
      <c r="CV102" s="434">
        <f t="shared" si="95"/>
        <v>1</v>
      </c>
      <c r="CW102" s="434">
        <f t="shared" si="96"/>
        <v>1</v>
      </c>
      <c r="CX102" s="434">
        <f t="shared" si="97"/>
        <v>1</v>
      </c>
      <c r="CY102" s="435"/>
    </row>
    <row r="103" spans="1:103" ht="15" customHeight="1" x14ac:dyDescent="0.25">
      <c r="A103" s="5812" t="s">
        <v>5744</v>
      </c>
      <c r="B103" s="6996" t="s">
        <v>1675</v>
      </c>
      <c r="C103" s="6997"/>
      <c r="D103" s="6998"/>
      <c r="E103" s="316" t="s">
        <v>4567</v>
      </c>
      <c r="F103" s="2292" t="s">
        <v>4568</v>
      </c>
      <c r="G103" s="574" t="s">
        <v>4569</v>
      </c>
      <c r="H103" s="290" t="s">
        <v>4570</v>
      </c>
      <c r="I103" s="622" t="s">
        <v>4571</v>
      </c>
      <c r="J103" s="290" t="s">
        <v>4572</v>
      </c>
      <c r="K103" s="714" t="s">
        <v>4573</v>
      </c>
      <c r="L103" s="290" t="s">
        <v>4574</v>
      </c>
      <c r="M103" s="622" t="s">
        <v>4575</v>
      </c>
      <c r="N103" s="290" t="s">
        <v>4576</v>
      </c>
      <c r="O103" s="622" t="s">
        <v>4577</v>
      </c>
      <c r="P103" s="22" t="s">
        <v>4578</v>
      </c>
      <c r="Q103" s="622" t="s">
        <v>4579</v>
      </c>
      <c r="R103" s="22" t="s">
        <v>4580</v>
      </c>
      <c r="S103" s="622" t="s">
        <v>4581</v>
      </c>
      <c r="T103" s="22" t="s">
        <v>4582</v>
      </c>
      <c r="U103" s="622" t="s">
        <v>4583</v>
      </c>
      <c r="V103" s="22" t="s">
        <v>4584</v>
      </c>
      <c r="W103" s="622" t="s">
        <v>4585</v>
      </c>
      <c r="X103" s="22" t="s">
        <v>4586</v>
      </c>
      <c r="Y103" s="622" t="s">
        <v>4587</v>
      </c>
      <c r="Z103" s="22" t="s">
        <v>4588</v>
      </c>
      <c r="AA103" s="622" t="s">
        <v>4589</v>
      </c>
      <c r="AB103" s="22" t="s">
        <v>4590</v>
      </c>
      <c r="AC103" s="622" t="s">
        <v>4591</v>
      </c>
      <c r="AD103" s="22" t="s">
        <v>4592</v>
      </c>
      <c r="AE103" s="622" t="s">
        <v>4593</v>
      </c>
      <c r="AF103" s="22" t="s">
        <v>4594</v>
      </c>
      <c r="AG103" s="622" t="s">
        <v>4595</v>
      </c>
      <c r="AH103" s="22" t="s">
        <v>4596</v>
      </c>
      <c r="AI103" s="622" t="s">
        <v>4597</v>
      </c>
      <c r="AJ103" s="22" t="s">
        <v>4598</v>
      </c>
      <c r="AK103" s="622" t="s">
        <v>4599</v>
      </c>
      <c r="AL103" s="22" t="s">
        <v>4600</v>
      </c>
      <c r="AM103" s="622" t="s">
        <v>4601</v>
      </c>
      <c r="AN103" s="22" t="s">
        <v>4602</v>
      </c>
      <c r="AO103" s="430" t="s">
        <v>4603</v>
      </c>
      <c r="AP103" s="296" t="s">
        <v>4604</v>
      </c>
      <c r="AQ103" s="531" t="s">
        <v>4605</v>
      </c>
      <c r="AR103" s="531" t="s">
        <v>4606</v>
      </c>
      <c r="AS103" s="531" t="s">
        <v>4934</v>
      </c>
      <c r="AT103" s="531" t="s">
        <v>4935</v>
      </c>
      <c r="AU103" s="531" t="s">
        <v>4936</v>
      </c>
      <c r="AV103" s="531" t="s">
        <v>4937</v>
      </c>
      <c r="AW103" s="531" t="s">
        <v>5234</v>
      </c>
      <c r="AX103" s="531" t="s">
        <v>5235</v>
      </c>
      <c r="AY103" s="130" t="s">
        <v>5236</v>
      </c>
      <c r="AZ103" t="e">
        <f t="shared" si="98"/>
        <v>#VALUE!</v>
      </c>
      <c r="CB103" s="433" t="e">
        <f t="shared" si="88"/>
        <v>#VALUE!</v>
      </c>
      <c r="CC103" s="433" t="str">
        <f t="shared" si="99"/>
        <v xml:space="preserve"> * La variable Gestante NO DEBEN ser mayor al Total de Mujeres. </v>
      </c>
      <c r="CD103" s="433" t="str">
        <f t="shared" si="100"/>
        <v xml:space="preserve"> * La variable  Atención bajo sedación inhalatoria (con óxido nitroso) NO DEBE ser mayor que el Total Ambos Sexos</v>
      </c>
      <c r="CE103" s="433" t="e">
        <f t="shared" si="101"/>
        <v>#VALUE!</v>
      </c>
      <c r="CF103" s="433" t="str">
        <f t="shared" si="102"/>
        <v xml:space="preserve"> * La variable Compra de Servicio No puede ser mayor al Total Ambos Sexos.</v>
      </c>
      <c r="CG103" s="433" t="str">
        <f t="shared" si="103"/>
        <v xml:space="preserve"> * La variable Usuarios con Discapacidad No puede ser mayor al Total Ambos Sexos.</v>
      </c>
      <c r="CH103" s="433" t="str">
        <f t="shared" si="104"/>
        <v xml:space="preserve"> * La variable Niños, niñas, adolescentes y jóvenes SENAME No puede ser mayor al Total Ambos Sexos.</v>
      </c>
      <c r="CI103" s="433" t="str">
        <f t="shared" si="105"/>
        <v xml:space="preserve"> * La variable Niños, niñas, adolescentes y jóvenes Mejor Niñez no puede ser mayor al Total Ambos Sexos.</v>
      </c>
      <c r="CJ103" s="433" t="str">
        <f t="shared" si="106"/>
        <v xml:space="preserve"> * La variable Migrantes no puede ser mayor al Total Ambos Sexos.</v>
      </c>
      <c r="CK103" s="435"/>
      <c r="CP103" s="434">
        <f t="shared" si="89"/>
        <v>1</v>
      </c>
      <c r="CQ103" s="434">
        <f t="shared" si="90"/>
        <v>1</v>
      </c>
      <c r="CR103" s="434">
        <f t="shared" si="91"/>
        <v>1</v>
      </c>
      <c r="CS103" s="434" t="e">
        <f t="shared" si="92"/>
        <v>#VALUE!</v>
      </c>
      <c r="CT103" s="434">
        <f t="shared" si="93"/>
        <v>1</v>
      </c>
      <c r="CU103" s="434">
        <f t="shared" si="94"/>
        <v>1</v>
      </c>
      <c r="CV103" s="434">
        <f t="shared" si="95"/>
        <v>1</v>
      </c>
      <c r="CW103" s="434">
        <f t="shared" si="96"/>
        <v>1</v>
      </c>
      <c r="CX103" s="434">
        <f t="shared" si="97"/>
        <v>1</v>
      </c>
      <c r="CY103" s="435"/>
    </row>
    <row r="104" spans="1:103" ht="15" customHeight="1" x14ac:dyDescent="0.25">
      <c r="A104" s="5812" t="s">
        <v>5745</v>
      </c>
      <c r="B104" s="7015" t="s">
        <v>1676</v>
      </c>
      <c r="C104" s="7016"/>
      <c r="D104" s="7017"/>
      <c r="E104" s="737" t="s">
        <v>4567</v>
      </c>
      <c r="F104" s="478" t="s">
        <v>4568</v>
      </c>
      <c r="G104" s="553" t="s">
        <v>4569</v>
      </c>
      <c r="H104" s="670" t="s">
        <v>4570</v>
      </c>
      <c r="I104" s="2659" t="s">
        <v>4571</v>
      </c>
      <c r="J104" s="670" t="s">
        <v>4572</v>
      </c>
      <c r="K104" s="3594" t="s">
        <v>4573</v>
      </c>
      <c r="L104" s="670" t="s">
        <v>4574</v>
      </c>
      <c r="M104" s="2659" t="s">
        <v>4575</v>
      </c>
      <c r="N104" s="670" t="s">
        <v>4576</v>
      </c>
      <c r="O104" s="2659" t="s">
        <v>4577</v>
      </c>
      <c r="P104" s="537" t="s">
        <v>4578</v>
      </c>
      <c r="Q104" s="2659" t="s">
        <v>4579</v>
      </c>
      <c r="R104" s="537" t="s">
        <v>4580</v>
      </c>
      <c r="S104" s="2659" t="s">
        <v>4581</v>
      </c>
      <c r="T104" s="537" t="s">
        <v>4582</v>
      </c>
      <c r="U104" s="2659" t="s">
        <v>4583</v>
      </c>
      <c r="V104" s="537" t="s">
        <v>4584</v>
      </c>
      <c r="W104" s="2659" t="s">
        <v>4585</v>
      </c>
      <c r="X104" s="537" t="s">
        <v>4586</v>
      </c>
      <c r="Y104" s="2659" t="s">
        <v>4587</v>
      </c>
      <c r="Z104" s="347" t="s">
        <v>4588</v>
      </c>
      <c r="AA104" s="349" t="s">
        <v>4589</v>
      </c>
      <c r="AB104" s="347" t="s">
        <v>4590</v>
      </c>
      <c r="AC104" s="349" t="s">
        <v>4591</v>
      </c>
      <c r="AD104" s="347" t="s">
        <v>4592</v>
      </c>
      <c r="AE104" s="349" t="s">
        <v>4593</v>
      </c>
      <c r="AF104" s="347" t="s">
        <v>4594</v>
      </c>
      <c r="AG104" s="349" t="s">
        <v>4595</v>
      </c>
      <c r="AH104" s="347" t="s">
        <v>4596</v>
      </c>
      <c r="AI104" s="349" t="s">
        <v>4597</v>
      </c>
      <c r="AJ104" s="347" t="s">
        <v>4598</v>
      </c>
      <c r="AK104" s="349" t="s">
        <v>4599</v>
      </c>
      <c r="AL104" s="347" t="s">
        <v>4600</v>
      </c>
      <c r="AM104" s="349" t="s">
        <v>4601</v>
      </c>
      <c r="AN104" s="347" t="s">
        <v>4602</v>
      </c>
      <c r="AO104" s="351" t="s">
        <v>4603</v>
      </c>
      <c r="AP104" s="3595" t="s">
        <v>4604</v>
      </c>
      <c r="AQ104" s="531" t="s">
        <v>4605</v>
      </c>
      <c r="AR104" s="531" t="s">
        <v>4606</v>
      </c>
      <c r="AS104" s="531" t="s">
        <v>4934</v>
      </c>
      <c r="AT104" s="531" t="s">
        <v>4935</v>
      </c>
      <c r="AU104" s="531" t="s">
        <v>4936</v>
      </c>
      <c r="AV104" s="531" t="s">
        <v>4937</v>
      </c>
      <c r="AW104" s="531" t="s">
        <v>5234</v>
      </c>
      <c r="AX104" s="531" t="s">
        <v>5235</v>
      </c>
      <c r="AY104" s="107" t="s">
        <v>5236</v>
      </c>
      <c r="AZ104" t="e">
        <f t="shared" si="98"/>
        <v>#VALUE!</v>
      </c>
      <c r="CB104" s="435"/>
      <c r="CC104" s="433" t="str">
        <f t="shared" si="99"/>
        <v xml:space="preserve"> * La variable Gestante NO DEBEN ser mayor al Total de Mujeres. </v>
      </c>
      <c r="CD104" s="433" t="str">
        <f t="shared" si="100"/>
        <v xml:space="preserve"> * La variable  Atención bajo sedación inhalatoria (con óxido nitroso) NO DEBE ser mayor que el Total Ambos Sexos</v>
      </c>
      <c r="CE104" s="433" t="e">
        <f t="shared" si="101"/>
        <v>#VALUE!</v>
      </c>
      <c r="CF104" s="433" t="str">
        <f t="shared" si="102"/>
        <v xml:space="preserve"> * La variable Compra de Servicio No puede ser mayor al Total Ambos Sexos.</v>
      </c>
      <c r="CG104" s="433" t="str">
        <f t="shared" si="103"/>
        <v xml:space="preserve"> * La variable Usuarios con Discapacidad No puede ser mayor al Total Ambos Sexos.</v>
      </c>
      <c r="CH104" s="433" t="str">
        <f t="shared" si="104"/>
        <v xml:space="preserve"> * La variable Niños, niñas, adolescentes y jóvenes SENAME No puede ser mayor al Total Ambos Sexos.</v>
      </c>
      <c r="CI104" s="433" t="str">
        <f t="shared" si="105"/>
        <v xml:space="preserve"> * La variable Niños, niñas, adolescentes y jóvenes Mejor Niñez no puede ser mayor al Total Ambos Sexos.</v>
      </c>
      <c r="CJ104" s="433" t="str">
        <f t="shared" si="106"/>
        <v xml:space="preserve"> * La variable Migrantes no puede ser mayor al Total Ambos Sexos.</v>
      </c>
      <c r="CK104" s="433" t="str">
        <f t="shared" ref="CK104:CK142" si="107">IF(AND($E104&gt;0,AY104="")," * No olvide digitar la variable Flujo digital. Digite Cero si no tiene.",IF(AY104&gt;$E104," * La variable Flujo digital no puede ser mayor al Total Ambos Sexos.",""))</f>
        <v xml:space="preserve"> * La variable Flujo digital no puede ser mayor al Total Ambos Sexos.</v>
      </c>
      <c r="CP104" s="435"/>
      <c r="CQ104" s="434">
        <f t="shared" si="90"/>
        <v>1</v>
      </c>
      <c r="CR104" s="434">
        <f t="shared" si="91"/>
        <v>1</v>
      </c>
      <c r="CS104" s="434" t="e">
        <f t="shared" si="92"/>
        <v>#VALUE!</v>
      </c>
      <c r="CT104" s="434">
        <f t="shared" si="93"/>
        <v>1</v>
      </c>
      <c r="CU104" s="434">
        <f t="shared" si="94"/>
        <v>1</v>
      </c>
      <c r="CV104" s="434">
        <f t="shared" si="95"/>
        <v>1</v>
      </c>
      <c r="CW104" s="434">
        <f t="shared" si="96"/>
        <v>1</v>
      </c>
      <c r="CX104" s="434">
        <f t="shared" si="97"/>
        <v>1</v>
      </c>
      <c r="CY104" s="434">
        <f>IF(AND($E104&gt;0,AY104=""),1,IF(AY104&gt;$E104,1,0))</f>
        <v>1</v>
      </c>
    </row>
    <row r="105" spans="1:103" ht="15" customHeight="1" x14ac:dyDescent="0.25">
      <c r="A105" s="5812" t="s">
        <v>5746</v>
      </c>
      <c r="B105" s="7015" t="s">
        <v>1677</v>
      </c>
      <c r="C105" s="7016"/>
      <c r="D105" s="7017"/>
      <c r="E105" s="737" t="s">
        <v>4567</v>
      </c>
      <c r="F105" s="478" t="s">
        <v>4568</v>
      </c>
      <c r="G105" s="553" t="s">
        <v>4569</v>
      </c>
      <c r="H105" s="345" t="s">
        <v>4570</v>
      </c>
      <c r="I105" s="349" t="s">
        <v>4571</v>
      </c>
      <c r="J105" s="345" t="s">
        <v>4572</v>
      </c>
      <c r="K105" s="348" t="s">
        <v>4573</v>
      </c>
      <c r="L105" s="290" t="s">
        <v>4574</v>
      </c>
      <c r="M105" s="349" t="s">
        <v>4575</v>
      </c>
      <c r="N105" s="345" t="s">
        <v>4576</v>
      </c>
      <c r="O105" s="349" t="s">
        <v>4577</v>
      </c>
      <c r="P105" s="347" t="s">
        <v>4578</v>
      </c>
      <c r="Q105" s="349" t="s">
        <v>4579</v>
      </c>
      <c r="R105" s="347" t="s">
        <v>4580</v>
      </c>
      <c r="S105" s="349" t="s">
        <v>4581</v>
      </c>
      <c r="T105" s="347" t="s">
        <v>4582</v>
      </c>
      <c r="U105" s="349" t="s">
        <v>4583</v>
      </c>
      <c r="V105" s="347" t="s">
        <v>4584</v>
      </c>
      <c r="W105" s="349" t="s">
        <v>4585</v>
      </c>
      <c r="X105" s="347" t="s">
        <v>4586</v>
      </c>
      <c r="Y105" s="349" t="s">
        <v>4587</v>
      </c>
      <c r="Z105" s="347" t="s">
        <v>4588</v>
      </c>
      <c r="AA105" s="349" t="s">
        <v>4589</v>
      </c>
      <c r="AB105" s="537" t="s">
        <v>4590</v>
      </c>
      <c r="AC105" s="2659" t="s">
        <v>4591</v>
      </c>
      <c r="AD105" s="537" t="s">
        <v>4592</v>
      </c>
      <c r="AE105" s="2659" t="s">
        <v>4593</v>
      </c>
      <c r="AF105" s="537" t="s">
        <v>4594</v>
      </c>
      <c r="AG105" s="2659" t="s">
        <v>4595</v>
      </c>
      <c r="AH105" s="537" t="s">
        <v>4596</v>
      </c>
      <c r="AI105" s="2659" t="s">
        <v>4597</v>
      </c>
      <c r="AJ105" s="537" t="s">
        <v>4598</v>
      </c>
      <c r="AK105" s="2659" t="s">
        <v>4599</v>
      </c>
      <c r="AL105" s="537" t="s">
        <v>4600</v>
      </c>
      <c r="AM105" s="2659" t="s">
        <v>4601</v>
      </c>
      <c r="AN105" s="537" t="s">
        <v>4602</v>
      </c>
      <c r="AO105" s="522" t="s">
        <v>4603</v>
      </c>
      <c r="AP105" s="429" t="s">
        <v>4604</v>
      </c>
      <c r="AQ105" s="368" t="s">
        <v>4605</v>
      </c>
      <c r="AR105" s="368" t="s">
        <v>4606</v>
      </c>
      <c r="AS105" s="521" t="s">
        <v>4934</v>
      </c>
      <c r="AT105" s="368" t="s">
        <v>4935</v>
      </c>
      <c r="AU105" s="368" t="s">
        <v>4936</v>
      </c>
      <c r="AV105" s="368" t="s">
        <v>4937</v>
      </c>
      <c r="AW105" s="368" t="s">
        <v>5234</v>
      </c>
      <c r="AX105" s="368" t="s">
        <v>5235</v>
      </c>
      <c r="AY105" s="671" t="s">
        <v>5236</v>
      </c>
      <c r="AZ105" t="e">
        <f t="shared" si="98"/>
        <v>#VALUE!</v>
      </c>
      <c r="CB105" s="433" t="e">
        <f t="shared" ref="CB105:CB109" si="108">IF(AND((X105+Y105)&gt;0,AP105="")," * No olvide digitar la variable 12 años (incluido en el grupo de 10-14 años). Digite Cero si no tiene.",IF(AP105&gt;(X105+Y105),"* Las Consultas de 12 años (incluido en el grupo de 10-14 años) NO DEBEN ser mayor que el total de Consultas entre 10-14 años",""))</f>
        <v>#VALUE!</v>
      </c>
      <c r="CC105" s="433" t="str">
        <f t="shared" si="99"/>
        <v xml:space="preserve"> * La variable Gestante NO DEBEN ser mayor al Total de Mujeres. </v>
      </c>
      <c r="CD105" s="433" t="str">
        <f t="shared" si="100"/>
        <v xml:space="preserve"> * La variable  Atención bajo sedación inhalatoria (con óxido nitroso) NO DEBE ser mayor que el Total Ambos Sexos</v>
      </c>
      <c r="CE105" s="435"/>
      <c r="CF105" s="433" t="str">
        <f t="shared" si="102"/>
        <v xml:space="preserve"> * La variable Compra de Servicio No puede ser mayor al Total Ambos Sexos.</v>
      </c>
      <c r="CG105" s="433" t="str">
        <f t="shared" si="103"/>
        <v xml:space="preserve"> * La variable Usuarios con Discapacidad No puede ser mayor al Total Ambos Sexos.</v>
      </c>
      <c r="CH105" s="433" t="str">
        <f t="shared" si="104"/>
        <v xml:space="preserve"> * La variable Niños, niñas, adolescentes y jóvenes SENAME No puede ser mayor al Total Ambos Sexos.</v>
      </c>
      <c r="CI105" s="433" t="str">
        <f t="shared" si="105"/>
        <v xml:space="preserve"> * La variable Niños, niñas, adolescentes y jóvenes Mejor Niñez no puede ser mayor al Total Ambos Sexos.</v>
      </c>
      <c r="CJ105" s="433" t="str">
        <f t="shared" si="106"/>
        <v xml:space="preserve"> * La variable Migrantes no puede ser mayor al Total Ambos Sexos.</v>
      </c>
      <c r="CK105" s="435"/>
      <c r="CP105" s="434">
        <f t="shared" ref="CP105:CP120" si="109">IF(AND($E105&gt;0,AP105=""),1,IF(AP105&gt;E105,1,0))</f>
        <v>1</v>
      </c>
      <c r="CQ105" s="434">
        <f t="shared" si="90"/>
        <v>1</v>
      </c>
      <c r="CR105" s="434">
        <f t="shared" si="91"/>
        <v>1</v>
      </c>
      <c r="CS105" s="435"/>
      <c r="CT105" s="434">
        <f t="shared" si="93"/>
        <v>1</v>
      </c>
      <c r="CU105" s="434">
        <f t="shared" si="94"/>
        <v>1</v>
      </c>
      <c r="CV105" s="434">
        <f t="shared" si="95"/>
        <v>1</v>
      </c>
      <c r="CW105" s="434">
        <f t="shared" si="96"/>
        <v>1</v>
      </c>
      <c r="CX105" s="434">
        <f t="shared" si="97"/>
        <v>1</v>
      </c>
      <c r="CY105" s="435"/>
    </row>
    <row r="106" spans="1:103" ht="15" customHeight="1" x14ac:dyDescent="0.25">
      <c r="A106" s="5812" t="s">
        <v>5747</v>
      </c>
      <c r="B106" s="7015" t="s">
        <v>1678</v>
      </c>
      <c r="C106" s="7016"/>
      <c r="D106" s="7017"/>
      <c r="E106" s="737" t="s">
        <v>4567</v>
      </c>
      <c r="F106" s="478" t="s">
        <v>4568</v>
      </c>
      <c r="G106" s="553" t="s">
        <v>4569</v>
      </c>
      <c r="H106" s="345" t="s">
        <v>4570</v>
      </c>
      <c r="I106" s="349" t="s">
        <v>4571</v>
      </c>
      <c r="J106" s="345" t="s">
        <v>4572</v>
      </c>
      <c r="K106" s="348" t="s">
        <v>4573</v>
      </c>
      <c r="L106" s="290" t="s">
        <v>4574</v>
      </c>
      <c r="M106" s="349" t="s">
        <v>4575</v>
      </c>
      <c r="N106" s="345" t="s">
        <v>4576</v>
      </c>
      <c r="O106" s="349" t="s">
        <v>4577</v>
      </c>
      <c r="P106" s="347" t="s">
        <v>4578</v>
      </c>
      <c r="Q106" s="349" t="s">
        <v>4579</v>
      </c>
      <c r="R106" s="347" t="s">
        <v>4580</v>
      </c>
      <c r="S106" s="349" t="s">
        <v>4581</v>
      </c>
      <c r="T106" s="347" t="s">
        <v>4582</v>
      </c>
      <c r="U106" s="349" t="s">
        <v>4583</v>
      </c>
      <c r="V106" s="347" t="s">
        <v>4584</v>
      </c>
      <c r="W106" s="349" t="s">
        <v>4585</v>
      </c>
      <c r="X106" s="347" t="s">
        <v>4586</v>
      </c>
      <c r="Y106" s="349" t="s">
        <v>4587</v>
      </c>
      <c r="Z106" s="347" t="s">
        <v>4588</v>
      </c>
      <c r="AA106" s="349" t="s">
        <v>4589</v>
      </c>
      <c r="AB106" s="347" t="s">
        <v>4590</v>
      </c>
      <c r="AC106" s="349" t="s">
        <v>4591</v>
      </c>
      <c r="AD106" s="347" t="s">
        <v>4592</v>
      </c>
      <c r="AE106" s="349" t="s">
        <v>4593</v>
      </c>
      <c r="AF106" s="347" t="s">
        <v>4594</v>
      </c>
      <c r="AG106" s="349" t="s">
        <v>4595</v>
      </c>
      <c r="AH106" s="347" t="s">
        <v>4596</v>
      </c>
      <c r="AI106" s="349" t="s">
        <v>4597</v>
      </c>
      <c r="AJ106" s="347" t="s">
        <v>4598</v>
      </c>
      <c r="AK106" s="349" t="s">
        <v>4599</v>
      </c>
      <c r="AL106" s="347" t="s">
        <v>4600</v>
      </c>
      <c r="AM106" s="349" t="s">
        <v>4601</v>
      </c>
      <c r="AN106" s="347" t="s">
        <v>4602</v>
      </c>
      <c r="AO106" s="351" t="s">
        <v>4603</v>
      </c>
      <c r="AP106" s="429" t="s">
        <v>4604</v>
      </c>
      <c r="AQ106" s="368" t="s">
        <v>4605</v>
      </c>
      <c r="AR106" s="368" t="s">
        <v>4606</v>
      </c>
      <c r="AS106" s="531" t="s">
        <v>4934</v>
      </c>
      <c r="AT106" s="368" t="s">
        <v>4935</v>
      </c>
      <c r="AU106" s="368" t="s">
        <v>4936</v>
      </c>
      <c r="AV106" s="368" t="s">
        <v>4937</v>
      </c>
      <c r="AW106" s="368" t="s">
        <v>5234</v>
      </c>
      <c r="AX106" s="368" t="s">
        <v>5235</v>
      </c>
      <c r="AY106" s="671" t="s">
        <v>5236</v>
      </c>
      <c r="AZ106" t="e">
        <f t="shared" si="98"/>
        <v>#VALUE!</v>
      </c>
      <c r="CB106" s="433" t="e">
        <f t="shared" si="108"/>
        <v>#VALUE!</v>
      </c>
      <c r="CC106" s="433" t="str">
        <f t="shared" si="99"/>
        <v xml:space="preserve"> * La variable Gestante NO DEBEN ser mayor al Total de Mujeres. </v>
      </c>
      <c r="CD106" s="433" t="str">
        <f t="shared" si="100"/>
        <v xml:space="preserve"> * La variable  Atención bajo sedación inhalatoria (con óxido nitroso) NO DEBE ser mayor que el Total Ambos Sexos</v>
      </c>
      <c r="CE106" s="433" t="e">
        <f t="shared" si="101"/>
        <v>#VALUE!</v>
      </c>
      <c r="CF106" s="433" t="str">
        <f t="shared" si="102"/>
        <v xml:space="preserve"> * La variable Compra de Servicio No puede ser mayor al Total Ambos Sexos.</v>
      </c>
      <c r="CG106" s="433" t="str">
        <f t="shared" si="103"/>
        <v xml:space="preserve"> * La variable Usuarios con Discapacidad No puede ser mayor al Total Ambos Sexos.</v>
      </c>
      <c r="CH106" s="433" t="str">
        <f t="shared" si="104"/>
        <v xml:space="preserve"> * La variable Niños, niñas, adolescentes y jóvenes SENAME No puede ser mayor al Total Ambos Sexos.</v>
      </c>
      <c r="CI106" s="433" t="str">
        <f t="shared" si="105"/>
        <v xml:space="preserve"> * La variable Niños, niñas, adolescentes y jóvenes Mejor Niñez no puede ser mayor al Total Ambos Sexos.</v>
      </c>
      <c r="CJ106" s="433" t="str">
        <f t="shared" si="106"/>
        <v xml:space="preserve"> * La variable Migrantes no puede ser mayor al Total Ambos Sexos.</v>
      </c>
      <c r="CK106" s="435"/>
      <c r="CP106" s="434">
        <f t="shared" si="109"/>
        <v>1</v>
      </c>
      <c r="CQ106" s="434">
        <f t="shared" si="90"/>
        <v>1</v>
      </c>
      <c r="CR106" s="434">
        <f t="shared" si="91"/>
        <v>1</v>
      </c>
      <c r="CS106" s="434" t="e">
        <f t="shared" ref="CS106:CS142" si="110">IF(AND(AJ106+AK106&gt;0,AS106=""),1,IF(AS106&gt;AJ106+AK106,1,0))</f>
        <v>#VALUE!</v>
      </c>
      <c r="CT106" s="434">
        <f t="shared" si="93"/>
        <v>1</v>
      </c>
      <c r="CU106" s="434">
        <f t="shared" si="94"/>
        <v>1</v>
      </c>
      <c r="CV106" s="434">
        <f t="shared" si="95"/>
        <v>1</v>
      </c>
      <c r="CW106" s="434">
        <f t="shared" si="96"/>
        <v>1</v>
      </c>
      <c r="CX106" s="434">
        <f t="shared" si="97"/>
        <v>1</v>
      </c>
      <c r="CY106" s="435"/>
    </row>
    <row r="107" spans="1:103" ht="15" customHeight="1" x14ac:dyDescent="0.25">
      <c r="A107" s="5812" t="s">
        <v>5748</v>
      </c>
      <c r="B107" s="7015" t="s">
        <v>1679</v>
      </c>
      <c r="C107" s="7016"/>
      <c r="D107" s="7017"/>
      <c r="E107" s="737" t="s">
        <v>4567</v>
      </c>
      <c r="F107" s="478" t="s">
        <v>4568</v>
      </c>
      <c r="G107" s="553" t="s">
        <v>4569</v>
      </c>
      <c r="H107" s="345" t="s">
        <v>4570</v>
      </c>
      <c r="I107" s="349" t="s">
        <v>4571</v>
      </c>
      <c r="J107" s="345" t="s">
        <v>4572</v>
      </c>
      <c r="K107" s="348" t="s">
        <v>4573</v>
      </c>
      <c r="L107" s="290" t="s">
        <v>4574</v>
      </c>
      <c r="M107" s="349" t="s">
        <v>4575</v>
      </c>
      <c r="N107" s="345" t="s">
        <v>4576</v>
      </c>
      <c r="O107" s="349" t="s">
        <v>4577</v>
      </c>
      <c r="P107" s="347" t="s">
        <v>4578</v>
      </c>
      <c r="Q107" s="349" t="s">
        <v>4579</v>
      </c>
      <c r="R107" s="347" t="s">
        <v>4580</v>
      </c>
      <c r="S107" s="349" t="s">
        <v>4581</v>
      </c>
      <c r="T107" s="347" t="s">
        <v>4582</v>
      </c>
      <c r="U107" s="349" t="s">
        <v>4583</v>
      </c>
      <c r="V107" s="347" t="s">
        <v>4584</v>
      </c>
      <c r="W107" s="349" t="s">
        <v>4585</v>
      </c>
      <c r="X107" s="347" t="s">
        <v>4586</v>
      </c>
      <c r="Y107" s="349" t="s">
        <v>4587</v>
      </c>
      <c r="Z107" s="347" t="s">
        <v>4588</v>
      </c>
      <c r="AA107" s="349" t="s">
        <v>4589</v>
      </c>
      <c r="AB107" s="347" t="s">
        <v>4590</v>
      </c>
      <c r="AC107" s="349" t="s">
        <v>4591</v>
      </c>
      <c r="AD107" s="347" t="s">
        <v>4592</v>
      </c>
      <c r="AE107" s="349" t="s">
        <v>4593</v>
      </c>
      <c r="AF107" s="347" t="s">
        <v>4594</v>
      </c>
      <c r="AG107" s="349" t="s">
        <v>4595</v>
      </c>
      <c r="AH107" s="347" t="s">
        <v>4596</v>
      </c>
      <c r="AI107" s="349" t="s">
        <v>4597</v>
      </c>
      <c r="AJ107" s="347" t="s">
        <v>4598</v>
      </c>
      <c r="AK107" s="349" t="s">
        <v>4599</v>
      </c>
      <c r="AL107" s="347" t="s">
        <v>4600</v>
      </c>
      <c r="AM107" s="349" t="s">
        <v>4601</v>
      </c>
      <c r="AN107" s="347" t="s">
        <v>4602</v>
      </c>
      <c r="AO107" s="351" t="s">
        <v>4603</v>
      </c>
      <c r="AP107" s="429" t="s">
        <v>4604</v>
      </c>
      <c r="AQ107" s="368" t="s">
        <v>4605</v>
      </c>
      <c r="AR107" s="368" t="s">
        <v>4606</v>
      </c>
      <c r="AS107" s="531" t="s">
        <v>4934</v>
      </c>
      <c r="AT107" s="368" t="s">
        <v>4935</v>
      </c>
      <c r="AU107" s="368" t="s">
        <v>4936</v>
      </c>
      <c r="AV107" s="368" t="s">
        <v>4937</v>
      </c>
      <c r="AW107" s="368" t="s">
        <v>5234</v>
      </c>
      <c r="AX107" s="368" t="s">
        <v>5235</v>
      </c>
      <c r="AY107" s="671" t="s">
        <v>5236</v>
      </c>
      <c r="AZ107" t="e">
        <f t="shared" si="98"/>
        <v>#VALUE!</v>
      </c>
      <c r="CB107" s="433" t="e">
        <f t="shared" si="108"/>
        <v>#VALUE!</v>
      </c>
      <c r="CC107" s="433" t="str">
        <f t="shared" si="99"/>
        <v xml:space="preserve"> * La variable Gestante NO DEBEN ser mayor al Total de Mujeres. </v>
      </c>
      <c r="CD107" s="433" t="str">
        <f t="shared" si="100"/>
        <v xml:space="preserve"> * La variable  Atención bajo sedación inhalatoria (con óxido nitroso) NO DEBE ser mayor que el Total Ambos Sexos</v>
      </c>
      <c r="CE107" s="433" t="e">
        <f t="shared" si="101"/>
        <v>#VALUE!</v>
      </c>
      <c r="CF107" s="433" t="str">
        <f t="shared" si="102"/>
        <v xml:space="preserve"> * La variable Compra de Servicio No puede ser mayor al Total Ambos Sexos.</v>
      </c>
      <c r="CG107" s="433" t="str">
        <f t="shared" si="103"/>
        <v xml:space="preserve"> * La variable Usuarios con Discapacidad No puede ser mayor al Total Ambos Sexos.</v>
      </c>
      <c r="CH107" s="433" t="str">
        <f t="shared" si="104"/>
        <v xml:space="preserve"> * La variable Niños, niñas, adolescentes y jóvenes SENAME No puede ser mayor al Total Ambos Sexos.</v>
      </c>
      <c r="CI107" s="433" t="str">
        <f t="shared" si="105"/>
        <v xml:space="preserve"> * La variable Niños, niñas, adolescentes y jóvenes Mejor Niñez no puede ser mayor al Total Ambos Sexos.</v>
      </c>
      <c r="CJ107" s="433" t="str">
        <f t="shared" si="106"/>
        <v xml:space="preserve"> * La variable Migrantes no puede ser mayor al Total Ambos Sexos.</v>
      </c>
      <c r="CK107" s="435"/>
      <c r="CP107" s="434">
        <f t="shared" si="109"/>
        <v>1</v>
      </c>
      <c r="CQ107" s="434">
        <f t="shared" si="90"/>
        <v>1</v>
      </c>
      <c r="CR107" s="434">
        <f t="shared" si="91"/>
        <v>1</v>
      </c>
      <c r="CS107" s="434" t="e">
        <f t="shared" si="110"/>
        <v>#VALUE!</v>
      </c>
      <c r="CT107" s="434">
        <f t="shared" si="93"/>
        <v>1</v>
      </c>
      <c r="CU107" s="434">
        <f t="shared" si="94"/>
        <v>1</v>
      </c>
      <c r="CV107" s="434">
        <f t="shared" si="95"/>
        <v>1</v>
      </c>
      <c r="CW107" s="434">
        <f t="shared" si="96"/>
        <v>1</v>
      </c>
      <c r="CX107" s="434">
        <f t="shared" si="97"/>
        <v>1</v>
      </c>
      <c r="CY107" s="435"/>
    </row>
    <row r="108" spans="1:103" ht="15" customHeight="1" x14ac:dyDescent="0.25">
      <c r="A108" s="5812" t="s">
        <v>5749</v>
      </c>
      <c r="B108" s="7015" t="s">
        <v>1680</v>
      </c>
      <c r="C108" s="7016"/>
      <c r="D108" s="7017"/>
      <c r="E108" s="737" t="s">
        <v>4567</v>
      </c>
      <c r="F108" s="478" t="s">
        <v>4568</v>
      </c>
      <c r="G108" s="553" t="s">
        <v>4569</v>
      </c>
      <c r="H108" s="345" t="s">
        <v>4570</v>
      </c>
      <c r="I108" s="349" t="s">
        <v>4571</v>
      </c>
      <c r="J108" s="345" t="s">
        <v>4572</v>
      </c>
      <c r="K108" s="348" t="s">
        <v>4573</v>
      </c>
      <c r="L108" s="345" t="s">
        <v>4574</v>
      </c>
      <c r="M108" s="349" t="s">
        <v>4575</v>
      </c>
      <c r="N108" s="345" t="s">
        <v>4576</v>
      </c>
      <c r="O108" s="349" t="s">
        <v>4577</v>
      </c>
      <c r="P108" s="347" t="s">
        <v>4578</v>
      </c>
      <c r="Q108" s="349" t="s">
        <v>4579</v>
      </c>
      <c r="R108" s="347" t="s">
        <v>4580</v>
      </c>
      <c r="S108" s="349" t="s">
        <v>4581</v>
      </c>
      <c r="T108" s="347" t="s">
        <v>4582</v>
      </c>
      <c r="U108" s="349" t="s">
        <v>4583</v>
      </c>
      <c r="V108" s="347" t="s">
        <v>4584</v>
      </c>
      <c r="W108" s="349" t="s">
        <v>4585</v>
      </c>
      <c r="X108" s="347" t="s">
        <v>4586</v>
      </c>
      <c r="Y108" s="349" t="s">
        <v>4587</v>
      </c>
      <c r="Z108" s="347" t="s">
        <v>4588</v>
      </c>
      <c r="AA108" s="349" t="s">
        <v>4589</v>
      </c>
      <c r="AB108" s="347" t="s">
        <v>4590</v>
      </c>
      <c r="AC108" s="349" t="s">
        <v>4591</v>
      </c>
      <c r="AD108" s="347" t="s">
        <v>4592</v>
      </c>
      <c r="AE108" s="349" t="s">
        <v>4593</v>
      </c>
      <c r="AF108" s="347" t="s">
        <v>4594</v>
      </c>
      <c r="AG108" s="349" t="s">
        <v>4595</v>
      </c>
      <c r="AH108" s="347" t="s">
        <v>4596</v>
      </c>
      <c r="AI108" s="349" t="s">
        <v>4597</v>
      </c>
      <c r="AJ108" s="347" t="s">
        <v>4598</v>
      </c>
      <c r="AK108" s="349" t="s">
        <v>4599</v>
      </c>
      <c r="AL108" s="347" t="s">
        <v>4600</v>
      </c>
      <c r="AM108" s="349" t="s">
        <v>4601</v>
      </c>
      <c r="AN108" s="347" t="s">
        <v>4602</v>
      </c>
      <c r="AO108" s="351" t="s">
        <v>4603</v>
      </c>
      <c r="AP108" s="429" t="s">
        <v>4604</v>
      </c>
      <c r="AQ108" s="368" t="s">
        <v>4605</v>
      </c>
      <c r="AR108" s="368" t="s">
        <v>4606</v>
      </c>
      <c r="AS108" s="531" t="s">
        <v>4934</v>
      </c>
      <c r="AT108" s="368" t="s">
        <v>4935</v>
      </c>
      <c r="AU108" s="368" t="s">
        <v>4936</v>
      </c>
      <c r="AV108" s="368" t="s">
        <v>4937</v>
      </c>
      <c r="AW108" s="368" t="s">
        <v>5234</v>
      </c>
      <c r="AX108" s="368" t="s">
        <v>5235</v>
      </c>
      <c r="AY108" s="671" t="s">
        <v>5236</v>
      </c>
      <c r="AZ108" t="e">
        <f t="shared" si="98"/>
        <v>#VALUE!</v>
      </c>
      <c r="CB108" s="433" t="e">
        <f t="shared" si="108"/>
        <v>#VALUE!</v>
      </c>
      <c r="CC108" s="433" t="str">
        <f t="shared" si="99"/>
        <v xml:space="preserve"> * La variable Gestante NO DEBEN ser mayor al Total de Mujeres. </v>
      </c>
      <c r="CD108" s="433" t="str">
        <f t="shared" si="100"/>
        <v xml:space="preserve"> * La variable  Atención bajo sedación inhalatoria (con óxido nitroso) NO DEBE ser mayor que el Total Ambos Sexos</v>
      </c>
      <c r="CE108" s="433" t="e">
        <f t="shared" si="101"/>
        <v>#VALUE!</v>
      </c>
      <c r="CF108" s="433" t="str">
        <f t="shared" si="102"/>
        <v xml:space="preserve"> * La variable Compra de Servicio No puede ser mayor al Total Ambos Sexos.</v>
      </c>
      <c r="CG108" s="433" t="str">
        <f t="shared" si="103"/>
        <v xml:space="preserve"> * La variable Usuarios con Discapacidad No puede ser mayor al Total Ambos Sexos.</v>
      </c>
      <c r="CH108" s="433" t="str">
        <f t="shared" si="104"/>
        <v xml:space="preserve"> * La variable Niños, niñas, adolescentes y jóvenes SENAME No puede ser mayor al Total Ambos Sexos.</v>
      </c>
      <c r="CI108" s="433" t="str">
        <f t="shared" si="105"/>
        <v xml:space="preserve"> * La variable Niños, niñas, adolescentes y jóvenes Mejor Niñez no puede ser mayor al Total Ambos Sexos.</v>
      </c>
      <c r="CJ108" s="433" t="str">
        <f t="shared" si="106"/>
        <v xml:space="preserve"> * La variable Migrantes no puede ser mayor al Total Ambos Sexos.</v>
      </c>
      <c r="CK108" s="435"/>
      <c r="CP108" s="434">
        <f t="shared" si="109"/>
        <v>1</v>
      </c>
      <c r="CQ108" s="434">
        <f t="shared" si="90"/>
        <v>1</v>
      </c>
      <c r="CR108" s="434">
        <f t="shared" si="91"/>
        <v>1</v>
      </c>
      <c r="CS108" s="434" t="e">
        <f t="shared" si="110"/>
        <v>#VALUE!</v>
      </c>
      <c r="CT108" s="434">
        <f t="shared" si="93"/>
        <v>1</v>
      </c>
      <c r="CU108" s="434">
        <f t="shared" si="94"/>
        <v>1</v>
      </c>
      <c r="CV108" s="434">
        <f t="shared" si="95"/>
        <v>1</v>
      </c>
      <c r="CW108" s="434">
        <f t="shared" si="96"/>
        <v>1</v>
      </c>
      <c r="CX108" s="434">
        <f t="shared" si="97"/>
        <v>1</v>
      </c>
      <c r="CY108" s="435"/>
    </row>
    <row r="109" spans="1:103" ht="15" customHeight="1" x14ac:dyDescent="0.25">
      <c r="A109" s="5812" t="s">
        <v>5750</v>
      </c>
      <c r="B109" s="7015" t="s">
        <v>1681</v>
      </c>
      <c r="C109" s="7016"/>
      <c r="D109" s="7017"/>
      <c r="E109" s="737" t="s">
        <v>4567</v>
      </c>
      <c r="F109" s="478" t="s">
        <v>4568</v>
      </c>
      <c r="G109" s="553" t="s">
        <v>4569</v>
      </c>
      <c r="H109" s="345" t="s">
        <v>4570</v>
      </c>
      <c r="I109" s="349" t="s">
        <v>4571</v>
      </c>
      <c r="J109" s="345" t="s">
        <v>4572</v>
      </c>
      <c r="K109" s="348" t="s">
        <v>4573</v>
      </c>
      <c r="L109" s="345" t="s">
        <v>4574</v>
      </c>
      <c r="M109" s="349" t="s">
        <v>4575</v>
      </c>
      <c r="N109" s="345" t="s">
        <v>4576</v>
      </c>
      <c r="O109" s="349" t="s">
        <v>4577</v>
      </c>
      <c r="P109" s="347" t="s">
        <v>4578</v>
      </c>
      <c r="Q109" s="349" t="s">
        <v>4579</v>
      </c>
      <c r="R109" s="347" t="s">
        <v>4580</v>
      </c>
      <c r="S109" s="349" t="s">
        <v>4581</v>
      </c>
      <c r="T109" s="347" t="s">
        <v>4582</v>
      </c>
      <c r="U109" s="349" t="s">
        <v>4583</v>
      </c>
      <c r="V109" s="347" t="s">
        <v>4584</v>
      </c>
      <c r="W109" s="349" t="s">
        <v>4585</v>
      </c>
      <c r="X109" s="347" t="s">
        <v>4586</v>
      </c>
      <c r="Y109" s="349" t="s">
        <v>4587</v>
      </c>
      <c r="Z109" s="347" t="s">
        <v>4588</v>
      </c>
      <c r="AA109" s="349" t="s">
        <v>4589</v>
      </c>
      <c r="AB109" s="347" t="s">
        <v>4590</v>
      </c>
      <c r="AC109" s="349" t="s">
        <v>4591</v>
      </c>
      <c r="AD109" s="347" t="s">
        <v>4592</v>
      </c>
      <c r="AE109" s="349" t="s">
        <v>4593</v>
      </c>
      <c r="AF109" s="347" t="s">
        <v>4594</v>
      </c>
      <c r="AG109" s="349" t="s">
        <v>4595</v>
      </c>
      <c r="AH109" s="347" t="s">
        <v>4596</v>
      </c>
      <c r="AI109" s="349" t="s">
        <v>4597</v>
      </c>
      <c r="AJ109" s="347" t="s">
        <v>4598</v>
      </c>
      <c r="AK109" s="349" t="s">
        <v>4599</v>
      </c>
      <c r="AL109" s="347" t="s">
        <v>4600</v>
      </c>
      <c r="AM109" s="349" t="s">
        <v>4601</v>
      </c>
      <c r="AN109" s="347" t="s">
        <v>4602</v>
      </c>
      <c r="AO109" s="351" t="s">
        <v>4603</v>
      </c>
      <c r="AP109" s="429" t="s">
        <v>4604</v>
      </c>
      <c r="AQ109" s="368" t="s">
        <v>4605</v>
      </c>
      <c r="AR109" s="368" t="s">
        <v>4606</v>
      </c>
      <c r="AS109" s="531" t="s">
        <v>4934</v>
      </c>
      <c r="AT109" s="368" t="s">
        <v>4935</v>
      </c>
      <c r="AU109" s="368" t="s">
        <v>4936</v>
      </c>
      <c r="AV109" s="368" t="s">
        <v>4937</v>
      </c>
      <c r="AW109" s="368" t="s">
        <v>5234</v>
      </c>
      <c r="AX109" s="368" t="s">
        <v>5235</v>
      </c>
      <c r="AY109" s="671" t="s">
        <v>5236</v>
      </c>
      <c r="AZ109" t="e">
        <f t="shared" si="98"/>
        <v>#VALUE!</v>
      </c>
      <c r="CB109" s="433" t="e">
        <f t="shared" si="108"/>
        <v>#VALUE!</v>
      </c>
      <c r="CC109" s="433" t="str">
        <f t="shared" si="99"/>
        <v xml:space="preserve"> * La variable Gestante NO DEBEN ser mayor al Total de Mujeres. </v>
      </c>
      <c r="CD109" s="433" t="str">
        <f t="shared" si="100"/>
        <v xml:space="preserve"> * La variable  Atención bajo sedación inhalatoria (con óxido nitroso) NO DEBE ser mayor que el Total Ambos Sexos</v>
      </c>
      <c r="CE109" s="433" t="e">
        <f t="shared" si="101"/>
        <v>#VALUE!</v>
      </c>
      <c r="CF109" s="433" t="str">
        <f t="shared" si="102"/>
        <v xml:space="preserve"> * La variable Compra de Servicio No puede ser mayor al Total Ambos Sexos.</v>
      </c>
      <c r="CG109" s="433" t="str">
        <f t="shared" si="103"/>
        <v xml:space="preserve"> * La variable Usuarios con Discapacidad No puede ser mayor al Total Ambos Sexos.</v>
      </c>
      <c r="CH109" s="433" t="str">
        <f t="shared" si="104"/>
        <v xml:space="preserve"> * La variable Niños, niñas, adolescentes y jóvenes SENAME No puede ser mayor al Total Ambos Sexos.</v>
      </c>
      <c r="CI109" s="433" t="str">
        <f t="shared" si="105"/>
        <v xml:space="preserve"> * La variable Niños, niñas, adolescentes y jóvenes Mejor Niñez no puede ser mayor al Total Ambos Sexos.</v>
      </c>
      <c r="CJ109" s="433" t="str">
        <f t="shared" si="106"/>
        <v xml:space="preserve"> * La variable Migrantes no puede ser mayor al Total Ambos Sexos.</v>
      </c>
      <c r="CK109" s="435"/>
      <c r="CP109" s="434">
        <f t="shared" si="109"/>
        <v>1</v>
      </c>
      <c r="CQ109" s="434">
        <f t="shared" si="90"/>
        <v>1</v>
      </c>
      <c r="CR109" s="434">
        <f t="shared" si="91"/>
        <v>1</v>
      </c>
      <c r="CS109" s="434" t="e">
        <f t="shared" si="110"/>
        <v>#VALUE!</v>
      </c>
      <c r="CT109" s="434">
        <f t="shared" si="93"/>
        <v>1</v>
      </c>
      <c r="CU109" s="434">
        <f t="shared" si="94"/>
        <v>1</v>
      </c>
      <c r="CV109" s="434">
        <f t="shared" si="95"/>
        <v>1</v>
      </c>
      <c r="CW109" s="434">
        <f t="shared" si="96"/>
        <v>1</v>
      </c>
      <c r="CX109" s="434">
        <f t="shared" si="97"/>
        <v>1</v>
      </c>
      <c r="CY109" s="435"/>
    </row>
    <row r="110" spans="1:103" ht="15" customHeight="1" x14ac:dyDescent="0.25">
      <c r="A110" s="5812" t="s">
        <v>5751</v>
      </c>
      <c r="B110" s="7015" t="s">
        <v>1682</v>
      </c>
      <c r="C110" s="7016"/>
      <c r="D110" s="7017"/>
      <c r="E110" s="737" t="s">
        <v>4567</v>
      </c>
      <c r="F110" s="478" t="s">
        <v>4568</v>
      </c>
      <c r="G110" s="553" t="s">
        <v>4569</v>
      </c>
      <c r="H110" s="619" t="s">
        <v>4570</v>
      </c>
      <c r="I110" s="824" t="s">
        <v>4571</v>
      </c>
      <c r="J110" s="619" t="s">
        <v>4572</v>
      </c>
      <c r="K110" s="3596" t="s">
        <v>4573</v>
      </c>
      <c r="L110" s="619" t="s">
        <v>4574</v>
      </c>
      <c r="M110" s="824" t="s">
        <v>4575</v>
      </c>
      <c r="N110" s="619" t="s">
        <v>4576</v>
      </c>
      <c r="O110" s="824" t="s">
        <v>4577</v>
      </c>
      <c r="P110" s="3231" t="s">
        <v>4578</v>
      </c>
      <c r="Q110" s="824" t="s">
        <v>4579</v>
      </c>
      <c r="R110" s="347" t="s">
        <v>4580</v>
      </c>
      <c r="S110" s="349" t="s">
        <v>4581</v>
      </c>
      <c r="T110" s="347" t="s">
        <v>4582</v>
      </c>
      <c r="U110" s="349" t="s">
        <v>4583</v>
      </c>
      <c r="V110" s="347" t="s">
        <v>4584</v>
      </c>
      <c r="W110" s="349" t="s">
        <v>4585</v>
      </c>
      <c r="X110" s="347" t="s">
        <v>4586</v>
      </c>
      <c r="Y110" s="349" t="s">
        <v>4587</v>
      </c>
      <c r="Z110" s="347" t="s">
        <v>4588</v>
      </c>
      <c r="AA110" s="349" t="s">
        <v>4589</v>
      </c>
      <c r="AB110" s="347" t="s">
        <v>4590</v>
      </c>
      <c r="AC110" s="349" t="s">
        <v>4591</v>
      </c>
      <c r="AD110" s="347" t="s">
        <v>4592</v>
      </c>
      <c r="AE110" s="349" t="s">
        <v>4593</v>
      </c>
      <c r="AF110" s="347" t="s">
        <v>4594</v>
      </c>
      <c r="AG110" s="349" t="s">
        <v>4595</v>
      </c>
      <c r="AH110" s="347" t="s">
        <v>4596</v>
      </c>
      <c r="AI110" s="349" t="s">
        <v>4597</v>
      </c>
      <c r="AJ110" s="347" t="s">
        <v>4598</v>
      </c>
      <c r="AK110" s="349" t="s">
        <v>4599</v>
      </c>
      <c r="AL110" s="347" t="s">
        <v>4600</v>
      </c>
      <c r="AM110" s="349" t="s">
        <v>4601</v>
      </c>
      <c r="AN110" s="347" t="s">
        <v>4602</v>
      </c>
      <c r="AO110" s="351" t="s">
        <v>4603</v>
      </c>
      <c r="AP110" s="429" t="s">
        <v>4604</v>
      </c>
      <c r="AQ110" s="368" t="s">
        <v>4605</v>
      </c>
      <c r="AR110" s="368" t="s">
        <v>4606</v>
      </c>
      <c r="AS110" s="368" t="s">
        <v>4934</v>
      </c>
      <c r="AT110" s="368" t="s">
        <v>4935</v>
      </c>
      <c r="AU110" s="368" t="s">
        <v>4936</v>
      </c>
      <c r="AV110" s="368" t="s">
        <v>4937</v>
      </c>
      <c r="AW110" s="368" t="s">
        <v>5234</v>
      </c>
      <c r="AX110" s="368" t="s">
        <v>5235</v>
      </c>
      <c r="AY110" s="671" t="s">
        <v>5236</v>
      </c>
      <c r="AZ110" t="e">
        <f t="shared" si="98"/>
        <v>#VALUE!</v>
      </c>
      <c r="CB110" s="433" t="e">
        <f>IF(AND((X110+Y110)&gt;0,AP110="")," * No olvide digitar la variable 12 años (incluido en el grupo de 10-14 años). Digite Cero si no tiene.",IF(AP110&gt;(X110+Y110),"* Las Consultas de 12 años (incluido en el grupo de 10-14 años) NO DEBEN ser mayor que el total de Consultas entre 10-14 años",""))</f>
        <v>#VALUE!</v>
      </c>
      <c r="CC110" s="433" t="str">
        <f t="shared" si="99"/>
        <v xml:space="preserve"> * La variable Gestante NO DEBEN ser mayor al Total de Mujeres. </v>
      </c>
      <c r="CD110" s="433" t="str">
        <f t="shared" si="100"/>
        <v xml:space="preserve"> * La variable  Atención bajo sedación inhalatoria (con óxido nitroso) NO DEBE ser mayor que el Total Ambos Sexos</v>
      </c>
      <c r="CE110" s="433" t="e">
        <f>IF(AND((AJ110+AK110)&gt;0,AS110="")," * No olvide digitar la variable 60 años (incluido en grupos de 60-64 años). Digite Cero si no tiene.",IF(AS110&gt;(AJ110+AK110)," * La variable 60 años (incluido en grupos de 60-64 años) NO DEBE ser mayor que el Total de consultas del grupo 60-64 años",""))</f>
        <v>#VALUE!</v>
      </c>
      <c r="CF110" s="433" t="str">
        <f t="shared" si="102"/>
        <v xml:space="preserve"> * La variable Compra de Servicio No puede ser mayor al Total Ambos Sexos.</v>
      </c>
      <c r="CG110" s="433" t="str">
        <f t="shared" si="103"/>
        <v xml:space="preserve"> * La variable Usuarios con Discapacidad No puede ser mayor al Total Ambos Sexos.</v>
      </c>
      <c r="CH110" s="433" t="str">
        <f t="shared" si="104"/>
        <v xml:space="preserve"> * La variable Niños, niñas, adolescentes y jóvenes SENAME No puede ser mayor al Total Ambos Sexos.</v>
      </c>
      <c r="CI110" s="433" t="str">
        <f t="shared" si="105"/>
        <v xml:space="preserve"> * La variable Niños, niñas, adolescentes y jóvenes Mejor Niñez no puede ser mayor al Total Ambos Sexos.</v>
      </c>
      <c r="CJ110" s="433" t="str">
        <f t="shared" si="106"/>
        <v xml:space="preserve"> * La variable Migrantes no puede ser mayor al Total Ambos Sexos.</v>
      </c>
      <c r="CK110" s="435"/>
      <c r="CP110" s="434">
        <f t="shared" si="109"/>
        <v>1</v>
      </c>
      <c r="CQ110" s="434">
        <f t="shared" si="90"/>
        <v>1</v>
      </c>
      <c r="CR110" s="434">
        <f t="shared" si="91"/>
        <v>1</v>
      </c>
      <c r="CS110" s="434" t="e">
        <f t="shared" si="110"/>
        <v>#VALUE!</v>
      </c>
      <c r="CT110" s="434">
        <f t="shared" si="93"/>
        <v>1</v>
      </c>
      <c r="CU110" s="434">
        <f t="shared" si="94"/>
        <v>1</v>
      </c>
      <c r="CV110" s="434">
        <f t="shared" si="95"/>
        <v>1</v>
      </c>
      <c r="CW110" s="434">
        <f t="shared" si="96"/>
        <v>1</v>
      </c>
      <c r="CX110" s="434">
        <f t="shared" si="97"/>
        <v>1</v>
      </c>
      <c r="CY110" s="435"/>
    </row>
    <row r="111" spans="1:103" ht="15" customHeight="1" x14ac:dyDescent="0.25">
      <c r="A111" s="5812" t="s">
        <v>5752</v>
      </c>
      <c r="B111" s="7015" t="s">
        <v>1683</v>
      </c>
      <c r="C111" s="7016"/>
      <c r="D111" s="7017"/>
      <c r="E111" s="737" t="s">
        <v>4567</v>
      </c>
      <c r="F111" s="478" t="s">
        <v>4568</v>
      </c>
      <c r="G111" s="553" t="s">
        <v>4569</v>
      </c>
      <c r="H111" s="619" t="s">
        <v>4570</v>
      </c>
      <c r="I111" s="824" t="s">
        <v>4571</v>
      </c>
      <c r="J111" s="619" t="s">
        <v>4572</v>
      </c>
      <c r="K111" s="3596" t="s">
        <v>4573</v>
      </c>
      <c r="L111" s="619" t="s">
        <v>4574</v>
      </c>
      <c r="M111" s="824" t="s">
        <v>4575</v>
      </c>
      <c r="N111" s="619" t="s">
        <v>4576</v>
      </c>
      <c r="O111" s="824" t="s">
        <v>4577</v>
      </c>
      <c r="P111" s="3231" t="s">
        <v>4578</v>
      </c>
      <c r="Q111" s="824" t="s">
        <v>4579</v>
      </c>
      <c r="R111" s="347" t="s">
        <v>4580</v>
      </c>
      <c r="S111" s="349" t="s">
        <v>4581</v>
      </c>
      <c r="T111" s="347" t="s">
        <v>4582</v>
      </c>
      <c r="U111" s="349" t="s">
        <v>4583</v>
      </c>
      <c r="V111" s="347" t="s">
        <v>4584</v>
      </c>
      <c r="W111" s="349" t="s">
        <v>4585</v>
      </c>
      <c r="X111" s="347" t="s">
        <v>4586</v>
      </c>
      <c r="Y111" s="349" t="s">
        <v>4587</v>
      </c>
      <c r="Z111" s="347" t="s">
        <v>4588</v>
      </c>
      <c r="AA111" s="349" t="s">
        <v>4589</v>
      </c>
      <c r="AB111" s="347" t="s">
        <v>4590</v>
      </c>
      <c r="AC111" s="349" t="s">
        <v>4591</v>
      </c>
      <c r="AD111" s="347" t="s">
        <v>4592</v>
      </c>
      <c r="AE111" s="349" t="s">
        <v>4593</v>
      </c>
      <c r="AF111" s="347" t="s">
        <v>4594</v>
      </c>
      <c r="AG111" s="349" t="s">
        <v>4595</v>
      </c>
      <c r="AH111" s="347" t="s">
        <v>4596</v>
      </c>
      <c r="AI111" s="349" t="s">
        <v>4597</v>
      </c>
      <c r="AJ111" s="347" t="s">
        <v>4598</v>
      </c>
      <c r="AK111" s="349" t="s">
        <v>4599</v>
      </c>
      <c r="AL111" s="347" t="s">
        <v>4600</v>
      </c>
      <c r="AM111" s="349" t="s">
        <v>4601</v>
      </c>
      <c r="AN111" s="347" t="s">
        <v>4602</v>
      </c>
      <c r="AO111" s="351" t="s">
        <v>4603</v>
      </c>
      <c r="AP111" s="429" t="s">
        <v>4604</v>
      </c>
      <c r="AQ111" s="368" t="s">
        <v>4605</v>
      </c>
      <c r="AR111" s="368" t="s">
        <v>4606</v>
      </c>
      <c r="AS111" s="368" t="s">
        <v>4934</v>
      </c>
      <c r="AT111" s="368" t="s">
        <v>4935</v>
      </c>
      <c r="AU111" s="368" t="s">
        <v>4936</v>
      </c>
      <c r="AV111" s="368" t="s">
        <v>4937</v>
      </c>
      <c r="AW111" s="368" t="s">
        <v>5234</v>
      </c>
      <c r="AX111" s="368" t="s">
        <v>5235</v>
      </c>
      <c r="AY111" s="671" t="s">
        <v>5236</v>
      </c>
      <c r="AZ111" t="e">
        <f t="shared" si="98"/>
        <v>#VALUE!</v>
      </c>
      <c r="CB111" s="433" t="e">
        <f t="shared" ref="CB111:CB120" si="111">IF(AND((X111+Y111)&gt;0,AP111="")," * No olvide digitar la variable 12 años (incluido en el grupo de 10-14 años). Digite Cero si no tiene.",IF(AP111&gt;(X111+Y111),"* Las Consultas de 12 años (incluido en el grupo de 10-14 años) NO DEBEN ser mayor que el total de Consultas entre 10-14 años",""))</f>
        <v>#VALUE!</v>
      </c>
      <c r="CC111" s="433" t="str">
        <f t="shared" si="99"/>
        <v xml:space="preserve"> * La variable Gestante NO DEBEN ser mayor al Total de Mujeres. </v>
      </c>
      <c r="CD111" s="433" t="str">
        <f t="shared" si="100"/>
        <v xml:space="preserve"> * La variable  Atención bajo sedación inhalatoria (con óxido nitroso) NO DEBE ser mayor que el Total Ambos Sexos</v>
      </c>
      <c r="CE111" s="433" t="e">
        <f t="shared" si="101"/>
        <v>#VALUE!</v>
      </c>
      <c r="CF111" s="433" t="str">
        <f t="shared" si="102"/>
        <v xml:space="preserve"> * La variable Compra de Servicio No puede ser mayor al Total Ambos Sexos.</v>
      </c>
      <c r="CG111" s="433" t="str">
        <f t="shared" si="103"/>
        <v xml:space="preserve"> * La variable Usuarios con Discapacidad No puede ser mayor al Total Ambos Sexos.</v>
      </c>
      <c r="CH111" s="433" t="str">
        <f t="shared" si="104"/>
        <v xml:space="preserve"> * La variable Niños, niñas, adolescentes y jóvenes SENAME No puede ser mayor al Total Ambos Sexos.</v>
      </c>
      <c r="CI111" s="433" t="str">
        <f t="shared" si="105"/>
        <v xml:space="preserve"> * La variable Niños, niñas, adolescentes y jóvenes Mejor Niñez no puede ser mayor al Total Ambos Sexos.</v>
      </c>
      <c r="CJ111" s="433" t="str">
        <f t="shared" si="106"/>
        <v xml:space="preserve"> * La variable Migrantes no puede ser mayor al Total Ambos Sexos.</v>
      </c>
      <c r="CK111" s="435"/>
      <c r="CP111" s="434">
        <f t="shared" si="109"/>
        <v>1</v>
      </c>
      <c r="CQ111" s="434">
        <f t="shared" si="90"/>
        <v>1</v>
      </c>
      <c r="CR111" s="434">
        <f t="shared" si="91"/>
        <v>1</v>
      </c>
      <c r="CS111" s="434" t="e">
        <f t="shared" si="110"/>
        <v>#VALUE!</v>
      </c>
      <c r="CT111" s="434">
        <f t="shared" si="93"/>
        <v>1</v>
      </c>
      <c r="CU111" s="434">
        <f t="shared" si="94"/>
        <v>1</v>
      </c>
      <c r="CV111" s="434">
        <f t="shared" si="95"/>
        <v>1</v>
      </c>
      <c r="CW111" s="434">
        <f t="shared" si="96"/>
        <v>1</v>
      </c>
      <c r="CX111" s="434">
        <f t="shared" si="97"/>
        <v>1</v>
      </c>
      <c r="CY111" s="435"/>
    </row>
    <row r="112" spans="1:103" ht="15" customHeight="1" x14ac:dyDescent="0.25">
      <c r="A112" s="5812" t="s">
        <v>5753</v>
      </c>
      <c r="B112" s="7015" t="s">
        <v>1684</v>
      </c>
      <c r="C112" s="7016"/>
      <c r="D112" s="7017"/>
      <c r="E112" s="737" t="s">
        <v>4567</v>
      </c>
      <c r="F112" s="478" t="s">
        <v>4568</v>
      </c>
      <c r="G112" s="553" t="s">
        <v>4569</v>
      </c>
      <c r="H112" s="619" t="s">
        <v>4570</v>
      </c>
      <c r="I112" s="3597" t="s">
        <v>4571</v>
      </c>
      <c r="J112" s="619" t="s">
        <v>4572</v>
      </c>
      <c r="K112" s="3596" t="s">
        <v>4573</v>
      </c>
      <c r="L112" s="619" t="s">
        <v>4574</v>
      </c>
      <c r="M112" s="824" t="s">
        <v>4575</v>
      </c>
      <c r="N112" s="619" t="s">
        <v>4576</v>
      </c>
      <c r="O112" s="824" t="s">
        <v>4577</v>
      </c>
      <c r="P112" s="3231" t="s">
        <v>4578</v>
      </c>
      <c r="Q112" s="824" t="s">
        <v>4579</v>
      </c>
      <c r="R112" s="347" t="s">
        <v>4580</v>
      </c>
      <c r="S112" s="349" t="s">
        <v>4581</v>
      </c>
      <c r="T112" s="347" t="s">
        <v>4582</v>
      </c>
      <c r="U112" s="349" t="s">
        <v>4583</v>
      </c>
      <c r="V112" s="347" t="s">
        <v>4584</v>
      </c>
      <c r="W112" s="349" t="s">
        <v>4585</v>
      </c>
      <c r="X112" s="347" t="s">
        <v>4586</v>
      </c>
      <c r="Y112" s="349" t="s">
        <v>4587</v>
      </c>
      <c r="Z112" s="347" t="s">
        <v>4588</v>
      </c>
      <c r="AA112" s="349" t="s">
        <v>4589</v>
      </c>
      <c r="AB112" s="347" t="s">
        <v>4590</v>
      </c>
      <c r="AC112" s="349" t="s">
        <v>4591</v>
      </c>
      <c r="AD112" s="347" t="s">
        <v>4592</v>
      </c>
      <c r="AE112" s="349" t="s">
        <v>4593</v>
      </c>
      <c r="AF112" s="347" t="s">
        <v>4594</v>
      </c>
      <c r="AG112" s="349" t="s">
        <v>4595</v>
      </c>
      <c r="AH112" s="347" t="s">
        <v>4596</v>
      </c>
      <c r="AI112" s="349" t="s">
        <v>4597</v>
      </c>
      <c r="AJ112" s="347" t="s">
        <v>4598</v>
      </c>
      <c r="AK112" s="349" t="s">
        <v>4599</v>
      </c>
      <c r="AL112" s="347" t="s">
        <v>4600</v>
      </c>
      <c r="AM112" s="349" t="s">
        <v>4601</v>
      </c>
      <c r="AN112" s="347" t="s">
        <v>4602</v>
      </c>
      <c r="AO112" s="351" t="s">
        <v>4603</v>
      </c>
      <c r="AP112" s="429" t="s">
        <v>4604</v>
      </c>
      <c r="AQ112" s="368" t="s">
        <v>4605</v>
      </c>
      <c r="AR112" s="368" t="s">
        <v>4606</v>
      </c>
      <c r="AS112" s="368" t="s">
        <v>4934</v>
      </c>
      <c r="AT112" s="368" t="s">
        <v>4935</v>
      </c>
      <c r="AU112" s="368" t="s">
        <v>4936</v>
      </c>
      <c r="AV112" s="368" t="s">
        <v>4937</v>
      </c>
      <c r="AW112" s="368" t="s">
        <v>5234</v>
      </c>
      <c r="AX112" s="368" t="s">
        <v>5235</v>
      </c>
      <c r="AY112" s="671" t="s">
        <v>5236</v>
      </c>
      <c r="AZ112" t="e">
        <f t="shared" si="98"/>
        <v>#VALUE!</v>
      </c>
      <c r="CB112" s="433" t="e">
        <f t="shared" si="111"/>
        <v>#VALUE!</v>
      </c>
      <c r="CC112" s="433" t="str">
        <f t="shared" si="99"/>
        <v xml:space="preserve"> * La variable Gestante NO DEBEN ser mayor al Total de Mujeres. </v>
      </c>
      <c r="CD112" s="433" t="str">
        <f t="shared" si="100"/>
        <v xml:space="preserve"> * La variable  Atención bajo sedación inhalatoria (con óxido nitroso) NO DEBE ser mayor que el Total Ambos Sexos</v>
      </c>
      <c r="CE112" s="433" t="e">
        <f t="shared" si="101"/>
        <v>#VALUE!</v>
      </c>
      <c r="CF112" s="433" t="str">
        <f t="shared" si="102"/>
        <v xml:space="preserve"> * La variable Compra de Servicio No puede ser mayor al Total Ambos Sexos.</v>
      </c>
      <c r="CG112" s="433" t="str">
        <f t="shared" si="103"/>
        <v xml:space="preserve"> * La variable Usuarios con Discapacidad No puede ser mayor al Total Ambos Sexos.</v>
      </c>
      <c r="CH112" s="433" t="str">
        <f t="shared" si="104"/>
        <v xml:space="preserve"> * La variable Niños, niñas, adolescentes y jóvenes SENAME No puede ser mayor al Total Ambos Sexos.</v>
      </c>
      <c r="CI112" s="433" t="str">
        <f t="shared" si="105"/>
        <v xml:space="preserve"> * La variable Niños, niñas, adolescentes y jóvenes Mejor Niñez no puede ser mayor al Total Ambos Sexos.</v>
      </c>
      <c r="CJ112" s="433" t="str">
        <f t="shared" si="106"/>
        <v xml:space="preserve"> * La variable Migrantes no puede ser mayor al Total Ambos Sexos.</v>
      </c>
      <c r="CK112" s="435"/>
      <c r="CP112" s="434">
        <f t="shared" si="109"/>
        <v>1</v>
      </c>
      <c r="CQ112" s="434">
        <f t="shared" si="90"/>
        <v>1</v>
      </c>
      <c r="CR112" s="434">
        <f t="shared" si="91"/>
        <v>1</v>
      </c>
      <c r="CS112" s="434" t="e">
        <f t="shared" si="110"/>
        <v>#VALUE!</v>
      </c>
      <c r="CT112" s="434">
        <f t="shared" si="93"/>
        <v>1</v>
      </c>
      <c r="CU112" s="434">
        <f t="shared" si="94"/>
        <v>1</v>
      </c>
      <c r="CV112" s="434">
        <f t="shared" si="95"/>
        <v>1</v>
      </c>
      <c r="CW112" s="434">
        <f t="shared" si="96"/>
        <v>1</v>
      </c>
      <c r="CX112" s="434">
        <f t="shared" si="97"/>
        <v>1</v>
      </c>
      <c r="CY112" s="435"/>
    </row>
    <row r="113" spans="1:103" ht="15" customHeight="1" x14ac:dyDescent="0.25">
      <c r="A113" s="5812" t="s">
        <v>5754</v>
      </c>
      <c r="B113" s="7015" t="s">
        <v>1685</v>
      </c>
      <c r="C113" s="7016"/>
      <c r="D113" s="7017"/>
      <c r="E113" s="737" t="s">
        <v>4567</v>
      </c>
      <c r="F113" s="478" t="s">
        <v>4568</v>
      </c>
      <c r="G113" s="553" t="s">
        <v>4569</v>
      </c>
      <c r="H113" s="670" t="s">
        <v>4570</v>
      </c>
      <c r="I113" s="2659" t="s">
        <v>4571</v>
      </c>
      <c r="J113" s="670" t="s">
        <v>4572</v>
      </c>
      <c r="K113" s="3594" t="s">
        <v>4573</v>
      </c>
      <c r="L113" s="670" t="s">
        <v>4574</v>
      </c>
      <c r="M113" s="2659" t="s">
        <v>4575</v>
      </c>
      <c r="N113" s="670" t="s">
        <v>4576</v>
      </c>
      <c r="O113" s="2659" t="s">
        <v>4577</v>
      </c>
      <c r="P113" s="537" t="s">
        <v>4578</v>
      </c>
      <c r="Q113" s="2659" t="s">
        <v>4579</v>
      </c>
      <c r="R113" s="347" t="s">
        <v>4580</v>
      </c>
      <c r="S113" s="349" t="s">
        <v>4581</v>
      </c>
      <c r="T113" s="347" t="s">
        <v>4582</v>
      </c>
      <c r="U113" s="349" t="s">
        <v>4583</v>
      </c>
      <c r="V113" s="347" t="s">
        <v>4584</v>
      </c>
      <c r="W113" s="349" t="s">
        <v>4585</v>
      </c>
      <c r="X113" s="347" t="s">
        <v>4586</v>
      </c>
      <c r="Y113" s="349" t="s">
        <v>4587</v>
      </c>
      <c r="Z113" s="347" t="s">
        <v>4588</v>
      </c>
      <c r="AA113" s="349" t="s">
        <v>4589</v>
      </c>
      <c r="AB113" s="537" t="s">
        <v>4590</v>
      </c>
      <c r="AC113" s="2659" t="s">
        <v>4591</v>
      </c>
      <c r="AD113" s="537" t="s">
        <v>4592</v>
      </c>
      <c r="AE113" s="2659" t="s">
        <v>4593</v>
      </c>
      <c r="AF113" s="537" t="s">
        <v>4594</v>
      </c>
      <c r="AG113" s="2659" t="s">
        <v>4595</v>
      </c>
      <c r="AH113" s="537" t="s">
        <v>4596</v>
      </c>
      <c r="AI113" s="2659" t="s">
        <v>4597</v>
      </c>
      <c r="AJ113" s="537" t="s">
        <v>4598</v>
      </c>
      <c r="AK113" s="2659" t="s">
        <v>4599</v>
      </c>
      <c r="AL113" s="537" t="s">
        <v>4600</v>
      </c>
      <c r="AM113" s="2659" t="s">
        <v>4601</v>
      </c>
      <c r="AN113" s="537" t="s">
        <v>4602</v>
      </c>
      <c r="AO113" s="522" t="s">
        <v>4603</v>
      </c>
      <c r="AP113" s="429" t="s">
        <v>4604</v>
      </c>
      <c r="AQ113" s="368" t="s">
        <v>4605</v>
      </c>
      <c r="AR113" s="368" t="s">
        <v>4606</v>
      </c>
      <c r="AS113" s="521" t="s">
        <v>4934</v>
      </c>
      <c r="AT113" s="368" t="s">
        <v>4935</v>
      </c>
      <c r="AU113" s="368" t="s">
        <v>4936</v>
      </c>
      <c r="AV113" s="368" t="s">
        <v>4937</v>
      </c>
      <c r="AW113" s="368" t="s">
        <v>5234</v>
      </c>
      <c r="AX113" s="368" t="s">
        <v>5235</v>
      </c>
      <c r="AY113" s="671" t="s">
        <v>5236</v>
      </c>
      <c r="AZ113" t="e">
        <f t="shared" si="98"/>
        <v>#VALUE!</v>
      </c>
      <c r="CB113" s="433" t="e">
        <f t="shared" si="111"/>
        <v>#VALUE!</v>
      </c>
      <c r="CC113" s="433" t="str">
        <f t="shared" si="99"/>
        <v xml:space="preserve"> * La variable Gestante NO DEBEN ser mayor al Total de Mujeres. </v>
      </c>
      <c r="CD113" s="433" t="str">
        <f t="shared" si="100"/>
        <v xml:space="preserve"> * La variable  Atención bajo sedación inhalatoria (con óxido nitroso) NO DEBE ser mayor que el Total Ambos Sexos</v>
      </c>
      <c r="CE113" s="435"/>
      <c r="CF113" s="433" t="str">
        <f t="shared" si="102"/>
        <v xml:space="preserve"> * La variable Compra de Servicio No puede ser mayor al Total Ambos Sexos.</v>
      </c>
      <c r="CG113" s="433" t="str">
        <f t="shared" si="103"/>
        <v xml:space="preserve"> * La variable Usuarios con Discapacidad No puede ser mayor al Total Ambos Sexos.</v>
      </c>
      <c r="CH113" s="433" t="str">
        <f t="shared" si="104"/>
        <v xml:space="preserve"> * La variable Niños, niñas, adolescentes y jóvenes SENAME No puede ser mayor al Total Ambos Sexos.</v>
      </c>
      <c r="CI113" s="433" t="str">
        <f t="shared" si="105"/>
        <v xml:space="preserve"> * La variable Niños, niñas, adolescentes y jóvenes Mejor Niñez no puede ser mayor al Total Ambos Sexos.</v>
      </c>
      <c r="CJ113" s="433" t="str">
        <f t="shared" si="106"/>
        <v xml:space="preserve"> * La variable Migrantes no puede ser mayor al Total Ambos Sexos.</v>
      </c>
      <c r="CK113" s="435"/>
      <c r="CP113" s="434">
        <f t="shared" si="109"/>
        <v>1</v>
      </c>
      <c r="CQ113" s="434">
        <f t="shared" si="90"/>
        <v>1</v>
      </c>
      <c r="CR113" s="434">
        <f t="shared" si="91"/>
        <v>1</v>
      </c>
      <c r="CS113" s="434" t="e">
        <f t="shared" si="110"/>
        <v>#VALUE!</v>
      </c>
      <c r="CT113" s="434">
        <f t="shared" si="93"/>
        <v>1</v>
      </c>
      <c r="CU113" s="434">
        <f t="shared" si="94"/>
        <v>1</v>
      </c>
      <c r="CV113" s="434">
        <f t="shared" si="95"/>
        <v>1</v>
      </c>
      <c r="CW113" s="434">
        <f t="shared" si="96"/>
        <v>1</v>
      </c>
      <c r="CX113" s="434">
        <f t="shared" si="97"/>
        <v>1</v>
      </c>
      <c r="CY113" s="435"/>
    </row>
    <row r="114" spans="1:103" ht="15" customHeight="1" x14ac:dyDescent="0.25">
      <c r="A114" s="5812" t="s">
        <v>5755</v>
      </c>
      <c r="B114" s="7015" t="s">
        <v>1686</v>
      </c>
      <c r="C114" s="7016"/>
      <c r="D114" s="7017"/>
      <c r="E114" s="737" t="s">
        <v>4567</v>
      </c>
      <c r="F114" s="478" t="s">
        <v>4568</v>
      </c>
      <c r="G114" s="553" t="s">
        <v>4569</v>
      </c>
      <c r="H114" s="670" t="s">
        <v>4570</v>
      </c>
      <c r="I114" s="2659" t="s">
        <v>4571</v>
      </c>
      <c r="J114" s="670" t="s">
        <v>4572</v>
      </c>
      <c r="K114" s="3594" t="s">
        <v>4573</v>
      </c>
      <c r="L114" s="670" t="s">
        <v>4574</v>
      </c>
      <c r="M114" s="2659" t="s">
        <v>4575</v>
      </c>
      <c r="N114" s="670" t="s">
        <v>4576</v>
      </c>
      <c r="O114" s="2659" t="s">
        <v>4577</v>
      </c>
      <c r="P114" s="537" t="s">
        <v>4578</v>
      </c>
      <c r="Q114" s="2659" t="s">
        <v>4579</v>
      </c>
      <c r="R114" s="347" t="s">
        <v>4580</v>
      </c>
      <c r="S114" s="349" t="s">
        <v>4581</v>
      </c>
      <c r="T114" s="347" t="s">
        <v>4582</v>
      </c>
      <c r="U114" s="349" t="s">
        <v>4583</v>
      </c>
      <c r="V114" s="347" t="s">
        <v>4584</v>
      </c>
      <c r="W114" s="349" t="s">
        <v>4585</v>
      </c>
      <c r="X114" s="347" t="s">
        <v>4586</v>
      </c>
      <c r="Y114" s="349" t="s">
        <v>4587</v>
      </c>
      <c r="Z114" s="347" t="s">
        <v>4588</v>
      </c>
      <c r="AA114" s="349" t="s">
        <v>4589</v>
      </c>
      <c r="AB114" s="347" t="s">
        <v>4590</v>
      </c>
      <c r="AC114" s="349" t="s">
        <v>4591</v>
      </c>
      <c r="AD114" s="347" t="s">
        <v>4592</v>
      </c>
      <c r="AE114" s="349" t="s">
        <v>4593</v>
      </c>
      <c r="AF114" s="347" t="s">
        <v>4594</v>
      </c>
      <c r="AG114" s="349" t="s">
        <v>4595</v>
      </c>
      <c r="AH114" s="347" t="s">
        <v>4596</v>
      </c>
      <c r="AI114" s="349" t="s">
        <v>4597</v>
      </c>
      <c r="AJ114" s="347" t="s">
        <v>4598</v>
      </c>
      <c r="AK114" s="349" t="s">
        <v>4599</v>
      </c>
      <c r="AL114" s="347" t="s">
        <v>4600</v>
      </c>
      <c r="AM114" s="349" t="s">
        <v>4601</v>
      </c>
      <c r="AN114" s="347" t="s">
        <v>4602</v>
      </c>
      <c r="AO114" s="351" t="s">
        <v>4603</v>
      </c>
      <c r="AP114" s="429" t="s">
        <v>4604</v>
      </c>
      <c r="AQ114" s="368" t="s">
        <v>4605</v>
      </c>
      <c r="AR114" s="368" t="s">
        <v>4606</v>
      </c>
      <c r="AS114" s="368" t="s">
        <v>4934</v>
      </c>
      <c r="AT114" s="368" t="s">
        <v>4935</v>
      </c>
      <c r="AU114" s="368" t="s">
        <v>4936</v>
      </c>
      <c r="AV114" s="368" t="s">
        <v>4937</v>
      </c>
      <c r="AW114" s="368" t="s">
        <v>5234</v>
      </c>
      <c r="AX114" s="368" t="s">
        <v>5235</v>
      </c>
      <c r="AY114" s="671" t="s">
        <v>5236</v>
      </c>
      <c r="AZ114" t="e">
        <f t="shared" si="98"/>
        <v>#VALUE!</v>
      </c>
      <c r="CB114" s="433" t="e">
        <f t="shared" si="111"/>
        <v>#VALUE!</v>
      </c>
      <c r="CC114" s="433" t="str">
        <f t="shared" si="99"/>
        <v xml:space="preserve"> * La variable Gestante NO DEBEN ser mayor al Total de Mujeres. </v>
      </c>
      <c r="CD114" s="433" t="str">
        <f t="shared" si="100"/>
        <v xml:space="preserve"> * La variable  Atención bajo sedación inhalatoria (con óxido nitroso) NO DEBE ser mayor que el Total Ambos Sexos</v>
      </c>
      <c r="CE114" s="433" t="e">
        <f t="shared" si="101"/>
        <v>#VALUE!</v>
      </c>
      <c r="CF114" s="433" t="str">
        <f t="shared" si="102"/>
        <v xml:space="preserve"> * La variable Compra de Servicio No puede ser mayor al Total Ambos Sexos.</v>
      </c>
      <c r="CG114" s="433" t="str">
        <f t="shared" si="103"/>
        <v xml:space="preserve"> * La variable Usuarios con Discapacidad No puede ser mayor al Total Ambos Sexos.</v>
      </c>
      <c r="CH114" s="433" t="str">
        <f t="shared" si="104"/>
        <v xml:space="preserve"> * La variable Niños, niñas, adolescentes y jóvenes SENAME No puede ser mayor al Total Ambos Sexos.</v>
      </c>
      <c r="CI114" s="433" t="str">
        <f t="shared" si="105"/>
        <v xml:space="preserve"> * La variable Niños, niñas, adolescentes y jóvenes Mejor Niñez no puede ser mayor al Total Ambos Sexos.</v>
      </c>
      <c r="CJ114" s="433" t="str">
        <f t="shared" si="106"/>
        <v xml:space="preserve"> * La variable Migrantes no puede ser mayor al Total Ambos Sexos.</v>
      </c>
      <c r="CK114" s="435"/>
      <c r="CP114" s="434">
        <f t="shared" si="109"/>
        <v>1</v>
      </c>
      <c r="CQ114" s="434">
        <f t="shared" si="90"/>
        <v>1</v>
      </c>
      <c r="CR114" s="434">
        <f t="shared" si="91"/>
        <v>1</v>
      </c>
      <c r="CS114" s="434" t="e">
        <f t="shared" si="110"/>
        <v>#VALUE!</v>
      </c>
      <c r="CT114" s="434">
        <f t="shared" si="93"/>
        <v>1</v>
      </c>
      <c r="CU114" s="434">
        <f t="shared" si="94"/>
        <v>1</v>
      </c>
      <c r="CV114" s="434">
        <f t="shared" si="95"/>
        <v>1</v>
      </c>
      <c r="CW114" s="434">
        <f t="shared" si="96"/>
        <v>1</v>
      </c>
      <c r="CX114" s="434">
        <f t="shared" si="97"/>
        <v>1</v>
      </c>
      <c r="CY114" s="435"/>
    </row>
    <row r="115" spans="1:103" ht="15" customHeight="1" x14ac:dyDescent="0.25">
      <c r="A115" s="5812" t="s">
        <v>5756</v>
      </c>
      <c r="B115" s="7015" t="s">
        <v>1687</v>
      </c>
      <c r="C115" s="7016"/>
      <c r="D115" s="7017"/>
      <c r="E115" s="737" t="s">
        <v>4567</v>
      </c>
      <c r="F115" s="478" t="s">
        <v>4568</v>
      </c>
      <c r="G115" s="553" t="s">
        <v>4569</v>
      </c>
      <c r="H115" s="3598" t="s">
        <v>4570</v>
      </c>
      <c r="I115" s="3599" t="s">
        <v>4571</v>
      </c>
      <c r="J115" s="345" t="s">
        <v>4572</v>
      </c>
      <c r="K115" s="348" t="s">
        <v>4573</v>
      </c>
      <c r="L115" s="345" t="s">
        <v>4574</v>
      </c>
      <c r="M115" s="349" t="s">
        <v>4575</v>
      </c>
      <c r="N115" s="345" t="s">
        <v>4576</v>
      </c>
      <c r="O115" s="349" t="s">
        <v>4577</v>
      </c>
      <c r="P115" s="347" t="s">
        <v>4578</v>
      </c>
      <c r="Q115" s="349" t="s">
        <v>4579</v>
      </c>
      <c r="R115" s="347" t="s">
        <v>4580</v>
      </c>
      <c r="S115" s="349" t="s">
        <v>4581</v>
      </c>
      <c r="T115" s="347" t="s">
        <v>4582</v>
      </c>
      <c r="U115" s="349" t="s">
        <v>4583</v>
      </c>
      <c r="V115" s="347" t="s">
        <v>4584</v>
      </c>
      <c r="W115" s="349" t="s">
        <v>4585</v>
      </c>
      <c r="X115" s="347" t="s">
        <v>4586</v>
      </c>
      <c r="Y115" s="349" t="s">
        <v>4587</v>
      </c>
      <c r="Z115" s="347" t="s">
        <v>4588</v>
      </c>
      <c r="AA115" s="349" t="s">
        <v>4589</v>
      </c>
      <c r="AB115" s="347" t="s">
        <v>4590</v>
      </c>
      <c r="AC115" s="349" t="s">
        <v>4591</v>
      </c>
      <c r="AD115" s="347" t="s">
        <v>4592</v>
      </c>
      <c r="AE115" s="349" t="s">
        <v>4593</v>
      </c>
      <c r="AF115" s="347" t="s">
        <v>4594</v>
      </c>
      <c r="AG115" s="349" t="s">
        <v>4595</v>
      </c>
      <c r="AH115" s="347" t="s">
        <v>4596</v>
      </c>
      <c r="AI115" s="349" t="s">
        <v>4597</v>
      </c>
      <c r="AJ115" s="347" t="s">
        <v>4598</v>
      </c>
      <c r="AK115" s="349" t="s">
        <v>4599</v>
      </c>
      <c r="AL115" s="347" t="s">
        <v>4600</v>
      </c>
      <c r="AM115" s="349" t="s">
        <v>4601</v>
      </c>
      <c r="AN115" s="347" t="s">
        <v>4602</v>
      </c>
      <c r="AO115" s="351" t="s">
        <v>4603</v>
      </c>
      <c r="AP115" s="429" t="s">
        <v>4604</v>
      </c>
      <c r="AQ115" s="368" t="s">
        <v>4605</v>
      </c>
      <c r="AR115" s="368" t="s">
        <v>4606</v>
      </c>
      <c r="AS115" s="368" t="s">
        <v>4934</v>
      </c>
      <c r="AT115" s="368" t="s">
        <v>4935</v>
      </c>
      <c r="AU115" s="368" t="s">
        <v>4936</v>
      </c>
      <c r="AV115" s="368" t="s">
        <v>4937</v>
      </c>
      <c r="AW115" s="368" t="s">
        <v>5234</v>
      </c>
      <c r="AX115" s="368" t="s">
        <v>5235</v>
      </c>
      <c r="AY115" s="671" t="s">
        <v>5236</v>
      </c>
      <c r="AZ115" t="e">
        <f t="shared" si="98"/>
        <v>#VALUE!</v>
      </c>
      <c r="CB115" s="433" t="e">
        <f t="shared" si="111"/>
        <v>#VALUE!</v>
      </c>
      <c r="CC115" s="433" t="str">
        <f t="shared" si="99"/>
        <v xml:space="preserve"> * La variable Gestante NO DEBEN ser mayor al Total de Mujeres. </v>
      </c>
      <c r="CD115" s="433" t="str">
        <f t="shared" si="100"/>
        <v xml:space="preserve"> * La variable  Atención bajo sedación inhalatoria (con óxido nitroso) NO DEBE ser mayor que el Total Ambos Sexos</v>
      </c>
      <c r="CE115" s="433" t="e">
        <f t="shared" si="101"/>
        <v>#VALUE!</v>
      </c>
      <c r="CF115" s="433" t="str">
        <f t="shared" si="102"/>
        <v xml:space="preserve"> * La variable Compra de Servicio No puede ser mayor al Total Ambos Sexos.</v>
      </c>
      <c r="CG115" s="433" t="str">
        <f t="shared" si="103"/>
        <v xml:space="preserve"> * La variable Usuarios con Discapacidad No puede ser mayor al Total Ambos Sexos.</v>
      </c>
      <c r="CH115" s="433" t="str">
        <f t="shared" si="104"/>
        <v xml:space="preserve"> * La variable Niños, niñas, adolescentes y jóvenes SENAME No puede ser mayor al Total Ambos Sexos.</v>
      </c>
      <c r="CI115" s="433" t="str">
        <f t="shared" si="105"/>
        <v xml:space="preserve"> * La variable Niños, niñas, adolescentes y jóvenes Mejor Niñez no puede ser mayor al Total Ambos Sexos.</v>
      </c>
      <c r="CJ115" s="433" t="str">
        <f t="shared" si="106"/>
        <v xml:space="preserve"> * La variable Migrantes no puede ser mayor al Total Ambos Sexos.</v>
      </c>
      <c r="CK115" s="435"/>
      <c r="CP115" s="434">
        <f t="shared" si="109"/>
        <v>1</v>
      </c>
      <c r="CQ115" s="434">
        <f t="shared" si="90"/>
        <v>1</v>
      </c>
      <c r="CR115" s="434">
        <f t="shared" si="91"/>
        <v>1</v>
      </c>
      <c r="CS115" s="434" t="e">
        <f t="shared" si="110"/>
        <v>#VALUE!</v>
      </c>
      <c r="CT115" s="434">
        <f t="shared" si="93"/>
        <v>1</v>
      </c>
      <c r="CU115" s="434">
        <f t="shared" si="94"/>
        <v>1</v>
      </c>
      <c r="CV115" s="434">
        <f t="shared" si="95"/>
        <v>1</v>
      </c>
      <c r="CW115" s="434">
        <f t="shared" si="96"/>
        <v>1</v>
      </c>
      <c r="CX115" s="434">
        <f t="shared" si="97"/>
        <v>1</v>
      </c>
      <c r="CY115" s="435"/>
    </row>
    <row r="116" spans="1:103" ht="15" customHeight="1" x14ac:dyDescent="0.25">
      <c r="A116" s="5812" t="s">
        <v>5757</v>
      </c>
      <c r="B116" s="7015" t="s">
        <v>1688</v>
      </c>
      <c r="C116" s="7016"/>
      <c r="D116" s="7017"/>
      <c r="E116" s="737" t="s">
        <v>4567</v>
      </c>
      <c r="F116" s="478" t="s">
        <v>4568</v>
      </c>
      <c r="G116" s="553" t="s">
        <v>4569</v>
      </c>
      <c r="H116" s="3598" t="s">
        <v>4570</v>
      </c>
      <c r="I116" s="3599" t="s">
        <v>4571</v>
      </c>
      <c r="J116" s="345" t="s">
        <v>4572</v>
      </c>
      <c r="K116" s="348" t="s">
        <v>4573</v>
      </c>
      <c r="L116" s="345" t="s">
        <v>4574</v>
      </c>
      <c r="M116" s="349" t="s">
        <v>4575</v>
      </c>
      <c r="N116" s="345" t="s">
        <v>4576</v>
      </c>
      <c r="O116" s="349" t="s">
        <v>4577</v>
      </c>
      <c r="P116" s="347" t="s">
        <v>4578</v>
      </c>
      <c r="Q116" s="349" t="s">
        <v>4579</v>
      </c>
      <c r="R116" s="347" t="s">
        <v>4580</v>
      </c>
      <c r="S116" s="349" t="s">
        <v>4581</v>
      </c>
      <c r="T116" s="347" t="s">
        <v>4582</v>
      </c>
      <c r="U116" s="349" t="s">
        <v>4583</v>
      </c>
      <c r="V116" s="347" t="s">
        <v>4584</v>
      </c>
      <c r="W116" s="349" t="s">
        <v>4585</v>
      </c>
      <c r="X116" s="347" t="s">
        <v>4586</v>
      </c>
      <c r="Y116" s="349" t="s">
        <v>4587</v>
      </c>
      <c r="Z116" s="347" t="s">
        <v>4588</v>
      </c>
      <c r="AA116" s="349" t="s">
        <v>4589</v>
      </c>
      <c r="AB116" s="347" t="s">
        <v>4590</v>
      </c>
      <c r="AC116" s="349" t="s">
        <v>4591</v>
      </c>
      <c r="AD116" s="347" t="s">
        <v>4592</v>
      </c>
      <c r="AE116" s="349" t="s">
        <v>4593</v>
      </c>
      <c r="AF116" s="347" t="s">
        <v>4594</v>
      </c>
      <c r="AG116" s="349" t="s">
        <v>4595</v>
      </c>
      <c r="AH116" s="347" t="s">
        <v>4596</v>
      </c>
      <c r="AI116" s="349" t="s">
        <v>4597</v>
      </c>
      <c r="AJ116" s="347" t="s">
        <v>4598</v>
      </c>
      <c r="AK116" s="349" t="s">
        <v>4599</v>
      </c>
      <c r="AL116" s="347" t="s">
        <v>4600</v>
      </c>
      <c r="AM116" s="349" t="s">
        <v>4601</v>
      </c>
      <c r="AN116" s="347" t="s">
        <v>4602</v>
      </c>
      <c r="AO116" s="351" t="s">
        <v>4603</v>
      </c>
      <c r="AP116" s="429" t="s">
        <v>4604</v>
      </c>
      <c r="AQ116" s="368" t="s">
        <v>4605</v>
      </c>
      <c r="AR116" s="368" t="s">
        <v>4606</v>
      </c>
      <c r="AS116" s="368" t="s">
        <v>4934</v>
      </c>
      <c r="AT116" s="368" t="s">
        <v>4935</v>
      </c>
      <c r="AU116" s="368" t="s">
        <v>4936</v>
      </c>
      <c r="AV116" s="368" t="s">
        <v>4937</v>
      </c>
      <c r="AW116" s="368" t="s">
        <v>5234</v>
      </c>
      <c r="AX116" s="368" t="s">
        <v>5235</v>
      </c>
      <c r="AY116" s="346" t="s">
        <v>5236</v>
      </c>
      <c r="AZ116" t="e">
        <f t="shared" si="98"/>
        <v>#VALUE!</v>
      </c>
      <c r="CB116" s="433" t="e">
        <f t="shared" si="111"/>
        <v>#VALUE!</v>
      </c>
      <c r="CC116" s="433" t="str">
        <f t="shared" si="99"/>
        <v xml:space="preserve"> * La variable Gestante NO DEBEN ser mayor al Total de Mujeres. </v>
      </c>
      <c r="CD116" s="433" t="str">
        <f t="shared" si="100"/>
        <v xml:space="preserve"> * La variable  Atención bajo sedación inhalatoria (con óxido nitroso) NO DEBE ser mayor que el Total Ambos Sexos</v>
      </c>
      <c r="CE116" s="433" t="e">
        <f t="shared" si="101"/>
        <v>#VALUE!</v>
      </c>
      <c r="CF116" s="433" t="str">
        <f t="shared" si="102"/>
        <v xml:space="preserve"> * La variable Compra de Servicio No puede ser mayor al Total Ambos Sexos.</v>
      </c>
      <c r="CG116" s="433" t="str">
        <f t="shared" si="103"/>
        <v xml:space="preserve"> * La variable Usuarios con Discapacidad No puede ser mayor al Total Ambos Sexos.</v>
      </c>
      <c r="CH116" s="433" t="str">
        <f t="shared" si="104"/>
        <v xml:space="preserve"> * La variable Niños, niñas, adolescentes y jóvenes SENAME No puede ser mayor al Total Ambos Sexos.</v>
      </c>
      <c r="CI116" s="433" t="str">
        <f t="shared" si="105"/>
        <v xml:space="preserve"> * La variable Niños, niñas, adolescentes y jóvenes Mejor Niñez no puede ser mayor al Total Ambos Sexos.</v>
      </c>
      <c r="CJ116" s="433" t="str">
        <f t="shared" si="106"/>
        <v xml:space="preserve"> * La variable Migrantes no puede ser mayor al Total Ambos Sexos.</v>
      </c>
      <c r="CK116" s="433" t="str">
        <f t="shared" si="107"/>
        <v xml:space="preserve"> * La variable Flujo digital no puede ser mayor al Total Ambos Sexos.</v>
      </c>
      <c r="CP116" s="434">
        <f t="shared" si="109"/>
        <v>1</v>
      </c>
      <c r="CQ116" s="434">
        <f t="shared" si="90"/>
        <v>1</v>
      </c>
      <c r="CR116" s="434">
        <f t="shared" si="91"/>
        <v>1</v>
      </c>
      <c r="CS116" s="434" t="e">
        <f t="shared" si="110"/>
        <v>#VALUE!</v>
      </c>
      <c r="CT116" s="434">
        <f t="shared" si="93"/>
        <v>1</v>
      </c>
      <c r="CU116" s="434">
        <f t="shared" si="94"/>
        <v>1</v>
      </c>
      <c r="CV116" s="434">
        <f t="shared" si="95"/>
        <v>1</v>
      </c>
      <c r="CW116" s="434">
        <f t="shared" si="96"/>
        <v>1</v>
      </c>
      <c r="CX116" s="434">
        <f t="shared" si="97"/>
        <v>1</v>
      </c>
      <c r="CY116" s="434">
        <f>IF(AND($E116&gt;0,AY116=""),1,IF(AY116&gt;$E116,1,0))</f>
        <v>1</v>
      </c>
    </row>
    <row r="117" spans="1:103" ht="15" customHeight="1" x14ac:dyDescent="0.25">
      <c r="A117" s="5812" t="s">
        <v>5758</v>
      </c>
      <c r="B117" s="7015" t="s">
        <v>1689</v>
      </c>
      <c r="C117" s="7016"/>
      <c r="D117" s="7017"/>
      <c r="E117" s="737" t="s">
        <v>4567</v>
      </c>
      <c r="F117" s="478" t="s">
        <v>4568</v>
      </c>
      <c r="G117" s="553" t="s">
        <v>4569</v>
      </c>
      <c r="H117" s="3598" t="s">
        <v>4570</v>
      </c>
      <c r="I117" s="3599" t="s">
        <v>4571</v>
      </c>
      <c r="J117" s="345" t="s">
        <v>4572</v>
      </c>
      <c r="K117" s="348" t="s">
        <v>4573</v>
      </c>
      <c r="L117" s="345" t="s">
        <v>4574</v>
      </c>
      <c r="M117" s="349" t="s">
        <v>4575</v>
      </c>
      <c r="N117" s="345" t="s">
        <v>4576</v>
      </c>
      <c r="O117" s="349" t="s">
        <v>4577</v>
      </c>
      <c r="P117" s="347" t="s">
        <v>4578</v>
      </c>
      <c r="Q117" s="349" t="s">
        <v>4579</v>
      </c>
      <c r="R117" s="347" t="s">
        <v>4580</v>
      </c>
      <c r="S117" s="349" t="s">
        <v>4581</v>
      </c>
      <c r="T117" s="347" t="s">
        <v>4582</v>
      </c>
      <c r="U117" s="349" t="s">
        <v>4583</v>
      </c>
      <c r="V117" s="347" t="s">
        <v>4584</v>
      </c>
      <c r="W117" s="349" t="s">
        <v>4585</v>
      </c>
      <c r="X117" s="347" t="s">
        <v>4586</v>
      </c>
      <c r="Y117" s="349" t="s">
        <v>4587</v>
      </c>
      <c r="Z117" s="347" t="s">
        <v>4588</v>
      </c>
      <c r="AA117" s="349" t="s">
        <v>4589</v>
      </c>
      <c r="AB117" s="347" t="s">
        <v>4590</v>
      </c>
      <c r="AC117" s="349" t="s">
        <v>4591</v>
      </c>
      <c r="AD117" s="347" t="s">
        <v>4592</v>
      </c>
      <c r="AE117" s="349" t="s">
        <v>4593</v>
      </c>
      <c r="AF117" s="347" t="s">
        <v>4594</v>
      </c>
      <c r="AG117" s="349" t="s">
        <v>4595</v>
      </c>
      <c r="AH117" s="347" t="s">
        <v>4596</v>
      </c>
      <c r="AI117" s="349" t="s">
        <v>4597</v>
      </c>
      <c r="AJ117" s="347" t="s">
        <v>4598</v>
      </c>
      <c r="AK117" s="349" t="s">
        <v>4599</v>
      </c>
      <c r="AL117" s="347" t="s">
        <v>4600</v>
      </c>
      <c r="AM117" s="349" t="s">
        <v>4601</v>
      </c>
      <c r="AN117" s="347" t="s">
        <v>4602</v>
      </c>
      <c r="AO117" s="351" t="s">
        <v>4603</v>
      </c>
      <c r="AP117" s="429" t="s">
        <v>4604</v>
      </c>
      <c r="AQ117" s="368" t="s">
        <v>4605</v>
      </c>
      <c r="AR117" s="368" t="s">
        <v>4606</v>
      </c>
      <c r="AS117" s="368" t="s">
        <v>4934</v>
      </c>
      <c r="AT117" s="368" t="s">
        <v>4935</v>
      </c>
      <c r="AU117" s="368" t="s">
        <v>4936</v>
      </c>
      <c r="AV117" s="368" t="s">
        <v>4937</v>
      </c>
      <c r="AW117" s="368" t="s">
        <v>5234</v>
      </c>
      <c r="AX117" s="368" t="s">
        <v>5235</v>
      </c>
      <c r="AY117" s="671" t="s">
        <v>5236</v>
      </c>
      <c r="AZ117" t="e">
        <f t="shared" si="98"/>
        <v>#VALUE!</v>
      </c>
      <c r="CB117" s="433" t="e">
        <f t="shared" si="111"/>
        <v>#VALUE!</v>
      </c>
      <c r="CC117" s="433" t="str">
        <f t="shared" si="99"/>
        <v xml:space="preserve"> * La variable Gestante NO DEBEN ser mayor al Total de Mujeres. </v>
      </c>
      <c r="CD117" s="433" t="str">
        <f t="shared" si="100"/>
        <v xml:space="preserve"> * La variable  Atención bajo sedación inhalatoria (con óxido nitroso) NO DEBE ser mayor que el Total Ambos Sexos</v>
      </c>
      <c r="CE117" s="433" t="e">
        <f t="shared" si="101"/>
        <v>#VALUE!</v>
      </c>
      <c r="CF117" s="433" t="str">
        <f t="shared" si="102"/>
        <v xml:space="preserve"> * La variable Compra de Servicio No puede ser mayor al Total Ambos Sexos.</v>
      </c>
      <c r="CG117" s="433" t="str">
        <f t="shared" si="103"/>
        <v xml:space="preserve"> * La variable Usuarios con Discapacidad No puede ser mayor al Total Ambos Sexos.</v>
      </c>
      <c r="CH117" s="433" t="str">
        <f t="shared" si="104"/>
        <v xml:space="preserve"> * La variable Niños, niñas, adolescentes y jóvenes SENAME No puede ser mayor al Total Ambos Sexos.</v>
      </c>
      <c r="CI117" s="433" t="str">
        <f t="shared" si="105"/>
        <v xml:space="preserve"> * La variable Niños, niñas, adolescentes y jóvenes Mejor Niñez no puede ser mayor al Total Ambos Sexos.</v>
      </c>
      <c r="CJ117" s="433" t="str">
        <f t="shared" si="106"/>
        <v xml:space="preserve"> * La variable Migrantes no puede ser mayor al Total Ambos Sexos.</v>
      </c>
      <c r="CK117" s="435"/>
      <c r="CP117" s="434">
        <f t="shared" si="109"/>
        <v>1</v>
      </c>
      <c r="CQ117" s="434">
        <f t="shared" si="90"/>
        <v>1</v>
      </c>
      <c r="CR117" s="434">
        <f t="shared" si="91"/>
        <v>1</v>
      </c>
      <c r="CS117" s="434" t="e">
        <f t="shared" si="110"/>
        <v>#VALUE!</v>
      </c>
      <c r="CT117" s="434">
        <f t="shared" si="93"/>
        <v>1</v>
      </c>
      <c r="CU117" s="434">
        <f t="shared" si="94"/>
        <v>1</v>
      </c>
      <c r="CV117" s="434">
        <f t="shared" si="95"/>
        <v>1</v>
      </c>
      <c r="CW117" s="434">
        <f t="shared" si="96"/>
        <v>1</v>
      </c>
      <c r="CX117" s="434">
        <f t="shared" si="97"/>
        <v>1</v>
      </c>
      <c r="CY117" s="435"/>
    </row>
    <row r="118" spans="1:103" ht="15" customHeight="1" x14ac:dyDescent="0.25">
      <c r="A118" s="5812" t="s">
        <v>5759</v>
      </c>
      <c r="B118" s="7015" t="s">
        <v>1690</v>
      </c>
      <c r="C118" s="7016"/>
      <c r="D118" s="7017"/>
      <c r="E118" s="737" t="s">
        <v>4567</v>
      </c>
      <c r="F118" s="478" t="s">
        <v>4568</v>
      </c>
      <c r="G118" s="553" t="s">
        <v>4569</v>
      </c>
      <c r="H118" s="619" t="s">
        <v>4570</v>
      </c>
      <c r="I118" s="824" t="s">
        <v>4571</v>
      </c>
      <c r="J118" s="619" t="s">
        <v>4572</v>
      </c>
      <c r="K118" s="3596" t="s">
        <v>4573</v>
      </c>
      <c r="L118" s="619" t="s">
        <v>4574</v>
      </c>
      <c r="M118" s="824" t="s">
        <v>4575</v>
      </c>
      <c r="N118" s="619" t="s">
        <v>4576</v>
      </c>
      <c r="O118" s="824" t="s">
        <v>4577</v>
      </c>
      <c r="P118" s="3231" t="s">
        <v>4578</v>
      </c>
      <c r="Q118" s="824" t="s">
        <v>4579</v>
      </c>
      <c r="R118" s="3231" t="s">
        <v>4580</v>
      </c>
      <c r="S118" s="824" t="s">
        <v>4581</v>
      </c>
      <c r="T118" s="347" t="s">
        <v>4582</v>
      </c>
      <c r="U118" s="349" t="s">
        <v>4583</v>
      </c>
      <c r="V118" s="347" t="s">
        <v>4584</v>
      </c>
      <c r="W118" s="349" t="s">
        <v>4585</v>
      </c>
      <c r="X118" s="347" t="s">
        <v>4586</v>
      </c>
      <c r="Y118" s="349" t="s">
        <v>4587</v>
      </c>
      <c r="Z118" s="347" t="s">
        <v>4588</v>
      </c>
      <c r="AA118" s="349" t="s">
        <v>4589</v>
      </c>
      <c r="AB118" s="347" t="s">
        <v>4590</v>
      </c>
      <c r="AC118" s="349" t="s">
        <v>4591</v>
      </c>
      <c r="AD118" s="347" t="s">
        <v>4592</v>
      </c>
      <c r="AE118" s="349" t="s">
        <v>4593</v>
      </c>
      <c r="AF118" s="347" t="s">
        <v>4594</v>
      </c>
      <c r="AG118" s="349" t="s">
        <v>4595</v>
      </c>
      <c r="AH118" s="347" t="s">
        <v>4596</v>
      </c>
      <c r="AI118" s="349" t="s">
        <v>4597</v>
      </c>
      <c r="AJ118" s="347" t="s">
        <v>4598</v>
      </c>
      <c r="AK118" s="349" t="s">
        <v>4599</v>
      </c>
      <c r="AL118" s="347" t="s">
        <v>4600</v>
      </c>
      <c r="AM118" s="349" t="s">
        <v>4601</v>
      </c>
      <c r="AN118" s="347" t="s">
        <v>4602</v>
      </c>
      <c r="AO118" s="351" t="s">
        <v>4603</v>
      </c>
      <c r="AP118" s="429" t="s">
        <v>4604</v>
      </c>
      <c r="AQ118" s="368" t="s">
        <v>4605</v>
      </c>
      <c r="AR118" s="368" t="s">
        <v>4606</v>
      </c>
      <c r="AS118" s="368" t="s">
        <v>4934</v>
      </c>
      <c r="AT118" s="368" t="s">
        <v>4935</v>
      </c>
      <c r="AU118" s="368" t="s">
        <v>4936</v>
      </c>
      <c r="AV118" s="368" t="s">
        <v>4937</v>
      </c>
      <c r="AW118" s="368" t="s">
        <v>5234</v>
      </c>
      <c r="AX118" s="368" t="s">
        <v>5235</v>
      </c>
      <c r="AY118" s="671" t="s">
        <v>5236</v>
      </c>
      <c r="AZ118" t="e">
        <f t="shared" si="98"/>
        <v>#VALUE!</v>
      </c>
      <c r="CB118" s="433" t="e">
        <f t="shared" si="111"/>
        <v>#VALUE!</v>
      </c>
      <c r="CC118" s="433" t="str">
        <f t="shared" si="99"/>
        <v xml:space="preserve"> * La variable Gestante NO DEBEN ser mayor al Total de Mujeres. </v>
      </c>
      <c r="CD118" s="433" t="str">
        <f t="shared" si="100"/>
        <v xml:space="preserve"> * La variable  Atención bajo sedación inhalatoria (con óxido nitroso) NO DEBE ser mayor que el Total Ambos Sexos</v>
      </c>
      <c r="CE118" s="433" t="e">
        <f t="shared" si="101"/>
        <v>#VALUE!</v>
      </c>
      <c r="CF118" s="433" t="str">
        <f t="shared" si="102"/>
        <v xml:space="preserve"> * La variable Compra de Servicio No puede ser mayor al Total Ambos Sexos.</v>
      </c>
      <c r="CG118" s="433" t="str">
        <f t="shared" si="103"/>
        <v xml:space="preserve"> * La variable Usuarios con Discapacidad No puede ser mayor al Total Ambos Sexos.</v>
      </c>
      <c r="CH118" s="433" t="str">
        <f t="shared" si="104"/>
        <v xml:space="preserve"> * La variable Niños, niñas, adolescentes y jóvenes SENAME No puede ser mayor al Total Ambos Sexos.</v>
      </c>
      <c r="CI118" s="433" t="str">
        <f t="shared" si="105"/>
        <v xml:space="preserve"> * La variable Niños, niñas, adolescentes y jóvenes Mejor Niñez no puede ser mayor al Total Ambos Sexos.</v>
      </c>
      <c r="CJ118" s="433" t="str">
        <f t="shared" si="106"/>
        <v xml:space="preserve"> * La variable Migrantes no puede ser mayor al Total Ambos Sexos.</v>
      </c>
      <c r="CK118" s="435"/>
      <c r="CP118" s="434">
        <f t="shared" si="109"/>
        <v>1</v>
      </c>
      <c r="CQ118" s="434">
        <f t="shared" si="90"/>
        <v>1</v>
      </c>
      <c r="CR118" s="434">
        <f t="shared" si="91"/>
        <v>1</v>
      </c>
      <c r="CS118" s="434" t="e">
        <f t="shared" si="110"/>
        <v>#VALUE!</v>
      </c>
      <c r="CT118" s="434">
        <f t="shared" si="93"/>
        <v>1</v>
      </c>
      <c r="CU118" s="434">
        <f t="shared" si="94"/>
        <v>1</v>
      </c>
      <c r="CV118" s="434">
        <f t="shared" si="95"/>
        <v>1</v>
      </c>
      <c r="CW118" s="434">
        <f t="shared" si="96"/>
        <v>1</v>
      </c>
      <c r="CX118" s="434">
        <f t="shared" si="97"/>
        <v>1</v>
      </c>
      <c r="CY118" s="435"/>
    </row>
    <row r="119" spans="1:103" ht="15" customHeight="1" x14ac:dyDescent="0.25">
      <c r="A119" s="5812" t="s">
        <v>5760</v>
      </c>
      <c r="B119" s="7015" t="s">
        <v>1691</v>
      </c>
      <c r="C119" s="7016"/>
      <c r="D119" s="7017"/>
      <c r="E119" s="737" t="s">
        <v>4567</v>
      </c>
      <c r="F119" s="478" t="s">
        <v>4568</v>
      </c>
      <c r="G119" s="553" t="s">
        <v>4569</v>
      </c>
      <c r="H119" s="670" t="s">
        <v>4570</v>
      </c>
      <c r="I119" s="2659" t="s">
        <v>4571</v>
      </c>
      <c r="J119" s="670" t="s">
        <v>4572</v>
      </c>
      <c r="K119" s="3594" t="s">
        <v>4573</v>
      </c>
      <c r="L119" s="345" t="s">
        <v>4574</v>
      </c>
      <c r="M119" s="349" t="s">
        <v>4575</v>
      </c>
      <c r="N119" s="345" t="s">
        <v>4576</v>
      </c>
      <c r="O119" s="349" t="s">
        <v>4577</v>
      </c>
      <c r="P119" s="347" t="s">
        <v>4578</v>
      </c>
      <c r="Q119" s="349" t="s">
        <v>4579</v>
      </c>
      <c r="R119" s="347" t="s">
        <v>4580</v>
      </c>
      <c r="S119" s="349" t="s">
        <v>4581</v>
      </c>
      <c r="T119" s="347" t="s">
        <v>4582</v>
      </c>
      <c r="U119" s="349" t="s">
        <v>4583</v>
      </c>
      <c r="V119" s="347" t="s">
        <v>4584</v>
      </c>
      <c r="W119" s="349" t="s">
        <v>4585</v>
      </c>
      <c r="X119" s="347" t="s">
        <v>4586</v>
      </c>
      <c r="Y119" s="349" t="s">
        <v>4587</v>
      </c>
      <c r="Z119" s="347" t="s">
        <v>4588</v>
      </c>
      <c r="AA119" s="349" t="s">
        <v>4589</v>
      </c>
      <c r="AB119" s="347" t="s">
        <v>4590</v>
      </c>
      <c r="AC119" s="349" t="s">
        <v>4591</v>
      </c>
      <c r="AD119" s="347" t="s">
        <v>4592</v>
      </c>
      <c r="AE119" s="349" t="s">
        <v>4593</v>
      </c>
      <c r="AF119" s="347" t="s">
        <v>4594</v>
      </c>
      <c r="AG119" s="349" t="s">
        <v>4595</v>
      </c>
      <c r="AH119" s="347" t="s">
        <v>4596</v>
      </c>
      <c r="AI119" s="349" t="s">
        <v>4597</v>
      </c>
      <c r="AJ119" s="347" t="s">
        <v>4598</v>
      </c>
      <c r="AK119" s="349" t="s">
        <v>4599</v>
      </c>
      <c r="AL119" s="347" t="s">
        <v>4600</v>
      </c>
      <c r="AM119" s="349" t="s">
        <v>4601</v>
      </c>
      <c r="AN119" s="347" t="s">
        <v>4602</v>
      </c>
      <c r="AO119" s="351" t="s">
        <v>4603</v>
      </c>
      <c r="AP119" s="429" t="s">
        <v>4604</v>
      </c>
      <c r="AQ119" s="368" t="s">
        <v>4605</v>
      </c>
      <c r="AR119" s="368" t="s">
        <v>4606</v>
      </c>
      <c r="AS119" s="368" t="s">
        <v>4934</v>
      </c>
      <c r="AT119" s="368" t="s">
        <v>4935</v>
      </c>
      <c r="AU119" s="368" t="s">
        <v>4936</v>
      </c>
      <c r="AV119" s="368" t="s">
        <v>4937</v>
      </c>
      <c r="AW119" s="368" t="s">
        <v>5234</v>
      </c>
      <c r="AX119" s="368" t="s">
        <v>5235</v>
      </c>
      <c r="AY119" s="671" t="s">
        <v>5236</v>
      </c>
      <c r="AZ119" t="e">
        <f t="shared" si="98"/>
        <v>#VALUE!</v>
      </c>
      <c r="CB119" s="433" t="e">
        <f t="shared" si="111"/>
        <v>#VALUE!</v>
      </c>
      <c r="CC119" s="433" t="str">
        <f t="shared" si="99"/>
        <v xml:space="preserve"> * La variable Gestante NO DEBEN ser mayor al Total de Mujeres. </v>
      </c>
      <c r="CD119" s="433" t="str">
        <f t="shared" si="100"/>
        <v xml:space="preserve"> * La variable  Atención bajo sedación inhalatoria (con óxido nitroso) NO DEBE ser mayor que el Total Ambos Sexos</v>
      </c>
      <c r="CE119" s="433" t="e">
        <f t="shared" si="101"/>
        <v>#VALUE!</v>
      </c>
      <c r="CF119" s="433" t="str">
        <f t="shared" si="102"/>
        <v xml:space="preserve"> * La variable Compra de Servicio No puede ser mayor al Total Ambos Sexos.</v>
      </c>
      <c r="CG119" s="433" t="str">
        <f t="shared" si="103"/>
        <v xml:space="preserve"> * La variable Usuarios con Discapacidad No puede ser mayor al Total Ambos Sexos.</v>
      </c>
      <c r="CH119" s="433" t="str">
        <f t="shared" si="104"/>
        <v xml:space="preserve"> * La variable Niños, niñas, adolescentes y jóvenes SENAME No puede ser mayor al Total Ambos Sexos.</v>
      </c>
      <c r="CI119" s="433" t="str">
        <f t="shared" si="105"/>
        <v xml:space="preserve"> * La variable Niños, niñas, adolescentes y jóvenes Mejor Niñez no puede ser mayor al Total Ambos Sexos.</v>
      </c>
      <c r="CJ119" s="433" t="str">
        <f t="shared" si="106"/>
        <v xml:space="preserve"> * La variable Migrantes no puede ser mayor al Total Ambos Sexos.</v>
      </c>
      <c r="CK119" s="435"/>
      <c r="CP119" s="434">
        <f t="shared" si="109"/>
        <v>1</v>
      </c>
      <c r="CQ119" s="434">
        <f t="shared" si="90"/>
        <v>1</v>
      </c>
      <c r="CR119" s="434">
        <f t="shared" si="91"/>
        <v>1</v>
      </c>
      <c r="CS119" s="434" t="e">
        <f t="shared" si="110"/>
        <v>#VALUE!</v>
      </c>
      <c r="CT119" s="434">
        <f t="shared" si="93"/>
        <v>1</v>
      </c>
      <c r="CU119" s="434">
        <f t="shared" si="94"/>
        <v>1</v>
      </c>
      <c r="CV119" s="434">
        <f t="shared" si="95"/>
        <v>1</v>
      </c>
      <c r="CW119" s="434">
        <f t="shared" si="96"/>
        <v>1</v>
      </c>
      <c r="CX119" s="434">
        <f t="shared" si="97"/>
        <v>1</v>
      </c>
      <c r="CY119" s="435"/>
    </row>
    <row r="120" spans="1:103" ht="15" customHeight="1" x14ac:dyDescent="0.25">
      <c r="A120" s="5812" t="s">
        <v>5761</v>
      </c>
      <c r="B120" s="6617" t="s">
        <v>1692</v>
      </c>
      <c r="C120" s="6974"/>
      <c r="D120" s="6618"/>
      <c r="E120" s="737" t="s">
        <v>4567</v>
      </c>
      <c r="F120" s="478" t="s">
        <v>4568</v>
      </c>
      <c r="G120" s="553" t="s">
        <v>4569</v>
      </c>
      <c r="H120" s="345" t="s">
        <v>4570</v>
      </c>
      <c r="I120" s="349" t="s">
        <v>4571</v>
      </c>
      <c r="J120" s="345" t="s">
        <v>4572</v>
      </c>
      <c r="K120" s="348" t="s">
        <v>4573</v>
      </c>
      <c r="L120" s="345" t="s">
        <v>4574</v>
      </c>
      <c r="M120" s="349" t="s">
        <v>4575</v>
      </c>
      <c r="N120" s="345" t="s">
        <v>4576</v>
      </c>
      <c r="O120" s="349" t="s">
        <v>4577</v>
      </c>
      <c r="P120" s="347" t="s">
        <v>4578</v>
      </c>
      <c r="Q120" s="349" t="s">
        <v>4579</v>
      </c>
      <c r="R120" s="347" t="s">
        <v>4580</v>
      </c>
      <c r="S120" s="349" t="s">
        <v>4581</v>
      </c>
      <c r="T120" s="347" t="s">
        <v>4582</v>
      </c>
      <c r="U120" s="349" t="s">
        <v>4583</v>
      </c>
      <c r="V120" s="347" t="s">
        <v>4584</v>
      </c>
      <c r="W120" s="349" t="s">
        <v>4585</v>
      </c>
      <c r="X120" s="347" t="s">
        <v>4586</v>
      </c>
      <c r="Y120" s="349" t="s">
        <v>4587</v>
      </c>
      <c r="Z120" s="347" t="s">
        <v>4588</v>
      </c>
      <c r="AA120" s="349" t="s">
        <v>4589</v>
      </c>
      <c r="AB120" s="347" t="s">
        <v>4590</v>
      </c>
      <c r="AC120" s="349" t="s">
        <v>4591</v>
      </c>
      <c r="AD120" s="347" t="s">
        <v>4592</v>
      </c>
      <c r="AE120" s="349" t="s">
        <v>4593</v>
      </c>
      <c r="AF120" s="347" t="s">
        <v>4594</v>
      </c>
      <c r="AG120" s="349" t="s">
        <v>4595</v>
      </c>
      <c r="AH120" s="347" t="s">
        <v>4596</v>
      </c>
      <c r="AI120" s="349" t="s">
        <v>4597</v>
      </c>
      <c r="AJ120" s="347" t="s">
        <v>4598</v>
      </c>
      <c r="AK120" s="349" t="s">
        <v>4599</v>
      </c>
      <c r="AL120" s="347" t="s">
        <v>4600</v>
      </c>
      <c r="AM120" s="349" t="s">
        <v>4601</v>
      </c>
      <c r="AN120" s="347" t="s">
        <v>4602</v>
      </c>
      <c r="AO120" s="351" t="s">
        <v>4603</v>
      </c>
      <c r="AP120" s="429" t="s">
        <v>4604</v>
      </c>
      <c r="AQ120" s="368" t="s">
        <v>4605</v>
      </c>
      <c r="AR120" s="368" t="s">
        <v>4606</v>
      </c>
      <c r="AS120" s="368" t="s">
        <v>4934</v>
      </c>
      <c r="AT120" s="368" t="s">
        <v>4935</v>
      </c>
      <c r="AU120" s="368" t="s">
        <v>4936</v>
      </c>
      <c r="AV120" s="368" t="s">
        <v>4937</v>
      </c>
      <c r="AW120" s="368" t="s">
        <v>5234</v>
      </c>
      <c r="AX120" s="368" t="s">
        <v>5235</v>
      </c>
      <c r="AY120" s="671" t="s">
        <v>5236</v>
      </c>
      <c r="AZ120" t="e">
        <f t="shared" si="98"/>
        <v>#VALUE!</v>
      </c>
      <c r="CB120" s="433" t="e">
        <f t="shared" si="111"/>
        <v>#VALUE!</v>
      </c>
      <c r="CC120" s="433" t="str">
        <f t="shared" si="99"/>
        <v xml:space="preserve"> * La variable Gestante NO DEBEN ser mayor al Total de Mujeres. </v>
      </c>
      <c r="CD120" s="433" t="str">
        <f t="shared" si="100"/>
        <v xml:space="preserve"> * La variable  Atención bajo sedación inhalatoria (con óxido nitroso) NO DEBE ser mayor que el Total Ambos Sexos</v>
      </c>
      <c r="CE120" s="433" t="e">
        <f t="shared" si="101"/>
        <v>#VALUE!</v>
      </c>
      <c r="CF120" s="433" t="str">
        <f t="shared" si="102"/>
        <v xml:space="preserve"> * La variable Compra de Servicio No puede ser mayor al Total Ambos Sexos.</v>
      </c>
      <c r="CG120" s="433" t="str">
        <f t="shared" si="103"/>
        <v xml:space="preserve"> * La variable Usuarios con Discapacidad No puede ser mayor al Total Ambos Sexos.</v>
      </c>
      <c r="CH120" s="433" t="str">
        <f t="shared" si="104"/>
        <v xml:space="preserve"> * La variable Niños, niñas, adolescentes y jóvenes SENAME No puede ser mayor al Total Ambos Sexos.</v>
      </c>
      <c r="CI120" s="433" t="str">
        <f t="shared" si="105"/>
        <v xml:space="preserve"> * La variable Niños, niñas, adolescentes y jóvenes Mejor Niñez no puede ser mayor al Total Ambos Sexos.</v>
      </c>
      <c r="CJ120" s="433" t="str">
        <f t="shared" si="106"/>
        <v xml:space="preserve"> * La variable Migrantes no puede ser mayor al Total Ambos Sexos.</v>
      </c>
      <c r="CK120" s="435"/>
      <c r="CP120" s="434">
        <f t="shared" si="109"/>
        <v>1</v>
      </c>
      <c r="CQ120" s="434">
        <f t="shared" si="90"/>
        <v>1</v>
      </c>
      <c r="CR120" s="434">
        <f t="shared" si="91"/>
        <v>1</v>
      </c>
      <c r="CS120" s="434" t="e">
        <f t="shared" si="110"/>
        <v>#VALUE!</v>
      </c>
      <c r="CT120" s="434">
        <f t="shared" si="93"/>
        <v>1</v>
      </c>
      <c r="CU120" s="434">
        <f t="shared" si="94"/>
        <v>1</v>
      </c>
      <c r="CV120" s="434">
        <f t="shared" si="95"/>
        <v>1</v>
      </c>
      <c r="CW120" s="434">
        <f t="shared" si="96"/>
        <v>1</v>
      </c>
      <c r="CX120" s="434">
        <f t="shared" si="97"/>
        <v>1</v>
      </c>
      <c r="CY120" s="435"/>
    </row>
    <row r="121" spans="1:103" ht="15" customHeight="1" x14ac:dyDescent="0.25">
      <c r="A121" s="5812" t="s">
        <v>5762</v>
      </c>
      <c r="B121" s="6985" t="s">
        <v>1693</v>
      </c>
      <c r="C121" s="6986"/>
      <c r="D121" s="6987"/>
      <c r="E121" s="737" t="s">
        <v>4567</v>
      </c>
      <c r="F121" s="478" t="s">
        <v>4568</v>
      </c>
      <c r="G121" s="553" t="s">
        <v>4569</v>
      </c>
      <c r="H121" s="670" t="s">
        <v>4570</v>
      </c>
      <c r="I121" s="2659" t="s">
        <v>4571</v>
      </c>
      <c r="J121" s="670" t="s">
        <v>4572</v>
      </c>
      <c r="K121" s="3594" t="s">
        <v>4573</v>
      </c>
      <c r="L121" s="670" t="s">
        <v>4574</v>
      </c>
      <c r="M121" s="2659" t="s">
        <v>4575</v>
      </c>
      <c r="N121" s="670" t="s">
        <v>4576</v>
      </c>
      <c r="O121" s="2659" t="s">
        <v>4577</v>
      </c>
      <c r="P121" s="537" t="s">
        <v>4578</v>
      </c>
      <c r="Q121" s="2659" t="s">
        <v>4579</v>
      </c>
      <c r="R121" s="347" t="s">
        <v>4580</v>
      </c>
      <c r="S121" s="349" t="s">
        <v>4581</v>
      </c>
      <c r="T121" s="347" t="s">
        <v>4582</v>
      </c>
      <c r="U121" s="349" t="s">
        <v>4583</v>
      </c>
      <c r="V121" s="347" t="s">
        <v>4584</v>
      </c>
      <c r="W121" s="349" t="s">
        <v>4585</v>
      </c>
      <c r="X121" s="347" t="s">
        <v>4586</v>
      </c>
      <c r="Y121" s="349" t="s">
        <v>4587</v>
      </c>
      <c r="Z121" s="347" t="s">
        <v>4588</v>
      </c>
      <c r="AA121" s="349" t="s">
        <v>4589</v>
      </c>
      <c r="AB121" s="347" t="s">
        <v>4590</v>
      </c>
      <c r="AC121" s="349" t="s">
        <v>4591</v>
      </c>
      <c r="AD121" s="347" t="s">
        <v>4592</v>
      </c>
      <c r="AE121" s="349" t="s">
        <v>4593</v>
      </c>
      <c r="AF121" s="347" t="s">
        <v>4594</v>
      </c>
      <c r="AG121" s="349" t="s">
        <v>4595</v>
      </c>
      <c r="AH121" s="347" t="s">
        <v>4596</v>
      </c>
      <c r="AI121" s="349" t="s">
        <v>4597</v>
      </c>
      <c r="AJ121" s="347" t="s">
        <v>4598</v>
      </c>
      <c r="AK121" s="349" t="s">
        <v>4599</v>
      </c>
      <c r="AL121" s="347" t="s">
        <v>4600</v>
      </c>
      <c r="AM121" s="349" t="s">
        <v>4601</v>
      </c>
      <c r="AN121" s="347" t="s">
        <v>4602</v>
      </c>
      <c r="AO121" s="351" t="s">
        <v>4603</v>
      </c>
      <c r="AP121" s="3595" t="s">
        <v>4604</v>
      </c>
      <c r="AQ121" s="368" t="s">
        <v>4605</v>
      </c>
      <c r="AR121" s="368" t="s">
        <v>4606</v>
      </c>
      <c r="AS121" s="3600" t="s">
        <v>4934</v>
      </c>
      <c r="AT121" s="368" t="s">
        <v>4935</v>
      </c>
      <c r="AU121" s="368" t="s">
        <v>4936</v>
      </c>
      <c r="AV121" s="368" t="s">
        <v>4937</v>
      </c>
      <c r="AW121" s="368" t="s">
        <v>5234</v>
      </c>
      <c r="AX121" s="368" t="s">
        <v>5235</v>
      </c>
      <c r="AY121" s="346" t="s">
        <v>5236</v>
      </c>
      <c r="AZ121" t="e">
        <f t="shared" si="98"/>
        <v>#VALUE!</v>
      </c>
      <c r="CB121" s="435"/>
      <c r="CC121" s="433" t="str">
        <f t="shared" si="99"/>
        <v xml:space="preserve"> * La variable Gestante NO DEBEN ser mayor al Total de Mujeres. </v>
      </c>
      <c r="CD121" s="433" t="str">
        <f t="shared" si="100"/>
        <v xml:space="preserve"> * La variable  Atención bajo sedación inhalatoria (con óxido nitroso) NO DEBE ser mayor que el Total Ambos Sexos</v>
      </c>
      <c r="CE121" s="433" t="e">
        <f t="shared" si="101"/>
        <v>#VALUE!</v>
      </c>
      <c r="CF121" s="433" t="str">
        <f t="shared" si="102"/>
        <v xml:space="preserve"> * La variable Compra de Servicio No puede ser mayor al Total Ambos Sexos.</v>
      </c>
      <c r="CG121" s="433" t="str">
        <f t="shared" si="103"/>
        <v xml:space="preserve"> * La variable Usuarios con Discapacidad No puede ser mayor al Total Ambos Sexos.</v>
      </c>
      <c r="CH121" s="433" t="str">
        <f t="shared" si="104"/>
        <v xml:space="preserve"> * La variable Niños, niñas, adolescentes y jóvenes SENAME No puede ser mayor al Total Ambos Sexos.</v>
      </c>
      <c r="CI121" s="433" t="str">
        <f t="shared" si="105"/>
        <v xml:space="preserve"> * La variable Niños, niñas, adolescentes y jóvenes Mejor Niñez no puede ser mayor al Total Ambos Sexos.</v>
      </c>
      <c r="CJ121" s="433" t="str">
        <f t="shared" si="106"/>
        <v xml:space="preserve"> * La variable Migrantes no puede ser mayor al Total Ambos Sexos.</v>
      </c>
      <c r="CK121" s="433" t="str">
        <f t="shared" si="107"/>
        <v xml:space="preserve"> * La variable Flujo digital no puede ser mayor al Total Ambos Sexos.</v>
      </c>
      <c r="CP121" s="437"/>
      <c r="CQ121" s="434">
        <f t="shared" si="90"/>
        <v>1</v>
      </c>
      <c r="CR121" s="434">
        <f t="shared" si="91"/>
        <v>1</v>
      </c>
      <c r="CS121" s="434" t="e">
        <f t="shared" si="110"/>
        <v>#VALUE!</v>
      </c>
      <c r="CT121" s="434">
        <f t="shared" si="93"/>
        <v>1</v>
      </c>
      <c r="CU121" s="434">
        <f t="shared" si="94"/>
        <v>1</v>
      </c>
      <c r="CV121" s="434">
        <f t="shared" si="95"/>
        <v>1</v>
      </c>
      <c r="CW121" s="434">
        <f t="shared" si="96"/>
        <v>1</v>
      </c>
      <c r="CX121" s="434">
        <f t="shared" si="97"/>
        <v>1</v>
      </c>
      <c r="CY121" s="434">
        <f t="shared" ref="CY121:CY127" si="112">IF(AND($E121&gt;0,AY121=""),1,IF(AY121&gt;$E121,1,0))</f>
        <v>1</v>
      </c>
    </row>
    <row r="122" spans="1:103" ht="15" customHeight="1" x14ac:dyDescent="0.25">
      <c r="A122" s="5812" t="s">
        <v>5763</v>
      </c>
      <c r="B122" s="6985" t="s">
        <v>1694</v>
      </c>
      <c r="C122" s="6986"/>
      <c r="D122" s="6987"/>
      <c r="E122" s="737" t="s">
        <v>4567</v>
      </c>
      <c r="F122" s="478" t="s">
        <v>4568</v>
      </c>
      <c r="G122" s="553" t="s">
        <v>4569</v>
      </c>
      <c r="H122" s="670" t="s">
        <v>4570</v>
      </c>
      <c r="I122" s="2659" t="s">
        <v>4571</v>
      </c>
      <c r="J122" s="670" t="s">
        <v>4572</v>
      </c>
      <c r="K122" s="3594" t="s">
        <v>4573</v>
      </c>
      <c r="L122" s="670" t="s">
        <v>4574</v>
      </c>
      <c r="M122" s="2659" t="s">
        <v>4575</v>
      </c>
      <c r="N122" s="670" t="s">
        <v>4576</v>
      </c>
      <c r="O122" s="2659" t="s">
        <v>4577</v>
      </c>
      <c r="P122" s="537" t="s">
        <v>4578</v>
      </c>
      <c r="Q122" s="2659" t="s">
        <v>4579</v>
      </c>
      <c r="R122" s="537" t="s">
        <v>4580</v>
      </c>
      <c r="S122" s="2659" t="s">
        <v>4581</v>
      </c>
      <c r="T122" s="537" t="s">
        <v>4582</v>
      </c>
      <c r="U122" s="2659" t="s">
        <v>4583</v>
      </c>
      <c r="V122" s="537" t="s">
        <v>4584</v>
      </c>
      <c r="W122" s="2659" t="s">
        <v>4585</v>
      </c>
      <c r="X122" s="537" t="s">
        <v>4586</v>
      </c>
      <c r="Y122" s="2659" t="s">
        <v>4587</v>
      </c>
      <c r="Z122" s="347" t="s">
        <v>4588</v>
      </c>
      <c r="AA122" s="349" t="s">
        <v>4589</v>
      </c>
      <c r="AB122" s="347" t="s">
        <v>4590</v>
      </c>
      <c r="AC122" s="349" t="s">
        <v>4591</v>
      </c>
      <c r="AD122" s="347" t="s">
        <v>4592</v>
      </c>
      <c r="AE122" s="349" t="s">
        <v>4593</v>
      </c>
      <c r="AF122" s="347" t="s">
        <v>4594</v>
      </c>
      <c r="AG122" s="349" t="s">
        <v>4595</v>
      </c>
      <c r="AH122" s="347" t="s">
        <v>4596</v>
      </c>
      <c r="AI122" s="349" t="s">
        <v>4597</v>
      </c>
      <c r="AJ122" s="347" t="s">
        <v>4598</v>
      </c>
      <c r="AK122" s="349" t="s">
        <v>4599</v>
      </c>
      <c r="AL122" s="347" t="s">
        <v>4600</v>
      </c>
      <c r="AM122" s="349" t="s">
        <v>4601</v>
      </c>
      <c r="AN122" s="347" t="s">
        <v>4602</v>
      </c>
      <c r="AO122" s="351" t="s">
        <v>4603</v>
      </c>
      <c r="AP122" s="3595" t="s">
        <v>4604</v>
      </c>
      <c r="AQ122" s="368" t="s">
        <v>4605</v>
      </c>
      <c r="AR122" s="368" t="s">
        <v>4606</v>
      </c>
      <c r="AS122" s="3600" t="s">
        <v>4934</v>
      </c>
      <c r="AT122" s="368" t="s">
        <v>4935</v>
      </c>
      <c r="AU122" s="368" t="s">
        <v>4936</v>
      </c>
      <c r="AV122" s="368" t="s">
        <v>4937</v>
      </c>
      <c r="AW122" s="368" t="s">
        <v>5234</v>
      </c>
      <c r="AX122" s="368" t="s">
        <v>5235</v>
      </c>
      <c r="AY122" s="346" t="s">
        <v>5236</v>
      </c>
      <c r="AZ122" t="e">
        <f t="shared" si="98"/>
        <v>#VALUE!</v>
      </c>
      <c r="CB122" s="435"/>
      <c r="CC122" s="433" t="str">
        <f t="shared" si="99"/>
        <v xml:space="preserve"> * La variable Gestante NO DEBEN ser mayor al Total de Mujeres. </v>
      </c>
      <c r="CD122" s="433" t="str">
        <f t="shared" si="100"/>
        <v xml:space="preserve"> * La variable  Atención bajo sedación inhalatoria (con óxido nitroso) NO DEBE ser mayor que el Total Ambos Sexos</v>
      </c>
      <c r="CE122" s="433" t="e">
        <f t="shared" si="101"/>
        <v>#VALUE!</v>
      </c>
      <c r="CF122" s="433" t="str">
        <f t="shared" si="102"/>
        <v xml:space="preserve"> * La variable Compra de Servicio No puede ser mayor al Total Ambos Sexos.</v>
      </c>
      <c r="CG122" s="433" t="str">
        <f t="shared" si="103"/>
        <v xml:space="preserve"> * La variable Usuarios con Discapacidad No puede ser mayor al Total Ambos Sexos.</v>
      </c>
      <c r="CH122" s="433" t="str">
        <f t="shared" si="104"/>
        <v xml:space="preserve"> * La variable Niños, niñas, adolescentes y jóvenes SENAME No puede ser mayor al Total Ambos Sexos.</v>
      </c>
      <c r="CI122" s="433" t="str">
        <f t="shared" si="105"/>
        <v xml:space="preserve"> * La variable Niños, niñas, adolescentes y jóvenes Mejor Niñez no puede ser mayor al Total Ambos Sexos.</v>
      </c>
      <c r="CJ122" s="433" t="str">
        <f t="shared" si="106"/>
        <v xml:space="preserve"> * La variable Migrantes no puede ser mayor al Total Ambos Sexos.</v>
      </c>
      <c r="CK122" s="433" t="str">
        <f t="shared" si="107"/>
        <v xml:space="preserve"> * La variable Flujo digital no puede ser mayor al Total Ambos Sexos.</v>
      </c>
      <c r="CP122" s="437"/>
      <c r="CQ122" s="434">
        <f t="shared" si="90"/>
        <v>1</v>
      </c>
      <c r="CR122" s="434">
        <f t="shared" si="91"/>
        <v>1</v>
      </c>
      <c r="CS122" s="434" t="e">
        <f t="shared" si="110"/>
        <v>#VALUE!</v>
      </c>
      <c r="CT122" s="434">
        <f t="shared" si="93"/>
        <v>1</v>
      </c>
      <c r="CU122" s="434">
        <f t="shared" si="94"/>
        <v>1</v>
      </c>
      <c r="CV122" s="434">
        <f t="shared" si="95"/>
        <v>1</v>
      </c>
      <c r="CW122" s="434">
        <f t="shared" si="96"/>
        <v>1</v>
      </c>
      <c r="CX122" s="434">
        <f t="shared" si="97"/>
        <v>1</v>
      </c>
      <c r="CY122" s="434">
        <f t="shared" si="112"/>
        <v>1</v>
      </c>
    </row>
    <row r="123" spans="1:103" ht="15" customHeight="1" x14ac:dyDescent="0.25">
      <c r="A123" s="5812" t="s">
        <v>5764</v>
      </c>
      <c r="B123" s="6617" t="s">
        <v>1695</v>
      </c>
      <c r="C123" s="6974"/>
      <c r="D123" s="6618"/>
      <c r="E123" s="737" t="s">
        <v>4567</v>
      </c>
      <c r="F123" s="478" t="s">
        <v>4568</v>
      </c>
      <c r="G123" s="553" t="s">
        <v>4569</v>
      </c>
      <c r="H123" s="670" t="s">
        <v>4570</v>
      </c>
      <c r="I123" s="2659" t="s">
        <v>4571</v>
      </c>
      <c r="J123" s="670" t="s">
        <v>4572</v>
      </c>
      <c r="K123" s="3594" t="s">
        <v>4573</v>
      </c>
      <c r="L123" s="670" t="s">
        <v>4574</v>
      </c>
      <c r="M123" s="2659" t="s">
        <v>4575</v>
      </c>
      <c r="N123" s="670" t="s">
        <v>4576</v>
      </c>
      <c r="O123" s="2659" t="s">
        <v>4577</v>
      </c>
      <c r="P123" s="537" t="s">
        <v>4578</v>
      </c>
      <c r="Q123" s="2659" t="s">
        <v>4579</v>
      </c>
      <c r="R123" s="537" t="s">
        <v>4580</v>
      </c>
      <c r="S123" s="2659" t="s">
        <v>4581</v>
      </c>
      <c r="T123" s="537" t="s">
        <v>4582</v>
      </c>
      <c r="U123" s="2659" t="s">
        <v>4583</v>
      </c>
      <c r="V123" s="537" t="s">
        <v>4584</v>
      </c>
      <c r="W123" s="2659" t="s">
        <v>4585</v>
      </c>
      <c r="X123" s="537" t="s">
        <v>4586</v>
      </c>
      <c r="Y123" s="2659" t="s">
        <v>4587</v>
      </c>
      <c r="Z123" s="347" t="s">
        <v>4588</v>
      </c>
      <c r="AA123" s="349" t="s">
        <v>4589</v>
      </c>
      <c r="AB123" s="347" t="s">
        <v>4590</v>
      </c>
      <c r="AC123" s="349" t="s">
        <v>4591</v>
      </c>
      <c r="AD123" s="347" t="s">
        <v>4592</v>
      </c>
      <c r="AE123" s="349" t="s">
        <v>4593</v>
      </c>
      <c r="AF123" s="347" t="s">
        <v>4594</v>
      </c>
      <c r="AG123" s="349" t="s">
        <v>4595</v>
      </c>
      <c r="AH123" s="347" t="s">
        <v>4596</v>
      </c>
      <c r="AI123" s="349" t="s">
        <v>4597</v>
      </c>
      <c r="AJ123" s="347" t="s">
        <v>4598</v>
      </c>
      <c r="AK123" s="349" t="s">
        <v>4599</v>
      </c>
      <c r="AL123" s="347" t="s">
        <v>4600</v>
      </c>
      <c r="AM123" s="349" t="s">
        <v>4601</v>
      </c>
      <c r="AN123" s="347" t="s">
        <v>4602</v>
      </c>
      <c r="AO123" s="351" t="s">
        <v>4603</v>
      </c>
      <c r="AP123" s="3595" t="s">
        <v>4604</v>
      </c>
      <c r="AQ123" s="368" t="s">
        <v>4605</v>
      </c>
      <c r="AR123" s="368" t="s">
        <v>4606</v>
      </c>
      <c r="AS123" s="368" t="s">
        <v>4934</v>
      </c>
      <c r="AT123" s="368" t="s">
        <v>4935</v>
      </c>
      <c r="AU123" s="368" t="s">
        <v>4936</v>
      </c>
      <c r="AV123" s="368" t="s">
        <v>4937</v>
      </c>
      <c r="AW123" s="368" t="s">
        <v>5234</v>
      </c>
      <c r="AX123" s="368" t="s">
        <v>5235</v>
      </c>
      <c r="AY123" s="346" t="s">
        <v>5236</v>
      </c>
      <c r="AZ123" t="e">
        <f t="shared" si="98"/>
        <v>#VALUE!</v>
      </c>
      <c r="CB123" s="435"/>
      <c r="CC123" s="433" t="str">
        <f t="shared" si="99"/>
        <v xml:space="preserve"> * La variable Gestante NO DEBEN ser mayor al Total de Mujeres. </v>
      </c>
      <c r="CD123" s="433" t="str">
        <f t="shared" si="100"/>
        <v xml:space="preserve"> * La variable  Atención bajo sedación inhalatoria (con óxido nitroso) NO DEBE ser mayor que el Total Ambos Sexos</v>
      </c>
      <c r="CE123" s="433" t="e">
        <f t="shared" si="101"/>
        <v>#VALUE!</v>
      </c>
      <c r="CF123" s="433" t="str">
        <f t="shared" si="102"/>
        <v xml:space="preserve"> * La variable Compra de Servicio No puede ser mayor al Total Ambos Sexos.</v>
      </c>
      <c r="CG123" s="433" t="str">
        <f t="shared" si="103"/>
        <v xml:space="preserve"> * La variable Usuarios con Discapacidad No puede ser mayor al Total Ambos Sexos.</v>
      </c>
      <c r="CH123" s="433" t="str">
        <f t="shared" si="104"/>
        <v xml:space="preserve"> * La variable Niños, niñas, adolescentes y jóvenes SENAME No puede ser mayor al Total Ambos Sexos.</v>
      </c>
      <c r="CI123" s="433" t="str">
        <f t="shared" si="105"/>
        <v xml:space="preserve"> * La variable Niños, niñas, adolescentes y jóvenes Mejor Niñez no puede ser mayor al Total Ambos Sexos.</v>
      </c>
      <c r="CJ123" s="433" t="str">
        <f t="shared" si="106"/>
        <v xml:space="preserve"> * La variable Migrantes no puede ser mayor al Total Ambos Sexos.</v>
      </c>
      <c r="CK123" s="433" t="str">
        <f t="shared" si="107"/>
        <v xml:space="preserve"> * La variable Flujo digital no puede ser mayor al Total Ambos Sexos.</v>
      </c>
      <c r="CP123" s="437"/>
      <c r="CQ123" s="434">
        <f t="shared" ref="CQ123:CQ142" si="113">IF(AND($G123&gt;0,AQ123=""),1,IF(AQ123&gt;$G123,1,0))</f>
        <v>1</v>
      </c>
      <c r="CR123" s="434">
        <f t="shared" ref="CR123:CR142" si="114">IF(AND($E123&gt;0,AR123=""),1,IF(AR123&gt;$E123,1,0))</f>
        <v>1</v>
      </c>
      <c r="CS123" s="434" t="e">
        <f t="shared" si="110"/>
        <v>#VALUE!</v>
      </c>
      <c r="CT123" s="434">
        <f t="shared" ref="CT123:CT142" si="115">IF(AND($E123&gt;0,AT123=""),1,IF(AT123&gt;$E123,1,0))</f>
        <v>1</v>
      </c>
      <c r="CU123" s="434">
        <f t="shared" ref="CU123:CU142" si="116">IF(AND($E123&gt;0,AU123=""),1,IF(AU123&gt;$E123,1,0))</f>
        <v>1</v>
      </c>
      <c r="CV123" s="434">
        <f t="shared" ref="CV123:CV142" si="117">IF(AND($E123&gt;0,AV123=""),1,IF(AV123&gt;$E123,1,0))</f>
        <v>1</v>
      </c>
      <c r="CW123" s="434">
        <f t="shared" ref="CW123:CW142" si="118">IF(AND($E123&gt;0,AW123=""),1,IF(AW123&gt;$E123,1,0))</f>
        <v>1</v>
      </c>
      <c r="CX123" s="434">
        <f t="shared" ref="CX123:CX142" si="119">IF(AND($E123&gt;0,AX123=""),1,IF(AX123&gt;$E123,1,0))</f>
        <v>1</v>
      </c>
      <c r="CY123" s="434">
        <f t="shared" si="112"/>
        <v>1</v>
      </c>
    </row>
    <row r="124" spans="1:103" ht="15" customHeight="1" x14ac:dyDescent="0.25">
      <c r="A124" s="5812" t="s">
        <v>5765</v>
      </c>
      <c r="B124" s="7015" t="s">
        <v>1696</v>
      </c>
      <c r="C124" s="7016"/>
      <c r="D124" s="7017"/>
      <c r="E124" s="737" t="s">
        <v>4567</v>
      </c>
      <c r="F124" s="478" t="s">
        <v>4568</v>
      </c>
      <c r="G124" s="553" t="s">
        <v>4569</v>
      </c>
      <c r="H124" s="670" t="s">
        <v>4570</v>
      </c>
      <c r="I124" s="2659" t="s">
        <v>4571</v>
      </c>
      <c r="J124" s="670" t="s">
        <v>4572</v>
      </c>
      <c r="K124" s="3594" t="s">
        <v>4573</v>
      </c>
      <c r="L124" s="670" t="s">
        <v>4574</v>
      </c>
      <c r="M124" s="2659" t="s">
        <v>4575</v>
      </c>
      <c r="N124" s="670" t="s">
        <v>4576</v>
      </c>
      <c r="O124" s="2659" t="s">
        <v>4577</v>
      </c>
      <c r="P124" s="537" t="s">
        <v>4578</v>
      </c>
      <c r="Q124" s="2659" t="s">
        <v>4579</v>
      </c>
      <c r="R124" s="537" t="s">
        <v>4580</v>
      </c>
      <c r="S124" s="2659" t="s">
        <v>4581</v>
      </c>
      <c r="T124" s="537" t="s">
        <v>4582</v>
      </c>
      <c r="U124" s="2659" t="s">
        <v>4583</v>
      </c>
      <c r="V124" s="537" t="s">
        <v>4584</v>
      </c>
      <c r="W124" s="2659" t="s">
        <v>4585</v>
      </c>
      <c r="X124" s="537" t="s">
        <v>4586</v>
      </c>
      <c r="Y124" s="2659" t="s">
        <v>4587</v>
      </c>
      <c r="Z124" s="347" t="s">
        <v>4588</v>
      </c>
      <c r="AA124" s="349" t="s">
        <v>4589</v>
      </c>
      <c r="AB124" s="347" t="s">
        <v>4590</v>
      </c>
      <c r="AC124" s="349" t="s">
        <v>4591</v>
      </c>
      <c r="AD124" s="347" t="s">
        <v>4592</v>
      </c>
      <c r="AE124" s="349" t="s">
        <v>4593</v>
      </c>
      <c r="AF124" s="347" t="s">
        <v>4594</v>
      </c>
      <c r="AG124" s="349" t="s">
        <v>4595</v>
      </c>
      <c r="AH124" s="347" t="s">
        <v>4596</v>
      </c>
      <c r="AI124" s="349" t="s">
        <v>4597</v>
      </c>
      <c r="AJ124" s="347" t="s">
        <v>4598</v>
      </c>
      <c r="AK124" s="349" t="s">
        <v>4599</v>
      </c>
      <c r="AL124" s="347" t="s">
        <v>4600</v>
      </c>
      <c r="AM124" s="349" t="s">
        <v>4601</v>
      </c>
      <c r="AN124" s="347" t="s">
        <v>4602</v>
      </c>
      <c r="AO124" s="351" t="s">
        <v>4603</v>
      </c>
      <c r="AP124" s="3595" t="s">
        <v>4604</v>
      </c>
      <c r="AQ124" s="368" t="s">
        <v>4605</v>
      </c>
      <c r="AR124" s="368" t="s">
        <v>4606</v>
      </c>
      <c r="AS124" s="368" t="s">
        <v>4934</v>
      </c>
      <c r="AT124" s="368" t="s">
        <v>4935</v>
      </c>
      <c r="AU124" s="368" t="s">
        <v>4936</v>
      </c>
      <c r="AV124" s="368" t="s">
        <v>4937</v>
      </c>
      <c r="AW124" s="368" t="s">
        <v>5234</v>
      </c>
      <c r="AX124" s="368" t="s">
        <v>5235</v>
      </c>
      <c r="AY124" s="346" t="s">
        <v>5236</v>
      </c>
      <c r="AZ124" t="e">
        <f t="shared" si="98"/>
        <v>#VALUE!</v>
      </c>
      <c r="CB124" s="435"/>
      <c r="CC124" s="433" t="str">
        <f t="shared" si="99"/>
        <v xml:space="preserve"> * La variable Gestante NO DEBEN ser mayor al Total de Mujeres. </v>
      </c>
      <c r="CD124" s="433" t="str">
        <f t="shared" si="100"/>
        <v xml:space="preserve"> * La variable  Atención bajo sedación inhalatoria (con óxido nitroso) NO DEBE ser mayor que el Total Ambos Sexos</v>
      </c>
      <c r="CE124" s="433" t="e">
        <f t="shared" si="101"/>
        <v>#VALUE!</v>
      </c>
      <c r="CF124" s="433" t="str">
        <f t="shared" si="102"/>
        <v xml:space="preserve"> * La variable Compra de Servicio No puede ser mayor al Total Ambos Sexos.</v>
      </c>
      <c r="CG124" s="433" t="str">
        <f t="shared" si="103"/>
        <v xml:space="preserve"> * La variable Usuarios con Discapacidad No puede ser mayor al Total Ambos Sexos.</v>
      </c>
      <c r="CH124" s="433" t="str">
        <f t="shared" si="104"/>
        <v xml:space="preserve"> * La variable Niños, niñas, adolescentes y jóvenes SENAME No puede ser mayor al Total Ambos Sexos.</v>
      </c>
      <c r="CI124" s="433" t="str">
        <f t="shared" si="105"/>
        <v xml:space="preserve"> * La variable Niños, niñas, adolescentes y jóvenes Mejor Niñez no puede ser mayor al Total Ambos Sexos.</v>
      </c>
      <c r="CJ124" s="433" t="str">
        <f t="shared" si="106"/>
        <v xml:space="preserve"> * La variable Migrantes no puede ser mayor al Total Ambos Sexos.</v>
      </c>
      <c r="CK124" s="433" t="str">
        <f t="shared" si="107"/>
        <v xml:space="preserve"> * La variable Flujo digital no puede ser mayor al Total Ambos Sexos.</v>
      </c>
      <c r="CP124" s="437"/>
      <c r="CQ124" s="434">
        <f t="shared" si="113"/>
        <v>1</v>
      </c>
      <c r="CR124" s="434">
        <f t="shared" si="114"/>
        <v>1</v>
      </c>
      <c r="CS124" s="434" t="e">
        <f t="shared" si="110"/>
        <v>#VALUE!</v>
      </c>
      <c r="CT124" s="434">
        <f t="shared" si="115"/>
        <v>1</v>
      </c>
      <c r="CU124" s="434">
        <f t="shared" si="116"/>
        <v>1</v>
      </c>
      <c r="CV124" s="434">
        <f t="shared" si="117"/>
        <v>1</v>
      </c>
      <c r="CW124" s="434">
        <f t="shared" si="118"/>
        <v>1</v>
      </c>
      <c r="CX124" s="434">
        <f t="shared" si="119"/>
        <v>1</v>
      </c>
      <c r="CY124" s="434">
        <f t="shared" si="112"/>
        <v>1</v>
      </c>
    </row>
    <row r="125" spans="1:103" ht="15" customHeight="1" x14ac:dyDescent="0.25">
      <c r="A125" s="5812" t="s">
        <v>5766</v>
      </c>
      <c r="B125" s="7015" t="s">
        <v>1697</v>
      </c>
      <c r="C125" s="7016"/>
      <c r="D125" s="7017"/>
      <c r="E125" s="737" t="s">
        <v>4567</v>
      </c>
      <c r="F125" s="478" t="s">
        <v>4568</v>
      </c>
      <c r="G125" s="553" t="s">
        <v>4569</v>
      </c>
      <c r="H125" s="670" t="s">
        <v>4570</v>
      </c>
      <c r="I125" s="2659" t="s">
        <v>4571</v>
      </c>
      <c r="J125" s="670" t="s">
        <v>4572</v>
      </c>
      <c r="K125" s="3594" t="s">
        <v>4573</v>
      </c>
      <c r="L125" s="670" t="s">
        <v>4574</v>
      </c>
      <c r="M125" s="2659" t="s">
        <v>4575</v>
      </c>
      <c r="N125" s="670" t="s">
        <v>4576</v>
      </c>
      <c r="O125" s="2659" t="s">
        <v>4577</v>
      </c>
      <c r="P125" s="537" t="s">
        <v>4578</v>
      </c>
      <c r="Q125" s="2659" t="s">
        <v>4579</v>
      </c>
      <c r="R125" s="537" t="s">
        <v>4580</v>
      </c>
      <c r="S125" s="2659" t="s">
        <v>4581</v>
      </c>
      <c r="T125" s="537" t="s">
        <v>4582</v>
      </c>
      <c r="U125" s="2659" t="s">
        <v>4583</v>
      </c>
      <c r="V125" s="537" t="s">
        <v>4584</v>
      </c>
      <c r="W125" s="2659" t="s">
        <v>4585</v>
      </c>
      <c r="X125" s="537" t="s">
        <v>4586</v>
      </c>
      <c r="Y125" s="2659" t="s">
        <v>4587</v>
      </c>
      <c r="Z125" s="347" t="s">
        <v>4588</v>
      </c>
      <c r="AA125" s="349" t="s">
        <v>4589</v>
      </c>
      <c r="AB125" s="347" t="s">
        <v>4590</v>
      </c>
      <c r="AC125" s="349" t="s">
        <v>4591</v>
      </c>
      <c r="AD125" s="347" t="s">
        <v>4592</v>
      </c>
      <c r="AE125" s="349" t="s">
        <v>4593</v>
      </c>
      <c r="AF125" s="347" t="s">
        <v>4594</v>
      </c>
      <c r="AG125" s="349" t="s">
        <v>4595</v>
      </c>
      <c r="AH125" s="347" t="s">
        <v>4596</v>
      </c>
      <c r="AI125" s="349" t="s">
        <v>4597</v>
      </c>
      <c r="AJ125" s="347" t="s">
        <v>4598</v>
      </c>
      <c r="AK125" s="349" t="s">
        <v>4599</v>
      </c>
      <c r="AL125" s="347" t="s">
        <v>4600</v>
      </c>
      <c r="AM125" s="349" t="s">
        <v>4601</v>
      </c>
      <c r="AN125" s="347" t="s">
        <v>4602</v>
      </c>
      <c r="AO125" s="351" t="s">
        <v>4603</v>
      </c>
      <c r="AP125" s="3595" t="s">
        <v>4604</v>
      </c>
      <c r="AQ125" s="368" t="s">
        <v>4605</v>
      </c>
      <c r="AR125" s="368" t="s">
        <v>4606</v>
      </c>
      <c r="AS125" s="368" t="s">
        <v>4934</v>
      </c>
      <c r="AT125" s="368" t="s">
        <v>4935</v>
      </c>
      <c r="AU125" s="368" t="s">
        <v>4936</v>
      </c>
      <c r="AV125" s="368" t="s">
        <v>4937</v>
      </c>
      <c r="AW125" s="368" t="s">
        <v>5234</v>
      </c>
      <c r="AX125" s="368" t="s">
        <v>5235</v>
      </c>
      <c r="AY125" s="346" t="s">
        <v>5236</v>
      </c>
      <c r="AZ125" t="e">
        <f t="shared" si="98"/>
        <v>#VALUE!</v>
      </c>
      <c r="CB125" s="435"/>
      <c r="CC125" s="433" t="str">
        <f t="shared" si="99"/>
        <v xml:space="preserve"> * La variable Gestante NO DEBEN ser mayor al Total de Mujeres. </v>
      </c>
      <c r="CD125" s="433" t="str">
        <f t="shared" si="100"/>
        <v xml:space="preserve"> * La variable  Atención bajo sedación inhalatoria (con óxido nitroso) NO DEBE ser mayor que el Total Ambos Sexos</v>
      </c>
      <c r="CE125" s="433" t="e">
        <f t="shared" si="101"/>
        <v>#VALUE!</v>
      </c>
      <c r="CF125" s="433" t="str">
        <f t="shared" si="102"/>
        <v xml:space="preserve"> * La variable Compra de Servicio No puede ser mayor al Total Ambos Sexos.</v>
      </c>
      <c r="CG125" s="433" t="str">
        <f t="shared" si="103"/>
        <v xml:space="preserve"> * La variable Usuarios con Discapacidad No puede ser mayor al Total Ambos Sexos.</v>
      </c>
      <c r="CH125" s="433" t="str">
        <f t="shared" si="104"/>
        <v xml:space="preserve"> * La variable Niños, niñas, adolescentes y jóvenes SENAME No puede ser mayor al Total Ambos Sexos.</v>
      </c>
      <c r="CI125" s="433" t="str">
        <f t="shared" si="105"/>
        <v xml:space="preserve"> * La variable Niños, niñas, adolescentes y jóvenes Mejor Niñez no puede ser mayor al Total Ambos Sexos.</v>
      </c>
      <c r="CJ125" s="433" t="str">
        <f t="shared" si="106"/>
        <v xml:space="preserve"> * La variable Migrantes no puede ser mayor al Total Ambos Sexos.</v>
      </c>
      <c r="CK125" s="433" t="str">
        <f t="shared" si="107"/>
        <v xml:space="preserve"> * La variable Flujo digital no puede ser mayor al Total Ambos Sexos.</v>
      </c>
      <c r="CP125" s="437"/>
      <c r="CQ125" s="434">
        <f t="shared" si="113"/>
        <v>1</v>
      </c>
      <c r="CR125" s="434">
        <f t="shared" si="114"/>
        <v>1</v>
      </c>
      <c r="CS125" s="434" t="e">
        <f t="shared" si="110"/>
        <v>#VALUE!</v>
      </c>
      <c r="CT125" s="434">
        <f t="shared" si="115"/>
        <v>1</v>
      </c>
      <c r="CU125" s="434">
        <f t="shared" si="116"/>
        <v>1</v>
      </c>
      <c r="CV125" s="434">
        <f t="shared" si="117"/>
        <v>1</v>
      </c>
      <c r="CW125" s="434">
        <f t="shared" si="118"/>
        <v>1</v>
      </c>
      <c r="CX125" s="434">
        <f t="shared" si="119"/>
        <v>1</v>
      </c>
      <c r="CY125" s="434">
        <f t="shared" si="112"/>
        <v>1</v>
      </c>
    </row>
    <row r="126" spans="1:103" ht="15" customHeight="1" x14ac:dyDescent="0.25">
      <c r="A126" s="5812" t="s">
        <v>5767</v>
      </c>
      <c r="B126" s="7015" t="s">
        <v>1698</v>
      </c>
      <c r="C126" s="7016"/>
      <c r="D126" s="7017"/>
      <c r="E126" s="737" t="s">
        <v>4567</v>
      </c>
      <c r="F126" s="478" t="s">
        <v>4568</v>
      </c>
      <c r="G126" s="553" t="s">
        <v>4569</v>
      </c>
      <c r="H126" s="670" t="s">
        <v>4570</v>
      </c>
      <c r="I126" s="2659" t="s">
        <v>4571</v>
      </c>
      <c r="J126" s="670" t="s">
        <v>4572</v>
      </c>
      <c r="K126" s="3594" t="s">
        <v>4573</v>
      </c>
      <c r="L126" s="670" t="s">
        <v>4574</v>
      </c>
      <c r="M126" s="2659" t="s">
        <v>4575</v>
      </c>
      <c r="N126" s="670" t="s">
        <v>4576</v>
      </c>
      <c r="O126" s="2659" t="s">
        <v>4577</v>
      </c>
      <c r="P126" s="537" t="s">
        <v>4578</v>
      </c>
      <c r="Q126" s="2659" t="s">
        <v>4579</v>
      </c>
      <c r="R126" s="347" t="s">
        <v>4580</v>
      </c>
      <c r="S126" s="349" t="s">
        <v>4581</v>
      </c>
      <c r="T126" s="347" t="s">
        <v>4582</v>
      </c>
      <c r="U126" s="349" t="s">
        <v>4583</v>
      </c>
      <c r="V126" s="347" t="s">
        <v>4584</v>
      </c>
      <c r="W126" s="349" t="s">
        <v>4585</v>
      </c>
      <c r="X126" s="347" t="s">
        <v>4586</v>
      </c>
      <c r="Y126" s="349" t="s">
        <v>4587</v>
      </c>
      <c r="Z126" s="347" t="s">
        <v>4588</v>
      </c>
      <c r="AA126" s="349" t="s">
        <v>4589</v>
      </c>
      <c r="AB126" s="347" t="s">
        <v>4590</v>
      </c>
      <c r="AC126" s="349" t="s">
        <v>4591</v>
      </c>
      <c r="AD126" s="347" t="s">
        <v>4592</v>
      </c>
      <c r="AE126" s="349" t="s">
        <v>4593</v>
      </c>
      <c r="AF126" s="347" t="s">
        <v>4594</v>
      </c>
      <c r="AG126" s="349" t="s">
        <v>4595</v>
      </c>
      <c r="AH126" s="347" t="s">
        <v>4596</v>
      </c>
      <c r="AI126" s="349" t="s">
        <v>4597</v>
      </c>
      <c r="AJ126" s="347" t="s">
        <v>4598</v>
      </c>
      <c r="AK126" s="349" t="s">
        <v>4599</v>
      </c>
      <c r="AL126" s="347" t="s">
        <v>4600</v>
      </c>
      <c r="AM126" s="349" t="s">
        <v>4601</v>
      </c>
      <c r="AN126" s="347" t="s">
        <v>4602</v>
      </c>
      <c r="AO126" s="351" t="s">
        <v>4603</v>
      </c>
      <c r="AP126" s="429" t="s">
        <v>4604</v>
      </c>
      <c r="AQ126" s="368" t="s">
        <v>4605</v>
      </c>
      <c r="AR126" s="368" t="s">
        <v>4606</v>
      </c>
      <c r="AS126" s="3600" t="s">
        <v>4934</v>
      </c>
      <c r="AT126" s="368" t="s">
        <v>4935</v>
      </c>
      <c r="AU126" s="368" t="s">
        <v>4936</v>
      </c>
      <c r="AV126" s="368" t="s">
        <v>4937</v>
      </c>
      <c r="AW126" s="368" t="s">
        <v>5234</v>
      </c>
      <c r="AX126" s="368" t="s">
        <v>5235</v>
      </c>
      <c r="AY126" s="346" t="s">
        <v>5236</v>
      </c>
      <c r="AZ126" t="e">
        <f t="shared" si="98"/>
        <v>#VALUE!</v>
      </c>
      <c r="CB126" s="433" t="e">
        <f>IF(AND((X126+Y126)&gt;0,AP126="")," * No olvide digitar la variable 12 años (incluido en el grupo de 10-14 años). Digite Cero si no tiene.",IF(AP126&gt;(X126+Y126),"* Las Consultas de 12 años (incluido en el grupo de 10-14 años) NO DEBEN ser mayor que el total de Consultas entre 10-14 años",""))</f>
        <v>#VALUE!</v>
      </c>
      <c r="CC126" s="433" t="str">
        <f t="shared" si="99"/>
        <v xml:space="preserve"> * La variable Gestante NO DEBEN ser mayor al Total de Mujeres. </v>
      </c>
      <c r="CD126" s="433" t="str">
        <f t="shared" si="100"/>
        <v xml:space="preserve"> * La variable  Atención bajo sedación inhalatoria (con óxido nitroso) NO DEBE ser mayor que el Total Ambos Sexos</v>
      </c>
      <c r="CE126" s="433" t="e">
        <f t="shared" si="101"/>
        <v>#VALUE!</v>
      </c>
      <c r="CF126" s="433" t="str">
        <f t="shared" si="102"/>
        <v xml:space="preserve"> * La variable Compra de Servicio No puede ser mayor al Total Ambos Sexos.</v>
      </c>
      <c r="CG126" s="433" t="str">
        <f t="shared" si="103"/>
        <v xml:space="preserve"> * La variable Usuarios con Discapacidad No puede ser mayor al Total Ambos Sexos.</v>
      </c>
      <c r="CH126" s="433" t="str">
        <f t="shared" si="104"/>
        <v xml:space="preserve"> * La variable Niños, niñas, adolescentes y jóvenes SENAME No puede ser mayor al Total Ambos Sexos.</v>
      </c>
      <c r="CI126" s="433" t="str">
        <f t="shared" si="105"/>
        <v xml:space="preserve"> * La variable Niños, niñas, adolescentes y jóvenes Mejor Niñez no puede ser mayor al Total Ambos Sexos.</v>
      </c>
      <c r="CJ126" s="433" t="str">
        <f t="shared" si="106"/>
        <v xml:space="preserve"> * La variable Migrantes no puede ser mayor al Total Ambos Sexos.</v>
      </c>
      <c r="CK126" s="433" t="str">
        <f t="shared" si="107"/>
        <v xml:space="preserve"> * La variable Flujo digital no puede ser mayor al Total Ambos Sexos.</v>
      </c>
      <c r="CP126" s="434">
        <f>IF(AND($E126&gt;0,AP126=""),1,IF(AP126&gt;E126,1,0))</f>
        <v>1</v>
      </c>
      <c r="CQ126" s="434">
        <f t="shared" si="113"/>
        <v>1</v>
      </c>
      <c r="CR126" s="434">
        <f t="shared" si="114"/>
        <v>1</v>
      </c>
      <c r="CS126" s="434" t="e">
        <f t="shared" si="110"/>
        <v>#VALUE!</v>
      </c>
      <c r="CT126" s="434">
        <f t="shared" si="115"/>
        <v>1</v>
      </c>
      <c r="CU126" s="434">
        <f t="shared" si="116"/>
        <v>1</v>
      </c>
      <c r="CV126" s="434">
        <f t="shared" si="117"/>
        <v>1</v>
      </c>
      <c r="CW126" s="434">
        <f t="shared" si="118"/>
        <v>1</v>
      </c>
      <c r="CX126" s="434">
        <f t="shared" si="119"/>
        <v>1</v>
      </c>
      <c r="CY126" s="434">
        <f t="shared" si="112"/>
        <v>1</v>
      </c>
    </row>
    <row r="127" spans="1:103" ht="15" customHeight="1" x14ac:dyDescent="0.25">
      <c r="A127" s="5813" t="s">
        <v>5768</v>
      </c>
      <c r="B127" s="7015" t="s">
        <v>1699</v>
      </c>
      <c r="C127" s="7016"/>
      <c r="D127" s="7017"/>
      <c r="E127" s="737" t="s">
        <v>4567</v>
      </c>
      <c r="F127" s="478" t="s">
        <v>4568</v>
      </c>
      <c r="G127" s="553" t="s">
        <v>4569</v>
      </c>
      <c r="H127" s="670" t="s">
        <v>4570</v>
      </c>
      <c r="I127" s="2659" t="s">
        <v>4571</v>
      </c>
      <c r="J127" s="670" t="s">
        <v>4572</v>
      </c>
      <c r="K127" s="3594" t="s">
        <v>4573</v>
      </c>
      <c r="L127" s="670" t="s">
        <v>4574</v>
      </c>
      <c r="M127" s="2659" t="s">
        <v>4575</v>
      </c>
      <c r="N127" s="670" t="s">
        <v>4576</v>
      </c>
      <c r="O127" s="2659" t="s">
        <v>4577</v>
      </c>
      <c r="P127" s="537" t="s">
        <v>4578</v>
      </c>
      <c r="Q127" s="2659" t="s">
        <v>4579</v>
      </c>
      <c r="R127" s="537" t="s">
        <v>4580</v>
      </c>
      <c r="S127" s="2659" t="s">
        <v>4581</v>
      </c>
      <c r="T127" s="537" t="s">
        <v>4582</v>
      </c>
      <c r="U127" s="2659" t="s">
        <v>4583</v>
      </c>
      <c r="V127" s="537" t="s">
        <v>4584</v>
      </c>
      <c r="W127" s="2659" t="s">
        <v>4585</v>
      </c>
      <c r="X127" s="537" t="s">
        <v>4586</v>
      </c>
      <c r="Y127" s="2659" t="s">
        <v>4587</v>
      </c>
      <c r="Z127" s="347" t="s">
        <v>4588</v>
      </c>
      <c r="AA127" s="349" t="s">
        <v>4589</v>
      </c>
      <c r="AB127" s="347" t="s">
        <v>4590</v>
      </c>
      <c r="AC127" s="349" t="s">
        <v>4591</v>
      </c>
      <c r="AD127" s="347" t="s">
        <v>4592</v>
      </c>
      <c r="AE127" s="349" t="s">
        <v>4593</v>
      </c>
      <c r="AF127" s="347" t="s">
        <v>4594</v>
      </c>
      <c r="AG127" s="349" t="s">
        <v>4595</v>
      </c>
      <c r="AH127" s="347" t="s">
        <v>4596</v>
      </c>
      <c r="AI127" s="349" t="s">
        <v>4597</v>
      </c>
      <c r="AJ127" s="347" t="s">
        <v>4598</v>
      </c>
      <c r="AK127" s="349" t="s">
        <v>4599</v>
      </c>
      <c r="AL127" s="347" t="s">
        <v>4600</v>
      </c>
      <c r="AM127" s="349" t="s">
        <v>4601</v>
      </c>
      <c r="AN127" s="347" t="s">
        <v>4602</v>
      </c>
      <c r="AO127" s="351" t="s">
        <v>4603</v>
      </c>
      <c r="AP127" s="3595" t="s">
        <v>4604</v>
      </c>
      <c r="AQ127" s="368" t="s">
        <v>4605</v>
      </c>
      <c r="AR127" s="368" t="s">
        <v>4606</v>
      </c>
      <c r="AS127" s="3600" t="s">
        <v>4934</v>
      </c>
      <c r="AT127" s="368" t="s">
        <v>4935</v>
      </c>
      <c r="AU127" s="368" t="s">
        <v>4936</v>
      </c>
      <c r="AV127" s="368" t="s">
        <v>4937</v>
      </c>
      <c r="AW127" s="368" t="s">
        <v>5234</v>
      </c>
      <c r="AX127" s="368" t="s">
        <v>5235</v>
      </c>
      <c r="AY127" s="346" t="s">
        <v>5236</v>
      </c>
      <c r="AZ127" t="e">
        <f t="shared" si="98"/>
        <v>#VALUE!</v>
      </c>
      <c r="CB127" s="435"/>
      <c r="CC127" s="433" t="str">
        <f t="shared" si="99"/>
        <v xml:space="preserve"> * La variable Gestante NO DEBEN ser mayor al Total de Mujeres. </v>
      </c>
      <c r="CD127" s="433" t="str">
        <f t="shared" si="100"/>
        <v xml:space="preserve"> * La variable  Atención bajo sedación inhalatoria (con óxido nitroso) NO DEBE ser mayor que el Total Ambos Sexos</v>
      </c>
      <c r="CE127" s="433" t="e">
        <f t="shared" si="101"/>
        <v>#VALUE!</v>
      </c>
      <c r="CF127" s="433" t="str">
        <f t="shared" si="102"/>
        <v xml:space="preserve"> * La variable Compra de Servicio No puede ser mayor al Total Ambos Sexos.</v>
      </c>
      <c r="CG127" s="433" t="str">
        <f t="shared" si="103"/>
        <v xml:space="preserve"> * La variable Usuarios con Discapacidad No puede ser mayor al Total Ambos Sexos.</v>
      </c>
      <c r="CH127" s="433" t="str">
        <f t="shared" si="104"/>
        <v xml:space="preserve"> * La variable Niños, niñas, adolescentes y jóvenes SENAME No puede ser mayor al Total Ambos Sexos.</v>
      </c>
      <c r="CI127" s="433" t="str">
        <f t="shared" si="105"/>
        <v xml:space="preserve"> * La variable Niños, niñas, adolescentes y jóvenes Mejor Niñez no puede ser mayor al Total Ambos Sexos.</v>
      </c>
      <c r="CJ127" s="433" t="str">
        <f t="shared" si="106"/>
        <v xml:space="preserve"> * La variable Migrantes no puede ser mayor al Total Ambos Sexos.</v>
      </c>
      <c r="CK127" s="433" t="str">
        <f t="shared" si="107"/>
        <v xml:space="preserve"> * La variable Flujo digital no puede ser mayor al Total Ambos Sexos.</v>
      </c>
      <c r="CP127" s="435"/>
      <c r="CQ127" s="434">
        <f t="shared" si="113"/>
        <v>1</v>
      </c>
      <c r="CR127" s="434">
        <f t="shared" si="114"/>
        <v>1</v>
      </c>
      <c r="CS127" s="434" t="e">
        <f t="shared" si="110"/>
        <v>#VALUE!</v>
      </c>
      <c r="CT127" s="434">
        <f t="shared" si="115"/>
        <v>1</v>
      </c>
      <c r="CU127" s="434">
        <f t="shared" si="116"/>
        <v>1</v>
      </c>
      <c r="CV127" s="434">
        <f t="shared" si="117"/>
        <v>1</v>
      </c>
      <c r="CW127" s="434">
        <f t="shared" si="118"/>
        <v>1</v>
      </c>
      <c r="CX127" s="434">
        <f t="shared" si="119"/>
        <v>1</v>
      </c>
      <c r="CY127" s="434">
        <f t="shared" si="112"/>
        <v>1</v>
      </c>
    </row>
    <row r="128" spans="1:103" ht="15" customHeight="1" x14ac:dyDescent="0.25">
      <c r="A128" s="5812" t="s">
        <v>5769</v>
      </c>
      <c r="B128" s="7015" t="s">
        <v>1700</v>
      </c>
      <c r="C128" s="7016"/>
      <c r="D128" s="7017"/>
      <c r="E128" s="737" t="s">
        <v>4567</v>
      </c>
      <c r="F128" s="478" t="s">
        <v>4568</v>
      </c>
      <c r="G128" s="553" t="s">
        <v>4569</v>
      </c>
      <c r="H128" s="3598" t="s">
        <v>4570</v>
      </c>
      <c r="I128" s="3599" t="s">
        <v>4571</v>
      </c>
      <c r="J128" s="3598" t="s">
        <v>4572</v>
      </c>
      <c r="K128" s="3601" t="s">
        <v>4573</v>
      </c>
      <c r="L128" s="3598" t="s">
        <v>4574</v>
      </c>
      <c r="M128" s="3599" t="s">
        <v>4575</v>
      </c>
      <c r="N128" s="3598" t="s">
        <v>4576</v>
      </c>
      <c r="O128" s="3599" t="s">
        <v>4577</v>
      </c>
      <c r="P128" s="3602" t="s">
        <v>4578</v>
      </c>
      <c r="Q128" s="349" t="s">
        <v>4579</v>
      </c>
      <c r="R128" s="347" t="s">
        <v>4580</v>
      </c>
      <c r="S128" s="349" t="s">
        <v>4581</v>
      </c>
      <c r="T128" s="347" t="s">
        <v>4582</v>
      </c>
      <c r="U128" s="3599" t="s">
        <v>4583</v>
      </c>
      <c r="V128" s="3602" t="s">
        <v>4584</v>
      </c>
      <c r="W128" s="349" t="s">
        <v>4585</v>
      </c>
      <c r="X128" s="347" t="s">
        <v>4586</v>
      </c>
      <c r="Y128" s="349" t="s">
        <v>4587</v>
      </c>
      <c r="Z128" s="347" t="s">
        <v>4588</v>
      </c>
      <c r="AA128" s="349" t="s">
        <v>4589</v>
      </c>
      <c r="AB128" s="347" t="s">
        <v>4590</v>
      </c>
      <c r="AC128" s="349" t="s">
        <v>4591</v>
      </c>
      <c r="AD128" s="347" t="s">
        <v>4592</v>
      </c>
      <c r="AE128" s="349" t="s">
        <v>4593</v>
      </c>
      <c r="AF128" s="347" t="s">
        <v>4594</v>
      </c>
      <c r="AG128" s="349" t="s">
        <v>4595</v>
      </c>
      <c r="AH128" s="347" t="s">
        <v>4596</v>
      </c>
      <c r="AI128" s="349" t="s">
        <v>4597</v>
      </c>
      <c r="AJ128" s="347" t="s">
        <v>4598</v>
      </c>
      <c r="AK128" s="349" t="s">
        <v>4599</v>
      </c>
      <c r="AL128" s="347" t="s">
        <v>4600</v>
      </c>
      <c r="AM128" s="349" t="s">
        <v>4601</v>
      </c>
      <c r="AN128" s="347" t="s">
        <v>4602</v>
      </c>
      <c r="AO128" s="351" t="s">
        <v>4603</v>
      </c>
      <c r="AP128" s="429" t="s">
        <v>4604</v>
      </c>
      <c r="AQ128" s="3600" t="s">
        <v>4605</v>
      </c>
      <c r="AR128" s="3600" t="s">
        <v>4606</v>
      </c>
      <c r="AS128" s="3600" t="s">
        <v>4934</v>
      </c>
      <c r="AT128" s="368" t="s">
        <v>4935</v>
      </c>
      <c r="AU128" s="368" t="s">
        <v>4936</v>
      </c>
      <c r="AV128" s="368" t="s">
        <v>4937</v>
      </c>
      <c r="AW128" s="368" t="s">
        <v>5234</v>
      </c>
      <c r="AX128" s="368" t="s">
        <v>5235</v>
      </c>
      <c r="AY128" s="671" t="s">
        <v>5236</v>
      </c>
      <c r="AZ128" t="e">
        <f t="shared" si="98"/>
        <v>#VALUE!</v>
      </c>
      <c r="CB128" s="433" t="e">
        <f t="shared" ref="CB128:CB142" si="120">IF(AND((X128+Y128)&gt;0,AP128="")," * No olvide digitar la variable 12 años (incluido en el grupo de 10-14 años). Digite Cero si no tiene.",IF(AP128&gt;(X128+Y128),"* Las Consultas de 12 años (incluido en el grupo de 10-14 años) NO DEBEN ser mayor que el total de Consultas entre 10-14 años",""))</f>
        <v>#VALUE!</v>
      </c>
      <c r="CC128" s="433" t="str">
        <f t="shared" si="99"/>
        <v xml:space="preserve"> * La variable Gestante NO DEBEN ser mayor al Total de Mujeres. </v>
      </c>
      <c r="CD128" s="433" t="str">
        <f t="shared" si="100"/>
        <v xml:space="preserve"> * La variable  Atención bajo sedación inhalatoria (con óxido nitroso) NO DEBE ser mayor que el Total Ambos Sexos</v>
      </c>
      <c r="CE128" s="433" t="e">
        <f t="shared" si="101"/>
        <v>#VALUE!</v>
      </c>
      <c r="CF128" s="433" t="str">
        <f t="shared" si="102"/>
        <v xml:space="preserve"> * La variable Compra de Servicio No puede ser mayor al Total Ambos Sexos.</v>
      </c>
      <c r="CG128" s="433" t="str">
        <f t="shared" si="103"/>
        <v xml:space="preserve"> * La variable Usuarios con Discapacidad No puede ser mayor al Total Ambos Sexos.</v>
      </c>
      <c r="CH128" s="433" t="str">
        <f t="shared" si="104"/>
        <v xml:space="preserve"> * La variable Niños, niñas, adolescentes y jóvenes SENAME No puede ser mayor al Total Ambos Sexos.</v>
      </c>
      <c r="CI128" s="433" t="str">
        <f t="shared" si="105"/>
        <v xml:space="preserve"> * La variable Niños, niñas, adolescentes y jóvenes Mejor Niñez no puede ser mayor al Total Ambos Sexos.</v>
      </c>
      <c r="CJ128" s="433" t="str">
        <f t="shared" si="106"/>
        <v xml:space="preserve"> * La variable Migrantes no puede ser mayor al Total Ambos Sexos.</v>
      </c>
      <c r="CK128" s="435"/>
      <c r="CP128" s="434">
        <f>IF(AND($E128&gt;0,AP128=""),1,IF(AP128&gt;$E128,1,0))</f>
        <v>1</v>
      </c>
      <c r="CQ128" s="434">
        <f t="shared" si="113"/>
        <v>1</v>
      </c>
      <c r="CR128" s="434">
        <f t="shared" si="114"/>
        <v>1</v>
      </c>
      <c r="CS128" s="434" t="e">
        <f t="shared" si="110"/>
        <v>#VALUE!</v>
      </c>
      <c r="CT128" s="434">
        <f t="shared" si="115"/>
        <v>1</v>
      </c>
      <c r="CU128" s="434">
        <f t="shared" si="116"/>
        <v>1</v>
      </c>
      <c r="CV128" s="434">
        <f t="shared" si="117"/>
        <v>1</v>
      </c>
      <c r="CW128" s="434">
        <f t="shared" si="118"/>
        <v>1</v>
      </c>
      <c r="CX128" s="434">
        <f t="shared" si="119"/>
        <v>1</v>
      </c>
      <c r="CY128" s="435"/>
    </row>
    <row r="129" spans="1:103" ht="15" customHeight="1" x14ac:dyDescent="0.25">
      <c r="A129" s="5812" t="s">
        <v>5770</v>
      </c>
      <c r="B129" s="7015" t="s">
        <v>1701</v>
      </c>
      <c r="C129" s="7016"/>
      <c r="D129" s="7017"/>
      <c r="E129" s="737" t="s">
        <v>4567</v>
      </c>
      <c r="F129" s="478" t="s">
        <v>4568</v>
      </c>
      <c r="G129" s="553" t="s">
        <v>4569</v>
      </c>
      <c r="H129" s="3598" t="s">
        <v>4570</v>
      </c>
      <c r="I129" s="3599" t="s">
        <v>4571</v>
      </c>
      <c r="J129" s="3598" t="s">
        <v>4572</v>
      </c>
      <c r="K129" s="3601" t="s">
        <v>4573</v>
      </c>
      <c r="L129" s="3598" t="s">
        <v>4574</v>
      </c>
      <c r="M129" s="3599" t="s">
        <v>4575</v>
      </c>
      <c r="N129" s="3598" t="s">
        <v>4576</v>
      </c>
      <c r="O129" s="3599" t="s">
        <v>4577</v>
      </c>
      <c r="P129" s="3602" t="s">
        <v>4578</v>
      </c>
      <c r="Q129" s="349" t="s">
        <v>4579</v>
      </c>
      <c r="R129" s="347" t="s">
        <v>4580</v>
      </c>
      <c r="S129" s="349" t="s">
        <v>4581</v>
      </c>
      <c r="T129" s="347" t="s">
        <v>4582</v>
      </c>
      <c r="U129" s="3599" t="s">
        <v>4583</v>
      </c>
      <c r="V129" s="3602" t="s">
        <v>4584</v>
      </c>
      <c r="W129" s="349" t="s">
        <v>4585</v>
      </c>
      <c r="X129" s="347" t="s">
        <v>4586</v>
      </c>
      <c r="Y129" s="349" t="s">
        <v>4587</v>
      </c>
      <c r="Z129" s="347" t="s">
        <v>4588</v>
      </c>
      <c r="AA129" s="349" t="s">
        <v>4589</v>
      </c>
      <c r="AB129" s="347" t="s">
        <v>4590</v>
      </c>
      <c r="AC129" s="349" t="s">
        <v>4591</v>
      </c>
      <c r="AD129" s="347" t="s">
        <v>4592</v>
      </c>
      <c r="AE129" s="349" t="s">
        <v>4593</v>
      </c>
      <c r="AF129" s="347" t="s">
        <v>4594</v>
      </c>
      <c r="AG129" s="349" t="s">
        <v>4595</v>
      </c>
      <c r="AH129" s="347" t="s">
        <v>4596</v>
      </c>
      <c r="AI129" s="349" t="s">
        <v>4597</v>
      </c>
      <c r="AJ129" s="347" t="s">
        <v>4598</v>
      </c>
      <c r="AK129" s="349" t="s">
        <v>4599</v>
      </c>
      <c r="AL129" s="347" t="s">
        <v>4600</v>
      </c>
      <c r="AM129" s="349" t="s">
        <v>4601</v>
      </c>
      <c r="AN129" s="347" t="s">
        <v>4602</v>
      </c>
      <c r="AO129" s="351" t="s">
        <v>4603</v>
      </c>
      <c r="AP129" s="429" t="s">
        <v>4604</v>
      </c>
      <c r="AQ129" s="3600" t="s">
        <v>4605</v>
      </c>
      <c r="AR129" s="3600" t="s">
        <v>4606</v>
      </c>
      <c r="AS129" s="3600" t="s">
        <v>4934</v>
      </c>
      <c r="AT129" s="368" t="s">
        <v>4935</v>
      </c>
      <c r="AU129" s="368" t="s">
        <v>4936</v>
      </c>
      <c r="AV129" s="368" t="s">
        <v>4937</v>
      </c>
      <c r="AW129" s="368" t="s">
        <v>5234</v>
      </c>
      <c r="AX129" s="368" t="s">
        <v>5235</v>
      </c>
      <c r="AY129" s="671" t="s">
        <v>5236</v>
      </c>
      <c r="AZ129" t="e">
        <f t="shared" si="98"/>
        <v>#VALUE!</v>
      </c>
      <c r="CB129" s="433" t="e">
        <f t="shared" si="120"/>
        <v>#VALUE!</v>
      </c>
      <c r="CC129" s="433" t="str">
        <f t="shared" si="99"/>
        <v xml:space="preserve"> * La variable Gestante NO DEBEN ser mayor al Total de Mujeres. </v>
      </c>
      <c r="CD129" s="433" t="str">
        <f t="shared" si="100"/>
        <v xml:space="preserve"> * La variable  Atención bajo sedación inhalatoria (con óxido nitroso) NO DEBE ser mayor que el Total Ambos Sexos</v>
      </c>
      <c r="CE129" s="433" t="e">
        <f t="shared" si="101"/>
        <v>#VALUE!</v>
      </c>
      <c r="CF129" s="433" t="str">
        <f t="shared" si="102"/>
        <v xml:space="preserve"> * La variable Compra de Servicio No puede ser mayor al Total Ambos Sexos.</v>
      </c>
      <c r="CG129" s="433" t="str">
        <f t="shared" si="103"/>
        <v xml:space="preserve"> * La variable Usuarios con Discapacidad No puede ser mayor al Total Ambos Sexos.</v>
      </c>
      <c r="CH129" s="433" t="str">
        <f t="shared" si="104"/>
        <v xml:space="preserve"> * La variable Niños, niñas, adolescentes y jóvenes SENAME No puede ser mayor al Total Ambos Sexos.</v>
      </c>
      <c r="CI129" s="433" t="str">
        <f t="shared" si="105"/>
        <v xml:space="preserve"> * La variable Niños, niñas, adolescentes y jóvenes Mejor Niñez no puede ser mayor al Total Ambos Sexos.</v>
      </c>
      <c r="CJ129" s="433" t="str">
        <f t="shared" si="106"/>
        <v xml:space="preserve"> * La variable Migrantes no puede ser mayor al Total Ambos Sexos.</v>
      </c>
      <c r="CK129" s="435"/>
      <c r="CP129" s="434">
        <f>IF(AND($E129&gt;0,AP129=""),1,IF(AP129&gt;$E129,1,0))</f>
        <v>1</v>
      </c>
      <c r="CQ129" s="434">
        <f t="shared" si="113"/>
        <v>1</v>
      </c>
      <c r="CR129" s="434">
        <f t="shared" si="114"/>
        <v>1</v>
      </c>
      <c r="CS129" s="434" t="e">
        <f t="shared" si="110"/>
        <v>#VALUE!</v>
      </c>
      <c r="CT129" s="434">
        <f t="shared" si="115"/>
        <v>1</v>
      </c>
      <c r="CU129" s="434">
        <f t="shared" si="116"/>
        <v>1</v>
      </c>
      <c r="CV129" s="434">
        <f t="shared" si="117"/>
        <v>1</v>
      </c>
      <c r="CW129" s="434">
        <f t="shared" si="118"/>
        <v>1</v>
      </c>
      <c r="CX129" s="434">
        <f t="shared" si="119"/>
        <v>1</v>
      </c>
      <c r="CY129" s="435"/>
    </row>
    <row r="130" spans="1:103" ht="15" customHeight="1" x14ac:dyDescent="0.25">
      <c r="A130" s="5812" t="s">
        <v>5771</v>
      </c>
      <c r="B130" s="7015" t="s">
        <v>1702</v>
      </c>
      <c r="C130" s="7016"/>
      <c r="D130" s="7017"/>
      <c r="E130" s="737" t="s">
        <v>4567</v>
      </c>
      <c r="F130" s="478" t="s">
        <v>4568</v>
      </c>
      <c r="G130" s="553" t="s">
        <v>4569</v>
      </c>
      <c r="H130" s="3598" t="s">
        <v>4570</v>
      </c>
      <c r="I130" s="3599" t="s">
        <v>4571</v>
      </c>
      <c r="J130" s="3598" t="s">
        <v>4572</v>
      </c>
      <c r="K130" s="3601" t="s">
        <v>4573</v>
      </c>
      <c r="L130" s="3598" t="s">
        <v>4574</v>
      </c>
      <c r="M130" s="3599" t="s">
        <v>4575</v>
      </c>
      <c r="N130" s="3598" t="s">
        <v>4576</v>
      </c>
      <c r="O130" s="3599" t="s">
        <v>4577</v>
      </c>
      <c r="P130" s="3602" t="s">
        <v>4578</v>
      </c>
      <c r="Q130" s="349" t="s">
        <v>4579</v>
      </c>
      <c r="R130" s="347" t="s">
        <v>4580</v>
      </c>
      <c r="S130" s="349" t="s">
        <v>4581</v>
      </c>
      <c r="T130" s="347" t="s">
        <v>4582</v>
      </c>
      <c r="U130" s="3599" t="s">
        <v>4583</v>
      </c>
      <c r="V130" s="3602" t="s">
        <v>4584</v>
      </c>
      <c r="W130" s="349" t="s">
        <v>4585</v>
      </c>
      <c r="X130" s="347" t="s">
        <v>4586</v>
      </c>
      <c r="Y130" s="349" t="s">
        <v>4587</v>
      </c>
      <c r="Z130" s="347" t="s">
        <v>4588</v>
      </c>
      <c r="AA130" s="349" t="s">
        <v>4589</v>
      </c>
      <c r="AB130" s="347" t="s">
        <v>4590</v>
      </c>
      <c r="AC130" s="349" t="s">
        <v>4591</v>
      </c>
      <c r="AD130" s="347" t="s">
        <v>4592</v>
      </c>
      <c r="AE130" s="349" t="s">
        <v>4593</v>
      </c>
      <c r="AF130" s="347" t="s">
        <v>4594</v>
      </c>
      <c r="AG130" s="349" t="s">
        <v>4595</v>
      </c>
      <c r="AH130" s="347" t="s">
        <v>4596</v>
      </c>
      <c r="AI130" s="349" t="s">
        <v>4597</v>
      </c>
      <c r="AJ130" s="347" t="s">
        <v>4598</v>
      </c>
      <c r="AK130" s="349" t="s">
        <v>4599</v>
      </c>
      <c r="AL130" s="347" t="s">
        <v>4600</v>
      </c>
      <c r="AM130" s="349" t="s">
        <v>4601</v>
      </c>
      <c r="AN130" s="347" t="s">
        <v>4602</v>
      </c>
      <c r="AO130" s="351" t="s">
        <v>4603</v>
      </c>
      <c r="AP130" s="429" t="s">
        <v>4604</v>
      </c>
      <c r="AQ130" s="3600" t="s">
        <v>4605</v>
      </c>
      <c r="AR130" s="3600" t="s">
        <v>4606</v>
      </c>
      <c r="AS130" s="3600" t="s">
        <v>4934</v>
      </c>
      <c r="AT130" s="368" t="s">
        <v>4935</v>
      </c>
      <c r="AU130" s="368" t="s">
        <v>4936</v>
      </c>
      <c r="AV130" s="368" t="s">
        <v>4937</v>
      </c>
      <c r="AW130" s="368" t="s">
        <v>5234</v>
      </c>
      <c r="AX130" s="368" t="s">
        <v>5235</v>
      </c>
      <c r="AY130" s="671" t="s">
        <v>5236</v>
      </c>
      <c r="AZ130" t="e">
        <f t="shared" si="98"/>
        <v>#VALUE!</v>
      </c>
      <c r="CB130" s="433" t="e">
        <f t="shared" si="120"/>
        <v>#VALUE!</v>
      </c>
      <c r="CC130" s="433" t="str">
        <f t="shared" si="99"/>
        <v xml:space="preserve"> * La variable Gestante NO DEBEN ser mayor al Total de Mujeres. </v>
      </c>
      <c r="CD130" s="433" t="str">
        <f t="shared" si="100"/>
        <v xml:space="preserve"> * La variable  Atención bajo sedación inhalatoria (con óxido nitroso) NO DEBE ser mayor que el Total Ambos Sexos</v>
      </c>
      <c r="CE130" s="433" t="e">
        <f t="shared" si="101"/>
        <v>#VALUE!</v>
      </c>
      <c r="CF130" s="433" t="str">
        <f t="shared" si="102"/>
        <v xml:space="preserve"> * La variable Compra de Servicio No puede ser mayor al Total Ambos Sexos.</v>
      </c>
      <c r="CG130" s="433" t="str">
        <f t="shared" si="103"/>
        <v xml:space="preserve"> * La variable Usuarios con Discapacidad No puede ser mayor al Total Ambos Sexos.</v>
      </c>
      <c r="CH130" s="433" t="str">
        <f t="shared" si="104"/>
        <v xml:space="preserve"> * La variable Niños, niñas, adolescentes y jóvenes SENAME No puede ser mayor al Total Ambos Sexos.</v>
      </c>
      <c r="CI130" s="433" t="str">
        <f t="shared" si="105"/>
        <v xml:space="preserve"> * La variable Niños, niñas, adolescentes y jóvenes Mejor Niñez no puede ser mayor al Total Ambos Sexos.</v>
      </c>
      <c r="CJ130" s="433" t="str">
        <f t="shared" si="106"/>
        <v xml:space="preserve"> * La variable Migrantes no puede ser mayor al Total Ambos Sexos.</v>
      </c>
      <c r="CK130" s="435"/>
      <c r="CP130" s="434">
        <f t="shared" ref="CP130:CP142" si="121">IF(AND($E130&gt;0,AP130=""),1,IF(AP130&gt;E130,1,0))</f>
        <v>1</v>
      </c>
      <c r="CQ130" s="434">
        <f t="shared" si="113"/>
        <v>1</v>
      </c>
      <c r="CR130" s="434">
        <f t="shared" si="114"/>
        <v>1</v>
      </c>
      <c r="CS130" s="434" t="e">
        <f t="shared" si="110"/>
        <v>#VALUE!</v>
      </c>
      <c r="CT130" s="434">
        <f t="shared" si="115"/>
        <v>1</v>
      </c>
      <c r="CU130" s="434">
        <f t="shared" si="116"/>
        <v>1</v>
      </c>
      <c r="CV130" s="434">
        <f t="shared" si="117"/>
        <v>1</v>
      </c>
      <c r="CW130" s="434">
        <f t="shared" si="118"/>
        <v>1</v>
      </c>
      <c r="CX130" s="434">
        <f t="shared" si="119"/>
        <v>1</v>
      </c>
      <c r="CY130" s="435"/>
    </row>
    <row r="131" spans="1:103" ht="15" customHeight="1" x14ac:dyDescent="0.25">
      <c r="A131" s="5812" t="s">
        <v>5772</v>
      </c>
      <c r="B131" s="7015" t="s">
        <v>1703</v>
      </c>
      <c r="C131" s="7016"/>
      <c r="D131" s="7017"/>
      <c r="E131" s="737" t="s">
        <v>4567</v>
      </c>
      <c r="F131" s="478" t="s">
        <v>4568</v>
      </c>
      <c r="G131" s="553" t="s">
        <v>4569</v>
      </c>
      <c r="H131" s="3598" t="s">
        <v>4570</v>
      </c>
      <c r="I131" s="3599" t="s">
        <v>4571</v>
      </c>
      <c r="J131" s="3598" t="s">
        <v>4572</v>
      </c>
      <c r="K131" s="3601" t="s">
        <v>4573</v>
      </c>
      <c r="L131" s="3598" t="s">
        <v>4574</v>
      </c>
      <c r="M131" s="3599" t="s">
        <v>4575</v>
      </c>
      <c r="N131" s="3598" t="s">
        <v>4576</v>
      </c>
      <c r="O131" s="3599" t="s">
        <v>4577</v>
      </c>
      <c r="P131" s="3602" t="s">
        <v>4578</v>
      </c>
      <c r="Q131" s="349" t="s">
        <v>4579</v>
      </c>
      <c r="R131" s="347" t="s">
        <v>4580</v>
      </c>
      <c r="S131" s="349" t="s">
        <v>4581</v>
      </c>
      <c r="T131" s="347" t="s">
        <v>4582</v>
      </c>
      <c r="U131" s="3599" t="s">
        <v>4583</v>
      </c>
      <c r="V131" s="3602" t="s">
        <v>4584</v>
      </c>
      <c r="W131" s="349" t="s">
        <v>4585</v>
      </c>
      <c r="X131" s="347" t="s">
        <v>4586</v>
      </c>
      <c r="Y131" s="349" t="s">
        <v>4587</v>
      </c>
      <c r="Z131" s="347" t="s">
        <v>4588</v>
      </c>
      <c r="AA131" s="349" t="s">
        <v>4589</v>
      </c>
      <c r="AB131" s="347" t="s">
        <v>4590</v>
      </c>
      <c r="AC131" s="349" t="s">
        <v>4591</v>
      </c>
      <c r="AD131" s="347" t="s">
        <v>4592</v>
      </c>
      <c r="AE131" s="349" t="s">
        <v>4593</v>
      </c>
      <c r="AF131" s="347" t="s">
        <v>4594</v>
      </c>
      <c r="AG131" s="349" t="s">
        <v>4595</v>
      </c>
      <c r="AH131" s="347" t="s">
        <v>4596</v>
      </c>
      <c r="AI131" s="349" t="s">
        <v>4597</v>
      </c>
      <c r="AJ131" s="347" t="s">
        <v>4598</v>
      </c>
      <c r="AK131" s="349" t="s">
        <v>4599</v>
      </c>
      <c r="AL131" s="347" t="s">
        <v>4600</v>
      </c>
      <c r="AM131" s="349" t="s">
        <v>4601</v>
      </c>
      <c r="AN131" s="347" t="s">
        <v>4602</v>
      </c>
      <c r="AO131" s="351" t="s">
        <v>4603</v>
      </c>
      <c r="AP131" s="429" t="s">
        <v>4604</v>
      </c>
      <c r="AQ131" s="3600" t="s">
        <v>4605</v>
      </c>
      <c r="AR131" s="3600" t="s">
        <v>4606</v>
      </c>
      <c r="AS131" s="3600" t="s">
        <v>4934</v>
      </c>
      <c r="AT131" s="368" t="s">
        <v>4935</v>
      </c>
      <c r="AU131" s="368" t="s">
        <v>4936</v>
      </c>
      <c r="AV131" s="368" t="s">
        <v>4937</v>
      </c>
      <c r="AW131" s="368" t="s">
        <v>5234</v>
      </c>
      <c r="AX131" s="368" t="s">
        <v>5235</v>
      </c>
      <c r="AY131" s="671" t="s">
        <v>5236</v>
      </c>
      <c r="AZ131" t="e">
        <f t="shared" si="98"/>
        <v>#VALUE!</v>
      </c>
      <c r="CB131" s="433" t="e">
        <f t="shared" si="120"/>
        <v>#VALUE!</v>
      </c>
      <c r="CC131" s="433" t="str">
        <f t="shared" si="99"/>
        <v xml:space="preserve"> * La variable Gestante NO DEBEN ser mayor al Total de Mujeres. </v>
      </c>
      <c r="CD131" s="433" t="str">
        <f t="shared" si="100"/>
        <v xml:space="preserve"> * La variable  Atención bajo sedación inhalatoria (con óxido nitroso) NO DEBE ser mayor que el Total Ambos Sexos</v>
      </c>
      <c r="CE131" s="433" t="e">
        <f t="shared" si="101"/>
        <v>#VALUE!</v>
      </c>
      <c r="CF131" s="433" t="str">
        <f t="shared" si="102"/>
        <v xml:space="preserve"> * La variable Compra de Servicio No puede ser mayor al Total Ambos Sexos.</v>
      </c>
      <c r="CG131" s="433" t="str">
        <f t="shared" si="103"/>
        <v xml:space="preserve"> * La variable Usuarios con Discapacidad No puede ser mayor al Total Ambos Sexos.</v>
      </c>
      <c r="CH131" s="433" t="str">
        <f t="shared" si="104"/>
        <v xml:space="preserve"> * La variable Niños, niñas, adolescentes y jóvenes SENAME No puede ser mayor al Total Ambos Sexos.</v>
      </c>
      <c r="CI131" s="433" t="str">
        <f t="shared" si="105"/>
        <v xml:space="preserve"> * La variable Niños, niñas, adolescentes y jóvenes Mejor Niñez no puede ser mayor al Total Ambos Sexos.</v>
      </c>
      <c r="CJ131" s="433" t="str">
        <f t="shared" si="106"/>
        <v xml:space="preserve"> * La variable Migrantes no puede ser mayor al Total Ambos Sexos.</v>
      </c>
      <c r="CK131" s="435"/>
      <c r="CP131" s="434">
        <f t="shared" si="121"/>
        <v>1</v>
      </c>
      <c r="CQ131" s="434">
        <f t="shared" si="113"/>
        <v>1</v>
      </c>
      <c r="CR131" s="434">
        <f t="shared" si="114"/>
        <v>1</v>
      </c>
      <c r="CS131" s="434" t="e">
        <f t="shared" si="110"/>
        <v>#VALUE!</v>
      </c>
      <c r="CT131" s="434">
        <f t="shared" si="115"/>
        <v>1</v>
      </c>
      <c r="CU131" s="434">
        <f t="shared" si="116"/>
        <v>1</v>
      </c>
      <c r="CV131" s="434">
        <f t="shared" si="117"/>
        <v>1</v>
      </c>
      <c r="CW131" s="434">
        <f t="shared" si="118"/>
        <v>1</v>
      </c>
      <c r="CX131" s="434">
        <f t="shared" si="119"/>
        <v>1</v>
      </c>
      <c r="CY131" s="435"/>
    </row>
    <row r="132" spans="1:103" ht="15" customHeight="1" x14ac:dyDescent="0.25">
      <c r="A132" s="5812" t="s">
        <v>5773</v>
      </c>
      <c r="B132" s="7015" t="s">
        <v>1704</v>
      </c>
      <c r="C132" s="7016"/>
      <c r="D132" s="7017"/>
      <c r="E132" s="737" t="s">
        <v>4567</v>
      </c>
      <c r="F132" s="478" t="s">
        <v>4568</v>
      </c>
      <c r="G132" s="553" t="s">
        <v>4569</v>
      </c>
      <c r="H132" s="3598" t="s">
        <v>4570</v>
      </c>
      <c r="I132" s="3599" t="s">
        <v>4571</v>
      </c>
      <c r="J132" s="3598" t="s">
        <v>4572</v>
      </c>
      <c r="K132" s="3601" t="s">
        <v>4573</v>
      </c>
      <c r="L132" s="3598" t="s">
        <v>4574</v>
      </c>
      <c r="M132" s="3599" t="s">
        <v>4575</v>
      </c>
      <c r="N132" s="3598" t="s">
        <v>4576</v>
      </c>
      <c r="O132" s="3599" t="s">
        <v>4577</v>
      </c>
      <c r="P132" s="3602" t="s">
        <v>4578</v>
      </c>
      <c r="Q132" s="349" t="s">
        <v>4579</v>
      </c>
      <c r="R132" s="347" t="s">
        <v>4580</v>
      </c>
      <c r="S132" s="349" t="s">
        <v>4581</v>
      </c>
      <c r="T132" s="347" t="s">
        <v>4582</v>
      </c>
      <c r="U132" s="3599" t="s">
        <v>4583</v>
      </c>
      <c r="V132" s="3602" t="s">
        <v>4584</v>
      </c>
      <c r="W132" s="349" t="s">
        <v>4585</v>
      </c>
      <c r="X132" s="347" t="s">
        <v>4586</v>
      </c>
      <c r="Y132" s="349" t="s">
        <v>4587</v>
      </c>
      <c r="Z132" s="347" t="s">
        <v>4588</v>
      </c>
      <c r="AA132" s="349" t="s">
        <v>4589</v>
      </c>
      <c r="AB132" s="347" t="s">
        <v>4590</v>
      </c>
      <c r="AC132" s="349" t="s">
        <v>4591</v>
      </c>
      <c r="AD132" s="347" t="s">
        <v>4592</v>
      </c>
      <c r="AE132" s="349" t="s">
        <v>4593</v>
      </c>
      <c r="AF132" s="347" t="s">
        <v>4594</v>
      </c>
      <c r="AG132" s="349" t="s">
        <v>4595</v>
      </c>
      <c r="AH132" s="347" t="s">
        <v>4596</v>
      </c>
      <c r="AI132" s="349" t="s">
        <v>4597</v>
      </c>
      <c r="AJ132" s="347" t="s">
        <v>4598</v>
      </c>
      <c r="AK132" s="349" t="s">
        <v>4599</v>
      </c>
      <c r="AL132" s="347" t="s">
        <v>4600</v>
      </c>
      <c r="AM132" s="349" t="s">
        <v>4601</v>
      </c>
      <c r="AN132" s="347" t="s">
        <v>4602</v>
      </c>
      <c r="AO132" s="351" t="s">
        <v>4603</v>
      </c>
      <c r="AP132" s="429" t="s">
        <v>4604</v>
      </c>
      <c r="AQ132" s="3600" t="s">
        <v>4605</v>
      </c>
      <c r="AR132" s="3600" t="s">
        <v>4606</v>
      </c>
      <c r="AS132" s="3600" t="s">
        <v>4934</v>
      </c>
      <c r="AT132" s="368" t="s">
        <v>4935</v>
      </c>
      <c r="AU132" s="368" t="s">
        <v>4936</v>
      </c>
      <c r="AV132" s="368" t="s">
        <v>4937</v>
      </c>
      <c r="AW132" s="368" t="s">
        <v>5234</v>
      </c>
      <c r="AX132" s="368" t="s">
        <v>5235</v>
      </c>
      <c r="AY132" s="671" t="s">
        <v>5236</v>
      </c>
      <c r="AZ132" t="e">
        <f t="shared" si="98"/>
        <v>#VALUE!</v>
      </c>
      <c r="CB132" s="433" t="e">
        <f t="shared" si="120"/>
        <v>#VALUE!</v>
      </c>
      <c r="CC132" s="433" t="str">
        <f t="shared" si="99"/>
        <v xml:space="preserve"> * La variable Gestante NO DEBEN ser mayor al Total de Mujeres. </v>
      </c>
      <c r="CD132" s="433" t="str">
        <f t="shared" si="100"/>
        <v xml:space="preserve"> * La variable  Atención bajo sedación inhalatoria (con óxido nitroso) NO DEBE ser mayor que el Total Ambos Sexos</v>
      </c>
      <c r="CE132" s="433" t="e">
        <f t="shared" si="101"/>
        <v>#VALUE!</v>
      </c>
      <c r="CF132" s="433" t="str">
        <f t="shared" si="102"/>
        <v xml:space="preserve"> * La variable Compra de Servicio No puede ser mayor al Total Ambos Sexos.</v>
      </c>
      <c r="CG132" s="433" t="str">
        <f t="shared" si="103"/>
        <v xml:space="preserve"> * La variable Usuarios con Discapacidad No puede ser mayor al Total Ambos Sexos.</v>
      </c>
      <c r="CH132" s="433" t="str">
        <f t="shared" si="104"/>
        <v xml:space="preserve"> * La variable Niños, niñas, adolescentes y jóvenes SENAME No puede ser mayor al Total Ambos Sexos.</v>
      </c>
      <c r="CI132" s="433" t="str">
        <f t="shared" si="105"/>
        <v xml:space="preserve"> * La variable Niños, niñas, adolescentes y jóvenes Mejor Niñez no puede ser mayor al Total Ambos Sexos.</v>
      </c>
      <c r="CJ132" s="433" t="str">
        <f t="shared" si="106"/>
        <v xml:space="preserve"> * La variable Migrantes no puede ser mayor al Total Ambos Sexos.</v>
      </c>
      <c r="CK132" s="435"/>
      <c r="CP132" s="434">
        <f t="shared" si="121"/>
        <v>1</v>
      </c>
      <c r="CQ132" s="434">
        <f t="shared" si="113"/>
        <v>1</v>
      </c>
      <c r="CR132" s="434">
        <f t="shared" si="114"/>
        <v>1</v>
      </c>
      <c r="CS132" s="434" t="e">
        <f t="shared" si="110"/>
        <v>#VALUE!</v>
      </c>
      <c r="CT132" s="434">
        <f t="shared" si="115"/>
        <v>1</v>
      </c>
      <c r="CU132" s="434">
        <f t="shared" si="116"/>
        <v>1</v>
      </c>
      <c r="CV132" s="434">
        <f t="shared" si="117"/>
        <v>1</v>
      </c>
      <c r="CW132" s="434">
        <f t="shared" si="118"/>
        <v>1</v>
      </c>
      <c r="CX132" s="434">
        <f t="shared" si="119"/>
        <v>1</v>
      </c>
      <c r="CY132" s="435"/>
    </row>
    <row r="133" spans="1:103" ht="15" customHeight="1" x14ac:dyDescent="0.25">
      <c r="A133" s="5812" t="s">
        <v>5774</v>
      </c>
      <c r="B133" s="7015" t="s">
        <v>1705</v>
      </c>
      <c r="C133" s="7016"/>
      <c r="D133" s="7017"/>
      <c r="E133" s="737" t="s">
        <v>4567</v>
      </c>
      <c r="F133" s="478" t="s">
        <v>4568</v>
      </c>
      <c r="G133" s="553" t="s">
        <v>4569</v>
      </c>
      <c r="H133" s="345" t="s">
        <v>4570</v>
      </c>
      <c r="I133" s="349" t="s">
        <v>4571</v>
      </c>
      <c r="J133" s="345" t="s">
        <v>4572</v>
      </c>
      <c r="K133" s="348" t="s">
        <v>4573</v>
      </c>
      <c r="L133" s="345" t="s">
        <v>4574</v>
      </c>
      <c r="M133" s="349" t="s">
        <v>4575</v>
      </c>
      <c r="N133" s="345" t="s">
        <v>4576</v>
      </c>
      <c r="O133" s="349" t="s">
        <v>4577</v>
      </c>
      <c r="P133" s="347" t="s">
        <v>4578</v>
      </c>
      <c r="Q133" s="349" t="s">
        <v>4579</v>
      </c>
      <c r="R133" s="347" t="s">
        <v>4580</v>
      </c>
      <c r="S133" s="349" t="s">
        <v>4581</v>
      </c>
      <c r="T133" s="347" t="s">
        <v>4582</v>
      </c>
      <c r="U133" s="349" t="s">
        <v>4583</v>
      </c>
      <c r="V133" s="347" t="s">
        <v>4584</v>
      </c>
      <c r="W133" s="349" t="s">
        <v>4585</v>
      </c>
      <c r="X133" s="347" t="s">
        <v>4586</v>
      </c>
      <c r="Y133" s="349" t="s">
        <v>4587</v>
      </c>
      <c r="Z133" s="347" t="s">
        <v>4588</v>
      </c>
      <c r="AA133" s="349" t="s">
        <v>4589</v>
      </c>
      <c r="AB133" s="347" t="s">
        <v>4590</v>
      </c>
      <c r="AC133" s="349" t="s">
        <v>4591</v>
      </c>
      <c r="AD133" s="347" t="s">
        <v>4592</v>
      </c>
      <c r="AE133" s="349" t="s">
        <v>4593</v>
      </c>
      <c r="AF133" s="347" t="s">
        <v>4594</v>
      </c>
      <c r="AG133" s="349" t="s">
        <v>4595</v>
      </c>
      <c r="AH133" s="347" t="s">
        <v>4596</v>
      </c>
      <c r="AI133" s="349" t="s">
        <v>4597</v>
      </c>
      <c r="AJ133" s="347" t="s">
        <v>4598</v>
      </c>
      <c r="AK133" s="349" t="s">
        <v>4599</v>
      </c>
      <c r="AL133" s="347" t="s">
        <v>4600</v>
      </c>
      <c r="AM133" s="349" t="s">
        <v>4601</v>
      </c>
      <c r="AN133" s="347" t="s">
        <v>4602</v>
      </c>
      <c r="AO133" s="351" t="s">
        <v>4603</v>
      </c>
      <c r="AP133" s="429" t="s">
        <v>4604</v>
      </c>
      <c r="AQ133" s="368" t="s">
        <v>4605</v>
      </c>
      <c r="AR133" s="368" t="s">
        <v>4606</v>
      </c>
      <c r="AS133" s="368" t="s">
        <v>4934</v>
      </c>
      <c r="AT133" s="368" t="s">
        <v>4935</v>
      </c>
      <c r="AU133" s="368" t="s">
        <v>4936</v>
      </c>
      <c r="AV133" s="368" t="s">
        <v>4937</v>
      </c>
      <c r="AW133" s="368" t="s">
        <v>5234</v>
      </c>
      <c r="AX133" s="368" t="s">
        <v>5235</v>
      </c>
      <c r="AY133" s="671" t="s">
        <v>5236</v>
      </c>
      <c r="AZ133" t="e">
        <f t="shared" si="98"/>
        <v>#VALUE!</v>
      </c>
      <c r="CB133" s="433" t="e">
        <f t="shared" si="120"/>
        <v>#VALUE!</v>
      </c>
      <c r="CC133" s="433" t="str">
        <f t="shared" si="99"/>
        <v xml:space="preserve"> * La variable Gestante NO DEBEN ser mayor al Total de Mujeres. </v>
      </c>
      <c r="CD133" s="433" t="str">
        <f t="shared" si="100"/>
        <v xml:space="preserve"> * La variable  Atención bajo sedación inhalatoria (con óxido nitroso) NO DEBE ser mayor que el Total Ambos Sexos</v>
      </c>
      <c r="CE133" s="433" t="e">
        <f t="shared" si="101"/>
        <v>#VALUE!</v>
      </c>
      <c r="CF133" s="433" t="str">
        <f t="shared" si="102"/>
        <v xml:space="preserve"> * La variable Compra de Servicio No puede ser mayor al Total Ambos Sexos.</v>
      </c>
      <c r="CG133" s="433" t="str">
        <f t="shared" si="103"/>
        <v xml:space="preserve"> * La variable Usuarios con Discapacidad No puede ser mayor al Total Ambos Sexos.</v>
      </c>
      <c r="CH133" s="433" t="str">
        <f t="shared" si="104"/>
        <v xml:space="preserve"> * La variable Niños, niñas, adolescentes y jóvenes SENAME No puede ser mayor al Total Ambos Sexos.</v>
      </c>
      <c r="CI133" s="433" t="str">
        <f t="shared" si="105"/>
        <v xml:space="preserve"> * La variable Niños, niñas, adolescentes y jóvenes Mejor Niñez no puede ser mayor al Total Ambos Sexos.</v>
      </c>
      <c r="CJ133" s="433" t="str">
        <f t="shared" si="106"/>
        <v xml:space="preserve"> * La variable Migrantes no puede ser mayor al Total Ambos Sexos.</v>
      </c>
      <c r="CK133" s="435"/>
      <c r="CP133" s="434">
        <f t="shared" si="121"/>
        <v>1</v>
      </c>
      <c r="CQ133" s="434">
        <f t="shared" si="113"/>
        <v>1</v>
      </c>
      <c r="CR133" s="434">
        <f t="shared" si="114"/>
        <v>1</v>
      </c>
      <c r="CS133" s="434" t="e">
        <f t="shared" si="110"/>
        <v>#VALUE!</v>
      </c>
      <c r="CT133" s="434">
        <f t="shared" si="115"/>
        <v>1</v>
      </c>
      <c r="CU133" s="434">
        <f t="shared" si="116"/>
        <v>1</v>
      </c>
      <c r="CV133" s="434">
        <f t="shared" si="117"/>
        <v>1</v>
      </c>
      <c r="CW133" s="434">
        <f t="shared" si="118"/>
        <v>1</v>
      </c>
      <c r="CX133" s="434">
        <f t="shared" si="119"/>
        <v>1</v>
      </c>
      <c r="CY133" s="435"/>
    </row>
    <row r="134" spans="1:103" ht="15" customHeight="1" x14ac:dyDescent="0.25">
      <c r="A134" s="5812" t="s">
        <v>5775</v>
      </c>
      <c r="B134" s="7015" t="s">
        <v>1706</v>
      </c>
      <c r="C134" s="7016"/>
      <c r="D134" s="7017"/>
      <c r="E134" s="737" t="s">
        <v>4567</v>
      </c>
      <c r="F134" s="478" t="s">
        <v>4568</v>
      </c>
      <c r="G134" s="553" t="s">
        <v>4569</v>
      </c>
      <c r="H134" s="345" t="s">
        <v>4570</v>
      </c>
      <c r="I134" s="349" t="s">
        <v>4571</v>
      </c>
      <c r="J134" s="345" t="s">
        <v>4572</v>
      </c>
      <c r="K134" s="348" t="s">
        <v>4573</v>
      </c>
      <c r="L134" s="345" t="s">
        <v>4574</v>
      </c>
      <c r="M134" s="349" t="s">
        <v>4575</v>
      </c>
      <c r="N134" s="345" t="s">
        <v>4576</v>
      </c>
      <c r="O134" s="349" t="s">
        <v>4577</v>
      </c>
      <c r="P134" s="347" t="s">
        <v>4578</v>
      </c>
      <c r="Q134" s="349" t="s">
        <v>4579</v>
      </c>
      <c r="R134" s="347" t="s">
        <v>4580</v>
      </c>
      <c r="S134" s="349" t="s">
        <v>4581</v>
      </c>
      <c r="T134" s="347" t="s">
        <v>4582</v>
      </c>
      <c r="U134" s="349" t="s">
        <v>4583</v>
      </c>
      <c r="V134" s="347" t="s">
        <v>4584</v>
      </c>
      <c r="W134" s="349" t="s">
        <v>4585</v>
      </c>
      <c r="X134" s="347" t="s">
        <v>4586</v>
      </c>
      <c r="Y134" s="349" t="s">
        <v>4587</v>
      </c>
      <c r="Z134" s="347" t="s">
        <v>4588</v>
      </c>
      <c r="AA134" s="349" t="s">
        <v>4589</v>
      </c>
      <c r="AB134" s="347" t="s">
        <v>4590</v>
      </c>
      <c r="AC134" s="349" t="s">
        <v>4591</v>
      </c>
      <c r="AD134" s="347" t="s">
        <v>4592</v>
      </c>
      <c r="AE134" s="349" t="s">
        <v>4593</v>
      </c>
      <c r="AF134" s="347" t="s">
        <v>4594</v>
      </c>
      <c r="AG134" s="349" t="s">
        <v>4595</v>
      </c>
      <c r="AH134" s="347" t="s">
        <v>4596</v>
      </c>
      <c r="AI134" s="349" t="s">
        <v>4597</v>
      </c>
      <c r="AJ134" s="347" t="s">
        <v>4598</v>
      </c>
      <c r="AK134" s="349" t="s">
        <v>4599</v>
      </c>
      <c r="AL134" s="347" t="s">
        <v>4600</v>
      </c>
      <c r="AM134" s="349" t="s">
        <v>4601</v>
      </c>
      <c r="AN134" s="347" t="s">
        <v>4602</v>
      </c>
      <c r="AO134" s="351" t="s">
        <v>4603</v>
      </c>
      <c r="AP134" s="429" t="s">
        <v>4604</v>
      </c>
      <c r="AQ134" s="368" t="s">
        <v>4605</v>
      </c>
      <c r="AR134" s="368" t="s">
        <v>4606</v>
      </c>
      <c r="AS134" s="368" t="s">
        <v>4934</v>
      </c>
      <c r="AT134" s="368" t="s">
        <v>4935</v>
      </c>
      <c r="AU134" s="368" t="s">
        <v>4936</v>
      </c>
      <c r="AV134" s="368" t="s">
        <v>4937</v>
      </c>
      <c r="AW134" s="368" t="s">
        <v>5234</v>
      </c>
      <c r="AX134" s="368" t="s">
        <v>5235</v>
      </c>
      <c r="AY134" s="671" t="s">
        <v>5236</v>
      </c>
      <c r="AZ134" t="e">
        <f t="shared" si="98"/>
        <v>#VALUE!</v>
      </c>
      <c r="CB134" s="433" t="e">
        <f t="shared" si="120"/>
        <v>#VALUE!</v>
      </c>
      <c r="CC134" s="433" t="str">
        <f t="shared" si="99"/>
        <v xml:space="preserve"> * La variable Gestante NO DEBEN ser mayor al Total de Mujeres. </v>
      </c>
      <c r="CD134" s="433" t="str">
        <f t="shared" si="100"/>
        <v xml:space="preserve"> * La variable  Atención bajo sedación inhalatoria (con óxido nitroso) NO DEBE ser mayor que el Total Ambos Sexos</v>
      </c>
      <c r="CE134" s="433" t="e">
        <f t="shared" si="101"/>
        <v>#VALUE!</v>
      </c>
      <c r="CF134" s="433" t="str">
        <f t="shared" si="102"/>
        <v xml:space="preserve"> * La variable Compra de Servicio No puede ser mayor al Total Ambos Sexos.</v>
      </c>
      <c r="CG134" s="433" t="str">
        <f t="shared" si="103"/>
        <v xml:space="preserve"> * La variable Usuarios con Discapacidad No puede ser mayor al Total Ambos Sexos.</v>
      </c>
      <c r="CH134" s="433" t="str">
        <f t="shared" si="104"/>
        <v xml:space="preserve"> * La variable Niños, niñas, adolescentes y jóvenes SENAME No puede ser mayor al Total Ambos Sexos.</v>
      </c>
      <c r="CI134" s="433" t="str">
        <f t="shared" si="105"/>
        <v xml:space="preserve"> * La variable Niños, niñas, adolescentes y jóvenes Mejor Niñez no puede ser mayor al Total Ambos Sexos.</v>
      </c>
      <c r="CJ134" s="433" t="str">
        <f t="shared" si="106"/>
        <v xml:space="preserve"> * La variable Migrantes no puede ser mayor al Total Ambos Sexos.</v>
      </c>
      <c r="CK134" s="435"/>
      <c r="CP134" s="434">
        <f t="shared" si="121"/>
        <v>1</v>
      </c>
      <c r="CQ134" s="434">
        <f t="shared" si="113"/>
        <v>1</v>
      </c>
      <c r="CR134" s="434">
        <f t="shared" si="114"/>
        <v>1</v>
      </c>
      <c r="CS134" s="434" t="e">
        <f t="shared" si="110"/>
        <v>#VALUE!</v>
      </c>
      <c r="CT134" s="434">
        <f t="shared" si="115"/>
        <v>1</v>
      </c>
      <c r="CU134" s="434">
        <f t="shared" si="116"/>
        <v>1</v>
      </c>
      <c r="CV134" s="434">
        <f t="shared" si="117"/>
        <v>1</v>
      </c>
      <c r="CW134" s="434">
        <f t="shared" si="118"/>
        <v>1</v>
      </c>
      <c r="CX134" s="434">
        <f t="shared" si="119"/>
        <v>1</v>
      </c>
      <c r="CY134" s="435"/>
    </row>
    <row r="135" spans="1:103" ht="15" customHeight="1" x14ac:dyDescent="0.25">
      <c r="A135" s="5812" t="s">
        <v>5776</v>
      </c>
      <c r="B135" s="7015" t="s">
        <v>1707</v>
      </c>
      <c r="C135" s="7016"/>
      <c r="D135" s="7017"/>
      <c r="E135" s="737" t="s">
        <v>4567</v>
      </c>
      <c r="F135" s="478" t="s">
        <v>4568</v>
      </c>
      <c r="G135" s="553" t="s">
        <v>4569</v>
      </c>
      <c r="H135" s="192" t="s">
        <v>4570</v>
      </c>
      <c r="I135" s="382" t="s">
        <v>4571</v>
      </c>
      <c r="J135" s="192" t="s">
        <v>4572</v>
      </c>
      <c r="K135" s="1098" t="s">
        <v>4573</v>
      </c>
      <c r="L135" s="192" t="s">
        <v>4574</v>
      </c>
      <c r="M135" s="349" t="s">
        <v>4575</v>
      </c>
      <c r="N135" s="345" t="s">
        <v>4576</v>
      </c>
      <c r="O135" s="349" t="s">
        <v>4577</v>
      </c>
      <c r="P135" s="347" t="s">
        <v>4578</v>
      </c>
      <c r="Q135" s="349" t="s">
        <v>4579</v>
      </c>
      <c r="R135" s="347" t="s">
        <v>4580</v>
      </c>
      <c r="S135" s="349" t="s">
        <v>4581</v>
      </c>
      <c r="T135" s="347" t="s">
        <v>4582</v>
      </c>
      <c r="U135" s="349" t="s">
        <v>4583</v>
      </c>
      <c r="V135" s="347" t="s">
        <v>4584</v>
      </c>
      <c r="W135" s="349" t="s">
        <v>4585</v>
      </c>
      <c r="X135" s="347" t="s">
        <v>4586</v>
      </c>
      <c r="Y135" s="349" t="s">
        <v>4587</v>
      </c>
      <c r="Z135" s="347" t="s">
        <v>4588</v>
      </c>
      <c r="AA135" s="349" t="s">
        <v>4589</v>
      </c>
      <c r="AB135" s="347" t="s">
        <v>4590</v>
      </c>
      <c r="AC135" s="349" t="s">
        <v>4591</v>
      </c>
      <c r="AD135" s="347" t="s">
        <v>4592</v>
      </c>
      <c r="AE135" s="349" t="s">
        <v>4593</v>
      </c>
      <c r="AF135" s="347" t="s">
        <v>4594</v>
      </c>
      <c r="AG135" s="349" t="s">
        <v>4595</v>
      </c>
      <c r="AH135" s="347" t="s">
        <v>4596</v>
      </c>
      <c r="AI135" s="349" t="s">
        <v>4597</v>
      </c>
      <c r="AJ135" s="347" t="s">
        <v>4598</v>
      </c>
      <c r="AK135" s="349" t="s">
        <v>4599</v>
      </c>
      <c r="AL135" s="347" t="s">
        <v>4600</v>
      </c>
      <c r="AM135" s="349" t="s">
        <v>4601</v>
      </c>
      <c r="AN135" s="347" t="s">
        <v>4602</v>
      </c>
      <c r="AO135" s="351" t="s">
        <v>4603</v>
      </c>
      <c r="AP135" s="429" t="s">
        <v>4604</v>
      </c>
      <c r="AQ135" s="580" t="s">
        <v>4605</v>
      </c>
      <c r="AR135" s="368" t="s">
        <v>4606</v>
      </c>
      <c r="AS135" s="368" t="s">
        <v>4934</v>
      </c>
      <c r="AT135" s="580" t="s">
        <v>4935</v>
      </c>
      <c r="AU135" s="368" t="s">
        <v>4936</v>
      </c>
      <c r="AV135" s="368" t="s">
        <v>4937</v>
      </c>
      <c r="AW135" s="368" t="s">
        <v>5234</v>
      </c>
      <c r="AX135" s="368" t="s">
        <v>5235</v>
      </c>
      <c r="AY135" s="671" t="s">
        <v>5236</v>
      </c>
      <c r="AZ135" t="e">
        <f t="shared" si="98"/>
        <v>#VALUE!</v>
      </c>
      <c r="CB135" s="433" t="e">
        <f t="shared" si="120"/>
        <v>#VALUE!</v>
      </c>
      <c r="CC135" s="433" t="str">
        <f t="shared" si="99"/>
        <v xml:space="preserve"> * La variable Gestante NO DEBEN ser mayor al Total de Mujeres. </v>
      </c>
      <c r="CD135" s="433" t="str">
        <f t="shared" si="100"/>
        <v xml:space="preserve"> * La variable  Atención bajo sedación inhalatoria (con óxido nitroso) NO DEBE ser mayor que el Total Ambos Sexos</v>
      </c>
      <c r="CE135" s="433" t="e">
        <f t="shared" si="101"/>
        <v>#VALUE!</v>
      </c>
      <c r="CF135" s="433" t="str">
        <f t="shared" si="102"/>
        <v xml:space="preserve"> * La variable Compra de Servicio No puede ser mayor al Total Ambos Sexos.</v>
      </c>
      <c r="CG135" s="433" t="str">
        <f t="shared" si="103"/>
        <v xml:space="preserve"> * La variable Usuarios con Discapacidad No puede ser mayor al Total Ambos Sexos.</v>
      </c>
      <c r="CH135" s="433" t="str">
        <f t="shared" si="104"/>
        <v xml:space="preserve"> * La variable Niños, niñas, adolescentes y jóvenes SENAME No puede ser mayor al Total Ambos Sexos.</v>
      </c>
      <c r="CI135" s="433" t="str">
        <f t="shared" si="105"/>
        <v xml:space="preserve"> * La variable Niños, niñas, adolescentes y jóvenes Mejor Niñez no puede ser mayor al Total Ambos Sexos.</v>
      </c>
      <c r="CJ135" s="433" t="str">
        <f t="shared" si="106"/>
        <v xml:space="preserve"> * La variable Migrantes no puede ser mayor al Total Ambos Sexos.</v>
      </c>
      <c r="CK135" s="435"/>
      <c r="CP135" s="434">
        <f t="shared" si="121"/>
        <v>1</v>
      </c>
      <c r="CQ135" s="434">
        <f t="shared" si="113"/>
        <v>1</v>
      </c>
      <c r="CR135" s="434">
        <f t="shared" si="114"/>
        <v>1</v>
      </c>
      <c r="CS135" s="434" t="e">
        <f t="shared" si="110"/>
        <v>#VALUE!</v>
      </c>
      <c r="CT135" s="434">
        <f t="shared" si="115"/>
        <v>1</v>
      </c>
      <c r="CU135" s="434">
        <f t="shared" si="116"/>
        <v>1</v>
      </c>
      <c r="CV135" s="434">
        <f t="shared" si="117"/>
        <v>1</v>
      </c>
      <c r="CW135" s="434">
        <f t="shared" si="118"/>
        <v>1</v>
      </c>
      <c r="CX135" s="434">
        <f t="shared" si="119"/>
        <v>1</v>
      </c>
      <c r="CY135" s="435"/>
    </row>
    <row r="136" spans="1:103" ht="15" customHeight="1" x14ac:dyDescent="0.25">
      <c r="A136" s="5812" t="s">
        <v>5777</v>
      </c>
      <c r="B136" s="7015" t="s">
        <v>1708</v>
      </c>
      <c r="C136" s="7016"/>
      <c r="D136" s="7017"/>
      <c r="E136" s="737" t="s">
        <v>4567</v>
      </c>
      <c r="F136" s="478" t="s">
        <v>4568</v>
      </c>
      <c r="G136" s="553" t="s">
        <v>4569</v>
      </c>
      <c r="H136" s="192" t="s">
        <v>4570</v>
      </c>
      <c r="I136" s="382" t="s">
        <v>4571</v>
      </c>
      <c r="J136" s="192" t="s">
        <v>4572</v>
      </c>
      <c r="K136" s="1098" t="s">
        <v>4573</v>
      </c>
      <c r="L136" s="192" t="s">
        <v>4574</v>
      </c>
      <c r="M136" s="349" t="s">
        <v>4575</v>
      </c>
      <c r="N136" s="345" t="s">
        <v>4576</v>
      </c>
      <c r="O136" s="349" t="s">
        <v>4577</v>
      </c>
      <c r="P136" s="347" t="s">
        <v>4578</v>
      </c>
      <c r="Q136" s="349" t="s">
        <v>4579</v>
      </c>
      <c r="R136" s="347" t="s">
        <v>4580</v>
      </c>
      <c r="S136" s="349" t="s">
        <v>4581</v>
      </c>
      <c r="T136" s="347" t="s">
        <v>4582</v>
      </c>
      <c r="U136" s="349" t="s">
        <v>4583</v>
      </c>
      <c r="V136" s="347" t="s">
        <v>4584</v>
      </c>
      <c r="W136" s="349" t="s">
        <v>4585</v>
      </c>
      <c r="X136" s="347" t="s">
        <v>4586</v>
      </c>
      <c r="Y136" s="349" t="s">
        <v>4587</v>
      </c>
      <c r="Z136" s="347" t="s">
        <v>4588</v>
      </c>
      <c r="AA136" s="349" t="s">
        <v>4589</v>
      </c>
      <c r="AB136" s="347" t="s">
        <v>4590</v>
      </c>
      <c r="AC136" s="349" t="s">
        <v>4591</v>
      </c>
      <c r="AD136" s="347" t="s">
        <v>4592</v>
      </c>
      <c r="AE136" s="349" t="s">
        <v>4593</v>
      </c>
      <c r="AF136" s="347" t="s">
        <v>4594</v>
      </c>
      <c r="AG136" s="349" t="s">
        <v>4595</v>
      </c>
      <c r="AH136" s="347" t="s">
        <v>4596</v>
      </c>
      <c r="AI136" s="349" t="s">
        <v>4597</v>
      </c>
      <c r="AJ136" s="347" t="s">
        <v>4598</v>
      </c>
      <c r="AK136" s="349" t="s">
        <v>4599</v>
      </c>
      <c r="AL136" s="347" t="s">
        <v>4600</v>
      </c>
      <c r="AM136" s="349" t="s">
        <v>4601</v>
      </c>
      <c r="AN136" s="347" t="s">
        <v>4602</v>
      </c>
      <c r="AO136" s="351" t="s">
        <v>4603</v>
      </c>
      <c r="AP136" s="429" t="s">
        <v>4604</v>
      </c>
      <c r="AQ136" s="580" t="s">
        <v>4605</v>
      </c>
      <c r="AR136" s="368" t="s">
        <v>4606</v>
      </c>
      <c r="AS136" s="368" t="s">
        <v>4934</v>
      </c>
      <c r="AT136" s="580" t="s">
        <v>4935</v>
      </c>
      <c r="AU136" s="368" t="s">
        <v>4936</v>
      </c>
      <c r="AV136" s="368" t="s">
        <v>4937</v>
      </c>
      <c r="AW136" s="368" t="s">
        <v>5234</v>
      </c>
      <c r="AX136" s="368" t="s">
        <v>5235</v>
      </c>
      <c r="AY136" s="671" t="s">
        <v>5236</v>
      </c>
      <c r="AZ136" t="e">
        <f t="shared" si="98"/>
        <v>#VALUE!</v>
      </c>
      <c r="CB136" s="433" t="e">
        <f t="shared" si="120"/>
        <v>#VALUE!</v>
      </c>
      <c r="CC136" s="433" t="str">
        <f t="shared" si="99"/>
        <v xml:space="preserve"> * La variable Gestante NO DEBEN ser mayor al Total de Mujeres. </v>
      </c>
      <c r="CD136" s="433" t="str">
        <f t="shared" si="100"/>
        <v xml:space="preserve"> * La variable  Atención bajo sedación inhalatoria (con óxido nitroso) NO DEBE ser mayor que el Total Ambos Sexos</v>
      </c>
      <c r="CE136" s="433" t="e">
        <f t="shared" si="101"/>
        <v>#VALUE!</v>
      </c>
      <c r="CF136" s="433" t="str">
        <f t="shared" si="102"/>
        <v xml:space="preserve"> * La variable Compra de Servicio No puede ser mayor al Total Ambos Sexos.</v>
      </c>
      <c r="CG136" s="433" t="str">
        <f t="shared" si="103"/>
        <v xml:space="preserve"> * La variable Usuarios con Discapacidad No puede ser mayor al Total Ambos Sexos.</v>
      </c>
      <c r="CH136" s="433" t="str">
        <f t="shared" si="104"/>
        <v xml:space="preserve"> * La variable Niños, niñas, adolescentes y jóvenes SENAME No puede ser mayor al Total Ambos Sexos.</v>
      </c>
      <c r="CI136" s="433" t="str">
        <f t="shared" si="105"/>
        <v xml:space="preserve"> * La variable Niños, niñas, adolescentes y jóvenes Mejor Niñez no puede ser mayor al Total Ambos Sexos.</v>
      </c>
      <c r="CJ136" s="433" t="str">
        <f t="shared" si="106"/>
        <v xml:space="preserve"> * La variable Migrantes no puede ser mayor al Total Ambos Sexos.</v>
      </c>
      <c r="CK136" s="435"/>
      <c r="CP136" s="434">
        <f t="shared" si="121"/>
        <v>1</v>
      </c>
      <c r="CQ136" s="434">
        <f t="shared" si="113"/>
        <v>1</v>
      </c>
      <c r="CR136" s="434">
        <f t="shared" si="114"/>
        <v>1</v>
      </c>
      <c r="CS136" s="434" t="e">
        <f t="shared" si="110"/>
        <v>#VALUE!</v>
      </c>
      <c r="CT136" s="434">
        <f t="shared" si="115"/>
        <v>1</v>
      </c>
      <c r="CU136" s="434">
        <f t="shared" si="116"/>
        <v>1</v>
      </c>
      <c r="CV136" s="434">
        <f t="shared" si="117"/>
        <v>1</v>
      </c>
      <c r="CW136" s="434">
        <f t="shared" si="118"/>
        <v>1</v>
      </c>
      <c r="CX136" s="434">
        <f t="shared" si="119"/>
        <v>1</v>
      </c>
      <c r="CY136" s="435"/>
    </row>
    <row r="137" spans="1:103" ht="15" customHeight="1" x14ac:dyDescent="0.25">
      <c r="A137" s="5812" t="s">
        <v>5778</v>
      </c>
      <c r="B137" s="7015" t="s">
        <v>1709</v>
      </c>
      <c r="C137" s="7016"/>
      <c r="D137" s="7017"/>
      <c r="E137" s="737" t="s">
        <v>4567</v>
      </c>
      <c r="F137" s="478" t="s">
        <v>4568</v>
      </c>
      <c r="G137" s="553" t="s">
        <v>4569</v>
      </c>
      <c r="H137" s="192" t="s">
        <v>4570</v>
      </c>
      <c r="I137" s="382" t="s">
        <v>4571</v>
      </c>
      <c r="J137" s="192" t="s">
        <v>4572</v>
      </c>
      <c r="K137" s="1098" t="s">
        <v>4573</v>
      </c>
      <c r="L137" s="192" t="s">
        <v>4574</v>
      </c>
      <c r="M137" s="349" t="s">
        <v>4575</v>
      </c>
      <c r="N137" s="345" t="s">
        <v>4576</v>
      </c>
      <c r="O137" s="349" t="s">
        <v>4577</v>
      </c>
      <c r="P137" s="347" t="s">
        <v>4578</v>
      </c>
      <c r="Q137" s="349" t="s">
        <v>4579</v>
      </c>
      <c r="R137" s="347" t="s">
        <v>4580</v>
      </c>
      <c r="S137" s="349" t="s">
        <v>4581</v>
      </c>
      <c r="T137" s="347" t="s">
        <v>4582</v>
      </c>
      <c r="U137" s="349" t="s">
        <v>4583</v>
      </c>
      <c r="V137" s="347" t="s">
        <v>4584</v>
      </c>
      <c r="W137" s="349" t="s">
        <v>4585</v>
      </c>
      <c r="X137" s="347" t="s">
        <v>4586</v>
      </c>
      <c r="Y137" s="349" t="s">
        <v>4587</v>
      </c>
      <c r="Z137" s="347" t="s">
        <v>4588</v>
      </c>
      <c r="AA137" s="349" t="s">
        <v>4589</v>
      </c>
      <c r="AB137" s="347" t="s">
        <v>4590</v>
      </c>
      <c r="AC137" s="349" t="s">
        <v>4591</v>
      </c>
      <c r="AD137" s="347" t="s">
        <v>4592</v>
      </c>
      <c r="AE137" s="349" t="s">
        <v>4593</v>
      </c>
      <c r="AF137" s="347" t="s">
        <v>4594</v>
      </c>
      <c r="AG137" s="349" t="s">
        <v>4595</v>
      </c>
      <c r="AH137" s="347" t="s">
        <v>4596</v>
      </c>
      <c r="AI137" s="349" t="s">
        <v>4597</v>
      </c>
      <c r="AJ137" s="347" t="s">
        <v>4598</v>
      </c>
      <c r="AK137" s="349" t="s">
        <v>4599</v>
      </c>
      <c r="AL137" s="347" t="s">
        <v>4600</v>
      </c>
      <c r="AM137" s="349" t="s">
        <v>4601</v>
      </c>
      <c r="AN137" s="347" t="s">
        <v>4602</v>
      </c>
      <c r="AO137" s="351" t="s">
        <v>4603</v>
      </c>
      <c r="AP137" s="429" t="s">
        <v>4604</v>
      </c>
      <c r="AQ137" s="580" t="s">
        <v>4605</v>
      </c>
      <c r="AR137" s="368" t="s">
        <v>4606</v>
      </c>
      <c r="AS137" s="368" t="s">
        <v>4934</v>
      </c>
      <c r="AT137" s="580" t="s">
        <v>4935</v>
      </c>
      <c r="AU137" s="368" t="s">
        <v>4936</v>
      </c>
      <c r="AV137" s="368" t="s">
        <v>4937</v>
      </c>
      <c r="AW137" s="368" t="s">
        <v>5234</v>
      </c>
      <c r="AX137" s="368" t="s">
        <v>5235</v>
      </c>
      <c r="AY137" s="671" t="s">
        <v>5236</v>
      </c>
      <c r="AZ137" t="e">
        <f t="shared" si="98"/>
        <v>#VALUE!</v>
      </c>
      <c r="CB137" s="433" t="e">
        <f t="shared" si="120"/>
        <v>#VALUE!</v>
      </c>
      <c r="CC137" s="433" t="str">
        <f t="shared" si="99"/>
        <v xml:space="preserve"> * La variable Gestante NO DEBEN ser mayor al Total de Mujeres. </v>
      </c>
      <c r="CD137" s="433" t="str">
        <f t="shared" si="100"/>
        <v xml:space="preserve"> * La variable  Atención bajo sedación inhalatoria (con óxido nitroso) NO DEBE ser mayor que el Total Ambos Sexos</v>
      </c>
      <c r="CE137" s="433" t="e">
        <f t="shared" si="101"/>
        <v>#VALUE!</v>
      </c>
      <c r="CF137" s="433" t="str">
        <f t="shared" si="102"/>
        <v xml:space="preserve"> * La variable Compra de Servicio No puede ser mayor al Total Ambos Sexos.</v>
      </c>
      <c r="CG137" s="433" t="str">
        <f t="shared" si="103"/>
        <v xml:space="preserve"> * La variable Usuarios con Discapacidad No puede ser mayor al Total Ambos Sexos.</v>
      </c>
      <c r="CH137" s="433" t="str">
        <f t="shared" si="104"/>
        <v xml:space="preserve"> * La variable Niños, niñas, adolescentes y jóvenes SENAME No puede ser mayor al Total Ambos Sexos.</v>
      </c>
      <c r="CI137" s="433" t="str">
        <f t="shared" si="105"/>
        <v xml:space="preserve"> * La variable Niños, niñas, adolescentes y jóvenes Mejor Niñez no puede ser mayor al Total Ambos Sexos.</v>
      </c>
      <c r="CJ137" s="433" t="str">
        <f t="shared" si="106"/>
        <v xml:space="preserve"> * La variable Migrantes no puede ser mayor al Total Ambos Sexos.</v>
      </c>
      <c r="CK137" s="435"/>
      <c r="CP137" s="434">
        <f t="shared" si="121"/>
        <v>1</v>
      </c>
      <c r="CQ137" s="434">
        <f t="shared" si="113"/>
        <v>1</v>
      </c>
      <c r="CR137" s="434">
        <f t="shared" si="114"/>
        <v>1</v>
      </c>
      <c r="CS137" s="434" t="e">
        <f t="shared" si="110"/>
        <v>#VALUE!</v>
      </c>
      <c r="CT137" s="434">
        <f t="shared" si="115"/>
        <v>1</v>
      </c>
      <c r="CU137" s="434">
        <f t="shared" si="116"/>
        <v>1</v>
      </c>
      <c r="CV137" s="434">
        <f t="shared" si="117"/>
        <v>1</v>
      </c>
      <c r="CW137" s="434">
        <f t="shared" si="118"/>
        <v>1</v>
      </c>
      <c r="CX137" s="434">
        <f t="shared" si="119"/>
        <v>1</v>
      </c>
      <c r="CY137" s="435"/>
    </row>
    <row r="138" spans="1:103" ht="15" customHeight="1" x14ac:dyDescent="0.25">
      <c r="A138" s="5812" t="s">
        <v>5779</v>
      </c>
      <c r="B138" s="7015" t="s">
        <v>1710</v>
      </c>
      <c r="C138" s="7016"/>
      <c r="D138" s="7017"/>
      <c r="E138" s="737" t="s">
        <v>4567</v>
      </c>
      <c r="F138" s="478" t="s">
        <v>4568</v>
      </c>
      <c r="G138" s="553" t="s">
        <v>4569</v>
      </c>
      <c r="H138" s="192" t="s">
        <v>4570</v>
      </c>
      <c r="I138" s="382" t="s">
        <v>4571</v>
      </c>
      <c r="J138" s="192" t="s">
        <v>4572</v>
      </c>
      <c r="K138" s="1098" t="s">
        <v>4573</v>
      </c>
      <c r="L138" s="192" t="s">
        <v>4574</v>
      </c>
      <c r="M138" s="349" t="s">
        <v>4575</v>
      </c>
      <c r="N138" s="345" t="s">
        <v>4576</v>
      </c>
      <c r="O138" s="349" t="s">
        <v>4577</v>
      </c>
      <c r="P138" s="347" t="s">
        <v>4578</v>
      </c>
      <c r="Q138" s="349" t="s">
        <v>4579</v>
      </c>
      <c r="R138" s="347" t="s">
        <v>4580</v>
      </c>
      <c r="S138" s="349" t="s">
        <v>4581</v>
      </c>
      <c r="T138" s="347" t="s">
        <v>4582</v>
      </c>
      <c r="U138" s="349" t="s">
        <v>4583</v>
      </c>
      <c r="V138" s="347" t="s">
        <v>4584</v>
      </c>
      <c r="W138" s="349" t="s">
        <v>4585</v>
      </c>
      <c r="X138" s="347" t="s">
        <v>4586</v>
      </c>
      <c r="Y138" s="349" t="s">
        <v>4587</v>
      </c>
      <c r="Z138" s="347" t="s">
        <v>4588</v>
      </c>
      <c r="AA138" s="349" t="s">
        <v>4589</v>
      </c>
      <c r="AB138" s="347" t="s">
        <v>4590</v>
      </c>
      <c r="AC138" s="349" t="s">
        <v>4591</v>
      </c>
      <c r="AD138" s="347" t="s">
        <v>4592</v>
      </c>
      <c r="AE138" s="349" t="s">
        <v>4593</v>
      </c>
      <c r="AF138" s="347" t="s">
        <v>4594</v>
      </c>
      <c r="AG138" s="349" t="s">
        <v>4595</v>
      </c>
      <c r="AH138" s="347" t="s">
        <v>4596</v>
      </c>
      <c r="AI138" s="349" t="s">
        <v>4597</v>
      </c>
      <c r="AJ138" s="347" t="s">
        <v>4598</v>
      </c>
      <c r="AK138" s="349" t="s">
        <v>4599</v>
      </c>
      <c r="AL138" s="347" t="s">
        <v>4600</v>
      </c>
      <c r="AM138" s="349" t="s">
        <v>4601</v>
      </c>
      <c r="AN138" s="347" t="s">
        <v>4602</v>
      </c>
      <c r="AO138" s="351" t="s">
        <v>4603</v>
      </c>
      <c r="AP138" s="429" t="s">
        <v>4604</v>
      </c>
      <c r="AQ138" s="580" t="s">
        <v>4605</v>
      </c>
      <c r="AR138" s="368" t="s">
        <v>4606</v>
      </c>
      <c r="AS138" s="368" t="s">
        <v>4934</v>
      </c>
      <c r="AT138" s="580" t="s">
        <v>4935</v>
      </c>
      <c r="AU138" s="368" t="s">
        <v>4936</v>
      </c>
      <c r="AV138" s="368" t="s">
        <v>4937</v>
      </c>
      <c r="AW138" s="368" t="s">
        <v>5234</v>
      </c>
      <c r="AX138" s="368" t="s">
        <v>5235</v>
      </c>
      <c r="AY138" s="346" t="s">
        <v>5236</v>
      </c>
      <c r="AZ138" t="e">
        <f t="shared" si="98"/>
        <v>#VALUE!</v>
      </c>
      <c r="CB138" s="433" t="e">
        <f t="shared" si="120"/>
        <v>#VALUE!</v>
      </c>
      <c r="CC138" s="433" t="str">
        <f t="shared" si="99"/>
        <v xml:space="preserve"> * La variable Gestante NO DEBEN ser mayor al Total de Mujeres. </v>
      </c>
      <c r="CD138" s="433" t="str">
        <f t="shared" si="100"/>
        <v xml:space="preserve"> * La variable  Atención bajo sedación inhalatoria (con óxido nitroso) NO DEBE ser mayor que el Total Ambos Sexos</v>
      </c>
      <c r="CE138" s="433" t="e">
        <f t="shared" si="101"/>
        <v>#VALUE!</v>
      </c>
      <c r="CF138" s="433" t="str">
        <f t="shared" si="102"/>
        <v xml:space="preserve"> * La variable Compra de Servicio No puede ser mayor al Total Ambos Sexos.</v>
      </c>
      <c r="CG138" s="433" t="str">
        <f t="shared" si="103"/>
        <v xml:space="preserve"> * La variable Usuarios con Discapacidad No puede ser mayor al Total Ambos Sexos.</v>
      </c>
      <c r="CH138" s="433" t="str">
        <f t="shared" si="104"/>
        <v xml:space="preserve"> * La variable Niños, niñas, adolescentes y jóvenes SENAME No puede ser mayor al Total Ambos Sexos.</v>
      </c>
      <c r="CI138" s="433" t="str">
        <f t="shared" si="105"/>
        <v xml:space="preserve"> * La variable Niños, niñas, adolescentes y jóvenes Mejor Niñez no puede ser mayor al Total Ambos Sexos.</v>
      </c>
      <c r="CJ138" s="433" t="str">
        <f t="shared" si="106"/>
        <v xml:space="preserve"> * La variable Migrantes no puede ser mayor al Total Ambos Sexos.</v>
      </c>
      <c r="CK138" s="433" t="str">
        <f t="shared" si="107"/>
        <v xml:space="preserve"> * La variable Flujo digital no puede ser mayor al Total Ambos Sexos.</v>
      </c>
      <c r="CP138" s="434">
        <f t="shared" si="121"/>
        <v>1</v>
      </c>
      <c r="CQ138" s="434">
        <f t="shared" si="113"/>
        <v>1</v>
      </c>
      <c r="CR138" s="434">
        <f t="shared" si="114"/>
        <v>1</v>
      </c>
      <c r="CS138" s="434" t="e">
        <f t="shared" si="110"/>
        <v>#VALUE!</v>
      </c>
      <c r="CT138" s="434">
        <f t="shared" si="115"/>
        <v>1</v>
      </c>
      <c r="CU138" s="434">
        <f t="shared" si="116"/>
        <v>1</v>
      </c>
      <c r="CV138" s="434">
        <f t="shared" si="117"/>
        <v>1</v>
      </c>
      <c r="CW138" s="434">
        <f t="shared" si="118"/>
        <v>1</v>
      </c>
      <c r="CX138" s="434">
        <f t="shared" si="119"/>
        <v>1</v>
      </c>
      <c r="CY138" s="434">
        <f>IF(AND($E138&gt;0,AY138=""),1,IF(AY138&gt;$E138,1,0))</f>
        <v>1</v>
      </c>
    </row>
    <row r="139" spans="1:103" ht="15" customHeight="1" x14ac:dyDescent="0.25">
      <c r="A139" s="5812" t="s">
        <v>5780</v>
      </c>
      <c r="B139" s="7015" t="s">
        <v>1711</v>
      </c>
      <c r="C139" s="7016"/>
      <c r="D139" s="7017"/>
      <c r="E139" s="737" t="s">
        <v>4567</v>
      </c>
      <c r="F139" s="478" t="s">
        <v>4568</v>
      </c>
      <c r="G139" s="553" t="s">
        <v>4569</v>
      </c>
      <c r="H139" s="3603" t="s">
        <v>4570</v>
      </c>
      <c r="I139" s="382" t="s">
        <v>4571</v>
      </c>
      <c r="J139" s="192" t="s">
        <v>4572</v>
      </c>
      <c r="K139" s="1098" t="s">
        <v>4573</v>
      </c>
      <c r="L139" s="192" t="s">
        <v>4574</v>
      </c>
      <c r="M139" s="349" t="s">
        <v>4575</v>
      </c>
      <c r="N139" s="345" t="s">
        <v>4576</v>
      </c>
      <c r="O139" s="349" t="s">
        <v>4577</v>
      </c>
      <c r="P139" s="347" t="s">
        <v>4578</v>
      </c>
      <c r="Q139" s="349" t="s">
        <v>4579</v>
      </c>
      <c r="R139" s="347" t="s">
        <v>4580</v>
      </c>
      <c r="S139" s="349" t="s">
        <v>4581</v>
      </c>
      <c r="T139" s="347" t="s">
        <v>4582</v>
      </c>
      <c r="U139" s="349" t="s">
        <v>4583</v>
      </c>
      <c r="V139" s="347" t="s">
        <v>4584</v>
      </c>
      <c r="W139" s="349" t="s">
        <v>4585</v>
      </c>
      <c r="X139" s="347" t="s">
        <v>4586</v>
      </c>
      <c r="Y139" s="349" t="s">
        <v>4587</v>
      </c>
      <c r="Z139" s="347" t="s">
        <v>4588</v>
      </c>
      <c r="AA139" s="349" t="s">
        <v>4589</v>
      </c>
      <c r="AB139" s="347" t="s">
        <v>4590</v>
      </c>
      <c r="AC139" s="349" t="s">
        <v>4591</v>
      </c>
      <c r="AD139" s="347" t="s">
        <v>4592</v>
      </c>
      <c r="AE139" s="349" t="s">
        <v>4593</v>
      </c>
      <c r="AF139" s="347" t="s">
        <v>4594</v>
      </c>
      <c r="AG139" s="349" t="s">
        <v>4595</v>
      </c>
      <c r="AH139" s="347" t="s">
        <v>4596</v>
      </c>
      <c r="AI139" s="349" t="s">
        <v>4597</v>
      </c>
      <c r="AJ139" s="347" t="s">
        <v>4598</v>
      </c>
      <c r="AK139" s="349" t="s">
        <v>4599</v>
      </c>
      <c r="AL139" s="347" t="s">
        <v>4600</v>
      </c>
      <c r="AM139" s="349" t="s">
        <v>4601</v>
      </c>
      <c r="AN139" s="347" t="s">
        <v>4602</v>
      </c>
      <c r="AO139" s="351" t="s">
        <v>4603</v>
      </c>
      <c r="AP139" s="429" t="s">
        <v>4604</v>
      </c>
      <c r="AQ139" s="580" t="s">
        <v>4605</v>
      </c>
      <c r="AR139" s="368" t="s">
        <v>4606</v>
      </c>
      <c r="AS139" s="368" t="s">
        <v>4934</v>
      </c>
      <c r="AT139" s="580" t="s">
        <v>4935</v>
      </c>
      <c r="AU139" s="368" t="s">
        <v>4936</v>
      </c>
      <c r="AV139" s="368" t="s">
        <v>4937</v>
      </c>
      <c r="AW139" s="368" t="s">
        <v>5234</v>
      </c>
      <c r="AX139" s="368" t="s">
        <v>5235</v>
      </c>
      <c r="AY139" s="346" t="s">
        <v>5236</v>
      </c>
      <c r="AZ139" t="e">
        <f t="shared" si="98"/>
        <v>#VALUE!</v>
      </c>
      <c r="CB139" s="433" t="e">
        <f t="shared" si="120"/>
        <v>#VALUE!</v>
      </c>
      <c r="CC139" s="433" t="str">
        <f t="shared" si="99"/>
        <v xml:space="preserve"> * La variable Gestante NO DEBEN ser mayor al Total de Mujeres. </v>
      </c>
      <c r="CD139" s="433" t="str">
        <f t="shared" si="100"/>
        <v xml:space="preserve"> * La variable  Atención bajo sedación inhalatoria (con óxido nitroso) NO DEBE ser mayor que el Total Ambos Sexos</v>
      </c>
      <c r="CE139" s="433" t="e">
        <f t="shared" si="101"/>
        <v>#VALUE!</v>
      </c>
      <c r="CF139" s="433" t="str">
        <f t="shared" si="102"/>
        <v xml:space="preserve"> * La variable Compra de Servicio No puede ser mayor al Total Ambos Sexos.</v>
      </c>
      <c r="CG139" s="433" t="str">
        <f t="shared" si="103"/>
        <v xml:space="preserve"> * La variable Usuarios con Discapacidad No puede ser mayor al Total Ambos Sexos.</v>
      </c>
      <c r="CH139" s="433" t="str">
        <f t="shared" si="104"/>
        <v xml:space="preserve"> * La variable Niños, niñas, adolescentes y jóvenes SENAME No puede ser mayor al Total Ambos Sexos.</v>
      </c>
      <c r="CI139" s="433" t="str">
        <f t="shared" si="105"/>
        <v xml:space="preserve"> * La variable Niños, niñas, adolescentes y jóvenes Mejor Niñez no puede ser mayor al Total Ambos Sexos.</v>
      </c>
      <c r="CJ139" s="433" t="str">
        <f t="shared" si="106"/>
        <v xml:space="preserve"> * La variable Migrantes no puede ser mayor al Total Ambos Sexos.</v>
      </c>
      <c r="CK139" s="433" t="str">
        <f t="shared" si="107"/>
        <v xml:space="preserve"> * La variable Flujo digital no puede ser mayor al Total Ambos Sexos.</v>
      </c>
      <c r="CP139" s="434">
        <f t="shared" si="121"/>
        <v>1</v>
      </c>
      <c r="CQ139" s="434">
        <f t="shared" si="113"/>
        <v>1</v>
      </c>
      <c r="CR139" s="434">
        <f t="shared" si="114"/>
        <v>1</v>
      </c>
      <c r="CS139" s="434" t="e">
        <f t="shared" si="110"/>
        <v>#VALUE!</v>
      </c>
      <c r="CT139" s="434">
        <f t="shared" si="115"/>
        <v>1</v>
      </c>
      <c r="CU139" s="434">
        <f t="shared" si="116"/>
        <v>1</v>
      </c>
      <c r="CV139" s="434">
        <f t="shared" si="117"/>
        <v>1</v>
      </c>
      <c r="CW139" s="434">
        <f t="shared" si="118"/>
        <v>1</v>
      </c>
      <c r="CX139" s="434">
        <f t="shared" si="119"/>
        <v>1</v>
      </c>
      <c r="CY139" s="434">
        <f>IF(AND($E139&gt;0,AY139=""),1,IF(AY139&gt;$E139,1,0))</f>
        <v>1</v>
      </c>
    </row>
    <row r="140" spans="1:103" ht="15" customHeight="1" x14ac:dyDescent="0.25">
      <c r="A140" s="5813" t="s">
        <v>5781</v>
      </c>
      <c r="B140" s="3591" t="s">
        <v>1712</v>
      </c>
      <c r="C140" s="3592"/>
      <c r="D140" s="3593"/>
      <c r="E140" s="737" t="s">
        <v>4567</v>
      </c>
      <c r="F140" s="478" t="s">
        <v>4568</v>
      </c>
      <c r="G140" s="553" t="s">
        <v>4569</v>
      </c>
      <c r="H140" s="192" t="s">
        <v>4570</v>
      </c>
      <c r="I140" s="382" t="s">
        <v>4571</v>
      </c>
      <c r="J140" s="192" t="s">
        <v>4572</v>
      </c>
      <c r="K140" s="1098" t="s">
        <v>4573</v>
      </c>
      <c r="L140" s="192" t="s">
        <v>4574</v>
      </c>
      <c r="M140" s="349" t="s">
        <v>4575</v>
      </c>
      <c r="N140" s="345" t="s">
        <v>4576</v>
      </c>
      <c r="O140" s="349" t="s">
        <v>4577</v>
      </c>
      <c r="P140" s="347" t="s">
        <v>4578</v>
      </c>
      <c r="Q140" s="349" t="s">
        <v>4579</v>
      </c>
      <c r="R140" s="347" t="s">
        <v>4580</v>
      </c>
      <c r="S140" s="349" t="s">
        <v>4581</v>
      </c>
      <c r="T140" s="347" t="s">
        <v>4582</v>
      </c>
      <c r="U140" s="349" t="s">
        <v>4583</v>
      </c>
      <c r="V140" s="347" t="s">
        <v>4584</v>
      </c>
      <c r="W140" s="349" t="s">
        <v>4585</v>
      </c>
      <c r="X140" s="347" t="s">
        <v>4586</v>
      </c>
      <c r="Y140" s="349" t="s">
        <v>4587</v>
      </c>
      <c r="Z140" s="347" t="s">
        <v>4588</v>
      </c>
      <c r="AA140" s="349" t="s">
        <v>4589</v>
      </c>
      <c r="AB140" s="347" t="s">
        <v>4590</v>
      </c>
      <c r="AC140" s="349" t="s">
        <v>4591</v>
      </c>
      <c r="AD140" s="347" t="s">
        <v>4592</v>
      </c>
      <c r="AE140" s="349" t="s">
        <v>4593</v>
      </c>
      <c r="AF140" s="347" t="s">
        <v>4594</v>
      </c>
      <c r="AG140" s="349" t="s">
        <v>4595</v>
      </c>
      <c r="AH140" s="347" t="s">
        <v>4596</v>
      </c>
      <c r="AI140" s="349" t="s">
        <v>4597</v>
      </c>
      <c r="AJ140" s="347" t="s">
        <v>4598</v>
      </c>
      <c r="AK140" s="349" t="s">
        <v>4599</v>
      </c>
      <c r="AL140" s="347" t="s">
        <v>4600</v>
      </c>
      <c r="AM140" s="349" t="s">
        <v>4601</v>
      </c>
      <c r="AN140" s="347" t="s">
        <v>4602</v>
      </c>
      <c r="AO140" s="351" t="s">
        <v>4603</v>
      </c>
      <c r="AP140" s="429" t="s">
        <v>4604</v>
      </c>
      <c r="AQ140" s="580" t="s">
        <v>4605</v>
      </c>
      <c r="AR140" s="368" t="s">
        <v>4606</v>
      </c>
      <c r="AS140" s="368" t="s">
        <v>4934</v>
      </c>
      <c r="AT140" s="580" t="s">
        <v>4935</v>
      </c>
      <c r="AU140" s="368" t="s">
        <v>4936</v>
      </c>
      <c r="AV140" s="368" t="s">
        <v>4937</v>
      </c>
      <c r="AW140" s="368" t="s">
        <v>5234</v>
      </c>
      <c r="AX140" s="368" t="s">
        <v>5235</v>
      </c>
      <c r="AY140" s="671" t="s">
        <v>5236</v>
      </c>
      <c r="AZ140" t="e">
        <f t="shared" si="98"/>
        <v>#VALUE!</v>
      </c>
      <c r="CB140" s="433" t="e">
        <f t="shared" si="120"/>
        <v>#VALUE!</v>
      </c>
      <c r="CC140" s="433" t="str">
        <f t="shared" si="99"/>
        <v xml:space="preserve"> * La variable Gestante NO DEBEN ser mayor al Total de Mujeres. </v>
      </c>
      <c r="CD140" s="433" t="str">
        <f t="shared" si="100"/>
        <v xml:space="preserve"> * La variable  Atención bajo sedación inhalatoria (con óxido nitroso) NO DEBE ser mayor que el Total Ambos Sexos</v>
      </c>
      <c r="CE140" s="433" t="e">
        <f t="shared" si="101"/>
        <v>#VALUE!</v>
      </c>
      <c r="CF140" s="433" t="str">
        <f t="shared" si="102"/>
        <v xml:space="preserve"> * La variable Compra de Servicio No puede ser mayor al Total Ambos Sexos.</v>
      </c>
      <c r="CG140" s="433" t="str">
        <f t="shared" si="103"/>
        <v xml:space="preserve"> * La variable Usuarios con Discapacidad No puede ser mayor al Total Ambos Sexos.</v>
      </c>
      <c r="CH140" s="433" t="str">
        <f t="shared" si="104"/>
        <v xml:space="preserve"> * La variable Niños, niñas, adolescentes y jóvenes SENAME No puede ser mayor al Total Ambos Sexos.</v>
      </c>
      <c r="CI140" s="433" t="str">
        <f t="shared" si="105"/>
        <v xml:space="preserve"> * La variable Niños, niñas, adolescentes y jóvenes Mejor Niñez no puede ser mayor al Total Ambos Sexos.</v>
      </c>
      <c r="CJ140" s="433" t="str">
        <f t="shared" si="106"/>
        <v xml:space="preserve"> * La variable Migrantes no puede ser mayor al Total Ambos Sexos.</v>
      </c>
      <c r="CK140" s="435"/>
      <c r="CP140" s="434">
        <f t="shared" si="121"/>
        <v>1</v>
      </c>
      <c r="CQ140" s="434">
        <f t="shared" si="113"/>
        <v>1</v>
      </c>
      <c r="CR140" s="434">
        <f t="shared" si="114"/>
        <v>1</v>
      </c>
      <c r="CS140" s="434" t="e">
        <f t="shared" si="110"/>
        <v>#VALUE!</v>
      </c>
      <c r="CT140" s="434">
        <f t="shared" si="115"/>
        <v>1</v>
      </c>
      <c r="CU140" s="434">
        <f t="shared" si="116"/>
        <v>1</v>
      </c>
      <c r="CV140" s="434">
        <f t="shared" si="117"/>
        <v>1</v>
      </c>
      <c r="CW140" s="434">
        <f t="shared" si="118"/>
        <v>1</v>
      </c>
      <c r="CX140" s="434">
        <f t="shared" si="119"/>
        <v>1</v>
      </c>
      <c r="CY140" s="435"/>
    </row>
    <row r="141" spans="1:103" ht="15" customHeight="1" x14ac:dyDescent="0.25">
      <c r="A141" s="5812" t="s">
        <v>5782</v>
      </c>
      <c r="B141" s="7015" t="s">
        <v>1713</v>
      </c>
      <c r="C141" s="7016"/>
      <c r="D141" s="7017"/>
      <c r="E141" s="737" t="s">
        <v>4567</v>
      </c>
      <c r="F141" s="478" t="s">
        <v>4568</v>
      </c>
      <c r="G141" s="553" t="s">
        <v>4569</v>
      </c>
      <c r="H141" s="3598" t="s">
        <v>4570</v>
      </c>
      <c r="I141" s="3599" t="s">
        <v>4571</v>
      </c>
      <c r="J141" s="3598" t="s">
        <v>4572</v>
      </c>
      <c r="K141" s="348" t="s">
        <v>4573</v>
      </c>
      <c r="L141" s="345" t="s">
        <v>4574</v>
      </c>
      <c r="M141" s="349" t="s">
        <v>4575</v>
      </c>
      <c r="N141" s="345" t="s">
        <v>4576</v>
      </c>
      <c r="O141" s="349" t="s">
        <v>4577</v>
      </c>
      <c r="P141" s="347" t="s">
        <v>4578</v>
      </c>
      <c r="Q141" s="349" t="s">
        <v>4579</v>
      </c>
      <c r="R141" s="347" t="s">
        <v>4580</v>
      </c>
      <c r="S141" s="349" t="s">
        <v>4581</v>
      </c>
      <c r="T141" s="347" t="s">
        <v>4582</v>
      </c>
      <c r="U141" s="349" t="s">
        <v>4583</v>
      </c>
      <c r="V141" s="347" t="s">
        <v>4584</v>
      </c>
      <c r="W141" s="349" t="s">
        <v>4585</v>
      </c>
      <c r="X141" s="347" t="s">
        <v>4586</v>
      </c>
      <c r="Y141" s="349" t="s">
        <v>4587</v>
      </c>
      <c r="Z141" s="347" t="s">
        <v>4588</v>
      </c>
      <c r="AA141" s="349" t="s">
        <v>4589</v>
      </c>
      <c r="AB141" s="347" t="s">
        <v>4590</v>
      </c>
      <c r="AC141" s="349" t="s">
        <v>4591</v>
      </c>
      <c r="AD141" s="347" t="s">
        <v>4592</v>
      </c>
      <c r="AE141" s="349" t="s">
        <v>4593</v>
      </c>
      <c r="AF141" s="347" t="s">
        <v>4594</v>
      </c>
      <c r="AG141" s="349" t="s">
        <v>4595</v>
      </c>
      <c r="AH141" s="347" t="s">
        <v>4596</v>
      </c>
      <c r="AI141" s="349" t="s">
        <v>4597</v>
      </c>
      <c r="AJ141" s="347" t="s">
        <v>4598</v>
      </c>
      <c r="AK141" s="349" t="s">
        <v>4599</v>
      </c>
      <c r="AL141" s="347" t="s">
        <v>4600</v>
      </c>
      <c r="AM141" s="349" t="s">
        <v>4601</v>
      </c>
      <c r="AN141" s="347" t="s">
        <v>4602</v>
      </c>
      <c r="AO141" s="351" t="s">
        <v>4603</v>
      </c>
      <c r="AP141" s="429" t="s">
        <v>4604</v>
      </c>
      <c r="AQ141" s="368" t="s">
        <v>4605</v>
      </c>
      <c r="AR141" s="368" t="s">
        <v>4606</v>
      </c>
      <c r="AS141" s="368" t="s">
        <v>4934</v>
      </c>
      <c r="AT141" s="368" t="s">
        <v>4935</v>
      </c>
      <c r="AU141" s="368" t="s">
        <v>4936</v>
      </c>
      <c r="AV141" s="368" t="s">
        <v>4937</v>
      </c>
      <c r="AW141" s="368" t="s">
        <v>5234</v>
      </c>
      <c r="AX141" s="368" t="s">
        <v>5235</v>
      </c>
      <c r="AY141" s="346" t="s">
        <v>5236</v>
      </c>
      <c r="AZ141" t="e">
        <f t="shared" si="98"/>
        <v>#VALUE!</v>
      </c>
      <c r="CB141" s="433" t="e">
        <f t="shared" si="120"/>
        <v>#VALUE!</v>
      </c>
      <c r="CC141" s="433" t="str">
        <f t="shared" si="99"/>
        <v xml:space="preserve"> * La variable Gestante NO DEBEN ser mayor al Total de Mujeres. </v>
      </c>
      <c r="CD141" s="433" t="str">
        <f t="shared" si="100"/>
        <v xml:space="preserve"> * La variable  Atención bajo sedación inhalatoria (con óxido nitroso) NO DEBE ser mayor que el Total Ambos Sexos</v>
      </c>
      <c r="CE141" s="433" t="e">
        <f t="shared" si="101"/>
        <v>#VALUE!</v>
      </c>
      <c r="CF141" s="433" t="str">
        <f t="shared" si="102"/>
        <v xml:space="preserve"> * La variable Compra de Servicio No puede ser mayor al Total Ambos Sexos.</v>
      </c>
      <c r="CG141" s="433" t="str">
        <f t="shared" si="103"/>
        <v xml:space="preserve"> * La variable Usuarios con Discapacidad No puede ser mayor al Total Ambos Sexos.</v>
      </c>
      <c r="CH141" s="433" t="str">
        <f t="shared" si="104"/>
        <v xml:space="preserve"> * La variable Niños, niñas, adolescentes y jóvenes SENAME No puede ser mayor al Total Ambos Sexos.</v>
      </c>
      <c r="CI141" s="433" t="str">
        <f t="shared" si="105"/>
        <v xml:space="preserve"> * La variable Niños, niñas, adolescentes y jóvenes Mejor Niñez no puede ser mayor al Total Ambos Sexos.</v>
      </c>
      <c r="CJ141" s="433" t="str">
        <f t="shared" si="106"/>
        <v xml:space="preserve"> * La variable Migrantes no puede ser mayor al Total Ambos Sexos.</v>
      </c>
      <c r="CK141" s="433" t="str">
        <f t="shared" si="107"/>
        <v xml:space="preserve"> * La variable Flujo digital no puede ser mayor al Total Ambos Sexos.</v>
      </c>
      <c r="CP141" s="434">
        <f t="shared" si="121"/>
        <v>1</v>
      </c>
      <c r="CQ141" s="434">
        <f t="shared" si="113"/>
        <v>1</v>
      </c>
      <c r="CR141" s="434">
        <f t="shared" si="114"/>
        <v>1</v>
      </c>
      <c r="CS141" s="434" t="e">
        <f t="shared" si="110"/>
        <v>#VALUE!</v>
      </c>
      <c r="CT141" s="434">
        <f t="shared" si="115"/>
        <v>1</v>
      </c>
      <c r="CU141" s="434">
        <f t="shared" si="116"/>
        <v>1</v>
      </c>
      <c r="CV141" s="434">
        <f t="shared" si="117"/>
        <v>1</v>
      </c>
      <c r="CW141" s="434">
        <f t="shared" si="118"/>
        <v>1</v>
      </c>
      <c r="CX141" s="434">
        <f t="shared" si="119"/>
        <v>1</v>
      </c>
      <c r="CY141" s="434">
        <f>IF(AND($E141&gt;0,AY141=""),1,IF(AY141&gt;$E141,1,0))</f>
        <v>1</v>
      </c>
    </row>
    <row r="142" spans="1:103" ht="15" customHeight="1" x14ac:dyDescent="0.25">
      <c r="A142" s="5813" t="s">
        <v>5783</v>
      </c>
      <c r="B142" s="6916" t="s">
        <v>1714</v>
      </c>
      <c r="C142" s="7006"/>
      <c r="D142" s="6917"/>
      <c r="E142" s="703" t="s">
        <v>4567</v>
      </c>
      <c r="F142" s="483" t="s">
        <v>4568</v>
      </c>
      <c r="G142" s="556" t="s">
        <v>4569</v>
      </c>
      <c r="H142" s="3604" t="s">
        <v>4570</v>
      </c>
      <c r="I142" s="3605" t="s">
        <v>4571</v>
      </c>
      <c r="J142" s="3604" t="s">
        <v>4572</v>
      </c>
      <c r="K142" s="3099" t="s">
        <v>4573</v>
      </c>
      <c r="L142" s="47" t="s">
        <v>4574</v>
      </c>
      <c r="M142" s="388" t="s">
        <v>4575</v>
      </c>
      <c r="N142" s="379" t="s">
        <v>4576</v>
      </c>
      <c r="O142" s="388" t="s">
        <v>4577</v>
      </c>
      <c r="P142" s="428" t="s">
        <v>4578</v>
      </c>
      <c r="Q142" s="388" t="s">
        <v>4579</v>
      </c>
      <c r="R142" s="428" t="s">
        <v>4580</v>
      </c>
      <c r="S142" s="388" t="s">
        <v>4581</v>
      </c>
      <c r="T142" s="428" t="s">
        <v>4582</v>
      </c>
      <c r="U142" s="388" t="s">
        <v>4583</v>
      </c>
      <c r="V142" s="428" t="s">
        <v>4584</v>
      </c>
      <c r="W142" s="388" t="s">
        <v>4585</v>
      </c>
      <c r="X142" s="428" t="s">
        <v>4586</v>
      </c>
      <c r="Y142" s="388" t="s">
        <v>4587</v>
      </c>
      <c r="Z142" s="428" t="s">
        <v>4588</v>
      </c>
      <c r="AA142" s="388" t="s">
        <v>4589</v>
      </c>
      <c r="AB142" s="428" t="s">
        <v>4590</v>
      </c>
      <c r="AC142" s="388" t="s">
        <v>4591</v>
      </c>
      <c r="AD142" s="428" t="s">
        <v>4592</v>
      </c>
      <c r="AE142" s="388" t="s">
        <v>4593</v>
      </c>
      <c r="AF142" s="428" t="s">
        <v>4594</v>
      </c>
      <c r="AG142" s="388" t="s">
        <v>4595</v>
      </c>
      <c r="AH142" s="428" t="s">
        <v>4596</v>
      </c>
      <c r="AI142" s="388" t="s">
        <v>4597</v>
      </c>
      <c r="AJ142" s="428" t="s">
        <v>4598</v>
      </c>
      <c r="AK142" s="388" t="s">
        <v>4599</v>
      </c>
      <c r="AL142" s="428" t="s">
        <v>4600</v>
      </c>
      <c r="AM142" s="388" t="s">
        <v>4601</v>
      </c>
      <c r="AN142" s="428" t="s">
        <v>4602</v>
      </c>
      <c r="AO142" s="389" t="s">
        <v>4603</v>
      </c>
      <c r="AP142" s="378" t="s">
        <v>4604</v>
      </c>
      <c r="AQ142" s="368" t="s">
        <v>4605</v>
      </c>
      <c r="AR142" s="368" t="s">
        <v>4606</v>
      </c>
      <c r="AS142" s="368" t="s">
        <v>4934</v>
      </c>
      <c r="AT142" s="368" t="s">
        <v>4935</v>
      </c>
      <c r="AU142" s="368" t="s">
        <v>4936</v>
      </c>
      <c r="AV142" s="242" t="s">
        <v>4937</v>
      </c>
      <c r="AW142" s="242" t="s">
        <v>5234</v>
      </c>
      <c r="AX142" s="242" t="s">
        <v>5235</v>
      </c>
      <c r="AY142" s="42" t="s">
        <v>5236</v>
      </c>
      <c r="AZ142" t="e">
        <f>CB142&amp;CC142&amp;CD142&amp;CE142&amp;CF142&amp;CG142&amp;CH142&amp;CI142&amp;CJ142&amp;CK142</f>
        <v>#VALUE!</v>
      </c>
      <c r="CB142" s="433" t="e">
        <f t="shared" si="120"/>
        <v>#VALUE!</v>
      </c>
      <c r="CC142" s="433" t="str">
        <f t="shared" si="99"/>
        <v xml:space="preserve"> * La variable Gestante NO DEBEN ser mayor al Total de Mujeres. </v>
      </c>
      <c r="CD142" s="433" t="str">
        <f t="shared" si="100"/>
        <v xml:space="preserve"> * La variable  Atención bajo sedación inhalatoria (con óxido nitroso) NO DEBE ser mayor que el Total Ambos Sexos</v>
      </c>
      <c r="CE142" s="433" t="e">
        <f t="shared" si="101"/>
        <v>#VALUE!</v>
      </c>
      <c r="CF142" s="433" t="str">
        <f t="shared" si="102"/>
        <v xml:space="preserve"> * La variable Compra de Servicio No puede ser mayor al Total Ambos Sexos.</v>
      </c>
      <c r="CG142" s="433" t="str">
        <f t="shared" si="103"/>
        <v xml:space="preserve"> * La variable Usuarios con Discapacidad No puede ser mayor al Total Ambos Sexos.</v>
      </c>
      <c r="CH142" s="433" t="str">
        <f t="shared" si="104"/>
        <v xml:space="preserve"> * La variable Niños, niñas, adolescentes y jóvenes SENAME No puede ser mayor al Total Ambos Sexos.</v>
      </c>
      <c r="CI142" s="433" t="str">
        <f t="shared" si="105"/>
        <v xml:space="preserve"> * La variable Niños, niñas, adolescentes y jóvenes Mejor Niñez no puede ser mayor al Total Ambos Sexos.</v>
      </c>
      <c r="CJ142" s="433" t="str">
        <f t="shared" si="106"/>
        <v xml:space="preserve"> * La variable Migrantes no puede ser mayor al Total Ambos Sexos.</v>
      </c>
      <c r="CK142" s="433" t="str">
        <f t="shared" si="107"/>
        <v xml:space="preserve"> * La variable Flujo digital no puede ser mayor al Total Ambos Sexos.</v>
      </c>
      <c r="CP142" s="434">
        <f t="shared" si="121"/>
        <v>1</v>
      </c>
      <c r="CQ142" s="434">
        <f t="shared" si="113"/>
        <v>1</v>
      </c>
      <c r="CR142" s="434">
        <f t="shared" si="114"/>
        <v>1</v>
      </c>
      <c r="CS142" s="434" t="e">
        <f t="shared" si="110"/>
        <v>#VALUE!</v>
      </c>
      <c r="CT142" s="434">
        <f t="shared" si="115"/>
        <v>1</v>
      </c>
      <c r="CU142" s="434">
        <f t="shared" si="116"/>
        <v>1</v>
      </c>
      <c r="CV142" s="434">
        <f t="shared" si="117"/>
        <v>1</v>
      </c>
      <c r="CW142" s="434">
        <f t="shared" si="118"/>
        <v>1</v>
      </c>
      <c r="CX142" s="434">
        <f t="shared" si="119"/>
        <v>1</v>
      </c>
      <c r="CY142" s="434">
        <f>IF(AND($E142&gt;0,AY142=""),1,IF(AY142&gt;$E142,1,0))</f>
        <v>1</v>
      </c>
    </row>
    <row r="143" spans="1:103" ht="15" customHeight="1" x14ac:dyDescent="0.25">
      <c r="A143" s="5616"/>
      <c r="B143" s="6956" t="s">
        <v>77</v>
      </c>
      <c r="C143" s="6515"/>
      <c r="D143" s="6545"/>
      <c r="E143" s="3606">
        <f t="shared" ref="E143" si="122">SUM(F143:G143)</f>
        <v>0</v>
      </c>
      <c r="F143" s="3467">
        <f t="shared" ref="F143" si="123">SUM(H143+J143+L143+N143+P143+R143+T143+V143+X143+Z143+AB143+AD143+AF143+AH143+AJ143+AL143+AN143)</f>
        <v>0</v>
      </c>
      <c r="G143" s="572">
        <f>SUM(I143+K143+M143+O143+Q143+S143+U143+W143+Y143+AA143+AC143+AE143+AG143+AI143+AK143+AM143+AO143)</f>
        <v>0</v>
      </c>
      <c r="H143" s="3606">
        <f>SUM(H91:H103,H105:H109,H115:H117,H120,H128:H142)</f>
        <v>0</v>
      </c>
      <c r="I143" s="3607">
        <f>SUM(I91:I103,I105:I109,I115:I117,I120,I128:I142)</f>
        <v>0</v>
      </c>
      <c r="J143" s="3606">
        <f>SUM(J91:J103,J105:J109,J115:J117,J120,J128:J142)</f>
        <v>0</v>
      </c>
      <c r="K143" s="3608">
        <f>SUM(K91:K103,K105:K109,K115:K117,K120,K128:K142)</f>
        <v>0</v>
      </c>
      <c r="L143" s="3606">
        <f t="shared" ref="L143:Q143" si="124">SUM(L91:L103,L105:L109,L115:L117,L119:L120,L128:L142)</f>
        <v>0</v>
      </c>
      <c r="M143" s="3607">
        <f t="shared" si="124"/>
        <v>0</v>
      </c>
      <c r="N143" s="3426">
        <f t="shared" si="124"/>
        <v>0</v>
      </c>
      <c r="O143" s="3427">
        <f t="shared" si="124"/>
        <v>0</v>
      </c>
      <c r="P143" s="3426">
        <f t="shared" si="124"/>
        <v>0</v>
      </c>
      <c r="Q143" s="3427">
        <f t="shared" si="124"/>
        <v>0</v>
      </c>
      <c r="R143" s="3426">
        <f>SUM(R91:R103,R105:R117,R119:R121,R126,R128:R142)</f>
        <v>0</v>
      </c>
      <c r="S143" s="3609">
        <f>SUM(S91:S103,S105:S117,S119:S121,S126,S128:S142)</f>
        <v>0</v>
      </c>
      <c r="T143" s="3426">
        <f t="shared" ref="T143:Y143" si="125">SUM(T91:T103,T105:T121,T126,T128:T142)</f>
        <v>0</v>
      </c>
      <c r="U143" s="3427">
        <f t="shared" si="125"/>
        <v>0</v>
      </c>
      <c r="V143" s="3426">
        <f t="shared" si="125"/>
        <v>0</v>
      </c>
      <c r="W143" s="3427">
        <f t="shared" si="125"/>
        <v>0</v>
      </c>
      <c r="X143" s="3426">
        <f t="shared" si="125"/>
        <v>0</v>
      </c>
      <c r="Y143" s="3427">
        <f t="shared" si="125"/>
        <v>0</v>
      </c>
      <c r="Z143" s="3426">
        <f>SUM(Z91:Z142)</f>
        <v>0</v>
      </c>
      <c r="AA143" s="3427">
        <f>SUM(AA91:AA142)</f>
        <v>0</v>
      </c>
      <c r="AB143" s="3426">
        <f t="shared" ref="AB143:AO143" si="126">SUM(AB91:AB104,AB106:AB112,AB114:AB142)</f>
        <v>0</v>
      </c>
      <c r="AC143" s="3427">
        <f t="shared" si="126"/>
        <v>0</v>
      </c>
      <c r="AD143" s="3426">
        <f t="shared" si="126"/>
        <v>0</v>
      </c>
      <c r="AE143" s="3427">
        <f t="shared" si="126"/>
        <v>0</v>
      </c>
      <c r="AF143" s="3426">
        <f t="shared" si="126"/>
        <v>0</v>
      </c>
      <c r="AG143" s="3427">
        <f t="shared" si="126"/>
        <v>0</v>
      </c>
      <c r="AH143" s="3426">
        <f t="shared" si="126"/>
        <v>0</v>
      </c>
      <c r="AI143" s="3427">
        <f t="shared" si="126"/>
        <v>0</v>
      </c>
      <c r="AJ143" s="3426">
        <f t="shared" si="126"/>
        <v>0</v>
      </c>
      <c r="AK143" s="3427">
        <f t="shared" si="126"/>
        <v>0</v>
      </c>
      <c r="AL143" s="3426">
        <f t="shared" si="126"/>
        <v>0</v>
      </c>
      <c r="AM143" s="3427">
        <f t="shared" si="126"/>
        <v>0</v>
      </c>
      <c r="AN143" s="3426">
        <f t="shared" si="126"/>
        <v>0</v>
      </c>
      <c r="AO143" s="3427">
        <f t="shared" si="126"/>
        <v>0</v>
      </c>
      <c r="AP143" s="613">
        <f>SUM(AP91:AP103,AP105:AP120,AP128:AP142,AP126)</f>
        <v>0</v>
      </c>
      <c r="AQ143" s="610">
        <f>SUM(AQ91:AQ142)</f>
        <v>0</v>
      </c>
      <c r="AR143" s="610">
        <f>SUM(AR91:AR142)</f>
        <v>0</v>
      </c>
      <c r="AS143" s="610">
        <f>SUM(AS91:AS104,AS106:AS112,AS114:AS142)</f>
        <v>0</v>
      </c>
      <c r="AT143" s="610">
        <f>SUM(AT91:AT142)</f>
        <v>0</v>
      </c>
      <c r="AU143" s="610">
        <f t="shared" ref="AU143:AX143" si="127">SUM(AU91:AU142)</f>
        <v>0</v>
      </c>
      <c r="AV143" s="610">
        <f t="shared" si="127"/>
        <v>0</v>
      </c>
      <c r="AW143" s="610">
        <f t="shared" si="127"/>
        <v>0</v>
      </c>
      <c r="AX143" s="610">
        <f t="shared" si="127"/>
        <v>0</v>
      </c>
      <c r="AY143" s="3427">
        <f>SUM(AY104,AY116,AY121:AY127,AY138:AY139,AY141:AY142)</f>
        <v>0</v>
      </c>
    </row>
    <row r="144" spans="1:103" ht="18" customHeight="1" x14ac:dyDescent="0.25">
      <c r="B144" s="3" t="s">
        <v>1715</v>
      </c>
      <c r="C144" s="53"/>
      <c r="D144" s="53"/>
      <c r="E144" s="3610"/>
      <c r="F144" s="24"/>
      <c r="G144" s="24"/>
      <c r="H144" s="3610"/>
      <c r="I144" s="3610"/>
      <c r="J144" s="3610"/>
      <c r="K144" s="3610"/>
      <c r="L144" s="3610"/>
      <c r="M144" s="3610"/>
      <c r="N144" s="3611"/>
      <c r="O144" s="3611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</row>
    <row r="145" spans="1:51" ht="21.75" customHeight="1" x14ac:dyDescent="0.25">
      <c r="B145" s="6444" t="s">
        <v>1635</v>
      </c>
      <c r="C145" s="6458" t="s">
        <v>1716</v>
      </c>
      <c r="D145" s="6454" t="s">
        <v>1717</v>
      </c>
      <c r="E145" s="6645" t="s">
        <v>1718</v>
      </c>
      <c r="F145" s="6579" t="s">
        <v>1719</v>
      </c>
      <c r="G145" s="6492" t="s">
        <v>1720</v>
      </c>
      <c r="H145" s="6645" t="s">
        <v>1721</v>
      </c>
      <c r="I145" s="7073" t="s">
        <v>1722</v>
      </c>
      <c r="J145" s="6511" t="s">
        <v>1723</v>
      </c>
      <c r="K145" s="7076" t="s">
        <v>1724</v>
      </c>
      <c r="L145" s="7077" t="s">
        <v>1725</v>
      </c>
      <c r="M145" s="6517" t="s">
        <v>1720</v>
      </c>
      <c r="N145" s="6645" t="s">
        <v>1721</v>
      </c>
      <c r="O145" s="6576" t="s">
        <v>1722</v>
      </c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166"/>
      <c r="AR145" s="6045"/>
      <c r="AS145" s="6045"/>
      <c r="AT145" s="6045"/>
      <c r="AU145" s="6045"/>
      <c r="AV145" s="6045"/>
      <c r="AW145" s="6045"/>
      <c r="AX145" s="6045"/>
      <c r="AY145" s="6045"/>
    </row>
    <row r="146" spans="1:51" ht="27" customHeight="1" x14ac:dyDescent="0.25">
      <c r="B146" s="6039"/>
      <c r="C146" s="6023"/>
      <c r="D146" s="6102"/>
      <c r="E146" s="6386"/>
      <c r="F146" s="7072"/>
      <c r="G146" s="6105"/>
      <c r="H146" s="6386"/>
      <c r="I146" s="7074"/>
      <c r="J146" s="6027"/>
      <c r="K146" s="7076"/>
      <c r="L146" s="7077"/>
      <c r="M146" s="6034"/>
      <c r="N146" s="6386"/>
      <c r="O146" s="6331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6"/>
      <c r="AA146" s="167"/>
      <c r="AB146" s="166"/>
      <c r="AC146" s="167"/>
      <c r="AD146" s="166"/>
      <c r="AE146" s="167"/>
      <c r="AF146" s="166"/>
      <c r="AG146" s="167"/>
      <c r="AH146" s="166"/>
      <c r="AI146" s="167"/>
      <c r="AJ146" s="166"/>
      <c r="AK146" s="167"/>
      <c r="AL146" s="166"/>
      <c r="AM146" s="167"/>
      <c r="AN146" s="166"/>
      <c r="AO146" s="167"/>
      <c r="AP146" s="166"/>
      <c r="AQ146" s="167"/>
      <c r="AR146" s="6045"/>
      <c r="AS146" s="6045"/>
      <c r="AT146" s="6045"/>
      <c r="AU146" s="6045"/>
      <c r="AV146" s="6045"/>
      <c r="AW146" s="6045"/>
      <c r="AX146" s="6045"/>
      <c r="AY146" s="6045"/>
    </row>
    <row r="147" spans="1:51" ht="22.5" customHeight="1" x14ac:dyDescent="0.25">
      <c r="B147" s="6733"/>
      <c r="C147" s="6739"/>
      <c r="D147" s="6751"/>
      <c r="E147" s="6086"/>
      <c r="F147" s="6224"/>
      <c r="G147" s="6894"/>
      <c r="H147" s="6086"/>
      <c r="I147" s="7075"/>
      <c r="J147" s="6955"/>
      <c r="K147" s="7076"/>
      <c r="L147" s="7077"/>
      <c r="M147" s="6035"/>
      <c r="N147" s="6086"/>
      <c r="O147" s="691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6045"/>
      <c r="AS147" s="6045"/>
      <c r="AT147" s="6045"/>
      <c r="AU147" s="6045"/>
      <c r="AV147" s="6045"/>
      <c r="AW147" s="6045"/>
      <c r="AX147" s="6045"/>
      <c r="AY147" s="6045"/>
    </row>
    <row r="148" spans="1:51" ht="15" customHeight="1" x14ac:dyDescent="0.25">
      <c r="A148" s="5813" t="s">
        <v>5784</v>
      </c>
      <c r="B148" s="3612" t="s">
        <v>1641</v>
      </c>
      <c r="C148" s="3091" t="s">
        <v>4567</v>
      </c>
      <c r="D148" s="3613" t="s">
        <v>4568</v>
      </c>
      <c r="E148" s="3614" t="s">
        <v>4569</v>
      </c>
      <c r="F148" s="3615" t="s">
        <v>4570</v>
      </c>
      <c r="G148" s="537" t="s">
        <v>4571</v>
      </c>
      <c r="H148" s="3614" t="s">
        <v>4572</v>
      </c>
      <c r="I148" s="3616" t="s">
        <v>4573</v>
      </c>
      <c r="J148" s="223" t="s">
        <v>4574</v>
      </c>
      <c r="K148" s="3617" t="s">
        <v>4575</v>
      </c>
      <c r="L148" s="3615" t="s">
        <v>4576</v>
      </c>
      <c r="M148" s="3595" t="s">
        <v>4577</v>
      </c>
      <c r="N148" s="3614" t="s">
        <v>4578</v>
      </c>
      <c r="O148" s="3618" t="s">
        <v>4579</v>
      </c>
      <c r="Q148" s="3253"/>
      <c r="R148" s="3253"/>
      <c r="S148" s="3253"/>
      <c r="T148" s="3253"/>
      <c r="U148" s="3253"/>
      <c r="V148" s="3253"/>
      <c r="W148" s="3253"/>
      <c r="X148" s="3253"/>
      <c r="Y148" s="3253"/>
      <c r="Z148" s="3253"/>
      <c r="AA148" s="3253"/>
      <c r="AB148" s="3253"/>
      <c r="AC148" s="3253"/>
      <c r="AD148" s="3253"/>
      <c r="AE148" s="3253"/>
      <c r="AF148" s="3253"/>
      <c r="AG148" s="3253"/>
      <c r="AH148" s="3253"/>
      <c r="AI148" s="3253"/>
      <c r="AJ148" s="3253"/>
      <c r="AK148" s="3253"/>
      <c r="AL148" s="3253"/>
      <c r="AM148" s="3253"/>
      <c r="AN148" s="3253"/>
      <c r="AO148" s="3253"/>
      <c r="AP148" s="3253"/>
      <c r="AQ148" s="3253"/>
      <c r="AR148" s="3253"/>
      <c r="AS148" s="3253"/>
      <c r="AT148" s="3253"/>
      <c r="AU148" s="3253"/>
      <c r="AV148" s="3253"/>
      <c r="AW148" s="3253"/>
      <c r="AX148" s="3253"/>
      <c r="AY148" s="3253"/>
    </row>
    <row r="149" spans="1:51" ht="15" customHeight="1" x14ac:dyDescent="0.25">
      <c r="A149" s="5813" t="s">
        <v>5785</v>
      </c>
      <c r="B149" s="3612" t="s">
        <v>1671</v>
      </c>
      <c r="C149" s="3096" t="s">
        <v>4567</v>
      </c>
      <c r="D149" s="3619" t="s">
        <v>4568</v>
      </c>
      <c r="E149" s="3600" t="s">
        <v>4569</v>
      </c>
      <c r="F149" s="3620" t="s">
        <v>4570</v>
      </c>
      <c r="G149" s="3602" t="s">
        <v>4571</v>
      </c>
      <c r="H149" s="3600" t="s">
        <v>4572</v>
      </c>
      <c r="I149" s="3621" t="s">
        <v>4573</v>
      </c>
      <c r="J149" s="223" t="s">
        <v>4574</v>
      </c>
      <c r="K149" s="3598" t="s">
        <v>4575</v>
      </c>
      <c r="L149" s="3620" t="s">
        <v>4576</v>
      </c>
      <c r="M149" s="3622" t="s">
        <v>4577</v>
      </c>
      <c r="N149" s="3600" t="s">
        <v>4578</v>
      </c>
      <c r="O149" s="3623" t="s">
        <v>4579</v>
      </c>
      <c r="Q149" s="3253"/>
      <c r="R149" s="3253"/>
      <c r="S149" s="3253"/>
      <c r="T149" s="3253"/>
      <c r="U149" s="3253"/>
      <c r="V149" s="3253"/>
      <c r="W149" s="3253"/>
      <c r="X149" s="3253"/>
      <c r="Y149" s="3253"/>
      <c r="Z149" s="3253"/>
      <c r="AA149" s="3253"/>
      <c r="AB149" s="3253"/>
      <c r="AC149" s="3253"/>
      <c r="AD149" s="3253"/>
      <c r="AE149" s="3253"/>
      <c r="AF149" s="3253"/>
      <c r="AG149" s="3253"/>
      <c r="AH149" s="3253"/>
      <c r="AI149" s="3253"/>
      <c r="AJ149" s="3253"/>
      <c r="AK149" s="3253"/>
      <c r="AL149" s="3253"/>
      <c r="AM149" s="3253"/>
      <c r="AN149" s="3253"/>
      <c r="AO149" s="3253"/>
      <c r="AP149" s="3253"/>
      <c r="AQ149" s="3253"/>
      <c r="AR149" s="3253"/>
      <c r="AS149" s="3253"/>
      <c r="AT149" s="3253"/>
      <c r="AU149" s="3253"/>
      <c r="AV149" s="3253"/>
      <c r="AW149" s="3253"/>
      <c r="AX149" s="3253"/>
      <c r="AY149" s="3253"/>
    </row>
    <row r="150" spans="1:51" ht="15" customHeight="1" x14ac:dyDescent="0.25">
      <c r="A150" s="5813" t="s">
        <v>5786</v>
      </c>
      <c r="B150" s="3612" t="s">
        <v>1645</v>
      </c>
      <c r="C150" s="3096" t="s">
        <v>4567</v>
      </c>
      <c r="D150" s="3624" t="s">
        <v>4568</v>
      </c>
      <c r="E150" s="3600" t="s">
        <v>4569</v>
      </c>
      <c r="F150" s="3620" t="s">
        <v>4570</v>
      </c>
      <c r="G150" s="3602" t="s">
        <v>4571</v>
      </c>
      <c r="H150" s="3600" t="s">
        <v>4572</v>
      </c>
      <c r="I150" s="3621" t="s">
        <v>4573</v>
      </c>
      <c r="J150" s="223" t="s">
        <v>4574</v>
      </c>
      <c r="K150" s="3598" t="s">
        <v>4575</v>
      </c>
      <c r="L150" s="3620" t="s">
        <v>4576</v>
      </c>
      <c r="M150" s="3622" t="s">
        <v>4577</v>
      </c>
      <c r="N150" s="3600" t="s">
        <v>4578</v>
      </c>
      <c r="O150" s="3623" t="s">
        <v>4579</v>
      </c>
      <c r="Q150" s="3253"/>
      <c r="R150" s="3253"/>
      <c r="S150" s="3253"/>
      <c r="T150" s="3253"/>
      <c r="U150" s="3253"/>
      <c r="V150" s="3253"/>
      <c r="W150" s="3253"/>
      <c r="X150" s="3253"/>
      <c r="Y150" s="3253"/>
      <c r="Z150" s="3253"/>
      <c r="AA150" s="3253"/>
      <c r="AB150" s="3253"/>
      <c r="AC150" s="3253"/>
      <c r="AD150" s="3253"/>
      <c r="AE150" s="3253"/>
      <c r="AF150" s="3253"/>
      <c r="AG150" s="3253"/>
      <c r="AH150" s="3253"/>
      <c r="AI150" s="3253"/>
      <c r="AJ150" s="3253"/>
      <c r="AK150" s="3253"/>
      <c r="AL150" s="3253"/>
      <c r="AM150" s="3253"/>
      <c r="AN150" s="3253"/>
      <c r="AO150" s="3253"/>
      <c r="AP150" s="3253"/>
      <c r="AQ150" s="3253"/>
      <c r="AR150" s="3253"/>
      <c r="AS150" s="3253"/>
      <c r="AT150" s="3253"/>
      <c r="AU150" s="3253"/>
      <c r="AV150" s="3253"/>
      <c r="AW150" s="3253"/>
      <c r="AX150" s="3253"/>
      <c r="AY150" s="3253"/>
    </row>
    <row r="151" spans="1:51" ht="15" customHeight="1" x14ac:dyDescent="0.25">
      <c r="A151" s="5813" t="s">
        <v>5787</v>
      </c>
      <c r="B151" s="3612" t="s">
        <v>1646</v>
      </c>
      <c r="C151" s="3096" t="s">
        <v>4567</v>
      </c>
      <c r="D151" s="3619" t="s">
        <v>4568</v>
      </c>
      <c r="E151" s="3600" t="s">
        <v>4569</v>
      </c>
      <c r="F151" s="3620" t="s">
        <v>4570</v>
      </c>
      <c r="G151" s="537" t="s">
        <v>4571</v>
      </c>
      <c r="H151" s="3600" t="s">
        <v>4572</v>
      </c>
      <c r="I151" s="3621" t="s">
        <v>4573</v>
      </c>
      <c r="J151" s="223" t="s">
        <v>4574</v>
      </c>
      <c r="K151" s="3598" t="s">
        <v>4575</v>
      </c>
      <c r="L151" s="3620" t="s">
        <v>4576</v>
      </c>
      <c r="M151" s="3595" t="s">
        <v>4577</v>
      </c>
      <c r="N151" s="3600" t="s">
        <v>4578</v>
      </c>
      <c r="O151" s="3623" t="s">
        <v>4579</v>
      </c>
      <c r="Q151" s="3253"/>
      <c r="R151" s="3253"/>
      <c r="S151" s="3253"/>
      <c r="T151" s="3253"/>
      <c r="U151" s="3253"/>
      <c r="V151" s="3253"/>
      <c r="W151" s="3253"/>
      <c r="X151" s="3253"/>
      <c r="Y151" s="3253"/>
      <c r="Z151" s="3253"/>
      <c r="AA151" s="3253"/>
      <c r="AB151" s="3253"/>
      <c r="AC151" s="3253"/>
      <c r="AD151" s="3253"/>
      <c r="AE151" s="3253"/>
      <c r="AF151" s="3253"/>
      <c r="AG151" s="3253"/>
      <c r="AH151" s="3253"/>
      <c r="AI151" s="3253"/>
      <c r="AJ151" s="3253"/>
      <c r="AK151" s="3253"/>
      <c r="AL151" s="3253"/>
      <c r="AM151" s="3253"/>
      <c r="AN151" s="3253"/>
      <c r="AO151" s="3253"/>
      <c r="AP151" s="3253"/>
      <c r="AQ151" s="3253"/>
      <c r="AR151" s="3253"/>
      <c r="AS151" s="3253"/>
      <c r="AT151" s="3253"/>
      <c r="AU151" s="3253"/>
      <c r="AV151" s="3253"/>
      <c r="AW151" s="3253"/>
      <c r="AX151" s="3253"/>
      <c r="AY151" s="3253"/>
    </row>
    <row r="152" spans="1:51" ht="15" customHeight="1" x14ac:dyDescent="0.25">
      <c r="A152" s="5813" t="s">
        <v>5788</v>
      </c>
      <c r="B152" s="3612" t="s">
        <v>1726</v>
      </c>
      <c r="C152" s="3096" t="s">
        <v>4567</v>
      </c>
      <c r="D152" s="3624" t="s">
        <v>4568</v>
      </c>
      <c r="E152" s="3600" t="s">
        <v>4569</v>
      </c>
      <c r="F152" s="3620" t="s">
        <v>4570</v>
      </c>
      <c r="G152" s="537" t="s">
        <v>4571</v>
      </c>
      <c r="H152" s="3600" t="s">
        <v>4572</v>
      </c>
      <c r="I152" s="3621" t="s">
        <v>4573</v>
      </c>
      <c r="J152" s="223" t="s">
        <v>4574</v>
      </c>
      <c r="K152" s="3598" t="s">
        <v>4575</v>
      </c>
      <c r="L152" s="3620" t="s">
        <v>4576</v>
      </c>
      <c r="M152" s="3595" t="s">
        <v>4577</v>
      </c>
      <c r="N152" s="3600" t="s">
        <v>4578</v>
      </c>
      <c r="O152" s="3623" t="s">
        <v>4579</v>
      </c>
      <c r="Q152" s="3253"/>
      <c r="R152" s="3253"/>
      <c r="S152" s="3253"/>
      <c r="T152" s="3253"/>
      <c r="U152" s="3253"/>
      <c r="V152" s="3253"/>
      <c r="W152" s="3253"/>
      <c r="X152" s="3253"/>
      <c r="Y152" s="3253"/>
      <c r="Z152" s="3253"/>
      <c r="AA152" s="3253"/>
      <c r="AB152" s="3253"/>
      <c r="AC152" s="3253"/>
      <c r="AD152" s="3253"/>
      <c r="AE152" s="3253"/>
      <c r="AF152" s="3253"/>
      <c r="AG152" s="3253"/>
      <c r="AH152" s="3253"/>
      <c r="AI152" s="3253"/>
      <c r="AJ152" s="3253"/>
      <c r="AK152" s="3253"/>
      <c r="AL152" s="3253"/>
      <c r="AM152" s="3253"/>
      <c r="AN152" s="3253"/>
      <c r="AO152" s="3253"/>
      <c r="AP152" s="3253"/>
      <c r="AQ152" s="3253"/>
      <c r="AR152" s="3253"/>
      <c r="AS152" s="3253"/>
      <c r="AT152" s="3253"/>
      <c r="AU152" s="3253"/>
      <c r="AV152" s="3253"/>
      <c r="AW152" s="3253"/>
      <c r="AX152" s="3253"/>
      <c r="AY152" s="3253"/>
    </row>
    <row r="153" spans="1:51" ht="15" customHeight="1" x14ac:dyDescent="0.25">
      <c r="A153" s="5813" t="s">
        <v>5789</v>
      </c>
      <c r="B153" s="3612" t="s">
        <v>1648</v>
      </c>
      <c r="C153" s="3096" t="s">
        <v>4567</v>
      </c>
      <c r="D153" s="3619" t="s">
        <v>4568</v>
      </c>
      <c r="E153" s="3600" t="s">
        <v>4569</v>
      </c>
      <c r="F153" s="3620" t="s">
        <v>4570</v>
      </c>
      <c r="G153" s="3602" t="s">
        <v>4571</v>
      </c>
      <c r="H153" s="3600" t="s">
        <v>4572</v>
      </c>
      <c r="I153" s="3621" t="s">
        <v>4573</v>
      </c>
      <c r="J153" s="223" t="s">
        <v>4574</v>
      </c>
      <c r="K153" s="3598" t="s">
        <v>4575</v>
      </c>
      <c r="L153" s="3620" t="s">
        <v>4576</v>
      </c>
      <c r="M153" s="3622" t="s">
        <v>4577</v>
      </c>
      <c r="N153" s="3600" t="s">
        <v>4578</v>
      </c>
      <c r="O153" s="3623" t="s">
        <v>4579</v>
      </c>
      <c r="Q153" s="3253"/>
      <c r="R153" s="3253"/>
      <c r="S153" s="3253"/>
      <c r="T153" s="3253"/>
      <c r="U153" s="3253"/>
      <c r="V153" s="3253"/>
      <c r="W153" s="3253"/>
      <c r="X153" s="3253"/>
      <c r="Y153" s="3253"/>
      <c r="Z153" s="3253"/>
      <c r="AA153" s="3253"/>
      <c r="AB153" s="3253"/>
      <c r="AC153" s="3253"/>
      <c r="AD153" s="3253"/>
      <c r="AE153" s="3253"/>
      <c r="AF153" s="3253"/>
      <c r="AG153" s="3253"/>
      <c r="AH153" s="3253"/>
      <c r="AI153" s="3253"/>
      <c r="AJ153" s="3253"/>
      <c r="AK153" s="3253"/>
      <c r="AL153" s="3253"/>
      <c r="AM153" s="3253"/>
      <c r="AN153" s="3253"/>
      <c r="AO153" s="3253"/>
      <c r="AP153" s="3253"/>
      <c r="AQ153" s="3253"/>
      <c r="AR153" s="3253"/>
      <c r="AS153" s="3253"/>
      <c r="AT153" s="3253"/>
      <c r="AU153" s="3253"/>
      <c r="AV153" s="3253"/>
      <c r="AW153" s="3253"/>
      <c r="AX153" s="3253"/>
      <c r="AY153" s="3253"/>
    </row>
    <row r="154" spans="1:51" ht="15" customHeight="1" x14ac:dyDescent="0.25">
      <c r="A154" s="5813" t="s">
        <v>5790</v>
      </c>
      <c r="B154" s="3612" t="s">
        <v>1649</v>
      </c>
      <c r="C154" s="3096" t="s">
        <v>4567</v>
      </c>
      <c r="D154" s="3619" t="s">
        <v>4568</v>
      </c>
      <c r="E154" s="3600" t="s">
        <v>4569</v>
      </c>
      <c r="F154" s="3620" t="s">
        <v>4570</v>
      </c>
      <c r="G154" s="537" t="s">
        <v>4571</v>
      </c>
      <c r="H154" s="3600" t="s">
        <v>4572</v>
      </c>
      <c r="I154" s="3621" t="s">
        <v>4573</v>
      </c>
      <c r="J154" s="223" t="s">
        <v>4574</v>
      </c>
      <c r="K154" s="3598" t="s">
        <v>4575</v>
      </c>
      <c r="L154" s="3620" t="s">
        <v>4576</v>
      </c>
      <c r="M154" s="3595" t="s">
        <v>4577</v>
      </c>
      <c r="N154" s="3600" t="s">
        <v>4578</v>
      </c>
      <c r="O154" s="3623" t="s">
        <v>4579</v>
      </c>
      <c r="Q154" s="3253"/>
      <c r="R154" s="3253"/>
      <c r="S154" s="3253"/>
      <c r="T154" s="3253"/>
      <c r="U154" s="3253"/>
      <c r="V154" s="3253"/>
      <c r="W154" s="3253"/>
      <c r="X154" s="3253"/>
      <c r="Y154" s="3253"/>
      <c r="Z154" s="3253"/>
      <c r="AA154" s="3253"/>
      <c r="AB154" s="3253"/>
      <c r="AC154" s="3253"/>
      <c r="AD154" s="3253"/>
      <c r="AE154" s="3253"/>
      <c r="AF154" s="3253"/>
      <c r="AG154" s="3253"/>
      <c r="AH154" s="3253"/>
      <c r="AI154" s="3253"/>
      <c r="AJ154" s="3253"/>
      <c r="AK154" s="3253"/>
      <c r="AL154" s="3253"/>
      <c r="AM154" s="3253"/>
      <c r="AN154" s="3253"/>
      <c r="AO154" s="3253"/>
      <c r="AP154" s="3253"/>
      <c r="AQ154" s="3253"/>
      <c r="AR154" s="3253"/>
      <c r="AS154" s="3253"/>
      <c r="AT154" s="3253"/>
      <c r="AU154" s="3253"/>
      <c r="AV154" s="3253"/>
      <c r="AW154" s="3253"/>
      <c r="AX154" s="3253"/>
      <c r="AY154" s="3253"/>
    </row>
    <row r="155" spans="1:51" ht="15" customHeight="1" x14ac:dyDescent="0.25">
      <c r="A155" s="5813" t="s">
        <v>5791</v>
      </c>
      <c r="B155" s="3612" t="s">
        <v>1650</v>
      </c>
      <c r="C155" s="3096" t="s">
        <v>4567</v>
      </c>
      <c r="D155" s="3619" t="s">
        <v>4568</v>
      </c>
      <c r="E155" s="3600" t="s">
        <v>4569</v>
      </c>
      <c r="F155" s="3620" t="s">
        <v>4570</v>
      </c>
      <c r="G155" s="3602" t="s">
        <v>4571</v>
      </c>
      <c r="H155" s="3600" t="s">
        <v>4572</v>
      </c>
      <c r="I155" s="3621" t="s">
        <v>4573</v>
      </c>
      <c r="J155" s="223" t="s">
        <v>4574</v>
      </c>
      <c r="K155" s="3598" t="s">
        <v>4575</v>
      </c>
      <c r="L155" s="3620" t="s">
        <v>4576</v>
      </c>
      <c r="M155" s="3622" t="s">
        <v>4577</v>
      </c>
      <c r="N155" s="3600" t="s">
        <v>4578</v>
      </c>
      <c r="O155" s="3623" t="s">
        <v>4579</v>
      </c>
      <c r="Q155" s="3253"/>
      <c r="R155" s="3253"/>
      <c r="S155" s="3253"/>
      <c r="T155" s="3253"/>
      <c r="U155" s="3253"/>
      <c r="V155" s="3253"/>
      <c r="W155" s="3253"/>
      <c r="X155" s="3253"/>
      <c r="Y155" s="3253"/>
      <c r="Z155" s="3253"/>
      <c r="AA155" s="3253"/>
      <c r="AB155" s="3253"/>
      <c r="AC155" s="3253"/>
      <c r="AD155" s="3253"/>
      <c r="AE155" s="3253"/>
      <c r="AF155" s="3253"/>
      <c r="AG155" s="3253"/>
      <c r="AH155" s="3253"/>
      <c r="AI155" s="3253"/>
      <c r="AJ155" s="3253"/>
      <c r="AK155" s="3253"/>
      <c r="AL155" s="3253"/>
      <c r="AM155" s="3253"/>
      <c r="AN155" s="3253"/>
      <c r="AO155" s="3253"/>
      <c r="AP155" s="3253"/>
      <c r="AQ155" s="3253"/>
      <c r="AR155" s="3253"/>
      <c r="AS155" s="3253"/>
      <c r="AT155" s="3253"/>
      <c r="AU155" s="3253"/>
      <c r="AV155" s="3253"/>
      <c r="AW155" s="3253"/>
      <c r="AX155" s="3253"/>
      <c r="AY155" s="3253"/>
    </row>
    <row r="156" spans="1:51" ht="21" x14ac:dyDescent="0.25">
      <c r="A156" s="5813" t="s">
        <v>5792</v>
      </c>
      <c r="B156" s="3625" t="s">
        <v>1651</v>
      </c>
      <c r="C156" s="3096" t="s">
        <v>4567</v>
      </c>
      <c r="D156" s="3619" t="s">
        <v>4568</v>
      </c>
      <c r="E156" s="3600" t="s">
        <v>4569</v>
      </c>
      <c r="F156" s="3620" t="s">
        <v>4570</v>
      </c>
      <c r="G156" s="537" t="s">
        <v>4571</v>
      </c>
      <c r="H156" s="3600" t="s">
        <v>4572</v>
      </c>
      <c r="I156" s="3621" t="s">
        <v>4573</v>
      </c>
      <c r="J156" s="223" t="s">
        <v>4574</v>
      </c>
      <c r="K156" s="3598" t="s">
        <v>4575</v>
      </c>
      <c r="L156" s="3620" t="s">
        <v>4576</v>
      </c>
      <c r="M156" s="3595" t="s">
        <v>4577</v>
      </c>
      <c r="N156" s="3600" t="s">
        <v>4578</v>
      </c>
      <c r="O156" s="3623" t="s">
        <v>4579</v>
      </c>
      <c r="Q156" s="3253"/>
      <c r="R156" s="3253"/>
      <c r="S156" s="3253"/>
      <c r="T156" s="3253"/>
      <c r="U156" s="3253"/>
      <c r="V156" s="3253"/>
      <c r="W156" s="3253"/>
      <c r="X156" s="3253"/>
      <c r="Y156" s="3253"/>
      <c r="Z156" s="3253"/>
      <c r="AA156" s="3253"/>
      <c r="AB156" s="3253"/>
      <c r="AC156" s="3253"/>
      <c r="AD156" s="3253"/>
      <c r="AE156" s="3253"/>
      <c r="AF156" s="3253"/>
      <c r="AG156" s="3253"/>
      <c r="AH156" s="3253"/>
      <c r="AI156" s="3253"/>
      <c r="AJ156" s="3253"/>
      <c r="AK156" s="3253"/>
      <c r="AL156" s="3253"/>
      <c r="AM156" s="3253"/>
      <c r="AN156" s="3253"/>
      <c r="AO156" s="3253"/>
      <c r="AP156" s="3253"/>
      <c r="AQ156" s="3253"/>
      <c r="AR156" s="3253"/>
      <c r="AS156" s="3253"/>
      <c r="AT156" s="3253"/>
      <c r="AU156" s="3253"/>
      <c r="AV156" s="3253"/>
      <c r="AW156" s="3253"/>
      <c r="AX156" s="3253"/>
      <c r="AY156" s="3253"/>
    </row>
    <row r="157" spans="1:51" x14ac:dyDescent="0.25">
      <c r="A157" s="5813" t="s">
        <v>5793</v>
      </c>
      <c r="B157" s="3612" t="s">
        <v>1652</v>
      </c>
      <c r="C157" s="3104" t="s">
        <v>4567</v>
      </c>
      <c r="D157" s="3626" t="s">
        <v>4568</v>
      </c>
      <c r="E157" s="3627" t="s">
        <v>4569</v>
      </c>
      <c r="F157" s="3628" t="s">
        <v>4570</v>
      </c>
      <c r="G157" s="3602" t="s">
        <v>4571</v>
      </c>
      <c r="H157" s="3627" t="s">
        <v>4572</v>
      </c>
      <c r="I157" s="3629" t="s">
        <v>4573</v>
      </c>
      <c r="J157" s="223" t="s">
        <v>4574</v>
      </c>
      <c r="K157" s="3630" t="s">
        <v>4575</v>
      </c>
      <c r="L157" s="3631" t="s">
        <v>4576</v>
      </c>
      <c r="M157" s="3622" t="s">
        <v>4577</v>
      </c>
      <c r="N157" s="3627" t="s">
        <v>4578</v>
      </c>
      <c r="O157" s="3623" t="s">
        <v>4579</v>
      </c>
      <c r="Q157" s="3611"/>
      <c r="R157" s="3611"/>
      <c r="S157" s="3611"/>
      <c r="T157" s="3611"/>
      <c r="U157" s="3611"/>
      <c r="V157" s="3611"/>
      <c r="W157" s="3611"/>
      <c r="X157" s="3611"/>
      <c r="Y157" s="3611"/>
      <c r="Z157" s="3611"/>
      <c r="AA157" s="3611"/>
      <c r="AB157" s="3611"/>
      <c r="AC157" s="3611"/>
      <c r="AD157" s="3611"/>
      <c r="AE157" s="3611"/>
      <c r="AF157" s="3611"/>
      <c r="AG157" s="3611"/>
      <c r="AH157" s="3611"/>
      <c r="AI157" s="3611"/>
      <c r="AJ157" s="3611"/>
      <c r="AK157" s="3611"/>
      <c r="AL157" s="3611"/>
      <c r="AM157" s="3611"/>
      <c r="AN157" s="3611"/>
      <c r="AO157" s="3611"/>
      <c r="AP157" s="3611"/>
      <c r="AQ157" s="3611"/>
      <c r="AR157" s="3611"/>
      <c r="AS157" s="3611"/>
      <c r="AT157" s="3611"/>
      <c r="AU157" s="3611"/>
      <c r="AV157" s="3611"/>
      <c r="AW157" s="3611"/>
      <c r="AX157" s="3611"/>
      <c r="AY157" s="3611"/>
    </row>
    <row r="158" spans="1:51" x14ac:dyDescent="0.25">
      <c r="A158" s="5616"/>
      <c r="B158" s="3404" t="s">
        <v>77</v>
      </c>
      <c r="C158" s="3632">
        <f>SUM(C148:C157)</f>
        <v>0</v>
      </c>
      <c r="D158" s="3514">
        <f>SUM(D148:D157)</f>
        <v>0</v>
      </c>
      <c r="E158" s="857">
        <f>SUM(E148:E157)</f>
        <v>0</v>
      </c>
      <c r="F158" s="3553">
        <f>SUM(F148:F157)</f>
        <v>0</v>
      </c>
      <c r="G158" s="3552">
        <f>SUM(G149,G150,G153,G155,G157)</f>
        <v>0</v>
      </c>
      <c r="H158" s="857">
        <f>SUM(H148:H157)</f>
        <v>0</v>
      </c>
      <c r="I158" s="859">
        <f>SUM(I148:I157)</f>
        <v>0</v>
      </c>
      <c r="J158" s="3515">
        <f>SUM(J148:J157)</f>
        <v>0</v>
      </c>
      <c r="K158" s="3514">
        <f>SUM(K148:K157)</f>
        <v>0</v>
      </c>
      <c r="L158" s="3553">
        <f>SUM(L148:L157)</f>
        <v>0</v>
      </c>
      <c r="M158" s="3554" t="e" cm="1">
        <f t="array" ref="M158">SUM(M149:M150+M153+M155+M157)</f>
        <v>#VALUE!</v>
      </c>
      <c r="N158" s="857">
        <f>SUM(N148:N157)</f>
        <v>0</v>
      </c>
      <c r="O158" s="3515">
        <f>SUM(O148:O157)</f>
        <v>0</v>
      </c>
      <c r="P158" s="3611"/>
      <c r="Q158" s="3611"/>
      <c r="R158" s="3611"/>
      <c r="S158" s="3611"/>
      <c r="T158" s="3611"/>
      <c r="U158" s="3611"/>
      <c r="V158" s="3611"/>
      <c r="W158" s="3611"/>
      <c r="X158" s="3611"/>
      <c r="Y158" s="3611"/>
      <c r="Z158" s="3611"/>
      <c r="AA158" s="3611"/>
      <c r="AB158" s="3611"/>
      <c r="AC158" s="3611"/>
      <c r="AD158" s="3611"/>
      <c r="AE158" s="3611"/>
      <c r="AF158" s="3611"/>
      <c r="AG158" s="3611"/>
      <c r="AH158" s="3611"/>
      <c r="AI158" s="3611"/>
      <c r="AJ158" s="3611"/>
      <c r="AK158" s="3611"/>
      <c r="AL158" s="3611"/>
      <c r="AM158" s="3611"/>
      <c r="AN158" s="3611"/>
      <c r="AO158" s="3611"/>
      <c r="AP158" s="3611"/>
      <c r="AQ158" s="3611"/>
      <c r="AR158" s="3611"/>
      <c r="AS158" s="3611"/>
      <c r="AT158" s="3611"/>
      <c r="AU158" s="3633"/>
      <c r="AV158" s="3633"/>
      <c r="AW158" s="3633"/>
      <c r="AX158" s="3633"/>
      <c r="AY158" s="3633"/>
    </row>
    <row r="159" spans="1:51" ht="18" customHeight="1" x14ac:dyDescent="0.25">
      <c r="A159" s="5548"/>
      <c r="B159" s="3" t="s">
        <v>1727</v>
      </c>
      <c r="C159" s="5"/>
      <c r="D159" s="5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</row>
    <row r="160" spans="1:51" x14ac:dyDescent="0.25">
      <c r="A160" s="5548"/>
      <c r="B160" s="7022" t="s">
        <v>1728</v>
      </c>
      <c r="C160" s="6895"/>
      <c r="D160" s="6896"/>
      <c r="E160" s="6212" t="s">
        <v>77</v>
      </c>
      <c r="F160" s="6510"/>
      <c r="G160" s="6511"/>
      <c r="H160" s="6956" t="s">
        <v>1729</v>
      </c>
      <c r="I160" s="6515"/>
      <c r="J160" s="6515"/>
      <c r="K160" s="6515"/>
      <c r="L160" s="6515"/>
      <c r="M160" s="6515"/>
      <c r="N160" s="6515"/>
      <c r="O160" s="6515"/>
      <c r="P160" s="6515"/>
      <c r="Q160" s="6515"/>
      <c r="R160" s="6515"/>
      <c r="S160" s="6515"/>
      <c r="T160" s="6515"/>
      <c r="U160" s="6515"/>
      <c r="V160" s="6515"/>
      <c r="W160" s="6515"/>
      <c r="X160" s="6515"/>
      <c r="Y160" s="6515"/>
      <c r="Z160" s="6515"/>
      <c r="AA160" s="6515"/>
      <c r="AB160" s="6515"/>
      <c r="AC160" s="6515"/>
      <c r="AD160" s="6515"/>
      <c r="AE160" s="6515"/>
      <c r="AF160" s="6515"/>
      <c r="AG160" s="6515"/>
      <c r="AH160" s="6515"/>
      <c r="AI160" s="6515"/>
      <c r="AJ160" s="6515"/>
      <c r="AK160" s="6515"/>
      <c r="AL160" s="6515"/>
      <c r="AM160" s="6515"/>
      <c r="AN160" s="6515"/>
      <c r="AO160" s="6515"/>
      <c r="AP160" s="6515"/>
      <c r="AQ160" s="6957"/>
      <c r="AR160" s="7014" t="s">
        <v>1661</v>
      </c>
      <c r="AS160" s="6920" t="s">
        <v>453</v>
      </c>
      <c r="AT160" s="6920" t="s">
        <v>1572</v>
      </c>
      <c r="AU160" s="6920" t="s">
        <v>1594</v>
      </c>
      <c r="AV160" s="7013" t="s">
        <v>1665</v>
      </c>
      <c r="AW160" s="7013" t="s">
        <v>1575</v>
      </c>
      <c r="AX160" s="7013" t="s">
        <v>1576</v>
      </c>
      <c r="AY160" s="7063" t="s">
        <v>37</v>
      </c>
    </row>
    <row r="161" spans="1:101" ht="18" customHeight="1" x14ac:dyDescent="0.25">
      <c r="A161" s="5548"/>
      <c r="B161" s="7023"/>
      <c r="C161" s="7024"/>
      <c r="D161" s="7025"/>
      <c r="E161" s="6734"/>
      <c r="F161" s="6735"/>
      <c r="G161" s="6955"/>
      <c r="H161" s="6947" t="s">
        <v>474</v>
      </c>
      <c r="I161" s="6961"/>
      <c r="J161" s="6956" t="s">
        <v>380</v>
      </c>
      <c r="K161" s="6545"/>
      <c r="L161" s="6515" t="s">
        <v>381</v>
      </c>
      <c r="M161" s="6545"/>
      <c r="N161" s="6956" t="s">
        <v>1577</v>
      </c>
      <c r="O161" s="6545"/>
      <c r="P161" s="6956" t="s">
        <v>383</v>
      </c>
      <c r="Q161" s="6545"/>
      <c r="R161" s="6956" t="s">
        <v>384</v>
      </c>
      <c r="S161" s="6545"/>
      <c r="T161" s="6956" t="s">
        <v>385</v>
      </c>
      <c r="U161" s="6545"/>
      <c r="V161" s="6956" t="s">
        <v>386</v>
      </c>
      <c r="W161" s="6545"/>
      <c r="X161" s="6956" t="s">
        <v>1578</v>
      </c>
      <c r="Y161" s="6545"/>
      <c r="Z161" s="6956" t="s">
        <v>303</v>
      </c>
      <c r="AA161" s="6962"/>
      <c r="AB161" s="6956" t="s">
        <v>304</v>
      </c>
      <c r="AC161" s="6962"/>
      <c r="AD161" s="6956" t="s">
        <v>1579</v>
      </c>
      <c r="AE161" s="6962"/>
      <c r="AF161" s="6956" t="s">
        <v>1580</v>
      </c>
      <c r="AG161" s="6962"/>
      <c r="AH161" s="6956" t="s">
        <v>1581</v>
      </c>
      <c r="AI161" s="6962"/>
      <c r="AJ161" s="6956" t="s">
        <v>1582</v>
      </c>
      <c r="AK161" s="6962"/>
      <c r="AL161" s="6956" t="s">
        <v>1583</v>
      </c>
      <c r="AM161" s="6962"/>
      <c r="AN161" s="6956" t="s">
        <v>1584</v>
      </c>
      <c r="AO161" s="6962"/>
      <c r="AP161" s="6956" t="s">
        <v>938</v>
      </c>
      <c r="AQ161" s="6943"/>
      <c r="AR161" s="7014"/>
      <c r="AS161" s="6920"/>
      <c r="AT161" s="6920"/>
      <c r="AU161" s="6920"/>
      <c r="AV161" s="7013"/>
      <c r="AW161" s="7013"/>
      <c r="AX161" s="7013"/>
      <c r="AY161" s="7063"/>
    </row>
    <row r="162" spans="1:101" ht="15" customHeight="1" x14ac:dyDescent="0.25">
      <c r="A162" s="5548"/>
      <c r="B162" s="7026"/>
      <c r="C162" s="6897"/>
      <c r="D162" s="6964"/>
      <c r="E162" s="3405" t="s">
        <v>1730</v>
      </c>
      <c r="F162" s="3424" t="s">
        <v>58</v>
      </c>
      <c r="G162" s="591" t="s">
        <v>59</v>
      </c>
      <c r="H162" s="3405" t="s">
        <v>58</v>
      </c>
      <c r="I162" s="591" t="s">
        <v>59</v>
      </c>
      <c r="J162" s="3405" t="s">
        <v>58</v>
      </c>
      <c r="K162" s="591" t="s">
        <v>59</v>
      </c>
      <c r="L162" s="3405" t="s">
        <v>58</v>
      </c>
      <c r="M162" s="591" t="s">
        <v>59</v>
      </c>
      <c r="N162" s="3405" t="s">
        <v>58</v>
      </c>
      <c r="O162" s="591" t="s">
        <v>59</v>
      </c>
      <c r="P162" s="3405" t="s">
        <v>58</v>
      </c>
      <c r="Q162" s="591" t="s">
        <v>59</v>
      </c>
      <c r="R162" s="3405" t="s">
        <v>58</v>
      </c>
      <c r="S162" s="591" t="s">
        <v>59</v>
      </c>
      <c r="T162" s="3405" t="s">
        <v>58</v>
      </c>
      <c r="U162" s="591" t="s">
        <v>59</v>
      </c>
      <c r="V162" s="3405" t="s">
        <v>58</v>
      </c>
      <c r="W162" s="591" t="s">
        <v>59</v>
      </c>
      <c r="X162" s="3405" t="s">
        <v>58</v>
      </c>
      <c r="Y162" s="591" t="s">
        <v>59</v>
      </c>
      <c r="Z162" s="3405" t="s">
        <v>58</v>
      </c>
      <c r="AA162" s="591" t="s">
        <v>59</v>
      </c>
      <c r="AB162" s="3405" t="s">
        <v>58</v>
      </c>
      <c r="AC162" s="591" t="s">
        <v>59</v>
      </c>
      <c r="AD162" s="3405" t="s">
        <v>58</v>
      </c>
      <c r="AE162" s="591" t="s">
        <v>59</v>
      </c>
      <c r="AF162" s="3405" t="s">
        <v>58</v>
      </c>
      <c r="AG162" s="591" t="s">
        <v>59</v>
      </c>
      <c r="AH162" s="3405" t="s">
        <v>58</v>
      </c>
      <c r="AI162" s="591" t="s">
        <v>59</v>
      </c>
      <c r="AJ162" s="3405" t="s">
        <v>58</v>
      </c>
      <c r="AK162" s="591" t="s">
        <v>59</v>
      </c>
      <c r="AL162" s="3405" t="s">
        <v>58</v>
      </c>
      <c r="AM162" s="591" t="s">
        <v>59</v>
      </c>
      <c r="AN162" s="3405" t="s">
        <v>58</v>
      </c>
      <c r="AO162" s="591" t="s">
        <v>59</v>
      </c>
      <c r="AP162" s="3405" t="s">
        <v>58</v>
      </c>
      <c r="AQ162" s="3431" t="s">
        <v>59</v>
      </c>
      <c r="AR162" s="7014"/>
      <c r="AS162" s="6920"/>
      <c r="AT162" s="6920"/>
      <c r="AU162" s="6920"/>
      <c r="AV162" s="7013"/>
      <c r="AW162" s="7013"/>
      <c r="AX162" s="7013"/>
      <c r="AY162" s="7063"/>
    </row>
    <row r="163" spans="1:101" ht="15" customHeight="1" x14ac:dyDescent="0.25">
      <c r="A163" s="5813" t="s">
        <v>5794</v>
      </c>
      <c r="B163" s="7027" t="s">
        <v>1731</v>
      </c>
      <c r="C163" s="7028"/>
      <c r="D163" s="7029"/>
      <c r="E163" s="3460" t="s">
        <v>4567</v>
      </c>
      <c r="F163" s="3460" t="s">
        <v>4568</v>
      </c>
      <c r="G163" s="2963" t="s">
        <v>4569</v>
      </c>
      <c r="H163" s="3227" t="s">
        <v>4570</v>
      </c>
      <c r="I163" s="748" t="s">
        <v>4571</v>
      </c>
      <c r="J163" s="3226" t="s">
        <v>4572</v>
      </c>
      <c r="K163" s="748" t="s">
        <v>4573</v>
      </c>
      <c r="L163" s="3226" t="s">
        <v>4574</v>
      </c>
      <c r="M163" s="748" t="s">
        <v>4575</v>
      </c>
      <c r="N163" s="3226" t="s">
        <v>4576</v>
      </c>
      <c r="O163" s="748" t="s">
        <v>4577</v>
      </c>
      <c r="P163" s="750" t="s">
        <v>4578</v>
      </c>
      <c r="Q163" s="748" t="s">
        <v>4579</v>
      </c>
      <c r="R163" s="750" t="s">
        <v>4580</v>
      </c>
      <c r="S163" s="748" t="s">
        <v>4581</v>
      </c>
      <c r="T163" s="750" t="s">
        <v>4582</v>
      </c>
      <c r="U163" s="748" t="s">
        <v>4583</v>
      </c>
      <c r="V163" s="3226" t="s">
        <v>4584</v>
      </c>
      <c r="W163" s="748" t="s">
        <v>4585</v>
      </c>
      <c r="X163" s="3226" t="s">
        <v>4586</v>
      </c>
      <c r="Y163" s="748" t="s">
        <v>4587</v>
      </c>
      <c r="Z163" s="3226" t="s">
        <v>4588</v>
      </c>
      <c r="AA163" s="748" t="s">
        <v>4589</v>
      </c>
      <c r="AB163" s="3226" t="s">
        <v>4590</v>
      </c>
      <c r="AC163" s="748" t="s">
        <v>4591</v>
      </c>
      <c r="AD163" s="3226" t="s">
        <v>4592</v>
      </c>
      <c r="AE163" s="748" t="s">
        <v>4593</v>
      </c>
      <c r="AF163" s="3226" t="s">
        <v>4594</v>
      </c>
      <c r="AG163" s="748" t="s">
        <v>4595</v>
      </c>
      <c r="AH163" s="3226" t="s">
        <v>4596</v>
      </c>
      <c r="AI163" s="748" t="s">
        <v>4597</v>
      </c>
      <c r="AJ163" s="3226" t="s">
        <v>4598</v>
      </c>
      <c r="AK163" s="748" t="s">
        <v>4599</v>
      </c>
      <c r="AL163" s="3226" t="s">
        <v>4600</v>
      </c>
      <c r="AM163" s="748" t="s">
        <v>4601</v>
      </c>
      <c r="AN163" s="3226" t="s">
        <v>4602</v>
      </c>
      <c r="AO163" s="748" t="s">
        <v>4603</v>
      </c>
      <c r="AP163" s="3226" t="s">
        <v>4604</v>
      </c>
      <c r="AQ163" s="736" t="s">
        <v>4605</v>
      </c>
      <c r="AR163" s="735" t="s">
        <v>4606</v>
      </c>
      <c r="AS163" s="531" t="s">
        <v>4934</v>
      </c>
      <c r="AT163" s="531" t="s">
        <v>4935</v>
      </c>
      <c r="AU163" s="531" t="s">
        <v>4936</v>
      </c>
      <c r="AV163" s="531" t="s">
        <v>4937</v>
      </c>
      <c r="AW163" s="531" t="s">
        <v>5234</v>
      </c>
      <c r="AX163" s="531" t="s">
        <v>5235</v>
      </c>
      <c r="AY163" s="107" t="s">
        <v>5236</v>
      </c>
      <c r="AZ163" t="e">
        <f>CB163&amp;CC163&amp;CD163&amp;CE163&amp;CF163&amp;CG163&amp;CH163&amp;CI163</f>
        <v>#VALUE!</v>
      </c>
      <c r="CB163" s="433" t="e">
        <f>IF(AND(Z163+AA163&gt;0,AR163="")," * No olvide digitar la variable 12 años (incluidos en  grupo de 10-14 años). Digite Cero si no tiene.",IF(AR163&gt;Z163+AA163," * La variable 12 años (incluidos en  grupo de 10-14 años) no pueden superar la suma del Grupo 10-14 años.",""))</f>
        <v>#VALUE!</v>
      </c>
      <c r="CC163" s="433" t="str">
        <f>IF(AND(G163&gt;0,AS163="")," * No olvide digitar la variable Gestante. Digite Cero si no tiene.",IF(AS163&gt;G163," * La variable Gestante no pueden superar el Total Mujeres.",""))</f>
        <v xml:space="preserve"> * La variable Gestante no pueden superar el Total Mujeres.</v>
      </c>
      <c r="CD163" s="433" t="e">
        <f t="shared" ref="CD163:CD172" si="128">IF(AND(AL163+AM163&gt;0,AT163="")," * No olvide digitar la variable 60 años (incluido en grupos de 60-64 años). Digite Cero si no tiene.",IF(AT163&gt;AL163+AM163," * La variable 60 años (incluido en grupos de 60-64 años) no pueden superar la suma del Grupo 60-64 años.",""))</f>
        <v>#VALUE!</v>
      </c>
      <c r="CE163" s="433" t="str">
        <f>IF(AND($E163&gt;0,AU163=""),"  * No olvide digitar la variable Compra de servicio. Digite Cero si no tiene.",IF(AU163&gt;$E163," * La variable Compra de servicio no pueden superar el Total Ambos Sexos.",""))</f>
        <v xml:space="preserve"> * La variable Compra de servicio no pueden superar el Total Ambos Sexos.</v>
      </c>
      <c r="CF163" s="433" t="str">
        <f>IF(AND($E163&gt;0,AV163="")," * No olvide digitar la variable Usuario con Discapacidad. Digite Cero si no tiene.",IF(AV163&gt;$E163," * La variable Usuario con Discapacidad no pueden superar el Total Ambos Sexos.",""))</f>
        <v xml:space="preserve"> * La variable Usuario con Discapacidad no pueden superar el Total Ambos Sexos.</v>
      </c>
      <c r="CG163" s="433" t="str">
        <f>IF(AND($E163&gt;0,AW163=""),"  * No olvide digitar la variable Niños, niñas, adolescentes y jóvenes SENAME. Digite Cero si no tiene.",IF(AW163&gt;$E163," * La variable Niños, niñas, adolescentes y jóvenes SENAME no pueden superar el Total Ambos Sexos.",""))</f>
        <v xml:space="preserve"> * La variable Niños, niñas, adolescentes y jóvenes SENAME no pueden superar el Total Ambos Sexos.</v>
      </c>
      <c r="CH163" s="433" t="str">
        <f>IF(AND($E163&gt;0,AX163=""),"  * No olvide digitar la variable Niños, niñas, adolescentes y jóvenes Mejor Niñez. Digite Cero si no tiene.",IF(AX163&gt;$E163,"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I163" s="433" t="str">
        <f>IF(AND($E163&gt;0,AY163=""),"  * No olvide digitar la variable Migrantes. Digite Cero si no tiene.",IF(AY163&gt;$E163," * La variable Migrantes no pueden superar el Total Ambos Sexos.",""))</f>
        <v xml:space="preserve"> * La variable Migrantes no pueden superar el Total Ambos Sexos.</v>
      </c>
      <c r="CP163" s="434" t="e">
        <f t="shared" ref="CP163:CP173" si="129">IF(AND(Z163+AA163&gt;0,AR163=""),1,IF(AR163&gt;Z163+AA163,1,0))</f>
        <v>#VALUE!</v>
      </c>
      <c r="CQ163" s="434">
        <f t="shared" ref="CQ163:CQ173" si="130">IF(AND(G163&gt;0,AS163=""),1,IF(AS163&gt;G163,1,0))</f>
        <v>1</v>
      </c>
      <c r="CR163" s="434" t="e">
        <f t="shared" ref="CR163:CR173" si="131">IF(AND(AL163+AM163&gt;0,AT163=""),1,IF(AT163&gt;AL163+AM163,1,0))</f>
        <v>#VALUE!</v>
      </c>
      <c r="CS163" s="434">
        <f t="shared" ref="CS163:CS173" si="132">IF(AND(E163&gt;0,AU163=""),1,IF(AU163&gt;E163,1,0))</f>
        <v>1</v>
      </c>
      <c r="CT163" s="434">
        <f t="shared" ref="CT163:CT173" si="133">IF(AND($E163&gt;0,AV163=""),1,IF(AV163&gt;$E163,1,0))</f>
        <v>1</v>
      </c>
      <c r="CU163" s="434">
        <f t="shared" ref="CU163:CU173" si="134">IF(AND($E163&gt;0,AW163=""),1,IF(AW163&gt;$E163,1,0))</f>
        <v>1</v>
      </c>
      <c r="CV163" s="434">
        <f t="shared" ref="CV163:CV173" si="135">IF(AND($E163&gt;0,AX163=""),1,IF(AX163&gt;$E163,1,0))</f>
        <v>1</v>
      </c>
      <c r="CW163" s="434">
        <f t="shared" ref="CW163:CW173" si="136">IF(AND($E163&gt;0,AY163=""),1,IF(AY163&gt;$E163,1,0))</f>
        <v>1</v>
      </c>
    </row>
    <row r="164" spans="1:101" x14ac:dyDescent="0.25">
      <c r="A164" s="5813" t="s">
        <v>5795</v>
      </c>
      <c r="B164" s="7015" t="s">
        <v>4343</v>
      </c>
      <c r="C164" s="7016"/>
      <c r="D164" s="7017"/>
      <c r="E164" s="478" t="s">
        <v>4567</v>
      </c>
      <c r="F164" s="478" t="s">
        <v>4568</v>
      </c>
      <c r="G164" s="553" t="s">
        <v>4569</v>
      </c>
      <c r="H164" s="345" t="s">
        <v>4570</v>
      </c>
      <c r="I164" s="349" t="s">
        <v>4571</v>
      </c>
      <c r="J164" s="347" t="s">
        <v>4572</v>
      </c>
      <c r="K164" s="349" t="s">
        <v>4573</v>
      </c>
      <c r="L164" s="347" t="s">
        <v>4574</v>
      </c>
      <c r="M164" s="349" t="s">
        <v>4575</v>
      </c>
      <c r="N164" s="347" t="s">
        <v>4576</v>
      </c>
      <c r="O164" s="349" t="s">
        <v>4577</v>
      </c>
      <c r="P164" s="368" t="s">
        <v>4578</v>
      </c>
      <c r="Q164" s="349" t="s">
        <v>4579</v>
      </c>
      <c r="R164" s="368" t="s">
        <v>4580</v>
      </c>
      <c r="S164" s="349" t="s">
        <v>4581</v>
      </c>
      <c r="T164" s="368" t="s">
        <v>4582</v>
      </c>
      <c r="U164" s="349" t="s">
        <v>4583</v>
      </c>
      <c r="V164" s="347" t="s">
        <v>4584</v>
      </c>
      <c r="W164" s="349" t="s">
        <v>4585</v>
      </c>
      <c r="X164" s="347" t="s">
        <v>4586</v>
      </c>
      <c r="Y164" s="349" t="s">
        <v>4587</v>
      </c>
      <c r="Z164" s="347" t="s">
        <v>4588</v>
      </c>
      <c r="AA164" s="349" t="s">
        <v>4589</v>
      </c>
      <c r="AB164" s="347" t="s">
        <v>4590</v>
      </c>
      <c r="AC164" s="349" t="s">
        <v>4591</v>
      </c>
      <c r="AD164" s="347" t="s">
        <v>4592</v>
      </c>
      <c r="AE164" s="349" t="s">
        <v>4593</v>
      </c>
      <c r="AF164" s="347" t="s">
        <v>4594</v>
      </c>
      <c r="AG164" s="349" t="s">
        <v>4595</v>
      </c>
      <c r="AH164" s="347" t="s">
        <v>4596</v>
      </c>
      <c r="AI164" s="349" t="s">
        <v>4597</v>
      </c>
      <c r="AJ164" s="347" t="s">
        <v>4598</v>
      </c>
      <c r="AK164" s="349" t="s">
        <v>4599</v>
      </c>
      <c r="AL164" s="347" t="s">
        <v>4600</v>
      </c>
      <c r="AM164" s="349" t="s">
        <v>4601</v>
      </c>
      <c r="AN164" s="347" t="s">
        <v>4602</v>
      </c>
      <c r="AO164" s="349" t="s">
        <v>4603</v>
      </c>
      <c r="AP164" s="347" t="s">
        <v>4604</v>
      </c>
      <c r="AQ164" s="351" t="s">
        <v>4605</v>
      </c>
      <c r="AR164" s="429" t="s">
        <v>4606</v>
      </c>
      <c r="AS164" s="531" t="s">
        <v>4934</v>
      </c>
      <c r="AT164" s="531" t="s">
        <v>4935</v>
      </c>
      <c r="AU164" s="531" t="s">
        <v>4936</v>
      </c>
      <c r="AV164" s="531" t="s">
        <v>4937</v>
      </c>
      <c r="AW164" s="531" t="s">
        <v>5234</v>
      </c>
      <c r="AX164" s="531" t="s">
        <v>5235</v>
      </c>
      <c r="AY164" s="107" t="s">
        <v>5236</v>
      </c>
      <c r="AZ164" t="e">
        <f t="shared" ref="AZ164:AZ173" si="137">CB164&amp;CC164&amp;CD164&amp;CE164&amp;CF164&amp;CG164&amp;CH164&amp;CI164</f>
        <v>#VALUE!</v>
      </c>
      <c r="CB164" s="433" t="e">
        <f t="shared" ref="CB164:CB173" si="138">IF(AND(Z164+AA164&gt;0,AR164="")," * No olvide digitar la variable 12 años (incluidos en  grupo de 10-14 años). Digite Cero si no tiene.",IF(AR164&gt;Z164+AA164," * La variable 12 años (incluidos en  grupo de 10-14 años) no pueden superar la suma del Grupo 10-14 años.",""))</f>
        <v>#VALUE!</v>
      </c>
      <c r="CC164" s="433" t="str">
        <f t="shared" ref="CC164:CC173" si="139">IF(AND(G164&gt;0,AS164="")," * No olvide digitar la variable Gestante. Digite Cero si no tiene.",IF(AS164&gt;G164," * La variable Gestante no pueden superar el Total Mujeres.",""))</f>
        <v xml:space="preserve"> * La variable Gestante no pueden superar el Total Mujeres.</v>
      </c>
      <c r="CD164" s="433" t="e">
        <f t="shared" si="128"/>
        <v>#VALUE!</v>
      </c>
      <c r="CE164" s="433" t="str">
        <f t="shared" ref="CE164:CE173" si="140">IF(AND($E164&gt;0,AU164=""),"  * No olvide digitar la variable Compra de servicio. Digite Cero si no tiene.",IF(AU164&gt;$E164," * La variable Compra de servicio no pueden superar el Total Ambos Sexos.",""))</f>
        <v xml:space="preserve"> * La variable Compra de servicio no pueden superar el Total Ambos Sexos.</v>
      </c>
      <c r="CF164" s="433" t="str">
        <f t="shared" ref="CF164:CF173" si="141">IF(AND($E164&gt;0,AV164="")," * No olvide digitar la variable Usuario con Discapacidad. Digite Cero si no tiene.",IF(AV164&gt;$E164," * La variable Usuario con Discapacidad no pueden superar el Total Ambos Sexos.",""))</f>
        <v xml:space="preserve"> * La variable Usuario con Discapacidad no pueden superar el Total Ambos Sexos.</v>
      </c>
      <c r="CG164" s="433" t="str">
        <f t="shared" ref="CG164:CG173" si="142">IF(AND($E164&gt;0,AW164=""),"  * No olvide digitar la variable Niños, niñas, adolescentes y jóvenes SENAME. Digite Cero si no tiene.",IF(AW164&gt;$E164," * La variable Niños, niñas, adolescentes y jóvenes SENAME no pueden superar el Total Ambos Sexos.",""))</f>
        <v xml:space="preserve"> * La variable Niños, niñas, adolescentes y jóvenes SENAME no pueden superar el Total Ambos Sexos.</v>
      </c>
      <c r="CH164" s="433" t="str">
        <f t="shared" ref="CH164:CH173" si="143">IF(AND($E164&gt;0,AX164=""),"  * No olvide digitar la variable Niños, niñas, adolescentes y jóvenes Mejor Niñez. Digite Cero si no tiene.",IF(AX164&gt;$E164,"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I164" s="433" t="str">
        <f t="shared" ref="CI164:CI173" si="144">IF(AND($E164&gt;0,AY164=""),"  * No olvide digitar la variable Migrantes. Digite Cero si no tiene.",IF(AY164&gt;$E164," * La variable Migrantes no pueden superar el Total Ambos Sexos.",""))</f>
        <v xml:space="preserve"> * La variable Migrantes no pueden superar el Total Ambos Sexos.</v>
      </c>
      <c r="CP164" s="434" t="e">
        <f t="shared" si="129"/>
        <v>#VALUE!</v>
      </c>
      <c r="CQ164" s="434">
        <f t="shared" si="130"/>
        <v>1</v>
      </c>
      <c r="CR164" s="434" t="e">
        <f t="shared" si="131"/>
        <v>#VALUE!</v>
      </c>
      <c r="CS164" s="434">
        <f t="shared" si="132"/>
        <v>1</v>
      </c>
      <c r="CT164" s="434">
        <f t="shared" si="133"/>
        <v>1</v>
      </c>
      <c r="CU164" s="434">
        <f t="shared" si="134"/>
        <v>1</v>
      </c>
      <c r="CV164" s="434">
        <f t="shared" si="135"/>
        <v>1</v>
      </c>
      <c r="CW164" s="434">
        <f t="shared" si="136"/>
        <v>1</v>
      </c>
    </row>
    <row r="165" spans="1:101" ht="15" customHeight="1" x14ac:dyDescent="0.25">
      <c r="A165" s="5812" t="s">
        <v>5796</v>
      </c>
      <c r="B165" s="6617" t="s">
        <v>1732</v>
      </c>
      <c r="C165" s="6974"/>
      <c r="D165" s="6618"/>
      <c r="E165" s="478" t="s">
        <v>4567</v>
      </c>
      <c r="F165" s="478" t="s">
        <v>4568</v>
      </c>
      <c r="G165" s="553" t="s">
        <v>4569</v>
      </c>
      <c r="H165" s="345" t="s">
        <v>4570</v>
      </c>
      <c r="I165" s="349" t="s">
        <v>4571</v>
      </c>
      <c r="J165" s="347" t="s">
        <v>4572</v>
      </c>
      <c r="K165" s="349" t="s">
        <v>4573</v>
      </c>
      <c r="L165" s="347" t="s">
        <v>4574</v>
      </c>
      <c r="M165" s="349" t="s">
        <v>4575</v>
      </c>
      <c r="N165" s="347" t="s">
        <v>4576</v>
      </c>
      <c r="O165" s="349" t="s">
        <v>4577</v>
      </c>
      <c r="P165" s="368" t="s">
        <v>4578</v>
      </c>
      <c r="Q165" s="349" t="s">
        <v>4579</v>
      </c>
      <c r="R165" s="368" t="s">
        <v>4580</v>
      </c>
      <c r="S165" s="349" t="s">
        <v>4581</v>
      </c>
      <c r="T165" s="368" t="s">
        <v>4582</v>
      </c>
      <c r="U165" s="349" t="s">
        <v>4583</v>
      </c>
      <c r="V165" s="347" t="s">
        <v>4584</v>
      </c>
      <c r="W165" s="349" t="s">
        <v>4585</v>
      </c>
      <c r="X165" s="347" t="s">
        <v>4586</v>
      </c>
      <c r="Y165" s="349" t="s">
        <v>4587</v>
      </c>
      <c r="Z165" s="347" t="s">
        <v>4588</v>
      </c>
      <c r="AA165" s="349" t="s">
        <v>4589</v>
      </c>
      <c r="AB165" s="347" t="s">
        <v>4590</v>
      </c>
      <c r="AC165" s="349" t="s">
        <v>4591</v>
      </c>
      <c r="AD165" s="347" t="s">
        <v>4592</v>
      </c>
      <c r="AE165" s="349" t="s">
        <v>4593</v>
      </c>
      <c r="AF165" s="347" t="s">
        <v>4594</v>
      </c>
      <c r="AG165" s="349" t="s">
        <v>4595</v>
      </c>
      <c r="AH165" s="347" t="s">
        <v>4596</v>
      </c>
      <c r="AI165" s="349" t="s">
        <v>4597</v>
      </c>
      <c r="AJ165" s="347" t="s">
        <v>4598</v>
      </c>
      <c r="AK165" s="349" t="s">
        <v>4599</v>
      </c>
      <c r="AL165" s="347" t="s">
        <v>4600</v>
      </c>
      <c r="AM165" s="349" t="s">
        <v>4601</v>
      </c>
      <c r="AN165" s="347" t="s">
        <v>4602</v>
      </c>
      <c r="AO165" s="349" t="s">
        <v>4603</v>
      </c>
      <c r="AP165" s="347" t="s">
        <v>4604</v>
      </c>
      <c r="AQ165" s="351" t="s">
        <v>4605</v>
      </c>
      <c r="AR165" s="429" t="s">
        <v>4606</v>
      </c>
      <c r="AS165" s="531" t="s">
        <v>4934</v>
      </c>
      <c r="AT165" s="531" t="s">
        <v>4935</v>
      </c>
      <c r="AU165" s="531" t="s">
        <v>4936</v>
      </c>
      <c r="AV165" s="531" t="s">
        <v>4937</v>
      </c>
      <c r="AW165" s="531" t="s">
        <v>5234</v>
      </c>
      <c r="AX165" s="531" t="s">
        <v>5235</v>
      </c>
      <c r="AY165" s="107" t="s">
        <v>5236</v>
      </c>
      <c r="AZ165" t="e">
        <f t="shared" si="137"/>
        <v>#VALUE!</v>
      </c>
      <c r="CB165" s="433" t="e">
        <f t="shared" si="138"/>
        <v>#VALUE!</v>
      </c>
      <c r="CC165" s="433" t="str">
        <f t="shared" si="139"/>
        <v xml:space="preserve"> * La variable Gestante no pueden superar el Total Mujeres.</v>
      </c>
      <c r="CD165" s="433" t="e">
        <f t="shared" si="128"/>
        <v>#VALUE!</v>
      </c>
      <c r="CE165" s="433" t="str">
        <f t="shared" si="140"/>
        <v xml:space="preserve"> * La variable Compra de servicio no pueden superar el Total Ambos Sexos.</v>
      </c>
      <c r="CF165" s="433" t="str">
        <f t="shared" si="141"/>
        <v xml:space="preserve"> * La variable Usuario con Discapacidad no pueden superar el Total Ambos Sexos.</v>
      </c>
      <c r="CG165" s="433" t="str">
        <f t="shared" si="142"/>
        <v xml:space="preserve"> * La variable Niños, niñas, adolescentes y jóvenes SENAME no pueden superar el Total Ambos Sexos.</v>
      </c>
      <c r="CH165" s="433" t="str">
        <f t="shared" si="143"/>
        <v xml:space="preserve"> * La variable Niños, niñas, adolescentes y jóvenes Mejor Niñez no pueden superar el Total Ambos Sexos.</v>
      </c>
      <c r="CI165" s="433" t="str">
        <f t="shared" si="144"/>
        <v xml:space="preserve"> * La variable Migrantes no pueden superar el Total Ambos Sexos.</v>
      </c>
      <c r="CP165" s="434" t="e">
        <f t="shared" si="129"/>
        <v>#VALUE!</v>
      </c>
      <c r="CQ165" s="434">
        <f t="shared" si="130"/>
        <v>1</v>
      </c>
      <c r="CR165" s="434" t="e">
        <f t="shared" si="131"/>
        <v>#VALUE!</v>
      </c>
      <c r="CS165" s="434">
        <f t="shared" si="132"/>
        <v>1</v>
      </c>
      <c r="CT165" s="434">
        <f t="shared" si="133"/>
        <v>1</v>
      </c>
      <c r="CU165" s="434">
        <f t="shared" si="134"/>
        <v>1</v>
      </c>
      <c r="CV165" s="434">
        <f t="shared" si="135"/>
        <v>1</v>
      </c>
      <c r="CW165" s="434">
        <f t="shared" si="136"/>
        <v>1</v>
      </c>
    </row>
    <row r="166" spans="1:101" ht="15" customHeight="1" x14ac:dyDescent="0.25">
      <c r="A166" s="5812" t="s">
        <v>5797</v>
      </c>
      <c r="B166" s="6985" t="s">
        <v>1733</v>
      </c>
      <c r="C166" s="6986"/>
      <c r="D166" s="6987"/>
      <c r="E166" s="478" t="s">
        <v>4567</v>
      </c>
      <c r="F166" s="478" t="s">
        <v>4568</v>
      </c>
      <c r="G166" s="553" t="s">
        <v>4569</v>
      </c>
      <c r="H166" s="345" t="s">
        <v>4570</v>
      </c>
      <c r="I166" s="349" t="s">
        <v>4571</v>
      </c>
      <c r="J166" s="347" t="s">
        <v>4572</v>
      </c>
      <c r="K166" s="349" t="s">
        <v>4573</v>
      </c>
      <c r="L166" s="347" t="s">
        <v>4574</v>
      </c>
      <c r="M166" s="349" t="s">
        <v>4575</v>
      </c>
      <c r="N166" s="347" t="s">
        <v>4576</v>
      </c>
      <c r="O166" s="349" t="s">
        <v>4577</v>
      </c>
      <c r="P166" s="368" t="s">
        <v>4578</v>
      </c>
      <c r="Q166" s="349" t="s">
        <v>4579</v>
      </c>
      <c r="R166" s="368" t="s">
        <v>4580</v>
      </c>
      <c r="S166" s="349" t="s">
        <v>4581</v>
      </c>
      <c r="T166" s="368" t="s">
        <v>4582</v>
      </c>
      <c r="U166" s="349" t="s">
        <v>4583</v>
      </c>
      <c r="V166" s="347" t="s">
        <v>4584</v>
      </c>
      <c r="W166" s="349" t="s">
        <v>4585</v>
      </c>
      <c r="X166" s="347" t="s">
        <v>4586</v>
      </c>
      <c r="Y166" s="349" t="s">
        <v>4587</v>
      </c>
      <c r="Z166" s="347" t="s">
        <v>4588</v>
      </c>
      <c r="AA166" s="349" t="s">
        <v>4589</v>
      </c>
      <c r="AB166" s="347" t="s">
        <v>4590</v>
      </c>
      <c r="AC166" s="349" t="s">
        <v>4591</v>
      </c>
      <c r="AD166" s="347" t="s">
        <v>4592</v>
      </c>
      <c r="AE166" s="349" t="s">
        <v>4593</v>
      </c>
      <c r="AF166" s="347" t="s">
        <v>4594</v>
      </c>
      <c r="AG166" s="349" t="s">
        <v>4595</v>
      </c>
      <c r="AH166" s="347" t="s">
        <v>4596</v>
      </c>
      <c r="AI166" s="349" t="s">
        <v>4597</v>
      </c>
      <c r="AJ166" s="347" t="s">
        <v>4598</v>
      </c>
      <c r="AK166" s="349" t="s">
        <v>4599</v>
      </c>
      <c r="AL166" s="347" t="s">
        <v>4600</v>
      </c>
      <c r="AM166" s="349" t="s">
        <v>4601</v>
      </c>
      <c r="AN166" s="347" t="s">
        <v>4602</v>
      </c>
      <c r="AO166" s="349" t="s">
        <v>4603</v>
      </c>
      <c r="AP166" s="347" t="s">
        <v>4604</v>
      </c>
      <c r="AQ166" s="351" t="s">
        <v>4605</v>
      </c>
      <c r="AR166" s="429" t="s">
        <v>4606</v>
      </c>
      <c r="AS166" s="531" t="s">
        <v>4934</v>
      </c>
      <c r="AT166" s="531" t="s">
        <v>4935</v>
      </c>
      <c r="AU166" s="531" t="s">
        <v>4936</v>
      </c>
      <c r="AV166" s="531" t="s">
        <v>4937</v>
      </c>
      <c r="AW166" s="531" t="s">
        <v>5234</v>
      </c>
      <c r="AX166" s="531" t="s">
        <v>5235</v>
      </c>
      <c r="AY166" s="107" t="s">
        <v>5236</v>
      </c>
      <c r="AZ166" t="e">
        <f t="shared" si="137"/>
        <v>#VALUE!</v>
      </c>
      <c r="CB166" s="433" t="e">
        <f t="shared" si="138"/>
        <v>#VALUE!</v>
      </c>
      <c r="CC166" s="433" t="str">
        <f t="shared" si="139"/>
        <v xml:space="preserve"> * La variable Gestante no pueden superar el Total Mujeres.</v>
      </c>
      <c r="CD166" s="433" t="e">
        <f t="shared" si="128"/>
        <v>#VALUE!</v>
      </c>
      <c r="CE166" s="433" t="str">
        <f t="shared" si="140"/>
        <v xml:space="preserve"> * La variable Compra de servicio no pueden superar el Total Ambos Sexos.</v>
      </c>
      <c r="CF166" s="433" t="str">
        <f t="shared" si="141"/>
        <v xml:space="preserve"> * La variable Usuario con Discapacidad no pueden superar el Total Ambos Sexos.</v>
      </c>
      <c r="CG166" s="433" t="str">
        <f t="shared" si="142"/>
        <v xml:space="preserve"> * La variable Niños, niñas, adolescentes y jóvenes SENAME no pueden superar el Total Ambos Sexos.</v>
      </c>
      <c r="CH166" s="433" t="str">
        <f t="shared" si="143"/>
        <v xml:space="preserve"> * La variable Niños, niñas, adolescentes y jóvenes Mejor Niñez no pueden superar el Total Ambos Sexos.</v>
      </c>
      <c r="CI166" s="433" t="str">
        <f t="shared" si="144"/>
        <v xml:space="preserve"> * La variable Migrantes no pueden superar el Total Ambos Sexos.</v>
      </c>
      <c r="CP166" s="434" t="e">
        <f t="shared" si="129"/>
        <v>#VALUE!</v>
      </c>
      <c r="CQ166" s="434">
        <f t="shared" si="130"/>
        <v>1</v>
      </c>
      <c r="CR166" s="434" t="e">
        <f t="shared" si="131"/>
        <v>#VALUE!</v>
      </c>
      <c r="CS166" s="434">
        <f t="shared" si="132"/>
        <v>1</v>
      </c>
      <c r="CT166" s="434">
        <f t="shared" si="133"/>
        <v>1</v>
      </c>
      <c r="CU166" s="434">
        <f t="shared" si="134"/>
        <v>1</v>
      </c>
      <c r="CV166" s="434">
        <f t="shared" si="135"/>
        <v>1</v>
      </c>
      <c r="CW166" s="434">
        <f t="shared" si="136"/>
        <v>1</v>
      </c>
    </row>
    <row r="167" spans="1:101" ht="15" customHeight="1" x14ac:dyDescent="0.25">
      <c r="A167" s="5812" t="s">
        <v>5798</v>
      </c>
      <c r="B167" s="6985" t="s">
        <v>1734</v>
      </c>
      <c r="C167" s="6986"/>
      <c r="D167" s="6987"/>
      <c r="E167" s="478" t="s">
        <v>4567</v>
      </c>
      <c r="F167" s="478" t="s">
        <v>4568</v>
      </c>
      <c r="G167" s="553" t="s">
        <v>4569</v>
      </c>
      <c r="H167" s="345" t="s">
        <v>4570</v>
      </c>
      <c r="I167" s="349" t="s">
        <v>4571</v>
      </c>
      <c r="J167" s="347" t="s">
        <v>4572</v>
      </c>
      <c r="K167" s="349" t="s">
        <v>4573</v>
      </c>
      <c r="L167" s="347" t="s">
        <v>4574</v>
      </c>
      <c r="M167" s="349" t="s">
        <v>4575</v>
      </c>
      <c r="N167" s="347" t="s">
        <v>4576</v>
      </c>
      <c r="O167" s="349" t="s">
        <v>4577</v>
      </c>
      <c r="P167" s="368" t="s">
        <v>4578</v>
      </c>
      <c r="Q167" s="349" t="s">
        <v>4579</v>
      </c>
      <c r="R167" s="368" t="s">
        <v>4580</v>
      </c>
      <c r="S167" s="349" t="s">
        <v>4581</v>
      </c>
      <c r="T167" s="368" t="s">
        <v>4582</v>
      </c>
      <c r="U167" s="349" t="s">
        <v>4583</v>
      </c>
      <c r="V167" s="347" t="s">
        <v>4584</v>
      </c>
      <c r="W167" s="349" t="s">
        <v>4585</v>
      </c>
      <c r="X167" s="347" t="s">
        <v>4586</v>
      </c>
      <c r="Y167" s="349" t="s">
        <v>4587</v>
      </c>
      <c r="Z167" s="347" t="s">
        <v>4588</v>
      </c>
      <c r="AA167" s="349" t="s">
        <v>4589</v>
      </c>
      <c r="AB167" s="347" t="s">
        <v>4590</v>
      </c>
      <c r="AC167" s="349" t="s">
        <v>4591</v>
      </c>
      <c r="AD167" s="347" t="s">
        <v>4592</v>
      </c>
      <c r="AE167" s="349" t="s">
        <v>4593</v>
      </c>
      <c r="AF167" s="347" t="s">
        <v>4594</v>
      </c>
      <c r="AG167" s="349" t="s">
        <v>4595</v>
      </c>
      <c r="AH167" s="347" t="s">
        <v>4596</v>
      </c>
      <c r="AI167" s="349" t="s">
        <v>4597</v>
      </c>
      <c r="AJ167" s="347" t="s">
        <v>4598</v>
      </c>
      <c r="AK167" s="349" t="s">
        <v>4599</v>
      </c>
      <c r="AL167" s="347" t="s">
        <v>4600</v>
      </c>
      <c r="AM167" s="349" t="s">
        <v>4601</v>
      </c>
      <c r="AN167" s="347" t="s">
        <v>4602</v>
      </c>
      <c r="AO167" s="349" t="s">
        <v>4603</v>
      </c>
      <c r="AP167" s="347" t="s">
        <v>4604</v>
      </c>
      <c r="AQ167" s="351" t="s">
        <v>4605</v>
      </c>
      <c r="AR167" s="429" t="s">
        <v>4606</v>
      </c>
      <c r="AS167" s="531" t="s">
        <v>4934</v>
      </c>
      <c r="AT167" s="531" t="s">
        <v>4935</v>
      </c>
      <c r="AU167" s="531" t="s">
        <v>4936</v>
      </c>
      <c r="AV167" s="531" t="s">
        <v>4937</v>
      </c>
      <c r="AW167" s="531" t="s">
        <v>5234</v>
      </c>
      <c r="AX167" s="531" t="s">
        <v>5235</v>
      </c>
      <c r="AY167" s="107" t="s">
        <v>5236</v>
      </c>
      <c r="AZ167" t="e">
        <f t="shared" si="137"/>
        <v>#VALUE!</v>
      </c>
      <c r="CB167" s="433" t="e">
        <f t="shared" si="138"/>
        <v>#VALUE!</v>
      </c>
      <c r="CC167" s="433" t="str">
        <f t="shared" si="139"/>
        <v xml:space="preserve"> * La variable Gestante no pueden superar el Total Mujeres.</v>
      </c>
      <c r="CD167" s="433" t="e">
        <f t="shared" si="128"/>
        <v>#VALUE!</v>
      </c>
      <c r="CE167" s="433" t="str">
        <f t="shared" si="140"/>
        <v xml:space="preserve"> * La variable Compra de servicio no pueden superar el Total Ambos Sexos.</v>
      </c>
      <c r="CF167" s="433" t="str">
        <f t="shared" si="141"/>
        <v xml:space="preserve"> * La variable Usuario con Discapacidad no pueden superar el Total Ambos Sexos.</v>
      </c>
      <c r="CG167" s="433" t="str">
        <f t="shared" si="142"/>
        <v xml:space="preserve"> * La variable Niños, niñas, adolescentes y jóvenes SENAME no pueden superar el Total Ambos Sexos.</v>
      </c>
      <c r="CH167" s="433" t="str">
        <f t="shared" si="143"/>
        <v xml:space="preserve"> * La variable Niños, niñas, adolescentes y jóvenes Mejor Niñez no pueden superar el Total Ambos Sexos.</v>
      </c>
      <c r="CI167" s="433" t="str">
        <f t="shared" si="144"/>
        <v xml:space="preserve"> * La variable Migrantes no pueden superar el Total Ambos Sexos.</v>
      </c>
      <c r="CP167" s="434" t="e">
        <f t="shared" si="129"/>
        <v>#VALUE!</v>
      </c>
      <c r="CQ167" s="434">
        <f t="shared" si="130"/>
        <v>1</v>
      </c>
      <c r="CR167" s="434" t="e">
        <f t="shared" si="131"/>
        <v>#VALUE!</v>
      </c>
      <c r="CS167" s="434">
        <f t="shared" si="132"/>
        <v>1</v>
      </c>
      <c r="CT167" s="434">
        <f t="shared" si="133"/>
        <v>1</v>
      </c>
      <c r="CU167" s="434">
        <f t="shared" si="134"/>
        <v>1</v>
      </c>
      <c r="CV167" s="434">
        <f t="shared" si="135"/>
        <v>1</v>
      </c>
      <c r="CW167" s="434">
        <f t="shared" si="136"/>
        <v>1</v>
      </c>
    </row>
    <row r="168" spans="1:101" ht="15" customHeight="1" x14ac:dyDescent="0.25">
      <c r="A168" s="5813" t="s">
        <v>5799</v>
      </c>
      <c r="B168" s="6985" t="s">
        <v>4344</v>
      </c>
      <c r="C168" s="6986"/>
      <c r="D168" s="6987"/>
      <c r="E168" s="478" t="s">
        <v>4567</v>
      </c>
      <c r="F168" s="478" t="s">
        <v>4568</v>
      </c>
      <c r="G168" s="553" t="s">
        <v>4569</v>
      </c>
      <c r="H168" s="345" t="s">
        <v>4570</v>
      </c>
      <c r="I168" s="349" t="s">
        <v>4571</v>
      </c>
      <c r="J168" s="347" t="s">
        <v>4572</v>
      </c>
      <c r="K168" s="349" t="s">
        <v>4573</v>
      </c>
      <c r="L168" s="347" t="s">
        <v>4574</v>
      </c>
      <c r="M168" s="349" t="s">
        <v>4575</v>
      </c>
      <c r="N168" s="347" t="s">
        <v>4576</v>
      </c>
      <c r="O168" s="349" t="s">
        <v>4577</v>
      </c>
      <c r="P168" s="368" t="s">
        <v>4578</v>
      </c>
      <c r="Q168" s="349" t="s">
        <v>4579</v>
      </c>
      <c r="R168" s="368" t="s">
        <v>4580</v>
      </c>
      <c r="S168" s="349" t="s">
        <v>4581</v>
      </c>
      <c r="T168" s="368" t="s">
        <v>4582</v>
      </c>
      <c r="U168" s="349" t="s">
        <v>4583</v>
      </c>
      <c r="V168" s="347" t="s">
        <v>4584</v>
      </c>
      <c r="W168" s="349" t="s">
        <v>4585</v>
      </c>
      <c r="X168" s="347" t="s">
        <v>4586</v>
      </c>
      <c r="Y168" s="349" t="s">
        <v>4587</v>
      </c>
      <c r="Z168" s="347" t="s">
        <v>4588</v>
      </c>
      <c r="AA168" s="349" t="s">
        <v>4589</v>
      </c>
      <c r="AB168" s="347" t="s">
        <v>4590</v>
      </c>
      <c r="AC168" s="349" t="s">
        <v>4591</v>
      </c>
      <c r="AD168" s="347" t="s">
        <v>4592</v>
      </c>
      <c r="AE168" s="349" t="s">
        <v>4593</v>
      </c>
      <c r="AF168" s="347" t="s">
        <v>4594</v>
      </c>
      <c r="AG168" s="349" t="s">
        <v>4595</v>
      </c>
      <c r="AH168" s="347" t="s">
        <v>4596</v>
      </c>
      <c r="AI168" s="349" t="s">
        <v>4597</v>
      </c>
      <c r="AJ168" s="347" t="s">
        <v>4598</v>
      </c>
      <c r="AK168" s="349" t="s">
        <v>4599</v>
      </c>
      <c r="AL168" s="347" t="s">
        <v>4600</v>
      </c>
      <c r="AM168" s="349" t="s">
        <v>4601</v>
      </c>
      <c r="AN168" s="347" t="s">
        <v>4602</v>
      </c>
      <c r="AO168" s="349" t="s">
        <v>4603</v>
      </c>
      <c r="AP168" s="347" t="s">
        <v>4604</v>
      </c>
      <c r="AQ168" s="351" t="s">
        <v>4605</v>
      </c>
      <c r="AR168" s="429" t="s">
        <v>4606</v>
      </c>
      <c r="AS168" s="531" t="s">
        <v>4934</v>
      </c>
      <c r="AT168" s="531" t="s">
        <v>4935</v>
      </c>
      <c r="AU168" s="531" t="s">
        <v>4936</v>
      </c>
      <c r="AV168" s="531" t="s">
        <v>4937</v>
      </c>
      <c r="AW168" s="531" t="s">
        <v>5234</v>
      </c>
      <c r="AX168" s="531" t="s">
        <v>5235</v>
      </c>
      <c r="AY168" s="107" t="s">
        <v>5236</v>
      </c>
      <c r="AZ168" t="e">
        <f t="shared" si="137"/>
        <v>#VALUE!</v>
      </c>
      <c r="CB168" s="433" t="e">
        <f t="shared" si="138"/>
        <v>#VALUE!</v>
      </c>
      <c r="CC168" s="433" t="str">
        <f t="shared" si="139"/>
        <v xml:space="preserve"> * La variable Gestante no pueden superar el Total Mujeres.</v>
      </c>
      <c r="CD168" s="433" t="e">
        <f t="shared" si="128"/>
        <v>#VALUE!</v>
      </c>
      <c r="CE168" s="433" t="str">
        <f t="shared" si="140"/>
        <v xml:space="preserve"> * La variable Compra de servicio no pueden superar el Total Ambos Sexos.</v>
      </c>
      <c r="CF168" s="433" t="str">
        <f t="shared" si="141"/>
        <v xml:space="preserve"> * La variable Usuario con Discapacidad no pueden superar el Total Ambos Sexos.</v>
      </c>
      <c r="CG168" s="433" t="str">
        <f t="shared" si="142"/>
        <v xml:space="preserve"> * La variable Niños, niñas, adolescentes y jóvenes SENAME no pueden superar el Total Ambos Sexos.</v>
      </c>
      <c r="CH168" s="433" t="str">
        <f t="shared" si="143"/>
        <v xml:space="preserve"> * La variable Niños, niñas, adolescentes y jóvenes Mejor Niñez no pueden superar el Total Ambos Sexos.</v>
      </c>
      <c r="CI168" s="433" t="str">
        <f t="shared" si="144"/>
        <v xml:space="preserve"> * La variable Migrantes no pueden superar el Total Ambos Sexos.</v>
      </c>
      <c r="CP168" s="434" t="e">
        <f t="shared" si="129"/>
        <v>#VALUE!</v>
      </c>
      <c r="CQ168" s="434">
        <f t="shared" si="130"/>
        <v>1</v>
      </c>
      <c r="CR168" s="434" t="e">
        <f t="shared" si="131"/>
        <v>#VALUE!</v>
      </c>
      <c r="CS168" s="434">
        <f t="shared" si="132"/>
        <v>1</v>
      </c>
      <c r="CT168" s="434">
        <f t="shared" si="133"/>
        <v>1</v>
      </c>
      <c r="CU168" s="434">
        <f t="shared" si="134"/>
        <v>1</v>
      </c>
      <c r="CV168" s="434">
        <f t="shared" si="135"/>
        <v>1</v>
      </c>
      <c r="CW168" s="434">
        <f t="shared" si="136"/>
        <v>1</v>
      </c>
    </row>
    <row r="169" spans="1:101" ht="15" customHeight="1" x14ac:dyDescent="0.25">
      <c r="A169" s="5813" t="s">
        <v>5800</v>
      </c>
      <c r="B169" s="6985" t="s">
        <v>1735</v>
      </c>
      <c r="C169" s="6986"/>
      <c r="D169" s="6987"/>
      <c r="E169" s="478" t="s">
        <v>4567</v>
      </c>
      <c r="F169" s="478" t="s">
        <v>4568</v>
      </c>
      <c r="G169" s="553" t="s">
        <v>4569</v>
      </c>
      <c r="H169" s="345" t="s">
        <v>4570</v>
      </c>
      <c r="I169" s="349" t="s">
        <v>4571</v>
      </c>
      <c r="J169" s="347" t="s">
        <v>4572</v>
      </c>
      <c r="K169" s="349" t="s">
        <v>4573</v>
      </c>
      <c r="L169" s="347" t="s">
        <v>4574</v>
      </c>
      <c r="M169" s="349" t="s">
        <v>4575</v>
      </c>
      <c r="N169" s="347" t="s">
        <v>4576</v>
      </c>
      <c r="O169" s="349" t="s">
        <v>4577</v>
      </c>
      <c r="P169" s="368" t="s">
        <v>4578</v>
      </c>
      <c r="Q169" s="349" t="s">
        <v>4579</v>
      </c>
      <c r="R169" s="368" t="s">
        <v>4580</v>
      </c>
      <c r="S169" s="349" t="s">
        <v>4581</v>
      </c>
      <c r="T169" s="368" t="s">
        <v>4582</v>
      </c>
      <c r="U169" s="349" t="s">
        <v>4583</v>
      </c>
      <c r="V169" s="347" t="s">
        <v>4584</v>
      </c>
      <c r="W169" s="349" t="s">
        <v>4585</v>
      </c>
      <c r="X169" s="347" t="s">
        <v>4586</v>
      </c>
      <c r="Y169" s="349" t="s">
        <v>4587</v>
      </c>
      <c r="Z169" s="347" t="s">
        <v>4588</v>
      </c>
      <c r="AA169" s="349" t="s">
        <v>4589</v>
      </c>
      <c r="AB169" s="347" t="s">
        <v>4590</v>
      </c>
      <c r="AC169" s="349" t="s">
        <v>4591</v>
      </c>
      <c r="AD169" s="347" t="s">
        <v>4592</v>
      </c>
      <c r="AE169" s="349" t="s">
        <v>4593</v>
      </c>
      <c r="AF169" s="347" t="s">
        <v>4594</v>
      </c>
      <c r="AG169" s="349" t="s">
        <v>4595</v>
      </c>
      <c r="AH169" s="347" t="s">
        <v>4596</v>
      </c>
      <c r="AI169" s="349" t="s">
        <v>4597</v>
      </c>
      <c r="AJ169" s="347" t="s">
        <v>4598</v>
      </c>
      <c r="AK169" s="349" t="s">
        <v>4599</v>
      </c>
      <c r="AL169" s="347" t="s">
        <v>4600</v>
      </c>
      <c r="AM169" s="349" t="s">
        <v>4601</v>
      </c>
      <c r="AN169" s="347" t="s">
        <v>4602</v>
      </c>
      <c r="AO169" s="349" t="s">
        <v>4603</v>
      </c>
      <c r="AP169" s="347" t="s">
        <v>4604</v>
      </c>
      <c r="AQ169" s="351" t="s">
        <v>4605</v>
      </c>
      <c r="AR169" s="429" t="s">
        <v>4606</v>
      </c>
      <c r="AS169" s="531" t="s">
        <v>4934</v>
      </c>
      <c r="AT169" s="531" t="s">
        <v>4935</v>
      </c>
      <c r="AU169" s="531" t="s">
        <v>4936</v>
      </c>
      <c r="AV169" s="531" t="s">
        <v>4937</v>
      </c>
      <c r="AW169" s="531" t="s">
        <v>5234</v>
      </c>
      <c r="AX169" s="531" t="s">
        <v>5235</v>
      </c>
      <c r="AY169" s="107" t="s">
        <v>5236</v>
      </c>
      <c r="AZ169" t="e">
        <f t="shared" si="137"/>
        <v>#VALUE!</v>
      </c>
      <c r="CB169" s="433" t="e">
        <f t="shared" si="138"/>
        <v>#VALUE!</v>
      </c>
      <c r="CC169" s="433" t="str">
        <f t="shared" si="139"/>
        <v xml:space="preserve"> * La variable Gestante no pueden superar el Total Mujeres.</v>
      </c>
      <c r="CD169" s="433" t="e">
        <f t="shared" si="128"/>
        <v>#VALUE!</v>
      </c>
      <c r="CE169" s="433" t="str">
        <f t="shared" si="140"/>
        <v xml:space="preserve"> * La variable Compra de servicio no pueden superar el Total Ambos Sexos.</v>
      </c>
      <c r="CF169" s="433" t="str">
        <f t="shared" si="141"/>
        <v xml:space="preserve"> * La variable Usuario con Discapacidad no pueden superar el Total Ambos Sexos.</v>
      </c>
      <c r="CG169" s="433" t="str">
        <f t="shared" si="142"/>
        <v xml:space="preserve"> * La variable Niños, niñas, adolescentes y jóvenes SENAME no pueden superar el Total Ambos Sexos.</v>
      </c>
      <c r="CH169" s="433" t="str">
        <f t="shared" si="143"/>
        <v xml:space="preserve"> * La variable Niños, niñas, adolescentes y jóvenes Mejor Niñez no pueden superar el Total Ambos Sexos.</v>
      </c>
      <c r="CI169" s="433" t="str">
        <f t="shared" si="144"/>
        <v xml:space="preserve"> * La variable Migrantes no pueden superar el Total Ambos Sexos.</v>
      </c>
      <c r="CP169" s="434" t="e">
        <f t="shared" si="129"/>
        <v>#VALUE!</v>
      </c>
      <c r="CQ169" s="434">
        <f t="shared" si="130"/>
        <v>1</v>
      </c>
      <c r="CR169" s="434" t="e">
        <f t="shared" si="131"/>
        <v>#VALUE!</v>
      </c>
      <c r="CS169" s="434">
        <f t="shared" si="132"/>
        <v>1</v>
      </c>
      <c r="CT169" s="434">
        <f t="shared" si="133"/>
        <v>1</v>
      </c>
      <c r="CU169" s="434">
        <f t="shared" si="134"/>
        <v>1</v>
      </c>
      <c r="CV169" s="434">
        <f t="shared" si="135"/>
        <v>1</v>
      </c>
      <c r="CW169" s="434">
        <f t="shared" si="136"/>
        <v>1</v>
      </c>
    </row>
    <row r="170" spans="1:101" ht="15" customHeight="1" x14ac:dyDescent="0.25">
      <c r="A170" s="5813" t="s">
        <v>5801</v>
      </c>
      <c r="B170" s="6985" t="s">
        <v>1736</v>
      </c>
      <c r="C170" s="6986"/>
      <c r="D170" s="3462"/>
      <c r="E170" s="478" t="s">
        <v>4567</v>
      </c>
      <c r="F170" s="478" t="s">
        <v>4568</v>
      </c>
      <c r="G170" s="553" t="s">
        <v>4569</v>
      </c>
      <c r="H170" s="345" t="s">
        <v>4570</v>
      </c>
      <c r="I170" s="349" t="s">
        <v>4571</v>
      </c>
      <c r="J170" s="347" t="s">
        <v>4572</v>
      </c>
      <c r="K170" s="349" t="s">
        <v>4573</v>
      </c>
      <c r="L170" s="347" t="s">
        <v>4574</v>
      </c>
      <c r="M170" s="349" t="s">
        <v>4575</v>
      </c>
      <c r="N170" s="347" t="s">
        <v>4576</v>
      </c>
      <c r="O170" s="349" t="s">
        <v>4577</v>
      </c>
      <c r="P170" s="368" t="s">
        <v>4578</v>
      </c>
      <c r="Q170" s="349" t="s">
        <v>4579</v>
      </c>
      <c r="R170" s="368" t="s">
        <v>4580</v>
      </c>
      <c r="S170" s="349" t="s">
        <v>4581</v>
      </c>
      <c r="T170" s="368" t="s">
        <v>4582</v>
      </c>
      <c r="U170" s="349" t="s">
        <v>4583</v>
      </c>
      <c r="V170" s="347" t="s">
        <v>4584</v>
      </c>
      <c r="W170" s="349" t="s">
        <v>4585</v>
      </c>
      <c r="X170" s="347" t="s">
        <v>4586</v>
      </c>
      <c r="Y170" s="349" t="s">
        <v>4587</v>
      </c>
      <c r="Z170" s="347" t="s">
        <v>4588</v>
      </c>
      <c r="AA170" s="349" t="s">
        <v>4589</v>
      </c>
      <c r="AB170" s="347" t="s">
        <v>4590</v>
      </c>
      <c r="AC170" s="349" t="s">
        <v>4591</v>
      </c>
      <c r="AD170" s="347" t="s">
        <v>4592</v>
      </c>
      <c r="AE170" s="349" t="s">
        <v>4593</v>
      </c>
      <c r="AF170" s="347" t="s">
        <v>4594</v>
      </c>
      <c r="AG170" s="349" t="s">
        <v>4595</v>
      </c>
      <c r="AH170" s="347" t="s">
        <v>4596</v>
      </c>
      <c r="AI170" s="349" t="s">
        <v>4597</v>
      </c>
      <c r="AJ170" s="347" t="s">
        <v>4598</v>
      </c>
      <c r="AK170" s="349" t="s">
        <v>4599</v>
      </c>
      <c r="AL170" s="347" t="s">
        <v>4600</v>
      </c>
      <c r="AM170" s="349" t="s">
        <v>4601</v>
      </c>
      <c r="AN170" s="347" t="s">
        <v>4602</v>
      </c>
      <c r="AO170" s="349" t="s">
        <v>4603</v>
      </c>
      <c r="AP170" s="347" t="s">
        <v>4604</v>
      </c>
      <c r="AQ170" s="351" t="s">
        <v>4605</v>
      </c>
      <c r="AR170" s="429" t="s">
        <v>4606</v>
      </c>
      <c r="AS170" s="531" t="s">
        <v>4934</v>
      </c>
      <c r="AT170" s="531" t="s">
        <v>4935</v>
      </c>
      <c r="AU170" s="531" t="s">
        <v>4936</v>
      </c>
      <c r="AV170" s="531" t="s">
        <v>4937</v>
      </c>
      <c r="AW170" s="531" t="s">
        <v>5234</v>
      </c>
      <c r="AX170" s="531" t="s">
        <v>5235</v>
      </c>
      <c r="AY170" s="107" t="s">
        <v>5236</v>
      </c>
      <c r="AZ170" t="e">
        <f t="shared" si="137"/>
        <v>#VALUE!</v>
      </c>
      <c r="CB170" s="433" t="e">
        <f t="shared" si="138"/>
        <v>#VALUE!</v>
      </c>
      <c r="CC170" s="433" t="str">
        <f t="shared" si="139"/>
        <v xml:space="preserve"> * La variable Gestante no pueden superar el Total Mujeres.</v>
      </c>
      <c r="CD170" s="433" t="e">
        <f t="shared" si="128"/>
        <v>#VALUE!</v>
      </c>
      <c r="CE170" s="433" t="str">
        <f t="shared" si="140"/>
        <v xml:space="preserve"> * La variable Compra de servicio no pueden superar el Total Ambos Sexos.</v>
      </c>
      <c r="CF170" s="433" t="str">
        <f t="shared" si="141"/>
        <v xml:space="preserve"> * La variable Usuario con Discapacidad no pueden superar el Total Ambos Sexos.</v>
      </c>
      <c r="CG170" s="433" t="str">
        <f t="shared" si="142"/>
        <v xml:space="preserve"> * La variable Niños, niñas, adolescentes y jóvenes SENAME no pueden superar el Total Ambos Sexos.</v>
      </c>
      <c r="CH170" s="433" t="str">
        <f t="shared" si="143"/>
        <v xml:space="preserve"> * La variable Niños, niñas, adolescentes y jóvenes Mejor Niñez no pueden superar el Total Ambos Sexos.</v>
      </c>
      <c r="CI170" s="433" t="str">
        <f t="shared" si="144"/>
        <v xml:space="preserve"> * La variable Migrantes no pueden superar el Total Ambos Sexos.</v>
      </c>
      <c r="CP170" s="434" t="e">
        <f t="shared" si="129"/>
        <v>#VALUE!</v>
      </c>
      <c r="CQ170" s="434">
        <f t="shared" si="130"/>
        <v>1</v>
      </c>
      <c r="CR170" s="434" t="e">
        <f t="shared" si="131"/>
        <v>#VALUE!</v>
      </c>
      <c r="CS170" s="434">
        <f t="shared" si="132"/>
        <v>1</v>
      </c>
      <c r="CT170" s="434">
        <f t="shared" si="133"/>
        <v>1</v>
      </c>
      <c r="CU170" s="434">
        <f t="shared" si="134"/>
        <v>1</v>
      </c>
      <c r="CV170" s="434">
        <f t="shared" si="135"/>
        <v>1</v>
      </c>
      <c r="CW170" s="434">
        <f t="shared" si="136"/>
        <v>1</v>
      </c>
    </row>
    <row r="171" spans="1:101" ht="15" customHeight="1" x14ac:dyDescent="0.25">
      <c r="A171" s="5812" t="s">
        <v>5802</v>
      </c>
      <c r="B171" s="6617" t="s">
        <v>1737</v>
      </c>
      <c r="C171" s="6974"/>
      <c r="D171" s="6618"/>
      <c r="E171" s="478" t="s">
        <v>4567</v>
      </c>
      <c r="F171" s="478" t="s">
        <v>4568</v>
      </c>
      <c r="G171" s="553" t="s">
        <v>4569</v>
      </c>
      <c r="H171" s="345" t="s">
        <v>4570</v>
      </c>
      <c r="I171" s="349" t="s">
        <v>4571</v>
      </c>
      <c r="J171" s="347" t="s">
        <v>4572</v>
      </c>
      <c r="K171" s="349" t="s">
        <v>4573</v>
      </c>
      <c r="L171" s="347" t="s">
        <v>4574</v>
      </c>
      <c r="M171" s="349" t="s">
        <v>4575</v>
      </c>
      <c r="N171" s="347" t="s">
        <v>4576</v>
      </c>
      <c r="O171" s="349" t="s">
        <v>4577</v>
      </c>
      <c r="P171" s="368" t="s">
        <v>4578</v>
      </c>
      <c r="Q171" s="349" t="s">
        <v>4579</v>
      </c>
      <c r="R171" s="368" t="s">
        <v>4580</v>
      </c>
      <c r="S171" s="349" t="s">
        <v>4581</v>
      </c>
      <c r="T171" s="368" t="s">
        <v>4582</v>
      </c>
      <c r="U171" s="349" t="s">
        <v>4583</v>
      </c>
      <c r="V171" s="347" t="s">
        <v>4584</v>
      </c>
      <c r="W171" s="349" t="s">
        <v>4585</v>
      </c>
      <c r="X171" s="347" t="s">
        <v>4586</v>
      </c>
      <c r="Y171" s="349" t="s">
        <v>4587</v>
      </c>
      <c r="Z171" s="347" t="s">
        <v>4588</v>
      </c>
      <c r="AA171" s="349" t="s">
        <v>4589</v>
      </c>
      <c r="AB171" s="347" t="s">
        <v>4590</v>
      </c>
      <c r="AC171" s="349" t="s">
        <v>4591</v>
      </c>
      <c r="AD171" s="347" t="s">
        <v>4592</v>
      </c>
      <c r="AE171" s="349" t="s">
        <v>4593</v>
      </c>
      <c r="AF171" s="347" t="s">
        <v>4594</v>
      </c>
      <c r="AG171" s="349" t="s">
        <v>4595</v>
      </c>
      <c r="AH171" s="347" t="s">
        <v>4596</v>
      </c>
      <c r="AI171" s="349" t="s">
        <v>4597</v>
      </c>
      <c r="AJ171" s="347" t="s">
        <v>4598</v>
      </c>
      <c r="AK171" s="349" t="s">
        <v>4599</v>
      </c>
      <c r="AL171" s="347" t="s">
        <v>4600</v>
      </c>
      <c r="AM171" s="349" t="s">
        <v>4601</v>
      </c>
      <c r="AN171" s="347" t="s">
        <v>4602</v>
      </c>
      <c r="AO171" s="349" t="s">
        <v>4603</v>
      </c>
      <c r="AP171" s="347" t="s">
        <v>4604</v>
      </c>
      <c r="AQ171" s="351" t="s">
        <v>4605</v>
      </c>
      <c r="AR171" s="429" t="s">
        <v>4606</v>
      </c>
      <c r="AS171" s="531" t="s">
        <v>4934</v>
      </c>
      <c r="AT171" s="531" t="s">
        <v>4935</v>
      </c>
      <c r="AU171" s="580" t="s">
        <v>4936</v>
      </c>
      <c r="AV171" s="580" t="s">
        <v>4937</v>
      </c>
      <c r="AW171" s="580" t="s">
        <v>5234</v>
      </c>
      <c r="AX171" s="580" t="s">
        <v>5235</v>
      </c>
      <c r="AY171" s="2" t="s">
        <v>5236</v>
      </c>
      <c r="AZ171" t="e">
        <f t="shared" si="137"/>
        <v>#VALUE!</v>
      </c>
      <c r="CB171" s="433" t="e">
        <f t="shared" si="138"/>
        <v>#VALUE!</v>
      </c>
      <c r="CC171" s="433" t="str">
        <f t="shared" si="139"/>
        <v xml:space="preserve"> * La variable Gestante no pueden superar el Total Mujeres.</v>
      </c>
      <c r="CD171" s="433" t="e">
        <f t="shared" si="128"/>
        <v>#VALUE!</v>
      </c>
      <c r="CE171" s="433" t="str">
        <f t="shared" si="140"/>
        <v xml:space="preserve"> * La variable Compra de servicio no pueden superar el Total Ambos Sexos.</v>
      </c>
      <c r="CF171" s="433" t="str">
        <f t="shared" si="141"/>
        <v xml:space="preserve"> * La variable Usuario con Discapacidad no pueden superar el Total Ambos Sexos.</v>
      </c>
      <c r="CG171" s="433" t="str">
        <f t="shared" si="142"/>
        <v xml:space="preserve"> * La variable Niños, niñas, adolescentes y jóvenes SENAME no pueden superar el Total Ambos Sexos.</v>
      </c>
      <c r="CH171" s="433" t="str">
        <f t="shared" si="143"/>
        <v xml:space="preserve"> * La variable Niños, niñas, adolescentes y jóvenes Mejor Niñez no pueden superar el Total Ambos Sexos.</v>
      </c>
      <c r="CI171" s="433" t="str">
        <f t="shared" si="144"/>
        <v xml:space="preserve"> * La variable Migrantes no pueden superar el Total Ambos Sexos.</v>
      </c>
      <c r="CP171" s="434" t="e">
        <f t="shared" si="129"/>
        <v>#VALUE!</v>
      </c>
      <c r="CQ171" s="434">
        <f t="shared" si="130"/>
        <v>1</v>
      </c>
      <c r="CR171" s="434" t="e">
        <f t="shared" si="131"/>
        <v>#VALUE!</v>
      </c>
      <c r="CS171" s="434">
        <f t="shared" si="132"/>
        <v>1</v>
      </c>
      <c r="CT171" s="434">
        <f t="shared" si="133"/>
        <v>1</v>
      </c>
      <c r="CU171" s="434">
        <f t="shared" si="134"/>
        <v>1</v>
      </c>
      <c r="CV171" s="434">
        <f t="shared" si="135"/>
        <v>1</v>
      </c>
      <c r="CW171" s="434">
        <f t="shared" si="136"/>
        <v>1</v>
      </c>
    </row>
    <row r="172" spans="1:101" ht="15" customHeight="1" x14ac:dyDescent="0.25">
      <c r="A172" s="5810" t="s">
        <v>5803</v>
      </c>
      <c r="B172" s="7070" t="s">
        <v>1738</v>
      </c>
      <c r="C172" s="7070"/>
      <c r="D172" s="7071"/>
      <c r="E172" s="477" t="s">
        <v>4567</v>
      </c>
      <c r="F172" s="478" t="s">
        <v>4568</v>
      </c>
      <c r="G172" s="553" t="s">
        <v>4569</v>
      </c>
      <c r="H172" s="345" t="s">
        <v>4570</v>
      </c>
      <c r="I172" s="349" t="s">
        <v>4571</v>
      </c>
      <c r="J172" s="345" t="s">
        <v>4572</v>
      </c>
      <c r="K172" s="349" t="s">
        <v>4573</v>
      </c>
      <c r="L172" s="345" t="s">
        <v>4574</v>
      </c>
      <c r="M172" s="349" t="s">
        <v>4575</v>
      </c>
      <c r="N172" s="345" t="s">
        <v>4576</v>
      </c>
      <c r="O172" s="349" t="s">
        <v>4577</v>
      </c>
      <c r="P172" s="345" t="s">
        <v>4578</v>
      </c>
      <c r="Q172" s="349" t="s">
        <v>4579</v>
      </c>
      <c r="R172" s="345" t="s">
        <v>4580</v>
      </c>
      <c r="S172" s="349" t="s">
        <v>4581</v>
      </c>
      <c r="T172" s="345" t="s">
        <v>4582</v>
      </c>
      <c r="U172" s="349" t="s">
        <v>4583</v>
      </c>
      <c r="V172" s="345" t="s">
        <v>4584</v>
      </c>
      <c r="W172" s="349" t="s">
        <v>4585</v>
      </c>
      <c r="X172" s="345" t="s">
        <v>4586</v>
      </c>
      <c r="Y172" s="349" t="s">
        <v>4587</v>
      </c>
      <c r="Z172" s="345" t="s">
        <v>4588</v>
      </c>
      <c r="AA172" s="349" t="s">
        <v>4589</v>
      </c>
      <c r="AB172" s="345" t="s">
        <v>4590</v>
      </c>
      <c r="AC172" s="349" t="s">
        <v>4591</v>
      </c>
      <c r="AD172" s="345" t="s">
        <v>4592</v>
      </c>
      <c r="AE172" s="349" t="s">
        <v>4593</v>
      </c>
      <c r="AF172" s="345" t="s">
        <v>4594</v>
      </c>
      <c r="AG172" s="349" t="s">
        <v>4595</v>
      </c>
      <c r="AH172" s="345" t="s">
        <v>4596</v>
      </c>
      <c r="AI172" s="349" t="s">
        <v>4597</v>
      </c>
      <c r="AJ172" s="345" t="s">
        <v>4598</v>
      </c>
      <c r="AK172" s="349" t="s">
        <v>4599</v>
      </c>
      <c r="AL172" s="345" t="s">
        <v>4600</v>
      </c>
      <c r="AM172" s="349" t="s">
        <v>4601</v>
      </c>
      <c r="AN172" s="345" t="s">
        <v>4602</v>
      </c>
      <c r="AO172" s="349" t="s">
        <v>4603</v>
      </c>
      <c r="AP172" s="345" t="s">
        <v>4604</v>
      </c>
      <c r="AQ172" s="351" t="s">
        <v>4605</v>
      </c>
      <c r="AR172" s="376" t="s">
        <v>4606</v>
      </c>
      <c r="AS172" s="368" t="s">
        <v>4934</v>
      </c>
      <c r="AT172" s="531" t="s">
        <v>4935</v>
      </c>
      <c r="AU172" s="580" t="s">
        <v>4936</v>
      </c>
      <c r="AV172" s="580" t="s">
        <v>4937</v>
      </c>
      <c r="AW172" s="580" t="s">
        <v>5234</v>
      </c>
      <c r="AX172" s="580" t="s">
        <v>5235</v>
      </c>
      <c r="AY172" s="2" t="s">
        <v>5236</v>
      </c>
      <c r="AZ172" t="e">
        <f t="shared" si="137"/>
        <v>#VALUE!</v>
      </c>
      <c r="CB172" s="433" t="e">
        <f t="shared" si="138"/>
        <v>#VALUE!</v>
      </c>
      <c r="CC172" s="433" t="str">
        <f t="shared" si="139"/>
        <v xml:space="preserve"> * La variable Gestante no pueden superar el Total Mujeres.</v>
      </c>
      <c r="CD172" s="433" t="e">
        <f t="shared" si="128"/>
        <v>#VALUE!</v>
      </c>
      <c r="CE172" s="433" t="str">
        <f t="shared" si="140"/>
        <v xml:space="preserve"> * La variable Compra de servicio no pueden superar el Total Ambos Sexos.</v>
      </c>
      <c r="CF172" s="433" t="str">
        <f t="shared" si="141"/>
        <v xml:space="preserve"> * La variable Usuario con Discapacidad no pueden superar el Total Ambos Sexos.</v>
      </c>
      <c r="CG172" s="433" t="str">
        <f t="shared" si="142"/>
        <v xml:space="preserve"> * La variable Niños, niñas, adolescentes y jóvenes SENAME no pueden superar el Total Ambos Sexos.</v>
      </c>
      <c r="CH172" s="433" t="str">
        <f t="shared" si="143"/>
        <v xml:space="preserve"> * La variable Niños, niñas, adolescentes y jóvenes Mejor Niñez no pueden superar el Total Ambos Sexos.</v>
      </c>
      <c r="CI172" s="433" t="str">
        <f t="shared" si="144"/>
        <v xml:space="preserve"> * La variable Migrantes no pueden superar el Total Ambos Sexos.</v>
      </c>
      <c r="CP172" s="434" t="e">
        <f t="shared" si="129"/>
        <v>#VALUE!</v>
      </c>
      <c r="CQ172" s="434">
        <f t="shared" si="130"/>
        <v>1</v>
      </c>
      <c r="CR172" s="434" t="e">
        <f t="shared" si="131"/>
        <v>#VALUE!</v>
      </c>
      <c r="CS172" s="434">
        <f t="shared" si="132"/>
        <v>1</v>
      </c>
      <c r="CT172" s="434">
        <f t="shared" si="133"/>
        <v>1</v>
      </c>
      <c r="CU172" s="434">
        <f t="shared" si="134"/>
        <v>1</v>
      </c>
      <c r="CV172" s="434">
        <f t="shared" si="135"/>
        <v>1</v>
      </c>
      <c r="CW172" s="434">
        <f t="shared" si="136"/>
        <v>1</v>
      </c>
    </row>
    <row r="173" spans="1:101" ht="15" customHeight="1" x14ac:dyDescent="0.25">
      <c r="A173" s="5811" t="s">
        <v>5804</v>
      </c>
      <c r="B173" s="3634" t="s">
        <v>1739</v>
      </c>
      <c r="C173" s="3634"/>
      <c r="D173" s="416"/>
      <c r="E173" s="197" t="s">
        <v>4567</v>
      </c>
      <c r="F173" s="485" t="s">
        <v>4568</v>
      </c>
      <c r="G173" s="577" t="s">
        <v>4569</v>
      </c>
      <c r="H173" s="345" t="s">
        <v>4570</v>
      </c>
      <c r="I173" s="349" t="s">
        <v>4571</v>
      </c>
      <c r="J173" s="345" t="s">
        <v>4572</v>
      </c>
      <c r="K173" s="349" t="s">
        <v>4573</v>
      </c>
      <c r="L173" s="345" t="s">
        <v>4574</v>
      </c>
      <c r="M173" s="349" t="s">
        <v>4575</v>
      </c>
      <c r="N173" s="345" t="s">
        <v>4576</v>
      </c>
      <c r="O173" s="349" t="s">
        <v>4577</v>
      </c>
      <c r="P173" s="345" t="s">
        <v>4578</v>
      </c>
      <c r="Q173" s="349" t="s">
        <v>4579</v>
      </c>
      <c r="R173" s="345" t="s">
        <v>4580</v>
      </c>
      <c r="S173" s="349" t="s">
        <v>4581</v>
      </c>
      <c r="T173" s="345" t="s">
        <v>4582</v>
      </c>
      <c r="U173" s="349" t="s">
        <v>4583</v>
      </c>
      <c r="V173" s="345" t="s">
        <v>4584</v>
      </c>
      <c r="W173" s="349" t="s">
        <v>4585</v>
      </c>
      <c r="X173" s="345" t="s">
        <v>4586</v>
      </c>
      <c r="Y173" s="349" t="s">
        <v>4587</v>
      </c>
      <c r="Z173" s="345" t="s">
        <v>4588</v>
      </c>
      <c r="AA173" s="349" t="s">
        <v>4589</v>
      </c>
      <c r="AB173" s="345" t="s">
        <v>4590</v>
      </c>
      <c r="AC173" s="349" t="s">
        <v>4591</v>
      </c>
      <c r="AD173" s="345" t="s">
        <v>4592</v>
      </c>
      <c r="AE173" s="349" t="s">
        <v>4593</v>
      </c>
      <c r="AF173" s="345" t="s">
        <v>4594</v>
      </c>
      <c r="AG173" s="349" t="s">
        <v>4595</v>
      </c>
      <c r="AH173" s="345" t="s">
        <v>4596</v>
      </c>
      <c r="AI173" s="349" t="s">
        <v>4597</v>
      </c>
      <c r="AJ173" s="345" t="s">
        <v>4598</v>
      </c>
      <c r="AK173" s="349" t="s">
        <v>4599</v>
      </c>
      <c r="AL173" s="345" t="s">
        <v>4600</v>
      </c>
      <c r="AM173" s="349" t="s">
        <v>4601</v>
      </c>
      <c r="AN173" s="345" t="s">
        <v>4602</v>
      </c>
      <c r="AO173" s="349" t="s">
        <v>4603</v>
      </c>
      <c r="AP173" s="379" t="s">
        <v>4604</v>
      </c>
      <c r="AQ173" s="389" t="s">
        <v>4605</v>
      </c>
      <c r="AR173" s="429" t="s">
        <v>4606</v>
      </c>
      <c r="AS173" s="580" t="s">
        <v>4934</v>
      </c>
      <c r="AT173" s="531" t="s">
        <v>4935</v>
      </c>
      <c r="AU173" s="580" t="s">
        <v>4936</v>
      </c>
      <c r="AV173" s="580" t="s">
        <v>4937</v>
      </c>
      <c r="AW173" s="580" t="s">
        <v>5234</v>
      </c>
      <c r="AX173" s="580" t="s">
        <v>5235</v>
      </c>
      <c r="AY173" s="2" t="s">
        <v>5236</v>
      </c>
      <c r="AZ173" t="e">
        <f t="shared" si="137"/>
        <v>#VALUE!</v>
      </c>
      <c r="CB173" s="433" t="e">
        <f t="shared" si="138"/>
        <v>#VALUE!</v>
      </c>
      <c r="CC173" s="433" t="str">
        <f t="shared" si="139"/>
        <v xml:space="preserve"> * La variable Gestante no pueden superar el Total Mujeres.</v>
      </c>
      <c r="CD173" s="433" t="e">
        <f>IF(AND(AL173+AM173&gt;0,AT173="")," * No olvide digitar la variable 60 años (incluido en grupos de 60-64 años). Digite Cero si no tiene.",IF(AT173&gt;AL173+AM173," * La variable 60 años (incluido en grupos de 60-64 años) no pueden superar la suma del Grupo 60-64 años.",""))</f>
        <v>#VALUE!</v>
      </c>
      <c r="CE173" s="433" t="str">
        <f t="shared" si="140"/>
        <v xml:space="preserve"> * La variable Compra de servicio no pueden superar el Total Ambos Sexos.</v>
      </c>
      <c r="CF173" s="433" t="str">
        <f t="shared" si="141"/>
        <v xml:space="preserve"> * La variable Usuario con Discapacidad no pueden superar el Total Ambos Sexos.</v>
      </c>
      <c r="CG173" s="433" t="str">
        <f t="shared" si="142"/>
        <v xml:space="preserve"> * La variable Niños, niñas, adolescentes y jóvenes SENAME no pueden superar el Total Ambos Sexos.</v>
      </c>
      <c r="CH173" s="433" t="str">
        <f t="shared" si="143"/>
        <v xml:space="preserve"> * La variable Niños, niñas, adolescentes y jóvenes Mejor Niñez no pueden superar el Total Ambos Sexos.</v>
      </c>
      <c r="CI173" s="433" t="str">
        <f t="shared" si="144"/>
        <v xml:space="preserve"> * La variable Migrantes no pueden superar el Total Ambos Sexos.</v>
      </c>
      <c r="CP173" s="434" t="e">
        <f t="shared" si="129"/>
        <v>#VALUE!</v>
      </c>
      <c r="CQ173" s="434">
        <f t="shared" si="130"/>
        <v>1</v>
      </c>
      <c r="CR173" s="434" t="e">
        <f t="shared" si="131"/>
        <v>#VALUE!</v>
      </c>
      <c r="CS173" s="434">
        <f t="shared" si="132"/>
        <v>1</v>
      </c>
      <c r="CT173" s="434">
        <f t="shared" si="133"/>
        <v>1</v>
      </c>
      <c r="CU173" s="434">
        <f t="shared" si="134"/>
        <v>1</v>
      </c>
      <c r="CV173" s="434">
        <f t="shared" si="135"/>
        <v>1</v>
      </c>
      <c r="CW173" s="434">
        <f t="shared" si="136"/>
        <v>1</v>
      </c>
    </row>
    <row r="174" spans="1:101" ht="15" customHeight="1" x14ac:dyDescent="0.25">
      <c r="A174" s="5793"/>
      <c r="B174" s="6956" t="s">
        <v>77</v>
      </c>
      <c r="C174" s="6515"/>
      <c r="D174" s="6545"/>
      <c r="E174" s="3606">
        <f t="shared" ref="E174:AY174" si="145">SUM(E163:E173)</f>
        <v>0</v>
      </c>
      <c r="F174" s="3635">
        <f t="shared" si="145"/>
        <v>0</v>
      </c>
      <c r="G174" s="3427">
        <f t="shared" si="145"/>
        <v>0</v>
      </c>
      <c r="H174" s="3426">
        <f t="shared" si="145"/>
        <v>0</v>
      </c>
      <c r="I174" s="3427">
        <f t="shared" si="145"/>
        <v>0</v>
      </c>
      <c r="J174" s="3426">
        <f t="shared" si="145"/>
        <v>0</v>
      </c>
      <c r="K174" s="3427">
        <f t="shared" si="145"/>
        <v>0</v>
      </c>
      <c r="L174" s="3426">
        <f t="shared" si="145"/>
        <v>0</v>
      </c>
      <c r="M174" s="3427">
        <f>SUM(M163:M173)</f>
        <v>0</v>
      </c>
      <c r="N174" s="3426">
        <f t="shared" si="145"/>
        <v>0</v>
      </c>
      <c r="O174" s="3427">
        <f t="shared" si="145"/>
        <v>0</v>
      </c>
      <c r="P174" s="3426">
        <f t="shared" si="145"/>
        <v>0</v>
      </c>
      <c r="Q174" s="3427">
        <f t="shared" si="145"/>
        <v>0</v>
      </c>
      <c r="R174" s="3426">
        <f t="shared" si="145"/>
        <v>0</v>
      </c>
      <c r="S174" s="3427">
        <f t="shared" si="145"/>
        <v>0</v>
      </c>
      <c r="T174" s="3426">
        <f t="shared" si="145"/>
        <v>0</v>
      </c>
      <c r="U174" s="3427">
        <f t="shared" si="145"/>
        <v>0</v>
      </c>
      <c r="V174" s="3426">
        <f t="shared" si="145"/>
        <v>0</v>
      </c>
      <c r="W174" s="3427">
        <f t="shared" si="145"/>
        <v>0</v>
      </c>
      <c r="X174" s="3426">
        <f t="shared" si="145"/>
        <v>0</v>
      </c>
      <c r="Y174" s="3427">
        <f t="shared" si="145"/>
        <v>0</v>
      </c>
      <c r="Z174" s="3426">
        <f t="shared" si="145"/>
        <v>0</v>
      </c>
      <c r="AA174" s="3427">
        <f t="shared" si="145"/>
        <v>0</v>
      </c>
      <c r="AB174" s="3426">
        <f t="shared" si="145"/>
        <v>0</v>
      </c>
      <c r="AC174" s="3427">
        <f t="shared" si="145"/>
        <v>0</v>
      </c>
      <c r="AD174" s="3426">
        <f t="shared" si="145"/>
        <v>0</v>
      </c>
      <c r="AE174" s="3427">
        <f t="shared" si="145"/>
        <v>0</v>
      </c>
      <c r="AF174" s="3426">
        <f t="shared" si="145"/>
        <v>0</v>
      </c>
      <c r="AG174" s="3427">
        <f t="shared" si="145"/>
        <v>0</v>
      </c>
      <c r="AH174" s="3426">
        <f t="shared" si="145"/>
        <v>0</v>
      </c>
      <c r="AI174" s="3427">
        <f t="shared" si="145"/>
        <v>0</v>
      </c>
      <c r="AJ174" s="3426">
        <f t="shared" si="145"/>
        <v>0</v>
      </c>
      <c r="AK174" s="3427">
        <f t="shared" si="145"/>
        <v>0</v>
      </c>
      <c r="AL174" s="3426">
        <f t="shared" si="145"/>
        <v>0</v>
      </c>
      <c r="AM174" s="3427">
        <f t="shared" si="145"/>
        <v>0</v>
      </c>
      <c r="AN174" s="3426">
        <f t="shared" si="145"/>
        <v>0</v>
      </c>
      <c r="AO174" s="3427">
        <f t="shared" si="145"/>
        <v>0</v>
      </c>
      <c r="AP174" s="3426">
        <f t="shared" si="145"/>
        <v>0</v>
      </c>
      <c r="AQ174" s="3436">
        <f t="shared" si="145"/>
        <v>0</v>
      </c>
      <c r="AR174" s="613">
        <f t="shared" si="145"/>
        <v>0</v>
      </c>
      <c r="AS174" s="610">
        <f t="shared" si="145"/>
        <v>0</v>
      </c>
      <c r="AT174" s="610">
        <f t="shared" si="145"/>
        <v>0</v>
      </c>
      <c r="AU174" s="3636">
        <f t="shared" si="145"/>
        <v>0</v>
      </c>
      <c r="AV174" s="3636">
        <f t="shared" si="145"/>
        <v>0</v>
      </c>
      <c r="AW174" s="3636">
        <f t="shared" si="145"/>
        <v>0</v>
      </c>
      <c r="AX174" s="3636">
        <f t="shared" si="145"/>
        <v>0</v>
      </c>
      <c r="AY174" s="3637">
        <f t="shared" si="145"/>
        <v>0</v>
      </c>
    </row>
    <row r="175" spans="1:101" ht="18" customHeight="1" x14ac:dyDescent="0.25">
      <c r="A175" s="5548"/>
      <c r="B175" s="3" t="s">
        <v>1740</v>
      </c>
      <c r="C175" s="3638"/>
      <c r="D175" s="3638"/>
      <c r="E175" s="363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3229"/>
      <c r="S175" s="4"/>
      <c r="T175" s="1839"/>
      <c r="U175" s="1839"/>
      <c r="V175" s="1839"/>
      <c r="W175" s="1839"/>
      <c r="X175" s="1839"/>
      <c r="Y175" s="5"/>
      <c r="Z175" s="1839"/>
      <c r="AA175" s="1839"/>
      <c r="AB175" s="1839"/>
      <c r="AC175" s="1839"/>
      <c r="AD175" s="1839"/>
      <c r="AE175" s="1839"/>
      <c r="AF175" s="1839"/>
      <c r="AG175" s="183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  <row r="176" spans="1:101" ht="15" customHeight="1" x14ac:dyDescent="0.25">
      <c r="A176" s="5548"/>
      <c r="B176" s="6575" t="s">
        <v>1741</v>
      </c>
      <c r="C176" s="6491"/>
      <c r="D176" s="6576"/>
      <c r="E176" s="6212" t="s">
        <v>77</v>
      </c>
      <c r="F176" s="6510"/>
      <c r="G176" s="6511"/>
      <c r="H176" s="6956" t="s">
        <v>101</v>
      </c>
      <c r="I176" s="6515"/>
      <c r="J176" s="6515"/>
      <c r="K176" s="6515"/>
      <c r="L176" s="6515"/>
      <c r="M176" s="6515"/>
      <c r="N176" s="6515"/>
      <c r="O176" s="6515"/>
      <c r="P176" s="6515"/>
      <c r="Q176" s="6515"/>
      <c r="R176" s="6515"/>
      <c r="S176" s="6515"/>
      <c r="T176" s="6515"/>
      <c r="U176" s="6515"/>
      <c r="V176" s="6515"/>
      <c r="W176" s="6515"/>
      <c r="X176" s="6515"/>
      <c r="Y176" s="6515"/>
      <c r="Z176" s="6515"/>
      <c r="AA176" s="6515"/>
      <c r="AB176" s="6515"/>
      <c r="AC176" s="6515"/>
      <c r="AD176" s="6515"/>
      <c r="AE176" s="6515"/>
      <c r="AF176" s="6515"/>
      <c r="AG176" s="6515"/>
      <c r="AH176" s="6515"/>
      <c r="AI176" s="6515"/>
      <c r="AJ176" s="6515"/>
      <c r="AK176" s="6515"/>
      <c r="AL176" s="6515"/>
      <c r="AM176" s="6515"/>
      <c r="AN176" s="6515"/>
      <c r="AO176" s="6515"/>
      <c r="AP176" s="6515"/>
      <c r="AQ176" s="6545"/>
      <c r="AR176" s="6517" t="s">
        <v>1594</v>
      </c>
      <c r="AS176" s="6963" t="s">
        <v>1573</v>
      </c>
      <c r="AT176" s="7013" t="s">
        <v>1575</v>
      </c>
      <c r="AU176" s="7013" t="s">
        <v>1576</v>
      </c>
      <c r="AV176" s="6958" t="s">
        <v>37</v>
      </c>
      <c r="AW176" s="6958" t="s">
        <v>1742</v>
      </c>
      <c r="AX176" s="6958" t="s">
        <v>1574</v>
      </c>
      <c r="AY176" s="6820" t="s">
        <v>322</v>
      </c>
    </row>
    <row r="177" spans="1:101" ht="15" customHeight="1" x14ac:dyDescent="0.25">
      <c r="A177" s="5548"/>
      <c r="B177" s="6827"/>
      <c r="C177" s="6954"/>
      <c r="D177" s="6331"/>
      <c r="E177" s="6044"/>
      <c r="F177" s="6045"/>
      <c r="G177" s="6027"/>
      <c r="H177" s="6947" t="s">
        <v>474</v>
      </c>
      <c r="I177" s="6961"/>
      <c r="J177" s="6956" t="s">
        <v>380</v>
      </c>
      <c r="K177" s="6545"/>
      <c r="L177" s="6515" t="s">
        <v>381</v>
      </c>
      <c r="M177" s="6545"/>
      <c r="N177" s="6956" t="s">
        <v>1577</v>
      </c>
      <c r="O177" s="6545"/>
      <c r="P177" s="6956" t="s">
        <v>383</v>
      </c>
      <c r="Q177" s="6545"/>
      <c r="R177" s="6956" t="s">
        <v>384</v>
      </c>
      <c r="S177" s="6545"/>
      <c r="T177" s="6956" t="s">
        <v>385</v>
      </c>
      <c r="U177" s="6545"/>
      <c r="V177" s="6956" t="s">
        <v>386</v>
      </c>
      <c r="W177" s="6545"/>
      <c r="X177" s="6956" t="s">
        <v>1578</v>
      </c>
      <c r="Y177" s="6545"/>
      <c r="Z177" s="6956" t="s">
        <v>303</v>
      </c>
      <c r="AA177" s="6962"/>
      <c r="AB177" s="6956" t="s">
        <v>304</v>
      </c>
      <c r="AC177" s="6962"/>
      <c r="AD177" s="7079" t="s">
        <v>1579</v>
      </c>
      <c r="AE177" s="7080"/>
      <c r="AF177" s="7079" t="s">
        <v>1580</v>
      </c>
      <c r="AG177" s="7080"/>
      <c r="AH177" s="7079" t="s">
        <v>1581</v>
      </c>
      <c r="AI177" s="7080"/>
      <c r="AJ177" s="7079" t="s">
        <v>1582</v>
      </c>
      <c r="AK177" s="7080"/>
      <c r="AL177" s="6956" t="s">
        <v>1583</v>
      </c>
      <c r="AM177" s="6962"/>
      <c r="AN177" s="6956" t="s">
        <v>1584</v>
      </c>
      <c r="AO177" s="6962"/>
      <c r="AP177" s="6956" t="s">
        <v>938</v>
      </c>
      <c r="AQ177" s="6962"/>
      <c r="AR177" s="6034"/>
      <c r="AS177" s="7045"/>
      <c r="AT177" s="7013"/>
      <c r="AU177" s="7013"/>
      <c r="AV177" s="6959"/>
      <c r="AW177" s="6959"/>
      <c r="AX177" s="6959"/>
      <c r="AY177" s="6355"/>
    </row>
    <row r="178" spans="1:101" ht="20.25" customHeight="1" x14ac:dyDescent="0.25">
      <c r="A178" s="5548"/>
      <c r="B178" s="6750"/>
      <c r="C178" s="6749"/>
      <c r="D178" s="6913"/>
      <c r="E178" s="3403" t="s">
        <v>79</v>
      </c>
      <c r="F178" s="3453" t="s">
        <v>58</v>
      </c>
      <c r="G178" s="591" t="s">
        <v>59</v>
      </c>
      <c r="H178" s="3424" t="s">
        <v>58</v>
      </c>
      <c r="I178" s="468" t="s">
        <v>59</v>
      </c>
      <c r="J178" s="3424" t="s">
        <v>58</v>
      </c>
      <c r="K178" s="468" t="s">
        <v>59</v>
      </c>
      <c r="L178" s="3424" t="s">
        <v>58</v>
      </c>
      <c r="M178" s="468" t="s">
        <v>59</v>
      </c>
      <c r="N178" s="3424" t="s">
        <v>58</v>
      </c>
      <c r="O178" s="468" t="s">
        <v>59</v>
      </c>
      <c r="P178" s="3424" t="s">
        <v>58</v>
      </c>
      <c r="Q178" s="468" t="s">
        <v>59</v>
      </c>
      <c r="R178" s="3424" t="s">
        <v>58</v>
      </c>
      <c r="S178" s="591" t="s">
        <v>59</v>
      </c>
      <c r="T178" s="3405" t="s">
        <v>58</v>
      </c>
      <c r="U178" s="591" t="s">
        <v>59</v>
      </c>
      <c r="V178" s="3405" t="s">
        <v>58</v>
      </c>
      <c r="W178" s="591" t="s">
        <v>59</v>
      </c>
      <c r="X178" s="3405" t="s">
        <v>58</v>
      </c>
      <c r="Y178" s="591" t="s">
        <v>59</v>
      </c>
      <c r="Z178" s="3405" t="s">
        <v>58</v>
      </c>
      <c r="AA178" s="591" t="s">
        <v>59</v>
      </c>
      <c r="AB178" s="3405" t="s">
        <v>58</v>
      </c>
      <c r="AC178" s="591" t="s">
        <v>59</v>
      </c>
      <c r="AD178" s="3405" t="s">
        <v>58</v>
      </c>
      <c r="AE178" s="591" t="s">
        <v>59</v>
      </c>
      <c r="AF178" s="3405" t="s">
        <v>58</v>
      </c>
      <c r="AG178" s="591" t="s">
        <v>59</v>
      </c>
      <c r="AH178" s="3405" t="s">
        <v>58</v>
      </c>
      <c r="AI178" s="591" t="s">
        <v>59</v>
      </c>
      <c r="AJ178" s="3405" t="s">
        <v>58</v>
      </c>
      <c r="AK178" s="591" t="s">
        <v>59</v>
      </c>
      <c r="AL178" s="3405" t="s">
        <v>58</v>
      </c>
      <c r="AM178" s="591" t="s">
        <v>59</v>
      </c>
      <c r="AN178" s="3405" t="s">
        <v>58</v>
      </c>
      <c r="AO178" s="591" t="s">
        <v>59</v>
      </c>
      <c r="AP178" s="3405" t="s">
        <v>58</v>
      </c>
      <c r="AQ178" s="591" t="s">
        <v>59</v>
      </c>
      <c r="AR178" s="6035"/>
      <c r="AS178" s="6083"/>
      <c r="AT178" s="7013"/>
      <c r="AU178" s="7013"/>
      <c r="AV178" s="6960"/>
      <c r="AW178" s="6960"/>
      <c r="AX178" s="6960"/>
      <c r="AY178" s="7078"/>
    </row>
    <row r="179" spans="1:101" ht="15" customHeight="1" x14ac:dyDescent="0.25">
      <c r="A179" s="5812" t="s">
        <v>5805</v>
      </c>
      <c r="B179" s="6453" t="s">
        <v>1743</v>
      </c>
      <c r="C179" s="7032" t="s">
        <v>1744</v>
      </c>
      <c r="D179" s="7033"/>
      <c r="E179" s="3639" t="s">
        <v>4567</v>
      </c>
      <c r="F179" s="3640" t="s">
        <v>4568</v>
      </c>
      <c r="G179" s="3641" t="s">
        <v>4569</v>
      </c>
      <c r="H179" s="3642" t="s">
        <v>4570</v>
      </c>
      <c r="I179" s="819" t="s">
        <v>4571</v>
      </c>
      <c r="J179" s="3642" t="s">
        <v>4572</v>
      </c>
      <c r="K179" s="819" t="s">
        <v>4573</v>
      </c>
      <c r="L179" s="3642" t="s">
        <v>4574</v>
      </c>
      <c r="M179" s="819" t="s">
        <v>4575</v>
      </c>
      <c r="N179" s="3642" t="s">
        <v>4576</v>
      </c>
      <c r="O179" s="819" t="s">
        <v>4577</v>
      </c>
      <c r="P179" s="3642" t="s">
        <v>4578</v>
      </c>
      <c r="Q179" s="819" t="s">
        <v>4579</v>
      </c>
      <c r="R179" s="3642" t="s">
        <v>4580</v>
      </c>
      <c r="S179" s="819" t="s">
        <v>4581</v>
      </c>
      <c r="T179" s="3642" t="s">
        <v>4582</v>
      </c>
      <c r="U179" s="819" t="s">
        <v>4583</v>
      </c>
      <c r="V179" s="3642" t="s">
        <v>4584</v>
      </c>
      <c r="W179" s="819" t="s">
        <v>4585</v>
      </c>
      <c r="X179" s="3642" t="s">
        <v>4586</v>
      </c>
      <c r="Y179" s="819" t="s">
        <v>4587</v>
      </c>
      <c r="Z179" s="3642" t="s">
        <v>4588</v>
      </c>
      <c r="AA179" s="819" t="s">
        <v>4589</v>
      </c>
      <c r="AB179" s="3642" t="s">
        <v>4590</v>
      </c>
      <c r="AC179" s="819" t="s">
        <v>4591</v>
      </c>
      <c r="AD179" s="3643" t="s">
        <v>4592</v>
      </c>
      <c r="AE179" s="748" t="s">
        <v>4593</v>
      </c>
      <c r="AF179" s="3644" t="s">
        <v>4594</v>
      </c>
      <c r="AG179" s="748" t="s">
        <v>4595</v>
      </c>
      <c r="AH179" s="3644" t="s">
        <v>4596</v>
      </c>
      <c r="AI179" s="748" t="s">
        <v>4597</v>
      </c>
      <c r="AJ179" s="3644" t="s">
        <v>4598</v>
      </c>
      <c r="AK179" s="748" t="s">
        <v>4599</v>
      </c>
      <c r="AL179" s="3644" t="s">
        <v>4600</v>
      </c>
      <c r="AM179" s="748" t="s">
        <v>4601</v>
      </c>
      <c r="AN179" s="3644" t="s">
        <v>4602</v>
      </c>
      <c r="AO179" s="748" t="s">
        <v>4603</v>
      </c>
      <c r="AP179" s="3644" t="s">
        <v>4604</v>
      </c>
      <c r="AQ179" s="748" t="s">
        <v>4605</v>
      </c>
      <c r="AR179" s="735" t="s">
        <v>4606</v>
      </c>
      <c r="AS179" s="750" t="s">
        <v>4934</v>
      </c>
      <c r="AT179" s="750" t="s">
        <v>4935</v>
      </c>
      <c r="AU179" s="750" t="s">
        <v>4936</v>
      </c>
      <c r="AV179" s="750" t="s">
        <v>4937</v>
      </c>
      <c r="AW179" s="3645" t="s">
        <v>5234</v>
      </c>
      <c r="AX179" s="531" t="s">
        <v>5235</v>
      </c>
      <c r="AY179" s="107" t="s">
        <v>5236</v>
      </c>
      <c r="AZ179" t="str">
        <f>CB179&amp;CC179&amp;CD179&amp;CE179&amp;CF179&amp;CG179&amp;CH179&amp;CI179</f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79" s="433"/>
      <c r="CC179" s="433" t="str">
        <f>IF(AND($E179&gt;0,AS179="")," * No olvide digitar la variable Usuario con Discapacidad. Digite Cero si no tiene.",IF(AS179&gt;$E179," * La variable Usuario con Discapacidad no pueden superar el Total Ambos Sexos.",""))</f>
        <v xml:space="preserve"> * La variable Usuario con Discapacidad no pueden superar el Total Ambos Sexos.</v>
      </c>
      <c r="CD179" s="433" t="str">
        <f>IF(AND($E179&gt;0,AT179=""),"  * No olvide digitar la variable Niños, niñas, adolescentes y jóvenes SENAME. Digite Cero si no tiene.",IF(AT179&gt;E179," * La variable Niños, niñas, adolescentes y jóvenes SENAME no pueden superar el Total Ambos Sexos.",""))</f>
        <v xml:space="preserve"> * La variable Niños, niñas, adolescentes y jóvenes SENAME no pueden superar el Total Ambos Sexos.</v>
      </c>
      <c r="CE179" s="433" t="str">
        <f>IF(AND($E179&gt;0,AU179="")," * No olvide digitar la variable Niños, niñas, adolescentes y jóvenes Mejor Niñez. Digite Cero si no tiene.",IF(AU179&gt;$E179,"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F179" s="433" t="str">
        <f>IF(AND($E179&gt;0,AV179="")," * No olvide digitar la variable Migrantes. Digite Cero si no tiene.",IF(AV179&gt;$E179," * La variable Migrantes no pueden superar el Total Ambos Sexos.",""))</f>
        <v xml:space="preserve"> * La variable Migrantes no pueden superar el Total Ambos Sexos.</v>
      </c>
      <c r="CG179" s="435"/>
      <c r="CH179" s="433" t="str">
        <f>IF(AND($E179&gt;0,AX179=""),"  * No olvide digitar la variable Persona con ingreso integral y condición crónica. Digite Cero si no tiene.",IF(AX179&gt;$E179,"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179" s="433" t="str">
        <f>IF(AND($E179&gt;0,AY179=""),"  * No olvide digitar la variable Pueblos Originarios. Digite Cero si no tiene.",IF(AY179&gt;$E179," * La variable Pueblos Originarios no pueden superar el Total Ambos Sexos.",""))</f>
        <v xml:space="preserve"> * La variable Pueblos Originarios no pueden superar el Total Ambos Sexos.</v>
      </c>
      <c r="CP179" s="434"/>
      <c r="CQ179" s="434">
        <f t="shared" ref="CQ179:CR182" si="146">IF(AND($E179&gt;0,AS179=""),1,IF(AS179&gt;$E179,1,0))</f>
        <v>1</v>
      </c>
      <c r="CR179" s="434">
        <f t="shared" si="146"/>
        <v>1</v>
      </c>
      <c r="CS179" s="434">
        <f>IF(AND(E179&gt;0,AU179=""),1,IF(AU179&gt;E179,1,0))</f>
        <v>1</v>
      </c>
      <c r="CT179" s="434">
        <f>IF(AND($E179&gt;0,AV179=""),1,IF(AV179&gt;$E179,1,0))</f>
        <v>1</v>
      </c>
      <c r="CU179" s="435"/>
      <c r="CV179" s="434">
        <f t="shared" ref="CV179:CW182" si="147">IF(AND($E179&gt;0,AX179=""),1,IF(AX179&gt;$E179,1,0))</f>
        <v>1</v>
      </c>
      <c r="CW179" s="434">
        <f t="shared" si="147"/>
        <v>1</v>
      </c>
    </row>
    <row r="180" spans="1:101" ht="15" customHeight="1" x14ac:dyDescent="0.25">
      <c r="A180" s="5812" t="s">
        <v>5806</v>
      </c>
      <c r="B180" s="6058"/>
      <c r="C180" s="6985" t="s">
        <v>1643</v>
      </c>
      <c r="D180" s="6987"/>
      <c r="E180" s="3646" t="s">
        <v>4567</v>
      </c>
      <c r="F180" s="3647" t="s">
        <v>4568</v>
      </c>
      <c r="G180" s="3648" t="s">
        <v>4569</v>
      </c>
      <c r="H180" s="3231" t="s">
        <v>4570</v>
      </c>
      <c r="I180" s="824" t="s">
        <v>4571</v>
      </c>
      <c r="J180" s="3231" t="s">
        <v>4572</v>
      </c>
      <c r="K180" s="824" t="s">
        <v>4573</v>
      </c>
      <c r="L180" s="3231" t="s">
        <v>4574</v>
      </c>
      <c r="M180" s="824" t="s">
        <v>4575</v>
      </c>
      <c r="N180" s="3231" t="s">
        <v>4576</v>
      </c>
      <c r="O180" s="824" t="s">
        <v>4577</v>
      </c>
      <c r="P180" s="3231" t="s">
        <v>4578</v>
      </c>
      <c r="Q180" s="824" t="s">
        <v>4579</v>
      </c>
      <c r="R180" s="3231" t="s">
        <v>4580</v>
      </c>
      <c r="S180" s="824" t="s">
        <v>4581</v>
      </c>
      <c r="T180" s="3231" t="s">
        <v>4582</v>
      </c>
      <c r="U180" s="824" t="s">
        <v>4583</v>
      </c>
      <c r="V180" s="3231" t="s">
        <v>4584</v>
      </c>
      <c r="W180" s="824" t="s">
        <v>4585</v>
      </c>
      <c r="X180" s="3231" t="s">
        <v>4586</v>
      </c>
      <c r="Y180" s="824" t="s">
        <v>4587</v>
      </c>
      <c r="Z180" s="3231" t="s">
        <v>4588</v>
      </c>
      <c r="AA180" s="824" t="s">
        <v>4589</v>
      </c>
      <c r="AB180" s="3231" t="s">
        <v>4590</v>
      </c>
      <c r="AC180" s="824" t="s">
        <v>4591</v>
      </c>
      <c r="AD180" s="537" t="s">
        <v>4592</v>
      </c>
      <c r="AE180" s="622" t="s">
        <v>4593</v>
      </c>
      <c r="AF180" s="670" t="s">
        <v>4594</v>
      </c>
      <c r="AG180" s="622" t="s">
        <v>4595</v>
      </c>
      <c r="AH180" s="670" t="s">
        <v>4596</v>
      </c>
      <c r="AI180" s="622" t="s">
        <v>4597</v>
      </c>
      <c r="AJ180" s="670" t="s">
        <v>4598</v>
      </c>
      <c r="AK180" s="622" t="s">
        <v>4599</v>
      </c>
      <c r="AL180" s="670" t="s">
        <v>4600</v>
      </c>
      <c r="AM180" s="622" t="s">
        <v>4601</v>
      </c>
      <c r="AN180" s="670" t="s">
        <v>4602</v>
      </c>
      <c r="AO180" s="622" t="s">
        <v>4603</v>
      </c>
      <c r="AP180" s="670" t="s">
        <v>4604</v>
      </c>
      <c r="AQ180" s="622" t="s">
        <v>4605</v>
      </c>
      <c r="AR180" s="296" t="s">
        <v>4606</v>
      </c>
      <c r="AS180" s="531" t="s">
        <v>4934</v>
      </c>
      <c r="AT180" s="531" t="s">
        <v>4935</v>
      </c>
      <c r="AU180" s="531" t="s">
        <v>4936</v>
      </c>
      <c r="AV180" s="368" t="s">
        <v>4937</v>
      </c>
      <c r="AW180" s="532" t="s">
        <v>5234</v>
      </c>
      <c r="AX180" s="531" t="s">
        <v>5235</v>
      </c>
      <c r="AY180" s="107" t="s">
        <v>5236</v>
      </c>
      <c r="AZ180" t="str">
        <f t="shared" ref="AZ180:AZ226" si="148">CB180&amp;CC180&amp;CD180&amp;CE180&amp;CF180&amp;CG180&amp;CH180&amp;CI180</f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80" s="433"/>
      <c r="CC180" s="433" t="str">
        <f t="shared" ref="CC180:CC182" si="149">IF(AND($E180&gt;0,AS180="")," * No olvide digitar la variable Usuario con Discapacidad. Digite Cero si no tiene.",IF(AS180&gt;$E180," * La variable Usuario con Discapacidad no pueden superar el Total Ambos Sexos.",""))</f>
        <v xml:space="preserve"> * La variable Usuario con Discapacidad no pueden superar el Total Ambos Sexos.</v>
      </c>
      <c r="CD180" s="433" t="str">
        <f t="shared" ref="CD180:CD182" si="150">IF(AND($E180&gt;0,AT180=""),"  * No olvide digitar la variable Niños, niñas, adolescentes y jóvenes SENAME. Digite Cero si no tiene.",IF(AT180&gt;E180," * La variable Niños, niñas, adolescentes y jóvenes SENAME no pueden superar el Total Ambos Sexos.",""))</f>
        <v xml:space="preserve"> * La variable Niños, niñas, adolescentes y jóvenes SENAME no pueden superar el Total Ambos Sexos.</v>
      </c>
      <c r="CE180" s="433" t="str">
        <f t="shared" ref="CE180:CE182" si="151">IF(AND($E180&gt;0,AU180="")," * No olvide digitar la variable Niños, niñas, adolescentes y jóvenes Mejor Niñez. Digite Cero si no tiene.",IF(AU180&gt;$E180,"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F180" s="433" t="str">
        <f t="shared" ref="CF180:CF182" si="152">IF(AND($E180&gt;0,AV180="")," * No olvide digitar la variable Migrantes. Digite Cero si no tiene.",IF(AV180&gt;$E180," * La variable Migrantes no pueden superar el Total Ambos Sexos.",""))</f>
        <v xml:space="preserve"> * La variable Migrantes no pueden superar el Total Ambos Sexos.</v>
      </c>
      <c r="CG180" s="435"/>
      <c r="CH180" s="433" t="str">
        <f t="shared" ref="CH180:CH182" si="153">IF(AND($E180&gt;0,AX180=""),"  * No olvide digitar la variable Persona con ingreso integral y condición crónica. Digite Cero si no tiene.",IF(AX180&gt;$E180,"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180" s="433" t="str">
        <f t="shared" ref="CI180:CI182" si="154">IF(AND($E180&gt;0,AY180=""),"  * No olvide digitar la variable Pueblos Originarios. Digite Cero si no tiene.",IF(AY180&gt;$E180," * La variable Pueblos Originarios no pueden superar el Total Ambos Sexos.",""))</f>
        <v xml:space="preserve"> * La variable Pueblos Originarios no pueden superar el Total Ambos Sexos.</v>
      </c>
      <c r="CP180" s="434"/>
      <c r="CQ180" s="434">
        <f t="shared" si="146"/>
        <v>1</v>
      </c>
      <c r="CR180" s="434">
        <f t="shared" si="146"/>
        <v>1</v>
      </c>
      <c r="CS180" s="434">
        <f>IF(AND(E180&gt;0,AU180=""),1,IF(AU180&gt;E180,1,0))</f>
        <v>1</v>
      </c>
      <c r="CT180" s="434">
        <f>IF(AND($E180&gt;0,AV180=""),1,IF(AV180&gt;$E180,1,0))</f>
        <v>1</v>
      </c>
      <c r="CU180" s="435"/>
      <c r="CV180" s="434">
        <f t="shared" si="147"/>
        <v>1</v>
      </c>
      <c r="CW180" s="434">
        <f t="shared" si="147"/>
        <v>1</v>
      </c>
    </row>
    <row r="181" spans="1:101" ht="15" customHeight="1" x14ac:dyDescent="0.25">
      <c r="A181" s="5812" t="s">
        <v>5807</v>
      </c>
      <c r="B181" s="6058"/>
      <c r="C181" s="6833" t="s">
        <v>1641</v>
      </c>
      <c r="D181" s="6834"/>
      <c r="E181" s="3646" t="s">
        <v>4567</v>
      </c>
      <c r="F181" s="3647" t="s">
        <v>4568</v>
      </c>
      <c r="G181" s="3648" t="s">
        <v>4569</v>
      </c>
      <c r="H181" s="3231" t="s">
        <v>4570</v>
      </c>
      <c r="I181" s="824" t="s">
        <v>4571</v>
      </c>
      <c r="J181" s="3231" t="s">
        <v>4572</v>
      </c>
      <c r="K181" s="824" t="s">
        <v>4573</v>
      </c>
      <c r="L181" s="3231" t="s">
        <v>4574</v>
      </c>
      <c r="M181" s="824" t="s">
        <v>4575</v>
      </c>
      <c r="N181" s="3231" t="s">
        <v>4576</v>
      </c>
      <c r="O181" s="824" t="s">
        <v>4577</v>
      </c>
      <c r="P181" s="3231" t="s">
        <v>4578</v>
      </c>
      <c r="Q181" s="824" t="s">
        <v>4579</v>
      </c>
      <c r="R181" s="3231" t="s">
        <v>4580</v>
      </c>
      <c r="S181" s="824" t="s">
        <v>4581</v>
      </c>
      <c r="T181" s="3231" t="s">
        <v>4582</v>
      </c>
      <c r="U181" s="824" t="s">
        <v>4583</v>
      </c>
      <c r="V181" s="3231" t="s">
        <v>4584</v>
      </c>
      <c r="W181" s="824" t="s">
        <v>4585</v>
      </c>
      <c r="X181" s="3231" t="s">
        <v>4586</v>
      </c>
      <c r="Y181" s="824" t="s">
        <v>4587</v>
      </c>
      <c r="Z181" s="3231" t="s">
        <v>4588</v>
      </c>
      <c r="AA181" s="824" t="s">
        <v>4589</v>
      </c>
      <c r="AB181" s="3231" t="s">
        <v>4590</v>
      </c>
      <c r="AC181" s="824" t="s">
        <v>4591</v>
      </c>
      <c r="AD181" s="537" t="s">
        <v>4592</v>
      </c>
      <c r="AE181" s="95" t="s">
        <v>4593</v>
      </c>
      <c r="AF181" s="670" t="s">
        <v>4594</v>
      </c>
      <c r="AG181" s="95" t="s">
        <v>4595</v>
      </c>
      <c r="AH181" s="670" t="s">
        <v>4596</v>
      </c>
      <c r="AI181" s="95" t="s">
        <v>4597</v>
      </c>
      <c r="AJ181" s="670" t="s">
        <v>4598</v>
      </c>
      <c r="AK181" s="95" t="s">
        <v>4599</v>
      </c>
      <c r="AL181" s="670" t="s">
        <v>4600</v>
      </c>
      <c r="AM181" s="95" t="s">
        <v>4601</v>
      </c>
      <c r="AN181" s="670" t="s">
        <v>4602</v>
      </c>
      <c r="AO181" s="95" t="s">
        <v>4603</v>
      </c>
      <c r="AP181" s="670" t="s">
        <v>4604</v>
      </c>
      <c r="AQ181" s="95" t="s">
        <v>4605</v>
      </c>
      <c r="AR181" s="429" t="s">
        <v>4606</v>
      </c>
      <c r="AS181" s="368" t="s">
        <v>4934</v>
      </c>
      <c r="AT181" s="368" t="s">
        <v>4935</v>
      </c>
      <c r="AU181" s="368" t="s">
        <v>4936</v>
      </c>
      <c r="AV181" s="368" t="s">
        <v>4937</v>
      </c>
      <c r="AW181" s="244" t="s">
        <v>5234</v>
      </c>
      <c r="AX181" s="242" t="s">
        <v>5235</v>
      </c>
      <c r="AY181" s="42" t="s">
        <v>5236</v>
      </c>
      <c r="AZ181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81" s="433"/>
      <c r="CC181" s="433" t="str">
        <f t="shared" si="149"/>
        <v xml:space="preserve"> * La variable Usuario con Discapacidad no pueden superar el Total Ambos Sexos.</v>
      </c>
      <c r="CD181" s="433" t="str">
        <f t="shared" si="150"/>
        <v xml:space="preserve"> * La variable Niños, niñas, adolescentes y jóvenes SENAME no pueden superar el Total Ambos Sexos.</v>
      </c>
      <c r="CE181" s="433" t="str">
        <f t="shared" si="151"/>
        <v xml:space="preserve"> * La variable Niños, niñas, adolescentes y jóvenes Mejor Niñez no pueden superar el Total Ambos Sexos.</v>
      </c>
      <c r="CF181" s="433" t="str">
        <f t="shared" si="152"/>
        <v xml:space="preserve"> * La variable Migrantes no pueden superar el Total Ambos Sexos.</v>
      </c>
      <c r="CG181" s="435"/>
      <c r="CH181" s="433" t="str">
        <f t="shared" si="153"/>
        <v xml:space="preserve"> * La variable Persona con ingreso integral y condición crónica no pueden superar el Total Ambos Sexos.</v>
      </c>
      <c r="CI181" s="433" t="str">
        <f t="shared" si="154"/>
        <v xml:space="preserve"> * La variable Pueblos Originarios no pueden superar el Total Ambos Sexos.</v>
      </c>
      <c r="CP181" s="434"/>
      <c r="CQ181" s="434">
        <f t="shared" si="146"/>
        <v>1</v>
      </c>
      <c r="CR181" s="434">
        <f t="shared" si="146"/>
        <v>1</v>
      </c>
      <c r="CS181" s="434">
        <f>IF(AND(E181&gt;0,AU181=""),1,IF(AU181&gt;E181,1,0))</f>
        <v>1</v>
      </c>
      <c r="CT181" s="434">
        <f>IF(AND($E181&gt;0,AV181=""),1,IF(AV181&gt;$E181,1,0))</f>
        <v>1</v>
      </c>
      <c r="CU181" s="435"/>
      <c r="CV181" s="434">
        <f t="shared" si="147"/>
        <v>1</v>
      </c>
      <c r="CW181" s="434">
        <f t="shared" si="147"/>
        <v>1</v>
      </c>
    </row>
    <row r="182" spans="1:101" ht="15" customHeight="1" x14ac:dyDescent="0.25">
      <c r="A182" s="5812" t="s">
        <v>5808</v>
      </c>
      <c r="B182" s="6058"/>
      <c r="C182" s="7030" t="s">
        <v>1698</v>
      </c>
      <c r="D182" s="7031"/>
      <c r="E182" s="3649" t="s">
        <v>4567</v>
      </c>
      <c r="F182" s="3650" t="s">
        <v>4568</v>
      </c>
      <c r="G182" s="2637" t="s">
        <v>4569</v>
      </c>
      <c r="H182" s="2658" t="s">
        <v>4570</v>
      </c>
      <c r="I182" s="2638" t="s">
        <v>4571</v>
      </c>
      <c r="J182" s="2658" t="s">
        <v>4572</v>
      </c>
      <c r="K182" s="2638" t="s">
        <v>4573</v>
      </c>
      <c r="L182" s="2658" t="s">
        <v>4574</v>
      </c>
      <c r="M182" s="2638" t="s">
        <v>4575</v>
      </c>
      <c r="N182" s="2658" t="s">
        <v>4576</v>
      </c>
      <c r="O182" s="2638" t="s">
        <v>4577</v>
      </c>
      <c r="P182" s="2658" t="s">
        <v>4578</v>
      </c>
      <c r="Q182" s="2638" t="s">
        <v>4579</v>
      </c>
      <c r="R182" s="2658" t="s">
        <v>4580</v>
      </c>
      <c r="S182" s="2638" t="s">
        <v>4581</v>
      </c>
      <c r="T182" s="2658" t="s">
        <v>4582</v>
      </c>
      <c r="U182" s="2638" t="s">
        <v>4583</v>
      </c>
      <c r="V182" s="2658" t="s">
        <v>4584</v>
      </c>
      <c r="W182" s="2638" t="s">
        <v>4585</v>
      </c>
      <c r="X182" s="2658" t="s">
        <v>4586</v>
      </c>
      <c r="Y182" s="2638" t="s">
        <v>4587</v>
      </c>
      <c r="Z182" s="2658" t="s">
        <v>4588</v>
      </c>
      <c r="AA182" s="2638" t="s">
        <v>4589</v>
      </c>
      <c r="AB182" s="2658" t="s">
        <v>4590</v>
      </c>
      <c r="AC182" s="2638" t="s">
        <v>4591</v>
      </c>
      <c r="AD182" s="3651" t="s">
        <v>4592</v>
      </c>
      <c r="AE182" s="382" t="s">
        <v>4593</v>
      </c>
      <c r="AF182" s="288" t="s">
        <v>4594</v>
      </c>
      <c r="AG182" s="382" t="s">
        <v>4595</v>
      </c>
      <c r="AH182" s="288" t="s">
        <v>4596</v>
      </c>
      <c r="AI182" s="382" t="s">
        <v>4597</v>
      </c>
      <c r="AJ182" s="288" t="s">
        <v>4598</v>
      </c>
      <c r="AK182" s="382" t="s">
        <v>4599</v>
      </c>
      <c r="AL182" s="288" t="s">
        <v>4600</v>
      </c>
      <c r="AM182" s="382" t="s">
        <v>4601</v>
      </c>
      <c r="AN182" s="288" t="s">
        <v>4602</v>
      </c>
      <c r="AO182" s="382" t="s">
        <v>4603</v>
      </c>
      <c r="AP182" s="288" t="s">
        <v>4604</v>
      </c>
      <c r="AQ182" s="382" t="s">
        <v>4605</v>
      </c>
      <c r="AR182" s="376" t="s">
        <v>4606</v>
      </c>
      <c r="AS182" s="580" t="s">
        <v>4934</v>
      </c>
      <c r="AT182" s="580" t="s">
        <v>4935</v>
      </c>
      <c r="AU182" s="580" t="s">
        <v>4936</v>
      </c>
      <c r="AV182" s="580" t="s">
        <v>4937</v>
      </c>
      <c r="AW182" s="244" t="s">
        <v>5234</v>
      </c>
      <c r="AX182" s="531" t="s">
        <v>5235</v>
      </c>
      <c r="AY182" s="107" t="s">
        <v>5236</v>
      </c>
      <c r="AZ182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82" s="433"/>
      <c r="CC182" s="433" t="str">
        <f t="shared" si="149"/>
        <v xml:space="preserve"> * La variable Usuario con Discapacidad no pueden superar el Total Ambos Sexos.</v>
      </c>
      <c r="CD182" s="433" t="str">
        <f t="shared" si="150"/>
        <v xml:space="preserve"> * La variable Niños, niñas, adolescentes y jóvenes SENAME no pueden superar el Total Ambos Sexos.</v>
      </c>
      <c r="CE182" s="433" t="str">
        <f t="shared" si="151"/>
        <v xml:space="preserve"> * La variable Niños, niñas, adolescentes y jóvenes Mejor Niñez no pueden superar el Total Ambos Sexos.</v>
      </c>
      <c r="CF182" s="433" t="str">
        <f t="shared" si="152"/>
        <v xml:space="preserve"> * La variable Migrantes no pueden superar el Total Ambos Sexos.</v>
      </c>
      <c r="CG182" s="435"/>
      <c r="CH182" s="433" t="str">
        <f t="shared" si="153"/>
        <v xml:space="preserve"> * La variable Persona con ingreso integral y condición crónica no pueden superar el Total Ambos Sexos.</v>
      </c>
      <c r="CI182" s="433" t="str">
        <f t="shared" si="154"/>
        <v xml:space="preserve"> * La variable Pueblos Originarios no pueden superar el Total Ambos Sexos.</v>
      </c>
      <c r="CP182" s="434"/>
      <c r="CQ182" s="434">
        <f t="shared" si="146"/>
        <v>1</v>
      </c>
      <c r="CR182" s="434">
        <f t="shared" si="146"/>
        <v>1</v>
      </c>
      <c r="CS182" s="434">
        <f>IF(AND(E182&gt;0,AU182=""),1,IF(AU182&gt;E182,1,0))</f>
        <v>1</v>
      </c>
      <c r="CT182" s="434">
        <f>IF(AND($E182&gt;0,AV182=""),1,IF(AV182&gt;$E182,1,0))</f>
        <v>1</v>
      </c>
      <c r="CU182" s="435"/>
      <c r="CV182" s="434">
        <f t="shared" si="147"/>
        <v>1</v>
      </c>
      <c r="CW182" s="434">
        <f t="shared" si="147"/>
        <v>1</v>
      </c>
    </row>
    <row r="183" spans="1:101" ht="15" customHeight="1" x14ac:dyDescent="0.25">
      <c r="A183" s="5606"/>
      <c r="B183" s="6058"/>
      <c r="C183" s="6453" t="s">
        <v>1745</v>
      </c>
      <c r="D183" s="3403" t="s">
        <v>77</v>
      </c>
      <c r="E183" s="3652">
        <f t="shared" ref="E183" si="155">SUM(G183)</f>
        <v>0</v>
      </c>
      <c r="F183" s="3653"/>
      <c r="G183" s="3637">
        <f t="shared" ref="G183" si="156">SUM(AE183+AG183+AI183+AK183+AM183+AO183+AQ183)</f>
        <v>0</v>
      </c>
      <c r="H183" s="3654"/>
      <c r="I183" s="3655"/>
      <c r="J183" s="3654"/>
      <c r="K183" s="3655"/>
      <c r="L183" s="3654"/>
      <c r="M183" s="3655"/>
      <c r="N183" s="3654"/>
      <c r="O183" s="3655"/>
      <c r="P183" s="3654"/>
      <c r="Q183" s="3655"/>
      <c r="R183" s="3654"/>
      <c r="S183" s="3655"/>
      <c r="T183" s="3654"/>
      <c r="U183" s="3655"/>
      <c r="V183" s="3654"/>
      <c r="W183" s="3655"/>
      <c r="X183" s="3654"/>
      <c r="Y183" s="3655"/>
      <c r="Z183" s="3654"/>
      <c r="AA183" s="3655"/>
      <c r="AB183" s="3654"/>
      <c r="AC183" s="3655"/>
      <c r="AD183" s="3656"/>
      <c r="AE183" s="572">
        <f>SUM(AE184:AE189)</f>
        <v>0</v>
      </c>
      <c r="AF183" s="3657"/>
      <c r="AG183" s="572">
        <f>SUM(AG184:AG189)</f>
        <v>0</v>
      </c>
      <c r="AH183" s="3657"/>
      <c r="AI183" s="572">
        <f>SUM(AI184:AI189)</f>
        <v>0</v>
      </c>
      <c r="AJ183" s="3657"/>
      <c r="AK183" s="572">
        <f>SUM(AK184:AK189)</f>
        <v>0</v>
      </c>
      <c r="AL183" s="3657"/>
      <c r="AM183" s="572">
        <f>SUM(AM184:AM189)</f>
        <v>0</v>
      </c>
      <c r="AN183" s="3657"/>
      <c r="AO183" s="572">
        <f>SUM(AO184:AO189)</f>
        <v>0</v>
      </c>
      <c r="AP183" s="3657"/>
      <c r="AQ183" s="572">
        <f t="shared" ref="AQ183:AY183" si="157">SUM(AQ184:AQ189)</f>
        <v>0</v>
      </c>
      <c r="AR183" s="513">
        <f t="shared" si="157"/>
        <v>0</v>
      </c>
      <c r="AS183" s="511">
        <f t="shared" si="157"/>
        <v>0</v>
      </c>
      <c r="AT183" s="511">
        <f t="shared" si="157"/>
        <v>0</v>
      </c>
      <c r="AU183" s="511">
        <f t="shared" si="157"/>
        <v>0</v>
      </c>
      <c r="AV183" s="511">
        <f t="shared" si="157"/>
        <v>0</v>
      </c>
      <c r="AW183" s="511">
        <f t="shared" si="157"/>
        <v>0</v>
      </c>
      <c r="AX183" s="511">
        <f t="shared" si="157"/>
        <v>0</v>
      </c>
      <c r="AY183" s="601">
        <f t="shared" si="157"/>
        <v>0</v>
      </c>
    </row>
    <row r="184" spans="1:101" ht="15" customHeight="1" x14ac:dyDescent="0.25">
      <c r="A184" s="5812" t="s">
        <v>5809</v>
      </c>
      <c r="B184" s="6058"/>
      <c r="C184" s="6058"/>
      <c r="D184" s="1784" t="s">
        <v>1746</v>
      </c>
      <c r="E184" s="3658" t="s">
        <v>4567</v>
      </c>
      <c r="F184" s="3659" t="s">
        <v>4568</v>
      </c>
      <c r="G184" s="2632" t="s">
        <v>4569</v>
      </c>
      <c r="H184" s="3660" t="s">
        <v>4570</v>
      </c>
      <c r="I184" s="3661" t="s">
        <v>4571</v>
      </c>
      <c r="J184" s="3660" t="s">
        <v>4572</v>
      </c>
      <c r="K184" s="3661" t="s">
        <v>4573</v>
      </c>
      <c r="L184" s="3660" t="s">
        <v>4574</v>
      </c>
      <c r="M184" s="3661" t="s">
        <v>4575</v>
      </c>
      <c r="N184" s="3660" t="s">
        <v>4576</v>
      </c>
      <c r="O184" s="3661" t="s">
        <v>4577</v>
      </c>
      <c r="P184" s="3660" t="s">
        <v>4578</v>
      </c>
      <c r="Q184" s="3661" t="s">
        <v>4579</v>
      </c>
      <c r="R184" s="3660" t="s">
        <v>4580</v>
      </c>
      <c r="S184" s="3661" t="s">
        <v>4581</v>
      </c>
      <c r="T184" s="3660" t="s">
        <v>4582</v>
      </c>
      <c r="U184" s="3661" t="s">
        <v>4583</v>
      </c>
      <c r="V184" s="3660" t="s">
        <v>4584</v>
      </c>
      <c r="W184" s="3661" t="s">
        <v>4585</v>
      </c>
      <c r="X184" s="3660" t="s">
        <v>4586</v>
      </c>
      <c r="Y184" s="3661" t="s">
        <v>4587</v>
      </c>
      <c r="Z184" s="3660" t="s">
        <v>4588</v>
      </c>
      <c r="AA184" s="3661" t="s">
        <v>4589</v>
      </c>
      <c r="AB184" s="3660" t="s">
        <v>4590</v>
      </c>
      <c r="AC184" s="3661" t="s">
        <v>4591</v>
      </c>
      <c r="AD184" s="63" t="s">
        <v>4592</v>
      </c>
      <c r="AE184" s="622" t="s">
        <v>4593</v>
      </c>
      <c r="AF184" s="313" t="s">
        <v>4594</v>
      </c>
      <c r="AG184" s="622" t="s">
        <v>4595</v>
      </c>
      <c r="AH184" s="313" t="s">
        <v>4596</v>
      </c>
      <c r="AI184" s="622" t="s">
        <v>4597</v>
      </c>
      <c r="AJ184" s="313" t="s">
        <v>4598</v>
      </c>
      <c r="AK184" s="622" t="s">
        <v>4599</v>
      </c>
      <c r="AL184" s="313" t="s">
        <v>4600</v>
      </c>
      <c r="AM184" s="622" t="s">
        <v>4601</v>
      </c>
      <c r="AN184" s="313" t="s">
        <v>4602</v>
      </c>
      <c r="AO184" s="622" t="s">
        <v>4603</v>
      </c>
      <c r="AP184" s="313" t="s">
        <v>4604</v>
      </c>
      <c r="AQ184" s="622" t="s">
        <v>4605</v>
      </c>
      <c r="AR184" s="296" t="s">
        <v>4606</v>
      </c>
      <c r="AS184" s="531" t="s">
        <v>4934</v>
      </c>
      <c r="AT184" s="531" t="s">
        <v>4935</v>
      </c>
      <c r="AU184" s="531" t="s">
        <v>4936</v>
      </c>
      <c r="AV184" s="531" t="s">
        <v>4937</v>
      </c>
      <c r="AW184" s="531" t="s">
        <v>5234</v>
      </c>
      <c r="AX184" s="531" t="s">
        <v>5235</v>
      </c>
      <c r="AY184" s="107" t="s">
        <v>5236</v>
      </c>
      <c r="AZ184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4" s="433"/>
      <c r="CC184" s="433" t="str">
        <f t="shared" ref="CC184:CC200" si="158">IF(AND($E184&gt;0,AS184="")," * No olvide digitar la variable Usuario con Discapacidad. Digite Cero si no tiene.",IF(AS184&gt;$E184," * La variable Usuario con Discapacidad no pueden superar el Total Ambos Sexos.",""))</f>
        <v xml:space="preserve"> * La variable Usuario con Discapacidad no pueden superar el Total Ambos Sexos.</v>
      </c>
      <c r="CD184" s="433" t="str">
        <f t="shared" ref="CD184:CD200" si="159">IF(AND($E184&gt;0,AT184=""),"  * No olvide digitar la variable Niños, niñas, adolescentes y jóvenes SENAME. Digite Cero si no tiene.",IF(AT184&gt;E184," * La variable Niños, niñas, adolescentes y jóvenes SENAME no pueden superar el Total Ambos Sexos.",""))</f>
        <v xml:space="preserve"> * La variable Niños, niñas, adolescentes y jóvenes SENAME no pueden superar el Total Ambos Sexos.</v>
      </c>
      <c r="CE184" s="433" t="str">
        <f t="shared" ref="CE184:CE200" si="160">IF(AND($E184&gt;0,AU184="")," * No olvide digitar la variable Niños, niñas, adolescentes y jóvenes Mejor Niñez. Digite Cero si no tiene.",IF(AU184&gt;$E184,"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F184" s="433" t="str">
        <f t="shared" ref="CF184:CF200" si="161">IF(AND($E184&gt;0,AV184="")," * No olvide digitar la variable Migrantes. Digite Cero si no tiene.",IF(AV184&gt;$E184," * La variable Migrantes no pueden superar el Total Ambos Sexos.",""))</f>
        <v xml:space="preserve"> * La variable Migrantes no pueden superar el Total Ambos Sexos.</v>
      </c>
      <c r="CG184" s="433" t="str">
        <f>IF(AND($E184&gt;0,AW184="")," * No olvide digitar la variable Egreso por Abandono. Digite Cero si no tiene.",IF(AW184&gt;$E184," * La variable Egreso por Abandono no pueden superar el Total Ambos Sexos.",""))</f>
        <v xml:space="preserve"> * La variable Egreso por Abandono no pueden superar el Total Ambos Sexos.</v>
      </c>
      <c r="CH184" s="433" t="str">
        <f t="shared" ref="CH184:CH200" si="162">IF(AND($E184&gt;0,AX184=""),"  * No olvide digitar la variable Persona con ingreso integral y condición crónica. Digite Cero si no tiene.",IF(AX184&gt;$E184,"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184" s="433" t="str">
        <f t="shared" ref="CI184:CI200" si="163">IF(AND($E184&gt;0,AY184=""),"  * No olvide digitar la variable Pueblos Originarios. Digite Cero si no tiene.",IF(AY184&gt;$E184," * La variable Pueblos Originarios no pueden superar el Total Ambos Sexos.",""))</f>
        <v xml:space="preserve"> * La variable Pueblos Originarios no pueden superar el Total Ambos Sexos.</v>
      </c>
      <c r="CP184" s="434"/>
      <c r="CQ184" s="434">
        <f t="shared" ref="CQ184:CQ200" si="164">IF(AND($E184&gt;0,AS184=""),1,IF(AS184&gt;$E184,1,0))</f>
        <v>1</v>
      </c>
      <c r="CR184" s="434">
        <f t="shared" ref="CR184:CR200" si="165">IF(AND($E184&gt;0,AT184=""),1,IF(AT184&gt;$E184,1,0))</f>
        <v>1</v>
      </c>
      <c r="CS184" s="434">
        <f t="shared" ref="CS184:CS200" si="166">IF(AND(E184&gt;0,AU184=""),1,IF(AU184&gt;E184,1,0))</f>
        <v>1</v>
      </c>
      <c r="CT184" s="434">
        <f t="shared" ref="CT184:CW191" si="167">IF(AND($E184&gt;0,AV184=""),1,IF(AV184&gt;$E184,1,0))</f>
        <v>1</v>
      </c>
      <c r="CU184" s="434">
        <f t="shared" si="167"/>
        <v>1</v>
      </c>
      <c r="CV184" s="434">
        <f t="shared" si="167"/>
        <v>1</v>
      </c>
      <c r="CW184" s="434">
        <f t="shared" si="167"/>
        <v>1</v>
      </c>
    </row>
    <row r="185" spans="1:101" ht="15" customHeight="1" x14ac:dyDescent="0.25">
      <c r="A185" s="5813" t="s">
        <v>5810</v>
      </c>
      <c r="B185" s="6058"/>
      <c r="C185" s="6058"/>
      <c r="D185" s="2631" t="s">
        <v>1747</v>
      </c>
      <c r="E185" s="3658" t="s">
        <v>4567</v>
      </c>
      <c r="F185" s="3647" t="s">
        <v>4568</v>
      </c>
      <c r="G185" s="2629" t="s">
        <v>4569</v>
      </c>
      <c r="H185" s="3231" t="s">
        <v>4570</v>
      </c>
      <c r="I185" s="824" t="s">
        <v>4571</v>
      </c>
      <c r="J185" s="3231" t="s">
        <v>4572</v>
      </c>
      <c r="K185" s="824" t="s">
        <v>4573</v>
      </c>
      <c r="L185" s="3231" t="s">
        <v>4574</v>
      </c>
      <c r="M185" s="824" t="s">
        <v>4575</v>
      </c>
      <c r="N185" s="3231" t="s">
        <v>4576</v>
      </c>
      <c r="O185" s="824" t="s">
        <v>4577</v>
      </c>
      <c r="P185" s="3231" t="s">
        <v>4578</v>
      </c>
      <c r="Q185" s="824" t="s">
        <v>4579</v>
      </c>
      <c r="R185" s="3231" t="s">
        <v>4580</v>
      </c>
      <c r="S185" s="824" t="s">
        <v>4581</v>
      </c>
      <c r="T185" s="3231" t="s">
        <v>4582</v>
      </c>
      <c r="U185" s="824" t="s">
        <v>4583</v>
      </c>
      <c r="V185" s="3231" t="s">
        <v>4584</v>
      </c>
      <c r="W185" s="824" t="s">
        <v>4585</v>
      </c>
      <c r="X185" s="3231" t="s">
        <v>4586</v>
      </c>
      <c r="Y185" s="824" t="s">
        <v>4587</v>
      </c>
      <c r="Z185" s="3231" t="s">
        <v>4588</v>
      </c>
      <c r="AA185" s="824" t="s">
        <v>4589</v>
      </c>
      <c r="AB185" s="3231" t="s">
        <v>4590</v>
      </c>
      <c r="AC185" s="824" t="s">
        <v>4591</v>
      </c>
      <c r="AD185" s="537" t="s">
        <v>4592</v>
      </c>
      <c r="AE185" s="622" t="s">
        <v>4593</v>
      </c>
      <c r="AF185" s="670" t="s">
        <v>4594</v>
      </c>
      <c r="AG185" s="622" t="s">
        <v>4595</v>
      </c>
      <c r="AH185" s="670" t="s">
        <v>4596</v>
      </c>
      <c r="AI185" s="622" t="s">
        <v>4597</v>
      </c>
      <c r="AJ185" s="670" t="s">
        <v>4598</v>
      </c>
      <c r="AK185" s="622" t="s">
        <v>4599</v>
      </c>
      <c r="AL185" s="670" t="s">
        <v>4600</v>
      </c>
      <c r="AM185" s="622" t="s">
        <v>4601</v>
      </c>
      <c r="AN185" s="670" t="s">
        <v>4602</v>
      </c>
      <c r="AO185" s="622" t="s">
        <v>4603</v>
      </c>
      <c r="AP185" s="670" t="s">
        <v>4604</v>
      </c>
      <c r="AQ185" s="622" t="s">
        <v>4605</v>
      </c>
      <c r="AR185" s="296" t="s">
        <v>4606</v>
      </c>
      <c r="AS185" s="531" t="s">
        <v>4934</v>
      </c>
      <c r="AT185" s="531" t="s">
        <v>4935</v>
      </c>
      <c r="AU185" s="531" t="s">
        <v>4936</v>
      </c>
      <c r="AV185" s="531" t="s">
        <v>4937</v>
      </c>
      <c r="AW185" s="531" t="s">
        <v>5234</v>
      </c>
      <c r="AX185" s="531" t="s">
        <v>5235</v>
      </c>
      <c r="AY185" s="107" t="s">
        <v>5236</v>
      </c>
      <c r="AZ185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5" s="433"/>
      <c r="CC185" s="433" t="str">
        <f t="shared" si="158"/>
        <v xml:space="preserve"> * La variable Usuario con Discapacidad no pueden superar el Total Ambos Sexos.</v>
      </c>
      <c r="CD185" s="433" t="str">
        <f t="shared" si="159"/>
        <v xml:space="preserve"> * La variable Niños, niñas, adolescentes y jóvenes SENAME no pueden superar el Total Ambos Sexos.</v>
      </c>
      <c r="CE185" s="433" t="str">
        <f t="shared" si="160"/>
        <v xml:space="preserve"> * La variable Niños, niñas, adolescentes y jóvenes Mejor Niñez no pueden superar el Total Ambos Sexos.</v>
      </c>
      <c r="CF185" s="433" t="str">
        <f t="shared" si="161"/>
        <v xml:space="preserve"> * La variable Migrantes no pueden superar el Total Ambos Sexos.</v>
      </c>
      <c r="CG185" s="433" t="str">
        <f t="shared" ref="CG185:CG190" si="168">IF(AND($E185&gt;0,AW185="")," * No olvide digitar la variable Egreso por Abandono. Digite Cero si no tiene.",IF(AW185&gt;$E185," * La variable Egreso por Abandono no pueden superar el Total Ambos Sexos.",""))</f>
        <v xml:space="preserve"> * La variable Egreso por Abandono no pueden superar el Total Ambos Sexos.</v>
      </c>
      <c r="CH185" s="433" t="str">
        <f t="shared" si="162"/>
        <v xml:space="preserve"> * La variable Persona con ingreso integral y condición crónica no pueden superar el Total Ambos Sexos.</v>
      </c>
      <c r="CI185" s="433" t="str">
        <f t="shared" si="163"/>
        <v xml:space="preserve"> * La variable Pueblos Originarios no pueden superar el Total Ambos Sexos.</v>
      </c>
      <c r="CP185" s="434"/>
      <c r="CQ185" s="434">
        <f t="shared" si="164"/>
        <v>1</v>
      </c>
      <c r="CR185" s="434">
        <f t="shared" si="165"/>
        <v>1</v>
      </c>
      <c r="CS185" s="434">
        <f t="shared" si="166"/>
        <v>1</v>
      </c>
      <c r="CT185" s="434">
        <f t="shared" si="167"/>
        <v>1</v>
      </c>
      <c r="CU185" s="434">
        <f t="shared" si="167"/>
        <v>1</v>
      </c>
      <c r="CV185" s="434">
        <f t="shared" si="167"/>
        <v>1</v>
      </c>
      <c r="CW185" s="434">
        <f t="shared" si="167"/>
        <v>1</v>
      </c>
    </row>
    <row r="186" spans="1:101" ht="15.75" customHeight="1" x14ac:dyDescent="0.25">
      <c r="A186" s="5812" t="s">
        <v>5811</v>
      </c>
      <c r="B186" s="6058"/>
      <c r="C186" s="6058"/>
      <c r="D186" s="1784" t="s">
        <v>1748</v>
      </c>
      <c r="E186" s="3658" t="s">
        <v>4567</v>
      </c>
      <c r="F186" s="3647" t="s">
        <v>4568</v>
      </c>
      <c r="G186" s="2629" t="s">
        <v>4569</v>
      </c>
      <c r="H186" s="3231" t="s">
        <v>4570</v>
      </c>
      <c r="I186" s="824" t="s">
        <v>4571</v>
      </c>
      <c r="J186" s="3231" t="s">
        <v>4572</v>
      </c>
      <c r="K186" s="824" t="s">
        <v>4573</v>
      </c>
      <c r="L186" s="3231" t="s">
        <v>4574</v>
      </c>
      <c r="M186" s="824" t="s">
        <v>4575</v>
      </c>
      <c r="N186" s="3231" t="s">
        <v>4576</v>
      </c>
      <c r="O186" s="824" t="s">
        <v>4577</v>
      </c>
      <c r="P186" s="3231" t="s">
        <v>4578</v>
      </c>
      <c r="Q186" s="824" t="s">
        <v>4579</v>
      </c>
      <c r="R186" s="3231" t="s">
        <v>4580</v>
      </c>
      <c r="S186" s="824" t="s">
        <v>4581</v>
      </c>
      <c r="T186" s="3231" t="s">
        <v>4582</v>
      </c>
      <c r="U186" s="824" t="s">
        <v>4583</v>
      </c>
      <c r="V186" s="3231" t="s">
        <v>4584</v>
      </c>
      <c r="W186" s="824" t="s">
        <v>4585</v>
      </c>
      <c r="X186" s="3231" t="s">
        <v>4586</v>
      </c>
      <c r="Y186" s="824" t="s">
        <v>4587</v>
      </c>
      <c r="Z186" s="3231" t="s">
        <v>4588</v>
      </c>
      <c r="AA186" s="824" t="s">
        <v>4589</v>
      </c>
      <c r="AB186" s="3231" t="s">
        <v>4590</v>
      </c>
      <c r="AC186" s="824" t="s">
        <v>4591</v>
      </c>
      <c r="AD186" s="537" t="s">
        <v>4592</v>
      </c>
      <c r="AE186" s="622" t="s">
        <v>4593</v>
      </c>
      <c r="AF186" s="670" t="s">
        <v>4594</v>
      </c>
      <c r="AG186" s="622" t="s">
        <v>4595</v>
      </c>
      <c r="AH186" s="670" t="s">
        <v>4596</v>
      </c>
      <c r="AI186" s="622" t="s">
        <v>4597</v>
      </c>
      <c r="AJ186" s="670" t="s">
        <v>4598</v>
      </c>
      <c r="AK186" s="622" t="s">
        <v>4599</v>
      </c>
      <c r="AL186" s="670" t="s">
        <v>4600</v>
      </c>
      <c r="AM186" s="622" t="s">
        <v>4601</v>
      </c>
      <c r="AN186" s="670" t="s">
        <v>4602</v>
      </c>
      <c r="AO186" s="622" t="s">
        <v>4603</v>
      </c>
      <c r="AP186" s="670" t="s">
        <v>4604</v>
      </c>
      <c r="AQ186" s="622" t="s">
        <v>4605</v>
      </c>
      <c r="AR186" s="296" t="s">
        <v>4606</v>
      </c>
      <c r="AS186" s="531" t="s">
        <v>4934</v>
      </c>
      <c r="AT186" s="531" t="s">
        <v>4935</v>
      </c>
      <c r="AU186" s="531" t="s">
        <v>4936</v>
      </c>
      <c r="AV186" s="531" t="s">
        <v>4937</v>
      </c>
      <c r="AW186" s="531" t="s">
        <v>5234</v>
      </c>
      <c r="AX186" s="531" t="s">
        <v>5235</v>
      </c>
      <c r="AY186" s="107" t="s">
        <v>5236</v>
      </c>
      <c r="AZ186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6" s="433"/>
      <c r="CC186" s="433" t="str">
        <f t="shared" si="158"/>
        <v xml:space="preserve"> * La variable Usuario con Discapacidad no pueden superar el Total Ambos Sexos.</v>
      </c>
      <c r="CD186" s="433" t="str">
        <f t="shared" si="159"/>
        <v xml:space="preserve"> * La variable Niños, niñas, adolescentes y jóvenes SENAME no pueden superar el Total Ambos Sexos.</v>
      </c>
      <c r="CE186" s="433" t="str">
        <f t="shared" si="160"/>
        <v xml:space="preserve"> * La variable Niños, niñas, adolescentes y jóvenes Mejor Niñez no pueden superar el Total Ambos Sexos.</v>
      </c>
      <c r="CF186" s="433" t="str">
        <f t="shared" si="161"/>
        <v xml:space="preserve"> * La variable Migrantes no pueden superar el Total Ambos Sexos.</v>
      </c>
      <c r="CG186" s="433" t="str">
        <f t="shared" si="168"/>
        <v xml:space="preserve"> * La variable Egreso por Abandono no pueden superar el Total Ambos Sexos.</v>
      </c>
      <c r="CH186" s="433" t="str">
        <f t="shared" si="162"/>
        <v xml:space="preserve"> * La variable Persona con ingreso integral y condición crónica no pueden superar el Total Ambos Sexos.</v>
      </c>
      <c r="CI186" s="433" t="str">
        <f t="shared" si="163"/>
        <v xml:space="preserve"> * La variable Pueblos Originarios no pueden superar el Total Ambos Sexos.</v>
      </c>
      <c r="CP186" s="434"/>
      <c r="CQ186" s="434">
        <f t="shared" si="164"/>
        <v>1</v>
      </c>
      <c r="CR186" s="434">
        <f t="shared" si="165"/>
        <v>1</v>
      </c>
      <c r="CS186" s="434">
        <f t="shared" si="166"/>
        <v>1</v>
      </c>
      <c r="CT186" s="434">
        <f t="shared" si="167"/>
        <v>1</v>
      </c>
      <c r="CU186" s="434">
        <f t="shared" si="167"/>
        <v>1</v>
      </c>
      <c r="CV186" s="434">
        <f t="shared" si="167"/>
        <v>1</v>
      </c>
      <c r="CW186" s="434">
        <f t="shared" si="167"/>
        <v>1</v>
      </c>
    </row>
    <row r="187" spans="1:101" ht="29.25" customHeight="1" x14ac:dyDescent="0.25">
      <c r="A187" s="5813" t="s">
        <v>5812</v>
      </c>
      <c r="B187" s="6058"/>
      <c r="C187" s="6058"/>
      <c r="D187" s="2206" t="s">
        <v>1749</v>
      </c>
      <c r="E187" s="3658" t="s">
        <v>4567</v>
      </c>
      <c r="F187" s="3647" t="s">
        <v>4568</v>
      </c>
      <c r="G187" s="2629" t="s">
        <v>4569</v>
      </c>
      <c r="H187" s="3231" t="s">
        <v>4570</v>
      </c>
      <c r="I187" s="824" t="s">
        <v>4571</v>
      </c>
      <c r="J187" s="3231" t="s">
        <v>4572</v>
      </c>
      <c r="K187" s="824" t="s">
        <v>4573</v>
      </c>
      <c r="L187" s="3231" t="s">
        <v>4574</v>
      </c>
      <c r="M187" s="824" t="s">
        <v>4575</v>
      </c>
      <c r="N187" s="3231" t="s">
        <v>4576</v>
      </c>
      <c r="O187" s="824" t="s">
        <v>4577</v>
      </c>
      <c r="P187" s="3231" t="s">
        <v>4578</v>
      </c>
      <c r="Q187" s="824" t="s">
        <v>4579</v>
      </c>
      <c r="R187" s="3231" t="s">
        <v>4580</v>
      </c>
      <c r="S187" s="824" t="s">
        <v>4581</v>
      </c>
      <c r="T187" s="3231" t="s">
        <v>4582</v>
      </c>
      <c r="U187" s="824" t="s">
        <v>4583</v>
      </c>
      <c r="V187" s="3231" t="s">
        <v>4584</v>
      </c>
      <c r="W187" s="824" t="s">
        <v>4585</v>
      </c>
      <c r="X187" s="3231" t="s">
        <v>4586</v>
      </c>
      <c r="Y187" s="824" t="s">
        <v>4587</v>
      </c>
      <c r="Z187" s="3231" t="s">
        <v>4588</v>
      </c>
      <c r="AA187" s="824" t="s">
        <v>4589</v>
      </c>
      <c r="AB187" s="3231" t="s">
        <v>4590</v>
      </c>
      <c r="AC187" s="824" t="s">
        <v>4591</v>
      </c>
      <c r="AD187" s="537" t="s">
        <v>4592</v>
      </c>
      <c r="AE187" s="622" t="s">
        <v>4593</v>
      </c>
      <c r="AF187" s="670" t="s">
        <v>4594</v>
      </c>
      <c r="AG187" s="622" t="s">
        <v>4595</v>
      </c>
      <c r="AH187" s="670" t="s">
        <v>4596</v>
      </c>
      <c r="AI187" s="622" t="s">
        <v>4597</v>
      </c>
      <c r="AJ187" s="670" t="s">
        <v>4598</v>
      </c>
      <c r="AK187" s="622" t="s">
        <v>4599</v>
      </c>
      <c r="AL187" s="670" t="s">
        <v>4600</v>
      </c>
      <c r="AM187" s="622" t="s">
        <v>4601</v>
      </c>
      <c r="AN187" s="670" t="s">
        <v>4602</v>
      </c>
      <c r="AO187" s="622" t="s">
        <v>4603</v>
      </c>
      <c r="AP187" s="670" t="s">
        <v>4604</v>
      </c>
      <c r="AQ187" s="622" t="s">
        <v>4605</v>
      </c>
      <c r="AR187" s="296" t="s">
        <v>4606</v>
      </c>
      <c r="AS187" s="368" t="s">
        <v>4934</v>
      </c>
      <c r="AT187" s="531" t="s">
        <v>4935</v>
      </c>
      <c r="AU187" s="531" t="s">
        <v>4936</v>
      </c>
      <c r="AV187" s="531" t="s">
        <v>4937</v>
      </c>
      <c r="AW187" s="531" t="s">
        <v>5234</v>
      </c>
      <c r="AX187" s="531" t="s">
        <v>5235</v>
      </c>
      <c r="AY187" s="107" t="s">
        <v>5236</v>
      </c>
      <c r="AZ187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7" s="433"/>
      <c r="CC187" s="433" t="str">
        <f t="shared" si="158"/>
        <v xml:space="preserve"> * La variable Usuario con Discapacidad no pueden superar el Total Ambos Sexos.</v>
      </c>
      <c r="CD187" s="433" t="str">
        <f t="shared" si="159"/>
        <v xml:space="preserve"> * La variable Niños, niñas, adolescentes y jóvenes SENAME no pueden superar el Total Ambos Sexos.</v>
      </c>
      <c r="CE187" s="433" t="str">
        <f t="shared" si="160"/>
        <v xml:space="preserve"> * La variable Niños, niñas, adolescentes y jóvenes Mejor Niñez no pueden superar el Total Ambos Sexos.</v>
      </c>
      <c r="CF187" s="433" t="str">
        <f t="shared" si="161"/>
        <v xml:space="preserve"> * La variable Migrantes no pueden superar el Total Ambos Sexos.</v>
      </c>
      <c r="CG187" s="433" t="str">
        <f t="shared" si="168"/>
        <v xml:space="preserve"> * La variable Egreso por Abandono no pueden superar el Total Ambos Sexos.</v>
      </c>
      <c r="CH187" s="433" t="str">
        <f t="shared" si="162"/>
        <v xml:space="preserve"> * La variable Persona con ingreso integral y condición crónica no pueden superar el Total Ambos Sexos.</v>
      </c>
      <c r="CI187" s="433" t="str">
        <f t="shared" si="163"/>
        <v xml:space="preserve"> * La variable Pueblos Originarios no pueden superar el Total Ambos Sexos.</v>
      </c>
      <c r="CP187" s="434"/>
      <c r="CQ187" s="434">
        <f t="shared" si="164"/>
        <v>1</v>
      </c>
      <c r="CR187" s="434">
        <f t="shared" si="165"/>
        <v>1</v>
      </c>
      <c r="CS187" s="434">
        <f t="shared" si="166"/>
        <v>1</v>
      </c>
      <c r="CT187" s="434">
        <f t="shared" si="167"/>
        <v>1</v>
      </c>
      <c r="CU187" s="434">
        <f t="shared" si="167"/>
        <v>1</v>
      </c>
      <c r="CV187" s="434">
        <f t="shared" si="167"/>
        <v>1</v>
      </c>
      <c r="CW187" s="434">
        <f t="shared" si="167"/>
        <v>1</v>
      </c>
    </row>
    <row r="188" spans="1:101" ht="15" customHeight="1" x14ac:dyDescent="0.25">
      <c r="A188" s="5812" t="s">
        <v>5813</v>
      </c>
      <c r="B188" s="6058"/>
      <c r="C188" s="6058"/>
      <c r="D188" s="910" t="s">
        <v>1750</v>
      </c>
      <c r="E188" s="3658" t="s">
        <v>4567</v>
      </c>
      <c r="F188" s="3647" t="s">
        <v>4568</v>
      </c>
      <c r="G188" s="2629" t="s">
        <v>4569</v>
      </c>
      <c r="H188" s="3231" t="s">
        <v>4570</v>
      </c>
      <c r="I188" s="824" t="s">
        <v>4571</v>
      </c>
      <c r="J188" s="3231" t="s">
        <v>4572</v>
      </c>
      <c r="K188" s="824" t="s">
        <v>4573</v>
      </c>
      <c r="L188" s="3231" t="s">
        <v>4574</v>
      </c>
      <c r="M188" s="824" t="s">
        <v>4575</v>
      </c>
      <c r="N188" s="3231" t="s">
        <v>4576</v>
      </c>
      <c r="O188" s="824" t="s">
        <v>4577</v>
      </c>
      <c r="P188" s="3231" t="s">
        <v>4578</v>
      </c>
      <c r="Q188" s="824" t="s">
        <v>4579</v>
      </c>
      <c r="R188" s="3231" t="s">
        <v>4580</v>
      </c>
      <c r="S188" s="824" t="s">
        <v>4581</v>
      </c>
      <c r="T188" s="3231" t="s">
        <v>4582</v>
      </c>
      <c r="U188" s="824" t="s">
        <v>4583</v>
      </c>
      <c r="V188" s="3231" t="s">
        <v>4584</v>
      </c>
      <c r="W188" s="824" t="s">
        <v>4585</v>
      </c>
      <c r="X188" s="3231" t="s">
        <v>4586</v>
      </c>
      <c r="Y188" s="824" t="s">
        <v>4587</v>
      </c>
      <c r="Z188" s="3231" t="s">
        <v>4588</v>
      </c>
      <c r="AA188" s="824" t="s">
        <v>4589</v>
      </c>
      <c r="AB188" s="3231" t="s">
        <v>4590</v>
      </c>
      <c r="AC188" s="824" t="s">
        <v>4591</v>
      </c>
      <c r="AD188" s="537" t="s">
        <v>4592</v>
      </c>
      <c r="AE188" s="622" t="s">
        <v>4593</v>
      </c>
      <c r="AF188" s="521" t="s">
        <v>4594</v>
      </c>
      <c r="AG188" s="622" t="s">
        <v>4595</v>
      </c>
      <c r="AH188" s="670" t="s">
        <v>4596</v>
      </c>
      <c r="AI188" s="622" t="s">
        <v>4597</v>
      </c>
      <c r="AJ188" s="521" t="s">
        <v>4598</v>
      </c>
      <c r="AK188" s="622" t="s">
        <v>4599</v>
      </c>
      <c r="AL188" s="521" t="s">
        <v>4600</v>
      </c>
      <c r="AM188" s="622" t="s">
        <v>4601</v>
      </c>
      <c r="AN188" s="670" t="s">
        <v>4602</v>
      </c>
      <c r="AO188" s="622" t="s">
        <v>4603</v>
      </c>
      <c r="AP188" s="670" t="s">
        <v>4604</v>
      </c>
      <c r="AQ188" s="622" t="s">
        <v>4605</v>
      </c>
      <c r="AR188" s="429" t="s">
        <v>4606</v>
      </c>
      <c r="AS188" s="531" t="s">
        <v>4934</v>
      </c>
      <c r="AT188" s="368" t="s">
        <v>4935</v>
      </c>
      <c r="AU188" s="368" t="s">
        <v>4936</v>
      </c>
      <c r="AV188" s="531" t="s">
        <v>4937</v>
      </c>
      <c r="AW188" s="531" t="s">
        <v>5234</v>
      </c>
      <c r="AX188" s="531" t="s">
        <v>5235</v>
      </c>
      <c r="AY188" s="107" t="s">
        <v>5236</v>
      </c>
      <c r="AZ188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8" s="433"/>
      <c r="CC188" s="433" t="str">
        <f t="shared" si="158"/>
        <v xml:space="preserve"> * La variable Usuario con Discapacidad no pueden superar el Total Ambos Sexos.</v>
      </c>
      <c r="CD188" s="433" t="str">
        <f t="shared" si="159"/>
        <v xml:space="preserve"> * La variable Niños, niñas, adolescentes y jóvenes SENAME no pueden superar el Total Ambos Sexos.</v>
      </c>
      <c r="CE188" s="433" t="str">
        <f t="shared" si="160"/>
        <v xml:space="preserve"> * La variable Niños, niñas, adolescentes y jóvenes Mejor Niñez no pueden superar el Total Ambos Sexos.</v>
      </c>
      <c r="CF188" s="433" t="str">
        <f t="shared" si="161"/>
        <v xml:space="preserve"> * La variable Migrantes no pueden superar el Total Ambos Sexos.</v>
      </c>
      <c r="CG188" s="433" t="str">
        <f t="shared" si="168"/>
        <v xml:space="preserve"> * La variable Egreso por Abandono no pueden superar el Total Ambos Sexos.</v>
      </c>
      <c r="CH188" s="433" t="str">
        <f t="shared" si="162"/>
        <v xml:space="preserve"> * La variable Persona con ingreso integral y condición crónica no pueden superar el Total Ambos Sexos.</v>
      </c>
      <c r="CI188" s="433" t="str">
        <f t="shared" si="163"/>
        <v xml:space="preserve"> * La variable Pueblos Originarios no pueden superar el Total Ambos Sexos.</v>
      </c>
      <c r="CP188" s="434"/>
      <c r="CQ188" s="434">
        <f t="shared" si="164"/>
        <v>1</v>
      </c>
      <c r="CR188" s="434">
        <f t="shared" si="165"/>
        <v>1</v>
      </c>
      <c r="CS188" s="434">
        <f t="shared" si="166"/>
        <v>1</v>
      </c>
      <c r="CT188" s="434">
        <f t="shared" si="167"/>
        <v>1</v>
      </c>
      <c r="CU188" s="434">
        <f t="shared" si="167"/>
        <v>1</v>
      </c>
      <c r="CV188" s="434">
        <f t="shared" si="167"/>
        <v>1</v>
      </c>
      <c r="CW188" s="434">
        <f t="shared" si="167"/>
        <v>1</v>
      </c>
    </row>
    <row r="189" spans="1:101" ht="15" customHeight="1" x14ac:dyDescent="0.25">
      <c r="A189" s="5812" t="s">
        <v>5814</v>
      </c>
      <c r="B189" s="6058"/>
      <c r="C189" s="6058"/>
      <c r="D189" s="1784" t="s">
        <v>1751</v>
      </c>
      <c r="E189" s="3658" t="s">
        <v>4567</v>
      </c>
      <c r="F189" s="3647" t="s">
        <v>4568</v>
      </c>
      <c r="G189" s="2629" t="s">
        <v>4569</v>
      </c>
      <c r="H189" s="3231" t="s">
        <v>4570</v>
      </c>
      <c r="I189" s="824" t="s">
        <v>4571</v>
      </c>
      <c r="J189" s="3231" t="s">
        <v>4572</v>
      </c>
      <c r="K189" s="824" t="s">
        <v>4573</v>
      </c>
      <c r="L189" s="3231" t="s">
        <v>4574</v>
      </c>
      <c r="M189" s="824" t="s">
        <v>4575</v>
      </c>
      <c r="N189" s="3231" t="s">
        <v>4576</v>
      </c>
      <c r="O189" s="824" t="s">
        <v>4577</v>
      </c>
      <c r="P189" s="3231" t="s">
        <v>4578</v>
      </c>
      <c r="Q189" s="824" t="s">
        <v>4579</v>
      </c>
      <c r="R189" s="3231" t="s">
        <v>4580</v>
      </c>
      <c r="S189" s="824" t="s">
        <v>4581</v>
      </c>
      <c r="T189" s="3231" t="s">
        <v>4582</v>
      </c>
      <c r="U189" s="824" t="s">
        <v>4583</v>
      </c>
      <c r="V189" s="3231" t="s">
        <v>4584</v>
      </c>
      <c r="W189" s="824" t="s">
        <v>4585</v>
      </c>
      <c r="X189" s="3231" t="s">
        <v>4586</v>
      </c>
      <c r="Y189" s="824" t="s">
        <v>4587</v>
      </c>
      <c r="Z189" s="3231" t="s">
        <v>4588</v>
      </c>
      <c r="AA189" s="824" t="s">
        <v>4589</v>
      </c>
      <c r="AB189" s="3231" t="s">
        <v>4590</v>
      </c>
      <c r="AC189" s="824" t="s">
        <v>4591</v>
      </c>
      <c r="AD189" s="537" t="s">
        <v>4592</v>
      </c>
      <c r="AE189" s="622" t="s">
        <v>4593</v>
      </c>
      <c r="AF189" s="521" t="s">
        <v>4594</v>
      </c>
      <c r="AG189" s="622" t="s">
        <v>4595</v>
      </c>
      <c r="AH189" s="521" t="s">
        <v>4596</v>
      </c>
      <c r="AI189" s="622" t="s">
        <v>4597</v>
      </c>
      <c r="AJ189" s="521" t="s">
        <v>4598</v>
      </c>
      <c r="AK189" s="622" t="s">
        <v>4599</v>
      </c>
      <c r="AL189" s="521" t="s">
        <v>4600</v>
      </c>
      <c r="AM189" s="622" t="s">
        <v>4601</v>
      </c>
      <c r="AN189" s="670" t="s">
        <v>4602</v>
      </c>
      <c r="AO189" s="622" t="s">
        <v>4603</v>
      </c>
      <c r="AP189" s="670" t="s">
        <v>4604</v>
      </c>
      <c r="AQ189" s="622" t="s">
        <v>4605</v>
      </c>
      <c r="AR189" s="429" t="s">
        <v>4606</v>
      </c>
      <c r="AS189" s="531" t="s">
        <v>4934</v>
      </c>
      <c r="AT189" s="531" t="s">
        <v>4935</v>
      </c>
      <c r="AU189" s="531" t="s">
        <v>4936</v>
      </c>
      <c r="AV189" s="531" t="s">
        <v>4937</v>
      </c>
      <c r="AW189" s="531" t="s">
        <v>5234</v>
      </c>
      <c r="AX189" s="531" t="s">
        <v>5235</v>
      </c>
      <c r="AY189" s="107" t="s">
        <v>5236</v>
      </c>
      <c r="AZ189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9" s="433"/>
      <c r="CC189" s="433" t="str">
        <f t="shared" si="158"/>
        <v xml:space="preserve"> * La variable Usuario con Discapacidad no pueden superar el Total Ambos Sexos.</v>
      </c>
      <c r="CD189" s="433" t="str">
        <f t="shared" si="159"/>
        <v xml:space="preserve"> * La variable Niños, niñas, adolescentes y jóvenes SENAME no pueden superar el Total Ambos Sexos.</v>
      </c>
      <c r="CE189" s="433" t="str">
        <f t="shared" si="160"/>
        <v xml:space="preserve"> * La variable Niños, niñas, adolescentes y jóvenes Mejor Niñez no pueden superar el Total Ambos Sexos.</v>
      </c>
      <c r="CF189" s="433" t="str">
        <f t="shared" si="161"/>
        <v xml:space="preserve"> * La variable Migrantes no pueden superar el Total Ambos Sexos.</v>
      </c>
      <c r="CG189" s="433" t="str">
        <f t="shared" si="168"/>
        <v xml:space="preserve"> * La variable Egreso por Abandono no pueden superar el Total Ambos Sexos.</v>
      </c>
      <c r="CH189" s="433" t="str">
        <f t="shared" si="162"/>
        <v xml:space="preserve"> * La variable Persona con ingreso integral y condición crónica no pueden superar el Total Ambos Sexos.</v>
      </c>
      <c r="CI189" s="433" t="str">
        <f t="shared" si="163"/>
        <v xml:space="preserve"> * La variable Pueblos Originarios no pueden superar el Total Ambos Sexos.</v>
      </c>
      <c r="CP189" s="434"/>
      <c r="CQ189" s="434">
        <f t="shared" si="164"/>
        <v>1</v>
      </c>
      <c r="CR189" s="434">
        <f t="shared" si="165"/>
        <v>1</v>
      </c>
      <c r="CS189" s="434">
        <f t="shared" si="166"/>
        <v>1</v>
      </c>
      <c r="CT189" s="434">
        <f t="shared" si="167"/>
        <v>1</v>
      </c>
      <c r="CU189" s="434">
        <f t="shared" si="167"/>
        <v>1</v>
      </c>
      <c r="CV189" s="434">
        <f t="shared" si="167"/>
        <v>1</v>
      </c>
      <c r="CW189" s="434">
        <f t="shared" si="167"/>
        <v>1</v>
      </c>
    </row>
    <row r="190" spans="1:101" ht="25.5" customHeight="1" x14ac:dyDescent="0.25">
      <c r="A190" s="5813" t="s">
        <v>5815</v>
      </c>
      <c r="B190" s="6058"/>
      <c r="C190" s="6058"/>
      <c r="D190" s="360" t="s">
        <v>1752</v>
      </c>
      <c r="E190" s="3662" t="s">
        <v>4567</v>
      </c>
      <c r="F190" s="3647" t="s">
        <v>4568</v>
      </c>
      <c r="G190" s="2629" t="s">
        <v>4569</v>
      </c>
      <c r="H190" s="3660" t="s">
        <v>4570</v>
      </c>
      <c r="I190" s="3661" t="s">
        <v>4571</v>
      </c>
      <c r="J190" s="3660" t="s">
        <v>4572</v>
      </c>
      <c r="K190" s="3661" t="s">
        <v>4573</v>
      </c>
      <c r="L190" s="3660" t="s">
        <v>4574</v>
      </c>
      <c r="M190" s="3661" t="s">
        <v>4575</v>
      </c>
      <c r="N190" s="3660" t="s">
        <v>4576</v>
      </c>
      <c r="O190" s="3661" t="s">
        <v>4577</v>
      </c>
      <c r="P190" s="3660" t="s">
        <v>4578</v>
      </c>
      <c r="Q190" s="3661" t="s">
        <v>4579</v>
      </c>
      <c r="R190" s="3660" t="s">
        <v>4580</v>
      </c>
      <c r="S190" s="3661" t="s">
        <v>4581</v>
      </c>
      <c r="T190" s="3660" t="s">
        <v>4582</v>
      </c>
      <c r="U190" s="3661" t="s">
        <v>4583</v>
      </c>
      <c r="V190" s="3660" t="s">
        <v>4584</v>
      </c>
      <c r="W190" s="3661" t="s">
        <v>4585</v>
      </c>
      <c r="X190" s="3660" t="s">
        <v>4586</v>
      </c>
      <c r="Y190" s="3661" t="s">
        <v>4587</v>
      </c>
      <c r="Z190" s="3660" t="s">
        <v>4588</v>
      </c>
      <c r="AA190" s="3661" t="s">
        <v>4589</v>
      </c>
      <c r="AB190" s="3660" t="s">
        <v>4590</v>
      </c>
      <c r="AC190" s="3661" t="s">
        <v>4591</v>
      </c>
      <c r="AD190" s="537" t="s">
        <v>4592</v>
      </c>
      <c r="AE190" s="622" t="s">
        <v>4593</v>
      </c>
      <c r="AF190" s="521" t="s">
        <v>4594</v>
      </c>
      <c r="AG190" s="622" t="s">
        <v>4595</v>
      </c>
      <c r="AH190" s="521" t="s">
        <v>4596</v>
      </c>
      <c r="AI190" s="622" t="s">
        <v>4597</v>
      </c>
      <c r="AJ190" s="521" t="s">
        <v>4598</v>
      </c>
      <c r="AK190" s="622" t="s">
        <v>4599</v>
      </c>
      <c r="AL190" s="521" t="s">
        <v>4600</v>
      </c>
      <c r="AM190" s="622" t="s">
        <v>4601</v>
      </c>
      <c r="AN190" s="521" t="s">
        <v>4602</v>
      </c>
      <c r="AO190" s="622" t="s">
        <v>4603</v>
      </c>
      <c r="AP190" s="521" t="s">
        <v>4604</v>
      </c>
      <c r="AQ190" s="622" t="s">
        <v>4605</v>
      </c>
      <c r="AR190" s="429" t="s">
        <v>4606</v>
      </c>
      <c r="AS190" s="531" t="s">
        <v>4934</v>
      </c>
      <c r="AT190" s="368" t="s">
        <v>4935</v>
      </c>
      <c r="AU190" s="368" t="s">
        <v>4936</v>
      </c>
      <c r="AV190" s="531" t="s">
        <v>4937</v>
      </c>
      <c r="AW190" s="531" t="s">
        <v>5234</v>
      </c>
      <c r="AX190" s="531" t="s">
        <v>5235</v>
      </c>
      <c r="AY190" s="107" t="s">
        <v>5236</v>
      </c>
      <c r="AZ190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0" s="433"/>
      <c r="CC190" s="433" t="str">
        <f t="shared" si="158"/>
        <v xml:space="preserve"> * La variable Usuario con Discapacidad no pueden superar el Total Ambos Sexos.</v>
      </c>
      <c r="CD190" s="433" t="str">
        <f t="shared" si="159"/>
        <v xml:space="preserve"> * La variable Niños, niñas, adolescentes y jóvenes SENAME no pueden superar el Total Ambos Sexos.</v>
      </c>
      <c r="CE190" s="433" t="str">
        <f t="shared" si="160"/>
        <v xml:space="preserve"> * La variable Niños, niñas, adolescentes y jóvenes Mejor Niñez no pueden superar el Total Ambos Sexos.</v>
      </c>
      <c r="CF190" s="433" t="str">
        <f t="shared" si="161"/>
        <v xml:space="preserve"> * La variable Migrantes no pueden superar el Total Ambos Sexos.</v>
      </c>
      <c r="CG190" s="433" t="str">
        <f t="shared" si="168"/>
        <v xml:space="preserve"> * La variable Egreso por Abandono no pueden superar el Total Ambos Sexos.</v>
      </c>
      <c r="CH190" s="433" t="str">
        <f t="shared" si="162"/>
        <v xml:space="preserve"> * La variable Persona con ingreso integral y condición crónica no pueden superar el Total Ambos Sexos.</v>
      </c>
      <c r="CI190" s="433" t="str">
        <f t="shared" si="163"/>
        <v xml:space="preserve"> * La variable Pueblos Originarios no pueden superar el Total Ambos Sexos.</v>
      </c>
      <c r="CP190" s="434"/>
      <c r="CQ190" s="434">
        <f t="shared" si="164"/>
        <v>1</v>
      </c>
      <c r="CR190" s="434">
        <f t="shared" si="165"/>
        <v>1</v>
      </c>
      <c r="CS190" s="434">
        <f t="shared" si="166"/>
        <v>1</v>
      </c>
      <c r="CT190" s="434">
        <f t="shared" si="167"/>
        <v>1</v>
      </c>
      <c r="CU190" s="434">
        <f t="shared" si="167"/>
        <v>1</v>
      </c>
      <c r="CV190" s="434">
        <f t="shared" si="167"/>
        <v>1</v>
      </c>
      <c r="CW190" s="434">
        <f t="shared" si="167"/>
        <v>1</v>
      </c>
    </row>
    <row r="191" spans="1:101" ht="25.5" customHeight="1" x14ac:dyDescent="0.25">
      <c r="A191" s="5813" t="s">
        <v>5816</v>
      </c>
      <c r="B191" s="6842"/>
      <c r="C191" s="6842"/>
      <c r="D191" s="870" t="s">
        <v>1753</v>
      </c>
      <c r="E191" s="3663" t="s">
        <v>4567</v>
      </c>
      <c r="F191" s="3650" t="s">
        <v>4568</v>
      </c>
      <c r="G191" s="3664" t="s">
        <v>4569</v>
      </c>
      <c r="H191" s="687" t="s">
        <v>4570</v>
      </c>
      <c r="I191" s="3665" t="s">
        <v>4571</v>
      </c>
      <c r="J191" s="687" t="s">
        <v>4572</v>
      </c>
      <c r="K191" s="3665" t="s">
        <v>4573</v>
      </c>
      <c r="L191" s="687" t="s">
        <v>4574</v>
      </c>
      <c r="M191" s="3665" t="s">
        <v>4575</v>
      </c>
      <c r="N191" s="687" t="s">
        <v>4576</v>
      </c>
      <c r="O191" s="3665" t="s">
        <v>4577</v>
      </c>
      <c r="P191" s="687" t="s">
        <v>4578</v>
      </c>
      <c r="Q191" s="3665" t="s">
        <v>4579</v>
      </c>
      <c r="R191" s="687" t="s">
        <v>4580</v>
      </c>
      <c r="S191" s="3665" t="s">
        <v>4581</v>
      </c>
      <c r="T191" s="687" t="s">
        <v>4582</v>
      </c>
      <c r="U191" s="3665" t="s">
        <v>4583</v>
      </c>
      <c r="V191" s="687" t="s">
        <v>4584</v>
      </c>
      <c r="W191" s="3665" t="s">
        <v>4585</v>
      </c>
      <c r="X191" s="687" t="s">
        <v>4586</v>
      </c>
      <c r="Y191" s="3665" t="s">
        <v>4587</v>
      </c>
      <c r="Z191" s="687" t="s">
        <v>4588</v>
      </c>
      <c r="AA191" s="3665" t="s">
        <v>4589</v>
      </c>
      <c r="AB191" s="687" t="s">
        <v>4590</v>
      </c>
      <c r="AC191" s="3666" t="s">
        <v>4591</v>
      </c>
      <c r="AD191" s="538" t="s">
        <v>4592</v>
      </c>
      <c r="AE191" s="95" t="s">
        <v>4593</v>
      </c>
      <c r="AF191" s="288" t="s">
        <v>4594</v>
      </c>
      <c r="AG191" s="95" t="s">
        <v>4595</v>
      </c>
      <c r="AH191" s="288" t="s">
        <v>4596</v>
      </c>
      <c r="AI191" s="95" t="s">
        <v>4597</v>
      </c>
      <c r="AJ191" s="288" t="s">
        <v>4598</v>
      </c>
      <c r="AK191" s="95" t="s">
        <v>4599</v>
      </c>
      <c r="AL191" s="288" t="s">
        <v>4600</v>
      </c>
      <c r="AM191" s="95" t="s">
        <v>4601</v>
      </c>
      <c r="AN191" s="288" t="s">
        <v>4602</v>
      </c>
      <c r="AO191" s="95" t="s">
        <v>4603</v>
      </c>
      <c r="AP191" s="288" t="s">
        <v>4604</v>
      </c>
      <c r="AQ191" s="95" t="s">
        <v>4605</v>
      </c>
      <c r="AR191" s="376" t="s">
        <v>4606</v>
      </c>
      <c r="AS191" s="242" t="s">
        <v>4934</v>
      </c>
      <c r="AT191" s="580" t="s">
        <v>4935</v>
      </c>
      <c r="AU191" s="580" t="s">
        <v>4936</v>
      </c>
      <c r="AV191" s="242" t="s">
        <v>4937</v>
      </c>
      <c r="AW191" s="242" t="s">
        <v>5234</v>
      </c>
      <c r="AX191" s="242" t="s">
        <v>5235</v>
      </c>
      <c r="AY191" s="42" t="s">
        <v>5236</v>
      </c>
      <c r="AZ191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1" s="433"/>
      <c r="CC191" s="433" t="str">
        <f t="shared" si="158"/>
        <v xml:space="preserve"> * La variable Usuario con Discapacidad no pueden superar el Total Ambos Sexos.</v>
      </c>
      <c r="CD191" s="433" t="str">
        <f t="shared" si="159"/>
        <v xml:space="preserve"> * La variable Niños, niñas, adolescentes y jóvenes SENAME no pueden superar el Total Ambos Sexos.</v>
      </c>
      <c r="CE191" s="433" t="str">
        <f t="shared" si="160"/>
        <v xml:space="preserve"> * La variable Niños, niñas, adolescentes y jóvenes Mejor Niñez no pueden superar el Total Ambos Sexos.</v>
      </c>
      <c r="CF191" s="433" t="str">
        <f t="shared" si="161"/>
        <v xml:space="preserve"> * La variable Migrantes no pueden superar el Total Ambos Sexos.</v>
      </c>
      <c r="CG191" s="433" t="str">
        <f>IF(AND($E191&gt;0,AW191="")," * No olvide digitar la variable Egreso por Abandono. Digite Cero si no tiene.",IF(AW191&gt;$E191," * La variable Egreso por Abandono no pueden superar el Total Ambos Sexos.",""))</f>
        <v xml:space="preserve"> * La variable Egreso por Abandono no pueden superar el Total Ambos Sexos.</v>
      </c>
      <c r="CH191" s="433" t="str">
        <f t="shared" si="162"/>
        <v xml:space="preserve"> * La variable Persona con ingreso integral y condición crónica no pueden superar el Total Ambos Sexos.</v>
      </c>
      <c r="CI191" s="433" t="str">
        <f t="shared" si="163"/>
        <v xml:space="preserve"> * La variable Pueblos Originarios no pueden superar el Total Ambos Sexos.</v>
      </c>
      <c r="CP191" s="434"/>
      <c r="CQ191" s="434">
        <f t="shared" si="164"/>
        <v>1</v>
      </c>
      <c r="CR191" s="434">
        <f t="shared" si="165"/>
        <v>1</v>
      </c>
      <c r="CS191" s="434">
        <f t="shared" si="166"/>
        <v>1</v>
      </c>
      <c r="CT191" s="434">
        <f t="shared" si="167"/>
        <v>1</v>
      </c>
      <c r="CU191" s="434">
        <f>IF(AND($E191&gt;0,AW191=""),1,IF(AW191&gt;$E191,1,0))</f>
        <v>1</v>
      </c>
      <c r="CV191" s="434">
        <f t="shared" si="167"/>
        <v>1</v>
      </c>
      <c r="CW191" s="434">
        <f t="shared" si="167"/>
        <v>1</v>
      </c>
    </row>
    <row r="192" spans="1:101" ht="15" customHeight="1" x14ac:dyDescent="0.25">
      <c r="A192" s="5812" t="s">
        <v>5817</v>
      </c>
      <c r="B192" s="6453" t="s">
        <v>1754</v>
      </c>
      <c r="C192" s="6833" t="s">
        <v>1643</v>
      </c>
      <c r="D192" s="6834"/>
      <c r="E192" s="3639" t="s">
        <v>4567</v>
      </c>
      <c r="F192" s="3667" t="s">
        <v>4568</v>
      </c>
      <c r="G192" s="3668" t="s">
        <v>4569</v>
      </c>
      <c r="H192" s="3669" t="s">
        <v>4570</v>
      </c>
      <c r="I192" s="819" t="s">
        <v>4571</v>
      </c>
      <c r="J192" s="3642" t="s">
        <v>4572</v>
      </c>
      <c r="K192" s="3670" t="s">
        <v>4573</v>
      </c>
      <c r="L192" s="3642" t="s">
        <v>4574</v>
      </c>
      <c r="M192" s="819" t="s">
        <v>4575</v>
      </c>
      <c r="N192" s="3642" t="s">
        <v>4576</v>
      </c>
      <c r="O192" s="3670" t="s">
        <v>4577</v>
      </c>
      <c r="P192" s="3642" t="s">
        <v>4578</v>
      </c>
      <c r="Q192" s="819" t="s">
        <v>4579</v>
      </c>
      <c r="R192" s="3642" t="s">
        <v>4580</v>
      </c>
      <c r="S192" s="3670" t="s">
        <v>4581</v>
      </c>
      <c r="T192" s="3642" t="s">
        <v>4582</v>
      </c>
      <c r="U192" s="819" t="s">
        <v>4583</v>
      </c>
      <c r="V192" s="3642" t="s">
        <v>4584</v>
      </c>
      <c r="W192" s="3670" t="s">
        <v>4585</v>
      </c>
      <c r="X192" s="3642" t="s">
        <v>4586</v>
      </c>
      <c r="Y192" s="819" t="s">
        <v>4587</v>
      </c>
      <c r="Z192" s="3642" t="s">
        <v>4588</v>
      </c>
      <c r="AA192" s="3670" t="s">
        <v>4589</v>
      </c>
      <c r="AB192" s="3642" t="s">
        <v>4590</v>
      </c>
      <c r="AC192" s="3670" t="s">
        <v>4591</v>
      </c>
      <c r="AD192" s="3227" t="s">
        <v>4592</v>
      </c>
      <c r="AE192" s="645" t="s">
        <v>4593</v>
      </c>
      <c r="AF192" s="3227" t="s">
        <v>4594</v>
      </c>
      <c r="AG192" s="645" t="s">
        <v>4595</v>
      </c>
      <c r="AH192" s="3227" t="s">
        <v>4596</v>
      </c>
      <c r="AI192" s="645" t="s">
        <v>4597</v>
      </c>
      <c r="AJ192" s="3227" t="s">
        <v>4598</v>
      </c>
      <c r="AK192" s="645" t="s">
        <v>4599</v>
      </c>
      <c r="AL192" s="3227" t="s">
        <v>4600</v>
      </c>
      <c r="AM192" s="645" t="s">
        <v>4601</v>
      </c>
      <c r="AN192" s="3255" t="s">
        <v>4602</v>
      </c>
      <c r="AO192" s="3671" t="s">
        <v>4603</v>
      </c>
      <c r="AP192" s="3361" t="s">
        <v>4604</v>
      </c>
      <c r="AQ192" s="645" t="s">
        <v>4605</v>
      </c>
      <c r="AR192" s="735" t="s">
        <v>4606</v>
      </c>
      <c r="AS192" s="750" t="s">
        <v>4934</v>
      </c>
      <c r="AT192" s="750" t="s">
        <v>4935</v>
      </c>
      <c r="AU192" s="750" t="s">
        <v>4936</v>
      </c>
      <c r="AV192" s="750" t="s">
        <v>4937</v>
      </c>
      <c r="AW192" s="3645" t="s">
        <v>5234</v>
      </c>
      <c r="AX192" s="750" t="s">
        <v>5235</v>
      </c>
      <c r="AY192" s="566" t="s">
        <v>5236</v>
      </c>
      <c r="AZ192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2" s="433"/>
      <c r="CC192" s="433" t="str">
        <f t="shared" si="158"/>
        <v xml:space="preserve"> * La variable Usuario con Discapacidad no pueden superar el Total Ambos Sexos.</v>
      </c>
      <c r="CD192" s="433" t="str">
        <f t="shared" si="159"/>
        <v xml:space="preserve"> * La variable Niños, niñas, adolescentes y jóvenes SENAME no pueden superar el Total Ambos Sexos.</v>
      </c>
      <c r="CE192" s="433" t="str">
        <f t="shared" si="160"/>
        <v xml:space="preserve"> * La variable Niños, niñas, adolescentes y jóvenes Mejor Niñez no pueden superar el Total Ambos Sexos.</v>
      </c>
      <c r="CF192" s="433" t="str">
        <f t="shared" si="161"/>
        <v xml:space="preserve"> * La variable Migrantes no pueden superar el Total Ambos Sexos.</v>
      </c>
      <c r="CG192" s="435"/>
      <c r="CH192" s="433" t="str">
        <f t="shared" si="162"/>
        <v xml:space="preserve"> * La variable Persona con ingreso integral y condición crónica no pueden superar el Total Ambos Sexos.</v>
      </c>
      <c r="CI192" s="433" t="str">
        <f t="shared" si="163"/>
        <v xml:space="preserve"> * La variable Pueblos Originarios no pueden superar el Total Ambos Sexos.</v>
      </c>
      <c r="CP192" s="434"/>
      <c r="CQ192" s="434">
        <f t="shared" si="164"/>
        <v>1</v>
      </c>
      <c r="CR192" s="434">
        <f t="shared" si="165"/>
        <v>1</v>
      </c>
      <c r="CS192" s="434">
        <f t="shared" si="166"/>
        <v>1</v>
      </c>
      <c r="CT192" s="434">
        <f t="shared" ref="CT192:CT200" si="169">IF(AND($E192&gt;0,AV192=""),1,IF(AV192&gt;$E192,1,0))</f>
        <v>1</v>
      </c>
      <c r="CU192" s="435"/>
      <c r="CV192" s="434">
        <f t="shared" ref="CV192:CV200" si="170">IF(AND($E192&gt;0,AX192=""),1,IF(AX192&gt;$E192,1,0))</f>
        <v>1</v>
      </c>
      <c r="CW192" s="434">
        <f t="shared" ref="CW192:CW200" si="171">IF(AND($E192&gt;0,AY192=""),1,IF(AY192&gt;$E192,1,0))</f>
        <v>1</v>
      </c>
    </row>
    <row r="193" spans="1:101" ht="15" customHeight="1" x14ac:dyDescent="0.25">
      <c r="A193" s="5812" t="s">
        <v>5818</v>
      </c>
      <c r="B193" s="6058"/>
      <c r="C193" s="6985" t="s">
        <v>1755</v>
      </c>
      <c r="D193" s="6987"/>
      <c r="E193" s="3658" t="s">
        <v>4567</v>
      </c>
      <c r="F193" s="3672" t="s">
        <v>4568</v>
      </c>
      <c r="G193" s="2318" t="s">
        <v>4569</v>
      </c>
      <c r="H193" s="619" t="s">
        <v>4570</v>
      </c>
      <c r="I193" s="824" t="s">
        <v>4571</v>
      </c>
      <c r="J193" s="3231" t="s">
        <v>4572</v>
      </c>
      <c r="K193" s="2659" t="s">
        <v>4573</v>
      </c>
      <c r="L193" s="3231" t="s">
        <v>4574</v>
      </c>
      <c r="M193" s="824" t="s">
        <v>4575</v>
      </c>
      <c r="N193" s="3231" t="s">
        <v>4576</v>
      </c>
      <c r="O193" s="2659" t="s">
        <v>4577</v>
      </c>
      <c r="P193" s="3231" t="s">
        <v>4578</v>
      </c>
      <c r="Q193" s="824" t="s">
        <v>4579</v>
      </c>
      <c r="R193" s="3231" t="s">
        <v>4580</v>
      </c>
      <c r="S193" s="2659" t="s">
        <v>4581</v>
      </c>
      <c r="T193" s="3231" t="s">
        <v>4582</v>
      </c>
      <c r="U193" s="824" t="s">
        <v>4583</v>
      </c>
      <c r="V193" s="3231" t="s">
        <v>4584</v>
      </c>
      <c r="W193" s="2659" t="s">
        <v>4585</v>
      </c>
      <c r="X193" s="3231" t="s">
        <v>4586</v>
      </c>
      <c r="Y193" s="824" t="s">
        <v>4587</v>
      </c>
      <c r="Z193" s="3231" t="s">
        <v>4588</v>
      </c>
      <c r="AA193" s="2659" t="s">
        <v>4589</v>
      </c>
      <c r="AB193" s="3231" t="s">
        <v>4590</v>
      </c>
      <c r="AC193" s="2659" t="s">
        <v>4591</v>
      </c>
      <c r="AD193" s="345" t="s">
        <v>4592</v>
      </c>
      <c r="AE193" s="130" t="s">
        <v>4593</v>
      </c>
      <c r="AF193" s="345" t="s">
        <v>4594</v>
      </c>
      <c r="AG193" s="130" t="s">
        <v>4595</v>
      </c>
      <c r="AH193" s="345" t="s">
        <v>4596</v>
      </c>
      <c r="AI193" s="130" t="s">
        <v>4597</v>
      </c>
      <c r="AJ193" s="345" t="s">
        <v>4598</v>
      </c>
      <c r="AK193" s="130" t="s">
        <v>4599</v>
      </c>
      <c r="AL193" s="345" t="s">
        <v>4600</v>
      </c>
      <c r="AM193" s="130" t="s">
        <v>4601</v>
      </c>
      <c r="AN193" s="350" t="s">
        <v>4602</v>
      </c>
      <c r="AO193" s="353" t="s">
        <v>4603</v>
      </c>
      <c r="AP193" s="790" t="s">
        <v>4604</v>
      </c>
      <c r="AQ193" s="130" t="s">
        <v>4605</v>
      </c>
      <c r="AR193" s="429" t="s">
        <v>4606</v>
      </c>
      <c r="AS193" s="368" t="s">
        <v>4934</v>
      </c>
      <c r="AT193" s="368" t="s">
        <v>4935</v>
      </c>
      <c r="AU193" s="368" t="s">
        <v>4936</v>
      </c>
      <c r="AV193" s="531" t="s">
        <v>4937</v>
      </c>
      <c r="AW193" s="532" t="s">
        <v>5234</v>
      </c>
      <c r="AX193" s="531" t="s">
        <v>5235</v>
      </c>
      <c r="AY193" s="107" t="s">
        <v>5236</v>
      </c>
      <c r="AZ193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3" s="433"/>
      <c r="CC193" s="433" t="str">
        <f t="shared" si="158"/>
        <v xml:space="preserve"> * La variable Usuario con Discapacidad no pueden superar el Total Ambos Sexos.</v>
      </c>
      <c r="CD193" s="433" t="str">
        <f t="shared" si="159"/>
        <v xml:space="preserve"> * La variable Niños, niñas, adolescentes y jóvenes SENAME no pueden superar el Total Ambos Sexos.</v>
      </c>
      <c r="CE193" s="433" t="str">
        <f t="shared" si="160"/>
        <v xml:space="preserve"> * La variable Niños, niñas, adolescentes y jóvenes Mejor Niñez no pueden superar el Total Ambos Sexos.</v>
      </c>
      <c r="CF193" s="433" t="str">
        <f t="shared" si="161"/>
        <v xml:space="preserve"> * La variable Migrantes no pueden superar el Total Ambos Sexos.</v>
      </c>
      <c r="CG193" s="435"/>
      <c r="CH193" s="433" t="str">
        <f t="shared" si="162"/>
        <v xml:space="preserve"> * La variable Persona con ingreso integral y condición crónica no pueden superar el Total Ambos Sexos.</v>
      </c>
      <c r="CI193" s="433" t="str">
        <f t="shared" si="163"/>
        <v xml:space="preserve"> * La variable Pueblos Originarios no pueden superar el Total Ambos Sexos.</v>
      </c>
      <c r="CP193" s="434"/>
      <c r="CQ193" s="434">
        <f t="shared" si="164"/>
        <v>1</v>
      </c>
      <c r="CR193" s="434">
        <f t="shared" si="165"/>
        <v>1</v>
      </c>
      <c r="CS193" s="434">
        <f t="shared" si="166"/>
        <v>1</v>
      </c>
      <c r="CT193" s="434">
        <f t="shared" si="169"/>
        <v>1</v>
      </c>
      <c r="CU193" s="435"/>
      <c r="CV193" s="434">
        <f t="shared" si="170"/>
        <v>1</v>
      </c>
      <c r="CW193" s="434">
        <f t="shared" si="171"/>
        <v>1</v>
      </c>
    </row>
    <row r="194" spans="1:101" ht="15" customHeight="1" x14ac:dyDescent="0.25">
      <c r="A194" s="5812" t="s">
        <v>5819</v>
      </c>
      <c r="B194" s="6058"/>
      <c r="C194" s="6985" t="s">
        <v>1641</v>
      </c>
      <c r="D194" s="6987"/>
      <c r="E194" s="3658" t="s">
        <v>4567</v>
      </c>
      <c r="F194" s="3672" t="s">
        <v>4568</v>
      </c>
      <c r="G194" s="2318" t="s">
        <v>4569</v>
      </c>
      <c r="H194" s="619" t="s">
        <v>4570</v>
      </c>
      <c r="I194" s="824" t="s">
        <v>4571</v>
      </c>
      <c r="J194" s="3231" t="s">
        <v>4572</v>
      </c>
      <c r="K194" s="824" t="s">
        <v>4573</v>
      </c>
      <c r="L194" s="3231" t="s">
        <v>4574</v>
      </c>
      <c r="M194" s="824" t="s">
        <v>4575</v>
      </c>
      <c r="N194" s="3231" t="s">
        <v>4576</v>
      </c>
      <c r="O194" s="824" t="s">
        <v>4577</v>
      </c>
      <c r="P194" s="3231" t="s">
        <v>4578</v>
      </c>
      <c r="Q194" s="824" t="s">
        <v>4579</v>
      </c>
      <c r="R194" s="3231" t="s">
        <v>4580</v>
      </c>
      <c r="S194" s="2659" t="s">
        <v>4581</v>
      </c>
      <c r="T194" s="3231" t="s">
        <v>4582</v>
      </c>
      <c r="U194" s="824" t="s">
        <v>4583</v>
      </c>
      <c r="V194" s="3231" t="s">
        <v>4584</v>
      </c>
      <c r="W194" s="2659" t="s">
        <v>4585</v>
      </c>
      <c r="X194" s="3231" t="s">
        <v>4586</v>
      </c>
      <c r="Y194" s="824" t="s">
        <v>4587</v>
      </c>
      <c r="Z194" s="3231" t="s">
        <v>4588</v>
      </c>
      <c r="AA194" s="2659" t="s">
        <v>4589</v>
      </c>
      <c r="AB194" s="3231" t="s">
        <v>4590</v>
      </c>
      <c r="AC194" s="2659" t="s">
        <v>4591</v>
      </c>
      <c r="AD194" s="192" t="s">
        <v>4592</v>
      </c>
      <c r="AE194" s="286" t="s">
        <v>4593</v>
      </c>
      <c r="AF194" s="192" t="s">
        <v>4594</v>
      </c>
      <c r="AG194" s="286" t="s">
        <v>4595</v>
      </c>
      <c r="AH194" s="192" t="s">
        <v>4596</v>
      </c>
      <c r="AI194" s="286" t="s">
        <v>4597</v>
      </c>
      <c r="AJ194" s="192" t="s">
        <v>4598</v>
      </c>
      <c r="AK194" s="286" t="s">
        <v>4599</v>
      </c>
      <c r="AL194" s="192" t="s">
        <v>4600</v>
      </c>
      <c r="AM194" s="286" t="s">
        <v>4601</v>
      </c>
      <c r="AN194" s="753" t="s">
        <v>4602</v>
      </c>
      <c r="AO194" s="353" t="s">
        <v>4603</v>
      </c>
      <c r="AP194" s="3363" t="s">
        <v>4604</v>
      </c>
      <c r="AQ194" s="286" t="s">
        <v>4605</v>
      </c>
      <c r="AR194" s="376" t="s">
        <v>4606</v>
      </c>
      <c r="AS194" s="580" t="s">
        <v>4934</v>
      </c>
      <c r="AT194" s="580" t="s">
        <v>4935</v>
      </c>
      <c r="AU194" s="580" t="s">
        <v>4936</v>
      </c>
      <c r="AV194" s="531" t="s">
        <v>4937</v>
      </c>
      <c r="AW194" s="244" t="s">
        <v>5234</v>
      </c>
      <c r="AX194" s="531" t="s">
        <v>5235</v>
      </c>
      <c r="AY194" s="107" t="s">
        <v>5236</v>
      </c>
      <c r="AZ194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4" s="433"/>
      <c r="CC194" s="433" t="str">
        <f t="shared" si="158"/>
        <v xml:space="preserve"> * La variable Usuario con Discapacidad no pueden superar el Total Ambos Sexos.</v>
      </c>
      <c r="CD194" s="433" t="str">
        <f t="shared" si="159"/>
        <v xml:space="preserve"> * La variable Niños, niñas, adolescentes y jóvenes SENAME no pueden superar el Total Ambos Sexos.</v>
      </c>
      <c r="CE194" s="433" t="str">
        <f t="shared" si="160"/>
        <v xml:space="preserve"> * La variable Niños, niñas, adolescentes y jóvenes Mejor Niñez no pueden superar el Total Ambos Sexos.</v>
      </c>
      <c r="CF194" s="433" t="str">
        <f t="shared" si="161"/>
        <v xml:space="preserve"> * La variable Migrantes no pueden superar el Total Ambos Sexos.</v>
      </c>
      <c r="CG194" s="435"/>
      <c r="CH194" s="433" t="str">
        <f t="shared" si="162"/>
        <v xml:space="preserve"> * La variable Persona con ingreso integral y condición crónica no pueden superar el Total Ambos Sexos.</v>
      </c>
      <c r="CI194" s="433" t="str">
        <f t="shared" si="163"/>
        <v xml:space="preserve"> * La variable Pueblos Originarios no pueden superar el Total Ambos Sexos.</v>
      </c>
      <c r="CP194" s="434"/>
      <c r="CQ194" s="434">
        <f t="shared" si="164"/>
        <v>1</v>
      </c>
      <c r="CR194" s="434">
        <f t="shared" si="165"/>
        <v>1</v>
      </c>
      <c r="CS194" s="434">
        <f t="shared" si="166"/>
        <v>1</v>
      </c>
      <c r="CT194" s="434">
        <f t="shared" si="169"/>
        <v>1</v>
      </c>
      <c r="CU194" s="435"/>
      <c r="CV194" s="434">
        <f t="shared" si="170"/>
        <v>1</v>
      </c>
      <c r="CW194" s="434">
        <f t="shared" si="171"/>
        <v>1</v>
      </c>
    </row>
    <row r="195" spans="1:101" ht="15" customHeight="1" x14ac:dyDescent="0.25">
      <c r="A195" s="5812" t="s">
        <v>5820</v>
      </c>
      <c r="B195" s="6058"/>
      <c r="C195" s="7030" t="s">
        <v>1698</v>
      </c>
      <c r="D195" s="7031"/>
      <c r="E195" s="3673" t="s">
        <v>4567</v>
      </c>
      <c r="F195" s="3674" t="s">
        <v>4568</v>
      </c>
      <c r="G195" s="621" t="s">
        <v>4569</v>
      </c>
      <c r="H195" s="620" t="s">
        <v>4570</v>
      </c>
      <c r="I195" s="821" t="s">
        <v>4571</v>
      </c>
      <c r="J195" s="3233" t="s">
        <v>4572</v>
      </c>
      <c r="K195" s="821" t="s">
        <v>4573</v>
      </c>
      <c r="L195" s="3233" t="s">
        <v>4574</v>
      </c>
      <c r="M195" s="821" t="s">
        <v>4575</v>
      </c>
      <c r="N195" s="3233" t="s">
        <v>4576</v>
      </c>
      <c r="O195" s="821" t="s">
        <v>4577</v>
      </c>
      <c r="P195" s="3233" t="s">
        <v>4578</v>
      </c>
      <c r="Q195" s="821" t="s">
        <v>4579</v>
      </c>
      <c r="R195" s="3233" t="s">
        <v>4580</v>
      </c>
      <c r="S195" s="821" t="s">
        <v>4581</v>
      </c>
      <c r="T195" s="3233" t="s">
        <v>4582</v>
      </c>
      <c r="U195" s="821" t="s">
        <v>4583</v>
      </c>
      <c r="V195" s="3233" t="s">
        <v>4584</v>
      </c>
      <c r="W195" s="821" t="s">
        <v>4585</v>
      </c>
      <c r="X195" s="3233" t="s">
        <v>4586</v>
      </c>
      <c r="Y195" s="821" t="s">
        <v>4587</v>
      </c>
      <c r="Z195" s="3233" t="s">
        <v>4588</v>
      </c>
      <c r="AA195" s="821" t="s">
        <v>4589</v>
      </c>
      <c r="AB195" s="3233" t="s">
        <v>4590</v>
      </c>
      <c r="AC195" s="3265" t="s">
        <v>4591</v>
      </c>
      <c r="AD195" s="379" t="s">
        <v>4592</v>
      </c>
      <c r="AE195" s="3589" t="s">
        <v>4593</v>
      </c>
      <c r="AF195" s="379" t="s">
        <v>4594</v>
      </c>
      <c r="AG195" s="3589" t="s">
        <v>4595</v>
      </c>
      <c r="AH195" s="379" t="s">
        <v>4596</v>
      </c>
      <c r="AI195" s="3589" t="s">
        <v>4597</v>
      </c>
      <c r="AJ195" s="379" t="s">
        <v>4598</v>
      </c>
      <c r="AK195" s="3589" t="s">
        <v>4599</v>
      </c>
      <c r="AL195" s="379" t="s">
        <v>4600</v>
      </c>
      <c r="AM195" s="3589" t="s">
        <v>4601</v>
      </c>
      <c r="AN195" s="666" t="s">
        <v>4602</v>
      </c>
      <c r="AO195" s="3675" t="s">
        <v>4603</v>
      </c>
      <c r="AP195" s="776" t="s">
        <v>4604</v>
      </c>
      <c r="AQ195" s="3676" t="s">
        <v>4605</v>
      </c>
      <c r="AR195" s="481" t="s">
        <v>4606</v>
      </c>
      <c r="AS195" s="580" t="s">
        <v>4934</v>
      </c>
      <c r="AT195" s="580" t="s">
        <v>4935</v>
      </c>
      <c r="AU195" s="580" t="s">
        <v>4936</v>
      </c>
      <c r="AV195" s="242" t="s">
        <v>4937</v>
      </c>
      <c r="AW195" s="521" t="s">
        <v>5234</v>
      </c>
      <c r="AX195" s="242" t="s">
        <v>5235</v>
      </c>
      <c r="AY195" s="42" t="s">
        <v>5236</v>
      </c>
      <c r="AZ195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5" s="433"/>
      <c r="CC195" s="433" t="str">
        <f t="shared" si="158"/>
        <v xml:space="preserve"> * La variable Usuario con Discapacidad no pueden superar el Total Ambos Sexos.</v>
      </c>
      <c r="CD195" s="433" t="str">
        <f t="shared" si="159"/>
        <v xml:space="preserve"> * La variable Niños, niñas, adolescentes y jóvenes SENAME no pueden superar el Total Ambos Sexos.</v>
      </c>
      <c r="CE195" s="433" t="str">
        <f t="shared" si="160"/>
        <v xml:space="preserve"> * La variable Niños, niñas, adolescentes y jóvenes Mejor Niñez no pueden superar el Total Ambos Sexos.</v>
      </c>
      <c r="CF195" s="433" t="str">
        <f t="shared" si="161"/>
        <v xml:space="preserve"> * La variable Migrantes no pueden superar el Total Ambos Sexos.</v>
      </c>
      <c r="CG195" s="435"/>
      <c r="CH195" s="433" t="str">
        <f t="shared" si="162"/>
        <v xml:space="preserve"> * La variable Persona con ingreso integral y condición crónica no pueden superar el Total Ambos Sexos.</v>
      </c>
      <c r="CI195" s="433" t="str">
        <f t="shared" si="163"/>
        <v xml:space="preserve"> * La variable Pueblos Originarios no pueden superar el Total Ambos Sexos.</v>
      </c>
      <c r="CP195" s="434"/>
      <c r="CQ195" s="434">
        <f t="shared" si="164"/>
        <v>1</v>
      </c>
      <c r="CR195" s="434">
        <f t="shared" si="165"/>
        <v>1</v>
      </c>
      <c r="CS195" s="434">
        <f t="shared" si="166"/>
        <v>1</v>
      </c>
      <c r="CT195" s="434">
        <f t="shared" si="169"/>
        <v>1</v>
      </c>
      <c r="CU195" s="435"/>
      <c r="CV195" s="434">
        <f t="shared" si="170"/>
        <v>1</v>
      </c>
      <c r="CW195" s="434">
        <f t="shared" si="171"/>
        <v>1</v>
      </c>
    </row>
    <row r="196" spans="1:101" ht="15" customHeight="1" x14ac:dyDescent="0.25">
      <c r="A196" s="5616"/>
      <c r="B196" s="6058"/>
      <c r="C196" s="6905" t="s">
        <v>1756</v>
      </c>
      <c r="D196" s="3677" t="s">
        <v>77</v>
      </c>
      <c r="E196" s="3678">
        <f>SUM(F196)</f>
        <v>0</v>
      </c>
      <c r="F196" s="3679">
        <f t="shared" ref="F196" si="172">SUM(AD196+AF196+AH196+AJ196+AL196+AN196+AP196)</f>
        <v>0</v>
      </c>
      <c r="G196" s="3680"/>
      <c r="H196" s="3681"/>
      <c r="I196" s="3682"/>
      <c r="J196" s="3683"/>
      <c r="K196" s="3684"/>
      <c r="L196" s="3683"/>
      <c r="M196" s="3682"/>
      <c r="N196" s="3683"/>
      <c r="O196" s="3684"/>
      <c r="P196" s="3683"/>
      <c r="Q196" s="3682"/>
      <c r="R196" s="3683"/>
      <c r="S196" s="3684"/>
      <c r="T196" s="3683"/>
      <c r="U196" s="3682"/>
      <c r="V196" s="3683"/>
      <c r="W196" s="3684"/>
      <c r="X196" s="3683"/>
      <c r="Y196" s="3682"/>
      <c r="Z196" s="3683"/>
      <c r="AA196" s="3684"/>
      <c r="AB196" s="3683"/>
      <c r="AC196" s="3684"/>
      <c r="AD196" s="3685">
        <f>SUM(AD199:AD200)</f>
        <v>0</v>
      </c>
      <c r="AE196" s="3686"/>
      <c r="AF196" s="3685">
        <f>SUM(AF199:AF200)</f>
        <v>0</v>
      </c>
      <c r="AG196" s="3686"/>
      <c r="AH196" s="3685">
        <f>SUM(AH199:AH200)</f>
        <v>0</v>
      </c>
      <c r="AI196" s="3686"/>
      <c r="AJ196" s="3685">
        <f>SUM(AJ199:AJ200)</f>
        <v>0</v>
      </c>
      <c r="AK196" s="3686"/>
      <c r="AL196" s="3685">
        <f>SUM(AL199:AL200)</f>
        <v>0</v>
      </c>
      <c r="AM196" s="3686"/>
      <c r="AN196" s="3687">
        <f>SUM(AN199:AN200)</f>
        <v>0</v>
      </c>
      <c r="AO196" s="3688"/>
      <c r="AP196" s="3687">
        <f>SUM(AP199:AP200)</f>
        <v>0</v>
      </c>
      <c r="AQ196" s="3689"/>
      <c r="AR196" s="3690">
        <f t="shared" ref="AR196:AX196" si="173">SUM(AR199:AR200)</f>
        <v>0</v>
      </c>
      <c r="AS196" s="3691">
        <f t="shared" si="173"/>
        <v>0</v>
      </c>
      <c r="AT196" s="3691">
        <f t="shared" si="173"/>
        <v>0</v>
      </c>
      <c r="AU196" s="3691">
        <f t="shared" si="173"/>
        <v>0</v>
      </c>
      <c r="AV196" s="3691">
        <f t="shared" si="173"/>
        <v>0</v>
      </c>
      <c r="AW196" s="3691">
        <f t="shared" si="173"/>
        <v>0</v>
      </c>
      <c r="AX196" s="3691">
        <f t="shared" si="173"/>
        <v>0</v>
      </c>
      <c r="AY196" s="3692">
        <f>SUM(AY199:AY200)</f>
        <v>0</v>
      </c>
      <c r="AZ196" t="str">
        <f t="shared" si="148"/>
        <v/>
      </c>
      <c r="CB196" s="433"/>
      <c r="CC196" s="433" t="str">
        <f t="shared" si="158"/>
        <v/>
      </c>
      <c r="CD196" s="433" t="str">
        <f t="shared" si="159"/>
        <v/>
      </c>
      <c r="CE196" s="433" t="str">
        <f t="shared" si="160"/>
        <v/>
      </c>
      <c r="CF196" s="433" t="str">
        <f t="shared" si="161"/>
        <v/>
      </c>
      <c r="CG196" s="433" t="str">
        <f t="shared" ref="CG196:CG199" si="174">IF(AND($E196&gt;0,AW196="")," * No olvide digitar la variable Egreso por Abandono. Digite Cero si no tiene.",IF(AW196&gt;$E196," * La variable Egreso por Abandono no pueden superar el Total Ambos Sexos.",""))</f>
        <v/>
      </c>
      <c r="CH196" s="433" t="str">
        <f t="shared" si="162"/>
        <v/>
      </c>
      <c r="CI196" s="433" t="str">
        <f t="shared" si="163"/>
        <v/>
      </c>
      <c r="CP196" s="434"/>
      <c r="CQ196" s="434">
        <f t="shared" si="164"/>
        <v>0</v>
      </c>
      <c r="CR196" s="434">
        <f t="shared" si="165"/>
        <v>0</v>
      </c>
      <c r="CS196" s="434">
        <f t="shared" si="166"/>
        <v>0</v>
      </c>
      <c r="CT196" s="434">
        <f t="shared" si="169"/>
        <v>0</v>
      </c>
      <c r="CU196" s="434">
        <f>IF(AND($E196&gt;0,AW196=""),1,IF(AW196&gt;$E196,1,0))</f>
        <v>0</v>
      </c>
      <c r="CV196" s="434">
        <f t="shared" si="170"/>
        <v>0</v>
      </c>
      <c r="CW196" s="434">
        <f t="shared" si="171"/>
        <v>0</v>
      </c>
    </row>
    <row r="197" spans="1:101" ht="21.75" customHeight="1" x14ac:dyDescent="0.25">
      <c r="A197" s="5813" t="s">
        <v>5821</v>
      </c>
      <c r="B197" s="6058"/>
      <c r="C197" s="6058"/>
      <c r="D197" s="2206" t="s">
        <v>1749</v>
      </c>
      <c r="E197" s="3658" t="s">
        <v>4567</v>
      </c>
      <c r="F197" s="3693" t="s">
        <v>4568</v>
      </c>
      <c r="G197" s="3131" t="s">
        <v>4569</v>
      </c>
      <c r="H197" s="2644" t="s">
        <v>4570</v>
      </c>
      <c r="I197" s="3661" t="s">
        <v>4571</v>
      </c>
      <c r="J197" s="3660" t="s">
        <v>4572</v>
      </c>
      <c r="K197" s="3661" t="s">
        <v>4573</v>
      </c>
      <c r="L197" s="3660" t="s">
        <v>4574</v>
      </c>
      <c r="M197" s="3661" t="s">
        <v>4575</v>
      </c>
      <c r="N197" s="3660" t="s">
        <v>4576</v>
      </c>
      <c r="O197" s="3661" t="s">
        <v>4577</v>
      </c>
      <c r="P197" s="3660" t="s">
        <v>4578</v>
      </c>
      <c r="Q197" s="3661" t="s">
        <v>4579</v>
      </c>
      <c r="R197" s="3660" t="s">
        <v>4580</v>
      </c>
      <c r="S197" s="3661" t="s">
        <v>4581</v>
      </c>
      <c r="T197" s="3660" t="s">
        <v>4582</v>
      </c>
      <c r="U197" s="3661" t="s">
        <v>4583</v>
      </c>
      <c r="V197" s="3660" t="s">
        <v>4584</v>
      </c>
      <c r="W197" s="3661" t="s">
        <v>4585</v>
      </c>
      <c r="X197" s="3660" t="s">
        <v>4586</v>
      </c>
      <c r="Y197" s="3661" t="s">
        <v>4587</v>
      </c>
      <c r="Z197" s="3660" t="s">
        <v>4588</v>
      </c>
      <c r="AA197" s="3661" t="s">
        <v>4589</v>
      </c>
      <c r="AB197" s="3660" t="s">
        <v>4590</v>
      </c>
      <c r="AC197" s="3694" t="s">
        <v>4591</v>
      </c>
      <c r="AD197" s="290" t="s">
        <v>4592</v>
      </c>
      <c r="AE197" s="130" t="s">
        <v>4593</v>
      </c>
      <c r="AF197" s="290" t="s">
        <v>4594</v>
      </c>
      <c r="AG197" s="130" t="s">
        <v>4595</v>
      </c>
      <c r="AH197" s="290" t="s">
        <v>4596</v>
      </c>
      <c r="AI197" s="130" t="s">
        <v>4597</v>
      </c>
      <c r="AJ197" s="47" t="s">
        <v>4598</v>
      </c>
      <c r="AK197" s="130" t="s">
        <v>4599</v>
      </c>
      <c r="AL197" s="290" t="s">
        <v>4600</v>
      </c>
      <c r="AM197" s="130" t="s">
        <v>4601</v>
      </c>
      <c r="AN197" s="245" t="s">
        <v>4602</v>
      </c>
      <c r="AO197" s="353" t="s">
        <v>4603</v>
      </c>
      <c r="AP197" s="354" t="s">
        <v>4604</v>
      </c>
      <c r="AQ197" s="3695" t="s">
        <v>4605</v>
      </c>
      <c r="AR197" s="22" t="s">
        <v>4606</v>
      </c>
      <c r="AS197" s="531" t="s">
        <v>4934</v>
      </c>
      <c r="AT197" s="531" t="s">
        <v>4935</v>
      </c>
      <c r="AU197" s="531" t="s">
        <v>4936</v>
      </c>
      <c r="AV197" s="531" t="s">
        <v>4937</v>
      </c>
      <c r="AW197" s="22" t="s">
        <v>5234</v>
      </c>
      <c r="AX197" s="531" t="s">
        <v>5235</v>
      </c>
      <c r="AY197" s="107" t="s">
        <v>5236</v>
      </c>
      <c r="AZ197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7" s="433"/>
      <c r="CC197" s="433" t="str">
        <f t="shared" si="158"/>
        <v xml:space="preserve"> * La variable Usuario con Discapacidad no pueden superar el Total Ambos Sexos.</v>
      </c>
      <c r="CD197" s="433" t="str">
        <f t="shared" si="159"/>
        <v xml:space="preserve"> * La variable Niños, niñas, adolescentes y jóvenes SENAME no pueden superar el Total Ambos Sexos.</v>
      </c>
      <c r="CE197" s="433" t="str">
        <f t="shared" si="160"/>
        <v xml:space="preserve"> * La variable Niños, niñas, adolescentes y jóvenes Mejor Niñez no pueden superar el Total Ambos Sexos.</v>
      </c>
      <c r="CF197" s="433" t="str">
        <f t="shared" si="161"/>
        <v xml:space="preserve"> * La variable Migrantes no pueden superar el Total Ambos Sexos.</v>
      </c>
      <c r="CG197" s="433" t="str">
        <f t="shared" si="174"/>
        <v xml:space="preserve"> * La variable Egreso por Abandono no pueden superar el Total Ambos Sexos.</v>
      </c>
      <c r="CH197" s="433" t="str">
        <f t="shared" si="162"/>
        <v xml:space="preserve"> * La variable Persona con ingreso integral y condición crónica no pueden superar el Total Ambos Sexos.</v>
      </c>
      <c r="CI197" s="433" t="str">
        <f t="shared" si="163"/>
        <v xml:space="preserve"> * La variable Pueblos Originarios no pueden superar el Total Ambos Sexos.</v>
      </c>
      <c r="CP197" s="434"/>
      <c r="CQ197" s="434">
        <f t="shared" si="164"/>
        <v>1</v>
      </c>
      <c r="CR197" s="434">
        <f t="shared" si="165"/>
        <v>1</v>
      </c>
      <c r="CS197" s="434">
        <f t="shared" si="166"/>
        <v>1</v>
      </c>
      <c r="CT197" s="434">
        <f t="shared" si="169"/>
        <v>1</v>
      </c>
      <c r="CU197" s="434">
        <f>IF(AND($E197&gt;0,AW197=""),1,IF(AW197&gt;$E197,1,0))</f>
        <v>1</v>
      </c>
      <c r="CV197" s="434">
        <f t="shared" si="170"/>
        <v>1</v>
      </c>
      <c r="CW197" s="434">
        <f t="shared" si="171"/>
        <v>1</v>
      </c>
    </row>
    <row r="198" spans="1:101" ht="15" customHeight="1" x14ac:dyDescent="0.25">
      <c r="A198" s="5813" t="s">
        <v>5822</v>
      </c>
      <c r="B198" s="6058"/>
      <c r="C198" s="6058"/>
      <c r="D198" s="2206" t="s">
        <v>1751</v>
      </c>
      <c r="E198" s="3658" t="s">
        <v>4567</v>
      </c>
      <c r="F198" s="3693" t="s">
        <v>4568</v>
      </c>
      <c r="G198" s="2318" t="s">
        <v>4569</v>
      </c>
      <c r="H198" s="619" t="s">
        <v>4570</v>
      </c>
      <c r="I198" s="824" t="s">
        <v>4571</v>
      </c>
      <c r="J198" s="3231" t="s">
        <v>4572</v>
      </c>
      <c r="K198" s="2659" t="s">
        <v>4573</v>
      </c>
      <c r="L198" s="3231" t="s">
        <v>4574</v>
      </c>
      <c r="M198" s="824" t="s">
        <v>4575</v>
      </c>
      <c r="N198" s="3231" t="s">
        <v>4576</v>
      </c>
      <c r="O198" s="2659" t="s">
        <v>4577</v>
      </c>
      <c r="P198" s="3231" t="s">
        <v>4578</v>
      </c>
      <c r="Q198" s="824" t="s">
        <v>4579</v>
      </c>
      <c r="R198" s="3231" t="s">
        <v>4580</v>
      </c>
      <c r="S198" s="2659" t="s">
        <v>4581</v>
      </c>
      <c r="T198" s="3231" t="s">
        <v>4582</v>
      </c>
      <c r="U198" s="824" t="s">
        <v>4583</v>
      </c>
      <c r="V198" s="3231" t="s">
        <v>4584</v>
      </c>
      <c r="W198" s="2659" t="s">
        <v>4585</v>
      </c>
      <c r="X198" s="3231" t="s">
        <v>4586</v>
      </c>
      <c r="Y198" s="824" t="s">
        <v>4587</v>
      </c>
      <c r="Z198" s="3231" t="s">
        <v>4588</v>
      </c>
      <c r="AA198" s="2659" t="s">
        <v>4589</v>
      </c>
      <c r="AB198" s="3231" t="s">
        <v>4590</v>
      </c>
      <c r="AC198" s="2659" t="s">
        <v>4591</v>
      </c>
      <c r="AD198" s="345" t="s">
        <v>4592</v>
      </c>
      <c r="AE198" s="130" t="s">
        <v>4593</v>
      </c>
      <c r="AF198" s="345" t="s">
        <v>4594</v>
      </c>
      <c r="AG198" s="130" t="s">
        <v>4595</v>
      </c>
      <c r="AH198" s="345" t="s">
        <v>4596</v>
      </c>
      <c r="AI198" s="130" t="s">
        <v>4597</v>
      </c>
      <c r="AJ198" s="192" t="s">
        <v>4598</v>
      </c>
      <c r="AK198" s="130" t="s">
        <v>4599</v>
      </c>
      <c r="AL198" s="345" t="s">
        <v>4600</v>
      </c>
      <c r="AM198" s="130" t="s">
        <v>4601</v>
      </c>
      <c r="AN198" s="350" t="s">
        <v>4602</v>
      </c>
      <c r="AO198" s="353" t="s">
        <v>4603</v>
      </c>
      <c r="AP198" s="3363" t="s">
        <v>4604</v>
      </c>
      <c r="AQ198" s="130" t="s">
        <v>4605</v>
      </c>
      <c r="AR198" s="429" t="s">
        <v>4606</v>
      </c>
      <c r="AS198" s="531" t="s">
        <v>4934</v>
      </c>
      <c r="AT198" s="368" t="s">
        <v>4935</v>
      </c>
      <c r="AU198" s="368" t="s">
        <v>4936</v>
      </c>
      <c r="AV198" s="531" t="s">
        <v>4937</v>
      </c>
      <c r="AW198" s="531" t="s">
        <v>5234</v>
      </c>
      <c r="AX198" s="531" t="s">
        <v>5235</v>
      </c>
      <c r="AY198" s="107" t="s">
        <v>5236</v>
      </c>
      <c r="AZ198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8" s="433"/>
      <c r="CC198" s="433" t="str">
        <f t="shared" si="158"/>
        <v xml:space="preserve"> * La variable Usuario con Discapacidad no pueden superar el Total Ambos Sexos.</v>
      </c>
      <c r="CD198" s="433" t="str">
        <f t="shared" si="159"/>
        <v xml:space="preserve"> * La variable Niños, niñas, adolescentes y jóvenes SENAME no pueden superar el Total Ambos Sexos.</v>
      </c>
      <c r="CE198" s="433" t="str">
        <f t="shared" si="160"/>
        <v xml:space="preserve"> * La variable Niños, niñas, adolescentes y jóvenes Mejor Niñez no pueden superar el Total Ambos Sexos.</v>
      </c>
      <c r="CF198" s="433" t="str">
        <f t="shared" si="161"/>
        <v xml:space="preserve"> * La variable Migrantes no pueden superar el Total Ambos Sexos.</v>
      </c>
      <c r="CG198" s="433" t="str">
        <f t="shared" si="174"/>
        <v xml:space="preserve"> * La variable Egreso por Abandono no pueden superar el Total Ambos Sexos.</v>
      </c>
      <c r="CH198" s="433" t="str">
        <f t="shared" si="162"/>
        <v xml:space="preserve"> * La variable Persona con ingreso integral y condición crónica no pueden superar el Total Ambos Sexos.</v>
      </c>
      <c r="CI198" s="433" t="str">
        <f t="shared" si="163"/>
        <v xml:space="preserve"> * La variable Pueblos Originarios no pueden superar el Total Ambos Sexos.</v>
      </c>
      <c r="CP198" s="434"/>
      <c r="CQ198" s="434">
        <f t="shared" si="164"/>
        <v>1</v>
      </c>
      <c r="CR198" s="434">
        <f t="shared" si="165"/>
        <v>1</v>
      </c>
      <c r="CS198" s="434">
        <f t="shared" si="166"/>
        <v>1</v>
      </c>
      <c r="CT198" s="434">
        <f t="shared" si="169"/>
        <v>1</v>
      </c>
      <c r="CU198" s="434">
        <f>IF(AND($E198&gt;0,AW198=""),1,IF(AW198&gt;$E198,1,0))</f>
        <v>1</v>
      </c>
      <c r="CV198" s="434">
        <f t="shared" si="170"/>
        <v>1</v>
      </c>
      <c r="CW198" s="434">
        <f t="shared" si="171"/>
        <v>1</v>
      </c>
    </row>
    <row r="199" spans="1:101" ht="23.25" customHeight="1" x14ac:dyDescent="0.25">
      <c r="A199" s="5813" t="s">
        <v>5823</v>
      </c>
      <c r="B199" s="6058"/>
      <c r="C199" s="6058"/>
      <c r="D199" s="3696" t="s">
        <v>1752</v>
      </c>
      <c r="E199" s="3658" t="s">
        <v>4567</v>
      </c>
      <c r="F199" s="3693" t="s">
        <v>4568</v>
      </c>
      <c r="G199" s="3319" t="s">
        <v>4569</v>
      </c>
      <c r="H199" s="619" t="s">
        <v>4570</v>
      </c>
      <c r="I199" s="824" t="s">
        <v>4571</v>
      </c>
      <c r="J199" s="3231" t="s">
        <v>4572</v>
      </c>
      <c r="K199" s="2659" t="s">
        <v>4573</v>
      </c>
      <c r="L199" s="3231" t="s">
        <v>4574</v>
      </c>
      <c r="M199" s="824" t="s">
        <v>4575</v>
      </c>
      <c r="N199" s="3231" t="s">
        <v>4576</v>
      </c>
      <c r="O199" s="2659" t="s">
        <v>4577</v>
      </c>
      <c r="P199" s="3231" t="s">
        <v>4578</v>
      </c>
      <c r="Q199" s="824" t="s">
        <v>4579</v>
      </c>
      <c r="R199" s="3231" t="s">
        <v>4580</v>
      </c>
      <c r="S199" s="2659" t="s">
        <v>4581</v>
      </c>
      <c r="T199" s="3231" t="s">
        <v>4582</v>
      </c>
      <c r="U199" s="824" t="s">
        <v>4583</v>
      </c>
      <c r="V199" s="3231" t="s">
        <v>4584</v>
      </c>
      <c r="W199" s="2659" t="s">
        <v>4585</v>
      </c>
      <c r="X199" s="3231" t="s">
        <v>4586</v>
      </c>
      <c r="Y199" s="824" t="s">
        <v>4587</v>
      </c>
      <c r="Z199" s="3231" t="s">
        <v>4588</v>
      </c>
      <c r="AA199" s="2659" t="s">
        <v>4589</v>
      </c>
      <c r="AB199" s="3231" t="s">
        <v>4590</v>
      </c>
      <c r="AC199" s="2659" t="s">
        <v>4591</v>
      </c>
      <c r="AD199" s="345" t="s">
        <v>4592</v>
      </c>
      <c r="AE199" s="130" t="s">
        <v>4593</v>
      </c>
      <c r="AF199" s="345" t="s">
        <v>4594</v>
      </c>
      <c r="AG199" s="130" t="s">
        <v>4595</v>
      </c>
      <c r="AH199" s="345" t="s">
        <v>4596</v>
      </c>
      <c r="AI199" s="130" t="s">
        <v>4597</v>
      </c>
      <c r="AJ199" s="192" t="s">
        <v>4598</v>
      </c>
      <c r="AK199" s="130" t="s">
        <v>4599</v>
      </c>
      <c r="AL199" s="345" t="s">
        <v>4600</v>
      </c>
      <c r="AM199" s="130" t="s">
        <v>4601</v>
      </c>
      <c r="AN199" s="350" t="s">
        <v>4602</v>
      </c>
      <c r="AO199" s="353" t="s">
        <v>4603</v>
      </c>
      <c r="AP199" s="3363" t="s">
        <v>4604</v>
      </c>
      <c r="AQ199" s="130" t="s">
        <v>4605</v>
      </c>
      <c r="AR199" s="429" t="s">
        <v>4606</v>
      </c>
      <c r="AS199" s="531" t="s">
        <v>4934</v>
      </c>
      <c r="AT199" s="368" t="s">
        <v>4935</v>
      </c>
      <c r="AU199" s="368" t="s">
        <v>4936</v>
      </c>
      <c r="AV199" s="531" t="s">
        <v>4937</v>
      </c>
      <c r="AW199" s="531" t="s">
        <v>5234</v>
      </c>
      <c r="AX199" s="531" t="s">
        <v>5235</v>
      </c>
      <c r="AY199" s="107" t="s">
        <v>5236</v>
      </c>
      <c r="AZ199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9" s="433"/>
      <c r="CC199" s="433" t="str">
        <f t="shared" si="158"/>
        <v xml:space="preserve"> * La variable Usuario con Discapacidad no pueden superar el Total Ambos Sexos.</v>
      </c>
      <c r="CD199" s="433" t="str">
        <f t="shared" si="159"/>
        <v xml:space="preserve"> * La variable Niños, niñas, adolescentes y jóvenes SENAME no pueden superar el Total Ambos Sexos.</v>
      </c>
      <c r="CE199" s="433" t="str">
        <f t="shared" si="160"/>
        <v xml:space="preserve"> * La variable Niños, niñas, adolescentes y jóvenes Mejor Niñez no pueden superar el Total Ambos Sexos.</v>
      </c>
      <c r="CF199" s="433" t="str">
        <f t="shared" si="161"/>
        <v xml:space="preserve"> * La variable Migrantes no pueden superar el Total Ambos Sexos.</v>
      </c>
      <c r="CG199" s="433" t="str">
        <f t="shared" si="174"/>
        <v xml:space="preserve"> * La variable Egreso por Abandono no pueden superar el Total Ambos Sexos.</v>
      </c>
      <c r="CH199" s="433" t="str">
        <f t="shared" si="162"/>
        <v xml:space="preserve"> * La variable Persona con ingreso integral y condición crónica no pueden superar el Total Ambos Sexos.</v>
      </c>
      <c r="CI199" s="433" t="str">
        <f t="shared" si="163"/>
        <v xml:space="preserve"> * La variable Pueblos Originarios no pueden superar el Total Ambos Sexos.</v>
      </c>
      <c r="CP199" s="434"/>
      <c r="CQ199" s="434">
        <f t="shared" si="164"/>
        <v>1</v>
      </c>
      <c r="CR199" s="434">
        <f t="shared" si="165"/>
        <v>1</v>
      </c>
      <c r="CS199" s="434">
        <f t="shared" si="166"/>
        <v>1</v>
      </c>
      <c r="CT199" s="434">
        <f t="shared" si="169"/>
        <v>1</v>
      </c>
      <c r="CU199" s="434">
        <f>IF(AND($E199&gt;0,AW199=""),1,IF(AW199&gt;$E199,1,0))</f>
        <v>1</v>
      </c>
      <c r="CV199" s="434">
        <f t="shared" si="170"/>
        <v>1</v>
      </c>
      <c r="CW199" s="434">
        <f t="shared" si="171"/>
        <v>1</v>
      </c>
    </row>
    <row r="200" spans="1:101" ht="24" customHeight="1" x14ac:dyDescent="0.25">
      <c r="A200" s="5813" t="s">
        <v>5824</v>
      </c>
      <c r="B200" s="6842"/>
      <c r="C200" s="6842"/>
      <c r="D200" s="3696" t="s">
        <v>1757</v>
      </c>
      <c r="E200" s="3697" t="s">
        <v>4567</v>
      </c>
      <c r="F200" s="3698" t="s">
        <v>4568</v>
      </c>
      <c r="G200" s="3699" t="s">
        <v>4569</v>
      </c>
      <c r="H200" s="620" t="s">
        <v>4570</v>
      </c>
      <c r="I200" s="821" t="s">
        <v>4571</v>
      </c>
      <c r="J200" s="3233" t="s">
        <v>4572</v>
      </c>
      <c r="K200" s="3700" t="s">
        <v>4573</v>
      </c>
      <c r="L200" s="3233" t="s">
        <v>4574</v>
      </c>
      <c r="M200" s="821" t="s">
        <v>4575</v>
      </c>
      <c r="N200" s="3233" t="s">
        <v>4576</v>
      </c>
      <c r="O200" s="3700" t="s">
        <v>4577</v>
      </c>
      <c r="P200" s="3233" t="s">
        <v>4578</v>
      </c>
      <c r="Q200" s="821" t="s">
        <v>4579</v>
      </c>
      <c r="R200" s="3233" t="s">
        <v>4580</v>
      </c>
      <c r="S200" s="3700" t="s">
        <v>4581</v>
      </c>
      <c r="T200" s="3233" t="s">
        <v>4582</v>
      </c>
      <c r="U200" s="821" t="s">
        <v>4583</v>
      </c>
      <c r="V200" s="3233" t="s">
        <v>4584</v>
      </c>
      <c r="W200" s="3700" t="s">
        <v>4585</v>
      </c>
      <c r="X200" s="3233" t="s">
        <v>4586</v>
      </c>
      <c r="Y200" s="821" t="s">
        <v>4587</v>
      </c>
      <c r="Z200" s="3233" t="s">
        <v>4588</v>
      </c>
      <c r="AA200" s="3700" t="s">
        <v>4589</v>
      </c>
      <c r="AB200" s="3233" t="s">
        <v>4590</v>
      </c>
      <c r="AC200" s="3700" t="s">
        <v>4591</v>
      </c>
      <c r="AD200" s="1264" t="s">
        <v>4592</v>
      </c>
      <c r="AE200" s="3589" t="s">
        <v>4593</v>
      </c>
      <c r="AF200" s="1264" t="s">
        <v>4594</v>
      </c>
      <c r="AG200" s="3589" t="s">
        <v>4595</v>
      </c>
      <c r="AH200" s="1264" t="s">
        <v>4596</v>
      </c>
      <c r="AI200" s="3589" t="s">
        <v>4597</v>
      </c>
      <c r="AJ200" s="1264" t="s">
        <v>4598</v>
      </c>
      <c r="AK200" s="3589" t="s">
        <v>4599</v>
      </c>
      <c r="AL200" s="1264" t="s">
        <v>4600</v>
      </c>
      <c r="AM200" s="3589" t="s">
        <v>4601</v>
      </c>
      <c r="AN200" s="3701" t="s">
        <v>4602</v>
      </c>
      <c r="AO200" s="3675" t="s">
        <v>4603</v>
      </c>
      <c r="AP200" s="776" t="s">
        <v>4604</v>
      </c>
      <c r="AQ200" s="3589" t="s">
        <v>4605</v>
      </c>
      <c r="AR200" s="378" t="s">
        <v>4606</v>
      </c>
      <c r="AS200" s="262" t="s">
        <v>4934</v>
      </c>
      <c r="AT200" s="2872" t="s">
        <v>4935</v>
      </c>
      <c r="AU200" s="2872" t="s">
        <v>4936</v>
      </c>
      <c r="AV200" s="262" t="s">
        <v>4937</v>
      </c>
      <c r="AW200" s="262" t="s">
        <v>5234</v>
      </c>
      <c r="AX200" s="262" t="s">
        <v>5235</v>
      </c>
      <c r="AY200" s="1447" t="s">
        <v>5236</v>
      </c>
      <c r="AZ200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0" s="433"/>
      <c r="CC200" s="433" t="str">
        <f t="shared" si="158"/>
        <v xml:space="preserve"> * La variable Usuario con Discapacidad no pueden superar el Total Ambos Sexos.</v>
      </c>
      <c r="CD200" s="433" t="str">
        <f t="shared" si="159"/>
        <v xml:space="preserve"> * La variable Niños, niñas, adolescentes y jóvenes SENAME no pueden superar el Total Ambos Sexos.</v>
      </c>
      <c r="CE200" s="433" t="str">
        <f t="shared" si="160"/>
        <v xml:space="preserve"> * La variable Niños, niñas, adolescentes y jóvenes Mejor Niñez no pueden superar el Total Ambos Sexos.</v>
      </c>
      <c r="CF200" s="433" t="str">
        <f t="shared" si="161"/>
        <v xml:space="preserve"> * La variable Migrantes no pueden superar el Total Ambos Sexos.</v>
      </c>
      <c r="CG200" s="433" t="str">
        <f>IF(AND($E200&gt;0,AW200="")," * No olvide digitar la variable Egreso por Abandono. Digite Cero si no tiene.",IF(AW200&gt;$E200," * La variable Egreso por Abandono no pueden superar el Total Ambos Sexos.",""))</f>
        <v xml:space="preserve"> * La variable Egreso por Abandono no pueden superar el Total Ambos Sexos.</v>
      </c>
      <c r="CH200" s="433" t="str">
        <f t="shared" si="162"/>
        <v xml:space="preserve"> * La variable Persona con ingreso integral y condición crónica no pueden superar el Total Ambos Sexos.</v>
      </c>
      <c r="CI200" s="433" t="str">
        <f t="shared" si="163"/>
        <v xml:space="preserve"> * La variable Pueblos Originarios no pueden superar el Total Ambos Sexos.</v>
      </c>
      <c r="CP200" s="434"/>
      <c r="CQ200" s="434">
        <f t="shared" si="164"/>
        <v>1</v>
      </c>
      <c r="CR200" s="434">
        <f t="shared" si="165"/>
        <v>1</v>
      </c>
      <c r="CS200" s="434">
        <f t="shared" si="166"/>
        <v>1</v>
      </c>
      <c r="CT200" s="434">
        <f t="shared" si="169"/>
        <v>1</v>
      </c>
      <c r="CU200" s="434">
        <f>IF(AND($E200&gt;0,AW200=""),1,IF(AW200&gt;$E200,1,0))</f>
        <v>1</v>
      </c>
      <c r="CV200" s="434">
        <f t="shared" si="170"/>
        <v>1</v>
      </c>
      <c r="CW200" s="434">
        <f t="shared" si="171"/>
        <v>1</v>
      </c>
    </row>
    <row r="201" spans="1:101" ht="15" customHeight="1" x14ac:dyDescent="0.25">
      <c r="A201" s="5616"/>
      <c r="B201" s="7034" t="s">
        <v>1758</v>
      </c>
      <c r="C201" s="7037" t="s">
        <v>1759</v>
      </c>
      <c r="D201" s="3702" t="s">
        <v>1760</v>
      </c>
      <c r="E201" s="3703">
        <f>SUM(F201:G201)</f>
        <v>0</v>
      </c>
      <c r="F201" s="3674">
        <f>+H201+J201+L201+N201+P201+R201+T201+V201+X201+Z201+AB201+AD201+AF201+AH201+AJ201+AL201+AN201+AP201</f>
        <v>0</v>
      </c>
      <c r="G201" s="3397">
        <f>+I201+K201+M201+O201+Q201+S201+U201+W201+Y201+AA201+AC201+AE201+AG201+AI201+AK201+AM201+AO201+AQ201</f>
        <v>0</v>
      </c>
      <c r="H201" s="3704">
        <f t="shared" ref="H201:AX201" si="175">SUM(H202:H203)</f>
        <v>0</v>
      </c>
      <c r="I201" s="3705">
        <f t="shared" si="175"/>
        <v>0</v>
      </c>
      <c r="J201" s="3704">
        <f t="shared" si="175"/>
        <v>0</v>
      </c>
      <c r="K201" s="3705">
        <f t="shared" si="175"/>
        <v>0</v>
      </c>
      <c r="L201" s="3704">
        <f t="shared" si="175"/>
        <v>0</v>
      </c>
      <c r="M201" s="3705">
        <f t="shared" si="175"/>
        <v>0</v>
      </c>
      <c r="N201" s="3704">
        <f t="shared" si="175"/>
        <v>0</v>
      </c>
      <c r="O201" s="3705">
        <f t="shared" si="175"/>
        <v>0</v>
      </c>
      <c r="P201" s="3704">
        <f t="shared" si="175"/>
        <v>0</v>
      </c>
      <c r="Q201" s="3705">
        <f t="shared" si="175"/>
        <v>0</v>
      </c>
      <c r="R201" s="3704">
        <f t="shared" si="175"/>
        <v>0</v>
      </c>
      <c r="S201" s="3705">
        <f t="shared" si="175"/>
        <v>0</v>
      </c>
      <c r="T201" s="3704">
        <f t="shared" si="175"/>
        <v>0</v>
      </c>
      <c r="U201" s="3705">
        <f t="shared" si="175"/>
        <v>0</v>
      </c>
      <c r="V201" s="3704">
        <f t="shared" si="175"/>
        <v>0</v>
      </c>
      <c r="W201" s="3705">
        <f t="shared" si="175"/>
        <v>0</v>
      </c>
      <c r="X201" s="3704">
        <f t="shared" si="175"/>
        <v>0</v>
      </c>
      <c r="Y201" s="3705">
        <f t="shared" si="175"/>
        <v>0</v>
      </c>
      <c r="Z201" s="3704">
        <f t="shared" si="175"/>
        <v>0</v>
      </c>
      <c r="AA201" s="3705">
        <f t="shared" si="175"/>
        <v>0</v>
      </c>
      <c r="AB201" s="3704">
        <f t="shared" si="175"/>
        <v>0</v>
      </c>
      <c r="AC201" s="3706">
        <f t="shared" si="175"/>
        <v>0</v>
      </c>
      <c r="AD201" s="3707">
        <f t="shared" si="175"/>
        <v>0</v>
      </c>
      <c r="AE201" s="3706">
        <f t="shared" si="175"/>
        <v>0</v>
      </c>
      <c r="AF201" s="3707">
        <f t="shared" si="175"/>
        <v>0</v>
      </c>
      <c r="AG201" s="3706">
        <f t="shared" si="175"/>
        <v>0</v>
      </c>
      <c r="AH201" s="3707">
        <f t="shared" si="175"/>
        <v>0</v>
      </c>
      <c r="AI201" s="3706">
        <f t="shared" si="175"/>
        <v>0</v>
      </c>
      <c r="AJ201" s="3707">
        <f t="shared" si="175"/>
        <v>0</v>
      </c>
      <c r="AK201" s="3706">
        <f t="shared" si="175"/>
        <v>0</v>
      </c>
      <c r="AL201" s="3707">
        <f t="shared" si="175"/>
        <v>0</v>
      </c>
      <c r="AM201" s="3706">
        <f t="shared" si="175"/>
        <v>0</v>
      </c>
      <c r="AN201" s="3707">
        <f t="shared" si="175"/>
        <v>0</v>
      </c>
      <c r="AO201" s="3706">
        <f t="shared" si="175"/>
        <v>0</v>
      </c>
      <c r="AP201" s="3707">
        <f t="shared" si="175"/>
        <v>0</v>
      </c>
      <c r="AQ201" s="3706">
        <f t="shared" si="175"/>
        <v>0</v>
      </c>
      <c r="AR201" s="3708">
        <f t="shared" si="175"/>
        <v>0</v>
      </c>
      <c r="AS201" s="3709">
        <f t="shared" si="175"/>
        <v>0</v>
      </c>
      <c r="AT201" s="3709">
        <f t="shared" si="175"/>
        <v>0</v>
      </c>
      <c r="AU201" s="3709">
        <f t="shared" si="175"/>
        <v>0</v>
      </c>
      <c r="AV201" s="3709">
        <f t="shared" si="175"/>
        <v>0</v>
      </c>
      <c r="AW201" s="3709">
        <f t="shared" si="175"/>
        <v>0</v>
      </c>
      <c r="AX201" s="3709">
        <f t="shared" si="175"/>
        <v>0</v>
      </c>
      <c r="AY201" s="3706">
        <f t="shared" ref="AY201" si="176">SUM(AY202:AY203)</f>
        <v>0</v>
      </c>
    </row>
    <row r="202" spans="1:101" ht="15" customHeight="1" x14ac:dyDescent="0.25">
      <c r="A202" s="5812" t="s">
        <v>5825</v>
      </c>
      <c r="B202" s="7035"/>
      <c r="C202" s="7038"/>
      <c r="D202" s="3710" t="s">
        <v>1761</v>
      </c>
      <c r="E202" s="3658" t="s">
        <v>4567</v>
      </c>
      <c r="F202" s="3693" t="s">
        <v>4568</v>
      </c>
      <c r="G202" s="3711" t="s">
        <v>4569</v>
      </c>
      <c r="H202" s="3226" t="s">
        <v>4570</v>
      </c>
      <c r="I202" s="748" t="s">
        <v>4571</v>
      </c>
      <c r="J202" s="3227" t="s">
        <v>4572</v>
      </c>
      <c r="K202" s="566" t="s">
        <v>4573</v>
      </c>
      <c r="L202" s="3227" t="s">
        <v>4574</v>
      </c>
      <c r="M202" s="552" t="s">
        <v>4575</v>
      </c>
      <c r="N202" s="3227" t="s">
        <v>4576</v>
      </c>
      <c r="O202" s="748" t="s">
        <v>4577</v>
      </c>
      <c r="P202" s="3227" t="s">
        <v>4578</v>
      </c>
      <c r="Q202" s="107" t="s">
        <v>4579</v>
      </c>
      <c r="R202" s="3227" t="s">
        <v>4580</v>
      </c>
      <c r="S202" s="107" t="s">
        <v>4581</v>
      </c>
      <c r="T202" s="3227" t="s">
        <v>4582</v>
      </c>
      <c r="U202" s="107" t="s">
        <v>4583</v>
      </c>
      <c r="V202" s="3227" t="s">
        <v>4584</v>
      </c>
      <c r="W202" s="107" t="s">
        <v>4585</v>
      </c>
      <c r="X202" s="3227" t="s">
        <v>4586</v>
      </c>
      <c r="Y202" s="107" t="s">
        <v>4587</v>
      </c>
      <c r="Z202" s="3227" t="s">
        <v>4588</v>
      </c>
      <c r="AA202" s="107" t="s">
        <v>4589</v>
      </c>
      <c r="AB202" s="290" t="s">
        <v>4590</v>
      </c>
      <c r="AC202" s="107" t="s">
        <v>4591</v>
      </c>
      <c r="AD202" s="290" t="s">
        <v>4592</v>
      </c>
      <c r="AE202" s="107" t="s">
        <v>4593</v>
      </c>
      <c r="AF202" s="290" t="s">
        <v>4594</v>
      </c>
      <c r="AG202" s="107" t="s">
        <v>4595</v>
      </c>
      <c r="AH202" s="290" t="s">
        <v>4596</v>
      </c>
      <c r="AI202" s="107" t="s">
        <v>4597</v>
      </c>
      <c r="AJ202" s="290" t="s">
        <v>4598</v>
      </c>
      <c r="AK202" s="107" t="s">
        <v>4599</v>
      </c>
      <c r="AL202" s="290" t="s">
        <v>4600</v>
      </c>
      <c r="AM202" s="107" t="s">
        <v>4601</v>
      </c>
      <c r="AN202" s="290" t="s">
        <v>4602</v>
      </c>
      <c r="AO202" s="107" t="s">
        <v>4603</v>
      </c>
      <c r="AP202" s="290" t="s">
        <v>4604</v>
      </c>
      <c r="AQ202" s="107" t="s">
        <v>4605</v>
      </c>
      <c r="AR202" s="296" t="s">
        <v>4606</v>
      </c>
      <c r="AS202" s="531" t="s">
        <v>4934</v>
      </c>
      <c r="AT202" s="531" t="s">
        <v>4935</v>
      </c>
      <c r="AU202" s="531" t="s">
        <v>4936</v>
      </c>
      <c r="AV202" s="531" t="s">
        <v>4937</v>
      </c>
      <c r="AW202" s="531" t="s">
        <v>5234</v>
      </c>
      <c r="AX202" s="531" t="s">
        <v>5235</v>
      </c>
      <c r="AY202" s="107" t="s">
        <v>5236</v>
      </c>
      <c r="AZ202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2" s="433"/>
      <c r="CC202" s="433" t="str">
        <f t="shared" ref="CC202:CC226" si="177">IF(AND($E202&gt;0,AS202="")," * No olvide digitar la variable Usuario con Discapacidad. Digite Cero si no tiene.",IF(AS202&gt;$E202," * La variable Usuario con Discapacidad no pueden superar el Total Ambos Sexos.",""))</f>
        <v xml:space="preserve"> * La variable Usuario con Discapacidad no pueden superar el Total Ambos Sexos.</v>
      </c>
      <c r="CD202" s="433" t="str">
        <f t="shared" ref="CD202:CD226" si="178">IF(AND($E202&gt;0,AT202=""),"  * No olvide digitar la variable Niños, niñas, adolescentes y jóvenes SENAME. Digite Cero si no tiene.",IF(AT202&gt;E202," * La variable Niños, niñas, adolescentes y jóvenes SENAME no pueden superar el Total Ambos Sexos.",""))</f>
        <v xml:space="preserve"> * La variable Niños, niñas, adolescentes y jóvenes SENAME no pueden superar el Total Ambos Sexos.</v>
      </c>
      <c r="CE202" s="433" t="str">
        <f t="shared" ref="CE202:CE226" si="179">IF(AND($E202&gt;0,AU202="")," * No olvide digitar la variable Niños, niñas, adolescentes y jóvenes Mejor Niñez. Digite Cero si no tiene.",IF(AU202&gt;$E202,"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F202" s="433" t="str">
        <f t="shared" ref="CF202:CF226" si="180">IF(AND($E202&gt;0,AV202="")," * No olvide digitar la variable Migrantes. Digite Cero si no tiene.",IF(AV202&gt;$E202," * La variable Migrantes no pueden superar el Total Ambos Sexos.",""))</f>
        <v xml:space="preserve"> * La variable Migrantes no pueden superar el Total Ambos Sexos.</v>
      </c>
      <c r="CG202" s="433" t="str">
        <f t="shared" ref="CG202:CG224" si="181">IF(AND($E202&gt;0,AW202="")," * No olvide digitar la variable Egreso por Abandono. Digite Cero si no tiene.",IF(AW202&gt;$E202," * La variable Egreso por Abandono no pueden superar el Total Ambos Sexos.",""))</f>
        <v xml:space="preserve"> * La variable Egreso por Abandono no pueden superar el Total Ambos Sexos.</v>
      </c>
      <c r="CH202" s="433" t="str">
        <f t="shared" ref="CH202:CH226" si="182">IF(AND($E202&gt;0,AX202=""),"  * No olvide digitar la variable Persona con ingreso integral y condición crónica. Digite Cero si no tiene.",IF(AX202&gt;$E202,"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202" s="433" t="str">
        <f t="shared" ref="CI202:CI226" si="183">IF(AND($E202&gt;0,AY202=""),"  * No olvide digitar la variable Pueblos Originarios. Digite Cero si no tiene.",IF(AY202&gt;$E202," * La variable Pueblos Originarios no pueden superar el Total Ambos Sexos.",""))</f>
        <v xml:space="preserve"> * La variable Pueblos Originarios no pueden superar el Total Ambos Sexos.</v>
      </c>
      <c r="CP202" s="434"/>
      <c r="CQ202" s="434">
        <f t="shared" ref="CQ202:CQ211" si="184">IF(AND($E202&gt;0,AS202=""),1,IF(AS202&gt;$E202,1,0))</f>
        <v>1</v>
      </c>
      <c r="CR202" s="434">
        <f t="shared" ref="CR202:CR211" si="185">IF(AND($E202&gt;0,AT202=""),1,IF(AT202&gt;$E202,1,0))</f>
        <v>1</v>
      </c>
      <c r="CS202" s="434">
        <f t="shared" ref="CS202:CS211" si="186">IF(AND(E202&gt;0,AU202=""),1,IF(AU202&gt;E202,1,0))</f>
        <v>1</v>
      </c>
      <c r="CT202" s="434">
        <f t="shared" ref="CT202:CW204" si="187">IF(AND($E202&gt;0,AV202=""),1,IF(AV202&gt;$E202,1,0))</f>
        <v>1</v>
      </c>
      <c r="CU202" s="434">
        <f t="shared" si="187"/>
        <v>1</v>
      </c>
      <c r="CV202" s="434">
        <f t="shared" si="187"/>
        <v>1</v>
      </c>
      <c r="CW202" s="434">
        <f t="shared" si="187"/>
        <v>1</v>
      </c>
    </row>
    <row r="203" spans="1:101" ht="21" customHeight="1" x14ac:dyDescent="0.25">
      <c r="A203" s="5812" t="s">
        <v>5826</v>
      </c>
      <c r="B203" s="7036"/>
      <c r="C203" s="7039"/>
      <c r="D203" s="3713" t="s">
        <v>1762</v>
      </c>
      <c r="E203" s="3697" t="s">
        <v>4567</v>
      </c>
      <c r="F203" s="3698" t="s">
        <v>4568</v>
      </c>
      <c r="G203" s="3663" t="s">
        <v>4569</v>
      </c>
      <c r="H203" s="428" t="s">
        <v>4570</v>
      </c>
      <c r="I203" s="388" t="s">
        <v>4571</v>
      </c>
      <c r="J203" s="379" t="s">
        <v>4572</v>
      </c>
      <c r="K203" s="387" t="s">
        <v>4573</v>
      </c>
      <c r="L203" s="379" t="s">
        <v>4574</v>
      </c>
      <c r="M203" s="557" t="s">
        <v>4575</v>
      </c>
      <c r="N203" s="379" t="s">
        <v>4576</v>
      </c>
      <c r="O203" s="388" t="s">
        <v>4577</v>
      </c>
      <c r="P203" s="379" t="s">
        <v>4578</v>
      </c>
      <c r="Q203" s="387" t="s">
        <v>4579</v>
      </c>
      <c r="R203" s="379" t="s">
        <v>4580</v>
      </c>
      <c r="S203" s="387" t="s">
        <v>4581</v>
      </c>
      <c r="T203" s="379" t="s">
        <v>4582</v>
      </c>
      <c r="U203" s="387" t="s">
        <v>4583</v>
      </c>
      <c r="V203" s="379" t="s">
        <v>4584</v>
      </c>
      <c r="W203" s="387" t="s">
        <v>4585</v>
      </c>
      <c r="X203" s="379" t="s">
        <v>4586</v>
      </c>
      <c r="Y203" s="387" t="s">
        <v>4587</v>
      </c>
      <c r="Z203" s="379" t="s">
        <v>4588</v>
      </c>
      <c r="AA203" s="387" t="s">
        <v>4589</v>
      </c>
      <c r="AB203" s="379" t="s">
        <v>4590</v>
      </c>
      <c r="AC203" s="387" t="s">
        <v>4591</v>
      </c>
      <c r="AD203" s="379" t="s">
        <v>4592</v>
      </c>
      <c r="AE203" s="387" t="s">
        <v>4593</v>
      </c>
      <c r="AF203" s="379" t="s">
        <v>4594</v>
      </c>
      <c r="AG203" s="387" t="s">
        <v>4595</v>
      </c>
      <c r="AH203" s="379" t="s">
        <v>4596</v>
      </c>
      <c r="AI203" s="387" t="s">
        <v>4597</v>
      </c>
      <c r="AJ203" s="379" t="s">
        <v>4598</v>
      </c>
      <c r="AK203" s="387" t="s">
        <v>4599</v>
      </c>
      <c r="AL203" s="379" t="s">
        <v>4600</v>
      </c>
      <c r="AM203" s="387" t="s">
        <v>4601</v>
      </c>
      <c r="AN203" s="379" t="s">
        <v>4602</v>
      </c>
      <c r="AO203" s="387" t="s">
        <v>4603</v>
      </c>
      <c r="AP203" s="379" t="s">
        <v>4604</v>
      </c>
      <c r="AQ203" s="387" t="s">
        <v>4605</v>
      </c>
      <c r="AR203" s="378" t="s">
        <v>4606</v>
      </c>
      <c r="AS203" s="2872" t="s">
        <v>4934</v>
      </c>
      <c r="AT203" s="2872" t="s">
        <v>4935</v>
      </c>
      <c r="AU203" s="2872" t="s">
        <v>4936</v>
      </c>
      <c r="AV203" s="2872" t="s">
        <v>4937</v>
      </c>
      <c r="AW203" s="2872" t="s">
        <v>5234</v>
      </c>
      <c r="AX203" s="2872" t="s">
        <v>5235</v>
      </c>
      <c r="AY203" s="387" t="s">
        <v>5236</v>
      </c>
      <c r="AZ203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3" s="433"/>
      <c r="CC203" s="433" t="str">
        <f t="shared" si="177"/>
        <v xml:space="preserve"> * La variable Usuario con Discapacidad no pueden superar el Total Ambos Sexos.</v>
      </c>
      <c r="CD203" s="433" t="str">
        <f t="shared" si="178"/>
        <v xml:space="preserve"> * La variable Niños, niñas, adolescentes y jóvenes SENAME no pueden superar el Total Ambos Sexos.</v>
      </c>
      <c r="CE203" s="433" t="str">
        <f t="shared" si="179"/>
        <v xml:space="preserve"> * La variable Niños, niñas, adolescentes y jóvenes Mejor Niñez no pueden superar el Total Ambos Sexos.</v>
      </c>
      <c r="CF203" s="433" t="str">
        <f t="shared" si="180"/>
        <v xml:space="preserve"> * La variable Migrantes no pueden superar el Total Ambos Sexos.</v>
      </c>
      <c r="CG203" s="433" t="str">
        <f t="shared" si="181"/>
        <v xml:space="preserve"> * La variable Egreso por Abandono no pueden superar el Total Ambos Sexos.</v>
      </c>
      <c r="CH203" s="433" t="str">
        <f t="shared" si="182"/>
        <v xml:space="preserve"> * La variable Persona con ingreso integral y condición crónica no pueden superar el Total Ambos Sexos.</v>
      </c>
      <c r="CI203" s="433" t="str">
        <f t="shared" si="183"/>
        <v xml:space="preserve"> * La variable Pueblos Originarios no pueden superar el Total Ambos Sexos.</v>
      </c>
      <c r="CP203" s="434"/>
      <c r="CQ203" s="434">
        <f t="shared" si="184"/>
        <v>1</v>
      </c>
      <c r="CR203" s="434">
        <f t="shared" si="185"/>
        <v>1</v>
      </c>
      <c r="CS203" s="434">
        <f t="shared" si="186"/>
        <v>1</v>
      </c>
      <c r="CT203" s="434">
        <f t="shared" si="187"/>
        <v>1</v>
      </c>
      <c r="CU203" s="434">
        <f t="shared" si="187"/>
        <v>1</v>
      </c>
      <c r="CV203" s="434">
        <f t="shared" si="187"/>
        <v>1</v>
      </c>
      <c r="CW203" s="434">
        <f t="shared" si="187"/>
        <v>1</v>
      </c>
    </row>
    <row r="204" spans="1:101" ht="15" customHeight="1" x14ac:dyDescent="0.25">
      <c r="A204" s="5812" t="s">
        <v>5827</v>
      </c>
      <c r="B204" s="7034" t="s">
        <v>1763</v>
      </c>
      <c r="C204" s="6453" t="s">
        <v>1764</v>
      </c>
      <c r="D204" s="909" t="s">
        <v>1765</v>
      </c>
      <c r="E204" s="3658" t="s">
        <v>4567</v>
      </c>
      <c r="F204" s="3693" t="s">
        <v>4568</v>
      </c>
      <c r="G204" s="3714" t="s">
        <v>4569</v>
      </c>
      <c r="H204" s="3643" t="s">
        <v>4570</v>
      </c>
      <c r="I204" s="3670" t="s">
        <v>4571</v>
      </c>
      <c r="J204" s="3643" t="s">
        <v>4572</v>
      </c>
      <c r="K204" s="3670" t="s">
        <v>4573</v>
      </c>
      <c r="L204" s="3643" t="s">
        <v>4574</v>
      </c>
      <c r="M204" s="3670" t="s">
        <v>4575</v>
      </c>
      <c r="N204" s="3643" t="s">
        <v>4576</v>
      </c>
      <c r="O204" s="3670" t="s">
        <v>4577</v>
      </c>
      <c r="P204" s="3643" t="s">
        <v>4578</v>
      </c>
      <c r="Q204" s="3670" t="s">
        <v>4579</v>
      </c>
      <c r="R204" s="3643" t="s">
        <v>4580</v>
      </c>
      <c r="S204" s="3670" t="s">
        <v>4581</v>
      </c>
      <c r="T204" s="3643" t="s">
        <v>4582</v>
      </c>
      <c r="U204" s="3670" t="s">
        <v>4583</v>
      </c>
      <c r="V204" s="3643" t="s">
        <v>4584</v>
      </c>
      <c r="W204" s="3670" t="s">
        <v>4585</v>
      </c>
      <c r="X204" s="3643" t="s">
        <v>4586</v>
      </c>
      <c r="Y204" s="3670" t="s">
        <v>4587</v>
      </c>
      <c r="Z204" s="3643" t="s">
        <v>4588</v>
      </c>
      <c r="AA204" s="3670" t="s">
        <v>4589</v>
      </c>
      <c r="AB204" s="22" t="s">
        <v>4590</v>
      </c>
      <c r="AC204" s="107" t="s">
        <v>4591</v>
      </c>
      <c r="AD204" s="290" t="s">
        <v>4592</v>
      </c>
      <c r="AE204" s="107" t="s">
        <v>4593</v>
      </c>
      <c r="AF204" s="290" t="s">
        <v>4594</v>
      </c>
      <c r="AG204" s="107" t="s">
        <v>4595</v>
      </c>
      <c r="AH204" s="290" t="s">
        <v>4596</v>
      </c>
      <c r="AI204" s="107" t="s">
        <v>4597</v>
      </c>
      <c r="AJ204" s="290" t="s">
        <v>4598</v>
      </c>
      <c r="AK204" s="107" t="s">
        <v>4599</v>
      </c>
      <c r="AL204" s="290" t="s">
        <v>4600</v>
      </c>
      <c r="AM204" s="107" t="s">
        <v>4601</v>
      </c>
      <c r="AN204" s="290" t="s">
        <v>4602</v>
      </c>
      <c r="AO204" s="107" t="s">
        <v>4603</v>
      </c>
      <c r="AP204" s="290" t="s">
        <v>4604</v>
      </c>
      <c r="AQ204" s="107" t="s">
        <v>4605</v>
      </c>
      <c r="AR204" s="296" t="s">
        <v>4606</v>
      </c>
      <c r="AS204" s="531" t="s">
        <v>4934</v>
      </c>
      <c r="AT204" s="531" t="s">
        <v>4935</v>
      </c>
      <c r="AU204" s="531" t="s">
        <v>4936</v>
      </c>
      <c r="AV204" s="531" t="s">
        <v>4937</v>
      </c>
      <c r="AW204" s="531" t="s">
        <v>5234</v>
      </c>
      <c r="AX204" s="531" t="s">
        <v>5235</v>
      </c>
      <c r="AY204" s="107" t="s">
        <v>5236</v>
      </c>
      <c r="AZ204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4" s="433"/>
      <c r="CC204" s="433" t="str">
        <f t="shared" si="177"/>
        <v xml:space="preserve"> * La variable Usuario con Discapacidad no pueden superar el Total Ambos Sexos.</v>
      </c>
      <c r="CD204" s="433" t="str">
        <f t="shared" si="178"/>
        <v xml:space="preserve"> * La variable Niños, niñas, adolescentes y jóvenes SENAME no pueden superar el Total Ambos Sexos.</v>
      </c>
      <c r="CE204" s="433" t="str">
        <f t="shared" si="179"/>
        <v xml:space="preserve"> * La variable Niños, niñas, adolescentes y jóvenes Mejor Niñez no pueden superar el Total Ambos Sexos.</v>
      </c>
      <c r="CF204" s="433" t="str">
        <f t="shared" si="180"/>
        <v xml:space="preserve"> * La variable Migrantes no pueden superar el Total Ambos Sexos.</v>
      </c>
      <c r="CG204" s="433" t="str">
        <f t="shared" si="181"/>
        <v xml:space="preserve"> * La variable Egreso por Abandono no pueden superar el Total Ambos Sexos.</v>
      </c>
      <c r="CH204" s="433" t="str">
        <f t="shared" si="182"/>
        <v xml:space="preserve"> * La variable Persona con ingreso integral y condición crónica no pueden superar el Total Ambos Sexos.</v>
      </c>
      <c r="CI204" s="433" t="str">
        <f t="shared" si="183"/>
        <v xml:space="preserve"> * La variable Pueblos Originarios no pueden superar el Total Ambos Sexos.</v>
      </c>
      <c r="CP204" s="434"/>
      <c r="CQ204" s="434">
        <f t="shared" si="184"/>
        <v>1</v>
      </c>
      <c r="CR204" s="434">
        <f t="shared" si="185"/>
        <v>1</v>
      </c>
      <c r="CS204" s="434">
        <f t="shared" si="186"/>
        <v>1</v>
      </c>
      <c r="CT204" s="434">
        <f t="shared" si="187"/>
        <v>1</v>
      </c>
      <c r="CU204" s="434">
        <f t="shared" si="187"/>
        <v>1</v>
      </c>
      <c r="CV204" s="434">
        <f t="shared" si="187"/>
        <v>1</v>
      </c>
      <c r="CW204" s="434">
        <f t="shared" si="187"/>
        <v>1</v>
      </c>
    </row>
    <row r="205" spans="1:101" ht="15" customHeight="1" x14ac:dyDescent="0.25">
      <c r="A205" s="5812" t="s">
        <v>5828</v>
      </c>
      <c r="B205" s="7035"/>
      <c r="C205" s="6058"/>
      <c r="D205" s="910" t="s">
        <v>1766</v>
      </c>
      <c r="E205" s="3649" t="s">
        <v>4567</v>
      </c>
      <c r="F205" s="3693" t="s">
        <v>4568</v>
      </c>
      <c r="G205" s="3714" t="s">
        <v>4569</v>
      </c>
      <c r="H205" s="537" t="s">
        <v>4570</v>
      </c>
      <c r="I205" s="2659" t="s">
        <v>4571</v>
      </c>
      <c r="J205" s="537" t="s">
        <v>4572</v>
      </c>
      <c r="K205" s="2659" t="s">
        <v>4573</v>
      </c>
      <c r="L205" s="537" t="s">
        <v>4574</v>
      </c>
      <c r="M205" s="2659" t="s">
        <v>4575</v>
      </c>
      <c r="N205" s="537" t="s">
        <v>4576</v>
      </c>
      <c r="O205" s="2659" t="s">
        <v>4577</v>
      </c>
      <c r="P205" s="537" t="s">
        <v>4578</v>
      </c>
      <c r="Q205" s="2659" t="s">
        <v>4579</v>
      </c>
      <c r="R205" s="537" t="s">
        <v>4580</v>
      </c>
      <c r="S205" s="2659" t="s">
        <v>4581</v>
      </c>
      <c r="T205" s="537" t="s">
        <v>4582</v>
      </c>
      <c r="U205" s="2659" t="s">
        <v>4583</v>
      </c>
      <c r="V205" s="537" t="s">
        <v>4584</v>
      </c>
      <c r="W205" s="2659" t="s">
        <v>4585</v>
      </c>
      <c r="X205" s="537" t="s">
        <v>4586</v>
      </c>
      <c r="Y205" s="2659" t="s">
        <v>4587</v>
      </c>
      <c r="Z205" s="537" t="s">
        <v>4588</v>
      </c>
      <c r="AA205" s="2659" t="s">
        <v>4589</v>
      </c>
      <c r="AB205" s="686" t="s">
        <v>4590</v>
      </c>
      <c r="AC205" s="42" t="s">
        <v>4591</v>
      </c>
      <c r="AD205" s="47" t="s">
        <v>4592</v>
      </c>
      <c r="AE205" s="42" t="s">
        <v>4593</v>
      </c>
      <c r="AF205" s="47" t="s">
        <v>4594</v>
      </c>
      <c r="AG205" s="42" t="s">
        <v>4595</v>
      </c>
      <c r="AH205" s="47" t="s">
        <v>4596</v>
      </c>
      <c r="AI205" s="42" t="s">
        <v>4597</v>
      </c>
      <c r="AJ205" s="47" t="s">
        <v>4598</v>
      </c>
      <c r="AK205" s="42" t="s">
        <v>4599</v>
      </c>
      <c r="AL205" s="47" t="s">
        <v>4600</v>
      </c>
      <c r="AM205" s="42" t="s">
        <v>4601</v>
      </c>
      <c r="AN205" s="47" t="s">
        <v>4602</v>
      </c>
      <c r="AO205" s="42" t="s">
        <v>4603</v>
      </c>
      <c r="AP205" s="47" t="s">
        <v>4604</v>
      </c>
      <c r="AQ205" s="42" t="s">
        <v>4605</v>
      </c>
      <c r="AR205" s="74" t="s">
        <v>4606</v>
      </c>
      <c r="AS205" s="242" t="s">
        <v>4934</v>
      </c>
      <c r="AT205" s="242" t="s">
        <v>4935</v>
      </c>
      <c r="AU205" s="242" t="s">
        <v>4936</v>
      </c>
      <c r="AV205" s="242" t="s">
        <v>4937</v>
      </c>
      <c r="AW205" s="3715" t="s">
        <v>5234</v>
      </c>
      <c r="AX205" s="242" t="s">
        <v>5235</v>
      </c>
      <c r="AY205" s="42" t="s">
        <v>5236</v>
      </c>
      <c r="AZ205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5" s="433"/>
      <c r="CC205" s="433" t="str">
        <f t="shared" si="177"/>
        <v xml:space="preserve"> * La variable Usuario con Discapacidad no pueden superar el Total Ambos Sexos.</v>
      </c>
      <c r="CD205" s="433" t="str">
        <f t="shared" si="178"/>
        <v xml:space="preserve"> * La variable Niños, niñas, adolescentes y jóvenes SENAME no pueden superar el Total Ambos Sexos.</v>
      </c>
      <c r="CE205" s="433" t="str">
        <f t="shared" si="179"/>
        <v xml:space="preserve"> * La variable Niños, niñas, adolescentes y jóvenes Mejor Niñez no pueden superar el Total Ambos Sexos.</v>
      </c>
      <c r="CF205" s="433" t="str">
        <f t="shared" si="180"/>
        <v xml:space="preserve"> * La variable Migrantes no pueden superar el Total Ambos Sexos.</v>
      </c>
      <c r="CG205" s="438"/>
      <c r="CH205" s="433" t="str">
        <f t="shared" si="182"/>
        <v xml:space="preserve"> * La variable Persona con ingreso integral y condición crónica no pueden superar el Total Ambos Sexos.</v>
      </c>
      <c r="CI205" s="433" t="str">
        <f t="shared" si="183"/>
        <v xml:space="preserve"> * La variable Pueblos Originarios no pueden superar el Total Ambos Sexos.</v>
      </c>
      <c r="CP205" s="434"/>
      <c r="CQ205" s="434">
        <f t="shared" si="184"/>
        <v>1</v>
      </c>
      <c r="CR205" s="434">
        <f t="shared" si="185"/>
        <v>1</v>
      </c>
      <c r="CS205" s="434">
        <f t="shared" si="186"/>
        <v>1</v>
      </c>
      <c r="CT205" s="434">
        <f t="shared" ref="CT205:CT226" si="188">IF(AND($E205&gt;0,AV205=""),1,IF(AV205&gt;$E205,1,0))</f>
        <v>1</v>
      </c>
      <c r="CU205" s="438"/>
      <c r="CV205" s="434">
        <f t="shared" ref="CV205:CV226" si="189">IF(AND($E205&gt;0,AX205=""),1,IF(AX205&gt;$E205,1,0))</f>
        <v>1</v>
      </c>
      <c r="CW205" s="434">
        <f t="shared" ref="CW205:CW226" si="190">IF(AND($E205&gt;0,AY205=""),1,IF(AY205&gt;$E205,1,0))</f>
        <v>1</v>
      </c>
    </row>
    <row r="206" spans="1:101" ht="15" customHeight="1" x14ac:dyDescent="0.25">
      <c r="A206" s="5812" t="s">
        <v>5829</v>
      </c>
      <c r="B206" s="7035"/>
      <c r="C206" s="6842"/>
      <c r="D206" s="1776" t="s">
        <v>1767</v>
      </c>
      <c r="E206" s="3649" t="s">
        <v>4567</v>
      </c>
      <c r="F206" s="3698" t="s">
        <v>4568</v>
      </c>
      <c r="G206" s="3663" t="s">
        <v>4569</v>
      </c>
      <c r="H206" s="537" t="s">
        <v>4570</v>
      </c>
      <c r="I206" s="2659" t="s">
        <v>4571</v>
      </c>
      <c r="J206" s="537" t="s">
        <v>4572</v>
      </c>
      <c r="K206" s="2659" t="s">
        <v>4573</v>
      </c>
      <c r="L206" s="537" t="s">
        <v>4574</v>
      </c>
      <c r="M206" s="2659" t="s">
        <v>4575</v>
      </c>
      <c r="N206" s="537" t="s">
        <v>4576</v>
      </c>
      <c r="O206" s="2659" t="s">
        <v>4577</v>
      </c>
      <c r="P206" s="537" t="s">
        <v>4578</v>
      </c>
      <c r="Q206" s="2659" t="s">
        <v>4579</v>
      </c>
      <c r="R206" s="537" t="s">
        <v>4580</v>
      </c>
      <c r="S206" s="2659" t="s">
        <v>4581</v>
      </c>
      <c r="T206" s="537" t="s">
        <v>4582</v>
      </c>
      <c r="U206" s="2659" t="s">
        <v>4583</v>
      </c>
      <c r="V206" s="537" t="s">
        <v>4584</v>
      </c>
      <c r="W206" s="2659" t="s">
        <v>4585</v>
      </c>
      <c r="X206" s="537" t="s">
        <v>4586</v>
      </c>
      <c r="Y206" s="2659" t="s">
        <v>4587</v>
      </c>
      <c r="Z206" s="537" t="s">
        <v>4588</v>
      </c>
      <c r="AA206" s="2659" t="s">
        <v>4589</v>
      </c>
      <c r="AB206" s="428" t="s">
        <v>4590</v>
      </c>
      <c r="AC206" s="387" t="s">
        <v>4591</v>
      </c>
      <c r="AD206" s="379" t="s">
        <v>4592</v>
      </c>
      <c r="AE206" s="387" t="s">
        <v>4593</v>
      </c>
      <c r="AF206" s="379" t="s">
        <v>4594</v>
      </c>
      <c r="AG206" s="387" t="s">
        <v>4595</v>
      </c>
      <c r="AH206" s="379" t="s">
        <v>4596</v>
      </c>
      <c r="AI206" s="387" t="s">
        <v>4597</v>
      </c>
      <c r="AJ206" s="379" t="s">
        <v>4598</v>
      </c>
      <c r="AK206" s="387" t="s">
        <v>4599</v>
      </c>
      <c r="AL206" s="379" t="s">
        <v>4600</v>
      </c>
      <c r="AM206" s="387" t="s">
        <v>4601</v>
      </c>
      <c r="AN206" s="379" t="s">
        <v>4602</v>
      </c>
      <c r="AO206" s="387" t="s">
        <v>4603</v>
      </c>
      <c r="AP206" s="379" t="s">
        <v>4604</v>
      </c>
      <c r="AQ206" s="387" t="s">
        <v>4605</v>
      </c>
      <c r="AR206" s="378" t="s">
        <v>4606</v>
      </c>
      <c r="AS206" s="2872" t="s">
        <v>4934</v>
      </c>
      <c r="AT206" s="2872" t="s">
        <v>4935</v>
      </c>
      <c r="AU206" s="2872" t="s">
        <v>4936</v>
      </c>
      <c r="AV206" s="2872" t="s">
        <v>4937</v>
      </c>
      <c r="AW206" s="3716" t="s">
        <v>5234</v>
      </c>
      <c r="AX206" s="2872" t="s">
        <v>5235</v>
      </c>
      <c r="AY206" s="387" t="s">
        <v>5236</v>
      </c>
      <c r="AZ206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6" s="433"/>
      <c r="CC206" s="433" t="str">
        <f t="shared" si="177"/>
        <v xml:space="preserve"> * La variable Usuario con Discapacidad no pueden superar el Total Ambos Sexos.</v>
      </c>
      <c r="CD206" s="433" t="str">
        <f t="shared" si="178"/>
        <v xml:space="preserve"> * La variable Niños, niñas, adolescentes y jóvenes SENAME no pueden superar el Total Ambos Sexos.</v>
      </c>
      <c r="CE206" s="433" t="str">
        <f t="shared" si="179"/>
        <v xml:space="preserve"> * La variable Niños, niñas, adolescentes y jóvenes Mejor Niñez no pueden superar el Total Ambos Sexos.</v>
      </c>
      <c r="CF206" s="433" t="str">
        <f t="shared" si="180"/>
        <v xml:space="preserve"> * La variable Migrantes no pueden superar el Total Ambos Sexos.</v>
      </c>
      <c r="CG206" s="438"/>
      <c r="CH206" s="433" t="str">
        <f t="shared" si="182"/>
        <v xml:space="preserve"> * La variable Persona con ingreso integral y condición crónica no pueden superar el Total Ambos Sexos.</v>
      </c>
      <c r="CI206" s="433" t="str">
        <f t="shared" si="183"/>
        <v xml:space="preserve"> * La variable Pueblos Originarios no pueden superar el Total Ambos Sexos.</v>
      </c>
      <c r="CP206" s="434"/>
      <c r="CQ206" s="434">
        <f t="shared" si="184"/>
        <v>1</v>
      </c>
      <c r="CR206" s="434">
        <f t="shared" si="185"/>
        <v>1</v>
      </c>
      <c r="CS206" s="434">
        <f t="shared" si="186"/>
        <v>1</v>
      </c>
      <c r="CT206" s="434">
        <f t="shared" si="188"/>
        <v>1</v>
      </c>
      <c r="CU206" s="438"/>
      <c r="CV206" s="434">
        <f t="shared" si="189"/>
        <v>1</v>
      </c>
      <c r="CW206" s="434">
        <f t="shared" si="190"/>
        <v>1</v>
      </c>
    </row>
    <row r="207" spans="1:101" ht="15" customHeight="1" x14ac:dyDescent="0.25">
      <c r="A207" s="5812" t="s">
        <v>5830</v>
      </c>
      <c r="B207" s="7035"/>
      <c r="C207" s="7037" t="s">
        <v>1768</v>
      </c>
      <c r="D207" s="3710" t="s">
        <v>1765</v>
      </c>
      <c r="E207" s="3639" t="s">
        <v>4567</v>
      </c>
      <c r="F207" s="3693" t="s">
        <v>4568</v>
      </c>
      <c r="G207" s="3714" t="s">
        <v>4569</v>
      </c>
      <c r="H207" s="537" t="s">
        <v>4570</v>
      </c>
      <c r="I207" s="2659" t="s">
        <v>4571</v>
      </c>
      <c r="J207" s="537" t="s">
        <v>4572</v>
      </c>
      <c r="K207" s="2659" t="s">
        <v>4573</v>
      </c>
      <c r="L207" s="537" t="s">
        <v>4574</v>
      </c>
      <c r="M207" s="2659" t="s">
        <v>4575</v>
      </c>
      <c r="N207" s="537" t="s">
        <v>4576</v>
      </c>
      <c r="O207" s="2659" t="s">
        <v>4577</v>
      </c>
      <c r="P207" s="537" t="s">
        <v>4578</v>
      </c>
      <c r="Q207" s="2659" t="s">
        <v>4579</v>
      </c>
      <c r="R207" s="537" t="s">
        <v>4580</v>
      </c>
      <c r="S207" s="2659" t="s">
        <v>4581</v>
      </c>
      <c r="T207" s="537" t="s">
        <v>4582</v>
      </c>
      <c r="U207" s="2659" t="s">
        <v>4583</v>
      </c>
      <c r="V207" s="537" t="s">
        <v>4584</v>
      </c>
      <c r="W207" s="2659" t="s">
        <v>4585</v>
      </c>
      <c r="X207" s="537" t="s">
        <v>4586</v>
      </c>
      <c r="Y207" s="2659" t="s">
        <v>4587</v>
      </c>
      <c r="Z207" s="537" t="s">
        <v>4588</v>
      </c>
      <c r="AA207" s="2659" t="s">
        <v>4589</v>
      </c>
      <c r="AB207" s="3226" t="s">
        <v>4590</v>
      </c>
      <c r="AC207" s="566" t="s">
        <v>4591</v>
      </c>
      <c r="AD207" s="3227" t="s">
        <v>4592</v>
      </c>
      <c r="AE207" s="566" t="s">
        <v>4593</v>
      </c>
      <c r="AF207" s="3227" t="s">
        <v>4594</v>
      </c>
      <c r="AG207" s="566" t="s">
        <v>4595</v>
      </c>
      <c r="AH207" s="3227" t="s">
        <v>4596</v>
      </c>
      <c r="AI207" s="566" t="s">
        <v>4597</v>
      </c>
      <c r="AJ207" s="3227" t="s">
        <v>4598</v>
      </c>
      <c r="AK207" s="566" t="s">
        <v>4599</v>
      </c>
      <c r="AL207" s="3227" t="s">
        <v>4600</v>
      </c>
      <c r="AM207" s="566" t="s">
        <v>4601</v>
      </c>
      <c r="AN207" s="3227" t="s">
        <v>4602</v>
      </c>
      <c r="AO207" s="566" t="s">
        <v>4603</v>
      </c>
      <c r="AP207" s="3227" t="s">
        <v>4604</v>
      </c>
      <c r="AQ207" s="566" t="s">
        <v>4605</v>
      </c>
      <c r="AR207" s="735" t="s">
        <v>4606</v>
      </c>
      <c r="AS207" s="750" t="s">
        <v>4934</v>
      </c>
      <c r="AT207" s="750" t="s">
        <v>4935</v>
      </c>
      <c r="AU207" s="750" t="s">
        <v>4936</v>
      </c>
      <c r="AV207" s="750" t="s">
        <v>4937</v>
      </c>
      <c r="AW207" s="750" t="s">
        <v>5234</v>
      </c>
      <c r="AX207" s="750" t="s">
        <v>5235</v>
      </c>
      <c r="AY207" s="566" t="s">
        <v>5236</v>
      </c>
      <c r="AZ207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7" s="433"/>
      <c r="CC207" s="433" t="str">
        <f t="shared" si="177"/>
        <v xml:space="preserve"> * La variable Usuario con Discapacidad no pueden superar el Total Ambos Sexos.</v>
      </c>
      <c r="CD207" s="433" t="str">
        <f t="shared" si="178"/>
        <v xml:space="preserve"> * La variable Niños, niñas, adolescentes y jóvenes SENAME no pueden superar el Total Ambos Sexos.</v>
      </c>
      <c r="CE207" s="433" t="str">
        <f t="shared" si="179"/>
        <v xml:space="preserve"> * La variable Niños, niñas, adolescentes y jóvenes Mejor Niñez no pueden superar el Total Ambos Sexos.</v>
      </c>
      <c r="CF207" s="433" t="str">
        <f t="shared" si="180"/>
        <v xml:space="preserve"> * La variable Migrantes no pueden superar el Total Ambos Sexos.</v>
      </c>
      <c r="CG207" s="433" t="str">
        <f t="shared" si="181"/>
        <v xml:space="preserve"> * La variable Egreso por Abandono no pueden superar el Total Ambos Sexos.</v>
      </c>
      <c r="CH207" s="433" t="str">
        <f t="shared" si="182"/>
        <v xml:space="preserve"> * La variable Persona con ingreso integral y condición crónica no pueden superar el Total Ambos Sexos.</v>
      </c>
      <c r="CI207" s="433" t="str">
        <f t="shared" si="183"/>
        <v xml:space="preserve"> * La variable Pueblos Originarios no pueden superar el Total Ambos Sexos.</v>
      </c>
      <c r="CP207" s="434"/>
      <c r="CQ207" s="434">
        <f t="shared" si="184"/>
        <v>1</v>
      </c>
      <c r="CR207" s="434">
        <f t="shared" si="185"/>
        <v>1</v>
      </c>
      <c r="CS207" s="434">
        <f t="shared" si="186"/>
        <v>1</v>
      </c>
      <c r="CT207" s="434">
        <f t="shared" si="188"/>
        <v>1</v>
      </c>
      <c r="CU207" s="434">
        <f>IF(AND($E207&gt;0,AW207=""),1,IF(AW207&gt;$E207,1,0))</f>
        <v>1</v>
      </c>
      <c r="CV207" s="434">
        <f t="shared" si="189"/>
        <v>1</v>
      </c>
      <c r="CW207" s="434">
        <f t="shared" si="190"/>
        <v>1</v>
      </c>
    </row>
    <row r="208" spans="1:101" ht="15" customHeight="1" x14ac:dyDescent="0.25">
      <c r="A208" s="5812" t="s">
        <v>5831</v>
      </c>
      <c r="B208" s="7035"/>
      <c r="C208" s="7039"/>
      <c r="D208" s="3717" t="s">
        <v>1769</v>
      </c>
      <c r="E208" s="3673" t="s">
        <v>4567</v>
      </c>
      <c r="F208" s="3698" t="s">
        <v>4568</v>
      </c>
      <c r="G208" s="3663" t="s">
        <v>4569</v>
      </c>
      <c r="H208" s="537" t="s">
        <v>4570</v>
      </c>
      <c r="I208" s="2659" t="s">
        <v>4571</v>
      </c>
      <c r="J208" s="537" t="s">
        <v>4572</v>
      </c>
      <c r="K208" s="2659" t="s">
        <v>4573</v>
      </c>
      <c r="L208" s="537" t="s">
        <v>4574</v>
      </c>
      <c r="M208" s="2659" t="s">
        <v>4575</v>
      </c>
      <c r="N208" s="537" t="s">
        <v>4576</v>
      </c>
      <c r="O208" s="2659" t="s">
        <v>4577</v>
      </c>
      <c r="P208" s="537" t="s">
        <v>4578</v>
      </c>
      <c r="Q208" s="2659" t="s">
        <v>4579</v>
      </c>
      <c r="R208" s="537" t="s">
        <v>4580</v>
      </c>
      <c r="S208" s="2659" t="s">
        <v>4581</v>
      </c>
      <c r="T208" s="537" t="s">
        <v>4582</v>
      </c>
      <c r="U208" s="2659" t="s">
        <v>4583</v>
      </c>
      <c r="V208" s="537" t="s">
        <v>4584</v>
      </c>
      <c r="W208" s="2659" t="s">
        <v>4585</v>
      </c>
      <c r="X208" s="537" t="s">
        <v>4586</v>
      </c>
      <c r="Y208" s="2659" t="s">
        <v>4587</v>
      </c>
      <c r="Z208" s="537" t="s">
        <v>4588</v>
      </c>
      <c r="AA208" s="2659" t="s">
        <v>4589</v>
      </c>
      <c r="AB208" s="428" t="s">
        <v>4590</v>
      </c>
      <c r="AC208" s="388" t="s">
        <v>4591</v>
      </c>
      <c r="AD208" s="428" t="s">
        <v>4592</v>
      </c>
      <c r="AE208" s="387" t="s">
        <v>4593</v>
      </c>
      <c r="AF208" s="379" t="s">
        <v>4594</v>
      </c>
      <c r="AG208" s="387" t="s">
        <v>4595</v>
      </c>
      <c r="AH208" s="379" t="s">
        <v>4596</v>
      </c>
      <c r="AI208" s="387" t="s">
        <v>4597</v>
      </c>
      <c r="AJ208" s="379" t="s">
        <v>4598</v>
      </c>
      <c r="AK208" s="387" t="s">
        <v>4599</v>
      </c>
      <c r="AL208" s="379" t="s">
        <v>4600</v>
      </c>
      <c r="AM208" s="387" t="s">
        <v>4601</v>
      </c>
      <c r="AN208" s="379" t="s">
        <v>4602</v>
      </c>
      <c r="AO208" s="387" t="s">
        <v>4603</v>
      </c>
      <c r="AP208" s="379" t="s">
        <v>4604</v>
      </c>
      <c r="AQ208" s="387" t="s">
        <v>4605</v>
      </c>
      <c r="AR208" s="378" t="s">
        <v>4606</v>
      </c>
      <c r="AS208" s="2872" t="s">
        <v>4934</v>
      </c>
      <c r="AT208" s="2872" t="s">
        <v>4935</v>
      </c>
      <c r="AU208" s="2872" t="s">
        <v>4936</v>
      </c>
      <c r="AV208" s="2872" t="s">
        <v>4937</v>
      </c>
      <c r="AW208" s="3716" t="s">
        <v>5234</v>
      </c>
      <c r="AX208" s="2872" t="s">
        <v>5235</v>
      </c>
      <c r="AY208" s="387" t="s">
        <v>5236</v>
      </c>
      <c r="AZ208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8" s="433"/>
      <c r="CC208" s="433" t="str">
        <f t="shared" si="177"/>
        <v xml:space="preserve"> * La variable Usuario con Discapacidad no pueden superar el Total Ambos Sexos.</v>
      </c>
      <c r="CD208" s="433" t="str">
        <f t="shared" si="178"/>
        <v xml:space="preserve"> * La variable Niños, niñas, adolescentes y jóvenes SENAME no pueden superar el Total Ambos Sexos.</v>
      </c>
      <c r="CE208" s="433" t="str">
        <f t="shared" si="179"/>
        <v xml:space="preserve"> * La variable Niños, niñas, adolescentes y jóvenes Mejor Niñez no pueden superar el Total Ambos Sexos.</v>
      </c>
      <c r="CF208" s="433" t="str">
        <f t="shared" si="180"/>
        <v xml:space="preserve"> * La variable Migrantes no pueden superar el Total Ambos Sexos.</v>
      </c>
      <c r="CG208" s="438"/>
      <c r="CH208" s="433" t="str">
        <f t="shared" si="182"/>
        <v xml:space="preserve"> * La variable Persona con ingreso integral y condición crónica no pueden superar el Total Ambos Sexos.</v>
      </c>
      <c r="CI208" s="433" t="str">
        <f t="shared" si="183"/>
        <v xml:space="preserve"> * La variable Pueblos Originarios no pueden superar el Total Ambos Sexos.</v>
      </c>
      <c r="CP208" s="434"/>
      <c r="CQ208" s="434">
        <f t="shared" si="184"/>
        <v>1</v>
      </c>
      <c r="CR208" s="434">
        <f t="shared" si="185"/>
        <v>1</v>
      </c>
      <c r="CS208" s="434">
        <f t="shared" si="186"/>
        <v>1</v>
      </c>
      <c r="CT208" s="434">
        <f t="shared" si="188"/>
        <v>1</v>
      </c>
      <c r="CU208" s="438"/>
      <c r="CV208" s="434">
        <f t="shared" si="189"/>
        <v>1</v>
      </c>
      <c r="CW208" s="434">
        <f t="shared" si="190"/>
        <v>1</v>
      </c>
    </row>
    <row r="209" spans="1:101" ht="15" customHeight="1" x14ac:dyDescent="0.25">
      <c r="A209" s="5812" t="s">
        <v>5832</v>
      </c>
      <c r="B209" s="7035"/>
      <c r="C209" s="6904" t="s">
        <v>1643</v>
      </c>
      <c r="D209" s="909" t="s">
        <v>1765</v>
      </c>
      <c r="E209" s="3658" t="s">
        <v>4567</v>
      </c>
      <c r="F209" s="3693" t="s">
        <v>4568</v>
      </c>
      <c r="G209" s="3714" t="s">
        <v>4569</v>
      </c>
      <c r="H209" s="537" t="s">
        <v>4570</v>
      </c>
      <c r="I209" s="2659" t="s">
        <v>4571</v>
      </c>
      <c r="J209" s="537" t="s">
        <v>4572</v>
      </c>
      <c r="K209" s="2659" t="s">
        <v>4573</v>
      </c>
      <c r="L209" s="537" t="s">
        <v>4574</v>
      </c>
      <c r="M209" s="2659" t="s">
        <v>4575</v>
      </c>
      <c r="N209" s="537" t="s">
        <v>4576</v>
      </c>
      <c r="O209" s="2659" t="s">
        <v>4577</v>
      </c>
      <c r="P209" s="537" t="s">
        <v>4578</v>
      </c>
      <c r="Q209" s="2659" t="s">
        <v>4579</v>
      </c>
      <c r="R209" s="537" t="s">
        <v>4580</v>
      </c>
      <c r="S209" s="2659" t="s">
        <v>4581</v>
      </c>
      <c r="T209" s="537" t="s">
        <v>4582</v>
      </c>
      <c r="U209" s="2659" t="s">
        <v>4583</v>
      </c>
      <c r="V209" s="537" t="s">
        <v>4584</v>
      </c>
      <c r="W209" s="2659" t="s">
        <v>4585</v>
      </c>
      <c r="X209" s="537" t="s">
        <v>4586</v>
      </c>
      <c r="Y209" s="2659" t="s">
        <v>4587</v>
      </c>
      <c r="Z209" s="537" t="s">
        <v>4588</v>
      </c>
      <c r="AA209" s="2659" t="s">
        <v>4589</v>
      </c>
      <c r="AB209" s="3643" t="s">
        <v>4590</v>
      </c>
      <c r="AC209" s="3670" t="s">
        <v>4591</v>
      </c>
      <c r="AD209" s="3226" t="s">
        <v>4592</v>
      </c>
      <c r="AE209" s="566" t="s">
        <v>4593</v>
      </c>
      <c r="AF209" s="3227" t="s">
        <v>4594</v>
      </c>
      <c r="AG209" s="566" t="s">
        <v>4595</v>
      </c>
      <c r="AH209" s="3227" t="s">
        <v>4596</v>
      </c>
      <c r="AI209" s="566" t="s">
        <v>4597</v>
      </c>
      <c r="AJ209" s="3227" t="s">
        <v>4598</v>
      </c>
      <c r="AK209" s="566" t="s">
        <v>4599</v>
      </c>
      <c r="AL209" s="3227" t="s">
        <v>4600</v>
      </c>
      <c r="AM209" s="566" t="s">
        <v>4601</v>
      </c>
      <c r="AN209" s="3227" t="s">
        <v>4602</v>
      </c>
      <c r="AO209" s="566" t="s">
        <v>4603</v>
      </c>
      <c r="AP209" s="3227" t="s">
        <v>4604</v>
      </c>
      <c r="AQ209" s="566" t="s">
        <v>4605</v>
      </c>
      <c r="AR209" s="735" t="s">
        <v>4606</v>
      </c>
      <c r="AS209" s="750" t="s">
        <v>4934</v>
      </c>
      <c r="AT209" s="750" t="s">
        <v>4935</v>
      </c>
      <c r="AU209" s="750" t="s">
        <v>4936</v>
      </c>
      <c r="AV209" s="750" t="s">
        <v>4937</v>
      </c>
      <c r="AW209" s="750" t="s">
        <v>5234</v>
      </c>
      <c r="AX209" s="750" t="s">
        <v>5235</v>
      </c>
      <c r="AY209" s="566" t="s">
        <v>5236</v>
      </c>
      <c r="AZ209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9" s="433"/>
      <c r="CC209" s="433" t="str">
        <f t="shared" si="177"/>
        <v xml:space="preserve"> * La variable Usuario con Discapacidad no pueden superar el Total Ambos Sexos.</v>
      </c>
      <c r="CD209" s="433" t="str">
        <f t="shared" si="178"/>
        <v xml:space="preserve"> * La variable Niños, niñas, adolescentes y jóvenes SENAME no pueden superar el Total Ambos Sexos.</v>
      </c>
      <c r="CE209" s="433" t="str">
        <f t="shared" si="179"/>
        <v xml:space="preserve"> * La variable Niños, niñas, adolescentes y jóvenes Mejor Niñez no pueden superar el Total Ambos Sexos.</v>
      </c>
      <c r="CF209" s="433" t="str">
        <f t="shared" si="180"/>
        <v xml:space="preserve"> * La variable Migrantes no pueden superar el Total Ambos Sexos.</v>
      </c>
      <c r="CG209" s="433" t="str">
        <f t="shared" si="181"/>
        <v xml:space="preserve"> * La variable Egreso por Abandono no pueden superar el Total Ambos Sexos.</v>
      </c>
      <c r="CH209" s="433" t="str">
        <f t="shared" si="182"/>
        <v xml:space="preserve"> * La variable Persona con ingreso integral y condición crónica no pueden superar el Total Ambos Sexos.</v>
      </c>
      <c r="CI209" s="433" t="str">
        <f t="shared" si="183"/>
        <v xml:space="preserve"> * La variable Pueblos Originarios no pueden superar el Total Ambos Sexos.</v>
      </c>
      <c r="CP209" s="434"/>
      <c r="CQ209" s="434">
        <f t="shared" si="184"/>
        <v>1</v>
      </c>
      <c r="CR209" s="434">
        <f t="shared" si="185"/>
        <v>1</v>
      </c>
      <c r="CS209" s="434">
        <f t="shared" si="186"/>
        <v>1</v>
      </c>
      <c r="CT209" s="434">
        <f t="shared" si="188"/>
        <v>1</v>
      </c>
      <c r="CU209" s="434">
        <f>IF(AND($E209&gt;0,AW209=""),1,IF(AW209&gt;$E209,1,0))</f>
        <v>1</v>
      </c>
      <c r="CV209" s="434">
        <f t="shared" si="189"/>
        <v>1</v>
      </c>
      <c r="CW209" s="434">
        <f t="shared" si="190"/>
        <v>1</v>
      </c>
    </row>
    <row r="210" spans="1:101" ht="21" x14ac:dyDescent="0.25">
      <c r="A210" s="5812" t="s">
        <v>5833</v>
      </c>
      <c r="B210" s="7035"/>
      <c r="C210" s="6905"/>
      <c r="D210" s="360" t="s">
        <v>1770</v>
      </c>
      <c r="E210" s="3649" t="s">
        <v>4567</v>
      </c>
      <c r="F210" s="3693" t="s">
        <v>4568</v>
      </c>
      <c r="G210" s="3714" t="s">
        <v>4569</v>
      </c>
      <c r="H210" s="537" t="s">
        <v>4570</v>
      </c>
      <c r="I210" s="2659" t="s">
        <v>4571</v>
      </c>
      <c r="J210" s="537" t="s">
        <v>4572</v>
      </c>
      <c r="K210" s="2659" t="s">
        <v>4573</v>
      </c>
      <c r="L210" s="537" t="s">
        <v>4574</v>
      </c>
      <c r="M210" s="2659" t="s">
        <v>4575</v>
      </c>
      <c r="N210" s="537" t="s">
        <v>4576</v>
      </c>
      <c r="O210" s="2659" t="s">
        <v>4577</v>
      </c>
      <c r="P210" s="537" t="s">
        <v>4578</v>
      </c>
      <c r="Q210" s="2659" t="s">
        <v>4579</v>
      </c>
      <c r="R210" s="537" t="s">
        <v>4580</v>
      </c>
      <c r="S210" s="2659" t="s">
        <v>4581</v>
      </c>
      <c r="T210" s="537" t="s">
        <v>4582</v>
      </c>
      <c r="U210" s="2659" t="s">
        <v>4583</v>
      </c>
      <c r="V210" s="537" t="s">
        <v>4584</v>
      </c>
      <c r="W210" s="2659" t="s">
        <v>4585</v>
      </c>
      <c r="X210" s="537" t="s">
        <v>4586</v>
      </c>
      <c r="Y210" s="2659" t="s">
        <v>4587</v>
      </c>
      <c r="Z210" s="537" t="s">
        <v>4588</v>
      </c>
      <c r="AA210" s="2659" t="s">
        <v>4589</v>
      </c>
      <c r="AB210" s="537" t="s">
        <v>4590</v>
      </c>
      <c r="AC210" s="2659" t="s">
        <v>4591</v>
      </c>
      <c r="AD210" s="686" t="s">
        <v>4592</v>
      </c>
      <c r="AE210" s="42" t="s">
        <v>4593</v>
      </c>
      <c r="AF210" s="47" t="s">
        <v>4594</v>
      </c>
      <c r="AG210" s="42" t="s">
        <v>4595</v>
      </c>
      <c r="AH210" s="47" t="s">
        <v>4596</v>
      </c>
      <c r="AI210" s="42" t="s">
        <v>4597</v>
      </c>
      <c r="AJ210" s="47" t="s">
        <v>4598</v>
      </c>
      <c r="AK210" s="42" t="s">
        <v>4599</v>
      </c>
      <c r="AL210" s="47" t="s">
        <v>4600</v>
      </c>
      <c r="AM210" s="42" t="s">
        <v>4601</v>
      </c>
      <c r="AN210" s="47" t="s">
        <v>4602</v>
      </c>
      <c r="AO210" s="42" t="s">
        <v>4603</v>
      </c>
      <c r="AP210" s="47" t="s">
        <v>4604</v>
      </c>
      <c r="AQ210" s="42" t="s">
        <v>4605</v>
      </c>
      <c r="AR210" s="74" t="s">
        <v>4606</v>
      </c>
      <c r="AS210" s="242" t="s">
        <v>4934</v>
      </c>
      <c r="AT210" s="242" t="s">
        <v>4935</v>
      </c>
      <c r="AU210" s="242" t="s">
        <v>4936</v>
      </c>
      <c r="AV210" s="242" t="s">
        <v>4937</v>
      </c>
      <c r="AW210" s="244" t="s">
        <v>5234</v>
      </c>
      <c r="AX210" s="242" t="s">
        <v>5235</v>
      </c>
      <c r="AY210" s="42" t="s">
        <v>5236</v>
      </c>
      <c r="AZ210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0" s="433"/>
      <c r="CC210" s="433" t="str">
        <f t="shared" si="177"/>
        <v xml:space="preserve"> * La variable Usuario con Discapacidad no pueden superar el Total Ambos Sexos.</v>
      </c>
      <c r="CD210" s="433" t="str">
        <f t="shared" si="178"/>
        <v xml:space="preserve"> * La variable Niños, niñas, adolescentes y jóvenes SENAME no pueden superar el Total Ambos Sexos.</v>
      </c>
      <c r="CE210" s="433" t="str">
        <f t="shared" si="179"/>
        <v xml:space="preserve"> * La variable Niños, niñas, adolescentes y jóvenes Mejor Niñez no pueden superar el Total Ambos Sexos.</v>
      </c>
      <c r="CF210" s="433" t="str">
        <f t="shared" si="180"/>
        <v xml:space="preserve"> * La variable Migrantes no pueden superar el Total Ambos Sexos.</v>
      </c>
      <c r="CG210" s="438"/>
      <c r="CH210" s="433" t="str">
        <f t="shared" si="182"/>
        <v xml:space="preserve"> * La variable Persona con ingreso integral y condición crónica no pueden superar el Total Ambos Sexos.</v>
      </c>
      <c r="CI210" s="433" t="str">
        <f t="shared" si="183"/>
        <v xml:space="preserve"> * La variable Pueblos Originarios no pueden superar el Total Ambos Sexos.</v>
      </c>
      <c r="CP210" s="434"/>
      <c r="CQ210" s="434">
        <f t="shared" si="184"/>
        <v>1</v>
      </c>
      <c r="CR210" s="434">
        <f t="shared" si="185"/>
        <v>1</v>
      </c>
      <c r="CS210" s="434">
        <f t="shared" si="186"/>
        <v>1</v>
      </c>
      <c r="CT210" s="434">
        <f t="shared" si="188"/>
        <v>1</v>
      </c>
      <c r="CU210" s="438"/>
      <c r="CV210" s="434">
        <f t="shared" si="189"/>
        <v>1</v>
      </c>
      <c r="CW210" s="434">
        <f t="shared" si="190"/>
        <v>1</v>
      </c>
    </row>
    <row r="211" spans="1:101" ht="21" x14ac:dyDescent="0.25">
      <c r="A211" s="5812" t="s">
        <v>5834</v>
      </c>
      <c r="B211" s="7036"/>
      <c r="C211" s="6906"/>
      <c r="D211" s="870" t="s">
        <v>1771</v>
      </c>
      <c r="E211" s="3649" t="s">
        <v>4567</v>
      </c>
      <c r="F211" s="3698" t="s">
        <v>4568</v>
      </c>
      <c r="G211" s="3663" t="s">
        <v>4569</v>
      </c>
      <c r="H211" s="537" t="s">
        <v>4570</v>
      </c>
      <c r="I211" s="2659" t="s">
        <v>4571</v>
      </c>
      <c r="J211" s="537" t="s">
        <v>4572</v>
      </c>
      <c r="K211" s="2659" t="s">
        <v>4573</v>
      </c>
      <c r="L211" s="537" t="s">
        <v>4574</v>
      </c>
      <c r="M211" s="2659" t="s">
        <v>4575</v>
      </c>
      <c r="N211" s="537" t="s">
        <v>4576</v>
      </c>
      <c r="O211" s="2659" t="s">
        <v>4577</v>
      </c>
      <c r="P211" s="537" t="s">
        <v>4578</v>
      </c>
      <c r="Q211" s="2659" t="s">
        <v>4579</v>
      </c>
      <c r="R211" s="537" t="s">
        <v>4580</v>
      </c>
      <c r="S211" s="2659" t="s">
        <v>4581</v>
      </c>
      <c r="T211" s="537" t="s">
        <v>4582</v>
      </c>
      <c r="U211" s="2659" t="s">
        <v>4583</v>
      </c>
      <c r="V211" s="537" t="s">
        <v>4584</v>
      </c>
      <c r="W211" s="2659" t="s">
        <v>4585</v>
      </c>
      <c r="X211" s="537" t="s">
        <v>4586</v>
      </c>
      <c r="Y211" s="2659" t="s">
        <v>4587</v>
      </c>
      <c r="Z211" s="537" t="s">
        <v>4588</v>
      </c>
      <c r="AA211" s="2659" t="s">
        <v>4589</v>
      </c>
      <c r="AB211" s="537" t="s">
        <v>4590</v>
      </c>
      <c r="AC211" s="2659" t="s">
        <v>4591</v>
      </c>
      <c r="AD211" s="428" t="s">
        <v>4592</v>
      </c>
      <c r="AE211" s="387" t="s">
        <v>4593</v>
      </c>
      <c r="AF211" s="379" t="s">
        <v>4594</v>
      </c>
      <c r="AG211" s="387" t="s">
        <v>4595</v>
      </c>
      <c r="AH211" s="379" t="s">
        <v>4596</v>
      </c>
      <c r="AI211" s="387" t="s">
        <v>4597</v>
      </c>
      <c r="AJ211" s="379" t="s">
        <v>4598</v>
      </c>
      <c r="AK211" s="387" t="s">
        <v>4599</v>
      </c>
      <c r="AL211" s="379" t="s">
        <v>4600</v>
      </c>
      <c r="AM211" s="387" t="s">
        <v>4601</v>
      </c>
      <c r="AN211" s="379" t="s">
        <v>4602</v>
      </c>
      <c r="AO211" s="387" t="s">
        <v>4603</v>
      </c>
      <c r="AP211" s="379" t="s">
        <v>4604</v>
      </c>
      <c r="AQ211" s="387" t="s">
        <v>4605</v>
      </c>
      <c r="AR211" s="378" t="s">
        <v>4606</v>
      </c>
      <c r="AS211" s="2872" t="s">
        <v>4934</v>
      </c>
      <c r="AT211" s="2872" t="s">
        <v>4935</v>
      </c>
      <c r="AU211" s="2872" t="s">
        <v>4936</v>
      </c>
      <c r="AV211" s="2872" t="s">
        <v>4937</v>
      </c>
      <c r="AW211" s="3716" t="s">
        <v>5234</v>
      </c>
      <c r="AX211" s="2872" t="s">
        <v>5235</v>
      </c>
      <c r="AY211" s="387" t="s">
        <v>5236</v>
      </c>
      <c r="AZ211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1" s="433"/>
      <c r="CC211" s="433" t="str">
        <f t="shared" si="177"/>
        <v xml:space="preserve"> * La variable Usuario con Discapacidad no pueden superar el Total Ambos Sexos.</v>
      </c>
      <c r="CD211" s="433" t="str">
        <f t="shared" si="178"/>
        <v xml:space="preserve"> * La variable Niños, niñas, adolescentes y jóvenes SENAME no pueden superar el Total Ambos Sexos.</v>
      </c>
      <c r="CE211" s="433" t="str">
        <f t="shared" si="179"/>
        <v xml:space="preserve"> * La variable Niños, niñas, adolescentes y jóvenes Mejor Niñez no pueden superar el Total Ambos Sexos.</v>
      </c>
      <c r="CF211" s="433" t="str">
        <f t="shared" si="180"/>
        <v xml:space="preserve"> * La variable Migrantes no pueden superar el Total Ambos Sexos.</v>
      </c>
      <c r="CG211" s="438"/>
      <c r="CH211" s="433" t="str">
        <f t="shared" si="182"/>
        <v xml:space="preserve"> * La variable Persona con ingreso integral y condición crónica no pueden superar el Total Ambos Sexos.</v>
      </c>
      <c r="CI211" s="433" t="str">
        <f t="shared" si="183"/>
        <v xml:space="preserve"> * La variable Pueblos Originarios no pueden superar el Total Ambos Sexos.</v>
      </c>
      <c r="CP211" s="434"/>
      <c r="CQ211" s="434">
        <f t="shared" si="184"/>
        <v>1</v>
      </c>
      <c r="CR211" s="434">
        <f t="shared" si="185"/>
        <v>1</v>
      </c>
      <c r="CS211" s="434">
        <f t="shared" si="186"/>
        <v>1</v>
      </c>
      <c r="CT211" s="434">
        <f t="shared" si="188"/>
        <v>1</v>
      </c>
      <c r="CU211" s="438"/>
      <c r="CV211" s="434">
        <f t="shared" si="189"/>
        <v>1</v>
      </c>
      <c r="CW211" s="434">
        <f t="shared" si="190"/>
        <v>1</v>
      </c>
    </row>
    <row r="212" spans="1:101" ht="15" customHeight="1" x14ac:dyDescent="0.25">
      <c r="A212" s="5812" t="s">
        <v>5835</v>
      </c>
      <c r="B212" s="6453" t="s">
        <v>1772</v>
      </c>
      <c r="C212" s="6989" t="s">
        <v>1773</v>
      </c>
      <c r="D212" s="6962"/>
      <c r="E212" s="3652" t="s">
        <v>4567</v>
      </c>
      <c r="F212" s="3718" t="s">
        <v>4568</v>
      </c>
      <c r="G212" s="3719" t="s">
        <v>4569</v>
      </c>
      <c r="H212" s="3231" t="s">
        <v>4570</v>
      </c>
      <c r="I212" s="824" t="s">
        <v>4571</v>
      </c>
      <c r="J212" s="3231" t="s">
        <v>4572</v>
      </c>
      <c r="K212" s="824" t="s">
        <v>4573</v>
      </c>
      <c r="L212" s="3231" t="s">
        <v>4574</v>
      </c>
      <c r="M212" s="824" t="s">
        <v>4575</v>
      </c>
      <c r="N212" s="3231" t="s">
        <v>4576</v>
      </c>
      <c r="O212" s="824" t="s">
        <v>4577</v>
      </c>
      <c r="P212" s="3231" t="s">
        <v>4578</v>
      </c>
      <c r="Q212" s="824" t="s">
        <v>4579</v>
      </c>
      <c r="R212" s="3231" t="s">
        <v>4580</v>
      </c>
      <c r="S212" s="824" t="s">
        <v>4581</v>
      </c>
      <c r="T212" s="3231" t="s">
        <v>4582</v>
      </c>
      <c r="U212" s="824" t="s">
        <v>4583</v>
      </c>
      <c r="V212" s="3231" t="s">
        <v>4584</v>
      </c>
      <c r="W212" s="824" t="s">
        <v>4585</v>
      </c>
      <c r="X212" s="3231" t="s">
        <v>4586</v>
      </c>
      <c r="Y212" s="824" t="s">
        <v>4587</v>
      </c>
      <c r="Z212" s="3231" t="s">
        <v>4588</v>
      </c>
      <c r="AA212" s="824" t="s">
        <v>4589</v>
      </c>
      <c r="AB212" s="3231" t="s">
        <v>4590</v>
      </c>
      <c r="AC212" s="824" t="s">
        <v>4591</v>
      </c>
      <c r="AD212" s="3642" t="s">
        <v>4592</v>
      </c>
      <c r="AE212" s="3368" t="s">
        <v>4593</v>
      </c>
      <c r="AF212" s="3368" t="s">
        <v>4594</v>
      </c>
      <c r="AG212" s="3368" t="s">
        <v>4595</v>
      </c>
      <c r="AH212" s="3368" t="s">
        <v>4596</v>
      </c>
      <c r="AI212" s="3368" t="s">
        <v>4597</v>
      </c>
      <c r="AJ212" s="3368" t="s">
        <v>4598</v>
      </c>
      <c r="AK212" s="819" t="s">
        <v>4599</v>
      </c>
      <c r="AL212" s="3227" t="s">
        <v>4600</v>
      </c>
      <c r="AM212" s="566" t="s">
        <v>4601</v>
      </c>
      <c r="AN212" s="3669" t="s">
        <v>4602</v>
      </c>
      <c r="AO212" s="3368" t="s">
        <v>4603</v>
      </c>
      <c r="AP212" s="3368" t="s">
        <v>4604</v>
      </c>
      <c r="AQ212" s="819" t="s">
        <v>4605</v>
      </c>
      <c r="AR212" s="735" t="s">
        <v>4606</v>
      </c>
      <c r="AS212" s="750" t="s">
        <v>4934</v>
      </c>
      <c r="AT212" s="685" t="s">
        <v>4935</v>
      </c>
      <c r="AU212" s="685" t="s">
        <v>4936</v>
      </c>
      <c r="AV212" s="750" t="s">
        <v>4937</v>
      </c>
      <c r="AW212" s="750" t="s">
        <v>5234</v>
      </c>
      <c r="AX212" s="750" t="s">
        <v>5235</v>
      </c>
      <c r="AY212" s="566" t="s">
        <v>5236</v>
      </c>
      <c r="AZ212" t="str">
        <f t="shared" si="148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2" s="433"/>
      <c r="CC212" s="433" t="str">
        <f t="shared" si="177"/>
        <v xml:space="preserve"> * La variable Usuario con Discapacidad no pueden superar el Total Ambos Sexos.</v>
      </c>
      <c r="CD212" s="438"/>
      <c r="CE212" s="438"/>
      <c r="CF212" s="433" t="str">
        <f t="shared" si="180"/>
        <v xml:space="preserve"> * La variable Migrantes no pueden superar el Total Ambos Sexos.</v>
      </c>
      <c r="CG212" s="433" t="str">
        <f t="shared" si="181"/>
        <v xml:space="preserve"> * La variable Egreso por Abandono no pueden superar el Total Ambos Sexos.</v>
      </c>
      <c r="CH212" s="433" t="str">
        <f t="shared" si="182"/>
        <v xml:space="preserve"> * La variable Persona con ingreso integral y condición crónica no pueden superar el Total Ambos Sexos.</v>
      </c>
      <c r="CI212" s="433" t="str">
        <f t="shared" si="183"/>
        <v xml:space="preserve"> * La variable Pueblos Originarios no pueden superar el Total Ambos Sexos.</v>
      </c>
      <c r="CP212" s="434"/>
      <c r="CQ212" s="434">
        <f t="shared" ref="CQ212:CQ226" si="191">IF(AND($E212&gt;0,AS212=""),1,IF(AS212&gt;$E212,1,0))</f>
        <v>1</v>
      </c>
      <c r="CR212" s="438"/>
      <c r="CS212" s="438"/>
      <c r="CT212" s="434">
        <f t="shared" si="188"/>
        <v>1</v>
      </c>
      <c r="CU212" s="434">
        <f>IF(AND($E212&gt;0,AW212=""),1,IF(AW212&gt;$E212,1,0))</f>
        <v>1</v>
      </c>
      <c r="CV212" s="434">
        <f t="shared" si="189"/>
        <v>1</v>
      </c>
      <c r="CW212" s="434">
        <f t="shared" si="190"/>
        <v>1</v>
      </c>
    </row>
    <row r="213" spans="1:101" ht="15" customHeight="1" x14ac:dyDescent="0.25">
      <c r="A213" s="5812" t="s">
        <v>5836</v>
      </c>
      <c r="B213" s="6058"/>
      <c r="C213" s="6058" t="s">
        <v>1764</v>
      </c>
      <c r="D213" s="1784" t="s">
        <v>1765</v>
      </c>
      <c r="E213" s="3639" t="s">
        <v>4567</v>
      </c>
      <c r="F213" s="3667" t="s">
        <v>4568</v>
      </c>
      <c r="G213" s="3714" t="s">
        <v>4569</v>
      </c>
      <c r="H213" s="3231" t="s">
        <v>4570</v>
      </c>
      <c r="I213" s="824" t="s">
        <v>4571</v>
      </c>
      <c r="J213" s="3231" t="s">
        <v>4572</v>
      </c>
      <c r="K213" s="824" t="s">
        <v>4573</v>
      </c>
      <c r="L213" s="3231" t="s">
        <v>4574</v>
      </c>
      <c r="M213" s="824" t="s">
        <v>4575</v>
      </c>
      <c r="N213" s="3231" t="s">
        <v>4576</v>
      </c>
      <c r="O213" s="824" t="s">
        <v>4577</v>
      </c>
      <c r="P213" s="3231" t="s">
        <v>4578</v>
      </c>
      <c r="Q213" s="824" t="s">
        <v>4579</v>
      </c>
      <c r="R213" s="3231" t="s">
        <v>4580</v>
      </c>
      <c r="S213" s="824" t="s">
        <v>4581</v>
      </c>
      <c r="T213" s="3231" t="s">
        <v>4582</v>
      </c>
      <c r="U213" s="824" t="s">
        <v>4583</v>
      </c>
      <c r="V213" s="3231" t="s">
        <v>4584</v>
      </c>
      <c r="W213" s="824" t="s">
        <v>4585</v>
      </c>
      <c r="X213" s="3231" t="s">
        <v>4586</v>
      </c>
      <c r="Y213" s="824" t="s">
        <v>4587</v>
      </c>
      <c r="Z213" s="3231" t="s">
        <v>4588</v>
      </c>
      <c r="AA213" s="824" t="s">
        <v>4589</v>
      </c>
      <c r="AB213" s="3231" t="s">
        <v>4590</v>
      </c>
      <c r="AC213" s="824" t="s">
        <v>4591</v>
      </c>
      <c r="AD213" s="3231" t="s">
        <v>4592</v>
      </c>
      <c r="AE213" s="685" t="s">
        <v>4593</v>
      </c>
      <c r="AF213" s="685" t="s">
        <v>4594</v>
      </c>
      <c r="AG213" s="685" t="s">
        <v>4595</v>
      </c>
      <c r="AH213" s="685" t="s">
        <v>4596</v>
      </c>
      <c r="AI213" s="685" t="s">
        <v>4597</v>
      </c>
      <c r="AJ213" s="685" t="s">
        <v>4598</v>
      </c>
      <c r="AK213" s="824" t="s">
        <v>4599</v>
      </c>
      <c r="AL213" s="345" t="s">
        <v>4600</v>
      </c>
      <c r="AM213" s="346" t="s">
        <v>4601</v>
      </c>
      <c r="AN213" s="619" t="s">
        <v>4602</v>
      </c>
      <c r="AO213" s="685" t="s">
        <v>4603</v>
      </c>
      <c r="AP213" s="685" t="s">
        <v>4604</v>
      </c>
      <c r="AQ213" s="824" t="s">
        <v>4605</v>
      </c>
      <c r="AR213" s="429" t="s">
        <v>4606</v>
      </c>
      <c r="AS213" s="368" t="s">
        <v>4934</v>
      </c>
      <c r="AT213" s="685" t="s">
        <v>4935</v>
      </c>
      <c r="AU213" s="685" t="s">
        <v>4936</v>
      </c>
      <c r="AV213" s="368" t="s">
        <v>4937</v>
      </c>
      <c r="AW213" s="368" t="s">
        <v>5234</v>
      </c>
      <c r="AX213" s="368" t="s">
        <v>5235</v>
      </c>
      <c r="AY213" s="346" t="s">
        <v>5236</v>
      </c>
      <c r="AZ213" t="str">
        <f t="shared" si="148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3" s="433"/>
      <c r="CC213" s="433" t="str">
        <f t="shared" si="177"/>
        <v xml:space="preserve"> * La variable Usuario con Discapacidad no pueden superar el Total Ambos Sexos.</v>
      </c>
      <c r="CD213" s="438"/>
      <c r="CE213" s="438"/>
      <c r="CF213" s="433" t="str">
        <f t="shared" si="180"/>
        <v xml:space="preserve"> * La variable Migrantes no pueden superar el Total Ambos Sexos.</v>
      </c>
      <c r="CG213" s="433" t="str">
        <f t="shared" si="181"/>
        <v xml:space="preserve"> * La variable Egreso por Abandono no pueden superar el Total Ambos Sexos.</v>
      </c>
      <c r="CH213" s="433" t="str">
        <f t="shared" si="182"/>
        <v xml:space="preserve"> * La variable Persona con ingreso integral y condición crónica no pueden superar el Total Ambos Sexos.</v>
      </c>
      <c r="CI213" s="433" t="str">
        <f t="shared" si="183"/>
        <v xml:space="preserve"> * La variable Pueblos Originarios no pueden superar el Total Ambos Sexos.</v>
      </c>
      <c r="CP213" s="434"/>
      <c r="CQ213" s="434">
        <f t="shared" si="191"/>
        <v>1</v>
      </c>
      <c r="CR213" s="438"/>
      <c r="CS213" s="438"/>
      <c r="CT213" s="434">
        <f t="shared" si="188"/>
        <v>1</v>
      </c>
      <c r="CU213" s="434">
        <f>IF(AND($E213&gt;0,AW213=""),1,IF(AW213&gt;$E213,1,0))</f>
        <v>1</v>
      </c>
      <c r="CV213" s="434">
        <f t="shared" si="189"/>
        <v>1</v>
      </c>
      <c r="CW213" s="434">
        <f t="shared" si="190"/>
        <v>1</v>
      </c>
    </row>
    <row r="214" spans="1:101" ht="15" customHeight="1" x14ac:dyDescent="0.25">
      <c r="A214" s="5812" t="s">
        <v>5837</v>
      </c>
      <c r="B214" s="6058"/>
      <c r="C214" s="6058"/>
      <c r="D214" s="2141" t="s">
        <v>1774</v>
      </c>
      <c r="E214" s="3697" t="s">
        <v>4567</v>
      </c>
      <c r="F214" s="3698" t="s">
        <v>4568</v>
      </c>
      <c r="G214" s="3663" t="s">
        <v>4569</v>
      </c>
      <c r="H214" s="3231" t="s">
        <v>4570</v>
      </c>
      <c r="I214" s="824" t="s">
        <v>4571</v>
      </c>
      <c r="J214" s="3231" t="s">
        <v>4572</v>
      </c>
      <c r="K214" s="824" t="s">
        <v>4573</v>
      </c>
      <c r="L214" s="3231" t="s">
        <v>4574</v>
      </c>
      <c r="M214" s="824" t="s">
        <v>4575</v>
      </c>
      <c r="N214" s="3231" t="s">
        <v>4576</v>
      </c>
      <c r="O214" s="824" t="s">
        <v>4577</v>
      </c>
      <c r="P214" s="3231" t="s">
        <v>4578</v>
      </c>
      <c r="Q214" s="824" t="s">
        <v>4579</v>
      </c>
      <c r="R214" s="3231" t="s">
        <v>4580</v>
      </c>
      <c r="S214" s="824" t="s">
        <v>4581</v>
      </c>
      <c r="T214" s="3231" t="s">
        <v>4582</v>
      </c>
      <c r="U214" s="824" t="s">
        <v>4583</v>
      </c>
      <c r="V214" s="3231" t="s">
        <v>4584</v>
      </c>
      <c r="W214" s="824" t="s">
        <v>4585</v>
      </c>
      <c r="X214" s="3231" t="s">
        <v>4586</v>
      </c>
      <c r="Y214" s="824" t="s">
        <v>4587</v>
      </c>
      <c r="Z214" s="3231" t="s">
        <v>4588</v>
      </c>
      <c r="AA214" s="824" t="s">
        <v>4589</v>
      </c>
      <c r="AB214" s="3231" t="s">
        <v>4590</v>
      </c>
      <c r="AC214" s="824" t="s">
        <v>4591</v>
      </c>
      <c r="AD214" s="3231" t="s">
        <v>4592</v>
      </c>
      <c r="AE214" s="685" t="s">
        <v>4593</v>
      </c>
      <c r="AF214" s="685" t="s">
        <v>4594</v>
      </c>
      <c r="AG214" s="685" t="s">
        <v>4595</v>
      </c>
      <c r="AH214" s="685" t="s">
        <v>4596</v>
      </c>
      <c r="AI214" s="685" t="s">
        <v>4597</v>
      </c>
      <c r="AJ214" s="685" t="s">
        <v>4598</v>
      </c>
      <c r="AK214" s="824" t="s">
        <v>4599</v>
      </c>
      <c r="AL214" s="345" t="s">
        <v>4600</v>
      </c>
      <c r="AM214" s="346" t="s">
        <v>4601</v>
      </c>
      <c r="AN214" s="619" t="s">
        <v>4602</v>
      </c>
      <c r="AO214" s="685" t="s">
        <v>4603</v>
      </c>
      <c r="AP214" s="685" t="s">
        <v>4604</v>
      </c>
      <c r="AQ214" s="824" t="s">
        <v>4605</v>
      </c>
      <c r="AR214" s="429" t="s">
        <v>4606</v>
      </c>
      <c r="AS214" s="368" t="s">
        <v>4934</v>
      </c>
      <c r="AT214" s="685" t="s">
        <v>4935</v>
      </c>
      <c r="AU214" s="685" t="s">
        <v>4936</v>
      </c>
      <c r="AV214" s="368" t="s">
        <v>4937</v>
      </c>
      <c r="AW214" s="521" t="s">
        <v>5234</v>
      </c>
      <c r="AX214" s="368" t="s">
        <v>5235</v>
      </c>
      <c r="AY214" s="346" t="s">
        <v>5236</v>
      </c>
      <c r="AZ214" t="str">
        <f t="shared" si="148"/>
        <v xml:space="preserve"> * La variable Usuario con Discapacidad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4" s="433"/>
      <c r="CC214" s="433" t="str">
        <f t="shared" si="177"/>
        <v xml:space="preserve"> * La variable Usuario con Discapacidad no pueden superar el Total Ambos Sexos.</v>
      </c>
      <c r="CD214" s="438"/>
      <c r="CE214" s="438"/>
      <c r="CF214" s="433" t="str">
        <f t="shared" si="180"/>
        <v xml:space="preserve"> * La variable Migrantes no pueden superar el Total Ambos Sexos.</v>
      </c>
      <c r="CG214" s="438"/>
      <c r="CH214" s="433" t="str">
        <f t="shared" si="182"/>
        <v xml:space="preserve"> * La variable Persona con ingreso integral y condición crónica no pueden superar el Total Ambos Sexos.</v>
      </c>
      <c r="CI214" s="433" t="str">
        <f t="shared" si="183"/>
        <v xml:space="preserve"> * La variable Pueblos Originarios no pueden superar el Total Ambos Sexos.</v>
      </c>
      <c r="CP214" s="434"/>
      <c r="CQ214" s="434">
        <f t="shared" si="191"/>
        <v>1</v>
      </c>
      <c r="CR214" s="438"/>
      <c r="CS214" s="438"/>
      <c r="CT214" s="434">
        <f t="shared" si="188"/>
        <v>1</v>
      </c>
      <c r="CU214" s="438"/>
      <c r="CV214" s="434">
        <f t="shared" si="189"/>
        <v>1</v>
      </c>
      <c r="CW214" s="434">
        <f t="shared" si="190"/>
        <v>1</v>
      </c>
    </row>
    <row r="215" spans="1:101" ht="15" customHeight="1" x14ac:dyDescent="0.25">
      <c r="A215" s="5812" t="s">
        <v>5838</v>
      </c>
      <c r="B215" s="6058"/>
      <c r="C215" s="6453" t="s">
        <v>1643</v>
      </c>
      <c r="D215" s="909" t="s">
        <v>1765</v>
      </c>
      <c r="E215" s="3639" t="s">
        <v>4567</v>
      </c>
      <c r="F215" s="3693" t="s">
        <v>4568</v>
      </c>
      <c r="G215" s="3714" t="s">
        <v>4569</v>
      </c>
      <c r="H215" s="3231" t="s">
        <v>4570</v>
      </c>
      <c r="I215" s="824" t="s">
        <v>4571</v>
      </c>
      <c r="J215" s="3231" t="s">
        <v>4572</v>
      </c>
      <c r="K215" s="824" t="s">
        <v>4573</v>
      </c>
      <c r="L215" s="3231" t="s">
        <v>4574</v>
      </c>
      <c r="M215" s="824" t="s">
        <v>4575</v>
      </c>
      <c r="N215" s="3231" t="s">
        <v>4576</v>
      </c>
      <c r="O215" s="824" t="s">
        <v>4577</v>
      </c>
      <c r="P215" s="3231" t="s">
        <v>4578</v>
      </c>
      <c r="Q215" s="824" t="s">
        <v>4579</v>
      </c>
      <c r="R215" s="3231" t="s">
        <v>4580</v>
      </c>
      <c r="S215" s="824" t="s">
        <v>4581</v>
      </c>
      <c r="T215" s="3231" t="s">
        <v>4582</v>
      </c>
      <c r="U215" s="824" t="s">
        <v>4583</v>
      </c>
      <c r="V215" s="3231" t="s">
        <v>4584</v>
      </c>
      <c r="W215" s="824" t="s">
        <v>4585</v>
      </c>
      <c r="X215" s="3231" t="s">
        <v>4586</v>
      </c>
      <c r="Y215" s="824" t="s">
        <v>4587</v>
      </c>
      <c r="Z215" s="3231" t="s">
        <v>4588</v>
      </c>
      <c r="AA215" s="824" t="s">
        <v>4589</v>
      </c>
      <c r="AB215" s="3231" t="s">
        <v>4590</v>
      </c>
      <c r="AC215" s="824" t="s">
        <v>4591</v>
      </c>
      <c r="AD215" s="3231" t="s">
        <v>4592</v>
      </c>
      <c r="AE215" s="685" t="s">
        <v>4593</v>
      </c>
      <c r="AF215" s="685" t="s">
        <v>4594</v>
      </c>
      <c r="AG215" s="685" t="s">
        <v>4595</v>
      </c>
      <c r="AH215" s="685" t="s">
        <v>4596</v>
      </c>
      <c r="AI215" s="685" t="s">
        <v>4597</v>
      </c>
      <c r="AJ215" s="685" t="s">
        <v>4598</v>
      </c>
      <c r="AK215" s="824" t="s">
        <v>4599</v>
      </c>
      <c r="AL215" s="290" t="s">
        <v>4600</v>
      </c>
      <c r="AM215" s="107" t="s">
        <v>4601</v>
      </c>
      <c r="AN215" s="619" t="s">
        <v>4602</v>
      </c>
      <c r="AO215" s="685" t="s">
        <v>4603</v>
      </c>
      <c r="AP215" s="685" t="s">
        <v>4604</v>
      </c>
      <c r="AQ215" s="824" t="s">
        <v>4605</v>
      </c>
      <c r="AR215" s="296" t="s">
        <v>4606</v>
      </c>
      <c r="AS215" s="531" t="s">
        <v>4934</v>
      </c>
      <c r="AT215" s="685" t="s">
        <v>4935</v>
      </c>
      <c r="AU215" s="685" t="s">
        <v>4936</v>
      </c>
      <c r="AV215" s="531" t="s">
        <v>4937</v>
      </c>
      <c r="AW215" s="531" t="s">
        <v>5234</v>
      </c>
      <c r="AX215" s="531" t="s">
        <v>5235</v>
      </c>
      <c r="AY215" s="107" t="s">
        <v>5236</v>
      </c>
      <c r="AZ215" t="str">
        <f t="shared" si="148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5" s="433"/>
      <c r="CC215" s="433" t="str">
        <f t="shared" si="177"/>
        <v xml:space="preserve"> * La variable Usuario con Discapacidad no pueden superar el Total Ambos Sexos.</v>
      </c>
      <c r="CD215" s="438"/>
      <c r="CE215" s="438"/>
      <c r="CF215" s="433" t="str">
        <f t="shared" si="180"/>
        <v xml:space="preserve"> * La variable Migrantes no pueden superar el Total Ambos Sexos.</v>
      </c>
      <c r="CG215" s="433" t="str">
        <f t="shared" si="181"/>
        <v xml:space="preserve"> * La variable Egreso por Abandono no pueden superar el Total Ambos Sexos.</v>
      </c>
      <c r="CH215" s="433" t="str">
        <f t="shared" si="182"/>
        <v xml:space="preserve"> * La variable Persona con ingreso integral y condición crónica no pueden superar el Total Ambos Sexos.</v>
      </c>
      <c r="CI215" s="433" t="str">
        <f t="shared" si="183"/>
        <v xml:space="preserve"> * La variable Pueblos Originarios no pueden superar el Total Ambos Sexos.</v>
      </c>
      <c r="CP215" s="434"/>
      <c r="CQ215" s="434">
        <f t="shared" si="191"/>
        <v>1</v>
      </c>
      <c r="CR215" s="438"/>
      <c r="CS215" s="438"/>
      <c r="CT215" s="434">
        <f t="shared" si="188"/>
        <v>1</v>
      </c>
      <c r="CU215" s="434">
        <f>IF(AND($E215&gt;0,AW215=""),1,IF(AW215&gt;$E215,1,0))</f>
        <v>1</v>
      </c>
      <c r="CV215" s="434">
        <f t="shared" si="189"/>
        <v>1</v>
      </c>
      <c r="CW215" s="434">
        <f t="shared" si="190"/>
        <v>1</v>
      </c>
    </row>
    <row r="216" spans="1:101" ht="15" customHeight="1" x14ac:dyDescent="0.25">
      <c r="A216" s="5812" t="s">
        <v>5839</v>
      </c>
      <c r="B216" s="6842"/>
      <c r="C216" s="6842"/>
      <c r="D216" s="2143" t="s">
        <v>1775</v>
      </c>
      <c r="E216" s="3697" t="s">
        <v>4567</v>
      </c>
      <c r="F216" s="3693" t="s">
        <v>4568</v>
      </c>
      <c r="G216" s="3714" t="s">
        <v>4569</v>
      </c>
      <c r="H216" s="3231" t="s">
        <v>4570</v>
      </c>
      <c r="I216" s="824" t="s">
        <v>4571</v>
      </c>
      <c r="J216" s="3231" t="s">
        <v>4572</v>
      </c>
      <c r="K216" s="824" t="s">
        <v>4573</v>
      </c>
      <c r="L216" s="3231" t="s">
        <v>4574</v>
      </c>
      <c r="M216" s="824" t="s">
        <v>4575</v>
      </c>
      <c r="N216" s="3231" t="s">
        <v>4576</v>
      </c>
      <c r="O216" s="824" t="s">
        <v>4577</v>
      </c>
      <c r="P216" s="3231" t="s">
        <v>4578</v>
      </c>
      <c r="Q216" s="824" t="s">
        <v>4579</v>
      </c>
      <c r="R216" s="3231" t="s">
        <v>4580</v>
      </c>
      <c r="S216" s="824" t="s">
        <v>4581</v>
      </c>
      <c r="T216" s="3231" t="s">
        <v>4582</v>
      </c>
      <c r="U216" s="824" t="s">
        <v>4583</v>
      </c>
      <c r="V216" s="3231" t="s">
        <v>4584</v>
      </c>
      <c r="W216" s="824" t="s">
        <v>4585</v>
      </c>
      <c r="X216" s="3231" t="s">
        <v>4586</v>
      </c>
      <c r="Y216" s="824" t="s">
        <v>4587</v>
      </c>
      <c r="Z216" s="3233" t="s">
        <v>4588</v>
      </c>
      <c r="AA216" s="821" t="s">
        <v>4589</v>
      </c>
      <c r="AB216" s="3233" t="s">
        <v>4590</v>
      </c>
      <c r="AC216" s="821" t="s">
        <v>4591</v>
      </c>
      <c r="AD216" s="3233" t="s">
        <v>4592</v>
      </c>
      <c r="AE216" s="3265" t="s">
        <v>4593</v>
      </c>
      <c r="AF216" s="3265" t="s">
        <v>4594</v>
      </c>
      <c r="AG216" s="3265" t="s">
        <v>4595</v>
      </c>
      <c r="AH216" s="3265" t="s">
        <v>4596</v>
      </c>
      <c r="AI216" s="3265" t="s">
        <v>4597</v>
      </c>
      <c r="AJ216" s="3265" t="s">
        <v>4598</v>
      </c>
      <c r="AK216" s="821" t="s">
        <v>4599</v>
      </c>
      <c r="AL216" s="1264" t="s">
        <v>4600</v>
      </c>
      <c r="AM216" s="1447" t="s">
        <v>4601</v>
      </c>
      <c r="AN216" s="620" t="s">
        <v>4602</v>
      </c>
      <c r="AO216" s="3265" t="s">
        <v>4603</v>
      </c>
      <c r="AP216" s="3265" t="s">
        <v>4604</v>
      </c>
      <c r="AQ216" s="821" t="s">
        <v>4605</v>
      </c>
      <c r="AR216" s="266" t="s">
        <v>4606</v>
      </c>
      <c r="AS216" s="262" t="s">
        <v>4934</v>
      </c>
      <c r="AT216" s="3265" t="s">
        <v>4935</v>
      </c>
      <c r="AU216" s="3265" t="s">
        <v>4936</v>
      </c>
      <c r="AV216" s="262" t="s">
        <v>4937</v>
      </c>
      <c r="AW216" s="3716" t="s">
        <v>5234</v>
      </c>
      <c r="AX216" s="2872" t="s">
        <v>5235</v>
      </c>
      <c r="AY216" s="387" t="s">
        <v>5236</v>
      </c>
      <c r="AZ216" t="str">
        <f t="shared" si="148"/>
        <v xml:space="preserve"> * La variable Usuario con Discapacidad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6" s="433"/>
      <c r="CC216" s="433" t="str">
        <f t="shared" si="177"/>
        <v xml:space="preserve"> * La variable Usuario con Discapacidad no pueden superar el Total Ambos Sexos.</v>
      </c>
      <c r="CD216" s="438"/>
      <c r="CE216" s="438"/>
      <c r="CF216" s="433" t="str">
        <f t="shared" si="180"/>
        <v xml:space="preserve"> * La variable Migrantes no pueden superar el Total Ambos Sexos.</v>
      </c>
      <c r="CG216" s="438"/>
      <c r="CH216" s="433" t="str">
        <f t="shared" si="182"/>
        <v xml:space="preserve"> * La variable Persona con ingreso integral y condición crónica no pueden superar el Total Ambos Sexos.</v>
      </c>
      <c r="CI216" s="433" t="str">
        <f t="shared" si="183"/>
        <v xml:space="preserve"> * La variable Pueblos Originarios no pueden superar el Total Ambos Sexos.</v>
      </c>
      <c r="CP216" s="434"/>
      <c r="CQ216" s="434">
        <f t="shared" si="191"/>
        <v>1</v>
      </c>
      <c r="CR216" s="438"/>
      <c r="CS216" s="438"/>
      <c r="CT216" s="434">
        <f t="shared" si="188"/>
        <v>1</v>
      </c>
      <c r="CU216" s="438"/>
      <c r="CV216" s="434">
        <f t="shared" si="189"/>
        <v>1</v>
      </c>
      <c r="CW216" s="434">
        <f t="shared" si="190"/>
        <v>1</v>
      </c>
    </row>
    <row r="217" spans="1:101" ht="15" customHeight="1" x14ac:dyDescent="0.25">
      <c r="A217" s="5814" t="s">
        <v>5840</v>
      </c>
      <c r="B217" s="7034" t="s">
        <v>1776</v>
      </c>
      <c r="C217" s="6453" t="s">
        <v>1777</v>
      </c>
      <c r="D217" s="3360" t="s">
        <v>1778</v>
      </c>
      <c r="E217" s="3639" t="s">
        <v>4567</v>
      </c>
      <c r="F217" s="3667" t="s">
        <v>4568</v>
      </c>
      <c r="G217" s="3378" t="s">
        <v>4569</v>
      </c>
      <c r="H217" s="537" t="s">
        <v>4570</v>
      </c>
      <c r="I217" s="2659" t="s">
        <v>4571</v>
      </c>
      <c r="J217" s="537" t="s">
        <v>4572</v>
      </c>
      <c r="K217" s="2659" t="s">
        <v>4573</v>
      </c>
      <c r="L217" s="537" t="s">
        <v>4574</v>
      </c>
      <c r="M217" s="2659" t="s">
        <v>4575</v>
      </c>
      <c r="N217" s="537" t="s">
        <v>4576</v>
      </c>
      <c r="O217" s="2659" t="s">
        <v>4577</v>
      </c>
      <c r="P217" s="537" t="s">
        <v>4578</v>
      </c>
      <c r="Q217" s="2659" t="s">
        <v>4579</v>
      </c>
      <c r="R217" s="537" t="s">
        <v>4580</v>
      </c>
      <c r="S217" s="2659" t="s">
        <v>4581</v>
      </c>
      <c r="T217" s="537" t="s">
        <v>4582</v>
      </c>
      <c r="U217" s="2659" t="s">
        <v>4583</v>
      </c>
      <c r="V217" s="537" t="s">
        <v>4584</v>
      </c>
      <c r="W217" s="2659" t="s">
        <v>4585</v>
      </c>
      <c r="X217" s="537" t="s">
        <v>4586</v>
      </c>
      <c r="Y217" s="2659" t="s">
        <v>4587</v>
      </c>
      <c r="Z217" s="22" t="s">
        <v>4588</v>
      </c>
      <c r="AA217" s="622" t="s">
        <v>4589</v>
      </c>
      <c r="AB217" s="22" t="s">
        <v>4590</v>
      </c>
      <c r="AC217" s="622" t="s">
        <v>4591</v>
      </c>
      <c r="AD217" s="22" t="s">
        <v>4592</v>
      </c>
      <c r="AE217" s="107" t="s">
        <v>4593</v>
      </c>
      <c r="AF217" s="290" t="s">
        <v>4594</v>
      </c>
      <c r="AG217" s="107" t="s">
        <v>4595</v>
      </c>
      <c r="AH217" s="290" t="s">
        <v>4596</v>
      </c>
      <c r="AI217" s="107" t="s">
        <v>4597</v>
      </c>
      <c r="AJ217" s="290" t="s">
        <v>4598</v>
      </c>
      <c r="AK217" s="107" t="s">
        <v>4599</v>
      </c>
      <c r="AL217" s="290" t="s">
        <v>4600</v>
      </c>
      <c r="AM217" s="107" t="s">
        <v>4601</v>
      </c>
      <c r="AN217" s="290" t="s">
        <v>4602</v>
      </c>
      <c r="AO217" s="107" t="s">
        <v>4603</v>
      </c>
      <c r="AP217" s="290" t="s">
        <v>4604</v>
      </c>
      <c r="AQ217" s="107" t="s">
        <v>4605</v>
      </c>
      <c r="AR217" s="296" t="s">
        <v>4606</v>
      </c>
      <c r="AS217" s="531" t="s">
        <v>4934</v>
      </c>
      <c r="AT217" s="531" t="s">
        <v>4935</v>
      </c>
      <c r="AU217" s="531" t="s">
        <v>4936</v>
      </c>
      <c r="AV217" s="531" t="s">
        <v>4937</v>
      </c>
      <c r="AW217" s="531" t="s">
        <v>5234</v>
      </c>
      <c r="AX217" s="531" t="s">
        <v>5235</v>
      </c>
      <c r="AY217" s="107" t="s">
        <v>5236</v>
      </c>
      <c r="AZ217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7" s="433"/>
      <c r="CC217" s="433" t="str">
        <f t="shared" si="177"/>
        <v xml:space="preserve"> * La variable Usuario con Discapacidad no pueden superar el Total Ambos Sexos.</v>
      </c>
      <c r="CD217" s="433" t="str">
        <f t="shared" si="178"/>
        <v xml:space="preserve"> * La variable Niños, niñas, adolescentes y jóvenes SENAME no pueden superar el Total Ambos Sexos.</v>
      </c>
      <c r="CE217" s="433" t="str">
        <f t="shared" si="179"/>
        <v xml:space="preserve"> * La variable Niños, niñas, adolescentes y jóvenes Mejor Niñez no pueden superar el Total Ambos Sexos.</v>
      </c>
      <c r="CF217" s="433" t="str">
        <f t="shared" si="180"/>
        <v xml:space="preserve"> * La variable Migrantes no pueden superar el Total Ambos Sexos.</v>
      </c>
      <c r="CG217" s="433" t="str">
        <f t="shared" si="181"/>
        <v xml:space="preserve"> * La variable Egreso por Abandono no pueden superar el Total Ambos Sexos.</v>
      </c>
      <c r="CH217" s="433" t="str">
        <f t="shared" si="182"/>
        <v xml:space="preserve"> * La variable Persona con ingreso integral y condición crónica no pueden superar el Total Ambos Sexos.</v>
      </c>
      <c r="CI217" s="433" t="str">
        <f t="shared" si="183"/>
        <v xml:space="preserve"> * La variable Pueblos Originarios no pueden superar el Total Ambos Sexos.</v>
      </c>
      <c r="CP217" s="434"/>
      <c r="CQ217" s="434">
        <f t="shared" si="191"/>
        <v>1</v>
      </c>
      <c r="CR217" s="434">
        <f t="shared" ref="CR217:CR226" si="192">IF(AND($E217&gt;0,AT217=""),1,IF(AT217&gt;$E217,1,0))</f>
        <v>1</v>
      </c>
      <c r="CS217" s="434">
        <f t="shared" ref="CS217:CS226" si="193">IF(AND(E217&gt;0,AU217=""),1,IF(AU217&gt;E217,1,0))</f>
        <v>1</v>
      </c>
      <c r="CT217" s="434">
        <f t="shared" si="188"/>
        <v>1</v>
      </c>
      <c r="CU217" s="434">
        <f>IF(AND($E217&gt;0,AW217=""),1,IF(AW217&gt;$E217,1,0))</f>
        <v>1</v>
      </c>
      <c r="CV217" s="434">
        <f t="shared" si="189"/>
        <v>1</v>
      </c>
      <c r="CW217" s="434">
        <f t="shared" si="190"/>
        <v>1</v>
      </c>
    </row>
    <row r="218" spans="1:101" ht="22.5" x14ac:dyDescent="0.25">
      <c r="A218" s="5814" t="s">
        <v>5841</v>
      </c>
      <c r="B218" s="7035"/>
      <c r="C218" s="6058"/>
      <c r="D218" s="196" t="s">
        <v>1779</v>
      </c>
      <c r="E218" s="3646" t="s">
        <v>4567</v>
      </c>
      <c r="F218" s="3672" t="s">
        <v>4568</v>
      </c>
      <c r="G218" s="2629" t="s">
        <v>4569</v>
      </c>
      <c r="H218" s="537" t="s">
        <v>4570</v>
      </c>
      <c r="I218" s="2659" t="s">
        <v>4571</v>
      </c>
      <c r="J218" s="537" t="s">
        <v>4572</v>
      </c>
      <c r="K218" s="2659" t="s">
        <v>4573</v>
      </c>
      <c r="L218" s="537" t="s">
        <v>4574</v>
      </c>
      <c r="M218" s="2659" t="s">
        <v>4575</v>
      </c>
      <c r="N218" s="537" t="s">
        <v>4576</v>
      </c>
      <c r="O218" s="2659" t="s">
        <v>4577</v>
      </c>
      <c r="P218" s="537" t="s">
        <v>4578</v>
      </c>
      <c r="Q218" s="2659" t="s">
        <v>4579</v>
      </c>
      <c r="R218" s="537" t="s">
        <v>4580</v>
      </c>
      <c r="S218" s="2659" t="s">
        <v>4581</v>
      </c>
      <c r="T218" s="537" t="s">
        <v>4582</v>
      </c>
      <c r="U218" s="2659" t="s">
        <v>4583</v>
      </c>
      <c r="V218" s="537" t="s">
        <v>4584</v>
      </c>
      <c r="W218" s="2659" t="s">
        <v>4585</v>
      </c>
      <c r="X218" s="537" t="s">
        <v>4586</v>
      </c>
      <c r="Y218" s="2659" t="s">
        <v>4587</v>
      </c>
      <c r="Z218" s="686" t="s">
        <v>4588</v>
      </c>
      <c r="AA218" s="95" t="s">
        <v>4589</v>
      </c>
      <c r="AB218" s="686" t="s">
        <v>4590</v>
      </c>
      <c r="AC218" s="95" t="s">
        <v>4591</v>
      </c>
      <c r="AD218" s="686" t="s">
        <v>4592</v>
      </c>
      <c r="AE218" s="42" t="s">
        <v>4593</v>
      </c>
      <c r="AF218" s="47" t="s">
        <v>4594</v>
      </c>
      <c r="AG218" s="42" t="s">
        <v>4595</v>
      </c>
      <c r="AH218" s="47" t="s">
        <v>4596</v>
      </c>
      <c r="AI218" s="42" t="s">
        <v>4597</v>
      </c>
      <c r="AJ218" s="47" t="s">
        <v>4598</v>
      </c>
      <c r="AK218" s="42" t="s">
        <v>4599</v>
      </c>
      <c r="AL218" s="47" t="s">
        <v>4600</v>
      </c>
      <c r="AM218" s="42" t="s">
        <v>4601</v>
      </c>
      <c r="AN218" s="47" t="s">
        <v>4602</v>
      </c>
      <c r="AO218" s="42" t="s">
        <v>4603</v>
      </c>
      <c r="AP218" s="47" t="s">
        <v>4604</v>
      </c>
      <c r="AQ218" s="42" t="s">
        <v>4605</v>
      </c>
      <c r="AR218" s="74" t="s">
        <v>4606</v>
      </c>
      <c r="AS218" s="242" t="s">
        <v>4934</v>
      </c>
      <c r="AT218" s="242" t="s">
        <v>4935</v>
      </c>
      <c r="AU218" s="242" t="s">
        <v>4936</v>
      </c>
      <c r="AV218" s="242" t="s">
        <v>4937</v>
      </c>
      <c r="AW218" s="242" t="s">
        <v>5234</v>
      </c>
      <c r="AX218" s="242" t="s">
        <v>5235</v>
      </c>
      <c r="AY218" s="42" t="s">
        <v>5236</v>
      </c>
      <c r="AZ218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8" s="433"/>
      <c r="CC218" s="433" t="str">
        <f t="shared" si="177"/>
        <v xml:space="preserve"> * La variable Usuario con Discapacidad no pueden superar el Total Ambos Sexos.</v>
      </c>
      <c r="CD218" s="433" t="str">
        <f t="shared" si="178"/>
        <v xml:space="preserve"> * La variable Niños, niñas, adolescentes y jóvenes SENAME no pueden superar el Total Ambos Sexos.</v>
      </c>
      <c r="CE218" s="433" t="str">
        <f t="shared" si="179"/>
        <v xml:space="preserve"> * La variable Niños, niñas, adolescentes y jóvenes Mejor Niñez no pueden superar el Total Ambos Sexos.</v>
      </c>
      <c r="CF218" s="433" t="str">
        <f t="shared" si="180"/>
        <v xml:space="preserve"> * La variable Migrantes no pueden superar el Total Ambos Sexos.</v>
      </c>
      <c r="CG218" s="433" t="str">
        <f t="shared" si="181"/>
        <v xml:space="preserve"> * La variable Egreso por Abandono no pueden superar el Total Ambos Sexos.</v>
      </c>
      <c r="CH218" s="433" t="str">
        <f t="shared" si="182"/>
        <v xml:space="preserve"> * La variable Persona con ingreso integral y condición crónica no pueden superar el Total Ambos Sexos.</v>
      </c>
      <c r="CI218" s="433" t="str">
        <f t="shared" si="183"/>
        <v xml:space="preserve"> * La variable Pueblos Originarios no pueden superar el Total Ambos Sexos.</v>
      </c>
      <c r="CP218" s="434"/>
      <c r="CQ218" s="434">
        <f t="shared" si="191"/>
        <v>1</v>
      </c>
      <c r="CR218" s="434">
        <f t="shared" si="192"/>
        <v>1</v>
      </c>
      <c r="CS218" s="434">
        <f t="shared" si="193"/>
        <v>1</v>
      </c>
      <c r="CT218" s="434">
        <f t="shared" si="188"/>
        <v>1</v>
      </c>
      <c r="CU218" s="434">
        <f>IF(AND($E218&gt;0,AW218=""),1,IF(AW218&gt;$E218,1,0))</f>
        <v>1</v>
      </c>
      <c r="CV218" s="434">
        <f t="shared" si="189"/>
        <v>1</v>
      </c>
      <c r="CW218" s="434">
        <f t="shared" si="190"/>
        <v>1</v>
      </c>
    </row>
    <row r="219" spans="1:101" ht="22.5" x14ac:dyDescent="0.25">
      <c r="A219" s="5814" t="s">
        <v>5842</v>
      </c>
      <c r="B219" s="7036"/>
      <c r="C219" s="6842"/>
      <c r="D219" s="674" t="s">
        <v>1780</v>
      </c>
      <c r="E219" s="3697" t="s">
        <v>4567</v>
      </c>
      <c r="F219" s="3698" t="s">
        <v>4568</v>
      </c>
      <c r="G219" s="3720" t="s">
        <v>4569</v>
      </c>
      <c r="H219" s="537" t="s">
        <v>4570</v>
      </c>
      <c r="I219" s="2659" t="s">
        <v>4571</v>
      </c>
      <c r="J219" s="537" t="s">
        <v>4572</v>
      </c>
      <c r="K219" s="2659" t="s">
        <v>4573</v>
      </c>
      <c r="L219" s="537" t="s">
        <v>4574</v>
      </c>
      <c r="M219" s="2659" t="s">
        <v>4575</v>
      </c>
      <c r="N219" s="537" t="s">
        <v>4576</v>
      </c>
      <c r="O219" s="2659" t="s">
        <v>4577</v>
      </c>
      <c r="P219" s="537" t="s">
        <v>4578</v>
      </c>
      <c r="Q219" s="2659" t="s">
        <v>4579</v>
      </c>
      <c r="R219" s="537" t="s">
        <v>4580</v>
      </c>
      <c r="S219" s="2659" t="s">
        <v>4581</v>
      </c>
      <c r="T219" s="537" t="s">
        <v>4582</v>
      </c>
      <c r="U219" s="2659" t="s">
        <v>4583</v>
      </c>
      <c r="V219" s="537" t="s">
        <v>4584</v>
      </c>
      <c r="W219" s="2659" t="s">
        <v>4585</v>
      </c>
      <c r="X219" s="537" t="s">
        <v>4586</v>
      </c>
      <c r="Y219" s="2659" t="s">
        <v>4587</v>
      </c>
      <c r="Z219" s="428" t="s">
        <v>4588</v>
      </c>
      <c r="AA219" s="388" t="s">
        <v>4589</v>
      </c>
      <c r="AB219" s="428" t="s">
        <v>4590</v>
      </c>
      <c r="AC219" s="388" t="s">
        <v>4591</v>
      </c>
      <c r="AD219" s="428" t="s">
        <v>4592</v>
      </c>
      <c r="AE219" s="387" t="s">
        <v>4593</v>
      </c>
      <c r="AF219" s="379" t="s">
        <v>4594</v>
      </c>
      <c r="AG219" s="387" t="s">
        <v>4595</v>
      </c>
      <c r="AH219" s="379" t="s">
        <v>4596</v>
      </c>
      <c r="AI219" s="387" t="s">
        <v>4597</v>
      </c>
      <c r="AJ219" s="379" t="s">
        <v>4598</v>
      </c>
      <c r="AK219" s="387" t="s">
        <v>4599</v>
      </c>
      <c r="AL219" s="379" t="s">
        <v>4600</v>
      </c>
      <c r="AM219" s="387" t="s">
        <v>4601</v>
      </c>
      <c r="AN219" s="379" t="s">
        <v>4602</v>
      </c>
      <c r="AO219" s="387" t="s">
        <v>4603</v>
      </c>
      <c r="AP219" s="379" t="s">
        <v>4604</v>
      </c>
      <c r="AQ219" s="387" t="s">
        <v>4605</v>
      </c>
      <c r="AR219" s="378" t="s">
        <v>4606</v>
      </c>
      <c r="AS219" s="2872" t="s">
        <v>4934</v>
      </c>
      <c r="AT219" s="2872" t="s">
        <v>4935</v>
      </c>
      <c r="AU219" s="2872" t="s">
        <v>4936</v>
      </c>
      <c r="AV219" s="2872" t="s">
        <v>4937</v>
      </c>
      <c r="AW219" s="2872" t="s">
        <v>5234</v>
      </c>
      <c r="AX219" s="2872" t="s">
        <v>5235</v>
      </c>
      <c r="AY219" s="387" t="s">
        <v>5236</v>
      </c>
      <c r="AZ219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9" s="433"/>
      <c r="CC219" s="433" t="str">
        <f t="shared" si="177"/>
        <v xml:space="preserve"> * La variable Usuario con Discapacidad no pueden superar el Total Ambos Sexos.</v>
      </c>
      <c r="CD219" s="433" t="str">
        <f t="shared" si="178"/>
        <v xml:space="preserve"> * La variable Niños, niñas, adolescentes y jóvenes SENAME no pueden superar el Total Ambos Sexos.</v>
      </c>
      <c r="CE219" s="433" t="str">
        <f t="shared" si="179"/>
        <v xml:space="preserve"> * La variable Niños, niñas, adolescentes y jóvenes Mejor Niñez no pueden superar el Total Ambos Sexos.</v>
      </c>
      <c r="CF219" s="433" t="str">
        <f t="shared" si="180"/>
        <v xml:space="preserve"> * La variable Migrantes no pueden superar el Total Ambos Sexos.</v>
      </c>
      <c r="CG219" s="433" t="str">
        <f t="shared" si="181"/>
        <v xml:space="preserve"> * La variable Egreso por Abandono no pueden superar el Total Ambos Sexos.</v>
      </c>
      <c r="CH219" s="433" t="str">
        <f t="shared" si="182"/>
        <v xml:space="preserve"> * La variable Persona con ingreso integral y condición crónica no pueden superar el Total Ambos Sexos.</v>
      </c>
      <c r="CI219" s="433" t="str">
        <f t="shared" si="183"/>
        <v xml:space="preserve"> * La variable Pueblos Originarios no pueden superar el Total Ambos Sexos.</v>
      </c>
      <c r="CP219" s="434"/>
      <c r="CQ219" s="434">
        <f t="shared" si="191"/>
        <v>1</v>
      </c>
      <c r="CR219" s="434">
        <f t="shared" si="192"/>
        <v>1</v>
      </c>
      <c r="CS219" s="434">
        <f t="shared" si="193"/>
        <v>1</v>
      </c>
      <c r="CT219" s="434">
        <f t="shared" si="188"/>
        <v>1</v>
      </c>
      <c r="CU219" s="434">
        <f>IF(AND($E219&gt;0,AW219=""),1,IF(AW219&gt;$E219,1,0))</f>
        <v>1</v>
      </c>
      <c r="CV219" s="434">
        <f t="shared" si="189"/>
        <v>1</v>
      </c>
      <c r="CW219" s="434">
        <f t="shared" si="190"/>
        <v>1</v>
      </c>
    </row>
    <row r="220" spans="1:101" ht="35.25" customHeight="1" x14ac:dyDescent="0.25">
      <c r="A220" s="5814" t="s">
        <v>5843</v>
      </c>
      <c r="B220" s="7035" t="s">
        <v>1781</v>
      </c>
      <c r="C220" s="6453" t="s">
        <v>1782</v>
      </c>
      <c r="D220" s="3721" t="s">
        <v>1783</v>
      </c>
      <c r="E220" s="3658" t="s">
        <v>4567</v>
      </c>
      <c r="F220" s="3693" t="s">
        <v>4568</v>
      </c>
      <c r="G220" s="2632" t="s">
        <v>4569</v>
      </c>
      <c r="H220" s="3231" t="s">
        <v>4570</v>
      </c>
      <c r="I220" s="824" t="s">
        <v>4571</v>
      </c>
      <c r="J220" s="3231" t="s">
        <v>4572</v>
      </c>
      <c r="K220" s="824" t="s">
        <v>4573</v>
      </c>
      <c r="L220" s="3231" t="s">
        <v>4574</v>
      </c>
      <c r="M220" s="824" t="s">
        <v>4575</v>
      </c>
      <c r="N220" s="3231" t="s">
        <v>4576</v>
      </c>
      <c r="O220" s="824" t="s">
        <v>4577</v>
      </c>
      <c r="P220" s="3231" t="s">
        <v>4578</v>
      </c>
      <c r="Q220" s="824" t="s">
        <v>4579</v>
      </c>
      <c r="R220" s="3231" t="s">
        <v>4580</v>
      </c>
      <c r="S220" s="824" t="s">
        <v>4581</v>
      </c>
      <c r="T220" s="3231" t="s">
        <v>4582</v>
      </c>
      <c r="U220" s="824" t="s">
        <v>4583</v>
      </c>
      <c r="V220" s="3231" t="s">
        <v>4584</v>
      </c>
      <c r="W220" s="824" t="s">
        <v>4585</v>
      </c>
      <c r="X220" s="3231" t="s">
        <v>4586</v>
      </c>
      <c r="Y220" s="824" t="s">
        <v>4587</v>
      </c>
      <c r="Z220" s="3642" t="s">
        <v>4588</v>
      </c>
      <c r="AA220" s="819" t="s">
        <v>4589</v>
      </c>
      <c r="AB220" s="3642" t="s">
        <v>4590</v>
      </c>
      <c r="AC220" s="819" t="s">
        <v>4591</v>
      </c>
      <c r="AD220" s="3226" t="s">
        <v>4592</v>
      </c>
      <c r="AE220" s="566" t="s">
        <v>4593</v>
      </c>
      <c r="AF220" s="3227" t="s">
        <v>4594</v>
      </c>
      <c r="AG220" s="566" t="s">
        <v>4595</v>
      </c>
      <c r="AH220" s="3227" t="s">
        <v>4596</v>
      </c>
      <c r="AI220" s="566" t="s">
        <v>4597</v>
      </c>
      <c r="AJ220" s="3227" t="s">
        <v>4598</v>
      </c>
      <c r="AK220" s="566" t="s">
        <v>4599</v>
      </c>
      <c r="AL220" s="3227" t="s">
        <v>4600</v>
      </c>
      <c r="AM220" s="566" t="s">
        <v>4601</v>
      </c>
      <c r="AN220" s="3227" t="s">
        <v>4602</v>
      </c>
      <c r="AO220" s="566" t="s">
        <v>4603</v>
      </c>
      <c r="AP220" s="3227" t="s">
        <v>4604</v>
      </c>
      <c r="AQ220" s="552" t="s">
        <v>4605</v>
      </c>
      <c r="AR220" s="735" t="s">
        <v>4606</v>
      </c>
      <c r="AS220" s="750" t="s">
        <v>4934</v>
      </c>
      <c r="AT220" s="750" t="s">
        <v>4935</v>
      </c>
      <c r="AU220" s="750" t="s">
        <v>4936</v>
      </c>
      <c r="AV220" s="750" t="s">
        <v>4937</v>
      </c>
      <c r="AW220" s="3368" t="s">
        <v>5234</v>
      </c>
      <c r="AX220" s="750" t="s">
        <v>5235</v>
      </c>
      <c r="AY220" s="566" t="s">
        <v>5236</v>
      </c>
      <c r="AZ220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0" s="433"/>
      <c r="CC220" s="433" t="str">
        <f t="shared" si="177"/>
        <v xml:space="preserve"> * La variable Usuario con Discapacidad no pueden superar el Total Ambos Sexos.</v>
      </c>
      <c r="CD220" s="433" t="str">
        <f t="shared" si="178"/>
        <v xml:space="preserve"> * La variable Niños, niñas, adolescentes y jóvenes SENAME no pueden superar el Total Ambos Sexos.</v>
      </c>
      <c r="CE220" s="433" t="str">
        <f t="shared" si="179"/>
        <v xml:space="preserve"> * La variable Niños, niñas, adolescentes y jóvenes Mejor Niñez no pueden superar el Total Ambos Sexos.</v>
      </c>
      <c r="CF220" s="433" t="str">
        <f t="shared" si="180"/>
        <v xml:space="preserve"> * La variable Migrantes no pueden superar el Total Ambos Sexos.</v>
      </c>
      <c r="CG220" s="438"/>
      <c r="CH220" s="433" t="str">
        <f t="shared" si="182"/>
        <v xml:space="preserve"> * La variable Persona con ingreso integral y condición crónica no pueden superar el Total Ambos Sexos.</v>
      </c>
      <c r="CI220" s="433" t="str">
        <f t="shared" si="183"/>
        <v xml:space="preserve"> * La variable Pueblos Originarios no pueden superar el Total Ambos Sexos.</v>
      </c>
      <c r="CP220" s="434"/>
      <c r="CQ220" s="434">
        <f t="shared" si="191"/>
        <v>1</v>
      </c>
      <c r="CR220" s="434">
        <f t="shared" si="192"/>
        <v>1</v>
      </c>
      <c r="CS220" s="434">
        <f t="shared" si="193"/>
        <v>1</v>
      </c>
      <c r="CT220" s="434">
        <f t="shared" si="188"/>
        <v>1</v>
      </c>
      <c r="CU220" s="438"/>
      <c r="CV220" s="434">
        <f t="shared" si="189"/>
        <v>1</v>
      </c>
      <c r="CW220" s="434">
        <f t="shared" si="190"/>
        <v>1</v>
      </c>
    </row>
    <row r="221" spans="1:101" ht="28.5" customHeight="1" x14ac:dyDescent="0.25">
      <c r="A221" s="5814" t="s">
        <v>5844</v>
      </c>
      <c r="B221" s="7036"/>
      <c r="C221" s="6842"/>
      <c r="D221" s="2284" t="s">
        <v>1784</v>
      </c>
      <c r="E221" s="3697" t="s">
        <v>4567</v>
      </c>
      <c r="F221" s="3698" t="s">
        <v>4568</v>
      </c>
      <c r="G221" s="3720" t="s">
        <v>4569</v>
      </c>
      <c r="H221" s="3233" t="s">
        <v>4570</v>
      </c>
      <c r="I221" s="821" t="s">
        <v>4571</v>
      </c>
      <c r="J221" s="3233" t="s">
        <v>4572</v>
      </c>
      <c r="K221" s="821" t="s">
        <v>4573</v>
      </c>
      <c r="L221" s="3233" t="s">
        <v>4574</v>
      </c>
      <c r="M221" s="821" t="s">
        <v>4575</v>
      </c>
      <c r="N221" s="3233" t="s">
        <v>4576</v>
      </c>
      <c r="O221" s="821" t="s">
        <v>4577</v>
      </c>
      <c r="P221" s="3233" t="s">
        <v>4578</v>
      </c>
      <c r="Q221" s="821" t="s">
        <v>4579</v>
      </c>
      <c r="R221" s="3233" t="s">
        <v>4580</v>
      </c>
      <c r="S221" s="821" t="s">
        <v>4581</v>
      </c>
      <c r="T221" s="3233" t="s">
        <v>4582</v>
      </c>
      <c r="U221" s="821" t="s">
        <v>4583</v>
      </c>
      <c r="V221" s="3233" t="s">
        <v>4584</v>
      </c>
      <c r="W221" s="821" t="s">
        <v>4585</v>
      </c>
      <c r="X221" s="3233" t="s">
        <v>4586</v>
      </c>
      <c r="Y221" s="821" t="s">
        <v>4587</v>
      </c>
      <c r="Z221" s="3233" t="s">
        <v>4588</v>
      </c>
      <c r="AA221" s="821" t="s">
        <v>4589</v>
      </c>
      <c r="AB221" s="3233" t="s">
        <v>4590</v>
      </c>
      <c r="AC221" s="821" t="s">
        <v>4591</v>
      </c>
      <c r="AD221" s="428" t="s">
        <v>4592</v>
      </c>
      <c r="AE221" s="387" t="s">
        <v>4593</v>
      </c>
      <c r="AF221" s="379" t="s">
        <v>4594</v>
      </c>
      <c r="AG221" s="387" t="s">
        <v>4595</v>
      </c>
      <c r="AH221" s="379" t="s">
        <v>4596</v>
      </c>
      <c r="AI221" s="387" t="s">
        <v>4597</v>
      </c>
      <c r="AJ221" s="379" t="s">
        <v>4598</v>
      </c>
      <c r="AK221" s="387" t="s">
        <v>4599</v>
      </c>
      <c r="AL221" s="379" t="s">
        <v>4600</v>
      </c>
      <c r="AM221" s="387" t="s">
        <v>4601</v>
      </c>
      <c r="AN221" s="379" t="s">
        <v>4602</v>
      </c>
      <c r="AO221" s="387" t="s">
        <v>4603</v>
      </c>
      <c r="AP221" s="379" t="s">
        <v>4604</v>
      </c>
      <c r="AQ221" s="557" t="s">
        <v>4605</v>
      </c>
      <c r="AR221" s="378" t="s">
        <v>4606</v>
      </c>
      <c r="AS221" s="2872" t="s">
        <v>4934</v>
      </c>
      <c r="AT221" s="2872" t="s">
        <v>4935</v>
      </c>
      <c r="AU221" s="2872" t="s">
        <v>4936</v>
      </c>
      <c r="AV221" s="2872" t="s">
        <v>4937</v>
      </c>
      <c r="AW221" s="3265" t="s">
        <v>5234</v>
      </c>
      <c r="AX221" s="2872" t="s">
        <v>5235</v>
      </c>
      <c r="AY221" s="387" t="s">
        <v>5236</v>
      </c>
      <c r="AZ221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1" s="433"/>
      <c r="CC221" s="433" t="str">
        <f t="shared" si="177"/>
        <v xml:space="preserve"> * La variable Usuario con Discapacidad no pueden superar el Total Ambos Sexos.</v>
      </c>
      <c r="CD221" s="433" t="str">
        <f t="shared" si="178"/>
        <v xml:space="preserve"> * La variable Niños, niñas, adolescentes y jóvenes SENAME no pueden superar el Total Ambos Sexos.</v>
      </c>
      <c r="CE221" s="433" t="str">
        <f t="shared" si="179"/>
        <v xml:space="preserve"> * La variable Niños, niñas, adolescentes y jóvenes Mejor Niñez no pueden superar el Total Ambos Sexos.</v>
      </c>
      <c r="CF221" s="433" t="str">
        <f t="shared" si="180"/>
        <v xml:space="preserve"> * La variable Migrantes no pueden superar el Total Ambos Sexos.</v>
      </c>
      <c r="CG221" s="438"/>
      <c r="CH221" s="433" t="str">
        <f t="shared" si="182"/>
        <v xml:space="preserve"> * La variable Persona con ingreso integral y condición crónica no pueden superar el Total Ambos Sexos.</v>
      </c>
      <c r="CI221" s="433" t="str">
        <f t="shared" si="183"/>
        <v xml:space="preserve"> * La variable Pueblos Originarios no pueden superar el Total Ambos Sexos.</v>
      </c>
      <c r="CP221" s="434"/>
      <c r="CQ221" s="434">
        <f t="shared" si="191"/>
        <v>1</v>
      </c>
      <c r="CR221" s="434">
        <f t="shared" si="192"/>
        <v>1</v>
      </c>
      <c r="CS221" s="434">
        <f t="shared" si="193"/>
        <v>1</v>
      </c>
      <c r="CT221" s="434">
        <f t="shared" si="188"/>
        <v>1</v>
      </c>
      <c r="CU221" s="438"/>
      <c r="CV221" s="434">
        <f t="shared" si="189"/>
        <v>1</v>
      </c>
      <c r="CW221" s="434">
        <f t="shared" si="190"/>
        <v>1</v>
      </c>
    </row>
    <row r="222" spans="1:101" ht="15" customHeight="1" x14ac:dyDescent="0.25">
      <c r="A222" s="5813" t="s">
        <v>5845</v>
      </c>
      <c r="B222" s="7034" t="s">
        <v>1785</v>
      </c>
      <c r="C222" s="7040" t="s">
        <v>1786</v>
      </c>
      <c r="D222" s="3721" t="s">
        <v>1765</v>
      </c>
      <c r="E222" s="3639" t="s">
        <v>4567</v>
      </c>
      <c r="F222" s="3722" t="s">
        <v>4568</v>
      </c>
      <c r="G222" s="3378" t="s">
        <v>4569</v>
      </c>
      <c r="H222" s="3644" t="s">
        <v>4570</v>
      </c>
      <c r="I222" s="824" t="s">
        <v>4571</v>
      </c>
      <c r="J222" s="3231" t="s">
        <v>4572</v>
      </c>
      <c r="K222" s="824" t="s">
        <v>4573</v>
      </c>
      <c r="L222" s="3231" t="s">
        <v>4574</v>
      </c>
      <c r="M222" s="824" t="s">
        <v>4575</v>
      </c>
      <c r="N222" s="3231" t="s">
        <v>4576</v>
      </c>
      <c r="O222" s="824" t="s">
        <v>4577</v>
      </c>
      <c r="P222" s="3231" t="s">
        <v>4578</v>
      </c>
      <c r="Q222" s="824" t="s">
        <v>4579</v>
      </c>
      <c r="R222" s="3231" t="s">
        <v>4580</v>
      </c>
      <c r="S222" s="824" t="s">
        <v>4581</v>
      </c>
      <c r="T222" s="3231" t="s">
        <v>4582</v>
      </c>
      <c r="U222" s="824" t="s">
        <v>4583</v>
      </c>
      <c r="V222" s="3231" t="s">
        <v>4584</v>
      </c>
      <c r="W222" s="824" t="s">
        <v>4585</v>
      </c>
      <c r="X222" s="3231" t="s">
        <v>4586</v>
      </c>
      <c r="Y222" s="824" t="s">
        <v>4587</v>
      </c>
      <c r="Z222" s="3231" t="s">
        <v>4588</v>
      </c>
      <c r="AA222" s="819" t="s">
        <v>4589</v>
      </c>
      <c r="AB222" s="3226" t="s">
        <v>4590</v>
      </c>
      <c r="AC222" s="748" t="s">
        <v>4591</v>
      </c>
      <c r="AD222" s="3226" t="s">
        <v>4592</v>
      </c>
      <c r="AE222" s="566" t="s">
        <v>4593</v>
      </c>
      <c r="AF222" s="3226" t="s">
        <v>4594</v>
      </c>
      <c r="AG222" s="566" t="s">
        <v>4595</v>
      </c>
      <c r="AH222" s="3226" t="s">
        <v>4596</v>
      </c>
      <c r="AI222" s="566" t="s">
        <v>4597</v>
      </c>
      <c r="AJ222" s="3226" t="s">
        <v>4598</v>
      </c>
      <c r="AK222" s="566" t="s">
        <v>4599</v>
      </c>
      <c r="AL222" s="3226" t="s">
        <v>4600</v>
      </c>
      <c r="AM222" s="566" t="s">
        <v>4601</v>
      </c>
      <c r="AN222" s="3226" t="s">
        <v>4602</v>
      </c>
      <c r="AO222" s="566" t="s">
        <v>4603</v>
      </c>
      <c r="AP222" s="3227" t="s">
        <v>4604</v>
      </c>
      <c r="AQ222" s="552" t="s">
        <v>4605</v>
      </c>
      <c r="AR222" s="735" t="s">
        <v>4606</v>
      </c>
      <c r="AS222" s="750" t="s">
        <v>4934</v>
      </c>
      <c r="AT222" s="750" t="s">
        <v>4935</v>
      </c>
      <c r="AU222" s="750" t="s">
        <v>4936</v>
      </c>
      <c r="AV222" s="750" t="s">
        <v>4937</v>
      </c>
      <c r="AW222" s="750" t="s">
        <v>5234</v>
      </c>
      <c r="AX222" s="750" t="s">
        <v>5235</v>
      </c>
      <c r="AY222" s="566" t="s">
        <v>5236</v>
      </c>
      <c r="AZ222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22" s="433"/>
      <c r="CC222" s="433" t="str">
        <f t="shared" si="177"/>
        <v xml:space="preserve"> * La variable Usuario con Discapacidad no pueden superar el Total Ambos Sexos.</v>
      </c>
      <c r="CD222" s="433" t="str">
        <f t="shared" si="178"/>
        <v xml:space="preserve"> * La variable Niños, niñas, adolescentes y jóvenes SENAME no pueden superar el Total Ambos Sexos.</v>
      </c>
      <c r="CE222" s="433" t="str">
        <f t="shared" si="179"/>
        <v xml:space="preserve"> * La variable Niños, niñas, adolescentes y jóvenes Mejor Niñez no pueden superar el Total Ambos Sexos.</v>
      </c>
      <c r="CF222" s="433" t="str">
        <f t="shared" si="180"/>
        <v xml:space="preserve"> * La variable Migrantes no pueden superar el Total Ambos Sexos.</v>
      </c>
      <c r="CG222" s="433" t="str">
        <f t="shared" si="181"/>
        <v xml:space="preserve"> * La variable Egreso por Abandono no pueden superar el Total Ambos Sexos.</v>
      </c>
      <c r="CH222" s="433" t="str">
        <f t="shared" si="182"/>
        <v xml:space="preserve"> * La variable Persona con ingreso integral y condición crónica no pueden superar el Total Ambos Sexos.</v>
      </c>
      <c r="CI222" s="433" t="str">
        <f t="shared" si="183"/>
        <v xml:space="preserve"> * La variable Pueblos Originarios no pueden superar el Total Ambos Sexos.</v>
      </c>
      <c r="CP222" s="434"/>
      <c r="CQ222" s="434">
        <f t="shared" si="191"/>
        <v>1</v>
      </c>
      <c r="CR222" s="434">
        <f t="shared" si="192"/>
        <v>1</v>
      </c>
      <c r="CS222" s="434">
        <f t="shared" si="193"/>
        <v>1</v>
      </c>
      <c r="CT222" s="434">
        <f t="shared" si="188"/>
        <v>1</v>
      </c>
      <c r="CU222" s="434">
        <f>IF(AND($E222&gt;0,AW222=""),1,IF(AW222&gt;$E222,1,0))</f>
        <v>1</v>
      </c>
      <c r="CV222" s="434">
        <f t="shared" si="189"/>
        <v>1</v>
      </c>
      <c r="CW222" s="434">
        <f t="shared" si="190"/>
        <v>1</v>
      </c>
    </row>
    <row r="223" spans="1:101" ht="15" customHeight="1" x14ac:dyDescent="0.25">
      <c r="A223" s="5815" t="s">
        <v>5846</v>
      </c>
      <c r="B223" s="7035"/>
      <c r="C223" s="7041"/>
      <c r="D223" s="3723" t="s">
        <v>4415</v>
      </c>
      <c r="E223" s="3724" t="s">
        <v>4567</v>
      </c>
      <c r="F223" s="3725" t="s">
        <v>4568</v>
      </c>
      <c r="G223" s="3720" t="s">
        <v>4569</v>
      </c>
      <c r="H223" s="288" t="s">
        <v>4570</v>
      </c>
      <c r="I223" s="3726" t="s">
        <v>4571</v>
      </c>
      <c r="J223" s="3651" t="s">
        <v>4572</v>
      </c>
      <c r="K223" s="3726" t="s">
        <v>4573</v>
      </c>
      <c r="L223" s="3651" t="s">
        <v>4574</v>
      </c>
      <c r="M223" s="3726" t="s">
        <v>4575</v>
      </c>
      <c r="N223" s="3651" t="s">
        <v>4576</v>
      </c>
      <c r="O223" s="3726" t="s">
        <v>4577</v>
      </c>
      <c r="P223" s="3651" t="s">
        <v>4578</v>
      </c>
      <c r="Q223" s="3726" t="s">
        <v>4579</v>
      </c>
      <c r="R223" s="3651" t="s">
        <v>4580</v>
      </c>
      <c r="S223" s="3726" t="s">
        <v>4581</v>
      </c>
      <c r="T223" s="3651" t="s">
        <v>4582</v>
      </c>
      <c r="U223" s="3726" t="s">
        <v>4583</v>
      </c>
      <c r="V223" s="3651" t="s">
        <v>4584</v>
      </c>
      <c r="W223" s="3726" t="s">
        <v>4585</v>
      </c>
      <c r="X223" s="3651" t="s">
        <v>4586</v>
      </c>
      <c r="Y223" s="3726" t="s">
        <v>4587</v>
      </c>
      <c r="Z223" s="3651" t="s">
        <v>4588</v>
      </c>
      <c r="AA223" s="3726" t="s">
        <v>4589</v>
      </c>
      <c r="AB223" s="428" t="s">
        <v>4590</v>
      </c>
      <c r="AC223" s="388" t="s">
        <v>4591</v>
      </c>
      <c r="AD223" s="428" t="s">
        <v>4592</v>
      </c>
      <c r="AE223" s="387" t="s">
        <v>4593</v>
      </c>
      <c r="AF223" s="428" t="s">
        <v>4594</v>
      </c>
      <c r="AG223" s="387" t="s">
        <v>4595</v>
      </c>
      <c r="AH223" s="428" t="s">
        <v>4596</v>
      </c>
      <c r="AI223" s="387" t="s">
        <v>4597</v>
      </c>
      <c r="AJ223" s="428" t="s">
        <v>4598</v>
      </c>
      <c r="AK223" s="387" t="s">
        <v>4599</v>
      </c>
      <c r="AL223" s="428" t="s">
        <v>4600</v>
      </c>
      <c r="AM223" s="387" t="s">
        <v>4601</v>
      </c>
      <c r="AN223" s="428" t="s">
        <v>4602</v>
      </c>
      <c r="AO223" s="387" t="s">
        <v>4603</v>
      </c>
      <c r="AP223" s="379" t="s">
        <v>4604</v>
      </c>
      <c r="AQ223" s="557" t="s">
        <v>4605</v>
      </c>
      <c r="AR223" s="378" t="s">
        <v>4606</v>
      </c>
      <c r="AS223" s="2872" t="s">
        <v>4934</v>
      </c>
      <c r="AT223" s="2872" t="s">
        <v>4935</v>
      </c>
      <c r="AU223" s="2872" t="s">
        <v>4936</v>
      </c>
      <c r="AV223" s="2872" t="s">
        <v>4937</v>
      </c>
      <c r="AW223" s="3265" t="s">
        <v>5234</v>
      </c>
      <c r="AX223" s="2872" t="s">
        <v>5235</v>
      </c>
      <c r="AY223" s="387" t="s">
        <v>5236</v>
      </c>
      <c r="AZ223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3" s="433"/>
      <c r="CC223" s="433" t="str">
        <f t="shared" si="177"/>
        <v xml:space="preserve"> * La variable Usuario con Discapacidad no pueden superar el Total Ambos Sexos.</v>
      </c>
      <c r="CD223" s="433" t="str">
        <f t="shared" si="178"/>
        <v xml:space="preserve"> * La variable Niños, niñas, adolescentes y jóvenes SENAME no pueden superar el Total Ambos Sexos.</v>
      </c>
      <c r="CE223" s="433" t="str">
        <f t="shared" si="179"/>
        <v xml:space="preserve"> * La variable Niños, niñas, adolescentes y jóvenes Mejor Niñez no pueden superar el Total Ambos Sexos.</v>
      </c>
      <c r="CF223" s="433" t="str">
        <f t="shared" si="180"/>
        <v xml:space="preserve"> * La variable Migrantes no pueden superar el Total Ambos Sexos.</v>
      </c>
      <c r="CG223" s="438"/>
      <c r="CH223" s="433" t="str">
        <f t="shared" si="182"/>
        <v xml:space="preserve"> * La variable Persona con ingreso integral y condición crónica no pueden superar el Total Ambos Sexos.</v>
      </c>
      <c r="CI223" s="433" t="str">
        <f t="shared" si="183"/>
        <v xml:space="preserve"> * La variable Pueblos Originarios no pueden superar el Total Ambos Sexos.</v>
      </c>
      <c r="CP223" s="434"/>
      <c r="CQ223" s="434">
        <f t="shared" si="191"/>
        <v>1</v>
      </c>
      <c r="CR223" s="434">
        <f t="shared" si="192"/>
        <v>1</v>
      </c>
      <c r="CS223" s="434">
        <f t="shared" si="193"/>
        <v>1</v>
      </c>
      <c r="CT223" s="434">
        <f t="shared" si="188"/>
        <v>1</v>
      </c>
      <c r="CU223" s="438"/>
      <c r="CV223" s="434">
        <f t="shared" si="189"/>
        <v>1</v>
      </c>
      <c r="CW223" s="434">
        <f t="shared" si="190"/>
        <v>1</v>
      </c>
    </row>
    <row r="224" spans="1:101" ht="15" customHeight="1" x14ac:dyDescent="0.25">
      <c r="A224" s="5815" t="s">
        <v>5847</v>
      </c>
      <c r="B224" s="7035"/>
      <c r="C224" s="6453" t="s">
        <v>1787</v>
      </c>
      <c r="D224" s="3721" t="s">
        <v>1765</v>
      </c>
      <c r="E224" s="3639" t="s">
        <v>4567</v>
      </c>
      <c r="F224" s="3693" t="s">
        <v>4568</v>
      </c>
      <c r="G224" s="2632" t="s">
        <v>4569</v>
      </c>
      <c r="H224" s="3644" t="s">
        <v>4570</v>
      </c>
      <c r="I224" s="819" t="s">
        <v>4571</v>
      </c>
      <c r="J224" s="3642" t="s">
        <v>4572</v>
      </c>
      <c r="K224" s="819" t="s">
        <v>4573</v>
      </c>
      <c r="L224" s="3642" t="s">
        <v>4574</v>
      </c>
      <c r="M224" s="819" t="s">
        <v>4575</v>
      </c>
      <c r="N224" s="3642" t="s">
        <v>4576</v>
      </c>
      <c r="O224" s="819" t="s">
        <v>4577</v>
      </c>
      <c r="P224" s="3642" t="s">
        <v>4578</v>
      </c>
      <c r="Q224" s="819" t="s">
        <v>4579</v>
      </c>
      <c r="R224" s="3642" t="s">
        <v>4580</v>
      </c>
      <c r="S224" s="819" t="s">
        <v>4581</v>
      </c>
      <c r="T224" s="3642" t="s">
        <v>4582</v>
      </c>
      <c r="U224" s="819" t="s">
        <v>4583</v>
      </c>
      <c r="V224" s="3642" t="s">
        <v>4584</v>
      </c>
      <c r="W224" s="819" t="s">
        <v>4585</v>
      </c>
      <c r="X224" s="3642" t="s">
        <v>4586</v>
      </c>
      <c r="Y224" s="819" t="s">
        <v>4587</v>
      </c>
      <c r="Z224" s="3642" t="s">
        <v>4588</v>
      </c>
      <c r="AA224" s="819" t="s">
        <v>4589</v>
      </c>
      <c r="AB224" s="22" t="s">
        <v>4590</v>
      </c>
      <c r="AC224" s="622" t="s">
        <v>4591</v>
      </c>
      <c r="AD224" s="3226" t="s">
        <v>4592</v>
      </c>
      <c r="AE224" s="566" t="s">
        <v>4593</v>
      </c>
      <c r="AF224" s="3226" t="s">
        <v>4594</v>
      </c>
      <c r="AG224" s="566" t="s">
        <v>4595</v>
      </c>
      <c r="AH224" s="3226" t="s">
        <v>4596</v>
      </c>
      <c r="AI224" s="566" t="s">
        <v>4597</v>
      </c>
      <c r="AJ224" s="3226" t="s">
        <v>4598</v>
      </c>
      <c r="AK224" s="566" t="s">
        <v>4599</v>
      </c>
      <c r="AL224" s="3226" t="s">
        <v>4600</v>
      </c>
      <c r="AM224" s="566" t="s">
        <v>4601</v>
      </c>
      <c r="AN224" s="3226" t="s">
        <v>4602</v>
      </c>
      <c r="AO224" s="566" t="s">
        <v>4603</v>
      </c>
      <c r="AP224" s="3227" t="s">
        <v>4604</v>
      </c>
      <c r="AQ224" s="566" t="s">
        <v>4605</v>
      </c>
      <c r="AR224" s="735" t="s">
        <v>4606</v>
      </c>
      <c r="AS224" s="750" t="s">
        <v>4934</v>
      </c>
      <c r="AT224" s="750" t="s">
        <v>4935</v>
      </c>
      <c r="AU224" s="750" t="s">
        <v>4936</v>
      </c>
      <c r="AV224" s="750" t="s">
        <v>4937</v>
      </c>
      <c r="AW224" s="750" t="s">
        <v>5234</v>
      </c>
      <c r="AX224" s="750" t="s">
        <v>5235</v>
      </c>
      <c r="AY224" s="566" t="s">
        <v>5236</v>
      </c>
      <c r="AZ224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24" s="433"/>
      <c r="CC224" s="433" t="str">
        <f t="shared" si="177"/>
        <v xml:space="preserve"> * La variable Usuario con Discapacidad no pueden superar el Total Ambos Sexos.</v>
      </c>
      <c r="CD224" s="433" t="str">
        <f t="shared" si="178"/>
        <v xml:space="preserve"> * La variable Niños, niñas, adolescentes y jóvenes SENAME no pueden superar el Total Ambos Sexos.</v>
      </c>
      <c r="CE224" s="433" t="str">
        <f t="shared" si="179"/>
        <v xml:space="preserve"> * La variable Niños, niñas, adolescentes y jóvenes Mejor Niñez no pueden superar el Total Ambos Sexos.</v>
      </c>
      <c r="CF224" s="433" t="str">
        <f t="shared" si="180"/>
        <v xml:space="preserve"> * La variable Migrantes no pueden superar el Total Ambos Sexos.</v>
      </c>
      <c r="CG224" s="433" t="str">
        <f t="shared" si="181"/>
        <v xml:space="preserve"> * La variable Egreso por Abandono no pueden superar el Total Ambos Sexos.</v>
      </c>
      <c r="CH224" s="433" t="str">
        <f t="shared" si="182"/>
        <v xml:space="preserve"> * La variable Persona con ingreso integral y condición crónica no pueden superar el Total Ambos Sexos.</v>
      </c>
      <c r="CI224" s="433" t="str">
        <f t="shared" si="183"/>
        <v xml:space="preserve"> * La variable Pueblos Originarios no pueden superar el Total Ambos Sexos.</v>
      </c>
      <c r="CP224" s="434"/>
      <c r="CQ224" s="434">
        <f t="shared" si="191"/>
        <v>1</v>
      </c>
      <c r="CR224" s="434">
        <f t="shared" si="192"/>
        <v>1</v>
      </c>
      <c r="CS224" s="434">
        <f t="shared" si="193"/>
        <v>1</v>
      </c>
      <c r="CT224" s="434">
        <f t="shared" si="188"/>
        <v>1</v>
      </c>
      <c r="CU224" s="434">
        <f>IF(AND($E224&gt;0,AW224=""),1,IF(AW224&gt;$E224,1,0))</f>
        <v>1</v>
      </c>
      <c r="CV224" s="434">
        <f t="shared" si="189"/>
        <v>1</v>
      </c>
      <c r="CW224" s="434">
        <f t="shared" si="190"/>
        <v>1</v>
      </c>
    </row>
    <row r="225" spans="1:101" ht="15" customHeight="1" x14ac:dyDescent="0.25">
      <c r="A225" s="5815" t="s">
        <v>5848</v>
      </c>
      <c r="B225" s="7035"/>
      <c r="C225" s="6058"/>
      <c r="D225" s="3274" t="s">
        <v>1769</v>
      </c>
      <c r="E225" s="3658" t="s">
        <v>4567</v>
      </c>
      <c r="F225" s="3693" t="s">
        <v>4568</v>
      </c>
      <c r="G225" s="2629" t="s">
        <v>4569</v>
      </c>
      <c r="H225" s="670" t="s">
        <v>4570</v>
      </c>
      <c r="I225" s="2659" t="s">
        <v>4571</v>
      </c>
      <c r="J225" s="537" t="s">
        <v>4572</v>
      </c>
      <c r="K225" s="2659" t="s">
        <v>4573</v>
      </c>
      <c r="L225" s="537" t="s">
        <v>4574</v>
      </c>
      <c r="M225" s="2659" t="s">
        <v>4575</v>
      </c>
      <c r="N225" s="537" t="s">
        <v>4576</v>
      </c>
      <c r="O225" s="2659" t="s">
        <v>4577</v>
      </c>
      <c r="P225" s="537" t="s">
        <v>4578</v>
      </c>
      <c r="Q225" s="2659" t="s">
        <v>4579</v>
      </c>
      <c r="R225" s="537" t="s">
        <v>4580</v>
      </c>
      <c r="S225" s="2659" t="s">
        <v>4581</v>
      </c>
      <c r="T225" s="537" t="s">
        <v>4582</v>
      </c>
      <c r="U225" s="2659" t="s">
        <v>4583</v>
      </c>
      <c r="V225" s="537" t="s">
        <v>4584</v>
      </c>
      <c r="W225" s="2659" t="s">
        <v>4585</v>
      </c>
      <c r="X225" s="537" t="s">
        <v>4586</v>
      </c>
      <c r="Y225" s="2659" t="s">
        <v>4587</v>
      </c>
      <c r="Z225" s="537" t="s">
        <v>4588</v>
      </c>
      <c r="AA225" s="2659" t="s">
        <v>4589</v>
      </c>
      <c r="AB225" s="686" t="s">
        <v>4590</v>
      </c>
      <c r="AC225" s="95" t="s">
        <v>4591</v>
      </c>
      <c r="AD225" s="686" t="s">
        <v>4592</v>
      </c>
      <c r="AE225" s="42" t="s">
        <v>4593</v>
      </c>
      <c r="AF225" s="686" t="s">
        <v>4594</v>
      </c>
      <c r="AG225" s="42" t="s">
        <v>4595</v>
      </c>
      <c r="AH225" s="686" t="s">
        <v>4596</v>
      </c>
      <c r="AI225" s="42" t="s">
        <v>4597</v>
      </c>
      <c r="AJ225" s="686" t="s">
        <v>4598</v>
      </c>
      <c r="AK225" s="42" t="s">
        <v>4599</v>
      </c>
      <c r="AL225" s="686" t="s">
        <v>4600</v>
      </c>
      <c r="AM225" s="42" t="s">
        <v>4601</v>
      </c>
      <c r="AN225" s="686" t="s">
        <v>4602</v>
      </c>
      <c r="AO225" s="42" t="s">
        <v>4603</v>
      </c>
      <c r="AP225" s="47" t="s">
        <v>4604</v>
      </c>
      <c r="AQ225" s="42" t="s">
        <v>4605</v>
      </c>
      <c r="AR225" s="74" t="s">
        <v>4606</v>
      </c>
      <c r="AS225" s="242" t="s">
        <v>4934</v>
      </c>
      <c r="AT225" s="242" t="s">
        <v>4935</v>
      </c>
      <c r="AU225" s="242" t="s">
        <v>4936</v>
      </c>
      <c r="AV225" s="242" t="s">
        <v>4937</v>
      </c>
      <c r="AW225" s="685" t="s">
        <v>5234</v>
      </c>
      <c r="AX225" s="242" t="s">
        <v>5235</v>
      </c>
      <c r="AY225" s="42" t="s">
        <v>5236</v>
      </c>
      <c r="AZ225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5" s="433"/>
      <c r="CC225" s="433" t="str">
        <f t="shared" si="177"/>
        <v xml:space="preserve"> * La variable Usuario con Discapacidad no pueden superar el Total Ambos Sexos.</v>
      </c>
      <c r="CD225" s="433" t="str">
        <f t="shared" si="178"/>
        <v xml:space="preserve"> * La variable Niños, niñas, adolescentes y jóvenes SENAME no pueden superar el Total Ambos Sexos.</v>
      </c>
      <c r="CE225" s="433" t="str">
        <f t="shared" si="179"/>
        <v xml:space="preserve"> * La variable Niños, niñas, adolescentes y jóvenes Mejor Niñez no pueden superar el Total Ambos Sexos.</v>
      </c>
      <c r="CF225" s="433" t="str">
        <f t="shared" si="180"/>
        <v xml:space="preserve"> * La variable Migrantes no pueden superar el Total Ambos Sexos.</v>
      </c>
      <c r="CG225" s="438"/>
      <c r="CH225" s="433" t="str">
        <f t="shared" si="182"/>
        <v xml:space="preserve"> * La variable Persona con ingreso integral y condición crónica no pueden superar el Total Ambos Sexos.</v>
      </c>
      <c r="CI225" s="433" t="str">
        <f t="shared" si="183"/>
        <v xml:space="preserve"> * La variable Pueblos Originarios no pueden superar el Total Ambos Sexos.</v>
      </c>
      <c r="CP225" s="434"/>
      <c r="CQ225" s="434">
        <f t="shared" si="191"/>
        <v>1</v>
      </c>
      <c r="CR225" s="434">
        <f t="shared" si="192"/>
        <v>1</v>
      </c>
      <c r="CS225" s="434">
        <f t="shared" si="193"/>
        <v>1</v>
      </c>
      <c r="CT225" s="434">
        <f t="shared" si="188"/>
        <v>1</v>
      </c>
      <c r="CU225" s="438"/>
      <c r="CV225" s="434">
        <f t="shared" si="189"/>
        <v>1</v>
      </c>
      <c r="CW225" s="434">
        <f t="shared" si="190"/>
        <v>1</v>
      </c>
    </row>
    <row r="226" spans="1:101" ht="15" customHeight="1" x14ac:dyDescent="0.25">
      <c r="A226" s="5815" t="s">
        <v>5849</v>
      </c>
      <c r="B226" s="7036"/>
      <c r="C226" s="6842"/>
      <c r="D226" s="2284" t="s">
        <v>1788</v>
      </c>
      <c r="E226" s="3673" t="s">
        <v>4567</v>
      </c>
      <c r="F226" s="3395" t="s">
        <v>4568</v>
      </c>
      <c r="G226" s="3720" t="s">
        <v>4569</v>
      </c>
      <c r="H226" s="384" t="s">
        <v>4570</v>
      </c>
      <c r="I226" s="821" t="s">
        <v>4571</v>
      </c>
      <c r="J226" s="3233" t="s">
        <v>4572</v>
      </c>
      <c r="K226" s="821" t="s">
        <v>4573</v>
      </c>
      <c r="L226" s="3233" t="s">
        <v>4574</v>
      </c>
      <c r="M226" s="821" t="s">
        <v>4575</v>
      </c>
      <c r="N226" s="3233" t="s">
        <v>4576</v>
      </c>
      <c r="O226" s="821" t="s">
        <v>4577</v>
      </c>
      <c r="P226" s="3233" t="s">
        <v>4578</v>
      </c>
      <c r="Q226" s="821" t="s">
        <v>4579</v>
      </c>
      <c r="R226" s="3233" t="s">
        <v>4580</v>
      </c>
      <c r="S226" s="821" t="s">
        <v>4581</v>
      </c>
      <c r="T226" s="3233" t="s">
        <v>4582</v>
      </c>
      <c r="U226" s="821" t="s">
        <v>4583</v>
      </c>
      <c r="V226" s="3233" t="s">
        <v>4584</v>
      </c>
      <c r="W226" s="821" t="s">
        <v>4585</v>
      </c>
      <c r="X226" s="3233" t="s">
        <v>4586</v>
      </c>
      <c r="Y226" s="821" t="s">
        <v>4587</v>
      </c>
      <c r="Z226" s="3233" t="s">
        <v>4588</v>
      </c>
      <c r="AA226" s="821" t="s">
        <v>4589</v>
      </c>
      <c r="AB226" s="428" t="s">
        <v>4590</v>
      </c>
      <c r="AC226" s="388" t="s">
        <v>4591</v>
      </c>
      <c r="AD226" s="428" t="s">
        <v>4592</v>
      </c>
      <c r="AE226" s="387" t="s">
        <v>4593</v>
      </c>
      <c r="AF226" s="428" t="s">
        <v>4594</v>
      </c>
      <c r="AG226" s="387" t="s">
        <v>4595</v>
      </c>
      <c r="AH226" s="428" t="s">
        <v>4596</v>
      </c>
      <c r="AI226" s="387" t="s">
        <v>4597</v>
      </c>
      <c r="AJ226" s="428" t="s">
        <v>4598</v>
      </c>
      <c r="AK226" s="387" t="s">
        <v>4599</v>
      </c>
      <c r="AL226" s="428" t="s">
        <v>4600</v>
      </c>
      <c r="AM226" s="387" t="s">
        <v>4601</v>
      </c>
      <c r="AN226" s="428" t="s">
        <v>4602</v>
      </c>
      <c r="AO226" s="387" t="s">
        <v>4603</v>
      </c>
      <c r="AP226" s="379" t="s">
        <v>4604</v>
      </c>
      <c r="AQ226" s="387" t="s">
        <v>4605</v>
      </c>
      <c r="AR226" s="378" t="s">
        <v>4606</v>
      </c>
      <c r="AS226" s="2872" t="s">
        <v>4934</v>
      </c>
      <c r="AT226" s="2872" t="s">
        <v>4935</v>
      </c>
      <c r="AU226" s="2872" t="s">
        <v>4936</v>
      </c>
      <c r="AV226" s="2872" t="s">
        <v>4937</v>
      </c>
      <c r="AW226" s="3265" t="s">
        <v>5234</v>
      </c>
      <c r="AX226" s="2872" t="s">
        <v>5235</v>
      </c>
      <c r="AY226" s="387" t="s">
        <v>5236</v>
      </c>
      <c r="AZ226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6" s="433"/>
      <c r="CC226" s="433" t="str">
        <f t="shared" si="177"/>
        <v xml:space="preserve"> * La variable Usuario con Discapacidad no pueden superar el Total Ambos Sexos.</v>
      </c>
      <c r="CD226" s="433" t="str">
        <f t="shared" si="178"/>
        <v xml:space="preserve"> * La variable Niños, niñas, adolescentes y jóvenes SENAME no pueden superar el Total Ambos Sexos.</v>
      </c>
      <c r="CE226" s="433" t="str">
        <f t="shared" si="179"/>
        <v xml:space="preserve"> * La variable Niños, niñas, adolescentes y jóvenes Mejor Niñez no pueden superar el Total Ambos Sexos.</v>
      </c>
      <c r="CF226" s="433" t="str">
        <f t="shared" si="180"/>
        <v xml:space="preserve"> * La variable Migrantes no pueden superar el Total Ambos Sexos.</v>
      </c>
      <c r="CG226" s="438"/>
      <c r="CH226" s="433" t="str">
        <f t="shared" si="182"/>
        <v xml:space="preserve"> * La variable Persona con ingreso integral y condición crónica no pueden superar el Total Ambos Sexos.</v>
      </c>
      <c r="CI226" s="433" t="str">
        <f t="shared" si="183"/>
        <v xml:space="preserve"> * La variable Pueblos Originarios no pueden superar el Total Ambos Sexos.</v>
      </c>
      <c r="CP226" s="434"/>
      <c r="CQ226" s="434">
        <f t="shared" si="191"/>
        <v>1</v>
      </c>
      <c r="CR226" s="434">
        <f t="shared" si="192"/>
        <v>1</v>
      </c>
      <c r="CS226" s="434">
        <f t="shared" si="193"/>
        <v>1</v>
      </c>
      <c r="CT226" s="434">
        <f t="shared" si="188"/>
        <v>1</v>
      </c>
      <c r="CU226" s="438"/>
      <c r="CV226" s="434">
        <f t="shared" si="189"/>
        <v>1</v>
      </c>
      <c r="CW226" s="434">
        <f t="shared" si="190"/>
        <v>1</v>
      </c>
    </row>
    <row r="227" spans="1:101" ht="18" customHeight="1" x14ac:dyDescent="0.25">
      <c r="A227" s="5548"/>
      <c r="B227" s="3" t="s">
        <v>1789</v>
      </c>
      <c r="C227" s="3638"/>
      <c r="D227" s="3638"/>
      <c r="E227" s="363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1839"/>
      <c r="AA227" s="1839"/>
      <c r="AB227" s="1839"/>
      <c r="AC227" s="1839"/>
      <c r="AD227" s="1839"/>
      <c r="AE227" s="1839"/>
      <c r="AF227" s="1839"/>
      <c r="AG227" s="1839"/>
      <c r="AH227" s="1839"/>
      <c r="AZ227" t="str">
        <f t="shared" ref="AZ227:AZ246" si="194">CB227&amp;CC227&amp;CD227&amp;CE227&amp;CF227&amp;CG227&amp;CI227</f>
        <v/>
      </c>
    </row>
    <row r="228" spans="1:101" ht="15" customHeight="1" x14ac:dyDescent="0.25">
      <c r="A228" s="5548"/>
      <c r="B228" s="6575" t="s">
        <v>219</v>
      </c>
      <c r="C228" s="6491"/>
      <c r="D228" s="6576"/>
      <c r="E228" s="6212" t="s">
        <v>77</v>
      </c>
      <c r="F228" s="6510"/>
      <c r="G228" s="6511"/>
      <c r="H228" s="6956" t="s">
        <v>101</v>
      </c>
      <c r="I228" s="6515"/>
      <c r="J228" s="6515"/>
      <c r="K228" s="6515"/>
      <c r="L228" s="6515"/>
      <c r="M228" s="6515"/>
      <c r="N228" s="6515"/>
      <c r="O228" s="6515"/>
      <c r="P228" s="6515"/>
      <c r="Q228" s="6515"/>
      <c r="R228" s="6515"/>
      <c r="S228" s="6515"/>
      <c r="T228" s="6515"/>
      <c r="U228" s="6515"/>
      <c r="V228" s="6515"/>
      <c r="W228" s="6515"/>
      <c r="X228" s="6515"/>
      <c r="Y228" s="6515"/>
      <c r="Z228" s="6515"/>
      <c r="AA228" s="6515"/>
      <c r="AB228" s="6515"/>
      <c r="AC228" s="6957"/>
      <c r="AD228" s="7042" t="s">
        <v>1573</v>
      </c>
      <c r="AE228" s="6963" t="s">
        <v>919</v>
      </c>
      <c r="AF228" s="6963" t="s">
        <v>1790</v>
      </c>
      <c r="AG228" s="6963" t="s">
        <v>1791</v>
      </c>
      <c r="AH228" s="7052" t="s">
        <v>1792</v>
      </c>
      <c r="AI228" s="7042" t="s">
        <v>1793</v>
      </c>
      <c r="AJ228" s="6896" t="s">
        <v>1794</v>
      </c>
    </row>
    <row r="229" spans="1:101" ht="15" customHeight="1" x14ac:dyDescent="0.25">
      <c r="A229" s="5548"/>
      <c r="B229" s="6827"/>
      <c r="C229" s="6954"/>
      <c r="D229" s="6331"/>
      <c r="E229" s="6044"/>
      <c r="F229" s="6045"/>
      <c r="G229" s="6027"/>
      <c r="H229" s="6947" t="s">
        <v>474</v>
      </c>
      <c r="I229" s="6961"/>
      <c r="J229" s="6956" t="s">
        <v>380</v>
      </c>
      <c r="K229" s="6545"/>
      <c r="L229" s="6515" t="s">
        <v>381</v>
      </c>
      <c r="M229" s="6545"/>
      <c r="N229" s="6956" t="s">
        <v>1577</v>
      </c>
      <c r="O229" s="6545"/>
      <c r="P229" s="6956" t="s">
        <v>383</v>
      </c>
      <c r="Q229" s="6545"/>
      <c r="R229" s="6956" t="s">
        <v>384</v>
      </c>
      <c r="S229" s="6545"/>
      <c r="T229" s="6956" t="s">
        <v>385</v>
      </c>
      <c r="U229" s="6545"/>
      <c r="V229" s="6956" t="s">
        <v>386</v>
      </c>
      <c r="W229" s="6545"/>
      <c r="X229" s="6956" t="s">
        <v>1578</v>
      </c>
      <c r="Y229" s="6545"/>
      <c r="Z229" s="6956" t="s">
        <v>303</v>
      </c>
      <c r="AA229" s="6962"/>
      <c r="AB229" s="6956" t="s">
        <v>304</v>
      </c>
      <c r="AC229" s="6962"/>
      <c r="AD229" s="7043"/>
      <c r="AE229" s="7045"/>
      <c r="AF229" s="7045"/>
      <c r="AG229" s="7045"/>
      <c r="AH229" s="7053"/>
      <c r="AI229" s="7043"/>
      <c r="AJ229" s="7025"/>
    </row>
    <row r="230" spans="1:101" ht="15" customHeight="1" x14ac:dyDescent="0.25">
      <c r="A230" s="5548"/>
      <c r="B230" s="6750"/>
      <c r="C230" s="6749"/>
      <c r="D230" s="6913"/>
      <c r="E230" s="3403" t="s">
        <v>79</v>
      </c>
      <c r="F230" s="3453" t="s">
        <v>58</v>
      </c>
      <c r="G230" s="591" t="s">
        <v>59</v>
      </c>
      <c r="H230" s="3450" t="s">
        <v>58</v>
      </c>
      <c r="I230" s="591" t="s">
        <v>59</v>
      </c>
      <c r="J230" s="3450" t="s">
        <v>58</v>
      </c>
      <c r="K230" s="591" t="s">
        <v>59</v>
      </c>
      <c r="L230" s="3405" t="s">
        <v>58</v>
      </c>
      <c r="M230" s="591" t="s">
        <v>59</v>
      </c>
      <c r="N230" s="3405" t="s">
        <v>58</v>
      </c>
      <c r="O230" s="591" t="s">
        <v>59</v>
      </c>
      <c r="P230" s="3405" t="s">
        <v>58</v>
      </c>
      <c r="Q230" s="591" t="s">
        <v>59</v>
      </c>
      <c r="R230" s="3405" t="s">
        <v>58</v>
      </c>
      <c r="S230" s="591" t="s">
        <v>59</v>
      </c>
      <c r="T230" s="3405" t="s">
        <v>58</v>
      </c>
      <c r="U230" s="591" t="s">
        <v>59</v>
      </c>
      <c r="V230" s="3405" t="s">
        <v>58</v>
      </c>
      <c r="W230" s="591" t="s">
        <v>59</v>
      </c>
      <c r="X230" s="3405" t="s">
        <v>58</v>
      </c>
      <c r="Y230" s="591" t="s">
        <v>59</v>
      </c>
      <c r="Z230" s="3405" t="s">
        <v>58</v>
      </c>
      <c r="AA230" s="591" t="s">
        <v>59</v>
      </c>
      <c r="AB230" s="3405" t="s">
        <v>58</v>
      </c>
      <c r="AC230" s="591" t="s">
        <v>59</v>
      </c>
      <c r="AD230" s="7044"/>
      <c r="AE230" s="6083"/>
      <c r="AF230" s="6083"/>
      <c r="AG230" s="6083"/>
      <c r="AH230" s="7054"/>
      <c r="AI230" s="7044"/>
      <c r="AJ230" s="6964"/>
    </row>
    <row r="231" spans="1:101" ht="15" customHeight="1" x14ac:dyDescent="0.25">
      <c r="A231" s="5812" t="s">
        <v>5850</v>
      </c>
      <c r="B231" s="6990" t="s">
        <v>1795</v>
      </c>
      <c r="C231" s="6991"/>
      <c r="D231" s="6992"/>
      <c r="E231" s="3639" t="s">
        <v>4567</v>
      </c>
      <c r="F231" s="3460" t="s">
        <v>4568</v>
      </c>
      <c r="G231" s="584" t="s">
        <v>4569</v>
      </c>
      <c r="H231" s="3669" t="s">
        <v>4570</v>
      </c>
      <c r="I231" s="817" t="s">
        <v>4571</v>
      </c>
      <c r="J231" s="3669" t="s">
        <v>4572</v>
      </c>
      <c r="K231" s="817" t="s">
        <v>4573</v>
      </c>
      <c r="L231" s="3227" t="s">
        <v>4574</v>
      </c>
      <c r="M231" s="566" t="s">
        <v>4575</v>
      </c>
      <c r="N231" s="3227" t="s">
        <v>4576</v>
      </c>
      <c r="O231" s="566" t="s">
        <v>4577</v>
      </c>
      <c r="P231" s="3227" t="s">
        <v>4578</v>
      </c>
      <c r="Q231" s="566" t="s">
        <v>4579</v>
      </c>
      <c r="R231" s="3227" t="s">
        <v>4580</v>
      </c>
      <c r="S231" s="566" t="s">
        <v>4581</v>
      </c>
      <c r="T231" s="3227" t="s">
        <v>4582</v>
      </c>
      <c r="U231" s="566" t="s">
        <v>4583</v>
      </c>
      <c r="V231" s="3644" t="s">
        <v>4584</v>
      </c>
      <c r="W231" s="645" t="s">
        <v>4585</v>
      </c>
      <c r="X231" s="3644" t="s">
        <v>4586</v>
      </c>
      <c r="Y231" s="645" t="s">
        <v>4587</v>
      </c>
      <c r="Z231" s="3644" t="s">
        <v>4588</v>
      </c>
      <c r="AA231" s="645" t="s">
        <v>4589</v>
      </c>
      <c r="AB231" s="3644" t="s">
        <v>4590</v>
      </c>
      <c r="AC231" s="720" t="s">
        <v>4591</v>
      </c>
      <c r="AD231" s="735" t="s">
        <v>4592</v>
      </c>
      <c r="AE231" s="583" t="s">
        <v>4593</v>
      </c>
      <c r="AF231" s="750" t="s">
        <v>4594</v>
      </c>
      <c r="AG231" s="750" t="s">
        <v>4595</v>
      </c>
      <c r="AH231" s="3217" t="s">
        <v>4596</v>
      </c>
      <c r="AI231" s="735" t="s">
        <v>4597</v>
      </c>
      <c r="AJ231" s="566" t="s">
        <v>4598</v>
      </c>
      <c r="AK231" t="str">
        <f>CB231&amp;CC231&amp;CD231&amp;CE231</f>
        <v xml:space="preserve"> * La variable Usuarios con Discapacidad no puede superar el Total Ambos Sexos. * El Total de actividades de JUNJI + INTEGRA + MINEDUC no puede ser mayor al Total Ambos Sexos. * La variable Pueblos Originarios No puede ser mayor al Total Ambos Sexos. * La variable Migrantes No puede ser mayor al Total Ambos Sexos.</v>
      </c>
      <c r="CB231" s="433" t="str">
        <f>IF(AND($E231&gt;0,AD231="")," * No olvide digitar la variable Usuarios con Discapacidad. Digite Cero si no tiene.",IF(AD231&gt;E231," * La variable Usuarios con Discapacidad no puede superar el Total Ambos Sexos.",""))</f>
        <v xml:space="preserve"> * La variable Usuarios con Discapacidad no puede superar el Total Ambos Sexos.</v>
      </c>
      <c r="CC231" s="433" t="str">
        <f>IF((AE231)&gt;E231," * El Total de actividades de JUNJI + INTEGRA + MINEDUC no puede ser mayor al Total Ambos Sexos.","")</f>
        <v xml:space="preserve"> * El Total de actividades de JUNJI + INTEGRA + MINEDUC no puede ser mayor al Total Ambos Sexos.</v>
      </c>
      <c r="CD231" s="433" t="str">
        <f>IF(AND($E231&gt;0,AI231="")," * No olvide ingresar la variable Pueblos Originarios. Digite cero si no tiene.",IF(AI231&gt;$E231," * La variable Pueblos Originarios No puede ser mayor al Total Ambos Sexos.",""))</f>
        <v xml:space="preserve"> * La variable Pueblos Originarios No puede ser mayor al Total Ambos Sexos.</v>
      </c>
      <c r="CE231" s="433" t="str">
        <f>IF(AND($E231&gt;0,AJ231="")," * No olvide ingresar la variable Migrantes. Digite cero si no tiene.",IF(AJ231&gt;$E231," * La variable Migrantes No puede ser mayor al Total Ambos Sexos.",""))</f>
        <v xml:space="preserve"> * La variable Migrantes No puede ser mayor al Total Ambos Sexos.</v>
      </c>
      <c r="CP231" s="436">
        <f>IF(AND($E231&gt;0,AD231=""),1,IF(AD231&gt;E231,1,0))</f>
        <v>1</v>
      </c>
      <c r="CQ231" s="436">
        <f>IF((AE231)&gt;E231,1,0)</f>
        <v>1</v>
      </c>
      <c r="CR231" s="436">
        <f t="shared" ref="CR231:CS234" si="195">IF(AND($E231&gt;0,AI231=""),1,IF(AI231&gt;$E231,1,0))</f>
        <v>1</v>
      </c>
      <c r="CS231" s="436">
        <f t="shared" si="195"/>
        <v>1</v>
      </c>
    </row>
    <row r="232" spans="1:101" ht="15" customHeight="1" x14ac:dyDescent="0.25">
      <c r="A232" s="5812" t="s">
        <v>5851</v>
      </c>
      <c r="B232" s="6985" t="s">
        <v>1796</v>
      </c>
      <c r="C232" s="6986"/>
      <c r="D232" s="6987"/>
      <c r="E232" s="3658" t="s">
        <v>4567</v>
      </c>
      <c r="F232" s="478" t="s">
        <v>4568</v>
      </c>
      <c r="G232" s="479" t="s">
        <v>4569</v>
      </c>
      <c r="H232" s="2644" t="s">
        <v>4570</v>
      </c>
      <c r="I232" s="3131" t="s">
        <v>4571</v>
      </c>
      <c r="J232" s="2644" t="s">
        <v>4572</v>
      </c>
      <c r="K232" s="3131" t="s">
        <v>4573</v>
      </c>
      <c r="L232" s="290" t="s">
        <v>4574</v>
      </c>
      <c r="M232" s="107" t="s">
        <v>4575</v>
      </c>
      <c r="N232" s="290" t="s">
        <v>4576</v>
      </c>
      <c r="O232" s="107" t="s">
        <v>4577</v>
      </c>
      <c r="P232" s="290" t="s">
        <v>4578</v>
      </c>
      <c r="Q232" s="107" t="s">
        <v>4579</v>
      </c>
      <c r="R232" s="290" t="s">
        <v>4580</v>
      </c>
      <c r="S232" s="107" t="s">
        <v>4581</v>
      </c>
      <c r="T232" s="290" t="s">
        <v>4582</v>
      </c>
      <c r="U232" s="107" t="s">
        <v>4583</v>
      </c>
      <c r="V232" s="313" t="s">
        <v>4584</v>
      </c>
      <c r="W232" s="130" t="s">
        <v>4585</v>
      </c>
      <c r="X232" s="313" t="s">
        <v>4586</v>
      </c>
      <c r="Y232" s="130" t="s">
        <v>4587</v>
      </c>
      <c r="Z232" s="313" t="s">
        <v>4588</v>
      </c>
      <c r="AA232" s="130" t="s">
        <v>4589</v>
      </c>
      <c r="AB232" s="313" t="s">
        <v>4590</v>
      </c>
      <c r="AC232" s="3727" t="s">
        <v>4591</v>
      </c>
      <c r="AD232" s="296" t="s">
        <v>4592</v>
      </c>
      <c r="AE232" s="575" t="s">
        <v>4593</v>
      </c>
      <c r="AF232" s="531" t="s">
        <v>4594</v>
      </c>
      <c r="AG232" s="531" t="s">
        <v>4595</v>
      </c>
      <c r="AH232" s="61" t="s">
        <v>4596</v>
      </c>
      <c r="AI232" s="296" t="s">
        <v>4597</v>
      </c>
      <c r="AJ232" s="107" t="s">
        <v>4598</v>
      </c>
      <c r="AK232" t="str">
        <f t="shared" ref="AK232:AK236" si="196">CB232&amp;CC232&amp;CD232&amp;CE232</f>
        <v xml:space="preserve"> * La variable Usuarios con Discapacidad no puede superar el Total Ambos Sexos. * El Total de actividades de JUNJI + INTEGRA + MINEDUC no puede ser mayor al Total Ambos Sexos. * La variable Pueblos Originarios No puede ser mayor al Total Ambos Sexos. * La variable Migrantes No puede ser mayor al Total Ambos Sexos.</v>
      </c>
      <c r="CB232" s="433" t="str">
        <f t="shared" ref="CB232:CB234" si="197">IF(AND($E232&gt;0,AD232="")," * No olvide digitar la variable Usuarios con Discapacidad. Digite Cero si no tiene.",IF(AD232&gt;E232," * La variable Usuarios con Discapacidad no puede superar el Total Ambos Sexos.",""))</f>
        <v xml:space="preserve"> * La variable Usuarios con Discapacidad no puede superar el Total Ambos Sexos.</v>
      </c>
      <c r="CC232" s="433" t="str">
        <f t="shared" ref="CC232:CC233" si="198">IF((AE232)&gt;E232," * El Total de actividades de JUNJI + INTEGRA + MINEDUC no puede ser mayor al Total Ambos Sexos.","")</f>
        <v xml:space="preserve"> * El Total de actividades de JUNJI + INTEGRA + MINEDUC no puede ser mayor al Total Ambos Sexos.</v>
      </c>
      <c r="CD232" s="433" t="str">
        <f t="shared" ref="CD232:CD234" si="199">IF(AND($E232&gt;0,AI232="")," * No olvide ingresar la variable Pueblos Originarios. Digite cero si no tiene.",IF(AI232&gt;$E232," * La variable Pueblos Originarios No puede ser mayor al Total Ambos Sexos.",""))</f>
        <v xml:space="preserve"> * La variable Pueblos Originarios No puede ser mayor al Total Ambos Sexos.</v>
      </c>
      <c r="CE232" s="433" t="str">
        <f t="shared" ref="CE232:CE234" si="200">IF(AND($E232&gt;0,AJ232="")," * No olvide ingresar la variable Migrantes. Digite cero si no tiene.",IF(AJ232&gt;$E232," * La variable Migrantes No puede ser mayor al Total Ambos Sexos.",""))</f>
        <v xml:space="preserve"> * La variable Migrantes No puede ser mayor al Total Ambos Sexos.</v>
      </c>
      <c r="CP232" s="436">
        <f>IF(AND($E232&gt;0,AD232=""),1,IF(AD232&gt;E232,1,0))</f>
        <v>1</v>
      </c>
      <c r="CQ232" s="436">
        <f>IF((AE232)&gt;E232,1,0)</f>
        <v>1</v>
      </c>
      <c r="CR232" s="436">
        <f t="shared" si="195"/>
        <v>1</v>
      </c>
      <c r="CS232" s="436">
        <f t="shared" si="195"/>
        <v>1</v>
      </c>
    </row>
    <row r="233" spans="1:101" ht="15" customHeight="1" x14ac:dyDescent="0.25">
      <c r="A233" s="5812" t="s">
        <v>5852</v>
      </c>
      <c r="B233" s="6985" t="s">
        <v>1797</v>
      </c>
      <c r="C233" s="6986"/>
      <c r="D233" s="6987"/>
      <c r="E233" s="3646" t="s">
        <v>4567</v>
      </c>
      <c r="F233" s="2305" t="s">
        <v>4568</v>
      </c>
      <c r="G233" s="141" t="s">
        <v>4569</v>
      </c>
      <c r="H233" s="2644" t="s">
        <v>4570</v>
      </c>
      <c r="I233" s="3131" t="s">
        <v>4571</v>
      </c>
      <c r="J233" s="2644" t="s">
        <v>4572</v>
      </c>
      <c r="K233" s="3131" t="s">
        <v>4573</v>
      </c>
      <c r="L233" s="290" t="s">
        <v>4574</v>
      </c>
      <c r="M233" s="107" t="s">
        <v>4575</v>
      </c>
      <c r="N233" s="290" t="s">
        <v>4576</v>
      </c>
      <c r="O233" s="107" t="s">
        <v>4577</v>
      </c>
      <c r="P233" s="290" t="s">
        <v>4578</v>
      </c>
      <c r="Q233" s="107" t="s">
        <v>4579</v>
      </c>
      <c r="R233" s="290" t="s">
        <v>4580</v>
      </c>
      <c r="S233" s="107" t="s">
        <v>4581</v>
      </c>
      <c r="T233" s="290" t="s">
        <v>4582</v>
      </c>
      <c r="U233" s="107" t="s">
        <v>4583</v>
      </c>
      <c r="V233" s="313" t="s">
        <v>4584</v>
      </c>
      <c r="W233" s="130" t="s">
        <v>4585</v>
      </c>
      <c r="X233" s="313" t="s">
        <v>4586</v>
      </c>
      <c r="Y233" s="130" t="s">
        <v>4587</v>
      </c>
      <c r="Z233" s="313" t="s">
        <v>4588</v>
      </c>
      <c r="AA233" s="130" t="s">
        <v>4589</v>
      </c>
      <c r="AB233" s="313" t="s">
        <v>4590</v>
      </c>
      <c r="AC233" s="3727" t="s">
        <v>4591</v>
      </c>
      <c r="AD233" s="296" t="s">
        <v>4592</v>
      </c>
      <c r="AE233" s="575" t="s">
        <v>4593</v>
      </c>
      <c r="AF233" s="3728" t="s">
        <v>4594</v>
      </c>
      <c r="AG233" s="531" t="s">
        <v>4595</v>
      </c>
      <c r="AH233" s="61" t="s">
        <v>4596</v>
      </c>
      <c r="AI233" s="296" t="s">
        <v>4597</v>
      </c>
      <c r="AJ233" s="107" t="s">
        <v>4598</v>
      </c>
      <c r="AK233" t="str">
        <f t="shared" si="196"/>
        <v xml:space="preserve"> * La variable Usuarios con Discapacidad no puede superar el Total Ambos Sexos. * El Total de actividades de JUNJI + INTEGRA + MINEDUC no puede ser mayor al Total Ambos Sexos. * La variable Pueblos Originarios No puede ser mayor al Total Ambos Sexos. * La variable Migrantes No puede ser mayor al Total Ambos Sexos.</v>
      </c>
      <c r="CB233" s="433" t="str">
        <f t="shared" si="197"/>
        <v xml:space="preserve"> * La variable Usuarios con Discapacidad no puede superar el Total Ambos Sexos.</v>
      </c>
      <c r="CC233" s="433" t="str">
        <f t="shared" si="198"/>
        <v xml:space="preserve"> * El Total de actividades de JUNJI + INTEGRA + MINEDUC no puede ser mayor al Total Ambos Sexos.</v>
      </c>
      <c r="CD233" s="433" t="str">
        <f t="shared" si="199"/>
        <v xml:space="preserve"> * La variable Pueblos Originarios No puede ser mayor al Total Ambos Sexos.</v>
      </c>
      <c r="CE233" s="433" t="str">
        <f t="shared" si="200"/>
        <v xml:space="preserve"> * La variable Migrantes No puede ser mayor al Total Ambos Sexos.</v>
      </c>
      <c r="CP233" s="436">
        <f>IF(AND($E233&gt;0,AD233=""),1,IF(AD233&gt;E233,1,0))</f>
        <v>1</v>
      </c>
      <c r="CQ233" s="436">
        <f>IF((AE233)&gt;E233,1,0)</f>
        <v>1</v>
      </c>
      <c r="CR233" s="436">
        <f t="shared" si="195"/>
        <v>1</v>
      </c>
      <c r="CS233" s="436">
        <f t="shared" si="195"/>
        <v>1</v>
      </c>
    </row>
    <row r="234" spans="1:101" ht="15" customHeight="1" x14ac:dyDescent="0.25">
      <c r="A234" s="5812" t="s">
        <v>5853</v>
      </c>
      <c r="B234" s="6985" t="s">
        <v>1798</v>
      </c>
      <c r="C234" s="6986"/>
      <c r="D234" s="6987"/>
      <c r="E234" s="3646" t="s">
        <v>4567</v>
      </c>
      <c r="F234" s="2305" t="s">
        <v>4568</v>
      </c>
      <c r="G234" s="344" t="s">
        <v>4569</v>
      </c>
      <c r="H234" s="619" t="s">
        <v>4570</v>
      </c>
      <c r="I234" s="367" t="s">
        <v>4571</v>
      </c>
      <c r="J234" s="619" t="s">
        <v>4572</v>
      </c>
      <c r="K234" s="367" t="s">
        <v>4573</v>
      </c>
      <c r="L234" s="345" t="s">
        <v>4574</v>
      </c>
      <c r="M234" s="346" t="s">
        <v>4575</v>
      </c>
      <c r="N234" s="345" t="s">
        <v>4576</v>
      </c>
      <c r="O234" s="346" t="s">
        <v>4577</v>
      </c>
      <c r="P234" s="345" t="s">
        <v>4578</v>
      </c>
      <c r="Q234" s="346" t="s">
        <v>4579</v>
      </c>
      <c r="R234" s="345" t="s">
        <v>4580</v>
      </c>
      <c r="S234" s="346" t="s">
        <v>4581</v>
      </c>
      <c r="T234" s="345" t="s">
        <v>4582</v>
      </c>
      <c r="U234" s="346" t="s">
        <v>4583</v>
      </c>
      <c r="V234" s="670" t="s">
        <v>4584</v>
      </c>
      <c r="W234" s="671" t="s">
        <v>4585</v>
      </c>
      <c r="X234" s="670" t="s">
        <v>4586</v>
      </c>
      <c r="Y234" s="671" t="s">
        <v>4587</v>
      </c>
      <c r="Z234" s="670" t="s">
        <v>4588</v>
      </c>
      <c r="AA234" s="671" t="s">
        <v>4589</v>
      </c>
      <c r="AB234" s="670" t="s">
        <v>4590</v>
      </c>
      <c r="AC234" s="3729" t="s">
        <v>4591</v>
      </c>
      <c r="AD234" s="429" t="s">
        <v>4592</v>
      </c>
      <c r="AE234" s="575" t="s">
        <v>4593</v>
      </c>
      <c r="AF234" s="368" t="s">
        <v>4594</v>
      </c>
      <c r="AG234" s="368" t="s">
        <v>4595</v>
      </c>
      <c r="AH234" s="480" t="s">
        <v>4596</v>
      </c>
      <c r="AI234" s="429" t="s">
        <v>4597</v>
      </c>
      <c r="AJ234" s="346" t="s">
        <v>4598</v>
      </c>
      <c r="AK234" t="str">
        <f t="shared" si="196"/>
        <v xml:space="preserve"> * La variable Usuarios con Discapacidad no puede superar el Total Ambos Sexos. * El Total de actividades de JUNJI + INTEGRA + MINEDUC no puede ser mayor al Total Ambos Sexos. * La variable Pueblos Originarios No puede ser mayor al Total Ambos Sexos. * La variable Migrantes No puede ser mayor al Total Ambos Sexos.</v>
      </c>
      <c r="CB234" s="433" t="str">
        <f t="shared" si="197"/>
        <v xml:space="preserve"> * La variable Usuarios con Discapacidad no puede superar el Total Ambos Sexos.</v>
      </c>
      <c r="CC234" s="433" t="str">
        <f>IF((AE234)&gt;E234," * El Total de actividades de JUNJI + INTEGRA + MINEDUC no puede ser mayor al Total Ambos Sexos.","")</f>
        <v xml:space="preserve"> * El Total de actividades de JUNJI + INTEGRA + MINEDUC no puede ser mayor al Total Ambos Sexos.</v>
      </c>
      <c r="CD234" s="433" t="str">
        <f t="shared" si="199"/>
        <v xml:space="preserve"> * La variable Pueblos Originarios No puede ser mayor al Total Ambos Sexos.</v>
      </c>
      <c r="CE234" s="433" t="str">
        <f t="shared" si="200"/>
        <v xml:space="preserve"> * La variable Migrantes No puede ser mayor al Total Ambos Sexos.</v>
      </c>
      <c r="CP234" s="436">
        <f>IF(AND($E234&gt;0,AD234=""),1,IF(AD234&gt;E234,1,0))</f>
        <v>1</v>
      </c>
      <c r="CQ234" s="436">
        <f>IF((AE234)&gt;E234,1,0)</f>
        <v>1</v>
      </c>
      <c r="CR234" s="436">
        <f t="shared" si="195"/>
        <v>1</v>
      </c>
      <c r="CS234" s="436">
        <f t="shared" si="195"/>
        <v>1</v>
      </c>
    </row>
    <row r="235" spans="1:101" ht="15" customHeight="1" x14ac:dyDescent="0.25">
      <c r="A235" s="5812" t="s">
        <v>5854</v>
      </c>
      <c r="B235" s="6985" t="s">
        <v>1799</v>
      </c>
      <c r="C235" s="6986"/>
      <c r="D235" s="6987"/>
      <c r="E235" s="3730" t="s">
        <v>4567</v>
      </c>
      <c r="F235" s="3731" t="s">
        <v>4568</v>
      </c>
      <c r="G235" s="3732" t="s">
        <v>4569</v>
      </c>
      <c r="H235" s="2658" t="s">
        <v>4570</v>
      </c>
      <c r="I235" s="2634" t="s">
        <v>4571</v>
      </c>
      <c r="J235" s="2633" t="s">
        <v>4572</v>
      </c>
      <c r="K235" s="2634" t="s">
        <v>4573</v>
      </c>
      <c r="L235" s="2633" t="s">
        <v>4574</v>
      </c>
      <c r="M235" s="2634" t="s">
        <v>4575</v>
      </c>
      <c r="N235" s="2633" t="s">
        <v>4576</v>
      </c>
      <c r="O235" s="2634" t="s">
        <v>4577</v>
      </c>
      <c r="P235" s="2633" t="s">
        <v>4578</v>
      </c>
      <c r="Q235" s="2634" t="s">
        <v>4579</v>
      </c>
      <c r="R235" s="2633" t="s">
        <v>4580</v>
      </c>
      <c r="S235" s="2634" t="s">
        <v>4581</v>
      </c>
      <c r="T235" s="2633" t="s">
        <v>4582</v>
      </c>
      <c r="U235" s="2634" t="s">
        <v>4583</v>
      </c>
      <c r="V235" s="2633" t="s">
        <v>4584</v>
      </c>
      <c r="W235" s="2634" t="s">
        <v>4585</v>
      </c>
      <c r="X235" s="2633" t="s">
        <v>4586</v>
      </c>
      <c r="Y235" s="2634" t="s">
        <v>4587</v>
      </c>
      <c r="Z235" s="2633" t="s">
        <v>4588</v>
      </c>
      <c r="AA235" s="2634" t="s">
        <v>4589</v>
      </c>
      <c r="AB235" s="2633" t="s">
        <v>4590</v>
      </c>
      <c r="AC235" s="3733" t="s">
        <v>4591</v>
      </c>
      <c r="AD235" s="3734" t="s">
        <v>4592</v>
      </c>
      <c r="AE235" s="576" t="s">
        <v>4593</v>
      </c>
      <c r="AF235" s="3728" t="s">
        <v>4594</v>
      </c>
      <c r="AG235" s="3728" t="s">
        <v>4595</v>
      </c>
      <c r="AH235" s="3735" t="s">
        <v>4596</v>
      </c>
      <c r="AI235" s="3736" t="s">
        <v>4597</v>
      </c>
      <c r="AJ235" s="2634" t="s">
        <v>4598</v>
      </c>
      <c r="AK235" t="str">
        <f t="shared" si="196"/>
        <v/>
      </c>
      <c r="CB235" s="435"/>
      <c r="CC235" s="435"/>
      <c r="CD235" s="435"/>
      <c r="CE235" s="435"/>
      <c r="CP235" s="435"/>
      <c r="CQ235" s="435"/>
      <c r="CR235" s="435"/>
      <c r="CS235" s="435"/>
    </row>
    <row r="236" spans="1:101" ht="15" customHeight="1" x14ac:dyDescent="0.25">
      <c r="A236" s="5810" t="s">
        <v>5855</v>
      </c>
      <c r="B236" s="7046" t="s">
        <v>1800</v>
      </c>
      <c r="C236" s="7046"/>
      <c r="D236" s="7031"/>
      <c r="E236" s="3737" t="s">
        <v>4567</v>
      </c>
      <c r="F236" s="3738" t="s">
        <v>4568</v>
      </c>
      <c r="G236" s="1909" t="s">
        <v>4569</v>
      </c>
      <c r="H236" s="620" t="s">
        <v>4570</v>
      </c>
      <c r="I236" s="621" t="s">
        <v>4571</v>
      </c>
      <c r="J236" s="620" t="s">
        <v>4572</v>
      </c>
      <c r="K236" s="621" t="s">
        <v>4573</v>
      </c>
      <c r="L236" s="620" t="s">
        <v>4574</v>
      </c>
      <c r="M236" s="621" t="s">
        <v>4575</v>
      </c>
      <c r="N236" s="620" t="s">
        <v>4576</v>
      </c>
      <c r="O236" s="621" t="s">
        <v>4577</v>
      </c>
      <c r="P236" s="620" t="s">
        <v>4578</v>
      </c>
      <c r="Q236" s="621" t="s">
        <v>4579</v>
      </c>
      <c r="R236" s="620" t="s">
        <v>4580</v>
      </c>
      <c r="S236" s="621" t="s">
        <v>4581</v>
      </c>
      <c r="T236" s="620" t="s">
        <v>4582</v>
      </c>
      <c r="U236" s="621" t="s">
        <v>4583</v>
      </c>
      <c r="V236" s="620" t="s">
        <v>4584</v>
      </c>
      <c r="W236" s="621" t="s">
        <v>4585</v>
      </c>
      <c r="X236" s="620" t="s">
        <v>4586</v>
      </c>
      <c r="Y236" s="621" t="s">
        <v>4587</v>
      </c>
      <c r="Z236" s="620" t="s">
        <v>4588</v>
      </c>
      <c r="AA236" s="621" t="s">
        <v>4589</v>
      </c>
      <c r="AB236" s="620" t="s">
        <v>4590</v>
      </c>
      <c r="AC236" s="3739" t="s">
        <v>4591</v>
      </c>
      <c r="AD236" s="3740" t="s">
        <v>4592</v>
      </c>
      <c r="AE236" s="3590" t="s">
        <v>4593</v>
      </c>
      <c r="AF236" s="3627" t="s">
        <v>4594</v>
      </c>
      <c r="AG236" s="3627" t="s">
        <v>4595</v>
      </c>
      <c r="AH236" s="3741" t="s">
        <v>4596</v>
      </c>
      <c r="AI236" s="3742" t="s">
        <v>4597</v>
      </c>
      <c r="AJ236" s="621" t="s">
        <v>4598</v>
      </c>
      <c r="AK236" t="str">
        <f t="shared" si="196"/>
        <v/>
      </c>
      <c r="CB236" s="435"/>
      <c r="CC236" s="435"/>
      <c r="CD236" s="435"/>
      <c r="CE236" s="435"/>
      <c r="CP236" s="435"/>
      <c r="CQ236" s="435"/>
      <c r="CR236" s="435"/>
      <c r="CS236" s="435"/>
    </row>
    <row r="237" spans="1:101" ht="18" customHeight="1" x14ac:dyDescent="0.25">
      <c r="B237" s="3" t="s">
        <v>1801</v>
      </c>
      <c r="C237" s="1245"/>
      <c r="D237" s="3468"/>
      <c r="E237" s="4"/>
      <c r="F237" s="4"/>
      <c r="G237" s="3"/>
      <c r="H237" s="3"/>
      <c r="I237" s="3"/>
      <c r="J237" s="4"/>
      <c r="L237" s="3743"/>
      <c r="M237" s="4"/>
      <c r="N237" s="3744"/>
      <c r="O237" s="3744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88"/>
      <c r="AM237" s="3469"/>
      <c r="AN237" s="3469"/>
      <c r="AO237" s="3469"/>
      <c r="AP237" s="3469"/>
      <c r="AQ237" s="3469"/>
    </row>
    <row r="238" spans="1:101" ht="15" customHeight="1" x14ac:dyDescent="0.25">
      <c r="B238" s="6575" t="s">
        <v>219</v>
      </c>
      <c r="C238" s="6491"/>
      <c r="D238" s="6576"/>
      <c r="E238" s="6212" t="s">
        <v>77</v>
      </c>
      <c r="F238" s="6510"/>
      <c r="G238" s="6518"/>
      <c r="H238" s="7047" t="s">
        <v>1802</v>
      </c>
      <c r="I238" s="6777" t="s">
        <v>1803</v>
      </c>
      <c r="J238" s="6777" t="s">
        <v>1804</v>
      </c>
      <c r="K238" s="6777" t="s">
        <v>1805</v>
      </c>
      <c r="L238" s="7049" t="s">
        <v>1573</v>
      </c>
    </row>
    <row r="239" spans="1:101" ht="15" customHeight="1" x14ac:dyDescent="0.25">
      <c r="B239" s="6827"/>
      <c r="C239" s="6954"/>
      <c r="D239" s="6331"/>
      <c r="E239" s="6734"/>
      <c r="F239" s="6735"/>
      <c r="G239" s="6759"/>
      <c r="H239" s="7048"/>
      <c r="I239" s="6386"/>
      <c r="J239" s="6386"/>
      <c r="K239" s="6386"/>
      <c r="L239" s="7050"/>
    </row>
    <row r="240" spans="1:101" ht="15" customHeight="1" x14ac:dyDescent="0.25">
      <c r="B240" s="6750"/>
      <c r="C240" s="6749"/>
      <c r="D240" s="6913"/>
      <c r="E240" s="5338" t="s">
        <v>79</v>
      </c>
      <c r="F240" s="3056" t="s">
        <v>58</v>
      </c>
      <c r="G240" s="579" t="s">
        <v>59</v>
      </c>
      <c r="H240" s="6172"/>
      <c r="I240" s="6086"/>
      <c r="J240" s="6086"/>
      <c r="K240" s="6086"/>
      <c r="L240" s="7051"/>
    </row>
    <row r="241" spans="1:105" ht="15" customHeight="1" x14ac:dyDescent="0.25">
      <c r="A241" s="5812" t="s">
        <v>5856</v>
      </c>
      <c r="B241" s="6914" t="s">
        <v>1806</v>
      </c>
      <c r="C241" s="7057"/>
      <c r="D241" s="6915"/>
      <c r="E241" s="5533" t="s">
        <v>4567</v>
      </c>
      <c r="F241" s="3001" t="s">
        <v>4568</v>
      </c>
      <c r="G241" s="3745" t="s">
        <v>4569</v>
      </c>
      <c r="H241" s="3746" t="s">
        <v>4570</v>
      </c>
      <c r="I241" s="750" t="s">
        <v>4571</v>
      </c>
      <c r="J241" s="750" t="s">
        <v>4572</v>
      </c>
      <c r="K241" s="750" t="s">
        <v>4573</v>
      </c>
      <c r="L241" s="622" t="s">
        <v>4574</v>
      </c>
      <c r="M241" t="str">
        <f>CB241&amp;CC241&amp;CD241&amp;CE241&amp;CF241</f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1" s="433" t="str">
        <f>IF(AND($E241&gt;0,H241="")," * No olvide digitar la variable Procedimiento. Digite Cero si no tiene.",IF(H241&gt;$E241," * La variable Procedimiento no puede superar el Total Ambos Sexos.",""))</f>
        <v xml:space="preserve"> * La variable Procedimiento no puede superar el Total Ambos Sexos.</v>
      </c>
      <c r="CC241" s="433" t="str">
        <f>IF(AND($E241&gt;0,I241="")," * No olvide digitar la variable Cirugía menor. Digite Cero si no tiene.",IF(I241&gt;$E241," * La variable Cirugía menor no puede superar el Total Ambos Sexos.",""))</f>
        <v xml:space="preserve"> * La variable Cirugía menor no puede superar el Total Ambos Sexos.</v>
      </c>
      <c r="CD241" s="433" t="str">
        <f>IF(AND($E241&gt;0,J241="")," * No olvide digitar la variable Cirugía mayor no ambulatoria urgencia/electiva. Digite Cero si no tiene.",IF(J241&gt;$E241," * La variable Cirugía mayor no ambulatoria urgencia/electiva no puede superar el Total Ambos Sexos.",""))</f>
        <v xml:space="preserve"> * La variable Cirugía mayor no ambulatoria urgencia/electiva no puede superar el Total Ambos Sexos.</v>
      </c>
      <c r="CE241" s="433" t="str">
        <f>IF(AND($E241&gt;0,K241="")," * No olvide digitar la variable Cirugía mayor ambulatoria urgencia/electiva. Digite Cero si no tiene.",IF(K241&gt;$E241," * La variable Cirugía mayor  ambulatoria urgencia/electiva no puede superar el Total Ambos Sexos.",""))</f>
        <v xml:space="preserve"> * La variable Cirugía mayor  ambulatoria urgencia/electiva no puede superar el Total Ambos Sexos.</v>
      </c>
      <c r="CF241" s="433" t="str">
        <f>IF(AND($E241&gt;0,L241="")," * No olvide digitar la variable Usuarios con Discapacidad. Digite Cero si no tiene.",IF(L241&gt;$E241," * La variable Usuarios con Discapacidad no puede superar el Total Ambos Sexos.",""))</f>
        <v xml:space="preserve"> * La variable Usuarios con Discapacidad no puede superar el Total Ambos Sexos.</v>
      </c>
      <c r="CP241" s="436">
        <f t="shared" ref="CP241:CT245" si="201">IF(AND($E241&gt;0,H241=""),1,IF(H241&gt;$E241,1,0))</f>
        <v>1</v>
      </c>
      <c r="CQ241" s="436">
        <f t="shared" si="201"/>
        <v>1</v>
      </c>
      <c r="CR241" s="436">
        <f t="shared" si="201"/>
        <v>1</v>
      </c>
      <c r="CS241" s="436">
        <f t="shared" si="201"/>
        <v>1</v>
      </c>
      <c r="CT241" s="436">
        <f t="shared" si="201"/>
        <v>1</v>
      </c>
    </row>
    <row r="242" spans="1:105" ht="15" customHeight="1" x14ac:dyDescent="0.25">
      <c r="A242" s="5812" t="s">
        <v>5857</v>
      </c>
      <c r="B242" s="6617" t="s">
        <v>1807</v>
      </c>
      <c r="C242" s="6974"/>
      <c r="D242" s="6618"/>
      <c r="E242" s="5534" t="s">
        <v>4567</v>
      </c>
      <c r="F242" s="3063" t="s">
        <v>4568</v>
      </c>
      <c r="G242" s="3747" t="s">
        <v>4569</v>
      </c>
      <c r="H242" s="3748" t="s">
        <v>4570</v>
      </c>
      <c r="I242" s="1253" t="s">
        <v>4571</v>
      </c>
      <c r="J242" s="1253" t="s">
        <v>4572</v>
      </c>
      <c r="K242" s="1253" t="s">
        <v>4573</v>
      </c>
      <c r="L242" s="1093" t="s">
        <v>4574</v>
      </c>
      <c r="M242" t="str">
        <f t="shared" ref="M242:M245" si="202">CB242&amp;CC242&amp;CD242&amp;CE242&amp;CF242</f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2" s="433" t="str">
        <f t="shared" ref="CB242:CB243" si="203">IF(AND($E242&gt;0,H242="")," * No olvide digitar la variable Procedimiento. Digite Cero si no tiene.",IF(H242&gt;$E242," * La variable Procedimiento no puede superar el Total Ambos Sexos.",""))</f>
        <v xml:space="preserve"> * La variable Procedimiento no puede superar el Total Ambos Sexos.</v>
      </c>
      <c r="CC242" s="433" t="str">
        <f t="shared" ref="CC242:CC245" si="204">IF(AND($E242&gt;0,I242="")," * No olvide digitar la variable Cirugía menor. Digite Cero si no tiene.",IF(I242&gt;$E242," * La variable Cirugía menor no puede superar el Total Ambos Sexos.",""))</f>
        <v xml:space="preserve"> * La variable Cirugía menor no puede superar el Total Ambos Sexos.</v>
      </c>
      <c r="CD242" s="433" t="str">
        <f t="shared" ref="CD242:CD245" si="205">IF(AND($E242&gt;0,J242="")," * No olvide digitar la variable Cirugía mayor no ambulatoria urgencia/electiva. Digite Cero si no tiene.",IF(J242&gt;$E242," * La variable Cirugía mayor no ambulatoria urgencia/electiva no puede superar el Total Ambos Sexos.",""))</f>
        <v xml:space="preserve"> * La variable Cirugía mayor no ambulatoria urgencia/electiva no puede superar el Total Ambos Sexos.</v>
      </c>
      <c r="CE242" s="433" t="str">
        <f t="shared" ref="CE242:CE245" si="206">IF(AND($E242&gt;0,K242="")," * No olvide digitar la variable Cirugía mayor ambulatoria urgencia/electiva. Digite Cero si no tiene.",IF(K242&gt;$E242," * La variable Cirugía mayor  ambulatoria urgencia/electiva no puede superar el Total Ambos Sexos.",""))</f>
        <v xml:space="preserve"> * La variable Cirugía mayor  ambulatoria urgencia/electiva no puede superar el Total Ambos Sexos.</v>
      </c>
      <c r="CF242" s="433" t="str">
        <f t="shared" ref="CF242:CF245" si="207">IF(AND($E242&gt;0,L242="")," * No olvide digitar la variable Usuarios con Discapacidad. Digite Cero si no tiene.",IF(L242&gt;$E242," * La variable Usuarios con Discapacidad no puede superar el Total Ambos Sexos.",""))</f>
        <v xml:space="preserve"> * La variable Usuarios con Discapacidad no puede superar el Total Ambos Sexos.</v>
      </c>
      <c r="CP242" s="436">
        <f t="shared" si="201"/>
        <v>1</v>
      </c>
      <c r="CQ242" s="436">
        <f t="shared" si="201"/>
        <v>1</v>
      </c>
      <c r="CR242" s="436">
        <f t="shared" si="201"/>
        <v>1</v>
      </c>
      <c r="CS242" s="436">
        <f t="shared" si="201"/>
        <v>1</v>
      </c>
      <c r="CT242" s="436">
        <f t="shared" si="201"/>
        <v>1</v>
      </c>
    </row>
    <row r="243" spans="1:105" ht="15" customHeight="1" x14ac:dyDescent="0.25">
      <c r="A243" s="5810" t="s">
        <v>5858</v>
      </c>
      <c r="B243" s="6617" t="s">
        <v>1808</v>
      </c>
      <c r="C243" s="6974"/>
      <c r="D243" s="6618"/>
      <c r="E243" s="5534" t="s">
        <v>4567</v>
      </c>
      <c r="F243" s="3063" t="s">
        <v>4568</v>
      </c>
      <c r="G243" s="3747" t="s">
        <v>4569</v>
      </c>
      <c r="H243" s="3748" t="s">
        <v>4570</v>
      </c>
      <c r="I243" s="1253" t="s">
        <v>4571</v>
      </c>
      <c r="J243" s="1253" t="s">
        <v>4572</v>
      </c>
      <c r="K243" s="1253" t="s">
        <v>4573</v>
      </c>
      <c r="L243" s="1093" t="s">
        <v>4574</v>
      </c>
      <c r="M243" t="str">
        <f t="shared" si="202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3" s="433" t="str">
        <f t="shared" si="203"/>
        <v xml:space="preserve"> * La variable Procedimiento no puede superar el Total Ambos Sexos.</v>
      </c>
      <c r="CC243" s="433" t="str">
        <f t="shared" si="204"/>
        <v xml:space="preserve"> * La variable Cirugía menor no puede superar el Total Ambos Sexos.</v>
      </c>
      <c r="CD243" s="433" t="str">
        <f t="shared" si="205"/>
        <v xml:space="preserve"> * La variable Cirugía mayor no ambulatoria urgencia/electiva no puede superar el Total Ambos Sexos.</v>
      </c>
      <c r="CE243" s="433" t="str">
        <f t="shared" si="206"/>
        <v xml:space="preserve"> * La variable Cirugía mayor  ambulatoria urgencia/electiva no puede superar el Total Ambos Sexos.</v>
      </c>
      <c r="CF243" s="433" t="str">
        <f t="shared" si="207"/>
        <v xml:space="preserve"> * La variable Usuarios con Discapacidad no puede superar el Total Ambos Sexos.</v>
      </c>
      <c r="CP243" s="436">
        <f t="shared" si="201"/>
        <v>1</v>
      </c>
      <c r="CQ243" s="436">
        <f t="shared" si="201"/>
        <v>1</v>
      </c>
      <c r="CR243" s="436">
        <f t="shared" si="201"/>
        <v>1</v>
      </c>
      <c r="CS243" s="436">
        <f t="shared" si="201"/>
        <v>1</v>
      </c>
      <c r="CT243" s="436">
        <f t="shared" si="201"/>
        <v>1</v>
      </c>
    </row>
    <row r="244" spans="1:105" ht="15" customHeight="1" x14ac:dyDescent="0.25">
      <c r="A244" s="5815" t="s">
        <v>5859</v>
      </c>
      <c r="B244" s="6617" t="s">
        <v>1809</v>
      </c>
      <c r="C244" s="6974"/>
      <c r="D244" s="6618"/>
      <c r="E244" s="5534" t="s">
        <v>4567</v>
      </c>
      <c r="F244" s="3063" t="s">
        <v>4568</v>
      </c>
      <c r="G244" s="480" t="s">
        <v>4569</v>
      </c>
      <c r="H244" s="1299" t="s">
        <v>4570</v>
      </c>
      <c r="I244" s="1253" t="s">
        <v>4571</v>
      </c>
      <c r="J244" s="1253" t="s">
        <v>4572</v>
      </c>
      <c r="K244" s="1253" t="s">
        <v>4573</v>
      </c>
      <c r="L244" s="1093" t="s">
        <v>4574</v>
      </c>
      <c r="M244" t="str">
        <f t="shared" si="202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4" s="433" t="str">
        <f>IF(AND($E244&gt;0,H244="")," * No olvide digitar la variable Procedimiento. Digite Cero si no tiene.",IF(H244&gt;$E244," * La variable Procedimiento no puede superar el Total Ambos Sexos.",""))</f>
        <v xml:space="preserve"> * La variable Procedimiento no puede superar el Total Ambos Sexos.</v>
      </c>
      <c r="CC244" s="433" t="str">
        <f>IF(AND($E244&gt;0,I244="")," * No olvide digitar la variable Cirugía menor. Digite Cero si no tiene.",IF(I244&gt;$E244," * La variable Cirugía menor no puede superar el Total Ambos Sexos.",""))</f>
        <v xml:space="preserve"> * La variable Cirugía menor no puede superar el Total Ambos Sexos.</v>
      </c>
      <c r="CD244" s="433" t="str">
        <f>IF(AND($E244&gt;0,J244="")," * No olvide digitar la variable Cirugía mayor no ambulatoria urgencia/electiva. Digite Cero si no tiene.",IF(J244&gt;$E244," * La variable Cirugía mayor no ambulatoria urgencia/electiva no puede superar el Total Ambos Sexos.",""))</f>
        <v xml:space="preserve"> * La variable Cirugía mayor no ambulatoria urgencia/electiva no puede superar el Total Ambos Sexos.</v>
      </c>
      <c r="CE244" s="433" t="str">
        <f>IF(AND($E244&gt;0,K244="")," * No olvide digitar la variable Cirugía mayor ambulatoria urgencia/electiva. Digite Cero si no tiene.",IF(K244&gt;$E244," * La variable Cirugía mayor  ambulatoria urgencia/electiva no puede superar el Total Ambos Sexos.",""))</f>
        <v xml:space="preserve"> * La variable Cirugía mayor  ambulatoria urgencia/electiva no puede superar el Total Ambos Sexos.</v>
      </c>
      <c r="CF244" s="433" t="str">
        <f>IF(AND($E244&gt;0,L244="")," * No olvide digitar la variable Usuarios con Discapacidad. Digite Cero si no tiene.",IF(L244&gt;$E244," * La variable Usuarios con Discapacidad no puede superar el Total Ambos Sexos.",""))</f>
        <v xml:space="preserve"> * La variable Usuarios con Discapacidad no puede superar el Total Ambos Sexos.</v>
      </c>
      <c r="CP244" s="436">
        <f t="shared" si="201"/>
        <v>1</v>
      </c>
      <c r="CQ244" s="436">
        <f t="shared" si="201"/>
        <v>1</v>
      </c>
      <c r="CR244" s="436">
        <f t="shared" si="201"/>
        <v>1</v>
      </c>
      <c r="CS244" s="436">
        <f t="shared" si="201"/>
        <v>1</v>
      </c>
      <c r="CT244" s="436">
        <f t="shared" si="201"/>
        <v>1</v>
      </c>
    </row>
    <row r="245" spans="1:105" ht="15" customHeight="1" x14ac:dyDescent="0.25">
      <c r="A245" s="5811" t="s">
        <v>5860</v>
      </c>
      <c r="B245" s="6916" t="s">
        <v>1810</v>
      </c>
      <c r="C245" s="7006"/>
      <c r="D245" s="6917"/>
      <c r="E245" s="5535" t="s">
        <v>4567</v>
      </c>
      <c r="F245" s="5532" t="s">
        <v>4568</v>
      </c>
      <c r="G245" s="3741" t="s">
        <v>4569</v>
      </c>
      <c r="H245" s="3749" t="s">
        <v>4570</v>
      </c>
      <c r="I245" s="1258" t="s">
        <v>4571</v>
      </c>
      <c r="J245" s="1258" t="s">
        <v>4572</v>
      </c>
      <c r="K245" s="1258" t="s">
        <v>4573</v>
      </c>
      <c r="L245" s="3134" t="s">
        <v>4574</v>
      </c>
      <c r="M245" t="str">
        <f t="shared" si="202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5" s="433" t="str">
        <f>IF(AND($E245&gt;0,H245="")," * No olvide digitar la variable Procedimiento. Digite Cero si no tiene.",IF(H245&gt;$E245," * La variable Procedimiento no puede superar el Total Ambos Sexos.",""))</f>
        <v xml:space="preserve"> * La variable Procedimiento no puede superar el Total Ambos Sexos.</v>
      </c>
      <c r="CC245" s="433" t="str">
        <f t="shared" si="204"/>
        <v xml:space="preserve"> * La variable Cirugía menor no puede superar el Total Ambos Sexos.</v>
      </c>
      <c r="CD245" s="433" t="str">
        <f t="shared" si="205"/>
        <v xml:space="preserve"> * La variable Cirugía mayor no ambulatoria urgencia/electiva no puede superar el Total Ambos Sexos.</v>
      </c>
      <c r="CE245" s="433" t="str">
        <f t="shared" si="206"/>
        <v xml:space="preserve"> * La variable Cirugía mayor  ambulatoria urgencia/electiva no puede superar el Total Ambos Sexos.</v>
      </c>
      <c r="CF245" s="433" t="str">
        <f t="shared" si="207"/>
        <v xml:space="preserve"> * La variable Usuarios con Discapacidad no puede superar el Total Ambos Sexos.</v>
      </c>
      <c r="CP245" s="436">
        <f t="shared" si="201"/>
        <v>1</v>
      </c>
      <c r="CQ245" s="436">
        <f t="shared" si="201"/>
        <v>1</v>
      </c>
      <c r="CR245" s="436">
        <f t="shared" si="201"/>
        <v>1</v>
      </c>
      <c r="CS245" s="436">
        <f t="shared" si="201"/>
        <v>1</v>
      </c>
      <c r="CT245" s="436">
        <f t="shared" si="201"/>
        <v>1</v>
      </c>
    </row>
    <row r="246" spans="1:105" ht="15" customHeight="1" x14ac:dyDescent="0.25">
      <c r="A246" s="5548"/>
      <c r="B246" s="3" t="s">
        <v>1811</v>
      </c>
      <c r="C246" s="3750"/>
      <c r="D246" s="3750"/>
      <c r="E246" s="2148"/>
      <c r="F246" s="2148"/>
      <c r="G246" s="2148"/>
      <c r="H246" s="3751"/>
      <c r="I246" s="3751"/>
      <c r="J246" s="3751"/>
      <c r="K246" s="3752"/>
      <c r="L246" s="3753"/>
      <c r="M246" s="3751"/>
      <c r="N246" s="3753"/>
      <c r="O246" s="3754"/>
      <c r="P246" s="1839"/>
      <c r="Q246" s="1839"/>
      <c r="R246" s="1839"/>
      <c r="S246" s="1839"/>
      <c r="T246" s="1839"/>
      <c r="U246" s="1839"/>
      <c r="V246" s="1839"/>
      <c r="W246" s="1839"/>
      <c r="X246" s="183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t="str">
        <f t="shared" si="194"/>
        <v/>
      </c>
    </row>
    <row r="247" spans="1:105" ht="15" customHeight="1" x14ac:dyDescent="0.25">
      <c r="A247" s="5548"/>
      <c r="B247" s="7022" t="s">
        <v>1812</v>
      </c>
      <c r="C247" s="6895"/>
      <c r="D247" s="6896"/>
      <c r="E247" s="6212" t="s">
        <v>1813</v>
      </c>
      <c r="F247" s="6510"/>
      <c r="G247" s="6511"/>
      <c r="H247" s="6956" t="s">
        <v>101</v>
      </c>
      <c r="I247" s="6515"/>
      <c r="J247" s="6515"/>
      <c r="K247" s="6515"/>
      <c r="L247" s="6515"/>
      <c r="M247" s="6515"/>
      <c r="N247" s="6515"/>
      <c r="O247" s="6515"/>
      <c r="P247" s="6515"/>
      <c r="Q247" s="6515"/>
      <c r="R247" s="6515"/>
      <c r="S247" s="6515"/>
      <c r="T247" s="6515"/>
      <c r="U247" s="6515"/>
      <c r="V247" s="6515"/>
      <c r="W247" s="6515"/>
      <c r="X247" s="6515"/>
      <c r="Y247" s="6515"/>
      <c r="Z247" s="6515"/>
      <c r="AA247" s="6515"/>
      <c r="AB247" s="6515"/>
      <c r="AC247" s="6515"/>
      <c r="AD247" s="6515"/>
      <c r="AE247" s="6515"/>
      <c r="AF247" s="6515"/>
      <c r="AG247" s="6515"/>
      <c r="AH247" s="6515"/>
      <c r="AI247" s="6515"/>
      <c r="AJ247" s="6515"/>
      <c r="AK247" s="6515"/>
      <c r="AL247" s="6515"/>
      <c r="AM247" s="6957"/>
      <c r="AN247" s="6517" t="s">
        <v>453</v>
      </c>
      <c r="AO247" s="6533" t="s">
        <v>1814</v>
      </c>
      <c r="AP247" s="7061" t="s">
        <v>1815</v>
      </c>
      <c r="AQ247" s="7063"/>
      <c r="AR247" s="6454" t="s">
        <v>776</v>
      </c>
      <c r="AS247" s="6958" t="s">
        <v>1594</v>
      </c>
      <c r="AT247" s="6958" t="s">
        <v>1816</v>
      </c>
      <c r="AU247" s="7081" t="s">
        <v>1573</v>
      </c>
      <c r="AV247" s="7084" t="s">
        <v>1817</v>
      </c>
      <c r="AW247" s="6930" t="s">
        <v>1250</v>
      </c>
      <c r="AX247" s="7086" t="s">
        <v>37</v>
      </c>
      <c r="AY247" s="6896" t="s">
        <v>322</v>
      </c>
    </row>
    <row r="248" spans="1:105" ht="15" customHeight="1" x14ac:dyDescent="0.25">
      <c r="A248" s="5548"/>
      <c r="B248" s="7023"/>
      <c r="C248" s="7024"/>
      <c r="D248" s="7025"/>
      <c r="E248" s="6734"/>
      <c r="F248" s="6735"/>
      <c r="G248" s="6955"/>
      <c r="H248" s="6947" t="s">
        <v>4404</v>
      </c>
      <c r="I248" s="6961"/>
      <c r="J248" s="6956" t="s">
        <v>1577</v>
      </c>
      <c r="K248" s="6545"/>
      <c r="L248" s="6956" t="s">
        <v>383</v>
      </c>
      <c r="M248" s="6545"/>
      <c r="N248" s="6956" t="s">
        <v>384</v>
      </c>
      <c r="O248" s="6545"/>
      <c r="P248" s="6956" t="s">
        <v>385</v>
      </c>
      <c r="Q248" s="6545"/>
      <c r="R248" s="6956" t="s">
        <v>386</v>
      </c>
      <c r="S248" s="6545"/>
      <c r="T248" s="6956" t="s">
        <v>1578</v>
      </c>
      <c r="U248" s="6545"/>
      <c r="V248" s="6956" t="s">
        <v>303</v>
      </c>
      <c r="W248" s="6962"/>
      <c r="X248" s="6956" t="s">
        <v>304</v>
      </c>
      <c r="Y248" s="6962"/>
      <c r="Z248" s="6956" t="s">
        <v>1818</v>
      </c>
      <c r="AA248" s="6962"/>
      <c r="AB248" s="6956" t="s">
        <v>1819</v>
      </c>
      <c r="AC248" s="6962"/>
      <c r="AD248" s="6956" t="s">
        <v>1820</v>
      </c>
      <c r="AE248" s="6962"/>
      <c r="AF248" s="6956" t="s">
        <v>1821</v>
      </c>
      <c r="AG248" s="6962"/>
      <c r="AH248" s="6956" t="s">
        <v>1583</v>
      </c>
      <c r="AI248" s="6962"/>
      <c r="AJ248" s="6956" t="s">
        <v>1584</v>
      </c>
      <c r="AK248" s="6962"/>
      <c r="AL248" s="6956" t="s">
        <v>938</v>
      </c>
      <c r="AM248" s="6962"/>
      <c r="AN248" s="6034"/>
      <c r="AO248" s="6066"/>
      <c r="AP248" s="6454" t="s">
        <v>1822</v>
      </c>
      <c r="AQ248" s="7087" t="s">
        <v>1823</v>
      </c>
      <c r="AR248" s="6102"/>
      <c r="AS248" s="6959"/>
      <c r="AT248" s="6959"/>
      <c r="AU248" s="7082"/>
      <c r="AV248" s="7084"/>
      <c r="AW248" s="7085"/>
      <c r="AX248" s="7086" t="s">
        <v>37</v>
      </c>
      <c r="AY248" s="7025"/>
    </row>
    <row r="249" spans="1:105" ht="20.25" customHeight="1" x14ac:dyDescent="0.25">
      <c r="A249" s="5548"/>
      <c r="B249" s="7026"/>
      <c r="C249" s="6897"/>
      <c r="D249" s="6964"/>
      <c r="E249" s="3755" t="s">
        <v>79</v>
      </c>
      <c r="F249" s="3341" t="s">
        <v>58</v>
      </c>
      <c r="G249" s="90" t="s">
        <v>59</v>
      </c>
      <c r="H249" s="3405" t="s">
        <v>58</v>
      </c>
      <c r="I249" s="591" t="s">
        <v>59</v>
      </c>
      <c r="J249" s="3405" t="s">
        <v>58</v>
      </c>
      <c r="K249" s="591" t="s">
        <v>59</v>
      </c>
      <c r="L249" s="3405" t="s">
        <v>58</v>
      </c>
      <c r="M249" s="591" t="s">
        <v>59</v>
      </c>
      <c r="N249" s="3405" t="s">
        <v>58</v>
      </c>
      <c r="O249" s="591" t="s">
        <v>59</v>
      </c>
      <c r="P249" s="3405" t="s">
        <v>58</v>
      </c>
      <c r="Q249" s="591" t="s">
        <v>59</v>
      </c>
      <c r="R249" s="3405" t="s">
        <v>58</v>
      </c>
      <c r="S249" s="591" t="s">
        <v>59</v>
      </c>
      <c r="T249" s="3405" t="s">
        <v>58</v>
      </c>
      <c r="U249" s="591" t="s">
        <v>59</v>
      </c>
      <c r="V249" s="3405" t="s">
        <v>58</v>
      </c>
      <c r="W249" s="591" t="s">
        <v>59</v>
      </c>
      <c r="X249" s="3405" t="s">
        <v>58</v>
      </c>
      <c r="Y249" s="591" t="s">
        <v>59</v>
      </c>
      <c r="Z249" s="3405" t="s">
        <v>58</v>
      </c>
      <c r="AA249" s="591" t="s">
        <v>59</v>
      </c>
      <c r="AB249" s="3405" t="s">
        <v>58</v>
      </c>
      <c r="AC249" s="591" t="s">
        <v>59</v>
      </c>
      <c r="AD249" s="3405" t="s">
        <v>58</v>
      </c>
      <c r="AE249" s="591" t="s">
        <v>59</v>
      </c>
      <c r="AF249" s="3405" t="s">
        <v>58</v>
      </c>
      <c r="AG249" s="591" t="s">
        <v>59</v>
      </c>
      <c r="AH249" s="3405" t="s">
        <v>58</v>
      </c>
      <c r="AI249" s="591" t="s">
        <v>59</v>
      </c>
      <c r="AJ249" s="3405" t="s">
        <v>58</v>
      </c>
      <c r="AK249" s="591" t="s">
        <v>59</v>
      </c>
      <c r="AL249" s="3405" t="s">
        <v>58</v>
      </c>
      <c r="AM249" s="591" t="s">
        <v>59</v>
      </c>
      <c r="AN249" s="6035"/>
      <c r="AO249" s="6067"/>
      <c r="AP249" s="6751"/>
      <c r="AQ249" s="7088"/>
      <c r="AR249" s="6751"/>
      <c r="AS249" s="6960"/>
      <c r="AT249" s="6960"/>
      <c r="AU249" s="7083"/>
      <c r="AV249" s="7084"/>
      <c r="AW249" s="6932"/>
      <c r="AX249" s="7086"/>
      <c r="AY249" s="6964"/>
    </row>
    <row r="250" spans="1:105" ht="15" customHeight="1" x14ac:dyDescent="0.25">
      <c r="A250" s="5812" t="s">
        <v>5861</v>
      </c>
      <c r="B250" s="6927" t="s">
        <v>1824</v>
      </c>
      <c r="C250" s="7060" t="s">
        <v>1825</v>
      </c>
      <c r="D250" s="6603"/>
      <c r="E250" s="3757" t="s">
        <v>4567</v>
      </c>
      <c r="F250" s="3556" t="s">
        <v>4568</v>
      </c>
      <c r="G250" s="3470" t="s">
        <v>4569</v>
      </c>
      <c r="H250" s="3758" t="s">
        <v>4570</v>
      </c>
      <c r="I250" s="836" t="s">
        <v>4571</v>
      </c>
      <c r="J250" s="3759" t="s">
        <v>4572</v>
      </c>
      <c r="K250" s="836" t="s">
        <v>4573</v>
      </c>
      <c r="L250" s="3759" t="s">
        <v>4574</v>
      </c>
      <c r="M250" s="836" t="s">
        <v>4575</v>
      </c>
      <c r="N250" s="3759" t="s">
        <v>4576</v>
      </c>
      <c r="O250" s="836" t="s">
        <v>4577</v>
      </c>
      <c r="P250" s="3759" t="s">
        <v>4578</v>
      </c>
      <c r="Q250" s="836" t="s">
        <v>4579</v>
      </c>
      <c r="R250" s="3759" t="s">
        <v>4580</v>
      </c>
      <c r="S250" s="836" t="s">
        <v>4581</v>
      </c>
      <c r="T250" s="3759" t="s">
        <v>4582</v>
      </c>
      <c r="U250" s="803" t="s">
        <v>4583</v>
      </c>
      <c r="V250" s="3759" t="s">
        <v>4584</v>
      </c>
      <c r="W250" s="803" t="s">
        <v>4585</v>
      </c>
      <c r="X250" s="3759" t="s">
        <v>4586</v>
      </c>
      <c r="Y250" s="803" t="s">
        <v>4587</v>
      </c>
      <c r="Z250" s="3759" t="s">
        <v>4588</v>
      </c>
      <c r="AA250" s="803" t="s">
        <v>4589</v>
      </c>
      <c r="AB250" s="3759" t="s">
        <v>4590</v>
      </c>
      <c r="AC250" s="803" t="s">
        <v>4591</v>
      </c>
      <c r="AD250" s="3759" t="s">
        <v>4592</v>
      </c>
      <c r="AE250" s="803" t="s">
        <v>4593</v>
      </c>
      <c r="AF250" s="3759" t="s">
        <v>4594</v>
      </c>
      <c r="AG250" s="803" t="s">
        <v>4595</v>
      </c>
      <c r="AH250" s="3759" t="s">
        <v>4596</v>
      </c>
      <c r="AI250" s="803" t="s">
        <v>4597</v>
      </c>
      <c r="AJ250" s="3759" t="s">
        <v>4598</v>
      </c>
      <c r="AK250" s="803" t="s">
        <v>4599</v>
      </c>
      <c r="AL250" s="3759" t="s">
        <v>4600</v>
      </c>
      <c r="AM250" s="803" t="s">
        <v>4601</v>
      </c>
      <c r="AN250" s="801" t="s">
        <v>4602</v>
      </c>
      <c r="AO250" s="3760" t="s">
        <v>4603</v>
      </c>
      <c r="AP250" s="3761" t="s">
        <v>4604</v>
      </c>
      <c r="AQ250" s="3762" t="s">
        <v>4605</v>
      </c>
      <c r="AR250" s="3763" t="s">
        <v>4606</v>
      </c>
      <c r="AS250" s="3759" t="s">
        <v>4934</v>
      </c>
      <c r="AT250" s="3764" t="s">
        <v>4935</v>
      </c>
      <c r="AU250" s="3758" t="s">
        <v>4936</v>
      </c>
      <c r="AV250" s="803" t="s">
        <v>4937</v>
      </c>
      <c r="AW250" s="3764" t="s">
        <v>5234</v>
      </c>
      <c r="AX250" s="3758" t="s">
        <v>5235</v>
      </c>
      <c r="AY250" s="803" t="s">
        <v>5236</v>
      </c>
      <c r="AZ250" t="e">
        <f>CB250&amp;CC250&amp;CD250&amp;CE250&amp;CF250&amp;CG250&amp;CH250&amp;CI250&amp;CJ250&amp;CK250&amp;CL250&amp;CM250</f>
        <v>#VALUE!</v>
      </c>
      <c r="CB250" s="433" t="str">
        <f>IF(AND($G250&gt;0,AN250="")," * No olvide digitar la variable Gestante. Digite cero si no tiene.",IF(AN250&gt;$G250," * La variable Gestante no puede superar el Total Mujeres.",""))</f>
        <v xml:space="preserve"> * La variable Gestante no puede superar el Total Mujeres.</v>
      </c>
      <c r="CC250" s="433" t="e">
        <f>IF(AND(AH250+AI250&gt;0,AO250="")," * No olvide digitar la variable 60 años (incluido en grupos de 60-64 años). Digite Cero si no tiene.",IF(AO250&gt;AH250+AI250," * La variable 60 años (incluido en grupos de 60-64 años) no puede superar la suma del Grupo 60-64 años.",""))</f>
        <v>#VALUE!</v>
      </c>
      <c r="CD250" s="435"/>
      <c r="CE250" s="435"/>
      <c r="CF250" s="435"/>
      <c r="CG250" s="433" t="str">
        <f>IF(AND($E250&gt;0,AS250="")," * No olvide digitar la variable Compra de Servicio. Digite Cero si no tiene.",IF(AS250&gt;$E250," * La variable Compra de Servicio no puede superar el Total Ambos Sexos.",""))</f>
        <v xml:space="preserve"> * La variable Compra de Servicio no puede superar el Total Ambos Sexos.</v>
      </c>
      <c r="CH250" s="435"/>
      <c r="CI250" s="433" t="str">
        <f>IF(AND($E250&gt;0,AU250="")," * No olvide digitar la variable Usuarios con Dicapacidad. Digite Cero si no tiene.",IF(AU250&gt;$E250," * La variable Usuarios con Dicapacidad no puede superar el Total Ambos Sexos.",""))</f>
        <v xml:space="preserve"> * La variable Usuarios con Dicapacidad no puede superar el Total Ambos Sexos.</v>
      </c>
      <c r="CJ250" s="433" t="str">
        <f>IF(AND($E250&gt;0,AV250="")," * No olvide digitar la variable Usuarios Oncológicos. Digite Cero si no tiene.",IF(AV250&gt;$E250," * La variable Usuarios Oncológicos no puede superar el Total Ambos Sexos.",""))</f>
        <v xml:space="preserve"> * La variable Usuarios Oncológicos no puede superar el Total Ambos Sexos.</v>
      </c>
      <c r="CK250" s="435"/>
      <c r="CL250" s="433" t="str">
        <f>IF(AND($E250&gt;0,AX250="")," * No olvide digitar la variable Migrantes. Digite Cero si no tiene.",IF(AX250&gt;$E250," * La variable Migrantes no puede superar el Total Ambos Sexos.",""))</f>
        <v xml:space="preserve"> * La variable Migrantes no puede superar el Total Ambos Sexos.</v>
      </c>
      <c r="CM250" s="433" t="str">
        <f>IF(AND($E250&gt;0,AY250=""),"  * No olvide digitar la variable Pueblo Originario. Digite Cero si no tiene.",IF(AY250&gt;$E250," * La variable Pueblo Originario no puede superar el Total Ambos Sexos.",""))</f>
        <v xml:space="preserve"> * La variable Pueblo Originario no puede superar el Total Ambos Sexos.</v>
      </c>
      <c r="CP250" s="434">
        <f>IF(AND($G250&gt;0,AN250=""),1,IF(AN250&gt;$G250,1,0))</f>
        <v>1</v>
      </c>
      <c r="CQ250" s="434" t="e">
        <f>IF(AND(AH250+AI250&gt;0,AO250=""),1,IF(AO250&gt;AH250+AI250,1,0))</f>
        <v>#VALUE!</v>
      </c>
      <c r="CR250" s="435"/>
      <c r="CS250" s="435"/>
      <c r="CT250" s="435"/>
      <c r="CU250" s="434">
        <f>IF(AND($E250&gt;0,AS250=""),1,IF(AS250&gt;$E250,1,0))</f>
        <v>1</v>
      </c>
      <c r="CV250" s="435"/>
      <c r="CW250" s="434">
        <f>IF(AND($E250&gt;0,AU250=""),1,IF(AU250&gt;$E250,1,0))</f>
        <v>1</v>
      </c>
      <c r="CX250" s="434">
        <f>IF(AND($E250&gt;0,AV250=""),1,IF(AV250&gt;$E250,1,0))</f>
        <v>1</v>
      </c>
      <c r="CY250" s="435"/>
      <c r="CZ250" s="434">
        <f>IF(AND($E250&gt;0,AX250=""),1,IF(AX250&gt;$E250,1,0))</f>
        <v>1</v>
      </c>
      <c r="DA250" s="434">
        <f>IF(AND($E250&gt;0,AY250=""),1,IF(AY250&gt;$E250,1,0))</f>
        <v>1</v>
      </c>
    </row>
    <row r="251" spans="1:105" ht="15" customHeight="1" x14ac:dyDescent="0.25">
      <c r="A251" s="5812" t="s">
        <v>5862</v>
      </c>
      <c r="B251" s="6312"/>
      <c r="C251" s="6563" t="s">
        <v>1826</v>
      </c>
      <c r="D251" s="6564"/>
      <c r="E251" s="3765" t="s">
        <v>4567</v>
      </c>
      <c r="F251" s="3527" t="s">
        <v>4568</v>
      </c>
      <c r="G251" s="3480" t="s">
        <v>4569</v>
      </c>
      <c r="H251" s="3766" t="s">
        <v>4570</v>
      </c>
      <c r="I251" s="3767" t="s">
        <v>4571</v>
      </c>
      <c r="J251" s="3768" t="s">
        <v>4572</v>
      </c>
      <c r="K251" s="3767" t="s">
        <v>4573</v>
      </c>
      <c r="L251" s="3768" t="s">
        <v>4574</v>
      </c>
      <c r="M251" s="3767" t="s">
        <v>4575</v>
      </c>
      <c r="N251" s="3768" t="s">
        <v>4576</v>
      </c>
      <c r="O251" s="3767" t="s">
        <v>4577</v>
      </c>
      <c r="P251" s="3768" t="s">
        <v>4578</v>
      </c>
      <c r="Q251" s="3767" t="s">
        <v>4579</v>
      </c>
      <c r="R251" s="3768" t="s">
        <v>4580</v>
      </c>
      <c r="S251" s="3767" t="s">
        <v>4581</v>
      </c>
      <c r="T251" s="3768" t="s">
        <v>4582</v>
      </c>
      <c r="U251" s="815" t="s">
        <v>4583</v>
      </c>
      <c r="V251" s="3768" t="s">
        <v>4584</v>
      </c>
      <c r="W251" s="815" t="s">
        <v>4585</v>
      </c>
      <c r="X251" s="3768" t="s">
        <v>4586</v>
      </c>
      <c r="Y251" s="815" t="s">
        <v>4587</v>
      </c>
      <c r="Z251" s="3768" t="s">
        <v>4588</v>
      </c>
      <c r="AA251" s="815" t="s">
        <v>4589</v>
      </c>
      <c r="AB251" s="3768" t="s">
        <v>4590</v>
      </c>
      <c r="AC251" s="815" t="s">
        <v>4591</v>
      </c>
      <c r="AD251" s="3768" t="s">
        <v>4592</v>
      </c>
      <c r="AE251" s="815" t="s">
        <v>4593</v>
      </c>
      <c r="AF251" s="3768" t="s">
        <v>4594</v>
      </c>
      <c r="AG251" s="815" t="s">
        <v>4595</v>
      </c>
      <c r="AH251" s="3768" t="s">
        <v>4596</v>
      </c>
      <c r="AI251" s="815" t="s">
        <v>4597</v>
      </c>
      <c r="AJ251" s="3768" t="s">
        <v>4598</v>
      </c>
      <c r="AK251" s="815" t="s">
        <v>4599</v>
      </c>
      <c r="AL251" s="3768" t="s">
        <v>4600</v>
      </c>
      <c r="AM251" s="815" t="s">
        <v>4601</v>
      </c>
      <c r="AN251" s="814" t="s">
        <v>4602</v>
      </c>
      <c r="AO251" s="3769" t="s">
        <v>4603</v>
      </c>
      <c r="AP251" s="3761" t="s">
        <v>4604</v>
      </c>
      <c r="AQ251" s="3770" t="s">
        <v>4605</v>
      </c>
      <c r="AR251" s="3763" t="s">
        <v>4606</v>
      </c>
      <c r="AS251" s="3768" t="s">
        <v>4934</v>
      </c>
      <c r="AT251" s="3770" t="s">
        <v>4935</v>
      </c>
      <c r="AU251" s="3766" t="s">
        <v>4936</v>
      </c>
      <c r="AV251" s="815" t="s">
        <v>4937</v>
      </c>
      <c r="AW251" s="3770" t="s">
        <v>5234</v>
      </c>
      <c r="AX251" s="3766" t="s">
        <v>5235</v>
      </c>
      <c r="AY251" s="815" t="s">
        <v>5236</v>
      </c>
      <c r="AZ251" t="e">
        <f t="shared" ref="AZ251:AZ314" si="208">CB251&amp;CC251&amp;CD251&amp;CE251&amp;CF251&amp;CG251&amp;CH251&amp;CI251&amp;CJ251&amp;CK251&amp;CL251&amp;CM251</f>
        <v>#VALUE!</v>
      </c>
      <c r="CB251" s="433" t="str">
        <f t="shared" ref="CB251:CB314" si="209">IF(AND($G251&gt;0,AN251="")," * No olvide digitar la variable Gestante. Digite cero si no tiene.",IF(AN251&gt;$G251," * La variable Gestante no puede superar el Total Mujeres.",""))</f>
        <v xml:space="preserve"> * La variable Gestante no puede superar el Total Mujeres.</v>
      </c>
      <c r="CC251" s="433" t="e">
        <f t="shared" ref="CC251:CC314" si="210">IF(AND(AH251+AI251&gt;0,AO251="")," * No olvide digitar la variable 60 años (incluido en grupos de 60-64 años). Digite Cero si no tiene.",IF(AO251&gt;AH251+AI251," * La variable 60 años (incluido en grupos de 60-64 años) no puede superar la suma del Grupo 60-64 años.",""))</f>
        <v>#VALUE!</v>
      </c>
      <c r="CD251" s="435"/>
      <c r="CE251" s="435"/>
      <c r="CF251" s="435"/>
      <c r="CG251" s="433" t="str">
        <f t="shared" ref="CG251:CG314" si="211">IF(AND($E251&gt;0,AS251="")," * No olvide digitar la variable Compra de Servicio. Digite Cero si no tiene.",IF(AS251&gt;$E251," * La variable Compra de Servicio no puede superar el Total Ambos Sexos.",""))</f>
        <v xml:space="preserve"> * La variable Compra de Servicio no puede superar el Total Ambos Sexos.</v>
      </c>
      <c r="CH251" s="435"/>
      <c r="CI251" s="433" t="str">
        <f t="shared" ref="CI251:CI314" si="212">IF(AND($E251&gt;0,AU251="")," * No olvide digitar la variable Usuarios con Dicapacidad. Digite Cero si no tiene.",IF(AU251&gt;$E251," * La variable Usuarios con Dicapacidad no puede superar el Total Ambos Sexos.",""))</f>
        <v xml:space="preserve"> * La variable Usuarios con Dicapacidad no puede superar el Total Ambos Sexos.</v>
      </c>
      <c r="CJ251" s="433" t="str">
        <f t="shared" ref="CJ251:CJ314" si="213">IF(AND($E251&gt;0,AV251="")," * No olvide digitar la variable Usuarios Oncológicos. Digite Cero si no tiene.",IF(AV251&gt;$E251," * La variable Usuarios Oncológicos no puede superar el Total Ambos Sexos.",""))</f>
        <v xml:space="preserve"> * La variable Usuarios Oncológicos no puede superar el Total Ambos Sexos.</v>
      </c>
      <c r="CK251" s="435"/>
      <c r="CL251" s="433" t="str">
        <f t="shared" ref="CL251:CL314" si="214">IF(AND($E251&gt;0,AX251="")," * No olvide digitar la variable Migrantes. Digite Cero si no tiene.",IF(AX251&gt;$E251," * La variable Migrantes no puede superar el Total Ambos Sexos.",""))</f>
        <v xml:space="preserve"> * La variable Migrantes no puede superar el Total Ambos Sexos.</v>
      </c>
      <c r="CM251" s="433" t="str">
        <f t="shared" ref="CM251:CM314" si="215">IF(AND($E251&gt;0,AY251=""),"  * No olvide digitar la variable Pueblo Originario. Digite Cero si no tiene.",IF(AY251&gt;$E251," * La variable Pueblo Originario no puede superar el Total Ambos Sexos.",""))</f>
        <v xml:space="preserve"> * La variable Pueblo Originario no puede superar el Total Ambos Sexos.</v>
      </c>
      <c r="CP251" s="434">
        <f t="shared" ref="CP251:CP314" si="216">IF(AND($G251&gt;0,AN251=""),1,IF(AN251&gt;$G251,1,0))</f>
        <v>1</v>
      </c>
      <c r="CQ251" s="434" t="e">
        <f t="shared" ref="CQ251:CQ314" si="217">IF(AND(AH251+AI251&gt;0,AO251=""),1,IF(AO251&gt;AH251+AI251,1,0))</f>
        <v>#VALUE!</v>
      </c>
      <c r="CR251" s="435"/>
      <c r="CS251" s="435"/>
      <c r="CT251" s="435"/>
      <c r="CU251" s="434">
        <f t="shared" ref="CU251:CU314" si="218">IF(AND($E251&gt;0,AS251=""),1,IF(AS251&gt;$E251,1,0))</f>
        <v>1</v>
      </c>
      <c r="CV251" s="435"/>
      <c r="CW251" s="434">
        <f t="shared" ref="CW251:CW314" si="219">IF(AND($E251&gt;0,AU251=""),1,IF(AU251&gt;$E251,1,0))</f>
        <v>1</v>
      </c>
      <c r="CX251" s="434">
        <f t="shared" ref="CX251:CY314" si="220">IF(AND($E251&gt;0,AV251=""),1,IF(AV251&gt;$E251,1,0))</f>
        <v>1</v>
      </c>
      <c r="CY251" s="435"/>
      <c r="CZ251" s="434">
        <f t="shared" ref="CZ251:CZ314" si="221">IF(AND($E251&gt;0,AX251=""),1,IF(AX251&gt;$E251,1,0))</f>
        <v>1</v>
      </c>
      <c r="DA251" s="434">
        <f t="shared" ref="DA251:DA314" si="222">IF(AND($E251&gt;0,AY251=""),1,IF(AY251&gt;$E251,1,0))</f>
        <v>1</v>
      </c>
    </row>
    <row r="252" spans="1:105" ht="15" customHeight="1" x14ac:dyDescent="0.25">
      <c r="A252" s="5812" t="s">
        <v>5863</v>
      </c>
      <c r="B252" s="6453" t="s">
        <v>1827</v>
      </c>
      <c r="C252" s="7058" t="s">
        <v>1828</v>
      </c>
      <c r="D252" s="7058"/>
      <c r="E252" s="3722" t="s">
        <v>4567</v>
      </c>
      <c r="F252" s="3556" t="s">
        <v>4568</v>
      </c>
      <c r="G252" s="3470" t="s">
        <v>4569</v>
      </c>
      <c r="H252" s="3758" t="s">
        <v>4570</v>
      </c>
      <c r="I252" s="836" t="s">
        <v>4571</v>
      </c>
      <c r="J252" s="3759" t="s">
        <v>4572</v>
      </c>
      <c r="K252" s="836" t="s">
        <v>4573</v>
      </c>
      <c r="L252" s="3759" t="s">
        <v>4574</v>
      </c>
      <c r="M252" s="836" t="s">
        <v>4575</v>
      </c>
      <c r="N252" s="3759" t="s">
        <v>4576</v>
      </c>
      <c r="O252" s="836" t="s">
        <v>4577</v>
      </c>
      <c r="P252" s="3759" t="s">
        <v>4578</v>
      </c>
      <c r="Q252" s="836" t="s">
        <v>4579</v>
      </c>
      <c r="R252" s="3759" t="s">
        <v>4580</v>
      </c>
      <c r="S252" s="836" t="s">
        <v>4581</v>
      </c>
      <c r="T252" s="3759" t="s">
        <v>4582</v>
      </c>
      <c r="U252" s="803" t="s">
        <v>4583</v>
      </c>
      <c r="V252" s="3759" t="s">
        <v>4584</v>
      </c>
      <c r="W252" s="803" t="s">
        <v>4585</v>
      </c>
      <c r="X252" s="3759" t="s">
        <v>4586</v>
      </c>
      <c r="Y252" s="803" t="s">
        <v>4587</v>
      </c>
      <c r="Z252" s="3759" t="s">
        <v>4588</v>
      </c>
      <c r="AA252" s="803" t="s">
        <v>4589</v>
      </c>
      <c r="AB252" s="3759" t="s">
        <v>4590</v>
      </c>
      <c r="AC252" s="803" t="s">
        <v>4591</v>
      </c>
      <c r="AD252" s="3759" t="s">
        <v>4592</v>
      </c>
      <c r="AE252" s="803" t="s">
        <v>4593</v>
      </c>
      <c r="AF252" s="3759" t="s">
        <v>4594</v>
      </c>
      <c r="AG252" s="803" t="s">
        <v>4595</v>
      </c>
      <c r="AH252" s="3759" t="s">
        <v>4596</v>
      </c>
      <c r="AI252" s="803" t="s">
        <v>4597</v>
      </c>
      <c r="AJ252" s="3759" t="s">
        <v>4598</v>
      </c>
      <c r="AK252" s="803" t="s">
        <v>4599</v>
      </c>
      <c r="AL252" s="3759" t="s">
        <v>4600</v>
      </c>
      <c r="AM252" s="803" t="s">
        <v>4601</v>
      </c>
      <c r="AN252" s="2655" t="s">
        <v>4602</v>
      </c>
      <c r="AO252" s="3771" t="s">
        <v>4603</v>
      </c>
      <c r="AP252" s="3758" t="s">
        <v>4604</v>
      </c>
      <c r="AQ252" s="3772" t="s">
        <v>4605</v>
      </c>
      <c r="AR252" s="3759" t="s">
        <v>4606</v>
      </c>
      <c r="AS252" s="3773" t="s">
        <v>4934</v>
      </c>
      <c r="AT252" s="3762" t="s">
        <v>4935</v>
      </c>
      <c r="AU252" s="3774" t="s">
        <v>4936</v>
      </c>
      <c r="AV252" s="2657" t="s">
        <v>4937</v>
      </c>
      <c r="AW252" s="3762" t="s">
        <v>5234</v>
      </c>
      <c r="AX252" s="3774" t="s">
        <v>5235</v>
      </c>
      <c r="AY252" s="2657" t="s">
        <v>5236</v>
      </c>
      <c r="AZ252" t="e">
        <f t="shared" si="208"/>
        <v>#VALUE!</v>
      </c>
      <c r="CB252" s="433" t="str">
        <f t="shared" si="209"/>
        <v xml:space="preserve"> * La variable Gestante no puede superar el Total Mujeres.</v>
      </c>
      <c r="CC252" s="433" t="e">
        <f t="shared" si="210"/>
        <v>#VALUE!</v>
      </c>
      <c r="CD252" s="433" t="str">
        <f>IF(AND($E252&gt;0,AP252="")," * No olvide digitar la variable Consultas Pertinentes: Según Procolo de Referencia. Digite cero si no tiene.",IF(AP252&gt;$E252,"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52" s="433" t="str">
        <f>IF(AND($E252&gt;0,AQ252="")," * No olvide digitar la variable Consultas Pertinentes: Según condición clínica. Digite cero si no tiene.",IF(AQ252&gt;$E252,"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52" s="433" t="str">
        <f>IF(AND($E252&gt;0,AR252="")," * No olvide digitar la variable Inasistente. Digite cero si no tiene.",IF(AR252&gt;$E252," * La variable Insasistente no puede superar el Total Ambos Sexos.",""))</f>
        <v xml:space="preserve"> * La variable Insasistente no puede superar el Total Ambos Sexos.</v>
      </c>
      <c r="CG252" s="433" t="str">
        <f t="shared" si="211"/>
        <v xml:space="preserve"> * La variable Compra de Servicio no puede superar el Total Ambos Sexos.</v>
      </c>
      <c r="CH252" s="435"/>
      <c r="CI252" s="433" t="str">
        <f t="shared" si="212"/>
        <v xml:space="preserve"> * La variable Usuarios con Dicapacidad no puede superar el Total Ambos Sexos.</v>
      </c>
      <c r="CJ252" s="433" t="str">
        <f t="shared" si="213"/>
        <v xml:space="preserve"> * La variable Usuarios Oncológicos no puede superar el Total Ambos Sexos.</v>
      </c>
      <c r="CK252" s="435"/>
      <c r="CL252" s="433" t="str">
        <f t="shared" si="214"/>
        <v xml:space="preserve"> * La variable Migrantes no puede superar el Total Ambos Sexos.</v>
      </c>
      <c r="CM252" s="433" t="str">
        <f t="shared" si="215"/>
        <v xml:space="preserve"> * La variable Pueblo Originario no puede superar el Total Ambos Sexos.</v>
      </c>
      <c r="CP252" s="434">
        <f t="shared" si="216"/>
        <v>1</v>
      </c>
      <c r="CQ252" s="434" t="e">
        <f t="shared" si="217"/>
        <v>#VALUE!</v>
      </c>
      <c r="CR252" s="434">
        <f>IF(AND($E252&gt;0,AP252=""),1,IF(AP252&gt;$E252,1,0))</f>
        <v>1</v>
      </c>
      <c r="CS252" s="434">
        <f t="shared" ref="CS252:CT253" si="223">IF(AND($E252&gt;0,AQ252=""),1,IF(AQ252&gt;$E252,1,0))</f>
        <v>1</v>
      </c>
      <c r="CT252" s="434">
        <f t="shared" si="223"/>
        <v>1</v>
      </c>
      <c r="CU252" s="434">
        <f t="shared" si="218"/>
        <v>1</v>
      </c>
      <c r="CV252" s="435"/>
      <c r="CW252" s="434">
        <f t="shared" si="219"/>
        <v>1</v>
      </c>
      <c r="CX252" s="434">
        <f t="shared" si="220"/>
        <v>1</v>
      </c>
      <c r="CY252" s="435"/>
      <c r="CZ252" s="434">
        <f t="shared" si="221"/>
        <v>1</v>
      </c>
      <c r="DA252" s="434">
        <f t="shared" si="222"/>
        <v>1</v>
      </c>
    </row>
    <row r="253" spans="1:105" ht="15" customHeight="1" x14ac:dyDescent="0.25">
      <c r="A253" s="5812" t="s">
        <v>5864</v>
      </c>
      <c r="B253" s="6058"/>
      <c r="C253" s="7059" t="s">
        <v>1829</v>
      </c>
      <c r="D253" s="7059"/>
      <c r="E253" s="3775" t="s">
        <v>4567</v>
      </c>
      <c r="F253" s="3776" t="s">
        <v>4568</v>
      </c>
      <c r="G253" s="3562" t="s">
        <v>4569</v>
      </c>
      <c r="H253" s="3777" t="s">
        <v>4570</v>
      </c>
      <c r="I253" s="3778" t="s">
        <v>4571</v>
      </c>
      <c r="J253" s="3779" t="s">
        <v>4572</v>
      </c>
      <c r="K253" s="3778" t="s">
        <v>4573</v>
      </c>
      <c r="L253" s="3779" t="s">
        <v>4574</v>
      </c>
      <c r="M253" s="3778" t="s">
        <v>4575</v>
      </c>
      <c r="N253" s="3779" t="s">
        <v>4576</v>
      </c>
      <c r="O253" s="3778" t="s">
        <v>4577</v>
      </c>
      <c r="P253" s="3779" t="s">
        <v>4578</v>
      </c>
      <c r="Q253" s="3778" t="s">
        <v>4579</v>
      </c>
      <c r="R253" s="3779" t="s">
        <v>4580</v>
      </c>
      <c r="S253" s="3778" t="s">
        <v>4581</v>
      </c>
      <c r="T253" s="3779" t="s">
        <v>4582</v>
      </c>
      <c r="U253" s="812" t="s">
        <v>4583</v>
      </c>
      <c r="V253" s="3779" t="s">
        <v>4584</v>
      </c>
      <c r="W253" s="812" t="s">
        <v>4585</v>
      </c>
      <c r="X253" s="3779" t="s">
        <v>4586</v>
      </c>
      <c r="Y253" s="812" t="s">
        <v>4587</v>
      </c>
      <c r="Z253" s="3779" t="s">
        <v>4588</v>
      </c>
      <c r="AA253" s="812" t="s">
        <v>4589</v>
      </c>
      <c r="AB253" s="3779" t="s">
        <v>4590</v>
      </c>
      <c r="AC253" s="812" t="s">
        <v>4591</v>
      </c>
      <c r="AD253" s="3779" t="s">
        <v>4592</v>
      </c>
      <c r="AE253" s="812" t="s">
        <v>4593</v>
      </c>
      <c r="AF253" s="3779" t="s">
        <v>4594</v>
      </c>
      <c r="AG253" s="812" t="s">
        <v>4595</v>
      </c>
      <c r="AH253" s="3779" t="s">
        <v>4596</v>
      </c>
      <c r="AI253" s="812" t="s">
        <v>4597</v>
      </c>
      <c r="AJ253" s="3779" t="s">
        <v>4598</v>
      </c>
      <c r="AK253" s="812" t="s">
        <v>4599</v>
      </c>
      <c r="AL253" s="3779" t="s">
        <v>4600</v>
      </c>
      <c r="AM253" s="812" t="s">
        <v>4601</v>
      </c>
      <c r="AN253" s="3780" t="s">
        <v>4602</v>
      </c>
      <c r="AO253" s="3781" t="s">
        <v>4603</v>
      </c>
      <c r="AP253" s="3761" t="s">
        <v>4604</v>
      </c>
      <c r="AQ253" s="3762" t="s">
        <v>4605</v>
      </c>
      <c r="AR253" s="3773" t="s">
        <v>4606</v>
      </c>
      <c r="AS253" s="3779" t="s">
        <v>4934</v>
      </c>
      <c r="AT253" s="3762" t="s">
        <v>4935</v>
      </c>
      <c r="AU253" s="3777" t="s">
        <v>4936</v>
      </c>
      <c r="AV253" s="812" t="s">
        <v>4937</v>
      </c>
      <c r="AW253" s="3762" t="s">
        <v>5234</v>
      </c>
      <c r="AX253" s="3777" t="s">
        <v>5235</v>
      </c>
      <c r="AY253" s="812" t="s">
        <v>5236</v>
      </c>
      <c r="AZ253" t="e">
        <f t="shared" si="208"/>
        <v>#VALUE!</v>
      </c>
      <c r="CB253" s="433" t="str">
        <f t="shared" si="209"/>
        <v xml:space="preserve"> * La variable Gestante no puede superar el Total Mujeres.</v>
      </c>
      <c r="CC253" s="433" t="e">
        <f t="shared" si="210"/>
        <v>#VALUE!</v>
      </c>
      <c r="CD253" s="435"/>
      <c r="CE253" s="435"/>
      <c r="CF253" s="433" t="str">
        <f>IF(AND($E253&gt;0,AR253="")," * No olvide digitar la variable Inasistente. Digite cero si no tiene.",IF(AR253&gt;$E253," * La variable Insasistente no puede superar el Total Ambos Sexos.",""))</f>
        <v xml:space="preserve"> * La variable Insasistente no puede superar el Total Ambos Sexos.</v>
      </c>
      <c r="CG253" s="433" t="str">
        <f t="shared" si="211"/>
        <v xml:space="preserve"> * La variable Compra de Servicio no puede superar el Total Ambos Sexos.</v>
      </c>
      <c r="CH253" s="435"/>
      <c r="CI253" s="433" t="str">
        <f t="shared" si="212"/>
        <v xml:space="preserve"> * La variable Usuarios con Dicapacidad no puede superar el Total Ambos Sexos.</v>
      </c>
      <c r="CJ253" s="433" t="str">
        <f t="shared" si="213"/>
        <v xml:space="preserve"> * La variable Usuarios Oncológicos no puede superar el Total Ambos Sexos.</v>
      </c>
      <c r="CK253" s="435"/>
      <c r="CL253" s="433" t="str">
        <f t="shared" si="214"/>
        <v xml:space="preserve"> * La variable Migrantes no puede superar el Total Ambos Sexos.</v>
      </c>
      <c r="CM253" s="433" t="str">
        <f t="shared" si="215"/>
        <v xml:space="preserve"> * La variable Pueblo Originario no puede superar el Total Ambos Sexos.</v>
      </c>
      <c r="CP253" s="434">
        <f t="shared" si="216"/>
        <v>1</v>
      </c>
      <c r="CQ253" s="434" t="e">
        <f t="shared" si="217"/>
        <v>#VALUE!</v>
      </c>
      <c r="CR253" s="435"/>
      <c r="CS253" s="435"/>
      <c r="CT253" s="434">
        <f t="shared" si="223"/>
        <v>1</v>
      </c>
      <c r="CU253" s="434">
        <f t="shared" si="218"/>
        <v>1</v>
      </c>
      <c r="CV253" s="435"/>
      <c r="CW253" s="434">
        <f t="shared" si="219"/>
        <v>1</v>
      </c>
      <c r="CX253" s="434">
        <f t="shared" si="220"/>
        <v>1</v>
      </c>
      <c r="CY253" s="435"/>
      <c r="CZ253" s="434">
        <f t="shared" si="221"/>
        <v>1</v>
      </c>
      <c r="DA253" s="434">
        <f t="shared" si="222"/>
        <v>1</v>
      </c>
    </row>
    <row r="254" spans="1:105" ht="15" customHeight="1" x14ac:dyDescent="0.25">
      <c r="A254" s="5812" t="s">
        <v>5865</v>
      </c>
      <c r="B254" s="6058"/>
      <c r="C254" s="7059" t="s">
        <v>1830</v>
      </c>
      <c r="D254" s="7059"/>
      <c r="E254" s="3775" t="s">
        <v>4567</v>
      </c>
      <c r="F254" s="3776" t="s">
        <v>4568</v>
      </c>
      <c r="G254" s="3562" t="s">
        <v>4569</v>
      </c>
      <c r="H254" s="3777" t="s">
        <v>4570</v>
      </c>
      <c r="I254" s="3778" t="s">
        <v>4571</v>
      </c>
      <c r="J254" s="3779" t="s">
        <v>4572</v>
      </c>
      <c r="K254" s="3778" t="s">
        <v>4573</v>
      </c>
      <c r="L254" s="3779" t="s">
        <v>4574</v>
      </c>
      <c r="M254" s="3778" t="s">
        <v>4575</v>
      </c>
      <c r="N254" s="3779" t="s">
        <v>4576</v>
      </c>
      <c r="O254" s="3778" t="s">
        <v>4577</v>
      </c>
      <c r="P254" s="3779" t="s">
        <v>4578</v>
      </c>
      <c r="Q254" s="3778" t="s">
        <v>4579</v>
      </c>
      <c r="R254" s="3779" t="s">
        <v>4580</v>
      </c>
      <c r="S254" s="3778" t="s">
        <v>4581</v>
      </c>
      <c r="T254" s="3779" t="s">
        <v>4582</v>
      </c>
      <c r="U254" s="812" t="s">
        <v>4583</v>
      </c>
      <c r="V254" s="3779" t="s">
        <v>4584</v>
      </c>
      <c r="W254" s="812" t="s">
        <v>4585</v>
      </c>
      <c r="X254" s="3779" t="s">
        <v>4586</v>
      </c>
      <c r="Y254" s="812" t="s">
        <v>4587</v>
      </c>
      <c r="Z254" s="3779" t="s">
        <v>4588</v>
      </c>
      <c r="AA254" s="812" t="s">
        <v>4589</v>
      </c>
      <c r="AB254" s="3779" t="s">
        <v>4590</v>
      </c>
      <c r="AC254" s="812" t="s">
        <v>4591</v>
      </c>
      <c r="AD254" s="3779" t="s">
        <v>4592</v>
      </c>
      <c r="AE254" s="812" t="s">
        <v>4593</v>
      </c>
      <c r="AF254" s="3779" t="s">
        <v>4594</v>
      </c>
      <c r="AG254" s="812" t="s">
        <v>4595</v>
      </c>
      <c r="AH254" s="3779" t="s">
        <v>4596</v>
      </c>
      <c r="AI254" s="812" t="s">
        <v>4597</v>
      </c>
      <c r="AJ254" s="3779" t="s">
        <v>4598</v>
      </c>
      <c r="AK254" s="812" t="s">
        <v>4599</v>
      </c>
      <c r="AL254" s="3779" t="s">
        <v>4600</v>
      </c>
      <c r="AM254" s="812" t="s">
        <v>4601</v>
      </c>
      <c r="AN254" s="3780" t="s">
        <v>4602</v>
      </c>
      <c r="AO254" s="3781" t="s">
        <v>4603</v>
      </c>
      <c r="AP254" s="3761" t="s">
        <v>4604</v>
      </c>
      <c r="AQ254" s="3762" t="s">
        <v>4605</v>
      </c>
      <c r="AR254" s="3782" t="s">
        <v>4606</v>
      </c>
      <c r="AS254" s="3779" t="s">
        <v>4934</v>
      </c>
      <c r="AT254" s="3762" t="s">
        <v>4935</v>
      </c>
      <c r="AU254" s="3777" t="s">
        <v>4936</v>
      </c>
      <c r="AV254" s="812" t="s">
        <v>4937</v>
      </c>
      <c r="AW254" s="3762" t="s">
        <v>5234</v>
      </c>
      <c r="AX254" s="3777" t="s">
        <v>5235</v>
      </c>
      <c r="AY254" s="812" t="s">
        <v>5236</v>
      </c>
      <c r="AZ254" t="e">
        <f t="shared" si="208"/>
        <v>#VALUE!</v>
      </c>
      <c r="CB254" s="433" t="str">
        <f t="shared" si="209"/>
        <v xml:space="preserve"> * La variable Gestante no puede superar el Total Mujeres.</v>
      </c>
      <c r="CC254" s="433" t="e">
        <f t="shared" si="210"/>
        <v>#VALUE!</v>
      </c>
      <c r="CD254" s="435"/>
      <c r="CE254" s="435"/>
      <c r="CF254" s="435"/>
      <c r="CG254" s="433" t="str">
        <f t="shared" si="211"/>
        <v xml:space="preserve"> * La variable Compra de Servicio no puede superar el Total Ambos Sexos.</v>
      </c>
      <c r="CH254" s="435"/>
      <c r="CI254" s="433" t="str">
        <f t="shared" si="212"/>
        <v xml:space="preserve"> * La variable Usuarios con Dicapacidad no puede superar el Total Ambos Sexos.</v>
      </c>
      <c r="CJ254" s="433" t="str">
        <f t="shared" si="213"/>
        <v xml:space="preserve"> * La variable Usuarios Oncológicos no puede superar el Total Ambos Sexos.</v>
      </c>
      <c r="CK254" s="435"/>
      <c r="CL254" s="433" t="str">
        <f t="shared" si="214"/>
        <v xml:space="preserve"> * La variable Migrantes no puede superar el Total Ambos Sexos.</v>
      </c>
      <c r="CM254" s="433" t="str">
        <f t="shared" si="215"/>
        <v xml:space="preserve"> * La variable Pueblo Originario no puede superar el Total Ambos Sexos.</v>
      </c>
      <c r="CP254" s="434">
        <f t="shared" si="216"/>
        <v>1</v>
      </c>
      <c r="CQ254" s="434" t="e">
        <f t="shared" si="217"/>
        <v>#VALUE!</v>
      </c>
      <c r="CR254" s="435"/>
      <c r="CS254" s="435"/>
      <c r="CT254" s="435"/>
      <c r="CU254" s="434">
        <f t="shared" si="218"/>
        <v>1</v>
      </c>
      <c r="CV254" s="435"/>
      <c r="CW254" s="434">
        <f t="shared" si="219"/>
        <v>1</v>
      </c>
      <c r="CX254" s="434">
        <f t="shared" si="220"/>
        <v>1</v>
      </c>
      <c r="CY254" s="435"/>
      <c r="CZ254" s="434">
        <f t="shared" si="221"/>
        <v>1</v>
      </c>
      <c r="DA254" s="434">
        <f t="shared" si="222"/>
        <v>1</v>
      </c>
    </row>
    <row r="255" spans="1:105" ht="15" customHeight="1" x14ac:dyDescent="0.25">
      <c r="A255" s="5812" t="s">
        <v>5866</v>
      </c>
      <c r="B255" s="6058"/>
      <c r="C255" s="7055" t="s">
        <v>1831</v>
      </c>
      <c r="D255" s="6987"/>
      <c r="E255" s="3775" t="s">
        <v>4567</v>
      </c>
      <c r="F255" s="3776" t="s">
        <v>4568</v>
      </c>
      <c r="G255" s="3562" t="s">
        <v>4569</v>
      </c>
      <c r="H255" s="3783" t="s">
        <v>4570</v>
      </c>
      <c r="I255" s="3784" t="s">
        <v>4571</v>
      </c>
      <c r="J255" s="3785" t="s">
        <v>4572</v>
      </c>
      <c r="K255" s="3784" t="s">
        <v>4573</v>
      </c>
      <c r="L255" s="3785" t="s">
        <v>4574</v>
      </c>
      <c r="M255" s="3784" t="s">
        <v>4575</v>
      </c>
      <c r="N255" s="3785" t="s">
        <v>4576</v>
      </c>
      <c r="O255" s="3784" t="s">
        <v>4577</v>
      </c>
      <c r="P255" s="3785" t="s">
        <v>4578</v>
      </c>
      <c r="Q255" s="3784" t="s">
        <v>4579</v>
      </c>
      <c r="R255" s="3785" t="s">
        <v>4580</v>
      </c>
      <c r="S255" s="3784" t="s">
        <v>4581</v>
      </c>
      <c r="T255" s="3785" t="s">
        <v>4582</v>
      </c>
      <c r="U255" s="2643" t="s">
        <v>4583</v>
      </c>
      <c r="V255" s="3785" t="s">
        <v>4584</v>
      </c>
      <c r="W255" s="2643" t="s">
        <v>4585</v>
      </c>
      <c r="X255" s="3785" t="s">
        <v>4586</v>
      </c>
      <c r="Y255" s="2643" t="s">
        <v>4587</v>
      </c>
      <c r="Z255" s="3785" t="s">
        <v>4588</v>
      </c>
      <c r="AA255" s="2643" t="s">
        <v>4589</v>
      </c>
      <c r="AB255" s="3785" t="s">
        <v>4590</v>
      </c>
      <c r="AC255" s="2643" t="s">
        <v>4591</v>
      </c>
      <c r="AD255" s="3785" t="s">
        <v>4592</v>
      </c>
      <c r="AE255" s="2643" t="s">
        <v>4593</v>
      </c>
      <c r="AF255" s="3785" t="s">
        <v>4594</v>
      </c>
      <c r="AG255" s="2643" t="s">
        <v>4595</v>
      </c>
      <c r="AH255" s="3785" t="s">
        <v>4596</v>
      </c>
      <c r="AI255" s="2643" t="s">
        <v>4597</v>
      </c>
      <c r="AJ255" s="3785" t="s">
        <v>4598</v>
      </c>
      <c r="AK255" s="2643" t="s">
        <v>4599</v>
      </c>
      <c r="AL255" s="3785" t="s">
        <v>4600</v>
      </c>
      <c r="AM255" s="2643" t="s">
        <v>4601</v>
      </c>
      <c r="AN255" s="2641" t="s">
        <v>4602</v>
      </c>
      <c r="AO255" s="3786" t="s">
        <v>4603</v>
      </c>
      <c r="AP255" s="3761" t="s">
        <v>4604</v>
      </c>
      <c r="AQ255" s="3762" t="s">
        <v>4605</v>
      </c>
      <c r="AR255" s="3782" t="s">
        <v>4606</v>
      </c>
      <c r="AS255" s="3785" t="s">
        <v>4934</v>
      </c>
      <c r="AT255" s="3762" t="s">
        <v>4935</v>
      </c>
      <c r="AU255" s="3783" t="s">
        <v>4936</v>
      </c>
      <c r="AV255" s="2643" t="s">
        <v>4937</v>
      </c>
      <c r="AW255" s="812" t="s">
        <v>5234</v>
      </c>
      <c r="AX255" s="3783" t="s">
        <v>5235</v>
      </c>
      <c r="AY255" s="2643" t="s">
        <v>5236</v>
      </c>
      <c r="AZ255" t="e">
        <f t="shared" si="208"/>
        <v>#VALUE!</v>
      </c>
      <c r="CB255" s="433" t="str">
        <f t="shared" si="209"/>
        <v xml:space="preserve"> * La variable Gestante no puede superar el Total Mujeres.</v>
      </c>
      <c r="CC255" s="433" t="e">
        <f t="shared" si="210"/>
        <v>#VALUE!</v>
      </c>
      <c r="CD255" s="435"/>
      <c r="CE255" s="435"/>
      <c r="CF255" s="435"/>
      <c r="CG255" s="433" t="str">
        <f t="shared" si="211"/>
        <v xml:space="preserve"> * La variable Compra de Servicio no puede superar el Total Ambos Sexos.</v>
      </c>
      <c r="CH255" s="435"/>
      <c r="CI255" s="433" t="str">
        <f t="shared" si="212"/>
        <v xml:space="preserve"> * La variable Usuarios con Dicapacidad no puede superar el Total Ambos Sexos.</v>
      </c>
      <c r="CJ255" s="433" t="str">
        <f t="shared" si="213"/>
        <v xml:space="preserve"> * La variable Usuarios Oncológicos no puede superar el Total Ambos Sexos.</v>
      </c>
      <c r="CK255" s="433" t="str">
        <f>IF(AND($E255&gt;0,AW255="")," * No olvide digitar la variable Contrarreferencia al alta. Digite Cero si no tiene.",IF(AW255&gt;$E255," * La variable Contrarreferencia al alta no puede superar el Total Ambos Sexos.",""))</f>
        <v xml:space="preserve"> * La variable Contrarreferencia al alta no puede superar el Total Ambos Sexos.</v>
      </c>
      <c r="CL255" s="433" t="str">
        <f t="shared" si="214"/>
        <v xml:space="preserve"> * La variable Migrantes no puede superar el Total Ambos Sexos.</v>
      </c>
      <c r="CM255" s="433" t="str">
        <f t="shared" si="215"/>
        <v xml:space="preserve"> * La variable Pueblo Originario no puede superar el Total Ambos Sexos.</v>
      </c>
      <c r="CP255" s="434">
        <f t="shared" si="216"/>
        <v>1</v>
      </c>
      <c r="CQ255" s="434" t="e">
        <f t="shared" si="217"/>
        <v>#VALUE!</v>
      </c>
      <c r="CR255" s="435"/>
      <c r="CS255" s="435"/>
      <c r="CT255" s="435"/>
      <c r="CU255" s="434">
        <f t="shared" si="218"/>
        <v>1</v>
      </c>
      <c r="CV255" s="435"/>
      <c r="CW255" s="434">
        <f t="shared" si="219"/>
        <v>1</v>
      </c>
      <c r="CX255" s="434">
        <f t="shared" si="220"/>
        <v>1</v>
      </c>
      <c r="CY255" s="434">
        <f>IF(AND($E255&gt;0,AW255=""),1,IF(AW255&gt;$E255,1,0))</f>
        <v>1</v>
      </c>
      <c r="CZ255" s="434">
        <f t="shared" si="221"/>
        <v>1</v>
      </c>
      <c r="DA255" s="434">
        <f t="shared" si="222"/>
        <v>1</v>
      </c>
    </row>
    <row r="256" spans="1:105" ht="15" customHeight="1" x14ac:dyDescent="0.25">
      <c r="A256" s="5812" t="s">
        <v>5867</v>
      </c>
      <c r="B256" s="6058"/>
      <c r="C256" s="7055" t="s">
        <v>1832</v>
      </c>
      <c r="D256" s="6987"/>
      <c r="E256" s="3775" t="s">
        <v>4567</v>
      </c>
      <c r="F256" s="3776" t="s">
        <v>4568</v>
      </c>
      <c r="G256" s="3562" t="s">
        <v>4569</v>
      </c>
      <c r="H256" s="3783" t="s">
        <v>4570</v>
      </c>
      <c r="I256" s="3784" t="s">
        <v>4571</v>
      </c>
      <c r="J256" s="3785" t="s">
        <v>4572</v>
      </c>
      <c r="K256" s="3784" t="s">
        <v>4573</v>
      </c>
      <c r="L256" s="3785" t="s">
        <v>4574</v>
      </c>
      <c r="M256" s="3784" t="s">
        <v>4575</v>
      </c>
      <c r="N256" s="3785" t="s">
        <v>4576</v>
      </c>
      <c r="O256" s="3784" t="s">
        <v>4577</v>
      </c>
      <c r="P256" s="3785" t="s">
        <v>4578</v>
      </c>
      <c r="Q256" s="3784" t="s">
        <v>4579</v>
      </c>
      <c r="R256" s="3785" t="s">
        <v>4580</v>
      </c>
      <c r="S256" s="3784" t="s">
        <v>4581</v>
      </c>
      <c r="T256" s="3785" t="s">
        <v>4582</v>
      </c>
      <c r="U256" s="2643" t="s">
        <v>4583</v>
      </c>
      <c r="V256" s="3785" t="s">
        <v>4584</v>
      </c>
      <c r="W256" s="2643" t="s">
        <v>4585</v>
      </c>
      <c r="X256" s="3785" t="s">
        <v>4586</v>
      </c>
      <c r="Y256" s="2643" t="s">
        <v>4587</v>
      </c>
      <c r="Z256" s="3785" t="s">
        <v>4588</v>
      </c>
      <c r="AA256" s="2643" t="s">
        <v>4589</v>
      </c>
      <c r="AB256" s="3785" t="s">
        <v>4590</v>
      </c>
      <c r="AC256" s="2643" t="s">
        <v>4591</v>
      </c>
      <c r="AD256" s="3785" t="s">
        <v>4592</v>
      </c>
      <c r="AE256" s="2643" t="s">
        <v>4593</v>
      </c>
      <c r="AF256" s="3785" t="s">
        <v>4594</v>
      </c>
      <c r="AG256" s="2643" t="s">
        <v>4595</v>
      </c>
      <c r="AH256" s="3785" t="s">
        <v>4596</v>
      </c>
      <c r="AI256" s="2643" t="s">
        <v>4597</v>
      </c>
      <c r="AJ256" s="3785" t="s">
        <v>4598</v>
      </c>
      <c r="AK256" s="2643" t="s">
        <v>4599</v>
      </c>
      <c r="AL256" s="3785" t="s">
        <v>4600</v>
      </c>
      <c r="AM256" s="2643" t="s">
        <v>4601</v>
      </c>
      <c r="AN256" s="2641" t="s">
        <v>4602</v>
      </c>
      <c r="AO256" s="3786" t="s">
        <v>4603</v>
      </c>
      <c r="AP256" s="3787" t="s">
        <v>4604</v>
      </c>
      <c r="AQ256" s="3788" t="s">
        <v>4605</v>
      </c>
      <c r="AR256" s="3789" t="s">
        <v>4606</v>
      </c>
      <c r="AS256" s="3785" t="s">
        <v>4934</v>
      </c>
      <c r="AT256" s="3788" t="s">
        <v>4935</v>
      </c>
      <c r="AU256" s="3783" t="s">
        <v>4936</v>
      </c>
      <c r="AV256" s="2643" t="s">
        <v>4937</v>
      </c>
      <c r="AW256" s="3788" t="s">
        <v>5234</v>
      </c>
      <c r="AX256" s="3783" t="s">
        <v>5235</v>
      </c>
      <c r="AY256" s="2643" t="s">
        <v>5236</v>
      </c>
      <c r="AZ256" t="e">
        <f t="shared" si="208"/>
        <v>#VALUE!</v>
      </c>
      <c r="CB256" s="433" t="str">
        <f t="shared" si="209"/>
        <v xml:space="preserve"> * La variable Gestante no puede superar el Total Mujeres.</v>
      </c>
      <c r="CC256" s="433" t="e">
        <f t="shared" si="210"/>
        <v>#VALUE!</v>
      </c>
      <c r="CD256" s="435"/>
      <c r="CE256" s="435"/>
      <c r="CF256" s="435"/>
      <c r="CG256" s="433" t="str">
        <f t="shared" si="211"/>
        <v xml:space="preserve"> * La variable Compra de Servicio no puede superar el Total Ambos Sexos.</v>
      </c>
      <c r="CH256" s="435"/>
      <c r="CI256" s="433" t="str">
        <f t="shared" si="212"/>
        <v xml:space="preserve"> * La variable Usuarios con Dicapacidad no puede superar el Total Ambos Sexos.</v>
      </c>
      <c r="CJ256" s="433" t="str">
        <f t="shared" si="213"/>
        <v xml:space="preserve"> * La variable Usuarios Oncológicos no puede superar el Total Ambos Sexos.</v>
      </c>
      <c r="CK256" s="435"/>
      <c r="CL256" s="433" t="str">
        <f t="shared" si="214"/>
        <v xml:space="preserve"> * La variable Migrantes no puede superar el Total Ambos Sexos.</v>
      </c>
      <c r="CM256" s="433" t="str">
        <f t="shared" si="215"/>
        <v xml:space="preserve"> * La variable Pueblo Originario no puede superar el Total Ambos Sexos.</v>
      </c>
      <c r="CP256" s="434">
        <f t="shared" si="216"/>
        <v>1</v>
      </c>
      <c r="CQ256" s="434" t="e">
        <f t="shared" si="217"/>
        <v>#VALUE!</v>
      </c>
      <c r="CR256" s="435"/>
      <c r="CS256" s="435"/>
      <c r="CT256" s="435"/>
      <c r="CU256" s="434">
        <f t="shared" si="218"/>
        <v>1</v>
      </c>
      <c r="CV256" s="435"/>
      <c r="CW256" s="434">
        <f t="shared" si="219"/>
        <v>1</v>
      </c>
      <c r="CX256" s="434">
        <f t="shared" si="220"/>
        <v>1</v>
      </c>
      <c r="CY256" s="435"/>
      <c r="CZ256" s="434">
        <f t="shared" si="221"/>
        <v>1</v>
      </c>
      <c r="DA256" s="434">
        <f t="shared" si="222"/>
        <v>1</v>
      </c>
    </row>
    <row r="257" spans="1:105" ht="15" customHeight="1" x14ac:dyDescent="0.25">
      <c r="A257" s="5812" t="s">
        <v>5868</v>
      </c>
      <c r="B257" s="6842"/>
      <c r="C257" s="7056" t="s">
        <v>1833</v>
      </c>
      <c r="D257" s="7056"/>
      <c r="E257" s="3395" t="s">
        <v>4567</v>
      </c>
      <c r="F257" s="3527" t="s">
        <v>4568</v>
      </c>
      <c r="G257" s="3480" t="s">
        <v>4569</v>
      </c>
      <c r="H257" s="3768" t="s">
        <v>4570</v>
      </c>
      <c r="I257" s="3767" t="s">
        <v>4571</v>
      </c>
      <c r="J257" s="3768" t="s">
        <v>4572</v>
      </c>
      <c r="K257" s="3767" t="s">
        <v>4573</v>
      </c>
      <c r="L257" s="3768" t="s">
        <v>4574</v>
      </c>
      <c r="M257" s="3767" t="s">
        <v>4575</v>
      </c>
      <c r="N257" s="3768" t="s">
        <v>4576</v>
      </c>
      <c r="O257" s="3767" t="s">
        <v>4577</v>
      </c>
      <c r="P257" s="3768" t="s">
        <v>4578</v>
      </c>
      <c r="Q257" s="3767" t="s">
        <v>4579</v>
      </c>
      <c r="R257" s="3768" t="s">
        <v>4580</v>
      </c>
      <c r="S257" s="3767" t="s">
        <v>4581</v>
      </c>
      <c r="T257" s="3768" t="s">
        <v>4582</v>
      </c>
      <c r="U257" s="815" t="s">
        <v>4583</v>
      </c>
      <c r="V257" s="3768" t="s">
        <v>4584</v>
      </c>
      <c r="W257" s="815" t="s">
        <v>4585</v>
      </c>
      <c r="X257" s="3768" t="s">
        <v>4586</v>
      </c>
      <c r="Y257" s="815" t="s">
        <v>4587</v>
      </c>
      <c r="Z257" s="3768" t="s">
        <v>4588</v>
      </c>
      <c r="AA257" s="815" t="s">
        <v>4589</v>
      </c>
      <c r="AB257" s="3768" t="s">
        <v>4590</v>
      </c>
      <c r="AC257" s="815" t="s">
        <v>4591</v>
      </c>
      <c r="AD257" s="3768" t="s">
        <v>4592</v>
      </c>
      <c r="AE257" s="815" t="s">
        <v>4593</v>
      </c>
      <c r="AF257" s="3768" t="s">
        <v>4594</v>
      </c>
      <c r="AG257" s="815" t="s">
        <v>4595</v>
      </c>
      <c r="AH257" s="3768" t="s">
        <v>4596</v>
      </c>
      <c r="AI257" s="815" t="s">
        <v>4597</v>
      </c>
      <c r="AJ257" s="3768" t="s">
        <v>4598</v>
      </c>
      <c r="AK257" s="815" t="s">
        <v>4599</v>
      </c>
      <c r="AL257" s="3768" t="s">
        <v>4600</v>
      </c>
      <c r="AM257" s="815" t="s">
        <v>4601</v>
      </c>
      <c r="AN257" s="814" t="s">
        <v>4602</v>
      </c>
      <c r="AO257" s="3769" t="s">
        <v>4603</v>
      </c>
      <c r="AP257" s="3790" t="s">
        <v>4604</v>
      </c>
      <c r="AQ257" s="3770" t="s">
        <v>4605</v>
      </c>
      <c r="AR257" s="3791" t="s">
        <v>4606</v>
      </c>
      <c r="AS257" s="3768" t="s">
        <v>4934</v>
      </c>
      <c r="AT257" s="3770" t="s">
        <v>4935</v>
      </c>
      <c r="AU257" s="3766" t="s">
        <v>4936</v>
      </c>
      <c r="AV257" s="815" t="s">
        <v>4937</v>
      </c>
      <c r="AW257" s="3770" t="s">
        <v>5234</v>
      </c>
      <c r="AX257" s="3766" t="s">
        <v>5235</v>
      </c>
      <c r="AY257" s="815" t="s">
        <v>5236</v>
      </c>
      <c r="AZ257" t="e">
        <f t="shared" si="208"/>
        <v>#VALUE!</v>
      </c>
      <c r="CB257" s="433" t="str">
        <f t="shared" si="209"/>
        <v xml:space="preserve"> * La variable Gestante no puede superar el Total Mujeres.</v>
      </c>
      <c r="CC257" s="433" t="e">
        <f t="shared" si="210"/>
        <v>#VALUE!</v>
      </c>
      <c r="CD257" s="435"/>
      <c r="CE257" s="435"/>
      <c r="CF257" s="435"/>
      <c r="CG257" s="433" t="str">
        <f t="shared" si="211"/>
        <v xml:space="preserve"> * La variable Compra de Servicio no puede superar el Total Ambos Sexos.</v>
      </c>
      <c r="CH257" s="435"/>
      <c r="CI257" s="433" t="str">
        <f t="shared" si="212"/>
        <v xml:space="preserve"> * La variable Usuarios con Dicapacidad no puede superar el Total Ambos Sexos.</v>
      </c>
      <c r="CJ257" s="433" t="str">
        <f t="shared" si="213"/>
        <v xml:space="preserve"> * La variable Usuarios Oncológicos no puede superar el Total Ambos Sexos.</v>
      </c>
      <c r="CK257" s="435"/>
      <c r="CL257" s="433" t="str">
        <f t="shared" si="214"/>
        <v xml:space="preserve"> * La variable Migrantes no puede superar el Total Ambos Sexos.</v>
      </c>
      <c r="CM257" s="433" t="str">
        <f t="shared" si="215"/>
        <v xml:space="preserve"> * La variable Pueblo Originario no puede superar el Total Ambos Sexos.</v>
      </c>
      <c r="CP257" s="434">
        <f t="shared" si="216"/>
        <v>1</v>
      </c>
      <c r="CQ257" s="434" t="e">
        <f t="shared" si="217"/>
        <v>#VALUE!</v>
      </c>
      <c r="CR257" s="435"/>
      <c r="CS257" s="435"/>
      <c r="CT257" s="435"/>
      <c r="CU257" s="434">
        <f t="shared" si="218"/>
        <v>1</v>
      </c>
      <c r="CV257" s="435"/>
      <c r="CW257" s="434">
        <f t="shared" si="219"/>
        <v>1</v>
      </c>
      <c r="CX257" s="434">
        <f t="shared" si="220"/>
        <v>1</v>
      </c>
      <c r="CY257" s="435"/>
      <c r="CZ257" s="434">
        <f t="shared" si="221"/>
        <v>1</v>
      </c>
      <c r="DA257" s="434">
        <f t="shared" si="222"/>
        <v>1</v>
      </c>
    </row>
    <row r="258" spans="1:105" ht="15" customHeight="1" x14ac:dyDescent="0.25">
      <c r="A258" s="5812" t="s">
        <v>5869</v>
      </c>
      <c r="B258" s="6453" t="s">
        <v>1641</v>
      </c>
      <c r="C258" s="7058" t="s">
        <v>1828</v>
      </c>
      <c r="D258" s="7058"/>
      <c r="E258" s="3722" t="s">
        <v>4567</v>
      </c>
      <c r="F258" s="3556" t="s">
        <v>4568</v>
      </c>
      <c r="G258" s="3470" t="s">
        <v>4569</v>
      </c>
      <c r="H258" s="3669" t="s">
        <v>4570</v>
      </c>
      <c r="I258" s="817" t="s">
        <v>4571</v>
      </c>
      <c r="J258" s="3669" t="s">
        <v>4572</v>
      </c>
      <c r="K258" s="817" t="s">
        <v>4573</v>
      </c>
      <c r="L258" s="3669" t="s">
        <v>4574</v>
      </c>
      <c r="M258" s="817" t="s">
        <v>4575</v>
      </c>
      <c r="N258" s="3669" t="s">
        <v>4576</v>
      </c>
      <c r="O258" s="817" t="s">
        <v>4577</v>
      </c>
      <c r="P258" s="3759" t="s">
        <v>4578</v>
      </c>
      <c r="Q258" s="836" t="s">
        <v>4579</v>
      </c>
      <c r="R258" s="3759" t="s">
        <v>4580</v>
      </c>
      <c r="S258" s="836" t="s">
        <v>4581</v>
      </c>
      <c r="T258" s="3759" t="s">
        <v>4582</v>
      </c>
      <c r="U258" s="803" t="s">
        <v>4583</v>
      </c>
      <c r="V258" s="3759" t="s">
        <v>4584</v>
      </c>
      <c r="W258" s="803" t="s">
        <v>4585</v>
      </c>
      <c r="X258" s="3759" t="s">
        <v>4586</v>
      </c>
      <c r="Y258" s="803" t="s">
        <v>4587</v>
      </c>
      <c r="Z258" s="3759" t="s">
        <v>4588</v>
      </c>
      <c r="AA258" s="803" t="s">
        <v>4589</v>
      </c>
      <c r="AB258" s="3759" t="s">
        <v>4590</v>
      </c>
      <c r="AC258" s="803" t="s">
        <v>4591</v>
      </c>
      <c r="AD258" s="3759" t="s">
        <v>4592</v>
      </c>
      <c r="AE258" s="803" t="s">
        <v>4593</v>
      </c>
      <c r="AF258" s="3759" t="s">
        <v>4594</v>
      </c>
      <c r="AG258" s="803" t="s">
        <v>4595</v>
      </c>
      <c r="AH258" s="3759" t="s">
        <v>4596</v>
      </c>
      <c r="AI258" s="803" t="s">
        <v>4597</v>
      </c>
      <c r="AJ258" s="3759" t="s">
        <v>4598</v>
      </c>
      <c r="AK258" s="803" t="s">
        <v>4599</v>
      </c>
      <c r="AL258" s="3759" t="s">
        <v>4600</v>
      </c>
      <c r="AM258" s="803" t="s">
        <v>4601</v>
      </c>
      <c r="AN258" s="2655" t="s">
        <v>4602</v>
      </c>
      <c r="AO258" s="3771" t="s">
        <v>4603</v>
      </c>
      <c r="AP258" s="3758" t="s">
        <v>4604</v>
      </c>
      <c r="AQ258" s="3772" t="s">
        <v>4605</v>
      </c>
      <c r="AR258" s="3759" t="s">
        <v>4606</v>
      </c>
      <c r="AS258" s="3773" t="s">
        <v>4934</v>
      </c>
      <c r="AT258" s="3762" t="s">
        <v>4935</v>
      </c>
      <c r="AU258" s="3774" t="s">
        <v>4936</v>
      </c>
      <c r="AV258" s="2657" t="s">
        <v>4937</v>
      </c>
      <c r="AW258" s="3762" t="s">
        <v>5234</v>
      </c>
      <c r="AX258" s="3774" t="s">
        <v>5235</v>
      </c>
      <c r="AY258" s="2657" t="s">
        <v>5236</v>
      </c>
      <c r="AZ258" t="e">
        <f t="shared" si="208"/>
        <v>#VALUE!</v>
      </c>
      <c r="CB258" s="433" t="str">
        <f t="shared" si="209"/>
        <v xml:space="preserve"> * La variable Gestante no puede superar el Total Mujeres.</v>
      </c>
      <c r="CC258" s="433" t="e">
        <f t="shared" si="210"/>
        <v>#VALUE!</v>
      </c>
      <c r="CD258" s="433" t="str">
        <f>IF(AND($E258&gt;0,AP258="")," * No olvide digitar la variable Consultas Pertinentes: Según Procolo de Referencia. Digite cero si no tiene.",IF(AP258&gt;$E258,"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58" s="433" t="str">
        <f>IF(AND($E258&gt;0,AQ258="")," * No olvide digitar la variable Consultas Pertinentes: Según condición clínica. Digite cero si no tiene.",IF(AQ258&gt;$E258,"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58" s="433" t="str">
        <f>IF(AND($E258&gt;0,AR258="")," * No olvide digitar la variable Inasistente. Digite cero si no tiene.",IF(AR258&gt;$E258," * La variable Insasistente no puede superar el Total Ambos Sexos.",""))</f>
        <v xml:space="preserve"> * La variable Insasistente no puede superar el Total Ambos Sexos.</v>
      </c>
      <c r="CG258" s="433" t="str">
        <f t="shared" si="211"/>
        <v xml:space="preserve"> * La variable Compra de Servicio no puede superar el Total Ambos Sexos.</v>
      </c>
      <c r="CH258" s="435"/>
      <c r="CI258" s="433" t="str">
        <f t="shared" si="212"/>
        <v xml:space="preserve"> * La variable Usuarios con Dicapacidad no puede superar el Total Ambos Sexos.</v>
      </c>
      <c r="CJ258" s="433" t="str">
        <f t="shared" si="213"/>
        <v xml:space="preserve"> * La variable Usuarios Oncológicos no puede superar el Total Ambos Sexos.</v>
      </c>
      <c r="CK258" s="435"/>
      <c r="CL258" s="433" t="str">
        <f t="shared" si="214"/>
        <v xml:space="preserve"> * La variable Migrantes no puede superar el Total Ambos Sexos.</v>
      </c>
      <c r="CM258" s="433" t="str">
        <f t="shared" si="215"/>
        <v xml:space="preserve"> * La variable Pueblo Originario no puede superar el Total Ambos Sexos.</v>
      </c>
      <c r="CP258" s="434">
        <f t="shared" si="216"/>
        <v>1</v>
      </c>
      <c r="CQ258" s="434" t="e">
        <f t="shared" si="217"/>
        <v>#VALUE!</v>
      </c>
      <c r="CR258" s="434">
        <f>IF(AND($E258&gt;0,AP258=""),1,IF(AP258&gt;$E258,1,0))</f>
        <v>1</v>
      </c>
      <c r="CS258" s="434">
        <f t="shared" ref="CS258" si="224">IF(AND($E258&gt;0,AQ258=""),1,IF(AQ258&gt;$E258,1,0))</f>
        <v>1</v>
      </c>
      <c r="CT258" s="434">
        <f t="shared" ref="CT258:CT259" si="225">IF(AND($E258&gt;0,AR258=""),1,IF(AR258&gt;$E258,1,0))</f>
        <v>1</v>
      </c>
      <c r="CU258" s="434">
        <f t="shared" si="218"/>
        <v>1</v>
      </c>
      <c r="CV258" s="435"/>
      <c r="CW258" s="434">
        <f t="shared" si="219"/>
        <v>1</v>
      </c>
      <c r="CX258" s="434">
        <f t="shared" si="220"/>
        <v>1</v>
      </c>
      <c r="CY258" s="435"/>
      <c r="CZ258" s="434">
        <f t="shared" si="221"/>
        <v>1</v>
      </c>
      <c r="DA258" s="434">
        <f t="shared" si="222"/>
        <v>1</v>
      </c>
    </row>
    <row r="259" spans="1:105" ht="15" customHeight="1" x14ac:dyDescent="0.25">
      <c r="A259" s="5812" t="s">
        <v>5870</v>
      </c>
      <c r="B259" s="6058"/>
      <c r="C259" s="7059" t="s">
        <v>1829</v>
      </c>
      <c r="D259" s="7059"/>
      <c r="E259" s="3775" t="s">
        <v>4567</v>
      </c>
      <c r="F259" s="3776" t="s">
        <v>4568</v>
      </c>
      <c r="G259" s="3562" t="s">
        <v>4569</v>
      </c>
      <c r="H259" s="2644" t="s">
        <v>4570</v>
      </c>
      <c r="I259" s="3131" t="s">
        <v>4571</v>
      </c>
      <c r="J259" s="2644" t="s">
        <v>4572</v>
      </c>
      <c r="K259" s="3131" t="s">
        <v>4573</v>
      </c>
      <c r="L259" s="2644" t="s">
        <v>4574</v>
      </c>
      <c r="M259" s="3131" t="s">
        <v>4575</v>
      </c>
      <c r="N259" s="2644" t="s">
        <v>4576</v>
      </c>
      <c r="O259" s="3131" t="s">
        <v>4577</v>
      </c>
      <c r="P259" s="3779" t="s">
        <v>4578</v>
      </c>
      <c r="Q259" s="3778" t="s">
        <v>4579</v>
      </c>
      <c r="R259" s="3779" t="s">
        <v>4580</v>
      </c>
      <c r="S259" s="3778" t="s">
        <v>4581</v>
      </c>
      <c r="T259" s="3779" t="s">
        <v>4582</v>
      </c>
      <c r="U259" s="812" t="s">
        <v>4583</v>
      </c>
      <c r="V259" s="3779" t="s">
        <v>4584</v>
      </c>
      <c r="W259" s="812" t="s">
        <v>4585</v>
      </c>
      <c r="X259" s="3779" t="s">
        <v>4586</v>
      </c>
      <c r="Y259" s="812" t="s">
        <v>4587</v>
      </c>
      <c r="Z259" s="3779" t="s">
        <v>4588</v>
      </c>
      <c r="AA259" s="812" t="s">
        <v>4589</v>
      </c>
      <c r="AB259" s="3779" t="s">
        <v>4590</v>
      </c>
      <c r="AC259" s="812" t="s">
        <v>4591</v>
      </c>
      <c r="AD259" s="3779" t="s">
        <v>4592</v>
      </c>
      <c r="AE259" s="812" t="s">
        <v>4593</v>
      </c>
      <c r="AF259" s="3779" t="s">
        <v>4594</v>
      </c>
      <c r="AG259" s="812" t="s">
        <v>4595</v>
      </c>
      <c r="AH259" s="3779" t="s">
        <v>4596</v>
      </c>
      <c r="AI259" s="812" t="s">
        <v>4597</v>
      </c>
      <c r="AJ259" s="3779" t="s">
        <v>4598</v>
      </c>
      <c r="AK259" s="812" t="s">
        <v>4599</v>
      </c>
      <c r="AL259" s="3779" t="s">
        <v>4600</v>
      </c>
      <c r="AM259" s="812" t="s">
        <v>4601</v>
      </c>
      <c r="AN259" s="3780" t="s">
        <v>4602</v>
      </c>
      <c r="AO259" s="3781" t="s">
        <v>4603</v>
      </c>
      <c r="AP259" s="3761" t="s">
        <v>4604</v>
      </c>
      <c r="AQ259" s="3762" t="s">
        <v>4605</v>
      </c>
      <c r="AR259" s="3773" t="s">
        <v>4606</v>
      </c>
      <c r="AS259" s="3779" t="s">
        <v>4934</v>
      </c>
      <c r="AT259" s="3762" t="s">
        <v>4935</v>
      </c>
      <c r="AU259" s="3777" t="s">
        <v>4936</v>
      </c>
      <c r="AV259" s="812" t="s">
        <v>4937</v>
      </c>
      <c r="AW259" s="3762" t="s">
        <v>5234</v>
      </c>
      <c r="AX259" s="3777" t="s">
        <v>5235</v>
      </c>
      <c r="AY259" s="812" t="s">
        <v>5236</v>
      </c>
      <c r="AZ259" t="e">
        <f t="shared" si="208"/>
        <v>#VALUE!</v>
      </c>
      <c r="CB259" s="433" t="str">
        <f t="shared" si="209"/>
        <v xml:space="preserve"> * La variable Gestante no puede superar el Total Mujeres.</v>
      </c>
      <c r="CC259" s="433" t="e">
        <f t="shared" si="210"/>
        <v>#VALUE!</v>
      </c>
      <c r="CD259" s="435"/>
      <c r="CE259" s="435"/>
      <c r="CF259" s="433" t="str">
        <f>IF(AND($E259&gt;0,AR259="")," * No olvide digitar la variable Inasistente. Digite cero si no tiene.",IF(AR259&gt;$E259," * La variable Insasistente no puede superar el Total Ambos Sexos.",""))</f>
        <v xml:space="preserve"> * La variable Insasistente no puede superar el Total Ambos Sexos.</v>
      </c>
      <c r="CG259" s="433" t="str">
        <f t="shared" si="211"/>
        <v xml:space="preserve"> * La variable Compra de Servicio no puede superar el Total Ambos Sexos.</v>
      </c>
      <c r="CH259" s="435"/>
      <c r="CI259" s="433" t="str">
        <f t="shared" si="212"/>
        <v xml:space="preserve"> * La variable Usuarios con Dicapacidad no puede superar el Total Ambos Sexos.</v>
      </c>
      <c r="CJ259" s="433" t="str">
        <f t="shared" si="213"/>
        <v xml:space="preserve"> * La variable Usuarios Oncológicos no puede superar el Total Ambos Sexos.</v>
      </c>
      <c r="CK259" s="435"/>
      <c r="CL259" s="433" t="str">
        <f t="shared" si="214"/>
        <v xml:space="preserve"> * La variable Migrantes no puede superar el Total Ambos Sexos.</v>
      </c>
      <c r="CM259" s="433" t="str">
        <f t="shared" si="215"/>
        <v xml:space="preserve"> * La variable Pueblo Originario no puede superar el Total Ambos Sexos.</v>
      </c>
      <c r="CP259" s="434">
        <f t="shared" si="216"/>
        <v>1</v>
      </c>
      <c r="CQ259" s="434" t="e">
        <f t="shared" si="217"/>
        <v>#VALUE!</v>
      </c>
      <c r="CR259" s="435"/>
      <c r="CS259" s="435"/>
      <c r="CT259" s="434">
        <f t="shared" si="225"/>
        <v>1</v>
      </c>
      <c r="CU259" s="434">
        <f t="shared" si="218"/>
        <v>1</v>
      </c>
      <c r="CV259" s="435"/>
      <c r="CW259" s="434">
        <f t="shared" si="219"/>
        <v>1</v>
      </c>
      <c r="CX259" s="434">
        <f t="shared" si="220"/>
        <v>1</v>
      </c>
      <c r="CY259" s="435"/>
      <c r="CZ259" s="434">
        <f t="shared" si="221"/>
        <v>1</v>
      </c>
      <c r="DA259" s="434">
        <f t="shared" si="222"/>
        <v>1</v>
      </c>
    </row>
    <row r="260" spans="1:105" ht="15" customHeight="1" x14ac:dyDescent="0.25">
      <c r="A260" s="5812" t="s">
        <v>5871</v>
      </c>
      <c r="B260" s="6058"/>
      <c r="C260" s="7059" t="s">
        <v>1830</v>
      </c>
      <c r="D260" s="7059"/>
      <c r="E260" s="3775" t="s">
        <v>4567</v>
      </c>
      <c r="F260" s="3776" t="s">
        <v>4568</v>
      </c>
      <c r="G260" s="3562" t="s">
        <v>4569</v>
      </c>
      <c r="H260" s="2644" t="s">
        <v>4570</v>
      </c>
      <c r="I260" s="3131" t="s">
        <v>4571</v>
      </c>
      <c r="J260" s="2644" t="s">
        <v>4572</v>
      </c>
      <c r="K260" s="3131" t="s">
        <v>4573</v>
      </c>
      <c r="L260" s="2644" t="s">
        <v>4574</v>
      </c>
      <c r="M260" s="3131" t="s">
        <v>4575</v>
      </c>
      <c r="N260" s="2644" t="s">
        <v>4576</v>
      </c>
      <c r="O260" s="3131" t="s">
        <v>4577</v>
      </c>
      <c r="P260" s="3779" t="s">
        <v>4578</v>
      </c>
      <c r="Q260" s="3778" t="s">
        <v>4579</v>
      </c>
      <c r="R260" s="3779" t="s">
        <v>4580</v>
      </c>
      <c r="S260" s="3778" t="s">
        <v>4581</v>
      </c>
      <c r="T260" s="3779" t="s">
        <v>4582</v>
      </c>
      <c r="U260" s="812" t="s">
        <v>4583</v>
      </c>
      <c r="V260" s="3779" t="s">
        <v>4584</v>
      </c>
      <c r="W260" s="812" t="s">
        <v>4585</v>
      </c>
      <c r="X260" s="3779" t="s">
        <v>4586</v>
      </c>
      <c r="Y260" s="812" t="s">
        <v>4587</v>
      </c>
      <c r="Z260" s="3779" t="s">
        <v>4588</v>
      </c>
      <c r="AA260" s="812" t="s">
        <v>4589</v>
      </c>
      <c r="AB260" s="3779" t="s">
        <v>4590</v>
      </c>
      <c r="AC260" s="812" t="s">
        <v>4591</v>
      </c>
      <c r="AD260" s="3779" t="s">
        <v>4592</v>
      </c>
      <c r="AE260" s="812" t="s">
        <v>4593</v>
      </c>
      <c r="AF260" s="3779" t="s">
        <v>4594</v>
      </c>
      <c r="AG260" s="812" t="s">
        <v>4595</v>
      </c>
      <c r="AH260" s="3779" t="s">
        <v>4596</v>
      </c>
      <c r="AI260" s="812" t="s">
        <v>4597</v>
      </c>
      <c r="AJ260" s="3779" t="s">
        <v>4598</v>
      </c>
      <c r="AK260" s="812" t="s">
        <v>4599</v>
      </c>
      <c r="AL260" s="3779" t="s">
        <v>4600</v>
      </c>
      <c r="AM260" s="812" t="s">
        <v>4601</v>
      </c>
      <c r="AN260" s="3780" t="s">
        <v>4602</v>
      </c>
      <c r="AO260" s="3781" t="s">
        <v>4603</v>
      </c>
      <c r="AP260" s="3761" t="s">
        <v>4604</v>
      </c>
      <c r="AQ260" s="3762" t="s">
        <v>4605</v>
      </c>
      <c r="AR260" s="3782" t="s">
        <v>4606</v>
      </c>
      <c r="AS260" s="3779" t="s">
        <v>4934</v>
      </c>
      <c r="AT260" s="3762" t="s">
        <v>4935</v>
      </c>
      <c r="AU260" s="3777" t="s">
        <v>4936</v>
      </c>
      <c r="AV260" s="812" t="s">
        <v>4937</v>
      </c>
      <c r="AW260" s="3762" t="s">
        <v>5234</v>
      </c>
      <c r="AX260" s="3777" t="s">
        <v>5235</v>
      </c>
      <c r="AY260" s="812" t="s">
        <v>5236</v>
      </c>
      <c r="AZ260" t="e">
        <f t="shared" si="208"/>
        <v>#VALUE!</v>
      </c>
      <c r="CB260" s="433" t="str">
        <f t="shared" si="209"/>
        <v xml:space="preserve"> * La variable Gestante no puede superar el Total Mujeres.</v>
      </c>
      <c r="CC260" s="433" t="e">
        <f t="shared" si="210"/>
        <v>#VALUE!</v>
      </c>
      <c r="CD260" s="435"/>
      <c r="CE260" s="435"/>
      <c r="CF260" s="435"/>
      <c r="CG260" s="433" t="str">
        <f t="shared" si="211"/>
        <v xml:space="preserve"> * La variable Compra de Servicio no puede superar el Total Ambos Sexos.</v>
      </c>
      <c r="CH260" s="435"/>
      <c r="CI260" s="433" t="str">
        <f t="shared" si="212"/>
        <v xml:space="preserve"> * La variable Usuarios con Dicapacidad no puede superar el Total Ambos Sexos.</v>
      </c>
      <c r="CJ260" s="433" t="str">
        <f t="shared" si="213"/>
        <v xml:space="preserve"> * La variable Usuarios Oncológicos no puede superar el Total Ambos Sexos.</v>
      </c>
      <c r="CK260" s="435"/>
      <c r="CL260" s="433" t="str">
        <f t="shared" si="214"/>
        <v xml:space="preserve"> * La variable Migrantes no puede superar el Total Ambos Sexos.</v>
      </c>
      <c r="CM260" s="433" t="str">
        <f t="shared" si="215"/>
        <v xml:space="preserve"> * La variable Pueblo Originario no puede superar el Total Ambos Sexos.</v>
      </c>
      <c r="CP260" s="434">
        <f t="shared" si="216"/>
        <v>1</v>
      </c>
      <c r="CQ260" s="434" t="e">
        <f t="shared" si="217"/>
        <v>#VALUE!</v>
      </c>
      <c r="CR260" s="435"/>
      <c r="CS260" s="435"/>
      <c r="CT260" s="435"/>
      <c r="CU260" s="434">
        <f t="shared" si="218"/>
        <v>1</v>
      </c>
      <c r="CV260" s="435"/>
      <c r="CW260" s="434">
        <f t="shared" si="219"/>
        <v>1</v>
      </c>
      <c r="CX260" s="434">
        <f t="shared" si="220"/>
        <v>1</v>
      </c>
      <c r="CY260" s="435"/>
      <c r="CZ260" s="434">
        <f t="shared" si="221"/>
        <v>1</v>
      </c>
      <c r="DA260" s="434">
        <f t="shared" si="222"/>
        <v>1</v>
      </c>
    </row>
    <row r="261" spans="1:105" ht="15" customHeight="1" x14ac:dyDescent="0.25">
      <c r="A261" s="5812" t="s">
        <v>5872</v>
      </c>
      <c r="B261" s="6058"/>
      <c r="C261" s="7055" t="s">
        <v>1831</v>
      </c>
      <c r="D261" s="6987"/>
      <c r="E261" s="3775" t="s">
        <v>4567</v>
      </c>
      <c r="F261" s="3776" t="s">
        <v>4568</v>
      </c>
      <c r="G261" s="3562" t="s">
        <v>4569</v>
      </c>
      <c r="H261" s="2644" t="s">
        <v>4570</v>
      </c>
      <c r="I261" s="3131" t="s">
        <v>4571</v>
      </c>
      <c r="J261" s="2644" t="s">
        <v>4572</v>
      </c>
      <c r="K261" s="3131" t="s">
        <v>4573</v>
      </c>
      <c r="L261" s="2644" t="s">
        <v>4574</v>
      </c>
      <c r="M261" s="3131" t="s">
        <v>4575</v>
      </c>
      <c r="N261" s="2644" t="s">
        <v>4576</v>
      </c>
      <c r="O261" s="3131" t="s">
        <v>4577</v>
      </c>
      <c r="P261" s="3785" t="s">
        <v>4578</v>
      </c>
      <c r="Q261" s="3784" t="s">
        <v>4579</v>
      </c>
      <c r="R261" s="3785" t="s">
        <v>4580</v>
      </c>
      <c r="S261" s="3784" t="s">
        <v>4581</v>
      </c>
      <c r="T261" s="3785" t="s">
        <v>4582</v>
      </c>
      <c r="U261" s="2643" t="s">
        <v>4583</v>
      </c>
      <c r="V261" s="3785" t="s">
        <v>4584</v>
      </c>
      <c r="W261" s="2643" t="s">
        <v>4585</v>
      </c>
      <c r="X261" s="3785" t="s">
        <v>4586</v>
      </c>
      <c r="Y261" s="2643" t="s">
        <v>4587</v>
      </c>
      <c r="Z261" s="3785" t="s">
        <v>4588</v>
      </c>
      <c r="AA261" s="2643" t="s">
        <v>4589</v>
      </c>
      <c r="AB261" s="3785" t="s">
        <v>4590</v>
      </c>
      <c r="AC261" s="2643" t="s">
        <v>4591</v>
      </c>
      <c r="AD261" s="3785" t="s">
        <v>4592</v>
      </c>
      <c r="AE261" s="2643" t="s">
        <v>4593</v>
      </c>
      <c r="AF261" s="3785" t="s">
        <v>4594</v>
      </c>
      <c r="AG261" s="2643" t="s">
        <v>4595</v>
      </c>
      <c r="AH261" s="3785" t="s">
        <v>4596</v>
      </c>
      <c r="AI261" s="2643" t="s">
        <v>4597</v>
      </c>
      <c r="AJ261" s="3785" t="s">
        <v>4598</v>
      </c>
      <c r="AK261" s="2643" t="s">
        <v>4599</v>
      </c>
      <c r="AL261" s="3785" t="s">
        <v>4600</v>
      </c>
      <c r="AM261" s="2643" t="s">
        <v>4601</v>
      </c>
      <c r="AN261" s="2641" t="s">
        <v>4602</v>
      </c>
      <c r="AO261" s="3786" t="s">
        <v>4603</v>
      </c>
      <c r="AP261" s="3761" t="s">
        <v>4604</v>
      </c>
      <c r="AQ261" s="3762" t="s">
        <v>4605</v>
      </c>
      <c r="AR261" s="3782" t="s">
        <v>4606</v>
      </c>
      <c r="AS261" s="3785" t="s">
        <v>4934</v>
      </c>
      <c r="AT261" s="3762" t="s">
        <v>4935</v>
      </c>
      <c r="AU261" s="3783" t="s">
        <v>4936</v>
      </c>
      <c r="AV261" s="2643" t="s">
        <v>4937</v>
      </c>
      <c r="AW261" s="812" t="s">
        <v>5234</v>
      </c>
      <c r="AX261" s="3783" t="s">
        <v>5235</v>
      </c>
      <c r="AY261" s="2643" t="s">
        <v>5236</v>
      </c>
      <c r="AZ261" t="e">
        <f t="shared" si="208"/>
        <v>#VALUE!</v>
      </c>
      <c r="CB261" s="433" t="str">
        <f t="shared" si="209"/>
        <v xml:space="preserve"> * La variable Gestante no puede superar el Total Mujeres.</v>
      </c>
      <c r="CC261" s="433" t="e">
        <f t="shared" si="210"/>
        <v>#VALUE!</v>
      </c>
      <c r="CD261" s="435"/>
      <c r="CE261" s="435"/>
      <c r="CF261" s="435"/>
      <c r="CG261" s="433" t="str">
        <f t="shared" si="211"/>
        <v xml:space="preserve"> * La variable Compra de Servicio no puede superar el Total Ambos Sexos.</v>
      </c>
      <c r="CH261" s="435"/>
      <c r="CI261" s="433" t="str">
        <f t="shared" si="212"/>
        <v xml:space="preserve"> * La variable Usuarios con Dicapacidad no puede superar el Total Ambos Sexos.</v>
      </c>
      <c r="CJ261" s="433" t="str">
        <f t="shared" si="213"/>
        <v xml:space="preserve"> * La variable Usuarios Oncológicos no puede superar el Total Ambos Sexos.</v>
      </c>
      <c r="CK261" s="433" t="str">
        <f>IF(AND($E261&gt;0,AW261="")," * No olvide digitar la variable Contrarreferencia al alta. Digite Cero si no tiene.",IF(AW261&gt;$E261," * La variable Contrarreferencia al alta no puede superar el Total Ambos Sexos.",""))</f>
        <v xml:space="preserve"> * La variable Contrarreferencia al alta no puede superar el Total Ambos Sexos.</v>
      </c>
      <c r="CL261" s="433" t="str">
        <f t="shared" si="214"/>
        <v xml:space="preserve"> * La variable Migrantes no puede superar el Total Ambos Sexos.</v>
      </c>
      <c r="CM261" s="433" t="str">
        <f t="shared" si="215"/>
        <v xml:space="preserve"> * La variable Pueblo Originario no puede superar el Total Ambos Sexos.</v>
      </c>
      <c r="CP261" s="434">
        <f t="shared" si="216"/>
        <v>1</v>
      </c>
      <c r="CQ261" s="434" t="e">
        <f t="shared" si="217"/>
        <v>#VALUE!</v>
      </c>
      <c r="CR261" s="435"/>
      <c r="CS261" s="435"/>
      <c r="CT261" s="435"/>
      <c r="CU261" s="434">
        <f t="shared" si="218"/>
        <v>1</v>
      </c>
      <c r="CV261" s="435"/>
      <c r="CW261" s="434">
        <f t="shared" si="219"/>
        <v>1</v>
      </c>
      <c r="CX261" s="434">
        <f t="shared" si="220"/>
        <v>1</v>
      </c>
      <c r="CY261" s="434">
        <f>IF(AND($E261&gt;0,AW261=""),1,IF(AW261&gt;$E261,1,0))</f>
        <v>1</v>
      </c>
      <c r="CZ261" s="434">
        <f t="shared" si="221"/>
        <v>1</v>
      </c>
      <c r="DA261" s="434">
        <f t="shared" si="222"/>
        <v>1</v>
      </c>
    </row>
    <row r="262" spans="1:105" ht="15" customHeight="1" x14ac:dyDescent="0.25">
      <c r="A262" s="5812" t="s">
        <v>5873</v>
      </c>
      <c r="B262" s="6058"/>
      <c r="C262" s="7055" t="s">
        <v>1832</v>
      </c>
      <c r="D262" s="6987"/>
      <c r="E262" s="3775" t="s">
        <v>4567</v>
      </c>
      <c r="F262" s="3776" t="s">
        <v>4568</v>
      </c>
      <c r="G262" s="3562" t="s">
        <v>4569</v>
      </c>
      <c r="H262" s="2644" t="s">
        <v>4570</v>
      </c>
      <c r="I262" s="3131" t="s">
        <v>4571</v>
      </c>
      <c r="J262" s="2644" t="s">
        <v>4572</v>
      </c>
      <c r="K262" s="3131" t="s">
        <v>4573</v>
      </c>
      <c r="L262" s="2644" t="s">
        <v>4574</v>
      </c>
      <c r="M262" s="3131" t="s">
        <v>4575</v>
      </c>
      <c r="N262" s="2644" t="s">
        <v>4576</v>
      </c>
      <c r="O262" s="3131" t="s">
        <v>4577</v>
      </c>
      <c r="P262" s="3785" t="s">
        <v>4578</v>
      </c>
      <c r="Q262" s="3784" t="s">
        <v>4579</v>
      </c>
      <c r="R262" s="3785" t="s">
        <v>4580</v>
      </c>
      <c r="S262" s="3784" t="s">
        <v>4581</v>
      </c>
      <c r="T262" s="3785" t="s">
        <v>4582</v>
      </c>
      <c r="U262" s="2643" t="s">
        <v>4583</v>
      </c>
      <c r="V262" s="3785" t="s">
        <v>4584</v>
      </c>
      <c r="W262" s="2643" t="s">
        <v>4585</v>
      </c>
      <c r="X262" s="3785" t="s">
        <v>4586</v>
      </c>
      <c r="Y262" s="2643" t="s">
        <v>4587</v>
      </c>
      <c r="Z262" s="3785" t="s">
        <v>4588</v>
      </c>
      <c r="AA262" s="2643" t="s">
        <v>4589</v>
      </c>
      <c r="AB262" s="3785" t="s">
        <v>4590</v>
      </c>
      <c r="AC262" s="2643" t="s">
        <v>4591</v>
      </c>
      <c r="AD262" s="3785" t="s">
        <v>4592</v>
      </c>
      <c r="AE262" s="2643" t="s">
        <v>4593</v>
      </c>
      <c r="AF262" s="3785" t="s">
        <v>4594</v>
      </c>
      <c r="AG262" s="2643" t="s">
        <v>4595</v>
      </c>
      <c r="AH262" s="3785" t="s">
        <v>4596</v>
      </c>
      <c r="AI262" s="2643" t="s">
        <v>4597</v>
      </c>
      <c r="AJ262" s="3785" t="s">
        <v>4598</v>
      </c>
      <c r="AK262" s="2643" t="s">
        <v>4599</v>
      </c>
      <c r="AL262" s="3785" t="s">
        <v>4600</v>
      </c>
      <c r="AM262" s="2643" t="s">
        <v>4601</v>
      </c>
      <c r="AN262" s="2641" t="s">
        <v>4602</v>
      </c>
      <c r="AO262" s="3786" t="s">
        <v>4603</v>
      </c>
      <c r="AP262" s="3787" t="s">
        <v>4604</v>
      </c>
      <c r="AQ262" s="3788" t="s">
        <v>4605</v>
      </c>
      <c r="AR262" s="3789" t="s">
        <v>4606</v>
      </c>
      <c r="AS262" s="3785" t="s">
        <v>4934</v>
      </c>
      <c r="AT262" s="3788" t="s">
        <v>4935</v>
      </c>
      <c r="AU262" s="3783" t="s">
        <v>4936</v>
      </c>
      <c r="AV262" s="2643" t="s">
        <v>4937</v>
      </c>
      <c r="AW262" s="3788" t="s">
        <v>5234</v>
      </c>
      <c r="AX262" s="3783" t="s">
        <v>5235</v>
      </c>
      <c r="AY262" s="2643" t="s">
        <v>5236</v>
      </c>
      <c r="AZ262" t="e">
        <f t="shared" si="208"/>
        <v>#VALUE!</v>
      </c>
      <c r="CB262" s="433" t="str">
        <f t="shared" si="209"/>
        <v xml:space="preserve"> * La variable Gestante no puede superar el Total Mujeres.</v>
      </c>
      <c r="CC262" s="433" t="e">
        <f t="shared" si="210"/>
        <v>#VALUE!</v>
      </c>
      <c r="CD262" s="435"/>
      <c r="CE262" s="435"/>
      <c r="CF262" s="435"/>
      <c r="CG262" s="433" t="str">
        <f t="shared" si="211"/>
        <v xml:space="preserve"> * La variable Compra de Servicio no puede superar el Total Ambos Sexos.</v>
      </c>
      <c r="CH262" s="435"/>
      <c r="CI262" s="433" t="str">
        <f t="shared" si="212"/>
        <v xml:space="preserve"> * La variable Usuarios con Dicapacidad no puede superar el Total Ambos Sexos.</v>
      </c>
      <c r="CJ262" s="433" t="str">
        <f t="shared" si="213"/>
        <v xml:space="preserve"> * La variable Usuarios Oncológicos no puede superar el Total Ambos Sexos.</v>
      </c>
      <c r="CK262" s="435"/>
      <c r="CL262" s="433" t="str">
        <f t="shared" si="214"/>
        <v xml:space="preserve"> * La variable Migrantes no puede superar el Total Ambos Sexos.</v>
      </c>
      <c r="CM262" s="433" t="str">
        <f t="shared" si="215"/>
        <v xml:space="preserve"> * La variable Pueblo Originario no puede superar el Total Ambos Sexos.</v>
      </c>
      <c r="CP262" s="434">
        <f t="shared" si="216"/>
        <v>1</v>
      </c>
      <c r="CQ262" s="434" t="e">
        <f t="shared" si="217"/>
        <v>#VALUE!</v>
      </c>
      <c r="CR262" s="435"/>
      <c r="CS262" s="435"/>
      <c r="CT262" s="435"/>
      <c r="CU262" s="434">
        <f t="shared" si="218"/>
        <v>1</v>
      </c>
      <c r="CV262" s="435"/>
      <c r="CW262" s="434">
        <f t="shared" si="219"/>
        <v>1</v>
      </c>
      <c r="CX262" s="434">
        <f t="shared" si="220"/>
        <v>1</v>
      </c>
      <c r="CY262" s="435"/>
      <c r="CZ262" s="434">
        <f t="shared" si="221"/>
        <v>1</v>
      </c>
      <c r="DA262" s="434">
        <f t="shared" si="222"/>
        <v>1</v>
      </c>
    </row>
    <row r="263" spans="1:105" ht="15" customHeight="1" x14ac:dyDescent="0.25">
      <c r="A263" s="5812" t="s">
        <v>5874</v>
      </c>
      <c r="B263" s="6842"/>
      <c r="C263" s="7056" t="s">
        <v>1833</v>
      </c>
      <c r="D263" s="7056"/>
      <c r="E263" s="3395" t="s">
        <v>4567</v>
      </c>
      <c r="F263" s="3527" t="s">
        <v>4568</v>
      </c>
      <c r="G263" s="3480" t="s">
        <v>4569</v>
      </c>
      <c r="H263" s="620" t="s">
        <v>4570</v>
      </c>
      <c r="I263" s="621" t="s">
        <v>4571</v>
      </c>
      <c r="J263" s="620" t="s">
        <v>4572</v>
      </c>
      <c r="K263" s="621" t="s">
        <v>4573</v>
      </c>
      <c r="L263" s="620" t="s">
        <v>4574</v>
      </c>
      <c r="M263" s="621" t="s">
        <v>4575</v>
      </c>
      <c r="N263" s="620" t="s">
        <v>4576</v>
      </c>
      <c r="O263" s="621" t="s">
        <v>4577</v>
      </c>
      <c r="P263" s="3768" t="s">
        <v>4578</v>
      </c>
      <c r="Q263" s="3767" t="s">
        <v>4579</v>
      </c>
      <c r="R263" s="3768" t="s">
        <v>4580</v>
      </c>
      <c r="S263" s="3767" t="s">
        <v>4581</v>
      </c>
      <c r="T263" s="3768" t="s">
        <v>4582</v>
      </c>
      <c r="U263" s="815" t="s">
        <v>4583</v>
      </c>
      <c r="V263" s="3768" t="s">
        <v>4584</v>
      </c>
      <c r="W263" s="815" t="s">
        <v>4585</v>
      </c>
      <c r="X263" s="3768" t="s">
        <v>4586</v>
      </c>
      <c r="Y263" s="815" t="s">
        <v>4587</v>
      </c>
      <c r="Z263" s="3768" t="s">
        <v>4588</v>
      </c>
      <c r="AA263" s="815" t="s">
        <v>4589</v>
      </c>
      <c r="AB263" s="3768" t="s">
        <v>4590</v>
      </c>
      <c r="AC263" s="815" t="s">
        <v>4591</v>
      </c>
      <c r="AD263" s="3768" t="s">
        <v>4592</v>
      </c>
      <c r="AE263" s="815" t="s">
        <v>4593</v>
      </c>
      <c r="AF263" s="3768" t="s">
        <v>4594</v>
      </c>
      <c r="AG263" s="815" t="s">
        <v>4595</v>
      </c>
      <c r="AH263" s="3768" t="s">
        <v>4596</v>
      </c>
      <c r="AI263" s="815" t="s">
        <v>4597</v>
      </c>
      <c r="AJ263" s="3768" t="s">
        <v>4598</v>
      </c>
      <c r="AK263" s="815" t="s">
        <v>4599</v>
      </c>
      <c r="AL263" s="3768" t="s">
        <v>4600</v>
      </c>
      <c r="AM263" s="815" t="s">
        <v>4601</v>
      </c>
      <c r="AN263" s="814" t="s">
        <v>4602</v>
      </c>
      <c r="AO263" s="3769" t="s">
        <v>4603</v>
      </c>
      <c r="AP263" s="3790" t="s">
        <v>4604</v>
      </c>
      <c r="AQ263" s="3770" t="s">
        <v>4605</v>
      </c>
      <c r="AR263" s="3791" t="s">
        <v>4606</v>
      </c>
      <c r="AS263" s="3768" t="s">
        <v>4934</v>
      </c>
      <c r="AT263" s="3770" t="s">
        <v>4935</v>
      </c>
      <c r="AU263" s="3766" t="s">
        <v>4936</v>
      </c>
      <c r="AV263" s="815" t="s">
        <v>4937</v>
      </c>
      <c r="AW263" s="3770" t="s">
        <v>5234</v>
      </c>
      <c r="AX263" s="3766" t="s">
        <v>5235</v>
      </c>
      <c r="AY263" s="815" t="s">
        <v>5236</v>
      </c>
      <c r="AZ263" t="e">
        <f t="shared" si="208"/>
        <v>#VALUE!</v>
      </c>
      <c r="CB263" s="433" t="str">
        <f t="shared" si="209"/>
        <v xml:space="preserve"> * La variable Gestante no puede superar el Total Mujeres.</v>
      </c>
      <c r="CC263" s="433" t="e">
        <f t="shared" si="210"/>
        <v>#VALUE!</v>
      </c>
      <c r="CD263" s="435"/>
      <c r="CE263" s="435"/>
      <c r="CF263" s="435"/>
      <c r="CG263" s="433" t="str">
        <f t="shared" si="211"/>
        <v xml:space="preserve"> * La variable Compra de Servicio no puede superar el Total Ambos Sexos.</v>
      </c>
      <c r="CH263" s="435"/>
      <c r="CI263" s="433" t="str">
        <f t="shared" si="212"/>
        <v xml:space="preserve"> * La variable Usuarios con Dicapacidad no puede superar el Total Ambos Sexos.</v>
      </c>
      <c r="CJ263" s="433" t="str">
        <f t="shared" si="213"/>
        <v xml:space="preserve"> * La variable Usuarios Oncológicos no puede superar el Total Ambos Sexos.</v>
      </c>
      <c r="CK263" s="435"/>
      <c r="CL263" s="433" t="str">
        <f t="shared" si="214"/>
        <v xml:space="preserve"> * La variable Migrantes no puede superar el Total Ambos Sexos.</v>
      </c>
      <c r="CM263" s="433" t="str">
        <f t="shared" si="215"/>
        <v xml:space="preserve"> * La variable Pueblo Originario no puede superar el Total Ambos Sexos.</v>
      </c>
      <c r="CP263" s="434">
        <f t="shared" si="216"/>
        <v>1</v>
      </c>
      <c r="CQ263" s="434" t="e">
        <f t="shared" si="217"/>
        <v>#VALUE!</v>
      </c>
      <c r="CR263" s="435"/>
      <c r="CS263" s="435"/>
      <c r="CT263" s="435"/>
      <c r="CU263" s="434">
        <f t="shared" si="218"/>
        <v>1</v>
      </c>
      <c r="CV263" s="435"/>
      <c r="CW263" s="434">
        <f t="shared" si="219"/>
        <v>1</v>
      </c>
      <c r="CX263" s="434">
        <f t="shared" si="220"/>
        <v>1</v>
      </c>
      <c r="CY263" s="435"/>
      <c r="CZ263" s="434">
        <f t="shared" si="221"/>
        <v>1</v>
      </c>
      <c r="DA263" s="434">
        <f t="shared" si="222"/>
        <v>1</v>
      </c>
    </row>
    <row r="264" spans="1:105" ht="15" customHeight="1" x14ac:dyDescent="0.25">
      <c r="A264" s="5812" t="s">
        <v>5875</v>
      </c>
      <c r="B264" s="6453" t="s">
        <v>1646</v>
      </c>
      <c r="C264" s="7058" t="s">
        <v>1828</v>
      </c>
      <c r="D264" s="7058"/>
      <c r="E264" s="3722" t="s">
        <v>4567</v>
      </c>
      <c r="F264" s="3792" t="s">
        <v>4568</v>
      </c>
      <c r="G264" s="3793" t="s">
        <v>4569</v>
      </c>
      <c r="H264" s="3759" t="s">
        <v>4570</v>
      </c>
      <c r="I264" s="836" t="s">
        <v>4571</v>
      </c>
      <c r="J264" s="3759" t="s">
        <v>4572</v>
      </c>
      <c r="K264" s="836" t="s">
        <v>4573</v>
      </c>
      <c r="L264" s="3759" t="s">
        <v>4574</v>
      </c>
      <c r="M264" s="836" t="s">
        <v>4575</v>
      </c>
      <c r="N264" s="3759" t="s">
        <v>4576</v>
      </c>
      <c r="O264" s="836" t="s">
        <v>4577</v>
      </c>
      <c r="P264" s="3759" t="s">
        <v>4578</v>
      </c>
      <c r="Q264" s="836" t="s">
        <v>4579</v>
      </c>
      <c r="R264" s="3759" t="s">
        <v>4580</v>
      </c>
      <c r="S264" s="836" t="s">
        <v>4581</v>
      </c>
      <c r="T264" s="3759" t="s">
        <v>4582</v>
      </c>
      <c r="U264" s="836" t="s">
        <v>4583</v>
      </c>
      <c r="V264" s="3759" t="s">
        <v>4584</v>
      </c>
      <c r="W264" s="836" t="s">
        <v>4585</v>
      </c>
      <c r="X264" s="3759" t="s">
        <v>4586</v>
      </c>
      <c r="Y264" s="836" t="s">
        <v>4587</v>
      </c>
      <c r="Z264" s="3759" t="s">
        <v>4588</v>
      </c>
      <c r="AA264" s="836" t="s">
        <v>4589</v>
      </c>
      <c r="AB264" s="3759" t="s">
        <v>4590</v>
      </c>
      <c r="AC264" s="836" t="s">
        <v>4591</v>
      </c>
      <c r="AD264" s="3759" t="s">
        <v>4592</v>
      </c>
      <c r="AE264" s="836" t="s">
        <v>4593</v>
      </c>
      <c r="AF264" s="3759" t="s">
        <v>4594</v>
      </c>
      <c r="AG264" s="836" t="s">
        <v>4595</v>
      </c>
      <c r="AH264" s="3759" t="s">
        <v>4596</v>
      </c>
      <c r="AI264" s="836" t="s">
        <v>4597</v>
      </c>
      <c r="AJ264" s="3759" t="s">
        <v>4598</v>
      </c>
      <c r="AK264" s="836" t="s">
        <v>4599</v>
      </c>
      <c r="AL264" s="3759" t="s">
        <v>4600</v>
      </c>
      <c r="AM264" s="836" t="s">
        <v>4601</v>
      </c>
      <c r="AN264" s="5481" t="s">
        <v>4602</v>
      </c>
      <c r="AO264" s="5478" t="s">
        <v>4603</v>
      </c>
      <c r="AP264" s="3758" t="s">
        <v>4604</v>
      </c>
      <c r="AQ264" s="3772" t="s">
        <v>4605</v>
      </c>
      <c r="AR264" s="3759" t="s">
        <v>4606</v>
      </c>
      <c r="AS264" s="3773" t="s">
        <v>4934</v>
      </c>
      <c r="AT264" s="3773" t="s">
        <v>4935</v>
      </c>
      <c r="AU264" s="3774" t="s">
        <v>4936</v>
      </c>
      <c r="AV264" s="2657" t="s">
        <v>4937</v>
      </c>
      <c r="AW264" s="3762" t="s">
        <v>5234</v>
      </c>
      <c r="AX264" s="3774" t="s">
        <v>5235</v>
      </c>
      <c r="AY264" s="2657" t="s">
        <v>5236</v>
      </c>
      <c r="AZ264" t="str">
        <f t="shared" si="208"/>
        <v xml:space="preserve"> * La variable Gestante no puede superar el Total Mujeres.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4" s="433" t="str">
        <f t="shared" si="209"/>
        <v xml:space="preserve"> * La variable Gestante no puede superar el Total Mujeres.</v>
      </c>
      <c r="CC264" s="435"/>
      <c r="CD264" s="433" t="str">
        <f>IF(AND($E264&gt;0,AP264="")," * No olvide digitar la variable Consultas Pertinentes: Según Procolo de Referencia. Digite cero si no tiene.",IF(AP264&gt;$E264,"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64" s="433" t="str">
        <f>IF(AND($E264&gt;0,AQ264="")," * No olvide digitar la variable Consultas Pertinentes: Según condición clínica. Digite cero si no tiene.",IF(AQ264&gt;$E264,"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64" s="433" t="str">
        <f>IF(AND($E264&gt;0,AR264="")," * No olvide digitar la variable Inasistente. Digite cero si no tiene.",IF(AR264&gt;$E264," * La variable Insasistente no puede superar el Total Ambos Sexos.",""))</f>
        <v xml:space="preserve"> * La variable Insasistente no puede superar el Total Ambos Sexos.</v>
      </c>
      <c r="CG264" s="433" t="str">
        <f>IF(AND($E264&gt;0,AS264="")," * No olvide digitar la variable Compra de Servicio. Digite Cero si no tiene.",IF(AS264&gt;$E264," * La variable Compra de Servicio no puede superar el Total Ambos Sexos.",""))</f>
        <v xml:space="preserve"> * La variable Compra de Servicio no puede superar el Total Ambos Sexos.</v>
      </c>
      <c r="CH264" s="433" t="str">
        <f>IF(AND($E264&gt;0,AT264="")," * No olvide digitar la variable Ortodoncia interceptiva. Digite Cero si no tiene.",IF(AT264&gt;$E264," * La variable Ortodoncia interceptiva no puede superar el Total Ambos Sexos.",""))</f>
        <v xml:space="preserve"> * La variable Ortodoncia interceptiva no puede superar el Total Ambos Sexos.</v>
      </c>
      <c r="CI264" s="433" t="str">
        <f t="shared" si="212"/>
        <v xml:space="preserve"> * La variable Usuarios con Dicapacidad no puede superar el Total Ambos Sexos.</v>
      </c>
      <c r="CJ264" s="433" t="str">
        <f>IF(AND($E264&gt;0,AV264="")," * No olvide digitar la variable Usuarios Oncológicos. Digite Cero si no tiene.",IF(AV264&gt;$E264," * La variable Usuarios Oncológicos no puede superar el Total Ambos Sexos.",""))</f>
        <v xml:space="preserve"> * La variable Usuarios Oncológicos no puede superar el Total Ambos Sexos.</v>
      </c>
      <c r="CK264" s="435"/>
      <c r="CL264" s="433" t="str">
        <f t="shared" si="214"/>
        <v xml:space="preserve"> * La variable Migrantes no puede superar el Total Ambos Sexos.</v>
      </c>
      <c r="CM264" s="433" t="str">
        <f t="shared" si="215"/>
        <v xml:space="preserve"> * La variable Pueblo Originario no puede superar el Total Ambos Sexos.</v>
      </c>
      <c r="CP264" s="434">
        <f t="shared" si="216"/>
        <v>1</v>
      </c>
      <c r="CQ264" s="435"/>
      <c r="CR264" s="434">
        <f>IF(AND($E264&gt;0,AP264=""),1,IF(AP264&gt;$E264,1,0))</f>
        <v>1</v>
      </c>
      <c r="CS264" s="434">
        <f t="shared" ref="CS264" si="226">IF(AND($E264&gt;0,AQ264=""),1,IF(AQ264&gt;$E264,1,0))</f>
        <v>1</v>
      </c>
      <c r="CT264" s="434">
        <f t="shared" ref="CT264:CT265" si="227">IF(AND($E264&gt;0,AR264=""),1,IF(AR264&gt;$E264,1,0))</f>
        <v>1</v>
      </c>
      <c r="CU264" s="434">
        <f>IF(AND($E264&gt;0,AS264=""),1,IF(AS264&gt;$E264,1,0))</f>
        <v>1</v>
      </c>
      <c r="CV264" s="434">
        <f>IF(AND($E264&gt;0,AT264=""),1,IF(AT264&gt;$E264,1,0))</f>
        <v>1</v>
      </c>
      <c r="CW264" s="434">
        <f t="shared" si="219"/>
        <v>1</v>
      </c>
      <c r="CX264" s="434">
        <f t="shared" si="220"/>
        <v>1</v>
      </c>
      <c r="CY264" s="435"/>
      <c r="CZ264" s="434">
        <f t="shared" si="221"/>
        <v>1</v>
      </c>
      <c r="DA264" s="434">
        <f t="shared" si="222"/>
        <v>1</v>
      </c>
    </row>
    <row r="265" spans="1:105" ht="15" customHeight="1" x14ac:dyDescent="0.25">
      <c r="A265" s="5812" t="s">
        <v>5876</v>
      </c>
      <c r="B265" s="6058"/>
      <c r="C265" s="7059" t="s">
        <v>1829</v>
      </c>
      <c r="D265" s="7059"/>
      <c r="E265" s="3775" t="s">
        <v>4567</v>
      </c>
      <c r="F265" s="3776" t="s">
        <v>4568</v>
      </c>
      <c r="G265" s="3794" t="s">
        <v>4569</v>
      </c>
      <c r="H265" s="3779" t="s">
        <v>4570</v>
      </c>
      <c r="I265" s="3778" t="s">
        <v>4571</v>
      </c>
      <c r="J265" s="3779" t="s">
        <v>4572</v>
      </c>
      <c r="K265" s="3778" t="s">
        <v>4573</v>
      </c>
      <c r="L265" s="3779" t="s">
        <v>4574</v>
      </c>
      <c r="M265" s="3778" t="s">
        <v>4575</v>
      </c>
      <c r="N265" s="3779" t="s">
        <v>4576</v>
      </c>
      <c r="O265" s="3778" t="s">
        <v>4577</v>
      </c>
      <c r="P265" s="3779" t="s">
        <v>4578</v>
      </c>
      <c r="Q265" s="3778" t="s">
        <v>4579</v>
      </c>
      <c r="R265" s="3779" t="s">
        <v>4580</v>
      </c>
      <c r="S265" s="3778" t="s">
        <v>4581</v>
      </c>
      <c r="T265" s="3779" t="s">
        <v>4582</v>
      </c>
      <c r="U265" s="3778" t="s">
        <v>4583</v>
      </c>
      <c r="V265" s="3779" t="s">
        <v>4584</v>
      </c>
      <c r="W265" s="3778" t="s">
        <v>4585</v>
      </c>
      <c r="X265" s="3779" t="s">
        <v>4586</v>
      </c>
      <c r="Y265" s="3778" t="s">
        <v>4587</v>
      </c>
      <c r="Z265" s="3779" t="s">
        <v>4588</v>
      </c>
      <c r="AA265" s="3778" t="s">
        <v>4589</v>
      </c>
      <c r="AB265" s="3779" t="s">
        <v>4590</v>
      </c>
      <c r="AC265" s="3778" t="s">
        <v>4591</v>
      </c>
      <c r="AD265" s="3779" t="s">
        <v>4592</v>
      </c>
      <c r="AE265" s="3778" t="s">
        <v>4593</v>
      </c>
      <c r="AF265" s="3779" t="s">
        <v>4594</v>
      </c>
      <c r="AG265" s="3778" t="s">
        <v>4595</v>
      </c>
      <c r="AH265" s="3779" t="s">
        <v>4596</v>
      </c>
      <c r="AI265" s="3778" t="s">
        <v>4597</v>
      </c>
      <c r="AJ265" s="3779" t="s">
        <v>4598</v>
      </c>
      <c r="AK265" s="3778" t="s">
        <v>4599</v>
      </c>
      <c r="AL265" s="3779" t="s">
        <v>4600</v>
      </c>
      <c r="AM265" s="3778" t="s">
        <v>4601</v>
      </c>
      <c r="AN265" s="4925" t="s">
        <v>4602</v>
      </c>
      <c r="AO265" s="5479" t="s">
        <v>4603</v>
      </c>
      <c r="AP265" s="3761" t="s">
        <v>4604</v>
      </c>
      <c r="AQ265" s="3762" t="s">
        <v>4605</v>
      </c>
      <c r="AR265" s="3773" t="s">
        <v>4606</v>
      </c>
      <c r="AS265" s="3779" t="s">
        <v>4934</v>
      </c>
      <c r="AT265" s="3779" t="s">
        <v>4935</v>
      </c>
      <c r="AU265" s="3777" t="s">
        <v>4936</v>
      </c>
      <c r="AV265" s="812" t="s">
        <v>4937</v>
      </c>
      <c r="AW265" s="3762" t="s">
        <v>5234</v>
      </c>
      <c r="AX265" s="3777" t="s">
        <v>5235</v>
      </c>
      <c r="AY265" s="812" t="s">
        <v>5236</v>
      </c>
      <c r="AZ265" t="str">
        <f t="shared" si="208"/>
        <v xml:space="preserve"> * La variable Gestante no puede superar el Total Mujeres. * La variable Insasistente no puede superar el Total Ambos Sexos.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5" s="433" t="str">
        <f t="shared" si="209"/>
        <v xml:space="preserve"> * La variable Gestante no puede superar el Total Mujeres.</v>
      </c>
      <c r="CC265" s="435"/>
      <c r="CD265" s="435"/>
      <c r="CE265" s="435"/>
      <c r="CF265" s="433" t="str">
        <f>IF(AND($E265&gt;0,AR265="")," * No olvide digitar la variable Inasistente. Digite cero si no tiene.",IF(AR265&gt;$E265," * La variable Insasistente no puede superar el Total Ambos Sexos.",""))</f>
        <v xml:space="preserve"> * La variable Insasistente no puede superar el Total Ambos Sexos.</v>
      </c>
      <c r="CG265" s="433" t="str">
        <f t="shared" si="211"/>
        <v xml:space="preserve"> * La variable Compra de Servicio no puede superar el Total Ambos Sexos.</v>
      </c>
      <c r="CH265" s="433" t="str">
        <f t="shared" ref="CH265:CH268" si="228">IF(AND($E265&gt;0,AT265="")," * No olvide digitar la variable Ortodoncia interceptiva. Digite Cero si no tiene.",IF(AT265&gt;$E265," * La variable Ortodoncia interceptiva no puede superar el Total Ambos Sexos.",""))</f>
        <v xml:space="preserve"> * La variable Ortodoncia interceptiva no puede superar el Total Ambos Sexos.</v>
      </c>
      <c r="CI265" s="433" t="str">
        <f t="shared" si="212"/>
        <v xml:space="preserve"> * La variable Usuarios con Dicapacidad no puede superar el Total Ambos Sexos.</v>
      </c>
      <c r="CJ265" s="433" t="str">
        <f t="shared" si="213"/>
        <v xml:space="preserve"> * La variable Usuarios Oncológicos no puede superar el Total Ambos Sexos.</v>
      </c>
      <c r="CK265" s="435"/>
      <c r="CL265" s="433" t="str">
        <f t="shared" si="214"/>
        <v xml:space="preserve"> * La variable Migrantes no puede superar el Total Ambos Sexos.</v>
      </c>
      <c r="CM265" s="433" t="str">
        <f t="shared" si="215"/>
        <v xml:space="preserve"> * La variable Pueblo Originario no puede superar el Total Ambos Sexos.</v>
      </c>
      <c r="CP265" s="434">
        <f t="shared" si="216"/>
        <v>1</v>
      </c>
      <c r="CQ265" s="435"/>
      <c r="CR265" s="435"/>
      <c r="CS265" s="435"/>
      <c r="CT265" s="434">
        <f t="shared" si="227"/>
        <v>1</v>
      </c>
      <c r="CU265" s="434">
        <f t="shared" si="218"/>
        <v>1</v>
      </c>
      <c r="CV265" s="434">
        <f t="shared" ref="CV265:CV268" si="229">IF(AND($E265&gt;0,AT265=""),1,IF(AT265&gt;$E265,1,0))</f>
        <v>1</v>
      </c>
      <c r="CW265" s="434">
        <f t="shared" si="219"/>
        <v>1</v>
      </c>
      <c r="CX265" s="434">
        <f t="shared" si="220"/>
        <v>1</v>
      </c>
      <c r="CY265" s="435"/>
      <c r="CZ265" s="434">
        <f t="shared" si="221"/>
        <v>1</v>
      </c>
      <c r="DA265" s="434">
        <f t="shared" si="222"/>
        <v>1</v>
      </c>
    </row>
    <row r="266" spans="1:105" ht="15" customHeight="1" x14ac:dyDescent="0.25">
      <c r="A266" s="5812" t="s">
        <v>5877</v>
      </c>
      <c r="B266" s="6058"/>
      <c r="C266" s="7059" t="s">
        <v>1830</v>
      </c>
      <c r="D266" s="7059"/>
      <c r="E266" s="3775" t="s">
        <v>4567</v>
      </c>
      <c r="F266" s="3776" t="s">
        <v>4568</v>
      </c>
      <c r="G266" s="3794" t="s">
        <v>4569</v>
      </c>
      <c r="H266" s="3779" t="s">
        <v>4570</v>
      </c>
      <c r="I266" s="3778" t="s">
        <v>4571</v>
      </c>
      <c r="J266" s="3779" t="s">
        <v>4572</v>
      </c>
      <c r="K266" s="3778" t="s">
        <v>4573</v>
      </c>
      <c r="L266" s="3779" t="s">
        <v>4574</v>
      </c>
      <c r="M266" s="3778" t="s">
        <v>4575</v>
      </c>
      <c r="N266" s="3779" t="s">
        <v>4576</v>
      </c>
      <c r="O266" s="3778" t="s">
        <v>4577</v>
      </c>
      <c r="P266" s="3779" t="s">
        <v>4578</v>
      </c>
      <c r="Q266" s="3778" t="s">
        <v>4579</v>
      </c>
      <c r="R266" s="3779" t="s">
        <v>4580</v>
      </c>
      <c r="S266" s="3778" t="s">
        <v>4581</v>
      </c>
      <c r="T266" s="3779" t="s">
        <v>4582</v>
      </c>
      <c r="U266" s="3778" t="s">
        <v>4583</v>
      </c>
      <c r="V266" s="3779" t="s">
        <v>4584</v>
      </c>
      <c r="W266" s="3778" t="s">
        <v>4585</v>
      </c>
      <c r="X266" s="3779" t="s">
        <v>4586</v>
      </c>
      <c r="Y266" s="3778" t="s">
        <v>4587</v>
      </c>
      <c r="Z266" s="3779" t="s">
        <v>4588</v>
      </c>
      <c r="AA266" s="3778" t="s">
        <v>4589</v>
      </c>
      <c r="AB266" s="3779" t="s">
        <v>4590</v>
      </c>
      <c r="AC266" s="3778" t="s">
        <v>4591</v>
      </c>
      <c r="AD266" s="3779" t="s">
        <v>4592</v>
      </c>
      <c r="AE266" s="3778" t="s">
        <v>4593</v>
      </c>
      <c r="AF266" s="3779" t="s">
        <v>4594</v>
      </c>
      <c r="AG266" s="3778" t="s">
        <v>4595</v>
      </c>
      <c r="AH266" s="3779" t="s">
        <v>4596</v>
      </c>
      <c r="AI266" s="3778" t="s">
        <v>4597</v>
      </c>
      <c r="AJ266" s="3779" t="s">
        <v>4598</v>
      </c>
      <c r="AK266" s="3778" t="s">
        <v>4599</v>
      </c>
      <c r="AL266" s="3779" t="s">
        <v>4600</v>
      </c>
      <c r="AM266" s="3778" t="s">
        <v>4601</v>
      </c>
      <c r="AN266" s="4925" t="s">
        <v>4602</v>
      </c>
      <c r="AO266" s="5479" t="s">
        <v>4603</v>
      </c>
      <c r="AP266" s="3761" t="s">
        <v>4604</v>
      </c>
      <c r="AQ266" s="3762" t="s">
        <v>4605</v>
      </c>
      <c r="AR266" s="3782" t="s">
        <v>4606</v>
      </c>
      <c r="AS266" s="3779" t="s">
        <v>4934</v>
      </c>
      <c r="AT266" s="3779" t="s">
        <v>4935</v>
      </c>
      <c r="AU266" s="3777" t="s">
        <v>4936</v>
      </c>
      <c r="AV266" s="812" t="s">
        <v>4937</v>
      </c>
      <c r="AW266" s="3762" t="s">
        <v>5234</v>
      </c>
      <c r="AX266" s="3777" t="s">
        <v>5235</v>
      </c>
      <c r="AY266" s="812" t="s">
        <v>5236</v>
      </c>
      <c r="AZ266" t="str">
        <f t="shared" si="208"/>
        <v xml:space="preserve"> * La variable Gestante no puede superar el Total Mujeres.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6" s="433" t="str">
        <f t="shared" si="209"/>
        <v xml:space="preserve"> * La variable Gestante no puede superar el Total Mujeres.</v>
      </c>
      <c r="CC266" s="435"/>
      <c r="CD266" s="435"/>
      <c r="CE266" s="435"/>
      <c r="CF266" s="435"/>
      <c r="CG266" s="433" t="str">
        <f t="shared" si="211"/>
        <v xml:space="preserve"> * La variable Compra de Servicio no puede superar el Total Ambos Sexos.</v>
      </c>
      <c r="CH266" s="433" t="str">
        <f t="shared" si="228"/>
        <v xml:space="preserve"> * La variable Ortodoncia interceptiva no puede superar el Total Ambos Sexos.</v>
      </c>
      <c r="CI266" s="433" t="str">
        <f t="shared" si="212"/>
        <v xml:space="preserve"> * La variable Usuarios con Dicapacidad no puede superar el Total Ambos Sexos.</v>
      </c>
      <c r="CJ266" s="433" t="str">
        <f t="shared" si="213"/>
        <v xml:space="preserve"> * La variable Usuarios Oncológicos no puede superar el Total Ambos Sexos.</v>
      </c>
      <c r="CK266" s="435"/>
      <c r="CL266" s="433" t="str">
        <f t="shared" si="214"/>
        <v xml:space="preserve"> * La variable Migrantes no puede superar el Total Ambos Sexos.</v>
      </c>
      <c r="CM266" s="433" t="str">
        <f t="shared" si="215"/>
        <v xml:space="preserve"> * La variable Pueblo Originario no puede superar el Total Ambos Sexos.</v>
      </c>
      <c r="CP266" s="434">
        <f t="shared" si="216"/>
        <v>1</v>
      </c>
      <c r="CQ266" s="435"/>
      <c r="CR266" s="435"/>
      <c r="CS266" s="435"/>
      <c r="CT266" s="435"/>
      <c r="CU266" s="434">
        <f t="shared" si="218"/>
        <v>1</v>
      </c>
      <c r="CV266" s="434">
        <f t="shared" si="229"/>
        <v>1</v>
      </c>
      <c r="CW266" s="434">
        <f t="shared" si="219"/>
        <v>1</v>
      </c>
      <c r="CX266" s="434">
        <f t="shared" si="220"/>
        <v>1</v>
      </c>
      <c r="CY266" s="435"/>
      <c r="CZ266" s="434">
        <f t="shared" si="221"/>
        <v>1</v>
      </c>
      <c r="DA266" s="434">
        <f t="shared" si="222"/>
        <v>1</v>
      </c>
    </row>
    <row r="267" spans="1:105" ht="15" customHeight="1" x14ac:dyDescent="0.25">
      <c r="A267" s="5812" t="s">
        <v>5878</v>
      </c>
      <c r="B267" s="6058"/>
      <c r="C267" s="7055" t="s">
        <v>1831</v>
      </c>
      <c r="D267" s="6987"/>
      <c r="E267" s="3775" t="s">
        <v>4567</v>
      </c>
      <c r="F267" s="3776" t="s">
        <v>4568</v>
      </c>
      <c r="G267" s="3794" t="s">
        <v>4569</v>
      </c>
      <c r="H267" s="3785" t="s">
        <v>4570</v>
      </c>
      <c r="I267" s="3784" t="s">
        <v>4571</v>
      </c>
      <c r="J267" s="3785" t="s">
        <v>4572</v>
      </c>
      <c r="K267" s="3784" t="s">
        <v>4573</v>
      </c>
      <c r="L267" s="3785" t="s">
        <v>4574</v>
      </c>
      <c r="M267" s="3784" t="s">
        <v>4575</v>
      </c>
      <c r="N267" s="3785" t="s">
        <v>4576</v>
      </c>
      <c r="O267" s="3784" t="s">
        <v>4577</v>
      </c>
      <c r="P267" s="3785" t="s">
        <v>4578</v>
      </c>
      <c r="Q267" s="3784" t="s">
        <v>4579</v>
      </c>
      <c r="R267" s="3785" t="s">
        <v>4580</v>
      </c>
      <c r="S267" s="3784" t="s">
        <v>4581</v>
      </c>
      <c r="T267" s="3785" t="s">
        <v>4582</v>
      </c>
      <c r="U267" s="3784" t="s">
        <v>4583</v>
      </c>
      <c r="V267" s="3785" t="s">
        <v>4584</v>
      </c>
      <c r="W267" s="3784" t="s">
        <v>4585</v>
      </c>
      <c r="X267" s="3785" t="s">
        <v>4586</v>
      </c>
      <c r="Y267" s="3784" t="s">
        <v>4587</v>
      </c>
      <c r="Z267" s="3785" t="s">
        <v>4588</v>
      </c>
      <c r="AA267" s="3784" t="s">
        <v>4589</v>
      </c>
      <c r="AB267" s="3785" t="s">
        <v>4590</v>
      </c>
      <c r="AC267" s="3784" t="s">
        <v>4591</v>
      </c>
      <c r="AD267" s="3785" t="s">
        <v>4592</v>
      </c>
      <c r="AE267" s="3784" t="s">
        <v>4593</v>
      </c>
      <c r="AF267" s="3785" t="s">
        <v>4594</v>
      </c>
      <c r="AG267" s="3784" t="s">
        <v>4595</v>
      </c>
      <c r="AH267" s="3785" t="s">
        <v>4596</v>
      </c>
      <c r="AI267" s="3784" t="s">
        <v>4597</v>
      </c>
      <c r="AJ267" s="3785" t="s">
        <v>4598</v>
      </c>
      <c r="AK267" s="3784" t="s">
        <v>4599</v>
      </c>
      <c r="AL267" s="3785" t="s">
        <v>4600</v>
      </c>
      <c r="AM267" s="3784" t="s">
        <v>4601</v>
      </c>
      <c r="AN267" s="4925" t="s">
        <v>4602</v>
      </c>
      <c r="AO267" s="5479" t="s">
        <v>4603</v>
      </c>
      <c r="AP267" s="3761" t="s">
        <v>4604</v>
      </c>
      <c r="AQ267" s="3762" t="s">
        <v>4605</v>
      </c>
      <c r="AR267" s="3782" t="s">
        <v>4606</v>
      </c>
      <c r="AS267" s="3785" t="s">
        <v>4934</v>
      </c>
      <c r="AT267" s="3785" t="s">
        <v>4935</v>
      </c>
      <c r="AU267" s="3783" t="s">
        <v>4936</v>
      </c>
      <c r="AV267" s="2643" t="s">
        <v>4937</v>
      </c>
      <c r="AW267" s="812" t="s">
        <v>5234</v>
      </c>
      <c r="AX267" s="3783" t="s">
        <v>5235</v>
      </c>
      <c r="AY267" s="2643" t="s">
        <v>5236</v>
      </c>
      <c r="AZ267" t="str">
        <f t="shared" si="208"/>
        <v xml:space="preserve"> * La variable Gestante no puede superar el Total Mujeres.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67" s="433" t="str">
        <f t="shared" si="209"/>
        <v xml:space="preserve"> * La variable Gestante no puede superar el Total Mujeres.</v>
      </c>
      <c r="CC267" s="435"/>
      <c r="CD267" s="435"/>
      <c r="CE267" s="435"/>
      <c r="CF267" s="435"/>
      <c r="CG267" s="433" t="str">
        <f t="shared" si="211"/>
        <v xml:space="preserve"> * La variable Compra de Servicio no puede superar el Total Ambos Sexos.</v>
      </c>
      <c r="CH267" s="433" t="str">
        <f t="shared" si="228"/>
        <v xml:space="preserve"> * La variable Ortodoncia interceptiva no puede superar el Total Ambos Sexos.</v>
      </c>
      <c r="CI267" s="433" t="str">
        <f t="shared" si="212"/>
        <v xml:space="preserve"> * La variable Usuarios con Dicapacidad no puede superar el Total Ambos Sexos.</v>
      </c>
      <c r="CJ267" s="433" t="str">
        <f t="shared" si="213"/>
        <v xml:space="preserve"> * La variable Usuarios Oncológicos no puede superar el Total Ambos Sexos.</v>
      </c>
      <c r="CK267" s="433" t="str">
        <f>IF(AND($E267&gt;0,AW267="")," * No olvide digitar la variable Contrarreferencia al alta. Digite Cero si no tiene.",IF(AW267&gt;$E267," * La variable Contrarreferencia al alta no puede superar el Total Ambos Sexos.",""))</f>
        <v xml:space="preserve"> * La variable Contrarreferencia al alta no puede superar el Total Ambos Sexos.</v>
      </c>
      <c r="CL267" s="433" t="str">
        <f t="shared" si="214"/>
        <v xml:space="preserve"> * La variable Migrantes no puede superar el Total Ambos Sexos.</v>
      </c>
      <c r="CM267" s="433" t="str">
        <f t="shared" si="215"/>
        <v xml:space="preserve"> * La variable Pueblo Originario no puede superar el Total Ambos Sexos.</v>
      </c>
      <c r="CP267" s="434">
        <f t="shared" si="216"/>
        <v>1</v>
      </c>
      <c r="CQ267" s="435"/>
      <c r="CR267" s="435"/>
      <c r="CS267" s="435"/>
      <c r="CT267" s="435"/>
      <c r="CU267" s="434">
        <f t="shared" si="218"/>
        <v>1</v>
      </c>
      <c r="CV267" s="434">
        <f t="shared" si="229"/>
        <v>1</v>
      </c>
      <c r="CW267" s="434">
        <f t="shared" si="219"/>
        <v>1</v>
      </c>
      <c r="CX267" s="434">
        <f t="shared" si="220"/>
        <v>1</v>
      </c>
      <c r="CY267" s="434">
        <f>IF(AND($E267&gt;0,AW267=""),1,IF(AW267&gt;$E267,1,0))</f>
        <v>1</v>
      </c>
      <c r="CZ267" s="434">
        <f t="shared" si="221"/>
        <v>1</v>
      </c>
      <c r="DA267" s="434">
        <f t="shared" si="222"/>
        <v>1</v>
      </c>
    </row>
    <row r="268" spans="1:105" ht="15" customHeight="1" x14ac:dyDescent="0.25">
      <c r="A268" s="5812" t="s">
        <v>5879</v>
      </c>
      <c r="B268" s="6058"/>
      <c r="C268" s="7055" t="s">
        <v>1832</v>
      </c>
      <c r="D268" s="6987"/>
      <c r="E268" s="3775" t="s">
        <v>4567</v>
      </c>
      <c r="F268" s="3776" t="s">
        <v>4568</v>
      </c>
      <c r="G268" s="3562" t="s">
        <v>4569</v>
      </c>
      <c r="H268" s="3783" t="s">
        <v>4570</v>
      </c>
      <c r="I268" s="3784" t="s">
        <v>4571</v>
      </c>
      <c r="J268" s="3785" t="s">
        <v>4572</v>
      </c>
      <c r="K268" s="3784" t="s">
        <v>4573</v>
      </c>
      <c r="L268" s="3785" t="s">
        <v>4574</v>
      </c>
      <c r="M268" s="3784" t="s">
        <v>4575</v>
      </c>
      <c r="N268" s="3785" t="s">
        <v>4576</v>
      </c>
      <c r="O268" s="3784" t="s">
        <v>4577</v>
      </c>
      <c r="P268" s="3785" t="s">
        <v>4578</v>
      </c>
      <c r="Q268" s="3784" t="s">
        <v>4579</v>
      </c>
      <c r="R268" s="3785" t="s">
        <v>4580</v>
      </c>
      <c r="S268" s="3784" t="s">
        <v>4581</v>
      </c>
      <c r="T268" s="3785" t="s">
        <v>4582</v>
      </c>
      <c r="U268" s="3784" t="s">
        <v>4583</v>
      </c>
      <c r="V268" s="3785" t="s">
        <v>4584</v>
      </c>
      <c r="W268" s="3784" t="s">
        <v>4585</v>
      </c>
      <c r="X268" s="3785" t="s">
        <v>4586</v>
      </c>
      <c r="Y268" s="3784" t="s">
        <v>4587</v>
      </c>
      <c r="Z268" s="3785" t="s">
        <v>4588</v>
      </c>
      <c r="AA268" s="3784" t="s">
        <v>4589</v>
      </c>
      <c r="AB268" s="3785" t="s">
        <v>4590</v>
      </c>
      <c r="AC268" s="3784" t="s">
        <v>4591</v>
      </c>
      <c r="AD268" s="3785" t="s">
        <v>4592</v>
      </c>
      <c r="AE268" s="3784" t="s">
        <v>4593</v>
      </c>
      <c r="AF268" s="3785" t="s">
        <v>4594</v>
      </c>
      <c r="AG268" s="3784" t="s">
        <v>4595</v>
      </c>
      <c r="AH268" s="3785" t="s">
        <v>4596</v>
      </c>
      <c r="AI268" s="3784" t="s">
        <v>4597</v>
      </c>
      <c r="AJ268" s="3785" t="s">
        <v>4598</v>
      </c>
      <c r="AK268" s="3784" t="s">
        <v>4599</v>
      </c>
      <c r="AL268" s="3785" t="s">
        <v>4600</v>
      </c>
      <c r="AM268" s="3784" t="s">
        <v>4601</v>
      </c>
      <c r="AN268" s="2641" t="s">
        <v>4602</v>
      </c>
      <c r="AO268" s="3785" t="s">
        <v>4603</v>
      </c>
      <c r="AP268" s="3761" t="s">
        <v>4604</v>
      </c>
      <c r="AQ268" s="3762" t="s">
        <v>4605</v>
      </c>
      <c r="AR268" s="3789" t="s">
        <v>4606</v>
      </c>
      <c r="AS268" s="3785" t="s">
        <v>4934</v>
      </c>
      <c r="AT268" s="3785" t="s">
        <v>4935</v>
      </c>
      <c r="AU268" s="3783" t="s">
        <v>4936</v>
      </c>
      <c r="AV268" s="2643" t="s">
        <v>4937</v>
      </c>
      <c r="AW268" s="3788" t="s">
        <v>5234</v>
      </c>
      <c r="AX268" s="3783" t="s">
        <v>5235</v>
      </c>
      <c r="AY268" s="2643" t="s">
        <v>5236</v>
      </c>
      <c r="AZ268" t="str">
        <f t="shared" si="208"/>
        <v xml:space="preserve"> * La variable Gestante no puede superar el Total Mujeres.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8" s="433" t="str">
        <f t="shared" si="209"/>
        <v xml:space="preserve"> * La variable Gestante no puede superar el Total Mujeres.</v>
      </c>
      <c r="CC268" s="435"/>
      <c r="CD268" s="435"/>
      <c r="CE268" s="435"/>
      <c r="CF268" s="435"/>
      <c r="CG268" s="433" t="str">
        <f t="shared" si="211"/>
        <v xml:space="preserve"> * La variable Compra de Servicio no puede superar el Total Ambos Sexos.</v>
      </c>
      <c r="CH268" s="433" t="str">
        <f t="shared" si="228"/>
        <v xml:space="preserve"> * La variable Ortodoncia interceptiva no puede superar el Total Ambos Sexos.</v>
      </c>
      <c r="CI268" s="433" t="str">
        <f t="shared" si="212"/>
        <v xml:space="preserve"> * La variable Usuarios con Dicapacidad no puede superar el Total Ambos Sexos.</v>
      </c>
      <c r="CJ268" s="433" t="str">
        <f t="shared" si="213"/>
        <v xml:space="preserve"> * La variable Usuarios Oncológicos no puede superar el Total Ambos Sexos.</v>
      </c>
      <c r="CK268" s="435"/>
      <c r="CL268" s="433" t="str">
        <f t="shared" si="214"/>
        <v xml:space="preserve"> * La variable Migrantes no puede superar el Total Ambos Sexos.</v>
      </c>
      <c r="CM268" s="433" t="str">
        <f t="shared" si="215"/>
        <v xml:space="preserve"> * La variable Pueblo Originario no puede superar el Total Ambos Sexos.</v>
      </c>
      <c r="CP268" s="434">
        <f t="shared" si="216"/>
        <v>1</v>
      </c>
      <c r="CQ268" s="435"/>
      <c r="CR268" s="435"/>
      <c r="CS268" s="435"/>
      <c r="CT268" s="435"/>
      <c r="CU268" s="434">
        <f t="shared" si="218"/>
        <v>1</v>
      </c>
      <c r="CV268" s="434">
        <f t="shared" si="229"/>
        <v>1</v>
      </c>
      <c r="CW268" s="434">
        <f t="shared" si="219"/>
        <v>1</v>
      </c>
      <c r="CX268" s="434">
        <f t="shared" si="220"/>
        <v>1</v>
      </c>
      <c r="CY268" s="435"/>
      <c r="CZ268" s="434">
        <f t="shared" si="221"/>
        <v>1</v>
      </c>
      <c r="DA268" s="434">
        <f t="shared" si="222"/>
        <v>1</v>
      </c>
    </row>
    <row r="269" spans="1:105" ht="15" customHeight="1" x14ac:dyDescent="0.25">
      <c r="A269" s="5812" t="s">
        <v>5880</v>
      </c>
      <c r="B269" s="6842"/>
      <c r="C269" s="7056" t="s">
        <v>1833</v>
      </c>
      <c r="D269" s="7056"/>
      <c r="E269" s="3395" t="s">
        <v>4567</v>
      </c>
      <c r="F269" s="3527" t="s">
        <v>4568</v>
      </c>
      <c r="G269" s="3480" t="s">
        <v>4569</v>
      </c>
      <c r="H269" s="3768" t="s">
        <v>4570</v>
      </c>
      <c r="I269" s="3767" t="s">
        <v>4571</v>
      </c>
      <c r="J269" s="3768" t="s">
        <v>4572</v>
      </c>
      <c r="K269" s="3767" t="s">
        <v>4573</v>
      </c>
      <c r="L269" s="3768" t="s">
        <v>4574</v>
      </c>
      <c r="M269" s="3767" t="s">
        <v>4575</v>
      </c>
      <c r="N269" s="3768" t="s">
        <v>4576</v>
      </c>
      <c r="O269" s="3767" t="s">
        <v>4577</v>
      </c>
      <c r="P269" s="3768" t="s">
        <v>4578</v>
      </c>
      <c r="Q269" s="3767" t="s">
        <v>4579</v>
      </c>
      <c r="R269" s="3768" t="s">
        <v>4580</v>
      </c>
      <c r="S269" s="3767" t="s">
        <v>4581</v>
      </c>
      <c r="T269" s="3768" t="s">
        <v>4582</v>
      </c>
      <c r="U269" s="3767" t="s">
        <v>4583</v>
      </c>
      <c r="V269" s="3768" t="s">
        <v>4584</v>
      </c>
      <c r="W269" s="3767" t="s">
        <v>4585</v>
      </c>
      <c r="X269" s="3768" t="s">
        <v>4586</v>
      </c>
      <c r="Y269" s="3767" t="s">
        <v>4587</v>
      </c>
      <c r="Z269" s="3768" t="s">
        <v>4588</v>
      </c>
      <c r="AA269" s="3767" t="s">
        <v>4589</v>
      </c>
      <c r="AB269" s="3768" t="s">
        <v>4590</v>
      </c>
      <c r="AC269" s="3767" t="s">
        <v>4591</v>
      </c>
      <c r="AD269" s="3768" t="s">
        <v>4592</v>
      </c>
      <c r="AE269" s="3767" t="s">
        <v>4593</v>
      </c>
      <c r="AF269" s="3768" t="s">
        <v>4594</v>
      </c>
      <c r="AG269" s="3767" t="s">
        <v>4595</v>
      </c>
      <c r="AH269" s="3768" t="s">
        <v>4596</v>
      </c>
      <c r="AI269" s="3767" t="s">
        <v>4597</v>
      </c>
      <c r="AJ269" s="3768" t="s">
        <v>4598</v>
      </c>
      <c r="AK269" s="3767" t="s">
        <v>4599</v>
      </c>
      <c r="AL269" s="3768" t="s">
        <v>4600</v>
      </c>
      <c r="AM269" s="3767" t="s">
        <v>4601</v>
      </c>
      <c r="AN269" s="4928" t="s">
        <v>4602</v>
      </c>
      <c r="AO269" s="5480" t="s">
        <v>4603</v>
      </c>
      <c r="AP269" s="3790" t="s">
        <v>4604</v>
      </c>
      <c r="AQ269" s="3770" t="s">
        <v>4605</v>
      </c>
      <c r="AR269" s="3791" t="s">
        <v>4606</v>
      </c>
      <c r="AS269" s="3768" t="s">
        <v>4934</v>
      </c>
      <c r="AT269" s="3768" t="s">
        <v>4935</v>
      </c>
      <c r="AU269" s="3766" t="s">
        <v>4936</v>
      </c>
      <c r="AV269" s="815" t="s">
        <v>4937</v>
      </c>
      <c r="AW269" s="3770" t="s">
        <v>5234</v>
      </c>
      <c r="AX269" s="3766" t="s">
        <v>5235</v>
      </c>
      <c r="AY269" s="815" t="s">
        <v>5236</v>
      </c>
      <c r="AZ269" t="str">
        <f t="shared" si="208"/>
        <v xml:space="preserve"> * La variable Gestante no puede superar el Total Mujeres.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9" s="433" t="str">
        <f t="shared" si="209"/>
        <v xml:space="preserve"> * La variable Gestante no puede superar el Total Mujeres.</v>
      </c>
      <c r="CC269" s="435"/>
      <c r="CD269" s="435"/>
      <c r="CE269" s="435"/>
      <c r="CF269" s="435"/>
      <c r="CG269" s="433" t="str">
        <f t="shared" si="211"/>
        <v xml:space="preserve"> * La variable Compra de Servicio no puede superar el Total Ambos Sexos.</v>
      </c>
      <c r="CH269" s="433" t="str">
        <f>IF(AND($E269&gt;0,AT269="")," * No olvide digitar la variable Ortodoncia interceptiva. Digite Cero si no tiene.",IF(AT269&gt;$E269," * La variable Ortodoncia interceptiva no puede superar el Total Ambos Sexos.",""))</f>
        <v xml:space="preserve"> * La variable Ortodoncia interceptiva no puede superar el Total Ambos Sexos.</v>
      </c>
      <c r="CI269" s="433" t="str">
        <f t="shared" si="212"/>
        <v xml:space="preserve"> * La variable Usuarios con Dicapacidad no puede superar el Total Ambos Sexos.</v>
      </c>
      <c r="CJ269" s="433" t="str">
        <f t="shared" si="213"/>
        <v xml:space="preserve"> * La variable Usuarios Oncológicos no puede superar el Total Ambos Sexos.</v>
      </c>
      <c r="CK269" s="435"/>
      <c r="CL269" s="433" t="str">
        <f t="shared" si="214"/>
        <v xml:space="preserve"> * La variable Migrantes no puede superar el Total Ambos Sexos.</v>
      </c>
      <c r="CM269" s="433" t="str">
        <f t="shared" si="215"/>
        <v xml:space="preserve"> * La variable Pueblo Originario no puede superar el Total Ambos Sexos.</v>
      </c>
      <c r="CP269" s="434">
        <f t="shared" si="216"/>
        <v>1</v>
      </c>
      <c r="CQ269" s="435"/>
      <c r="CR269" s="435"/>
      <c r="CS269" s="435"/>
      <c r="CT269" s="435"/>
      <c r="CU269" s="434">
        <f t="shared" si="218"/>
        <v>1</v>
      </c>
      <c r="CV269" s="434">
        <f>IF(AND($E269&gt;0,AT269=""),1,IF(AT269&gt;$E269,1,0))</f>
        <v>1</v>
      </c>
      <c r="CW269" s="434">
        <f t="shared" si="219"/>
        <v>1</v>
      </c>
      <c r="CX269" s="434">
        <f t="shared" si="220"/>
        <v>1</v>
      </c>
      <c r="CY269" s="435"/>
      <c r="CZ269" s="434">
        <f t="shared" si="221"/>
        <v>1</v>
      </c>
      <c r="DA269" s="434">
        <f t="shared" si="222"/>
        <v>1</v>
      </c>
    </row>
    <row r="270" spans="1:105" ht="15" customHeight="1" x14ac:dyDescent="0.25">
      <c r="A270" s="5812" t="s">
        <v>5881</v>
      </c>
      <c r="B270" s="6453" t="s">
        <v>1834</v>
      </c>
      <c r="C270" s="7058" t="s">
        <v>1828</v>
      </c>
      <c r="D270" s="7058"/>
      <c r="E270" s="3722" t="s">
        <v>4567</v>
      </c>
      <c r="F270" s="3556" t="s">
        <v>4568</v>
      </c>
      <c r="G270" s="3470" t="s">
        <v>4569</v>
      </c>
      <c r="H270" s="3774" t="s">
        <v>4570</v>
      </c>
      <c r="I270" s="3772" t="s">
        <v>4571</v>
      </c>
      <c r="J270" s="3773" t="s">
        <v>4572</v>
      </c>
      <c r="K270" s="3772" t="s">
        <v>4573</v>
      </c>
      <c r="L270" s="3773" t="s">
        <v>4574</v>
      </c>
      <c r="M270" s="3772" t="s">
        <v>4575</v>
      </c>
      <c r="N270" s="3773" t="s">
        <v>4576</v>
      </c>
      <c r="O270" s="3772" t="s">
        <v>4577</v>
      </c>
      <c r="P270" s="3773" t="s">
        <v>4578</v>
      </c>
      <c r="Q270" s="3772" t="s">
        <v>4579</v>
      </c>
      <c r="R270" s="3773" t="s">
        <v>4580</v>
      </c>
      <c r="S270" s="3772" t="s">
        <v>4581</v>
      </c>
      <c r="T270" s="3773" t="s">
        <v>4582</v>
      </c>
      <c r="U270" s="2657" t="s">
        <v>4583</v>
      </c>
      <c r="V270" s="3773" t="s">
        <v>4584</v>
      </c>
      <c r="W270" s="2657" t="s">
        <v>4585</v>
      </c>
      <c r="X270" s="3759" t="s">
        <v>4586</v>
      </c>
      <c r="Y270" s="803" t="s">
        <v>4587</v>
      </c>
      <c r="Z270" s="3759" t="s">
        <v>4588</v>
      </c>
      <c r="AA270" s="803" t="s">
        <v>4589</v>
      </c>
      <c r="AB270" s="3759" t="s">
        <v>4590</v>
      </c>
      <c r="AC270" s="803" t="s">
        <v>4591</v>
      </c>
      <c r="AD270" s="3759" t="s">
        <v>4592</v>
      </c>
      <c r="AE270" s="803" t="s">
        <v>4593</v>
      </c>
      <c r="AF270" s="3759" t="s">
        <v>4594</v>
      </c>
      <c r="AG270" s="803" t="s">
        <v>4595</v>
      </c>
      <c r="AH270" s="3759" t="s">
        <v>4596</v>
      </c>
      <c r="AI270" s="803" t="s">
        <v>4597</v>
      </c>
      <c r="AJ270" s="3759" t="s">
        <v>4598</v>
      </c>
      <c r="AK270" s="803" t="s">
        <v>4599</v>
      </c>
      <c r="AL270" s="3759" t="s">
        <v>4600</v>
      </c>
      <c r="AM270" s="5475" t="s">
        <v>4601</v>
      </c>
      <c r="AN270" s="3759" t="s">
        <v>4602</v>
      </c>
      <c r="AO270" s="803" t="s">
        <v>4603</v>
      </c>
      <c r="AP270" s="3758" t="s">
        <v>4604</v>
      </c>
      <c r="AQ270" s="3772" t="s">
        <v>4605</v>
      </c>
      <c r="AR270" s="3759" t="s">
        <v>4606</v>
      </c>
      <c r="AS270" s="3773" t="s">
        <v>4934</v>
      </c>
      <c r="AT270" s="3762" t="s">
        <v>4935</v>
      </c>
      <c r="AU270" s="3774" t="s">
        <v>4936</v>
      </c>
      <c r="AV270" s="2657" t="s">
        <v>4937</v>
      </c>
      <c r="AW270" s="3762" t="s">
        <v>5234</v>
      </c>
      <c r="AX270" s="3774" t="s">
        <v>5235</v>
      </c>
      <c r="AY270" s="2657" t="s">
        <v>5236</v>
      </c>
      <c r="AZ270" t="str">
        <f t="shared" si="208"/>
        <v xml:space="preserve">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0" s="435"/>
      <c r="CC270" s="435"/>
      <c r="CD270" s="433" t="str">
        <f>IF(AND($E270&gt;0,AP270="")," * No olvide digitar la variable Consultas Pertinentes: Según Procolo de Referencia. Digite cero si no tiene.",IF(AP270&gt;$E270,"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70" s="433" t="str">
        <f>IF(AND($E270&gt;0,AQ270="")," * No olvide digitar la variable Consultas Pertinentes: Según condición clínica. Digite cero si no tiene.",IF(AQ270&gt;$E270,"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70" s="433" t="str">
        <f>IF(AND($E270&gt;0,AR270="")," * No olvide digitar la variable Inasistente. Digite cero si no tiene.",IF(AR270&gt;$E270," * La variable Insasistente no puede superar el Total Ambos Sexos.",""))</f>
        <v xml:space="preserve"> * La variable Insasistente no puede superar el Total Ambos Sexos.</v>
      </c>
      <c r="CG270" s="433" t="str">
        <f t="shared" si="211"/>
        <v xml:space="preserve"> * La variable Compra de Servicio no puede superar el Total Ambos Sexos.</v>
      </c>
      <c r="CH270" s="435"/>
      <c r="CI270" s="433" t="str">
        <f t="shared" si="212"/>
        <v xml:space="preserve"> * La variable Usuarios con Dicapacidad no puede superar el Total Ambos Sexos.</v>
      </c>
      <c r="CJ270" s="433" t="str">
        <f t="shared" si="213"/>
        <v xml:space="preserve"> * La variable Usuarios Oncológicos no puede superar el Total Ambos Sexos.</v>
      </c>
      <c r="CK270" s="435"/>
      <c r="CL270" s="433" t="str">
        <f t="shared" si="214"/>
        <v xml:space="preserve"> * La variable Migrantes no puede superar el Total Ambos Sexos.</v>
      </c>
      <c r="CM270" s="433" t="str">
        <f t="shared" si="215"/>
        <v xml:space="preserve"> * La variable Pueblo Originario no puede superar el Total Ambos Sexos.</v>
      </c>
      <c r="CP270" s="435"/>
      <c r="CQ270" s="435"/>
      <c r="CR270" s="434">
        <f>IF(AND($E270&gt;0,AP270=""),1,IF(AP270&gt;$E270,1,0))</f>
        <v>1</v>
      </c>
      <c r="CS270" s="434">
        <f t="shared" ref="CS270" si="230">IF(AND($E270&gt;0,AQ270=""),1,IF(AQ270&gt;$E270,1,0))</f>
        <v>1</v>
      </c>
      <c r="CT270" s="434">
        <f t="shared" ref="CT270:CT271" si="231">IF(AND($E270&gt;0,AR270=""),1,IF(AR270&gt;$E270,1,0))</f>
        <v>1</v>
      </c>
      <c r="CU270" s="434">
        <f t="shared" si="218"/>
        <v>1</v>
      </c>
      <c r="CV270" s="435"/>
      <c r="CW270" s="434">
        <f t="shared" si="219"/>
        <v>1</v>
      </c>
      <c r="CX270" s="434">
        <f t="shared" si="220"/>
        <v>1</v>
      </c>
      <c r="CY270" s="435"/>
      <c r="CZ270" s="434">
        <f t="shared" si="221"/>
        <v>1</v>
      </c>
      <c r="DA270" s="434">
        <f t="shared" si="222"/>
        <v>1</v>
      </c>
    </row>
    <row r="271" spans="1:105" ht="15" customHeight="1" x14ac:dyDescent="0.25">
      <c r="A271" s="5812" t="s">
        <v>5882</v>
      </c>
      <c r="B271" s="6058"/>
      <c r="C271" s="7059" t="s">
        <v>1829</v>
      </c>
      <c r="D271" s="7059"/>
      <c r="E271" s="3775" t="s">
        <v>4567</v>
      </c>
      <c r="F271" s="3776" t="s">
        <v>4568</v>
      </c>
      <c r="G271" s="3562" t="s">
        <v>4569</v>
      </c>
      <c r="H271" s="3777" t="s">
        <v>4570</v>
      </c>
      <c r="I271" s="3778" t="s">
        <v>4571</v>
      </c>
      <c r="J271" s="3779" t="s">
        <v>4572</v>
      </c>
      <c r="K271" s="3778" t="s">
        <v>4573</v>
      </c>
      <c r="L271" s="3779" t="s">
        <v>4574</v>
      </c>
      <c r="M271" s="3778" t="s">
        <v>4575</v>
      </c>
      <c r="N271" s="3779" t="s">
        <v>4576</v>
      </c>
      <c r="O271" s="3778" t="s">
        <v>4577</v>
      </c>
      <c r="P271" s="3779" t="s">
        <v>4578</v>
      </c>
      <c r="Q271" s="3778" t="s">
        <v>4579</v>
      </c>
      <c r="R271" s="3779" t="s">
        <v>4580</v>
      </c>
      <c r="S271" s="3778" t="s">
        <v>4581</v>
      </c>
      <c r="T271" s="3779" t="s">
        <v>4582</v>
      </c>
      <c r="U271" s="812" t="s">
        <v>4583</v>
      </c>
      <c r="V271" s="3779" t="s">
        <v>4584</v>
      </c>
      <c r="W271" s="812" t="s">
        <v>4585</v>
      </c>
      <c r="X271" s="3779" t="s">
        <v>4586</v>
      </c>
      <c r="Y271" s="812" t="s">
        <v>4587</v>
      </c>
      <c r="Z271" s="3779" t="s">
        <v>4588</v>
      </c>
      <c r="AA271" s="812" t="s">
        <v>4589</v>
      </c>
      <c r="AB271" s="3779" t="s">
        <v>4590</v>
      </c>
      <c r="AC271" s="812" t="s">
        <v>4591</v>
      </c>
      <c r="AD271" s="3779" t="s">
        <v>4592</v>
      </c>
      <c r="AE271" s="812" t="s">
        <v>4593</v>
      </c>
      <c r="AF271" s="3779" t="s">
        <v>4594</v>
      </c>
      <c r="AG271" s="812" t="s">
        <v>4595</v>
      </c>
      <c r="AH271" s="3779" t="s">
        <v>4596</v>
      </c>
      <c r="AI271" s="812" t="s">
        <v>4597</v>
      </c>
      <c r="AJ271" s="3779" t="s">
        <v>4598</v>
      </c>
      <c r="AK271" s="812" t="s">
        <v>4599</v>
      </c>
      <c r="AL271" s="3779" t="s">
        <v>4600</v>
      </c>
      <c r="AM271" s="4924" t="s">
        <v>4601</v>
      </c>
      <c r="AN271" s="3779" t="s">
        <v>4602</v>
      </c>
      <c r="AO271" s="812" t="s">
        <v>4603</v>
      </c>
      <c r="AP271" s="3761" t="s">
        <v>4604</v>
      </c>
      <c r="AQ271" s="3762" t="s">
        <v>4605</v>
      </c>
      <c r="AR271" s="3773" t="s">
        <v>4606</v>
      </c>
      <c r="AS271" s="3779" t="s">
        <v>4934</v>
      </c>
      <c r="AT271" s="3762" t="s">
        <v>4935</v>
      </c>
      <c r="AU271" s="3777" t="s">
        <v>4936</v>
      </c>
      <c r="AV271" s="812" t="s">
        <v>4937</v>
      </c>
      <c r="AW271" s="3762" t="s">
        <v>5234</v>
      </c>
      <c r="AX271" s="3777" t="s">
        <v>5235</v>
      </c>
      <c r="AY271" s="812" t="s">
        <v>5236</v>
      </c>
      <c r="AZ271" t="str">
        <f t="shared" si="208"/>
        <v xml:space="preserve"> * La variable Insasistente no puede superar el Total Ambos Sexos.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1" s="435"/>
      <c r="CC271" s="435"/>
      <c r="CD271" s="435"/>
      <c r="CE271" s="435"/>
      <c r="CF271" s="433" t="str">
        <f>IF(AND($E271&gt;0,AR271="")," * No olvide digitar la variable Inasistente. Digite cero si no tiene.",IF(AR271&gt;$E271," * La variable Insasistente no puede superar el Total Ambos Sexos.",""))</f>
        <v xml:space="preserve"> * La variable Insasistente no puede superar el Total Ambos Sexos.</v>
      </c>
      <c r="CG271" s="433" t="str">
        <f t="shared" si="211"/>
        <v xml:space="preserve"> * La variable Compra de Servicio no puede superar el Total Ambos Sexos.</v>
      </c>
      <c r="CH271" s="435"/>
      <c r="CI271" s="433" t="str">
        <f t="shared" si="212"/>
        <v xml:space="preserve"> * La variable Usuarios con Dicapacidad no puede superar el Total Ambos Sexos.</v>
      </c>
      <c r="CJ271" s="433" t="str">
        <f t="shared" si="213"/>
        <v xml:space="preserve"> * La variable Usuarios Oncológicos no puede superar el Total Ambos Sexos.</v>
      </c>
      <c r="CK271" s="435"/>
      <c r="CL271" s="433" t="str">
        <f t="shared" si="214"/>
        <v xml:space="preserve"> * La variable Migrantes no puede superar el Total Ambos Sexos.</v>
      </c>
      <c r="CM271" s="433" t="str">
        <f t="shared" si="215"/>
        <v xml:space="preserve"> * La variable Pueblo Originario no puede superar el Total Ambos Sexos.</v>
      </c>
      <c r="CP271" s="435"/>
      <c r="CQ271" s="435"/>
      <c r="CR271" s="435"/>
      <c r="CS271" s="435"/>
      <c r="CT271" s="434">
        <f t="shared" si="231"/>
        <v>1</v>
      </c>
      <c r="CU271" s="434">
        <f t="shared" si="218"/>
        <v>1</v>
      </c>
      <c r="CV271" s="435"/>
      <c r="CW271" s="434">
        <f t="shared" si="219"/>
        <v>1</v>
      </c>
      <c r="CX271" s="434">
        <f t="shared" si="220"/>
        <v>1</v>
      </c>
      <c r="CY271" s="435"/>
      <c r="CZ271" s="434">
        <f t="shared" si="221"/>
        <v>1</v>
      </c>
      <c r="DA271" s="434">
        <f t="shared" si="222"/>
        <v>1</v>
      </c>
    </row>
    <row r="272" spans="1:105" ht="15" customHeight="1" x14ac:dyDescent="0.25">
      <c r="A272" s="5812" t="s">
        <v>5883</v>
      </c>
      <c r="B272" s="6058"/>
      <c r="C272" s="7059" t="s">
        <v>1830</v>
      </c>
      <c r="D272" s="7059"/>
      <c r="E272" s="3775" t="s">
        <v>4567</v>
      </c>
      <c r="F272" s="3776" t="s">
        <v>4568</v>
      </c>
      <c r="G272" s="3562" t="s">
        <v>4569</v>
      </c>
      <c r="H272" s="3777" t="s">
        <v>4570</v>
      </c>
      <c r="I272" s="3778" t="s">
        <v>4571</v>
      </c>
      <c r="J272" s="3779" t="s">
        <v>4572</v>
      </c>
      <c r="K272" s="3778" t="s">
        <v>4573</v>
      </c>
      <c r="L272" s="3779" t="s">
        <v>4574</v>
      </c>
      <c r="M272" s="3778" t="s">
        <v>4575</v>
      </c>
      <c r="N272" s="3779" t="s">
        <v>4576</v>
      </c>
      <c r="O272" s="3778" t="s">
        <v>4577</v>
      </c>
      <c r="P272" s="3779" t="s">
        <v>4578</v>
      </c>
      <c r="Q272" s="3778" t="s">
        <v>4579</v>
      </c>
      <c r="R272" s="3779" t="s">
        <v>4580</v>
      </c>
      <c r="S272" s="3778" t="s">
        <v>4581</v>
      </c>
      <c r="T272" s="3779" t="s">
        <v>4582</v>
      </c>
      <c r="U272" s="812" t="s">
        <v>4583</v>
      </c>
      <c r="V272" s="3779" t="s">
        <v>4584</v>
      </c>
      <c r="W272" s="812" t="s">
        <v>4585</v>
      </c>
      <c r="X272" s="3779" t="s">
        <v>4586</v>
      </c>
      <c r="Y272" s="812" t="s">
        <v>4587</v>
      </c>
      <c r="Z272" s="3779" t="s">
        <v>4588</v>
      </c>
      <c r="AA272" s="812" t="s">
        <v>4589</v>
      </c>
      <c r="AB272" s="3779" t="s">
        <v>4590</v>
      </c>
      <c r="AC272" s="812" t="s">
        <v>4591</v>
      </c>
      <c r="AD272" s="3779" t="s">
        <v>4592</v>
      </c>
      <c r="AE272" s="812" t="s">
        <v>4593</v>
      </c>
      <c r="AF272" s="3779" t="s">
        <v>4594</v>
      </c>
      <c r="AG272" s="812" t="s">
        <v>4595</v>
      </c>
      <c r="AH272" s="3779" t="s">
        <v>4596</v>
      </c>
      <c r="AI272" s="812" t="s">
        <v>4597</v>
      </c>
      <c r="AJ272" s="3779" t="s">
        <v>4598</v>
      </c>
      <c r="AK272" s="812" t="s">
        <v>4599</v>
      </c>
      <c r="AL272" s="3779" t="s">
        <v>4600</v>
      </c>
      <c r="AM272" s="4924" t="s">
        <v>4601</v>
      </c>
      <c r="AN272" s="3779" t="s">
        <v>4602</v>
      </c>
      <c r="AO272" s="812" t="s">
        <v>4603</v>
      </c>
      <c r="AP272" s="3761" t="s">
        <v>4604</v>
      </c>
      <c r="AQ272" s="3762" t="s">
        <v>4605</v>
      </c>
      <c r="AR272" s="3782" t="s">
        <v>4606</v>
      </c>
      <c r="AS272" s="3779" t="s">
        <v>4934</v>
      </c>
      <c r="AT272" s="3762" t="s">
        <v>4935</v>
      </c>
      <c r="AU272" s="3777" t="s">
        <v>4936</v>
      </c>
      <c r="AV272" s="812" t="s">
        <v>4937</v>
      </c>
      <c r="AW272" s="3762" t="s">
        <v>5234</v>
      </c>
      <c r="AX272" s="3777" t="s">
        <v>5235</v>
      </c>
      <c r="AY272" s="812" t="s">
        <v>5236</v>
      </c>
      <c r="AZ272" t="str">
        <f t="shared" si="208"/>
        <v xml:space="preserve">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2" s="435"/>
      <c r="CC272" s="435"/>
      <c r="CD272" s="435"/>
      <c r="CE272" s="435"/>
      <c r="CF272" s="435"/>
      <c r="CG272" s="433" t="str">
        <f t="shared" si="211"/>
        <v xml:space="preserve"> * La variable Compra de Servicio no puede superar el Total Ambos Sexos.</v>
      </c>
      <c r="CH272" s="435"/>
      <c r="CI272" s="433" t="str">
        <f t="shared" si="212"/>
        <v xml:space="preserve"> * La variable Usuarios con Dicapacidad no puede superar el Total Ambos Sexos.</v>
      </c>
      <c r="CJ272" s="433" t="str">
        <f t="shared" si="213"/>
        <v xml:space="preserve"> * La variable Usuarios Oncológicos no puede superar el Total Ambos Sexos.</v>
      </c>
      <c r="CK272" s="435"/>
      <c r="CL272" s="433" t="str">
        <f t="shared" si="214"/>
        <v xml:space="preserve"> * La variable Migrantes no puede superar el Total Ambos Sexos.</v>
      </c>
      <c r="CM272" s="433" t="str">
        <f t="shared" si="215"/>
        <v xml:space="preserve"> * La variable Pueblo Originario no puede superar el Total Ambos Sexos.</v>
      </c>
      <c r="CP272" s="435"/>
      <c r="CQ272" s="435"/>
      <c r="CR272" s="435"/>
      <c r="CS272" s="435"/>
      <c r="CT272" s="435"/>
      <c r="CU272" s="434">
        <f t="shared" si="218"/>
        <v>1</v>
      </c>
      <c r="CV272" s="435"/>
      <c r="CW272" s="434">
        <f t="shared" si="219"/>
        <v>1</v>
      </c>
      <c r="CX272" s="434">
        <f t="shared" si="220"/>
        <v>1</v>
      </c>
      <c r="CY272" s="435"/>
      <c r="CZ272" s="434">
        <f t="shared" si="221"/>
        <v>1</v>
      </c>
      <c r="DA272" s="434">
        <f t="shared" si="222"/>
        <v>1</v>
      </c>
    </row>
    <row r="273" spans="1:105" ht="15" customHeight="1" x14ac:dyDescent="0.25">
      <c r="A273" s="5812" t="s">
        <v>5884</v>
      </c>
      <c r="B273" s="6058"/>
      <c r="C273" s="7055" t="s">
        <v>1831</v>
      </c>
      <c r="D273" s="6987"/>
      <c r="E273" s="3775" t="s">
        <v>4567</v>
      </c>
      <c r="F273" s="3795" t="s">
        <v>4568</v>
      </c>
      <c r="G273" s="3796" t="s">
        <v>4569</v>
      </c>
      <c r="H273" s="3783" t="s">
        <v>4570</v>
      </c>
      <c r="I273" s="3784" t="s">
        <v>4571</v>
      </c>
      <c r="J273" s="3785" t="s">
        <v>4572</v>
      </c>
      <c r="K273" s="3784" t="s">
        <v>4573</v>
      </c>
      <c r="L273" s="3785" t="s">
        <v>4574</v>
      </c>
      <c r="M273" s="3784" t="s">
        <v>4575</v>
      </c>
      <c r="N273" s="3785" t="s">
        <v>4576</v>
      </c>
      <c r="O273" s="3784" t="s">
        <v>4577</v>
      </c>
      <c r="P273" s="3785" t="s">
        <v>4578</v>
      </c>
      <c r="Q273" s="3784" t="s">
        <v>4579</v>
      </c>
      <c r="R273" s="3785" t="s">
        <v>4580</v>
      </c>
      <c r="S273" s="3784" t="s">
        <v>4581</v>
      </c>
      <c r="T273" s="3785" t="s">
        <v>4582</v>
      </c>
      <c r="U273" s="2643" t="s">
        <v>4583</v>
      </c>
      <c r="V273" s="3785" t="s">
        <v>4584</v>
      </c>
      <c r="W273" s="2643" t="s">
        <v>4585</v>
      </c>
      <c r="X273" s="3785" t="s">
        <v>4586</v>
      </c>
      <c r="Y273" s="2643" t="s">
        <v>4587</v>
      </c>
      <c r="Z273" s="3785" t="s">
        <v>4588</v>
      </c>
      <c r="AA273" s="2643" t="s">
        <v>4589</v>
      </c>
      <c r="AB273" s="3785" t="s">
        <v>4590</v>
      </c>
      <c r="AC273" s="2643" t="s">
        <v>4591</v>
      </c>
      <c r="AD273" s="3785" t="s">
        <v>4592</v>
      </c>
      <c r="AE273" s="2643" t="s">
        <v>4593</v>
      </c>
      <c r="AF273" s="3785" t="s">
        <v>4594</v>
      </c>
      <c r="AG273" s="2643" t="s">
        <v>4595</v>
      </c>
      <c r="AH273" s="3785" t="s">
        <v>4596</v>
      </c>
      <c r="AI273" s="2643" t="s">
        <v>4597</v>
      </c>
      <c r="AJ273" s="3785" t="s">
        <v>4598</v>
      </c>
      <c r="AK273" s="2643" t="s">
        <v>4599</v>
      </c>
      <c r="AL273" s="3785" t="s">
        <v>4600</v>
      </c>
      <c r="AM273" s="5476" t="s">
        <v>4601</v>
      </c>
      <c r="AN273" s="3785" t="s">
        <v>4602</v>
      </c>
      <c r="AO273" s="2643" t="s">
        <v>4603</v>
      </c>
      <c r="AP273" s="3761" t="s">
        <v>4604</v>
      </c>
      <c r="AQ273" s="3762" t="s">
        <v>4605</v>
      </c>
      <c r="AR273" s="3782" t="s">
        <v>4606</v>
      </c>
      <c r="AS273" s="3785" t="s">
        <v>4934</v>
      </c>
      <c r="AT273" s="3762" t="s">
        <v>4935</v>
      </c>
      <c r="AU273" s="3783" t="s">
        <v>4936</v>
      </c>
      <c r="AV273" s="2643" t="s">
        <v>4937</v>
      </c>
      <c r="AW273" s="812" t="s">
        <v>5234</v>
      </c>
      <c r="AX273" s="3783" t="s">
        <v>5235</v>
      </c>
      <c r="AY273" s="2643" t="s">
        <v>5236</v>
      </c>
      <c r="AZ273" t="str">
        <f t="shared" si="208"/>
        <v xml:space="preserve"> * La variable Compra de Servicio no puede superar el Total Ambos Sexos. * La variable Usuarios con Dicapacidad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73" s="435"/>
      <c r="CC273" s="435"/>
      <c r="CD273" s="435"/>
      <c r="CE273" s="435"/>
      <c r="CF273" s="435"/>
      <c r="CG273" s="433" t="str">
        <f t="shared" si="211"/>
        <v xml:space="preserve"> * La variable Compra de Servicio no puede superar el Total Ambos Sexos.</v>
      </c>
      <c r="CH273" s="435"/>
      <c r="CI273" s="433" t="str">
        <f t="shared" si="212"/>
        <v xml:space="preserve"> * La variable Usuarios con Dicapacidad no puede superar el Total Ambos Sexos.</v>
      </c>
      <c r="CJ273" s="433" t="str">
        <f t="shared" si="213"/>
        <v xml:space="preserve"> * La variable Usuarios Oncológicos no puede superar el Total Ambos Sexos.</v>
      </c>
      <c r="CK273" s="433" t="str">
        <f>IF(AND($E273&gt;0,AW273="")," * No olvide digitar la variable Contrarreferencia al alta. Digite Cero si no tiene.",IF(AW273&gt;$E273," * La variable Contrarreferencia al alta no puede superar el Total Ambos Sexos.",""))</f>
        <v xml:space="preserve"> * La variable Contrarreferencia al alta no puede superar el Total Ambos Sexos.</v>
      </c>
      <c r="CL273" s="433" t="str">
        <f t="shared" si="214"/>
        <v xml:space="preserve"> * La variable Migrantes no puede superar el Total Ambos Sexos.</v>
      </c>
      <c r="CM273" s="433" t="str">
        <f t="shared" si="215"/>
        <v xml:space="preserve"> * La variable Pueblo Originario no puede superar el Total Ambos Sexos.</v>
      </c>
      <c r="CP273" s="435"/>
      <c r="CQ273" s="435"/>
      <c r="CR273" s="435"/>
      <c r="CS273" s="435"/>
      <c r="CT273" s="435"/>
      <c r="CU273" s="434">
        <f t="shared" si="218"/>
        <v>1</v>
      </c>
      <c r="CV273" s="435"/>
      <c r="CW273" s="434">
        <f t="shared" si="219"/>
        <v>1</v>
      </c>
      <c r="CX273" s="434">
        <f t="shared" si="220"/>
        <v>1</v>
      </c>
      <c r="CY273" s="434">
        <f>IF(AND($E273&gt;0,AW273=""),1,IF(AW273&gt;$E273,1,0))</f>
        <v>1</v>
      </c>
      <c r="CZ273" s="434">
        <f t="shared" si="221"/>
        <v>1</v>
      </c>
      <c r="DA273" s="434">
        <f t="shared" si="222"/>
        <v>1</v>
      </c>
    </row>
    <row r="274" spans="1:105" ht="15" customHeight="1" x14ac:dyDescent="0.25">
      <c r="A274" s="5812" t="s">
        <v>5885</v>
      </c>
      <c r="B274" s="6058"/>
      <c r="C274" s="7055" t="s">
        <v>1832</v>
      </c>
      <c r="D274" s="6987"/>
      <c r="E274" s="3775" t="s">
        <v>4567</v>
      </c>
      <c r="F274" s="3776" t="s">
        <v>4568</v>
      </c>
      <c r="G274" s="3794" t="s">
        <v>4569</v>
      </c>
      <c r="H274" s="3785" t="s">
        <v>4570</v>
      </c>
      <c r="I274" s="3784" t="s">
        <v>4571</v>
      </c>
      <c r="J274" s="3785" t="s">
        <v>4572</v>
      </c>
      <c r="K274" s="3784" t="s">
        <v>4573</v>
      </c>
      <c r="L274" s="3785" t="s">
        <v>4574</v>
      </c>
      <c r="M274" s="3784" t="s">
        <v>4575</v>
      </c>
      <c r="N274" s="3785" t="s">
        <v>4576</v>
      </c>
      <c r="O274" s="3784" t="s">
        <v>4577</v>
      </c>
      <c r="P274" s="3785" t="s">
        <v>4578</v>
      </c>
      <c r="Q274" s="3784" t="s">
        <v>4579</v>
      </c>
      <c r="R274" s="3785" t="s">
        <v>4580</v>
      </c>
      <c r="S274" s="3784" t="s">
        <v>4581</v>
      </c>
      <c r="T274" s="3785" t="s">
        <v>4582</v>
      </c>
      <c r="U274" s="2643" t="s">
        <v>4583</v>
      </c>
      <c r="V274" s="3785" t="s">
        <v>4584</v>
      </c>
      <c r="W274" s="2643" t="s">
        <v>4585</v>
      </c>
      <c r="X274" s="3785" t="s">
        <v>4586</v>
      </c>
      <c r="Y274" s="2643" t="s">
        <v>4587</v>
      </c>
      <c r="Z274" s="3785" t="s">
        <v>4588</v>
      </c>
      <c r="AA274" s="2643" t="s">
        <v>4589</v>
      </c>
      <c r="AB274" s="3785" t="s">
        <v>4590</v>
      </c>
      <c r="AC274" s="2643" t="s">
        <v>4591</v>
      </c>
      <c r="AD274" s="3785" t="s">
        <v>4592</v>
      </c>
      <c r="AE274" s="2643" t="s">
        <v>4593</v>
      </c>
      <c r="AF274" s="3785" t="s">
        <v>4594</v>
      </c>
      <c r="AG274" s="2643" t="s">
        <v>4595</v>
      </c>
      <c r="AH274" s="3785" t="s">
        <v>4596</v>
      </c>
      <c r="AI274" s="2643" t="s">
        <v>4597</v>
      </c>
      <c r="AJ274" s="3785" t="s">
        <v>4598</v>
      </c>
      <c r="AK274" s="2643" t="s">
        <v>4599</v>
      </c>
      <c r="AL274" s="3785" t="s">
        <v>4600</v>
      </c>
      <c r="AM274" s="5476" t="s">
        <v>4601</v>
      </c>
      <c r="AN274" s="3785" t="s">
        <v>4602</v>
      </c>
      <c r="AO274" s="2643" t="s">
        <v>4603</v>
      </c>
      <c r="AP274" s="3761" t="s">
        <v>4604</v>
      </c>
      <c r="AQ274" s="3762" t="s">
        <v>4605</v>
      </c>
      <c r="AR274" s="3789" t="s">
        <v>4606</v>
      </c>
      <c r="AS274" s="3785" t="s">
        <v>4934</v>
      </c>
      <c r="AT274" s="3788" t="s">
        <v>4935</v>
      </c>
      <c r="AU274" s="3783" t="s">
        <v>4936</v>
      </c>
      <c r="AV274" s="2643" t="s">
        <v>4937</v>
      </c>
      <c r="AW274" s="3788" t="s">
        <v>5234</v>
      </c>
      <c r="AX274" s="3783" t="s">
        <v>5235</v>
      </c>
      <c r="AY274" s="2643" t="s">
        <v>5236</v>
      </c>
      <c r="AZ274" t="str">
        <f t="shared" si="208"/>
        <v xml:space="preserve">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4" s="435"/>
      <c r="CC274" s="435"/>
      <c r="CD274" s="435"/>
      <c r="CE274" s="435"/>
      <c r="CF274" s="435"/>
      <c r="CG274" s="433" t="str">
        <f t="shared" si="211"/>
        <v xml:space="preserve"> * La variable Compra de Servicio no puede superar el Total Ambos Sexos.</v>
      </c>
      <c r="CH274" s="435"/>
      <c r="CI274" s="433" t="str">
        <f t="shared" si="212"/>
        <v xml:space="preserve"> * La variable Usuarios con Dicapacidad no puede superar el Total Ambos Sexos.</v>
      </c>
      <c r="CJ274" s="433" t="str">
        <f t="shared" si="213"/>
        <v xml:space="preserve"> * La variable Usuarios Oncológicos no puede superar el Total Ambos Sexos.</v>
      </c>
      <c r="CK274" s="435"/>
      <c r="CL274" s="433" t="str">
        <f t="shared" si="214"/>
        <v xml:space="preserve"> * La variable Migrantes no puede superar el Total Ambos Sexos.</v>
      </c>
      <c r="CM274" s="433" t="str">
        <f t="shared" si="215"/>
        <v xml:space="preserve"> * La variable Pueblo Originario no puede superar el Total Ambos Sexos.</v>
      </c>
      <c r="CP274" s="435"/>
      <c r="CQ274" s="435"/>
      <c r="CR274" s="435"/>
      <c r="CS274" s="435"/>
      <c r="CT274" s="435"/>
      <c r="CU274" s="434">
        <f t="shared" si="218"/>
        <v>1</v>
      </c>
      <c r="CV274" s="435"/>
      <c r="CW274" s="434">
        <f t="shared" si="219"/>
        <v>1</v>
      </c>
      <c r="CX274" s="434">
        <f t="shared" si="220"/>
        <v>1</v>
      </c>
      <c r="CY274" s="435"/>
      <c r="CZ274" s="434">
        <f t="shared" si="221"/>
        <v>1</v>
      </c>
      <c r="DA274" s="434">
        <f t="shared" si="222"/>
        <v>1</v>
      </c>
    </row>
    <row r="275" spans="1:105" ht="14.25" customHeight="1" x14ac:dyDescent="0.25">
      <c r="A275" s="5812" t="s">
        <v>5886</v>
      </c>
      <c r="B275" s="6842"/>
      <c r="C275" s="7056" t="s">
        <v>1833</v>
      </c>
      <c r="D275" s="7056"/>
      <c r="E275" s="3395" t="s">
        <v>4567</v>
      </c>
      <c r="F275" s="3527" t="s">
        <v>4568</v>
      </c>
      <c r="G275" s="3797" t="s">
        <v>4569</v>
      </c>
      <c r="H275" s="3768" t="s">
        <v>4570</v>
      </c>
      <c r="I275" s="3767" t="s">
        <v>4571</v>
      </c>
      <c r="J275" s="3768" t="s">
        <v>4572</v>
      </c>
      <c r="K275" s="3767" t="s">
        <v>4573</v>
      </c>
      <c r="L275" s="3768" t="s">
        <v>4574</v>
      </c>
      <c r="M275" s="3767" t="s">
        <v>4575</v>
      </c>
      <c r="N275" s="3768" t="s">
        <v>4576</v>
      </c>
      <c r="O275" s="3767" t="s">
        <v>4577</v>
      </c>
      <c r="P275" s="3768" t="s">
        <v>4578</v>
      </c>
      <c r="Q275" s="3767" t="s">
        <v>4579</v>
      </c>
      <c r="R275" s="3768" t="s">
        <v>4580</v>
      </c>
      <c r="S275" s="3767" t="s">
        <v>4581</v>
      </c>
      <c r="T275" s="3768" t="s">
        <v>4582</v>
      </c>
      <c r="U275" s="815" t="s">
        <v>4583</v>
      </c>
      <c r="V275" s="3768" t="s">
        <v>4584</v>
      </c>
      <c r="W275" s="815" t="s">
        <v>4585</v>
      </c>
      <c r="X275" s="3768" t="s">
        <v>4586</v>
      </c>
      <c r="Y275" s="815" t="s">
        <v>4587</v>
      </c>
      <c r="Z275" s="3768" t="s">
        <v>4588</v>
      </c>
      <c r="AA275" s="815" t="s">
        <v>4589</v>
      </c>
      <c r="AB275" s="3768" t="s">
        <v>4590</v>
      </c>
      <c r="AC275" s="815" t="s">
        <v>4591</v>
      </c>
      <c r="AD275" s="3768" t="s">
        <v>4592</v>
      </c>
      <c r="AE275" s="815" t="s">
        <v>4593</v>
      </c>
      <c r="AF275" s="3768" t="s">
        <v>4594</v>
      </c>
      <c r="AG275" s="815" t="s">
        <v>4595</v>
      </c>
      <c r="AH275" s="3768" t="s">
        <v>4596</v>
      </c>
      <c r="AI275" s="815" t="s">
        <v>4597</v>
      </c>
      <c r="AJ275" s="3768" t="s">
        <v>4598</v>
      </c>
      <c r="AK275" s="815" t="s">
        <v>4599</v>
      </c>
      <c r="AL275" s="3768" t="s">
        <v>4600</v>
      </c>
      <c r="AM275" s="4927" t="s">
        <v>4601</v>
      </c>
      <c r="AN275" s="3768" t="s">
        <v>4602</v>
      </c>
      <c r="AO275" s="815" t="s">
        <v>4603</v>
      </c>
      <c r="AP275" s="3790" t="s">
        <v>4604</v>
      </c>
      <c r="AQ275" s="3770" t="s">
        <v>4605</v>
      </c>
      <c r="AR275" s="3791" t="s">
        <v>4606</v>
      </c>
      <c r="AS275" s="3768" t="s">
        <v>4934</v>
      </c>
      <c r="AT275" s="3770" t="s">
        <v>4935</v>
      </c>
      <c r="AU275" s="3766" t="s">
        <v>4936</v>
      </c>
      <c r="AV275" s="815" t="s">
        <v>4937</v>
      </c>
      <c r="AW275" s="3770" t="s">
        <v>5234</v>
      </c>
      <c r="AX275" s="3766" t="s">
        <v>5235</v>
      </c>
      <c r="AY275" s="815" t="s">
        <v>5236</v>
      </c>
      <c r="AZ275" t="str">
        <f t="shared" si="208"/>
        <v xml:space="preserve">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5" s="435"/>
      <c r="CC275" s="435"/>
      <c r="CD275" s="435"/>
      <c r="CE275" s="435"/>
      <c r="CF275" s="435"/>
      <c r="CG275" s="433" t="str">
        <f t="shared" si="211"/>
        <v xml:space="preserve"> * La variable Compra de Servicio no puede superar el Total Ambos Sexos.</v>
      </c>
      <c r="CH275" s="435"/>
      <c r="CI275" s="433" t="str">
        <f t="shared" si="212"/>
        <v xml:space="preserve"> * La variable Usuarios con Dicapacidad no puede superar el Total Ambos Sexos.</v>
      </c>
      <c r="CJ275" s="433" t="str">
        <f t="shared" si="213"/>
        <v xml:space="preserve"> * La variable Usuarios Oncológicos no puede superar el Total Ambos Sexos.</v>
      </c>
      <c r="CK275" s="435"/>
      <c r="CL275" s="433" t="str">
        <f t="shared" si="214"/>
        <v xml:space="preserve"> * La variable Migrantes no puede superar el Total Ambos Sexos.</v>
      </c>
      <c r="CM275" s="433" t="str">
        <f t="shared" si="215"/>
        <v xml:space="preserve"> * La variable Pueblo Originario no puede superar el Total Ambos Sexos.</v>
      </c>
      <c r="CP275" s="435"/>
      <c r="CQ275" s="435"/>
      <c r="CR275" s="435"/>
      <c r="CS275" s="435"/>
      <c r="CT275" s="435"/>
      <c r="CU275" s="434">
        <f t="shared" si="218"/>
        <v>1</v>
      </c>
      <c r="CV275" s="435"/>
      <c r="CW275" s="434">
        <f t="shared" si="219"/>
        <v>1</v>
      </c>
      <c r="CX275" s="434">
        <f t="shared" si="220"/>
        <v>1</v>
      </c>
      <c r="CY275" s="435"/>
      <c r="CZ275" s="434">
        <f t="shared" si="221"/>
        <v>1</v>
      </c>
      <c r="DA275" s="434">
        <f t="shared" si="222"/>
        <v>1</v>
      </c>
    </row>
    <row r="276" spans="1:105" ht="15" customHeight="1" x14ac:dyDescent="0.25">
      <c r="A276" s="5812" t="s">
        <v>5887</v>
      </c>
      <c r="B276" s="7037" t="s">
        <v>1835</v>
      </c>
      <c r="C276" s="7058" t="s">
        <v>1828</v>
      </c>
      <c r="D276" s="7058"/>
      <c r="E276" s="3722" t="s">
        <v>4567</v>
      </c>
      <c r="F276" s="3556" t="s">
        <v>4568</v>
      </c>
      <c r="G276" s="3557" t="s">
        <v>4569</v>
      </c>
      <c r="H276" s="3773" t="s">
        <v>4570</v>
      </c>
      <c r="I276" s="3772" t="s">
        <v>4571</v>
      </c>
      <c r="J276" s="3773" t="s">
        <v>4572</v>
      </c>
      <c r="K276" s="3772" t="s">
        <v>4573</v>
      </c>
      <c r="L276" s="3773" t="s">
        <v>4574</v>
      </c>
      <c r="M276" s="3772" t="s">
        <v>4575</v>
      </c>
      <c r="N276" s="3773" t="s">
        <v>4576</v>
      </c>
      <c r="O276" s="3772" t="s">
        <v>4577</v>
      </c>
      <c r="P276" s="3773" t="s">
        <v>4578</v>
      </c>
      <c r="Q276" s="3772" t="s">
        <v>4579</v>
      </c>
      <c r="R276" s="3773" t="s">
        <v>4580</v>
      </c>
      <c r="S276" s="3772" t="s">
        <v>4581</v>
      </c>
      <c r="T276" s="3773" t="s">
        <v>4582</v>
      </c>
      <c r="U276" s="2657" t="s">
        <v>4583</v>
      </c>
      <c r="V276" s="3773" t="s">
        <v>4584</v>
      </c>
      <c r="W276" s="2657" t="s">
        <v>4585</v>
      </c>
      <c r="X276" s="3773" t="s">
        <v>4586</v>
      </c>
      <c r="Y276" s="2657" t="s">
        <v>4587</v>
      </c>
      <c r="Z276" s="3773" t="s">
        <v>4588</v>
      </c>
      <c r="AA276" s="2657" t="s">
        <v>4589</v>
      </c>
      <c r="AB276" s="3773" t="s">
        <v>4590</v>
      </c>
      <c r="AC276" s="2657" t="s">
        <v>4591</v>
      </c>
      <c r="AD276" s="3773" t="s">
        <v>4592</v>
      </c>
      <c r="AE276" s="2657" t="s">
        <v>4593</v>
      </c>
      <c r="AF276" s="3773" t="s">
        <v>4594</v>
      </c>
      <c r="AG276" s="803" t="s">
        <v>4595</v>
      </c>
      <c r="AH276" s="3759" t="s">
        <v>4596</v>
      </c>
      <c r="AI276" s="803" t="s">
        <v>4597</v>
      </c>
      <c r="AJ276" s="3759" t="s">
        <v>4598</v>
      </c>
      <c r="AK276" s="803" t="s">
        <v>4599</v>
      </c>
      <c r="AL276" s="3759" t="s">
        <v>4600</v>
      </c>
      <c r="AM276" s="5475" t="s">
        <v>4601</v>
      </c>
      <c r="AN276" s="3759" t="s">
        <v>4602</v>
      </c>
      <c r="AO276" s="803" t="s">
        <v>4603</v>
      </c>
      <c r="AP276" s="3758" t="s">
        <v>4604</v>
      </c>
      <c r="AQ276" s="3772" t="s">
        <v>4605</v>
      </c>
      <c r="AR276" s="3759" t="s">
        <v>4606</v>
      </c>
      <c r="AS276" s="3773" t="s">
        <v>4934</v>
      </c>
      <c r="AT276" s="3773" t="s">
        <v>4935</v>
      </c>
      <c r="AU276" s="3774" t="s">
        <v>4936</v>
      </c>
      <c r="AV276" s="2657" t="s">
        <v>4937</v>
      </c>
      <c r="AW276" s="3762" t="s">
        <v>5234</v>
      </c>
      <c r="AX276" s="3774" t="s">
        <v>5235</v>
      </c>
      <c r="AY276" s="2657" t="s">
        <v>5236</v>
      </c>
      <c r="AZ276" t="str">
        <f t="shared" si="208"/>
        <v xml:space="preserve">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6" s="435"/>
      <c r="CC276" s="435"/>
      <c r="CD276" s="433" t="str">
        <f>IF(AND($E276&gt;0,AP276="")," * No olvide digitar la variable Consultas Pertinentes: Según Procolo de Referencia. Digite cero si no tiene.",IF(AP276&gt;$E276,"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76" s="433" t="str">
        <f>IF(AND($E276&gt;0,AQ276="")," * No olvide digitar la variable Consultas Pertinentes: Según condición clínica. Digite cero si no tiene.",IF(AQ276&gt;$E276,"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76" s="433" t="str">
        <f>IF(AND($E276&gt;0,AR276="")," * No olvide digitar la variable Inasistente. Digite cero si no tiene.",IF(AR276&gt;$E276," * La variable Insasistente no puede superar el Total Ambos Sexos.",""))</f>
        <v xml:space="preserve"> * La variable Insasistente no puede superar el Total Ambos Sexos.</v>
      </c>
      <c r="CG276" s="433" t="str">
        <f>IF(AND($E276&gt;0,AS276="")," * No olvide digitar la variable Compra de Servicio. Digite Cero si no tiene.",IF(AS276&gt;$E276," * La variable Compra de Servicio no puede superar el Total Ambos Sexos.",""))</f>
        <v xml:space="preserve"> * La variable Compra de Servicio no puede superar el Total Ambos Sexos.</v>
      </c>
      <c r="CH276" s="433" t="str">
        <f>IF(AND($E276&gt;0,AT276="")," * No olvide digitar la variable Ortodoncia interceptiva. Digite Cero si no tiene.",IF(AT276&gt;$E276," * La variable Ortodoncia interceptiva no puede superar el Total Ambos Sexos.",""))</f>
        <v xml:space="preserve"> * La variable Ortodoncia interceptiva no puede superar el Total Ambos Sexos.</v>
      </c>
      <c r="CI276" s="433" t="str">
        <f t="shared" si="212"/>
        <v xml:space="preserve"> * La variable Usuarios con Dicapacidad no puede superar el Total Ambos Sexos.</v>
      </c>
      <c r="CJ276" s="433" t="str">
        <f t="shared" si="213"/>
        <v xml:space="preserve"> * La variable Usuarios Oncológicos no puede superar el Total Ambos Sexos.</v>
      </c>
      <c r="CK276" s="435"/>
      <c r="CL276" s="433" t="str">
        <f t="shared" si="214"/>
        <v xml:space="preserve"> * La variable Migrantes no puede superar el Total Ambos Sexos.</v>
      </c>
      <c r="CM276" s="433" t="str">
        <f t="shared" si="215"/>
        <v xml:space="preserve"> * La variable Pueblo Originario no puede superar el Total Ambos Sexos.</v>
      </c>
      <c r="CP276" s="435"/>
      <c r="CQ276" s="435"/>
      <c r="CR276" s="434">
        <f>IF(AND($E276&gt;0,AP276=""),1,IF(AP276&gt;$E276,1,0))</f>
        <v>1</v>
      </c>
      <c r="CS276" s="434">
        <f t="shared" ref="CS276" si="232">IF(AND($E276&gt;0,AQ276=""),1,IF(AQ276&gt;$E276,1,0))</f>
        <v>1</v>
      </c>
      <c r="CT276" s="434">
        <f t="shared" ref="CT276:CT277" si="233">IF(AND($E276&gt;0,AR276=""),1,IF(AR276&gt;$E276,1,0))</f>
        <v>1</v>
      </c>
      <c r="CU276" s="434">
        <f t="shared" si="218"/>
        <v>1</v>
      </c>
      <c r="CV276" s="434">
        <f>IF(AND($E276&gt;0,AT276=""),1,IF(AT276&gt;$E276,1,0))</f>
        <v>1</v>
      </c>
      <c r="CW276" s="434">
        <f t="shared" si="219"/>
        <v>1</v>
      </c>
      <c r="CX276" s="434">
        <f t="shared" si="220"/>
        <v>1</v>
      </c>
      <c r="CY276" s="435"/>
      <c r="CZ276" s="434">
        <f t="shared" si="221"/>
        <v>1</v>
      </c>
      <c r="DA276" s="434">
        <f t="shared" si="222"/>
        <v>1</v>
      </c>
    </row>
    <row r="277" spans="1:105" ht="15" customHeight="1" x14ac:dyDescent="0.25">
      <c r="A277" s="5812" t="s">
        <v>5888</v>
      </c>
      <c r="B277" s="7038"/>
      <c r="C277" s="7059" t="s">
        <v>1829</v>
      </c>
      <c r="D277" s="7059"/>
      <c r="E277" s="3775" t="s">
        <v>4567</v>
      </c>
      <c r="F277" s="3795" t="s">
        <v>4568</v>
      </c>
      <c r="G277" s="3798" t="s">
        <v>4569</v>
      </c>
      <c r="H277" s="3779" t="s">
        <v>4570</v>
      </c>
      <c r="I277" s="3778" t="s">
        <v>4571</v>
      </c>
      <c r="J277" s="3779" t="s">
        <v>4572</v>
      </c>
      <c r="K277" s="3778" t="s">
        <v>4573</v>
      </c>
      <c r="L277" s="3779" t="s">
        <v>4574</v>
      </c>
      <c r="M277" s="3778" t="s">
        <v>4575</v>
      </c>
      <c r="N277" s="3779" t="s">
        <v>4576</v>
      </c>
      <c r="O277" s="3778" t="s">
        <v>4577</v>
      </c>
      <c r="P277" s="3779" t="s">
        <v>4578</v>
      </c>
      <c r="Q277" s="3778" t="s">
        <v>4579</v>
      </c>
      <c r="R277" s="3779" t="s">
        <v>4580</v>
      </c>
      <c r="S277" s="3778" t="s">
        <v>4581</v>
      </c>
      <c r="T277" s="3779" t="s">
        <v>4582</v>
      </c>
      <c r="U277" s="812" t="s">
        <v>4583</v>
      </c>
      <c r="V277" s="3779" t="s">
        <v>4584</v>
      </c>
      <c r="W277" s="812" t="s">
        <v>4585</v>
      </c>
      <c r="X277" s="3779" t="s">
        <v>4586</v>
      </c>
      <c r="Y277" s="812" t="s">
        <v>4587</v>
      </c>
      <c r="Z277" s="3779" t="s">
        <v>4588</v>
      </c>
      <c r="AA277" s="812" t="s">
        <v>4589</v>
      </c>
      <c r="AB277" s="3779" t="s">
        <v>4590</v>
      </c>
      <c r="AC277" s="812" t="s">
        <v>4591</v>
      </c>
      <c r="AD277" s="3779" t="s">
        <v>4592</v>
      </c>
      <c r="AE277" s="812" t="s">
        <v>4593</v>
      </c>
      <c r="AF277" s="3779" t="s">
        <v>4594</v>
      </c>
      <c r="AG277" s="812" t="s">
        <v>4595</v>
      </c>
      <c r="AH277" s="3779" t="s">
        <v>4596</v>
      </c>
      <c r="AI277" s="812" t="s">
        <v>4597</v>
      </c>
      <c r="AJ277" s="3779" t="s">
        <v>4598</v>
      </c>
      <c r="AK277" s="812" t="s">
        <v>4599</v>
      </c>
      <c r="AL277" s="3779" t="s">
        <v>4600</v>
      </c>
      <c r="AM277" s="4924" t="s">
        <v>4601</v>
      </c>
      <c r="AN277" s="3779" t="s">
        <v>4602</v>
      </c>
      <c r="AO277" s="812" t="s">
        <v>4603</v>
      </c>
      <c r="AP277" s="3761" t="s">
        <v>4604</v>
      </c>
      <c r="AQ277" s="3762" t="s">
        <v>4605</v>
      </c>
      <c r="AR277" s="3773" t="s">
        <v>4606</v>
      </c>
      <c r="AS277" s="3779" t="s">
        <v>4934</v>
      </c>
      <c r="AT277" s="3779" t="s">
        <v>4935</v>
      </c>
      <c r="AU277" s="3777" t="s">
        <v>4936</v>
      </c>
      <c r="AV277" s="812" t="s">
        <v>4937</v>
      </c>
      <c r="AW277" s="3762" t="s">
        <v>5234</v>
      </c>
      <c r="AX277" s="3777" t="s">
        <v>5235</v>
      </c>
      <c r="AY277" s="812" t="s">
        <v>5236</v>
      </c>
      <c r="AZ277" t="str">
        <f t="shared" si="208"/>
        <v xml:space="preserve"> * La variable Insasistente no puede superar el Total Ambos Sexos.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7" s="435"/>
      <c r="CC277" s="435"/>
      <c r="CD277" s="435"/>
      <c r="CE277" s="435"/>
      <c r="CF277" s="433" t="str">
        <f>IF(AND($E277&gt;0,AR277="")," * No olvide digitar la variable Inasistente. Digite cero si no tiene.",IF(AR277&gt;$E277," * La variable Insasistente no puede superar el Total Ambos Sexos.",""))</f>
        <v xml:space="preserve"> * La variable Insasistente no puede superar el Total Ambos Sexos.</v>
      </c>
      <c r="CG277" s="433" t="str">
        <f t="shared" si="211"/>
        <v xml:space="preserve"> * La variable Compra de Servicio no puede superar el Total Ambos Sexos.</v>
      </c>
      <c r="CH277" s="433" t="str">
        <f t="shared" ref="CH277:CH280" si="234">IF(AND($E277&gt;0,AT277="")," * No olvide digitar la variable Ortodoncia interceptiva. Digite Cero si no tiene.",IF(AT277&gt;$E277," * La variable Ortodoncia interceptiva no puede superar el Total Ambos Sexos.",""))</f>
        <v xml:space="preserve"> * La variable Ortodoncia interceptiva no puede superar el Total Ambos Sexos.</v>
      </c>
      <c r="CI277" s="433" t="str">
        <f t="shared" si="212"/>
        <v xml:space="preserve"> * La variable Usuarios con Dicapacidad no puede superar el Total Ambos Sexos.</v>
      </c>
      <c r="CJ277" s="433" t="str">
        <f t="shared" si="213"/>
        <v xml:space="preserve"> * La variable Usuarios Oncológicos no puede superar el Total Ambos Sexos.</v>
      </c>
      <c r="CK277" s="435"/>
      <c r="CL277" s="433" t="str">
        <f t="shared" si="214"/>
        <v xml:space="preserve"> * La variable Migrantes no puede superar el Total Ambos Sexos.</v>
      </c>
      <c r="CM277" s="433" t="str">
        <f t="shared" si="215"/>
        <v xml:space="preserve"> * La variable Pueblo Originario no puede superar el Total Ambos Sexos.</v>
      </c>
      <c r="CP277" s="435"/>
      <c r="CQ277" s="435"/>
      <c r="CR277" s="435"/>
      <c r="CS277" s="435"/>
      <c r="CT277" s="434">
        <f t="shared" si="233"/>
        <v>1</v>
      </c>
      <c r="CU277" s="434">
        <f t="shared" si="218"/>
        <v>1</v>
      </c>
      <c r="CV277" s="434">
        <f t="shared" ref="CV277:CV280" si="235">IF(AND($E277&gt;0,AT277=""),1,IF(AT277&gt;$E277,1,0))</f>
        <v>1</v>
      </c>
      <c r="CW277" s="434">
        <f t="shared" si="219"/>
        <v>1</v>
      </c>
      <c r="CX277" s="434">
        <f t="shared" si="220"/>
        <v>1</v>
      </c>
      <c r="CY277" s="435"/>
      <c r="CZ277" s="434">
        <f t="shared" si="221"/>
        <v>1</v>
      </c>
      <c r="DA277" s="434">
        <f t="shared" si="222"/>
        <v>1</v>
      </c>
    </row>
    <row r="278" spans="1:105" ht="15" customHeight="1" x14ac:dyDescent="0.25">
      <c r="A278" s="5812" t="s">
        <v>5889</v>
      </c>
      <c r="B278" s="7038"/>
      <c r="C278" s="7059" t="s">
        <v>1830</v>
      </c>
      <c r="D278" s="7059"/>
      <c r="E278" s="3775" t="s">
        <v>4567</v>
      </c>
      <c r="F278" s="3776" t="s">
        <v>4568</v>
      </c>
      <c r="G278" s="3794" t="s">
        <v>4569</v>
      </c>
      <c r="H278" s="3779" t="s">
        <v>4570</v>
      </c>
      <c r="I278" s="3778" t="s">
        <v>4571</v>
      </c>
      <c r="J278" s="3779" t="s">
        <v>4572</v>
      </c>
      <c r="K278" s="3778" t="s">
        <v>4573</v>
      </c>
      <c r="L278" s="3779" t="s">
        <v>4574</v>
      </c>
      <c r="M278" s="3778" t="s">
        <v>4575</v>
      </c>
      <c r="N278" s="3779" t="s">
        <v>4576</v>
      </c>
      <c r="O278" s="3778" t="s">
        <v>4577</v>
      </c>
      <c r="P278" s="3779" t="s">
        <v>4578</v>
      </c>
      <c r="Q278" s="3778" t="s">
        <v>4579</v>
      </c>
      <c r="R278" s="3779" t="s">
        <v>4580</v>
      </c>
      <c r="S278" s="3778" t="s">
        <v>4581</v>
      </c>
      <c r="T278" s="3779" t="s">
        <v>4582</v>
      </c>
      <c r="U278" s="812" t="s">
        <v>4583</v>
      </c>
      <c r="V278" s="3779" t="s">
        <v>4584</v>
      </c>
      <c r="W278" s="812" t="s">
        <v>4585</v>
      </c>
      <c r="X278" s="3779" t="s">
        <v>4586</v>
      </c>
      <c r="Y278" s="812" t="s">
        <v>4587</v>
      </c>
      <c r="Z278" s="3779" t="s">
        <v>4588</v>
      </c>
      <c r="AA278" s="812" t="s">
        <v>4589</v>
      </c>
      <c r="AB278" s="3779" t="s">
        <v>4590</v>
      </c>
      <c r="AC278" s="812" t="s">
        <v>4591</v>
      </c>
      <c r="AD278" s="3779" t="s">
        <v>4592</v>
      </c>
      <c r="AE278" s="812" t="s">
        <v>4593</v>
      </c>
      <c r="AF278" s="3779" t="s">
        <v>4594</v>
      </c>
      <c r="AG278" s="812" t="s">
        <v>4595</v>
      </c>
      <c r="AH278" s="3779" t="s">
        <v>4596</v>
      </c>
      <c r="AI278" s="812" t="s">
        <v>4597</v>
      </c>
      <c r="AJ278" s="3779" t="s">
        <v>4598</v>
      </c>
      <c r="AK278" s="812" t="s">
        <v>4599</v>
      </c>
      <c r="AL278" s="3779" t="s">
        <v>4600</v>
      </c>
      <c r="AM278" s="4924" t="s">
        <v>4601</v>
      </c>
      <c r="AN278" s="3779" t="s">
        <v>4602</v>
      </c>
      <c r="AO278" s="812" t="s">
        <v>4603</v>
      </c>
      <c r="AP278" s="3761" t="s">
        <v>4604</v>
      </c>
      <c r="AQ278" s="3762" t="s">
        <v>4605</v>
      </c>
      <c r="AR278" s="3782" t="s">
        <v>4606</v>
      </c>
      <c r="AS278" s="3779" t="s">
        <v>4934</v>
      </c>
      <c r="AT278" s="3779" t="s">
        <v>4935</v>
      </c>
      <c r="AU278" s="3777" t="s">
        <v>4936</v>
      </c>
      <c r="AV278" s="812" t="s">
        <v>4937</v>
      </c>
      <c r="AW278" s="3762" t="s">
        <v>5234</v>
      </c>
      <c r="AX278" s="3777" t="s">
        <v>5235</v>
      </c>
      <c r="AY278" s="812" t="s">
        <v>5236</v>
      </c>
      <c r="AZ278" t="str">
        <f t="shared" si="208"/>
        <v xml:space="preserve">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8" s="435"/>
      <c r="CC278" s="435"/>
      <c r="CD278" s="435"/>
      <c r="CE278" s="435"/>
      <c r="CF278" s="435"/>
      <c r="CG278" s="433" t="str">
        <f t="shared" si="211"/>
        <v xml:space="preserve"> * La variable Compra de Servicio no puede superar el Total Ambos Sexos.</v>
      </c>
      <c r="CH278" s="433" t="str">
        <f t="shared" si="234"/>
        <v xml:space="preserve"> * La variable Ortodoncia interceptiva no puede superar el Total Ambos Sexos.</v>
      </c>
      <c r="CI278" s="433" t="str">
        <f t="shared" si="212"/>
        <v xml:space="preserve"> * La variable Usuarios con Dicapacidad no puede superar el Total Ambos Sexos.</v>
      </c>
      <c r="CJ278" s="433" t="str">
        <f t="shared" si="213"/>
        <v xml:space="preserve"> * La variable Usuarios Oncológicos no puede superar el Total Ambos Sexos.</v>
      </c>
      <c r="CK278" s="435"/>
      <c r="CL278" s="433" t="str">
        <f t="shared" si="214"/>
        <v xml:space="preserve"> * La variable Migrantes no puede superar el Total Ambos Sexos.</v>
      </c>
      <c r="CM278" s="433" t="str">
        <f t="shared" si="215"/>
        <v xml:space="preserve"> * La variable Pueblo Originario no puede superar el Total Ambos Sexos.</v>
      </c>
      <c r="CP278" s="435"/>
      <c r="CQ278" s="435"/>
      <c r="CR278" s="435"/>
      <c r="CS278" s="435"/>
      <c r="CT278" s="435"/>
      <c r="CU278" s="434">
        <f t="shared" si="218"/>
        <v>1</v>
      </c>
      <c r="CV278" s="434">
        <f t="shared" si="235"/>
        <v>1</v>
      </c>
      <c r="CW278" s="434">
        <f t="shared" si="219"/>
        <v>1</v>
      </c>
      <c r="CX278" s="434">
        <f t="shared" si="220"/>
        <v>1</v>
      </c>
      <c r="CY278" s="435"/>
      <c r="CZ278" s="434">
        <f t="shared" si="221"/>
        <v>1</v>
      </c>
      <c r="DA278" s="434">
        <f t="shared" si="222"/>
        <v>1</v>
      </c>
    </row>
    <row r="279" spans="1:105" ht="15" customHeight="1" x14ac:dyDescent="0.25">
      <c r="A279" s="5812" t="s">
        <v>5890</v>
      </c>
      <c r="B279" s="7038"/>
      <c r="C279" s="7055" t="s">
        <v>1831</v>
      </c>
      <c r="D279" s="6987"/>
      <c r="E279" s="3775" t="s">
        <v>4567</v>
      </c>
      <c r="F279" s="3776" t="s">
        <v>4568</v>
      </c>
      <c r="G279" s="3794" t="s">
        <v>4569</v>
      </c>
      <c r="H279" s="3785" t="s">
        <v>4570</v>
      </c>
      <c r="I279" s="3784" t="s">
        <v>4571</v>
      </c>
      <c r="J279" s="3785" t="s">
        <v>4572</v>
      </c>
      <c r="K279" s="3784" t="s">
        <v>4573</v>
      </c>
      <c r="L279" s="3785" t="s">
        <v>4574</v>
      </c>
      <c r="M279" s="3784" t="s">
        <v>4575</v>
      </c>
      <c r="N279" s="3785" t="s">
        <v>4576</v>
      </c>
      <c r="O279" s="3784" t="s">
        <v>4577</v>
      </c>
      <c r="P279" s="3785" t="s">
        <v>4578</v>
      </c>
      <c r="Q279" s="3784" t="s">
        <v>4579</v>
      </c>
      <c r="R279" s="3785" t="s">
        <v>4580</v>
      </c>
      <c r="S279" s="3784" t="s">
        <v>4581</v>
      </c>
      <c r="T279" s="3785" t="s">
        <v>4582</v>
      </c>
      <c r="U279" s="2643" t="s">
        <v>4583</v>
      </c>
      <c r="V279" s="3785" t="s">
        <v>4584</v>
      </c>
      <c r="W279" s="2643" t="s">
        <v>4585</v>
      </c>
      <c r="X279" s="3779" t="s">
        <v>4586</v>
      </c>
      <c r="Y279" s="812" t="s">
        <v>4587</v>
      </c>
      <c r="Z279" s="3779" t="s">
        <v>4588</v>
      </c>
      <c r="AA279" s="812" t="s">
        <v>4589</v>
      </c>
      <c r="AB279" s="3779" t="s">
        <v>4590</v>
      </c>
      <c r="AC279" s="812" t="s">
        <v>4591</v>
      </c>
      <c r="AD279" s="3779" t="s">
        <v>4592</v>
      </c>
      <c r="AE279" s="812" t="s">
        <v>4593</v>
      </c>
      <c r="AF279" s="3779" t="s">
        <v>4594</v>
      </c>
      <c r="AG279" s="812" t="s">
        <v>4595</v>
      </c>
      <c r="AH279" s="3779" t="s">
        <v>4596</v>
      </c>
      <c r="AI279" s="812" t="s">
        <v>4597</v>
      </c>
      <c r="AJ279" s="3779" t="s">
        <v>4598</v>
      </c>
      <c r="AK279" s="812" t="s">
        <v>4599</v>
      </c>
      <c r="AL279" s="3779" t="s">
        <v>4600</v>
      </c>
      <c r="AM279" s="4924" t="s">
        <v>4601</v>
      </c>
      <c r="AN279" s="3779" t="s">
        <v>4602</v>
      </c>
      <c r="AO279" s="812" t="s">
        <v>4603</v>
      </c>
      <c r="AP279" s="3761" t="s">
        <v>4604</v>
      </c>
      <c r="AQ279" s="3762" t="s">
        <v>4605</v>
      </c>
      <c r="AR279" s="3782" t="s">
        <v>4606</v>
      </c>
      <c r="AS279" s="3779" t="s">
        <v>4934</v>
      </c>
      <c r="AT279" s="3779" t="s">
        <v>4935</v>
      </c>
      <c r="AU279" s="3777" t="s">
        <v>4936</v>
      </c>
      <c r="AV279" s="812" t="s">
        <v>4937</v>
      </c>
      <c r="AW279" s="812" t="s">
        <v>5234</v>
      </c>
      <c r="AX279" s="3777" t="s">
        <v>5235</v>
      </c>
      <c r="AY279" s="812" t="s">
        <v>5236</v>
      </c>
      <c r="AZ279" t="str">
        <f t="shared" si="208"/>
        <v xml:space="preserve">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79" s="435"/>
      <c r="CC279" s="435"/>
      <c r="CD279" s="435"/>
      <c r="CE279" s="435"/>
      <c r="CF279" s="435"/>
      <c r="CG279" s="433" t="str">
        <f t="shared" si="211"/>
        <v xml:space="preserve"> * La variable Compra de Servicio no puede superar el Total Ambos Sexos.</v>
      </c>
      <c r="CH279" s="433" t="str">
        <f t="shared" si="234"/>
        <v xml:space="preserve"> * La variable Ortodoncia interceptiva no puede superar el Total Ambos Sexos.</v>
      </c>
      <c r="CI279" s="433" t="str">
        <f t="shared" si="212"/>
        <v xml:space="preserve"> * La variable Usuarios con Dicapacidad no puede superar el Total Ambos Sexos.</v>
      </c>
      <c r="CJ279" s="433" t="str">
        <f t="shared" si="213"/>
        <v xml:space="preserve"> * La variable Usuarios Oncológicos no puede superar el Total Ambos Sexos.</v>
      </c>
      <c r="CK279" s="433" t="str">
        <f>IF(AND($E279&gt;0,AW279="")," * No olvide digitar la variable Contrarreferencia al alta. Digite Cero si no tiene.",IF(AW279&gt;$E279," * La variable Contrarreferencia al alta no puede superar el Total Ambos Sexos.",""))</f>
        <v xml:space="preserve"> * La variable Contrarreferencia al alta no puede superar el Total Ambos Sexos.</v>
      </c>
      <c r="CL279" s="433" t="str">
        <f t="shared" si="214"/>
        <v xml:space="preserve"> * La variable Migrantes no puede superar el Total Ambos Sexos.</v>
      </c>
      <c r="CM279" s="433" t="str">
        <f t="shared" si="215"/>
        <v xml:space="preserve"> * La variable Pueblo Originario no puede superar el Total Ambos Sexos.</v>
      </c>
      <c r="CP279" s="435"/>
      <c r="CQ279" s="435"/>
      <c r="CR279" s="435"/>
      <c r="CS279" s="435"/>
      <c r="CT279" s="435"/>
      <c r="CU279" s="434">
        <f t="shared" si="218"/>
        <v>1</v>
      </c>
      <c r="CV279" s="434">
        <f t="shared" si="235"/>
        <v>1</v>
      </c>
      <c r="CW279" s="434">
        <f t="shared" si="219"/>
        <v>1</v>
      </c>
      <c r="CX279" s="434">
        <f t="shared" si="220"/>
        <v>1</v>
      </c>
      <c r="CY279" s="434">
        <f>IF(AND($E279&gt;0,AW279=""),1,IF(AW279&gt;$E279,1,0))</f>
        <v>1</v>
      </c>
      <c r="CZ279" s="434">
        <f t="shared" si="221"/>
        <v>1</v>
      </c>
      <c r="DA279" s="434">
        <f t="shared" si="222"/>
        <v>1</v>
      </c>
    </row>
    <row r="280" spans="1:105" ht="15" customHeight="1" x14ac:dyDescent="0.25">
      <c r="A280" s="5812" t="s">
        <v>5891</v>
      </c>
      <c r="B280" s="7038"/>
      <c r="C280" s="7055" t="s">
        <v>1832</v>
      </c>
      <c r="D280" s="6987"/>
      <c r="E280" s="3775" t="s">
        <v>4567</v>
      </c>
      <c r="F280" s="3776" t="s">
        <v>4568</v>
      </c>
      <c r="G280" s="3562" t="s">
        <v>4569</v>
      </c>
      <c r="H280" s="3783" t="s">
        <v>4570</v>
      </c>
      <c r="I280" s="3784" t="s">
        <v>4571</v>
      </c>
      <c r="J280" s="3785" t="s">
        <v>4572</v>
      </c>
      <c r="K280" s="3784" t="s">
        <v>4573</v>
      </c>
      <c r="L280" s="3785" t="s">
        <v>4574</v>
      </c>
      <c r="M280" s="3784" t="s">
        <v>4575</v>
      </c>
      <c r="N280" s="3785" t="s">
        <v>4576</v>
      </c>
      <c r="O280" s="3784" t="s">
        <v>4577</v>
      </c>
      <c r="P280" s="3785" t="s">
        <v>4578</v>
      </c>
      <c r="Q280" s="3784" t="s">
        <v>4579</v>
      </c>
      <c r="R280" s="3785" t="s">
        <v>4580</v>
      </c>
      <c r="S280" s="3784" t="s">
        <v>4581</v>
      </c>
      <c r="T280" s="3785" t="s">
        <v>4582</v>
      </c>
      <c r="U280" s="2643" t="s">
        <v>4583</v>
      </c>
      <c r="V280" s="3785" t="s">
        <v>4584</v>
      </c>
      <c r="W280" s="2643" t="s">
        <v>4585</v>
      </c>
      <c r="X280" s="3779" t="s">
        <v>4586</v>
      </c>
      <c r="Y280" s="812" t="s">
        <v>4587</v>
      </c>
      <c r="Z280" s="3779" t="s">
        <v>4588</v>
      </c>
      <c r="AA280" s="812" t="s">
        <v>4589</v>
      </c>
      <c r="AB280" s="3779" t="s">
        <v>4590</v>
      </c>
      <c r="AC280" s="812" t="s">
        <v>4591</v>
      </c>
      <c r="AD280" s="3779" t="s">
        <v>4592</v>
      </c>
      <c r="AE280" s="812" t="s">
        <v>4593</v>
      </c>
      <c r="AF280" s="3779" t="s">
        <v>4594</v>
      </c>
      <c r="AG280" s="812" t="s">
        <v>4595</v>
      </c>
      <c r="AH280" s="3779" t="s">
        <v>4596</v>
      </c>
      <c r="AI280" s="812" t="s">
        <v>4597</v>
      </c>
      <c r="AJ280" s="3779" t="s">
        <v>4598</v>
      </c>
      <c r="AK280" s="812" t="s">
        <v>4599</v>
      </c>
      <c r="AL280" s="3779" t="s">
        <v>4600</v>
      </c>
      <c r="AM280" s="4924" t="s">
        <v>4601</v>
      </c>
      <c r="AN280" s="3779" t="s">
        <v>4602</v>
      </c>
      <c r="AO280" s="812" t="s">
        <v>4603</v>
      </c>
      <c r="AP280" s="3761" t="s">
        <v>4604</v>
      </c>
      <c r="AQ280" s="3762" t="s">
        <v>4605</v>
      </c>
      <c r="AR280" s="3789" t="s">
        <v>4606</v>
      </c>
      <c r="AS280" s="3779" t="s">
        <v>4934</v>
      </c>
      <c r="AT280" s="3779" t="s">
        <v>4935</v>
      </c>
      <c r="AU280" s="3777" t="s">
        <v>4936</v>
      </c>
      <c r="AV280" s="812" t="s">
        <v>4937</v>
      </c>
      <c r="AW280" s="3788" t="s">
        <v>5234</v>
      </c>
      <c r="AX280" s="3777" t="s">
        <v>5235</v>
      </c>
      <c r="AY280" s="812" t="s">
        <v>5236</v>
      </c>
      <c r="AZ280" t="str">
        <f t="shared" si="208"/>
        <v xml:space="preserve">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80" s="435"/>
      <c r="CC280" s="435"/>
      <c r="CD280" s="435"/>
      <c r="CE280" s="435"/>
      <c r="CF280" s="435"/>
      <c r="CG280" s="433" t="str">
        <f t="shared" si="211"/>
        <v xml:space="preserve"> * La variable Compra de Servicio no puede superar el Total Ambos Sexos.</v>
      </c>
      <c r="CH280" s="433" t="str">
        <f t="shared" si="234"/>
        <v xml:space="preserve"> * La variable Ortodoncia interceptiva no puede superar el Total Ambos Sexos.</v>
      </c>
      <c r="CI280" s="433" t="str">
        <f t="shared" si="212"/>
        <v xml:space="preserve"> * La variable Usuarios con Dicapacidad no puede superar el Total Ambos Sexos.</v>
      </c>
      <c r="CJ280" s="433" t="str">
        <f t="shared" si="213"/>
        <v xml:space="preserve"> * La variable Usuarios Oncológicos no puede superar el Total Ambos Sexos.</v>
      </c>
      <c r="CK280" s="435"/>
      <c r="CL280" s="433" t="str">
        <f t="shared" si="214"/>
        <v xml:space="preserve"> * La variable Migrantes no puede superar el Total Ambos Sexos.</v>
      </c>
      <c r="CM280" s="433" t="str">
        <f t="shared" si="215"/>
        <v xml:space="preserve"> * La variable Pueblo Originario no puede superar el Total Ambos Sexos.</v>
      </c>
      <c r="CP280" s="435"/>
      <c r="CQ280" s="435"/>
      <c r="CR280" s="435"/>
      <c r="CS280" s="435"/>
      <c r="CT280" s="435"/>
      <c r="CU280" s="434">
        <f t="shared" si="218"/>
        <v>1</v>
      </c>
      <c r="CV280" s="434">
        <f t="shared" si="235"/>
        <v>1</v>
      </c>
      <c r="CW280" s="434">
        <f t="shared" si="219"/>
        <v>1</v>
      </c>
      <c r="CX280" s="434">
        <f t="shared" si="220"/>
        <v>1</v>
      </c>
      <c r="CY280" s="435"/>
      <c r="CZ280" s="434">
        <f t="shared" si="221"/>
        <v>1</v>
      </c>
      <c r="DA280" s="434">
        <f t="shared" si="222"/>
        <v>1</v>
      </c>
    </row>
    <row r="281" spans="1:105" ht="15" customHeight="1" x14ac:dyDescent="0.25">
      <c r="A281" s="5812" t="s">
        <v>5892</v>
      </c>
      <c r="B281" s="7039"/>
      <c r="C281" s="7056" t="s">
        <v>1833</v>
      </c>
      <c r="D281" s="7056"/>
      <c r="E281" s="3725" t="s">
        <v>4567</v>
      </c>
      <c r="F281" s="3527" t="s">
        <v>4568</v>
      </c>
      <c r="G281" s="3480" t="s">
        <v>4569</v>
      </c>
      <c r="H281" s="3766" t="s">
        <v>4570</v>
      </c>
      <c r="I281" s="3767" t="s">
        <v>4571</v>
      </c>
      <c r="J281" s="3768" t="s">
        <v>4572</v>
      </c>
      <c r="K281" s="3767" t="s">
        <v>4573</v>
      </c>
      <c r="L281" s="3768" t="s">
        <v>4574</v>
      </c>
      <c r="M281" s="3767" t="s">
        <v>4575</v>
      </c>
      <c r="N281" s="3768" t="s">
        <v>4576</v>
      </c>
      <c r="O281" s="3767" t="s">
        <v>4577</v>
      </c>
      <c r="P281" s="3768" t="s">
        <v>4578</v>
      </c>
      <c r="Q281" s="3767" t="s">
        <v>4579</v>
      </c>
      <c r="R281" s="3768" t="s">
        <v>4580</v>
      </c>
      <c r="S281" s="3767" t="s">
        <v>4581</v>
      </c>
      <c r="T281" s="3768" t="s">
        <v>4582</v>
      </c>
      <c r="U281" s="815" t="s">
        <v>4583</v>
      </c>
      <c r="V281" s="3768" t="s">
        <v>4584</v>
      </c>
      <c r="W281" s="815" t="s">
        <v>4585</v>
      </c>
      <c r="X281" s="3768" t="s">
        <v>4586</v>
      </c>
      <c r="Y281" s="815" t="s">
        <v>4587</v>
      </c>
      <c r="Z281" s="3768" t="s">
        <v>4588</v>
      </c>
      <c r="AA281" s="815" t="s">
        <v>4589</v>
      </c>
      <c r="AB281" s="3799" t="s">
        <v>4590</v>
      </c>
      <c r="AC281" s="3800" t="s">
        <v>4591</v>
      </c>
      <c r="AD281" s="3799" t="s">
        <v>4592</v>
      </c>
      <c r="AE281" s="3800" t="s">
        <v>4593</v>
      </c>
      <c r="AF281" s="3799" t="s">
        <v>4594</v>
      </c>
      <c r="AG281" s="3800" t="s">
        <v>4595</v>
      </c>
      <c r="AH281" s="3799" t="s">
        <v>4596</v>
      </c>
      <c r="AI281" s="3800" t="s">
        <v>4597</v>
      </c>
      <c r="AJ281" s="3799" t="s">
        <v>4598</v>
      </c>
      <c r="AK281" s="3800" t="s">
        <v>4599</v>
      </c>
      <c r="AL281" s="3799" t="s">
        <v>4600</v>
      </c>
      <c r="AM281" s="5477" t="s">
        <v>4601</v>
      </c>
      <c r="AN281" s="3799" t="s">
        <v>4602</v>
      </c>
      <c r="AO281" s="3800" t="s">
        <v>4603</v>
      </c>
      <c r="AP281" s="3801" t="s">
        <v>4604</v>
      </c>
      <c r="AQ281" s="3802" t="s">
        <v>4605</v>
      </c>
      <c r="AR281" s="3791" t="s">
        <v>4606</v>
      </c>
      <c r="AS281" s="3799" t="s">
        <v>4934</v>
      </c>
      <c r="AT281" s="3799" t="s">
        <v>4935</v>
      </c>
      <c r="AU281" s="3803" t="s">
        <v>4936</v>
      </c>
      <c r="AV281" s="3800" t="s">
        <v>4937</v>
      </c>
      <c r="AW281" s="3770" t="s">
        <v>5234</v>
      </c>
      <c r="AX281" s="3803" t="s">
        <v>5235</v>
      </c>
      <c r="AY281" s="3800" t="s">
        <v>5236</v>
      </c>
      <c r="AZ281" t="str">
        <f t="shared" si="208"/>
        <v xml:space="preserve">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81" s="435"/>
      <c r="CC281" s="435"/>
      <c r="CD281" s="435"/>
      <c r="CE281" s="435"/>
      <c r="CF281" s="435"/>
      <c r="CG281" s="433" t="str">
        <f t="shared" si="211"/>
        <v xml:space="preserve"> * La variable Compra de Servicio no puede superar el Total Ambos Sexos.</v>
      </c>
      <c r="CH281" s="433" t="str">
        <f>IF(AND($E281&gt;0,AT281="")," * No olvide digitar la variable Ortodoncia interceptiva. Digite Cero si no tiene.",IF(AT281&gt;$E281," * La variable Ortodoncia interceptiva no puede superar el Total Ambos Sexos.",""))</f>
        <v xml:space="preserve"> * La variable Ortodoncia interceptiva no puede superar el Total Ambos Sexos.</v>
      </c>
      <c r="CI281" s="433" t="str">
        <f t="shared" si="212"/>
        <v xml:space="preserve"> * La variable Usuarios con Dicapacidad no puede superar el Total Ambos Sexos.</v>
      </c>
      <c r="CJ281" s="433" t="str">
        <f t="shared" si="213"/>
        <v xml:space="preserve"> * La variable Usuarios Oncológicos no puede superar el Total Ambos Sexos.</v>
      </c>
      <c r="CK281" s="435"/>
      <c r="CL281" s="433" t="str">
        <f t="shared" si="214"/>
        <v xml:space="preserve"> * La variable Migrantes no puede superar el Total Ambos Sexos.</v>
      </c>
      <c r="CM281" s="433" t="str">
        <f t="shared" si="215"/>
        <v xml:space="preserve"> * La variable Pueblo Originario no puede superar el Total Ambos Sexos.</v>
      </c>
      <c r="CP281" s="435"/>
      <c r="CQ281" s="435"/>
      <c r="CR281" s="435"/>
      <c r="CS281" s="435"/>
      <c r="CT281" s="435"/>
      <c r="CU281" s="434">
        <f t="shared" si="218"/>
        <v>1</v>
      </c>
      <c r="CV281" s="434">
        <f>IF(AND($E281&gt;0,AT281=""),1,IF(AT281&gt;$E281,1,0))</f>
        <v>1</v>
      </c>
      <c r="CW281" s="434">
        <f t="shared" si="219"/>
        <v>1</v>
      </c>
      <c r="CX281" s="434">
        <f t="shared" si="220"/>
        <v>1</v>
      </c>
      <c r="CY281" s="435"/>
      <c r="CZ281" s="434">
        <f t="shared" si="221"/>
        <v>1</v>
      </c>
      <c r="DA281" s="434">
        <f t="shared" si="222"/>
        <v>1</v>
      </c>
    </row>
    <row r="282" spans="1:105" ht="15" customHeight="1" x14ac:dyDescent="0.25">
      <c r="A282" s="5812" t="s">
        <v>5893</v>
      </c>
      <c r="B282" s="6453" t="s">
        <v>1648</v>
      </c>
      <c r="C282" s="7058" t="s">
        <v>1828</v>
      </c>
      <c r="D282" s="7058"/>
      <c r="E282" s="358" t="s">
        <v>4567</v>
      </c>
      <c r="F282" s="3792" t="s">
        <v>4568</v>
      </c>
      <c r="G282" s="3804" t="s">
        <v>4569</v>
      </c>
      <c r="H282" s="3774" t="s">
        <v>4570</v>
      </c>
      <c r="I282" s="3772" t="s">
        <v>4571</v>
      </c>
      <c r="J282" s="3773" t="s">
        <v>4572</v>
      </c>
      <c r="K282" s="3772" t="s">
        <v>4573</v>
      </c>
      <c r="L282" s="3773" t="s">
        <v>4574</v>
      </c>
      <c r="M282" s="3772" t="s">
        <v>4575</v>
      </c>
      <c r="N282" s="3773" t="s">
        <v>4576</v>
      </c>
      <c r="O282" s="3772" t="s">
        <v>4577</v>
      </c>
      <c r="P282" s="3773" t="s">
        <v>4578</v>
      </c>
      <c r="Q282" s="3772" t="s">
        <v>4579</v>
      </c>
      <c r="R282" s="3773" t="s">
        <v>4580</v>
      </c>
      <c r="S282" s="3772" t="s">
        <v>4581</v>
      </c>
      <c r="T282" s="3773" t="s">
        <v>4582</v>
      </c>
      <c r="U282" s="2657" t="s">
        <v>4583</v>
      </c>
      <c r="V282" s="3773" t="s">
        <v>4584</v>
      </c>
      <c r="W282" s="2657" t="s">
        <v>4585</v>
      </c>
      <c r="X282" s="3773" t="s">
        <v>4586</v>
      </c>
      <c r="Y282" s="2657" t="s">
        <v>4587</v>
      </c>
      <c r="Z282" s="3773" t="s">
        <v>4588</v>
      </c>
      <c r="AA282" s="2657" t="s">
        <v>4589</v>
      </c>
      <c r="AB282" s="3773" t="s">
        <v>4590</v>
      </c>
      <c r="AC282" s="2657" t="s">
        <v>4591</v>
      </c>
      <c r="AD282" s="3773" t="s">
        <v>4592</v>
      </c>
      <c r="AE282" s="2657" t="s">
        <v>4593</v>
      </c>
      <c r="AF282" s="3773" t="s">
        <v>4594</v>
      </c>
      <c r="AG282" s="2657" t="s">
        <v>4595</v>
      </c>
      <c r="AH282" s="3773" t="s">
        <v>4596</v>
      </c>
      <c r="AI282" s="2657" t="s">
        <v>4597</v>
      </c>
      <c r="AJ282" s="3773" t="s">
        <v>4598</v>
      </c>
      <c r="AK282" s="2657" t="s">
        <v>4599</v>
      </c>
      <c r="AL282" s="3773" t="s">
        <v>4600</v>
      </c>
      <c r="AM282" s="2657" t="s">
        <v>4601</v>
      </c>
      <c r="AN282" s="2655" t="s">
        <v>4602</v>
      </c>
      <c r="AO282" s="3771" t="s">
        <v>4603</v>
      </c>
      <c r="AP282" s="3774" t="s">
        <v>4604</v>
      </c>
      <c r="AQ282" s="3772" t="s">
        <v>4605</v>
      </c>
      <c r="AR282" s="3759" t="s">
        <v>4606</v>
      </c>
      <c r="AS282" s="3773" t="s">
        <v>4934</v>
      </c>
      <c r="AT282" s="3762" t="s">
        <v>4935</v>
      </c>
      <c r="AU282" s="3774" t="s">
        <v>4936</v>
      </c>
      <c r="AV282" s="2657" t="s">
        <v>4937</v>
      </c>
      <c r="AW282" s="3762" t="s">
        <v>5234</v>
      </c>
      <c r="AX282" s="3774" t="s">
        <v>5235</v>
      </c>
      <c r="AY282" s="2657" t="s">
        <v>5236</v>
      </c>
      <c r="AZ282" t="e">
        <f t="shared" si="208"/>
        <v>#VALUE!</v>
      </c>
      <c r="CB282" s="433" t="str">
        <f t="shared" si="209"/>
        <v xml:space="preserve"> * La variable Gestante no puede superar el Total Mujeres.</v>
      </c>
      <c r="CC282" s="433" t="e">
        <f t="shared" si="210"/>
        <v>#VALUE!</v>
      </c>
      <c r="CD282" s="433" t="str">
        <f>IF(AND($E282&gt;0,AP282="")," * No olvide digitar la variable Consultas Pertinentes: Según Procolo de Referencia. Digite cero si no tiene.",IF(AP282&gt;$E282,"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82" s="433" t="str">
        <f>IF(AND($E282&gt;0,AQ282="")," * No olvide digitar la variable Consultas Pertinentes: Según condición clínica. Digite cero si no tiene.",IF(AQ282&gt;$E282,"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82" s="433" t="str">
        <f>IF(AND($E282&gt;0,AR282="")," * No olvide digitar la variable Inasistente. Digite cero si no tiene.",IF(AR282&gt;$E282," * La variable Insasistente no puede superar el Total Ambos Sexos.",""))</f>
        <v xml:space="preserve"> * La variable Insasistente no puede superar el Total Ambos Sexos.</v>
      </c>
      <c r="CG282" s="433" t="str">
        <f t="shared" si="211"/>
        <v xml:space="preserve"> * La variable Compra de Servicio no puede superar el Total Ambos Sexos.</v>
      </c>
      <c r="CH282" s="435"/>
      <c r="CI282" s="433" t="str">
        <f t="shared" si="212"/>
        <v xml:space="preserve"> * La variable Usuarios con Dicapacidad no puede superar el Total Ambos Sexos.</v>
      </c>
      <c r="CJ282" s="433" t="str">
        <f t="shared" si="213"/>
        <v xml:space="preserve"> * La variable Usuarios Oncológicos no puede superar el Total Ambos Sexos.</v>
      </c>
      <c r="CK282" s="435"/>
      <c r="CL282" s="433" t="str">
        <f t="shared" si="214"/>
        <v xml:space="preserve"> * La variable Migrantes no puede superar el Total Ambos Sexos.</v>
      </c>
      <c r="CM282" s="433" t="str">
        <f t="shared" si="215"/>
        <v xml:space="preserve"> * La variable Pueblo Originario no puede superar el Total Ambos Sexos.</v>
      </c>
      <c r="CP282" s="434">
        <f t="shared" si="216"/>
        <v>1</v>
      </c>
      <c r="CQ282" s="434" t="e">
        <f t="shared" si="217"/>
        <v>#VALUE!</v>
      </c>
      <c r="CR282" s="434">
        <f>IF(AND($E282&gt;0,AP282=""),1,IF(AP282&gt;$E282,1,0))</f>
        <v>1</v>
      </c>
      <c r="CS282" s="434">
        <f t="shared" ref="CS282" si="236">IF(AND($E282&gt;0,AQ282=""),1,IF(AQ282&gt;$E282,1,0))</f>
        <v>1</v>
      </c>
      <c r="CT282" s="434">
        <f t="shared" ref="CT282:CT283" si="237">IF(AND($E282&gt;0,AR282=""),1,IF(AR282&gt;$E282,1,0))</f>
        <v>1</v>
      </c>
      <c r="CU282" s="434">
        <f t="shared" si="218"/>
        <v>1</v>
      </c>
      <c r="CV282" s="435"/>
      <c r="CW282" s="434">
        <f t="shared" si="219"/>
        <v>1</v>
      </c>
      <c r="CX282" s="434">
        <f t="shared" si="220"/>
        <v>1</v>
      </c>
      <c r="CY282" s="435"/>
      <c r="CZ282" s="434">
        <f t="shared" si="221"/>
        <v>1</v>
      </c>
      <c r="DA282" s="434">
        <f t="shared" si="222"/>
        <v>1</v>
      </c>
    </row>
    <row r="283" spans="1:105" ht="15" customHeight="1" x14ac:dyDescent="0.25">
      <c r="A283" s="5812" t="s">
        <v>5894</v>
      </c>
      <c r="B283" s="6058"/>
      <c r="C283" s="7059" t="s">
        <v>1829</v>
      </c>
      <c r="D283" s="7059"/>
      <c r="E283" s="3775" t="s">
        <v>4567</v>
      </c>
      <c r="F283" s="3776" t="s">
        <v>4568</v>
      </c>
      <c r="G283" s="3794" t="s">
        <v>4569</v>
      </c>
      <c r="H283" s="3779" t="s">
        <v>4570</v>
      </c>
      <c r="I283" s="3778" t="s">
        <v>4571</v>
      </c>
      <c r="J283" s="3779" t="s">
        <v>4572</v>
      </c>
      <c r="K283" s="3778" t="s">
        <v>4573</v>
      </c>
      <c r="L283" s="3779" t="s">
        <v>4574</v>
      </c>
      <c r="M283" s="3778" t="s">
        <v>4575</v>
      </c>
      <c r="N283" s="3779" t="s">
        <v>4576</v>
      </c>
      <c r="O283" s="3778" t="s">
        <v>4577</v>
      </c>
      <c r="P283" s="3779" t="s">
        <v>4578</v>
      </c>
      <c r="Q283" s="3778" t="s">
        <v>4579</v>
      </c>
      <c r="R283" s="3779" t="s">
        <v>4580</v>
      </c>
      <c r="S283" s="3778" t="s">
        <v>4581</v>
      </c>
      <c r="T283" s="3779" t="s">
        <v>4582</v>
      </c>
      <c r="U283" s="812" t="s">
        <v>4583</v>
      </c>
      <c r="V283" s="3779" t="s">
        <v>4584</v>
      </c>
      <c r="W283" s="812" t="s">
        <v>4585</v>
      </c>
      <c r="X283" s="3779" t="s">
        <v>4586</v>
      </c>
      <c r="Y283" s="812" t="s">
        <v>4587</v>
      </c>
      <c r="Z283" s="3779" t="s">
        <v>4588</v>
      </c>
      <c r="AA283" s="812" t="s">
        <v>4589</v>
      </c>
      <c r="AB283" s="3779" t="s">
        <v>4590</v>
      </c>
      <c r="AC283" s="812" t="s">
        <v>4591</v>
      </c>
      <c r="AD283" s="3779" t="s">
        <v>4592</v>
      </c>
      <c r="AE283" s="812" t="s">
        <v>4593</v>
      </c>
      <c r="AF283" s="3779" t="s">
        <v>4594</v>
      </c>
      <c r="AG283" s="812" t="s">
        <v>4595</v>
      </c>
      <c r="AH283" s="3779" t="s">
        <v>4596</v>
      </c>
      <c r="AI283" s="812" t="s">
        <v>4597</v>
      </c>
      <c r="AJ283" s="3779" t="s">
        <v>4598</v>
      </c>
      <c r="AK283" s="812" t="s">
        <v>4599</v>
      </c>
      <c r="AL283" s="3779" t="s">
        <v>4600</v>
      </c>
      <c r="AM283" s="812" t="s">
        <v>4601</v>
      </c>
      <c r="AN283" s="3780" t="s">
        <v>4602</v>
      </c>
      <c r="AO283" s="3781" t="s">
        <v>4603</v>
      </c>
      <c r="AP283" s="3761" t="s">
        <v>4604</v>
      </c>
      <c r="AQ283" s="3762" t="s">
        <v>4605</v>
      </c>
      <c r="AR283" s="3773" t="s">
        <v>4606</v>
      </c>
      <c r="AS283" s="3779" t="s">
        <v>4934</v>
      </c>
      <c r="AT283" s="3762" t="s">
        <v>4935</v>
      </c>
      <c r="AU283" s="3777" t="s">
        <v>4936</v>
      </c>
      <c r="AV283" s="812" t="s">
        <v>4937</v>
      </c>
      <c r="AW283" s="3762" t="s">
        <v>5234</v>
      </c>
      <c r="AX283" s="3777" t="s">
        <v>5235</v>
      </c>
      <c r="AY283" s="812" t="s">
        <v>5236</v>
      </c>
      <c r="AZ283" t="e">
        <f t="shared" si="208"/>
        <v>#VALUE!</v>
      </c>
      <c r="CB283" s="433" t="str">
        <f t="shared" si="209"/>
        <v xml:space="preserve"> * La variable Gestante no puede superar el Total Mujeres.</v>
      </c>
      <c r="CC283" s="433" t="e">
        <f t="shared" si="210"/>
        <v>#VALUE!</v>
      </c>
      <c r="CD283" s="435"/>
      <c r="CE283" s="435"/>
      <c r="CF283" s="433" t="str">
        <f>IF(AND($E283&gt;0,AR283="")," * No olvide digitar la variable Inasistente. Digite cero si no tiene.",IF(AR283&gt;$E283," * La variable Insasistente no puede superar el Total Ambos Sexos.",""))</f>
        <v xml:space="preserve"> * La variable Insasistente no puede superar el Total Ambos Sexos.</v>
      </c>
      <c r="CG283" s="433" t="str">
        <f t="shared" si="211"/>
        <v xml:space="preserve"> * La variable Compra de Servicio no puede superar el Total Ambos Sexos.</v>
      </c>
      <c r="CH283" s="435"/>
      <c r="CI283" s="433" t="str">
        <f t="shared" si="212"/>
        <v xml:space="preserve"> * La variable Usuarios con Dicapacidad no puede superar el Total Ambos Sexos.</v>
      </c>
      <c r="CJ283" s="433" t="str">
        <f t="shared" si="213"/>
        <v xml:space="preserve"> * La variable Usuarios Oncológicos no puede superar el Total Ambos Sexos.</v>
      </c>
      <c r="CK283" s="435"/>
      <c r="CL283" s="433" t="str">
        <f t="shared" si="214"/>
        <v xml:space="preserve"> * La variable Migrantes no puede superar el Total Ambos Sexos.</v>
      </c>
      <c r="CM283" s="433" t="str">
        <f t="shared" si="215"/>
        <v xml:space="preserve"> * La variable Pueblo Originario no puede superar el Total Ambos Sexos.</v>
      </c>
      <c r="CP283" s="434">
        <f t="shared" si="216"/>
        <v>1</v>
      </c>
      <c r="CQ283" s="434" t="e">
        <f t="shared" si="217"/>
        <v>#VALUE!</v>
      </c>
      <c r="CR283" s="435"/>
      <c r="CS283" s="435"/>
      <c r="CT283" s="434">
        <f t="shared" si="237"/>
        <v>1</v>
      </c>
      <c r="CU283" s="434">
        <f t="shared" si="218"/>
        <v>1</v>
      </c>
      <c r="CV283" s="435"/>
      <c r="CW283" s="434">
        <f t="shared" si="219"/>
        <v>1</v>
      </c>
      <c r="CX283" s="434">
        <f t="shared" si="220"/>
        <v>1</v>
      </c>
      <c r="CY283" s="435"/>
      <c r="CZ283" s="434">
        <f t="shared" si="221"/>
        <v>1</v>
      </c>
      <c r="DA283" s="434">
        <f t="shared" si="222"/>
        <v>1</v>
      </c>
    </row>
    <row r="284" spans="1:105" ht="15" customHeight="1" x14ac:dyDescent="0.25">
      <c r="A284" s="5812" t="s">
        <v>5895</v>
      </c>
      <c r="B284" s="6058"/>
      <c r="C284" s="7059" t="s">
        <v>1830</v>
      </c>
      <c r="D284" s="7059"/>
      <c r="E284" s="3775" t="s">
        <v>4567</v>
      </c>
      <c r="F284" s="3776" t="s">
        <v>4568</v>
      </c>
      <c r="G284" s="3794" t="s">
        <v>4569</v>
      </c>
      <c r="H284" s="3779" t="s">
        <v>4570</v>
      </c>
      <c r="I284" s="3778" t="s">
        <v>4571</v>
      </c>
      <c r="J284" s="3779" t="s">
        <v>4572</v>
      </c>
      <c r="K284" s="3778" t="s">
        <v>4573</v>
      </c>
      <c r="L284" s="3779" t="s">
        <v>4574</v>
      </c>
      <c r="M284" s="3778" t="s">
        <v>4575</v>
      </c>
      <c r="N284" s="3779" t="s">
        <v>4576</v>
      </c>
      <c r="O284" s="3778" t="s">
        <v>4577</v>
      </c>
      <c r="P284" s="3779" t="s">
        <v>4578</v>
      </c>
      <c r="Q284" s="3778" t="s">
        <v>4579</v>
      </c>
      <c r="R284" s="3779" t="s">
        <v>4580</v>
      </c>
      <c r="S284" s="3778" t="s">
        <v>4581</v>
      </c>
      <c r="T284" s="3779" t="s">
        <v>4582</v>
      </c>
      <c r="U284" s="812" t="s">
        <v>4583</v>
      </c>
      <c r="V284" s="3779" t="s">
        <v>4584</v>
      </c>
      <c r="W284" s="812" t="s">
        <v>4585</v>
      </c>
      <c r="X284" s="3779" t="s">
        <v>4586</v>
      </c>
      <c r="Y284" s="812" t="s">
        <v>4587</v>
      </c>
      <c r="Z284" s="3779" t="s">
        <v>4588</v>
      </c>
      <c r="AA284" s="812" t="s">
        <v>4589</v>
      </c>
      <c r="AB284" s="3779" t="s">
        <v>4590</v>
      </c>
      <c r="AC284" s="812" t="s">
        <v>4591</v>
      </c>
      <c r="AD284" s="3779" t="s">
        <v>4592</v>
      </c>
      <c r="AE284" s="812" t="s">
        <v>4593</v>
      </c>
      <c r="AF284" s="3779" t="s">
        <v>4594</v>
      </c>
      <c r="AG284" s="812" t="s">
        <v>4595</v>
      </c>
      <c r="AH284" s="3779" t="s">
        <v>4596</v>
      </c>
      <c r="AI284" s="812" t="s">
        <v>4597</v>
      </c>
      <c r="AJ284" s="3779" t="s">
        <v>4598</v>
      </c>
      <c r="AK284" s="812" t="s">
        <v>4599</v>
      </c>
      <c r="AL284" s="3779" t="s">
        <v>4600</v>
      </c>
      <c r="AM284" s="812" t="s">
        <v>4601</v>
      </c>
      <c r="AN284" s="3780" t="s">
        <v>4602</v>
      </c>
      <c r="AO284" s="3781" t="s">
        <v>4603</v>
      </c>
      <c r="AP284" s="3761" t="s">
        <v>4604</v>
      </c>
      <c r="AQ284" s="3762" t="s">
        <v>4605</v>
      </c>
      <c r="AR284" s="3782" t="s">
        <v>4606</v>
      </c>
      <c r="AS284" s="3779" t="s">
        <v>4934</v>
      </c>
      <c r="AT284" s="3762" t="s">
        <v>4935</v>
      </c>
      <c r="AU284" s="3777" t="s">
        <v>4936</v>
      </c>
      <c r="AV284" s="812" t="s">
        <v>4937</v>
      </c>
      <c r="AW284" s="3762" t="s">
        <v>5234</v>
      </c>
      <c r="AX284" s="3777" t="s">
        <v>5235</v>
      </c>
      <c r="AY284" s="812" t="s">
        <v>5236</v>
      </c>
      <c r="AZ284" t="e">
        <f t="shared" si="208"/>
        <v>#VALUE!</v>
      </c>
      <c r="CB284" s="433" t="str">
        <f t="shared" si="209"/>
        <v xml:space="preserve"> * La variable Gestante no puede superar el Total Mujeres.</v>
      </c>
      <c r="CC284" s="433" t="e">
        <f t="shared" si="210"/>
        <v>#VALUE!</v>
      </c>
      <c r="CD284" s="435"/>
      <c r="CE284" s="435"/>
      <c r="CF284" s="435"/>
      <c r="CG284" s="433" t="str">
        <f t="shared" si="211"/>
        <v xml:space="preserve"> * La variable Compra de Servicio no puede superar el Total Ambos Sexos.</v>
      </c>
      <c r="CH284" s="435"/>
      <c r="CI284" s="433" t="str">
        <f t="shared" si="212"/>
        <v xml:space="preserve"> * La variable Usuarios con Dicapacidad no puede superar el Total Ambos Sexos.</v>
      </c>
      <c r="CJ284" s="433" t="str">
        <f t="shared" si="213"/>
        <v xml:space="preserve"> * La variable Usuarios Oncológicos no puede superar el Total Ambos Sexos.</v>
      </c>
      <c r="CK284" s="435"/>
      <c r="CL284" s="433" t="str">
        <f t="shared" si="214"/>
        <v xml:space="preserve"> * La variable Migrantes no puede superar el Total Ambos Sexos.</v>
      </c>
      <c r="CM284" s="433" t="str">
        <f t="shared" si="215"/>
        <v xml:space="preserve"> * La variable Pueblo Originario no puede superar el Total Ambos Sexos.</v>
      </c>
      <c r="CP284" s="434">
        <f t="shared" si="216"/>
        <v>1</v>
      </c>
      <c r="CQ284" s="434" t="e">
        <f t="shared" si="217"/>
        <v>#VALUE!</v>
      </c>
      <c r="CR284" s="435"/>
      <c r="CS284" s="435"/>
      <c r="CT284" s="435"/>
      <c r="CU284" s="434">
        <f t="shared" si="218"/>
        <v>1</v>
      </c>
      <c r="CV284" s="435"/>
      <c r="CW284" s="434">
        <f t="shared" si="219"/>
        <v>1</v>
      </c>
      <c r="CX284" s="434">
        <f t="shared" si="220"/>
        <v>1</v>
      </c>
      <c r="CY284" s="435"/>
      <c r="CZ284" s="434">
        <f t="shared" si="221"/>
        <v>1</v>
      </c>
      <c r="DA284" s="434">
        <f t="shared" si="222"/>
        <v>1</v>
      </c>
    </row>
    <row r="285" spans="1:105" ht="15" customHeight="1" x14ac:dyDescent="0.25">
      <c r="A285" s="5812" t="s">
        <v>5896</v>
      </c>
      <c r="B285" s="6058"/>
      <c r="C285" s="7055" t="s">
        <v>1831</v>
      </c>
      <c r="D285" s="6987"/>
      <c r="E285" s="3775" t="s">
        <v>4567</v>
      </c>
      <c r="F285" s="3795" t="s">
        <v>4568</v>
      </c>
      <c r="G285" s="3798" t="s">
        <v>4569</v>
      </c>
      <c r="H285" s="3785" t="s">
        <v>4570</v>
      </c>
      <c r="I285" s="3784" t="s">
        <v>4571</v>
      </c>
      <c r="J285" s="3785" t="s">
        <v>4572</v>
      </c>
      <c r="K285" s="3784" t="s">
        <v>4573</v>
      </c>
      <c r="L285" s="3785" t="s">
        <v>4574</v>
      </c>
      <c r="M285" s="3784" t="s">
        <v>4575</v>
      </c>
      <c r="N285" s="3785" t="s">
        <v>4576</v>
      </c>
      <c r="O285" s="3784" t="s">
        <v>4577</v>
      </c>
      <c r="P285" s="3785" t="s">
        <v>4578</v>
      </c>
      <c r="Q285" s="3784" t="s">
        <v>4579</v>
      </c>
      <c r="R285" s="3785" t="s">
        <v>4580</v>
      </c>
      <c r="S285" s="3784" t="s">
        <v>4581</v>
      </c>
      <c r="T285" s="3785" t="s">
        <v>4582</v>
      </c>
      <c r="U285" s="2643" t="s">
        <v>4583</v>
      </c>
      <c r="V285" s="3785" t="s">
        <v>4584</v>
      </c>
      <c r="W285" s="2643" t="s">
        <v>4585</v>
      </c>
      <c r="X285" s="3785" t="s">
        <v>4586</v>
      </c>
      <c r="Y285" s="2643" t="s">
        <v>4587</v>
      </c>
      <c r="Z285" s="3785" t="s">
        <v>4588</v>
      </c>
      <c r="AA285" s="2643" t="s">
        <v>4589</v>
      </c>
      <c r="AB285" s="3785" t="s">
        <v>4590</v>
      </c>
      <c r="AC285" s="2643" t="s">
        <v>4591</v>
      </c>
      <c r="AD285" s="3785" t="s">
        <v>4592</v>
      </c>
      <c r="AE285" s="2643" t="s">
        <v>4593</v>
      </c>
      <c r="AF285" s="3785" t="s">
        <v>4594</v>
      </c>
      <c r="AG285" s="2643" t="s">
        <v>4595</v>
      </c>
      <c r="AH285" s="3785" t="s">
        <v>4596</v>
      </c>
      <c r="AI285" s="2643" t="s">
        <v>4597</v>
      </c>
      <c r="AJ285" s="3785" t="s">
        <v>4598</v>
      </c>
      <c r="AK285" s="2643" t="s">
        <v>4599</v>
      </c>
      <c r="AL285" s="3785" t="s">
        <v>4600</v>
      </c>
      <c r="AM285" s="2643" t="s">
        <v>4601</v>
      </c>
      <c r="AN285" s="2641" t="s">
        <v>4602</v>
      </c>
      <c r="AO285" s="3786" t="s">
        <v>4603</v>
      </c>
      <c r="AP285" s="3787" t="s">
        <v>4604</v>
      </c>
      <c r="AQ285" s="3788" t="s">
        <v>4605</v>
      </c>
      <c r="AR285" s="3782" t="s">
        <v>4606</v>
      </c>
      <c r="AS285" s="3785" t="s">
        <v>4934</v>
      </c>
      <c r="AT285" s="3762" t="s">
        <v>4935</v>
      </c>
      <c r="AU285" s="3783" t="s">
        <v>4936</v>
      </c>
      <c r="AV285" s="2643" t="s">
        <v>4937</v>
      </c>
      <c r="AW285" s="812" t="s">
        <v>5234</v>
      </c>
      <c r="AX285" s="3783" t="s">
        <v>5235</v>
      </c>
      <c r="AY285" s="2643" t="s">
        <v>5236</v>
      </c>
      <c r="AZ285" t="e">
        <f t="shared" si="208"/>
        <v>#VALUE!</v>
      </c>
      <c r="CB285" s="433" t="str">
        <f t="shared" si="209"/>
        <v xml:space="preserve"> * La variable Gestante no puede superar el Total Mujeres.</v>
      </c>
      <c r="CC285" s="433" t="e">
        <f t="shared" si="210"/>
        <v>#VALUE!</v>
      </c>
      <c r="CD285" s="435"/>
      <c r="CE285" s="435"/>
      <c r="CF285" s="435"/>
      <c r="CG285" s="433" t="str">
        <f t="shared" si="211"/>
        <v xml:space="preserve"> * La variable Compra de Servicio no puede superar el Total Ambos Sexos.</v>
      </c>
      <c r="CH285" s="435"/>
      <c r="CI285" s="433" t="str">
        <f t="shared" si="212"/>
        <v xml:space="preserve"> * La variable Usuarios con Dicapacidad no puede superar el Total Ambos Sexos.</v>
      </c>
      <c r="CJ285" s="433" t="str">
        <f t="shared" si="213"/>
        <v xml:space="preserve"> * La variable Usuarios Oncológicos no puede superar el Total Ambos Sexos.</v>
      </c>
      <c r="CK285" s="433" t="str">
        <f>IF(AND($E285&gt;0,AW285="")," * No olvide digitar la variable Contrarreferencia al alta. Digite Cero si no tiene.",IF(AW285&gt;$E285," * La variable Contrarreferencia al alta no puede superar el Total Ambos Sexos.",""))</f>
        <v xml:space="preserve"> * La variable Contrarreferencia al alta no puede superar el Total Ambos Sexos.</v>
      </c>
      <c r="CL285" s="433" t="str">
        <f t="shared" si="214"/>
        <v xml:space="preserve"> * La variable Migrantes no puede superar el Total Ambos Sexos.</v>
      </c>
      <c r="CM285" s="433" t="str">
        <f t="shared" si="215"/>
        <v xml:space="preserve"> * La variable Pueblo Originario no puede superar el Total Ambos Sexos.</v>
      </c>
      <c r="CP285" s="434">
        <f t="shared" si="216"/>
        <v>1</v>
      </c>
      <c r="CQ285" s="434" t="e">
        <f t="shared" si="217"/>
        <v>#VALUE!</v>
      </c>
      <c r="CR285" s="435"/>
      <c r="CS285" s="435"/>
      <c r="CT285" s="435"/>
      <c r="CU285" s="434">
        <f t="shared" si="218"/>
        <v>1</v>
      </c>
      <c r="CV285" s="435"/>
      <c r="CW285" s="434">
        <f t="shared" si="219"/>
        <v>1</v>
      </c>
      <c r="CX285" s="434">
        <f t="shared" si="220"/>
        <v>1</v>
      </c>
      <c r="CY285" s="434">
        <f>IF(AND($E285&gt;0,AW285=""),1,IF(AW285&gt;$E285,1,0))</f>
        <v>1</v>
      </c>
      <c r="CZ285" s="434">
        <f t="shared" si="221"/>
        <v>1</v>
      </c>
      <c r="DA285" s="434">
        <f t="shared" si="222"/>
        <v>1</v>
      </c>
    </row>
    <row r="286" spans="1:105" ht="15" customHeight="1" x14ac:dyDescent="0.25">
      <c r="A286" s="5812" t="s">
        <v>5897</v>
      </c>
      <c r="B286" s="6058"/>
      <c r="C286" s="7055" t="s">
        <v>1832</v>
      </c>
      <c r="D286" s="6987"/>
      <c r="E286" s="3775" t="s">
        <v>4567</v>
      </c>
      <c r="F286" s="3776" t="s">
        <v>4568</v>
      </c>
      <c r="G286" s="3794" t="s">
        <v>4569</v>
      </c>
      <c r="H286" s="3785" t="s">
        <v>4570</v>
      </c>
      <c r="I286" s="3784" t="s">
        <v>4571</v>
      </c>
      <c r="J286" s="3785" t="s">
        <v>4572</v>
      </c>
      <c r="K286" s="3784" t="s">
        <v>4573</v>
      </c>
      <c r="L286" s="3785" t="s">
        <v>4574</v>
      </c>
      <c r="M286" s="3784" t="s">
        <v>4575</v>
      </c>
      <c r="N286" s="3785" t="s">
        <v>4576</v>
      </c>
      <c r="O286" s="3784" t="s">
        <v>4577</v>
      </c>
      <c r="P286" s="3785" t="s">
        <v>4578</v>
      </c>
      <c r="Q286" s="3784" t="s">
        <v>4579</v>
      </c>
      <c r="R286" s="3785" t="s">
        <v>4580</v>
      </c>
      <c r="S286" s="3784" t="s">
        <v>4581</v>
      </c>
      <c r="T286" s="3785" t="s">
        <v>4582</v>
      </c>
      <c r="U286" s="2643" t="s">
        <v>4583</v>
      </c>
      <c r="V286" s="3785" t="s">
        <v>4584</v>
      </c>
      <c r="W286" s="2643" t="s">
        <v>4585</v>
      </c>
      <c r="X286" s="3785" t="s">
        <v>4586</v>
      </c>
      <c r="Y286" s="2643" t="s">
        <v>4587</v>
      </c>
      <c r="Z286" s="3785" t="s">
        <v>4588</v>
      </c>
      <c r="AA286" s="2643" t="s">
        <v>4589</v>
      </c>
      <c r="AB286" s="3785" t="s">
        <v>4590</v>
      </c>
      <c r="AC286" s="2643" t="s">
        <v>4591</v>
      </c>
      <c r="AD286" s="3785" t="s">
        <v>4592</v>
      </c>
      <c r="AE286" s="2643" t="s">
        <v>4593</v>
      </c>
      <c r="AF286" s="3785" t="s">
        <v>4594</v>
      </c>
      <c r="AG286" s="2643" t="s">
        <v>4595</v>
      </c>
      <c r="AH286" s="3785" t="s">
        <v>4596</v>
      </c>
      <c r="AI286" s="2643" t="s">
        <v>4597</v>
      </c>
      <c r="AJ286" s="3785" t="s">
        <v>4598</v>
      </c>
      <c r="AK286" s="2643" t="s">
        <v>4599</v>
      </c>
      <c r="AL286" s="3785" t="s">
        <v>4600</v>
      </c>
      <c r="AM286" s="2643" t="s">
        <v>4601</v>
      </c>
      <c r="AN286" s="2641" t="s">
        <v>4602</v>
      </c>
      <c r="AO286" s="3786" t="s">
        <v>4603</v>
      </c>
      <c r="AP286" s="3787" t="s">
        <v>4604</v>
      </c>
      <c r="AQ286" s="3788" t="s">
        <v>4605</v>
      </c>
      <c r="AR286" s="3789" t="s">
        <v>4606</v>
      </c>
      <c r="AS286" s="3785" t="s">
        <v>4934</v>
      </c>
      <c r="AT286" s="3788" t="s">
        <v>4935</v>
      </c>
      <c r="AU286" s="3783" t="s">
        <v>4936</v>
      </c>
      <c r="AV286" s="2643" t="s">
        <v>4937</v>
      </c>
      <c r="AW286" s="3788" t="s">
        <v>5234</v>
      </c>
      <c r="AX286" s="3783" t="s">
        <v>5235</v>
      </c>
      <c r="AY286" s="2643" t="s">
        <v>5236</v>
      </c>
      <c r="AZ286" t="e">
        <f t="shared" si="208"/>
        <v>#VALUE!</v>
      </c>
      <c r="CB286" s="433" t="str">
        <f t="shared" si="209"/>
        <v xml:space="preserve"> * La variable Gestante no puede superar el Total Mujeres.</v>
      </c>
      <c r="CC286" s="433" t="e">
        <f t="shared" si="210"/>
        <v>#VALUE!</v>
      </c>
      <c r="CD286" s="435"/>
      <c r="CE286" s="435"/>
      <c r="CF286" s="435"/>
      <c r="CG286" s="433" t="str">
        <f t="shared" si="211"/>
        <v xml:space="preserve"> * La variable Compra de Servicio no puede superar el Total Ambos Sexos.</v>
      </c>
      <c r="CH286" s="435"/>
      <c r="CI286" s="433" t="str">
        <f t="shared" si="212"/>
        <v xml:space="preserve"> * La variable Usuarios con Dicapacidad no puede superar el Total Ambos Sexos.</v>
      </c>
      <c r="CJ286" s="433" t="str">
        <f t="shared" si="213"/>
        <v xml:space="preserve"> * La variable Usuarios Oncológicos no puede superar el Total Ambos Sexos.</v>
      </c>
      <c r="CK286" s="435"/>
      <c r="CL286" s="433" t="str">
        <f t="shared" si="214"/>
        <v xml:space="preserve"> * La variable Migrantes no puede superar el Total Ambos Sexos.</v>
      </c>
      <c r="CM286" s="433" t="str">
        <f t="shared" si="215"/>
        <v xml:space="preserve"> * La variable Pueblo Originario no puede superar el Total Ambos Sexos.</v>
      </c>
      <c r="CP286" s="434">
        <f t="shared" si="216"/>
        <v>1</v>
      </c>
      <c r="CQ286" s="434" t="e">
        <f t="shared" si="217"/>
        <v>#VALUE!</v>
      </c>
      <c r="CR286" s="435"/>
      <c r="CS286" s="435"/>
      <c r="CT286" s="435"/>
      <c r="CU286" s="434">
        <f t="shared" si="218"/>
        <v>1</v>
      </c>
      <c r="CV286" s="435"/>
      <c r="CW286" s="434">
        <f t="shared" si="219"/>
        <v>1</v>
      </c>
      <c r="CX286" s="434">
        <f t="shared" si="220"/>
        <v>1</v>
      </c>
      <c r="CY286" s="435"/>
      <c r="CZ286" s="434">
        <f t="shared" si="221"/>
        <v>1</v>
      </c>
      <c r="DA286" s="434">
        <f t="shared" si="222"/>
        <v>1</v>
      </c>
    </row>
    <row r="287" spans="1:105" ht="15" customHeight="1" x14ac:dyDescent="0.25">
      <c r="A287" s="5812" t="s">
        <v>5898</v>
      </c>
      <c r="B287" s="6842"/>
      <c r="C287" s="7056" t="s">
        <v>1833</v>
      </c>
      <c r="D287" s="7056"/>
      <c r="E287" s="3387" t="s">
        <v>4567</v>
      </c>
      <c r="F287" s="3527" t="s">
        <v>4568</v>
      </c>
      <c r="G287" s="3480" t="s">
        <v>4569</v>
      </c>
      <c r="H287" s="3783" t="s">
        <v>4570</v>
      </c>
      <c r="I287" s="3784" t="s">
        <v>4571</v>
      </c>
      <c r="J287" s="3785" t="s">
        <v>4572</v>
      </c>
      <c r="K287" s="3784" t="s">
        <v>4573</v>
      </c>
      <c r="L287" s="3785" t="s">
        <v>4574</v>
      </c>
      <c r="M287" s="3784" t="s">
        <v>4575</v>
      </c>
      <c r="N287" s="3785" t="s">
        <v>4576</v>
      </c>
      <c r="O287" s="3784" t="s">
        <v>4577</v>
      </c>
      <c r="P287" s="3785" t="s">
        <v>4578</v>
      </c>
      <c r="Q287" s="3784" t="s">
        <v>4579</v>
      </c>
      <c r="R287" s="3785" t="s">
        <v>4580</v>
      </c>
      <c r="S287" s="3784" t="s">
        <v>4581</v>
      </c>
      <c r="T287" s="3785" t="s">
        <v>4582</v>
      </c>
      <c r="U287" s="2643" t="s">
        <v>4583</v>
      </c>
      <c r="V287" s="3785" t="s">
        <v>4584</v>
      </c>
      <c r="W287" s="2643" t="s">
        <v>4585</v>
      </c>
      <c r="X287" s="3785" t="s">
        <v>4586</v>
      </c>
      <c r="Y287" s="2643" t="s">
        <v>4587</v>
      </c>
      <c r="Z287" s="3785" t="s">
        <v>4588</v>
      </c>
      <c r="AA287" s="2643" t="s">
        <v>4589</v>
      </c>
      <c r="AB287" s="3785" t="s">
        <v>4590</v>
      </c>
      <c r="AC287" s="2643" t="s">
        <v>4591</v>
      </c>
      <c r="AD287" s="3785" t="s">
        <v>4592</v>
      </c>
      <c r="AE287" s="2643" t="s">
        <v>4593</v>
      </c>
      <c r="AF287" s="3785" t="s">
        <v>4594</v>
      </c>
      <c r="AG287" s="2643" t="s">
        <v>4595</v>
      </c>
      <c r="AH287" s="3785" t="s">
        <v>4596</v>
      </c>
      <c r="AI287" s="2643" t="s">
        <v>4597</v>
      </c>
      <c r="AJ287" s="3785" t="s">
        <v>4598</v>
      </c>
      <c r="AK287" s="2643" t="s">
        <v>4599</v>
      </c>
      <c r="AL287" s="3785" t="s">
        <v>4600</v>
      </c>
      <c r="AM287" s="2643" t="s">
        <v>4601</v>
      </c>
      <c r="AN287" s="814" t="s">
        <v>4602</v>
      </c>
      <c r="AO287" s="3769" t="s">
        <v>4603</v>
      </c>
      <c r="AP287" s="3790" t="s">
        <v>4604</v>
      </c>
      <c r="AQ287" s="3770" t="s">
        <v>4605</v>
      </c>
      <c r="AR287" s="3791" t="s">
        <v>4606</v>
      </c>
      <c r="AS287" s="3768" t="s">
        <v>4934</v>
      </c>
      <c r="AT287" s="3770" t="s">
        <v>4935</v>
      </c>
      <c r="AU287" s="3766" t="s">
        <v>4936</v>
      </c>
      <c r="AV287" s="815" t="s">
        <v>4937</v>
      </c>
      <c r="AW287" s="3770" t="s">
        <v>5234</v>
      </c>
      <c r="AX287" s="3766" t="s">
        <v>5235</v>
      </c>
      <c r="AY287" s="815" t="s">
        <v>5236</v>
      </c>
      <c r="AZ287" t="e">
        <f t="shared" si="208"/>
        <v>#VALUE!</v>
      </c>
      <c r="CB287" s="433" t="str">
        <f t="shared" si="209"/>
        <v xml:space="preserve"> * La variable Gestante no puede superar el Total Mujeres.</v>
      </c>
      <c r="CC287" s="433" t="e">
        <f t="shared" si="210"/>
        <v>#VALUE!</v>
      </c>
      <c r="CD287" s="435"/>
      <c r="CE287" s="435"/>
      <c r="CF287" s="435"/>
      <c r="CG287" s="433" t="str">
        <f t="shared" si="211"/>
        <v xml:space="preserve"> * La variable Compra de Servicio no puede superar el Total Ambos Sexos.</v>
      </c>
      <c r="CH287" s="435"/>
      <c r="CI287" s="433" t="str">
        <f t="shared" si="212"/>
        <v xml:space="preserve"> * La variable Usuarios con Dicapacidad no puede superar el Total Ambos Sexos.</v>
      </c>
      <c r="CJ287" s="433" t="str">
        <f t="shared" si="213"/>
        <v xml:space="preserve"> * La variable Usuarios Oncológicos no puede superar el Total Ambos Sexos.</v>
      </c>
      <c r="CK287" s="435"/>
      <c r="CL287" s="433" t="str">
        <f t="shared" si="214"/>
        <v xml:space="preserve"> * La variable Migrantes no puede superar el Total Ambos Sexos.</v>
      </c>
      <c r="CM287" s="433" t="str">
        <f t="shared" si="215"/>
        <v xml:space="preserve"> * La variable Pueblo Originario no puede superar el Total Ambos Sexos.</v>
      </c>
      <c r="CP287" s="434">
        <f t="shared" si="216"/>
        <v>1</v>
      </c>
      <c r="CQ287" s="434" t="e">
        <f t="shared" si="217"/>
        <v>#VALUE!</v>
      </c>
      <c r="CR287" s="435"/>
      <c r="CS287" s="435"/>
      <c r="CT287" s="435"/>
      <c r="CU287" s="434">
        <f t="shared" si="218"/>
        <v>1</v>
      </c>
      <c r="CV287" s="435"/>
      <c r="CW287" s="434">
        <f t="shared" si="219"/>
        <v>1</v>
      </c>
      <c r="CX287" s="434">
        <f t="shared" si="220"/>
        <v>1</v>
      </c>
      <c r="CY287" s="435"/>
      <c r="CZ287" s="434">
        <f t="shared" si="221"/>
        <v>1</v>
      </c>
      <c r="DA287" s="434">
        <f t="shared" si="222"/>
        <v>1</v>
      </c>
    </row>
    <row r="288" spans="1:105" ht="15" customHeight="1" x14ac:dyDescent="0.25">
      <c r="A288" s="5812" t="s">
        <v>5899</v>
      </c>
      <c r="B288" s="6453" t="s">
        <v>1836</v>
      </c>
      <c r="C288" s="7058" t="s">
        <v>1828</v>
      </c>
      <c r="D288" s="7058"/>
      <c r="E288" s="3722" t="s">
        <v>4567</v>
      </c>
      <c r="F288" s="3556" t="s">
        <v>4568</v>
      </c>
      <c r="G288" s="3470" t="s">
        <v>4569</v>
      </c>
      <c r="H288" s="3805" t="s">
        <v>4570</v>
      </c>
      <c r="I288" s="3806" t="s">
        <v>4571</v>
      </c>
      <c r="J288" s="3807" t="s">
        <v>4572</v>
      </c>
      <c r="K288" s="3806" t="s">
        <v>4573</v>
      </c>
      <c r="L288" s="3808" t="s">
        <v>4574</v>
      </c>
      <c r="M288" s="3764" t="s">
        <v>4575</v>
      </c>
      <c r="N288" s="3809" t="s">
        <v>4576</v>
      </c>
      <c r="O288" s="3764" t="s">
        <v>4577</v>
      </c>
      <c r="P288" s="3807" t="s">
        <v>4578</v>
      </c>
      <c r="Q288" s="3806" t="s">
        <v>4579</v>
      </c>
      <c r="R288" s="3807" t="s">
        <v>4580</v>
      </c>
      <c r="S288" s="3806" t="s">
        <v>4581</v>
      </c>
      <c r="T288" s="3808" t="s">
        <v>4582</v>
      </c>
      <c r="U288" s="3764" t="s">
        <v>4583</v>
      </c>
      <c r="V288" s="3809" t="s">
        <v>4584</v>
      </c>
      <c r="W288" s="3764" t="s">
        <v>4585</v>
      </c>
      <c r="X288" s="3759" t="s">
        <v>4586</v>
      </c>
      <c r="Y288" s="803" t="s">
        <v>4587</v>
      </c>
      <c r="Z288" s="3759" t="s">
        <v>4588</v>
      </c>
      <c r="AA288" s="803" t="s">
        <v>4589</v>
      </c>
      <c r="AB288" s="3759" t="s">
        <v>4590</v>
      </c>
      <c r="AC288" s="803" t="s">
        <v>4591</v>
      </c>
      <c r="AD288" s="3759" t="s">
        <v>4592</v>
      </c>
      <c r="AE288" s="803" t="s">
        <v>4593</v>
      </c>
      <c r="AF288" s="3759" t="s">
        <v>4594</v>
      </c>
      <c r="AG288" s="803" t="s">
        <v>4595</v>
      </c>
      <c r="AH288" s="3759" t="s">
        <v>4596</v>
      </c>
      <c r="AI288" s="803" t="s">
        <v>4597</v>
      </c>
      <c r="AJ288" s="3759" t="s">
        <v>4598</v>
      </c>
      <c r="AK288" s="803" t="s">
        <v>4599</v>
      </c>
      <c r="AL288" s="3759" t="s">
        <v>4600</v>
      </c>
      <c r="AM288" s="803" t="s">
        <v>4601</v>
      </c>
      <c r="AN288" s="2655" t="s">
        <v>4602</v>
      </c>
      <c r="AO288" s="3771" t="s">
        <v>4603</v>
      </c>
      <c r="AP288" s="3758" t="s">
        <v>4604</v>
      </c>
      <c r="AQ288" s="3772" t="s">
        <v>4605</v>
      </c>
      <c r="AR288" s="3759" t="s">
        <v>4606</v>
      </c>
      <c r="AS288" s="3773" t="s">
        <v>4934</v>
      </c>
      <c r="AT288" s="3762" t="s">
        <v>4935</v>
      </c>
      <c r="AU288" s="3774" t="s">
        <v>4936</v>
      </c>
      <c r="AV288" s="2657" t="s">
        <v>4937</v>
      </c>
      <c r="AW288" s="3762" t="s">
        <v>5234</v>
      </c>
      <c r="AX288" s="3774" t="s">
        <v>5235</v>
      </c>
      <c r="AY288" s="2657" t="s">
        <v>5236</v>
      </c>
      <c r="AZ288" t="e">
        <f t="shared" si="208"/>
        <v>#VALUE!</v>
      </c>
      <c r="CB288" s="433" t="str">
        <f t="shared" si="209"/>
        <v xml:space="preserve"> * La variable Gestante no puede superar el Total Mujeres.</v>
      </c>
      <c r="CC288" s="433" t="e">
        <f t="shared" si="210"/>
        <v>#VALUE!</v>
      </c>
      <c r="CD288" s="433" t="str">
        <f>IF(AND($E288&gt;0,AP288="")," * No olvide digitar la variable Consultas Pertinentes: Según Procolo de Referencia. Digite cero si no tiene.",IF(AP288&gt;$E288,"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88" s="433" t="str">
        <f>IF(AND($E288&gt;0,AQ288="")," * No olvide digitar la variable Consultas Pertinentes: Según condición clínica. Digite cero si no tiene.",IF(AQ288&gt;$E288,"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88" s="433" t="str">
        <f>IF(AND($E288&gt;0,AR288="")," * No olvide digitar la variable Inasistente. Digite cero si no tiene.",IF(AR288&gt;$E288," * La variable Insasistente no puede superar el Total Ambos Sexos.",""))</f>
        <v xml:space="preserve"> * La variable Insasistente no puede superar el Total Ambos Sexos.</v>
      </c>
      <c r="CG288" s="433" t="str">
        <f t="shared" si="211"/>
        <v xml:space="preserve"> * La variable Compra de Servicio no puede superar el Total Ambos Sexos.</v>
      </c>
      <c r="CH288" s="435"/>
      <c r="CI288" s="433" t="str">
        <f t="shared" si="212"/>
        <v xml:space="preserve"> * La variable Usuarios con Dicapacidad no puede superar el Total Ambos Sexos.</v>
      </c>
      <c r="CJ288" s="433" t="str">
        <f t="shared" si="213"/>
        <v xml:space="preserve"> * La variable Usuarios Oncológicos no puede superar el Total Ambos Sexos.</v>
      </c>
      <c r="CK288" s="435"/>
      <c r="CL288" s="433" t="str">
        <f t="shared" si="214"/>
        <v xml:space="preserve"> * La variable Migrantes no puede superar el Total Ambos Sexos.</v>
      </c>
      <c r="CM288" s="433" t="str">
        <f t="shared" si="215"/>
        <v xml:space="preserve"> * La variable Pueblo Originario no puede superar el Total Ambos Sexos.</v>
      </c>
      <c r="CP288" s="434">
        <f t="shared" si="216"/>
        <v>1</v>
      </c>
      <c r="CQ288" s="434" t="e">
        <f t="shared" si="217"/>
        <v>#VALUE!</v>
      </c>
      <c r="CR288" s="434">
        <f>IF(AND($E288&gt;0,AP288=""),1,IF(AP288&gt;$E288,1,0))</f>
        <v>1</v>
      </c>
      <c r="CS288" s="434">
        <f t="shared" ref="CS288" si="238">IF(AND($E288&gt;0,AQ288=""),1,IF(AQ288&gt;$E288,1,0))</f>
        <v>1</v>
      </c>
      <c r="CT288" s="434">
        <f t="shared" ref="CT288:CT289" si="239">IF(AND($E288&gt;0,AR288=""),1,IF(AR288&gt;$E288,1,0))</f>
        <v>1</v>
      </c>
      <c r="CU288" s="434">
        <f t="shared" si="218"/>
        <v>1</v>
      </c>
      <c r="CV288" s="435"/>
      <c r="CW288" s="434">
        <f t="shared" si="219"/>
        <v>1</v>
      </c>
      <c r="CX288" s="434">
        <f t="shared" si="220"/>
        <v>1</v>
      </c>
      <c r="CY288" s="435"/>
      <c r="CZ288" s="434">
        <f t="shared" si="221"/>
        <v>1</v>
      </c>
      <c r="DA288" s="434">
        <f t="shared" si="222"/>
        <v>1</v>
      </c>
    </row>
    <row r="289" spans="1:105" ht="15" customHeight="1" x14ac:dyDescent="0.25">
      <c r="A289" s="5812" t="s">
        <v>5900</v>
      </c>
      <c r="B289" s="6058"/>
      <c r="C289" s="7059" t="s">
        <v>1829</v>
      </c>
      <c r="D289" s="7059"/>
      <c r="E289" s="3775" t="s">
        <v>4567</v>
      </c>
      <c r="F289" s="3776" t="s">
        <v>4568</v>
      </c>
      <c r="G289" s="3794" t="s">
        <v>4569</v>
      </c>
      <c r="H289" s="3810" t="s">
        <v>4570</v>
      </c>
      <c r="I289" s="3811" t="s">
        <v>4571</v>
      </c>
      <c r="J289" s="3810" t="s">
        <v>4572</v>
      </c>
      <c r="K289" s="3811" t="s">
        <v>4573</v>
      </c>
      <c r="L289" s="3782" t="s">
        <v>4574</v>
      </c>
      <c r="M289" s="3762" t="s">
        <v>4575</v>
      </c>
      <c r="N289" s="3782" t="s">
        <v>4576</v>
      </c>
      <c r="O289" s="3762" t="s">
        <v>4577</v>
      </c>
      <c r="P289" s="3810" t="s">
        <v>4578</v>
      </c>
      <c r="Q289" s="3811" t="s">
        <v>4579</v>
      </c>
      <c r="R289" s="3810" t="s">
        <v>4580</v>
      </c>
      <c r="S289" s="3811" t="s">
        <v>4581</v>
      </c>
      <c r="T289" s="3782" t="s">
        <v>4582</v>
      </c>
      <c r="U289" s="3762" t="s">
        <v>4583</v>
      </c>
      <c r="V289" s="3782" t="s">
        <v>4584</v>
      </c>
      <c r="W289" s="3762" t="s">
        <v>4585</v>
      </c>
      <c r="X289" s="3779" t="s">
        <v>4586</v>
      </c>
      <c r="Y289" s="812" t="s">
        <v>4587</v>
      </c>
      <c r="Z289" s="3779" t="s">
        <v>4588</v>
      </c>
      <c r="AA289" s="812" t="s">
        <v>4589</v>
      </c>
      <c r="AB289" s="3779" t="s">
        <v>4590</v>
      </c>
      <c r="AC289" s="812" t="s">
        <v>4591</v>
      </c>
      <c r="AD289" s="3779" t="s">
        <v>4592</v>
      </c>
      <c r="AE289" s="812" t="s">
        <v>4593</v>
      </c>
      <c r="AF289" s="3779" t="s">
        <v>4594</v>
      </c>
      <c r="AG289" s="812" t="s">
        <v>4595</v>
      </c>
      <c r="AH289" s="3779" t="s">
        <v>4596</v>
      </c>
      <c r="AI289" s="812" t="s">
        <v>4597</v>
      </c>
      <c r="AJ289" s="3779" t="s">
        <v>4598</v>
      </c>
      <c r="AK289" s="812" t="s">
        <v>4599</v>
      </c>
      <c r="AL289" s="3779" t="s">
        <v>4600</v>
      </c>
      <c r="AM289" s="812" t="s">
        <v>4601</v>
      </c>
      <c r="AN289" s="3780" t="s">
        <v>4602</v>
      </c>
      <c r="AO289" s="3781" t="s">
        <v>4603</v>
      </c>
      <c r="AP289" s="3761" t="s">
        <v>4604</v>
      </c>
      <c r="AQ289" s="3762" t="s">
        <v>4605</v>
      </c>
      <c r="AR289" s="3773" t="s">
        <v>4606</v>
      </c>
      <c r="AS289" s="3779" t="s">
        <v>4934</v>
      </c>
      <c r="AT289" s="3762" t="s">
        <v>4935</v>
      </c>
      <c r="AU289" s="3777" t="s">
        <v>4936</v>
      </c>
      <c r="AV289" s="812" t="s">
        <v>4937</v>
      </c>
      <c r="AW289" s="3762" t="s">
        <v>5234</v>
      </c>
      <c r="AX289" s="3777" t="s">
        <v>5235</v>
      </c>
      <c r="AY289" s="812" t="s">
        <v>5236</v>
      </c>
      <c r="AZ289" t="e">
        <f t="shared" si="208"/>
        <v>#VALUE!</v>
      </c>
      <c r="CB289" s="433" t="str">
        <f t="shared" si="209"/>
        <v xml:space="preserve"> * La variable Gestante no puede superar el Total Mujeres.</v>
      </c>
      <c r="CC289" s="433" t="e">
        <f t="shared" si="210"/>
        <v>#VALUE!</v>
      </c>
      <c r="CD289" s="435"/>
      <c r="CE289" s="435"/>
      <c r="CF289" s="433" t="str">
        <f>IF(AND($E289&gt;0,AR289="")," * No olvide digitar la variable Inasistente. Digite cero si no tiene.",IF(AR289&gt;$E289," * La variable Insasistente no puede superar el Total Ambos Sexos.",""))</f>
        <v xml:space="preserve"> * La variable Insasistente no puede superar el Total Ambos Sexos.</v>
      </c>
      <c r="CG289" s="433" t="str">
        <f t="shared" si="211"/>
        <v xml:space="preserve"> * La variable Compra de Servicio no puede superar el Total Ambos Sexos.</v>
      </c>
      <c r="CH289" s="435"/>
      <c r="CI289" s="433" t="str">
        <f t="shared" si="212"/>
        <v xml:space="preserve"> * La variable Usuarios con Dicapacidad no puede superar el Total Ambos Sexos.</v>
      </c>
      <c r="CJ289" s="433" t="str">
        <f t="shared" si="213"/>
        <v xml:space="preserve"> * La variable Usuarios Oncológicos no puede superar el Total Ambos Sexos.</v>
      </c>
      <c r="CK289" s="435"/>
      <c r="CL289" s="433" t="str">
        <f t="shared" si="214"/>
        <v xml:space="preserve"> * La variable Migrantes no puede superar el Total Ambos Sexos.</v>
      </c>
      <c r="CM289" s="433" t="str">
        <f t="shared" si="215"/>
        <v xml:space="preserve"> * La variable Pueblo Originario no puede superar el Total Ambos Sexos.</v>
      </c>
      <c r="CP289" s="434">
        <f t="shared" si="216"/>
        <v>1</v>
      </c>
      <c r="CQ289" s="434" t="e">
        <f t="shared" si="217"/>
        <v>#VALUE!</v>
      </c>
      <c r="CR289" s="435"/>
      <c r="CS289" s="435"/>
      <c r="CT289" s="434">
        <f t="shared" si="239"/>
        <v>1</v>
      </c>
      <c r="CU289" s="434">
        <f t="shared" si="218"/>
        <v>1</v>
      </c>
      <c r="CV289" s="435"/>
      <c r="CW289" s="434">
        <f t="shared" si="219"/>
        <v>1</v>
      </c>
      <c r="CX289" s="434">
        <f t="shared" si="220"/>
        <v>1</v>
      </c>
      <c r="CY289" s="435"/>
      <c r="CZ289" s="434">
        <f t="shared" si="221"/>
        <v>1</v>
      </c>
      <c r="DA289" s="434">
        <f t="shared" si="222"/>
        <v>1</v>
      </c>
    </row>
    <row r="290" spans="1:105" ht="15" customHeight="1" x14ac:dyDescent="0.25">
      <c r="A290" s="5812" t="s">
        <v>5901</v>
      </c>
      <c r="B290" s="6058"/>
      <c r="C290" s="7059" t="s">
        <v>1830</v>
      </c>
      <c r="D290" s="7059"/>
      <c r="E290" s="3775" t="s">
        <v>4567</v>
      </c>
      <c r="F290" s="3776" t="s">
        <v>4568</v>
      </c>
      <c r="G290" s="3794" t="s">
        <v>4569</v>
      </c>
      <c r="H290" s="3810" t="s">
        <v>4570</v>
      </c>
      <c r="I290" s="3811" t="s">
        <v>4571</v>
      </c>
      <c r="J290" s="3810" t="s">
        <v>4572</v>
      </c>
      <c r="K290" s="3811" t="s">
        <v>4573</v>
      </c>
      <c r="L290" s="3782" t="s">
        <v>4574</v>
      </c>
      <c r="M290" s="3762" t="s">
        <v>4575</v>
      </c>
      <c r="N290" s="3782" t="s">
        <v>4576</v>
      </c>
      <c r="O290" s="3762" t="s">
        <v>4577</v>
      </c>
      <c r="P290" s="3810" t="s">
        <v>4578</v>
      </c>
      <c r="Q290" s="3811" t="s">
        <v>4579</v>
      </c>
      <c r="R290" s="3810" t="s">
        <v>4580</v>
      </c>
      <c r="S290" s="3811" t="s">
        <v>4581</v>
      </c>
      <c r="T290" s="3782" t="s">
        <v>4582</v>
      </c>
      <c r="U290" s="3762" t="s">
        <v>4583</v>
      </c>
      <c r="V290" s="3782" t="s">
        <v>4584</v>
      </c>
      <c r="W290" s="3762" t="s">
        <v>4585</v>
      </c>
      <c r="X290" s="3779" t="s">
        <v>4586</v>
      </c>
      <c r="Y290" s="812" t="s">
        <v>4587</v>
      </c>
      <c r="Z290" s="3779" t="s">
        <v>4588</v>
      </c>
      <c r="AA290" s="812" t="s">
        <v>4589</v>
      </c>
      <c r="AB290" s="3779" t="s">
        <v>4590</v>
      </c>
      <c r="AC290" s="812" t="s">
        <v>4591</v>
      </c>
      <c r="AD290" s="3779" t="s">
        <v>4592</v>
      </c>
      <c r="AE290" s="812" t="s">
        <v>4593</v>
      </c>
      <c r="AF290" s="3779" t="s">
        <v>4594</v>
      </c>
      <c r="AG290" s="812" t="s">
        <v>4595</v>
      </c>
      <c r="AH290" s="3779" t="s">
        <v>4596</v>
      </c>
      <c r="AI290" s="812" t="s">
        <v>4597</v>
      </c>
      <c r="AJ290" s="3779" t="s">
        <v>4598</v>
      </c>
      <c r="AK290" s="812" t="s">
        <v>4599</v>
      </c>
      <c r="AL290" s="3779" t="s">
        <v>4600</v>
      </c>
      <c r="AM290" s="812" t="s">
        <v>4601</v>
      </c>
      <c r="AN290" s="3780" t="s">
        <v>4602</v>
      </c>
      <c r="AO290" s="3781" t="s">
        <v>4603</v>
      </c>
      <c r="AP290" s="3761" t="s">
        <v>4604</v>
      </c>
      <c r="AQ290" s="3762" t="s">
        <v>4605</v>
      </c>
      <c r="AR290" s="3782" t="s">
        <v>4606</v>
      </c>
      <c r="AS290" s="3779" t="s">
        <v>4934</v>
      </c>
      <c r="AT290" s="3762" t="s">
        <v>4935</v>
      </c>
      <c r="AU290" s="3777" t="s">
        <v>4936</v>
      </c>
      <c r="AV290" s="812" t="s">
        <v>4937</v>
      </c>
      <c r="AW290" s="3762" t="s">
        <v>5234</v>
      </c>
      <c r="AX290" s="3777" t="s">
        <v>5235</v>
      </c>
      <c r="AY290" s="812" t="s">
        <v>5236</v>
      </c>
      <c r="AZ290" t="e">
        <f t="shared" si="208"/>
        <v>#VALUE!</v>
      </c>
      <c r="CB290" s="433" t="str">
        <f t="shared" si="209"/>
        <v xml:space="preserve"> * La variable Gestante no puede superar el Total Mujeres.</v>
      </c>
      <c r="CC290" s="433" t="e">
        <f t="shared" si="210"/>
        <v>#VALUE!</v>
      </c>
      <c r="CD290" s="435"/>
      <c r="CE290" s="435"/>
      <c r="CF290" s="435"/>
      <c r="CG290" s="433" t="str">
        <f t="shared" si="211"/>
        <v xml:space="preserve"> * La variable Compra de Servicio no puede superar el Total Ambos Sexos.</v>
      </c>
      <c r="CH290" s="435"/>
      <c r="CI290" s="433" t="str">
        <f t="shared" si="212"/>
        <v xml:space="preserve"> * La variable Usuarios con Dicapacidad no puede superar el Total Ambos Sexos.</v>
      </c>
      <c r="CJ290" s="433" t="str">
        <f t="shared" si="213"/>
        <v xml:space="preserve"> * La variable Usuarios Oncológicos no puede superar el Total Ambos Sexos.</v>
      </c>
      <c r="CK290" s="435"/>
      <c r="CL290" s="433" t="str">
        <f t="shared" si="214"/>
        <v xml:space="preserve"> * La variable Migrantes no puede superar el Total Ambos Sexos.</v>
      </c>
      <c r="CM290" s="433" t="str">
        <f t="shared" si="215"/>
        <v xml:space="preserve"> * La variable Pueblo Originario no puede superar el Total Ambos Sexos.</v>
      </c>
      <c r="CP290" s="434">
        <f t="shared" si="216"/>
        <v>1</v>
      </c>
      <c r="CQ290" s="434" t="e">
        <f t="shared" si="217"/>
        <v>#VALUE!</v>
      </c>
      <c r="CR290" s="435"/>
      <c r="CS290" s="435"/>
      <c r="CT290" s="435"/>
      <c r="CU290" s="434">
        <f t="shared" si="218"/>
        <v>1</v>
      </c>
      <c r="CV290" s="435"/>
      <c r="CW290" s="434">
        <f t="shared" si="219"/>
        <v>1</v>
      </c>
      <c r="CX290" s="434">
        <f t="shared" si="220"/>
        <v>1</v>
      </c>
      <c r="CY290" s="435"/>
      <c r="CZ290" s="434">
        <f t="shared" si="221"/>
        <v>1</v>
      </c>
      <c r="DA290" s="434">
        <f t="shared" si="222"/>
        <v>1</v>
      </c>
    </row>
    <row r="291" spans="1:105" ht="15" customHeight="1" x14ac:dyDescent="0.25">
      <c r="A291" s="5812" t="s">
        <v>5902</v>
      </c>
      <c r="B291" s="6058"/>
      <c r="C291" s="7055" t="s">
        <v>1831</v>
      </c>
      <c r="D291" s="6987"/>
      <c r="E291" s="3775" t="s">
        <v>4567</v>
      </c>
      <c r="F291" s="3776" t="s">
        <v>4568</v>
      </c>
      <c r="G291" s="3794" t="s">
        <v>4569</v>
      </c>
      <c r="H291" s="3812" t="s">
        <v>4570</v>
      </c>
      <c r="I291" s="3813" t="s">
        <v>4571</v>
      </c>
      <c r="J291" s="3812" t="s">
        <v>4572</v>
      </c>
      <c r="K291" s="3813" t="s">
        <v>4573</v>
      </c>
      <c r="L291" s="3761" t="s">
        <v>4574</v>
      </c>
      <c r="M291" s="3762" t="s">
        <v>4575</v>
      </c>
      <c r="N291" s="3761" t="s">
        <v>4576</v>
      </c>
      <c r="O291" s="3762" t="s">
        <v>4577</v>
      </c>
      <c r="P291" s="3812" t="s">
        <v>4578</v>
      </c>
      <c r="Q291" s="3813" t="s">
        <v>4579</v>
      </c>
      <c r="R291" s="3812" t="s">
        <v>4580</v>
      </c>
      <c r="S291" s="3813" t="s">
        <v>4581</v>
      </c>
      <c r="T291" s="3761" t="s">
        <v>4582</v>
      </c>
      <c r="U291" s="3762" t="s">
        <v>4583</v>
      </c>
      <c r="V291" s="3761" t="s">
        <v>4584</v>
      </c>
      <c r="W291" s="3762" t="s">
        <v>4585</v>
      </c>
      <c r="X291" s="3785" t="s">
        <v>4586</v>
      </c>
      <c r="Y291" s="2643" t="s">
        <v>4587</v>
      </c>
      <c r="Z291" s="3785" t="s">
        <v>4588</v>
      </c>
      <c r="AA291" s="2643" t="s">
        <v>4589</v>
      </c>
      <c r="AB291" s="3785" t="s">
        <v>4590</v>
      </c>
      <c r="AC291" s="2643" t="s">
        <v>4591</v>
      </c>
      <c r="AD291" s="3785" t="s">
        <v>4592</v>
      </c>
      <c r="AE291" s="2643" t="s">
        <v>4593</v>
      </c>
      <c r="AF291" s="3785" t="s">
        <v>4594</v>
      </c>
      <c r="AG291" s="2643" t="s">
        <v>4595</v>
      </c>
      <c r="AH291" s="3785" t="s">
        <v>4596</v>
      </c>
      <c r="AI291" s="2643" t="s">
        <v>4597</v>
      </c>
      <c r="AJ291" s="3785" t="s">
        <v>4598</v>
      </c>
      <c r="AK291" s="2643" t="s">
        <v>4599</v>
      </c>
      <c r="AL291" s="3785" t="s">
        <v>4600</v>
      </c>
      <c r="AM291" s="2643" t="s">
        <v>4601</v>
      </c>
      <c r="AN291" s="2641" t="s">
        <v>4602</v>
      </c>
      <c r="AO291" s="3786" t="s">
        <v>4603</v>
      </c>
      <c r="AP291" s="3761" t="s">
        <v>4604</v>
      </c>
      <c r="AQ291" s="3762" t="s">
        <v>4605</v>
      </c>
      <c r="AR291" s="3782" t="s">
        <v>4606</v>
      </c>
      <c r="AS291" s="3785" t="s">
        <v>4934</v>
      </c>
      <c r="AT291" s="3762" t="s">
        <v>4935</v>
      </c>
      <c r="AU291" s="3783" t="s">
        <v>4936</v>
      </c>
      <c r="AV291" s="2643" t="s">
        <v>4937</v>
      </c>
      <c r="AW291" s="812" t="s">
        <v>5234</v>
      </c>
      <c r="AX291" s="3783" t="s">
        <v>5235</v>
      </c>
      <c r="AY291" s="2643" t="s">
        <v>5236</v>
      </c>
      <c r="AZ291" t="e">
        <f t="shared" si="208"/>
        <v>#VALUE!</v>
      </c>
      <c r="CB291" s="433" t="str">
        <f t="shared" si="209"/>
        <v xml:space="preserve"> * La variable Gestante no puede superar el Total Mujeres.</v>
      </c>
      <c r="CC291" s="433" t="e">
        <f t="shared" si="210"/>
        <v>#VALUE!</v>
      </c>
      <c r="CD291" s="435"/>
      <c r="CE291" s="435"/>
      <c r="CF291" s="435"/>
      <c r="CG291" s="433" t="str">
        <f t="shared" si="211"/>
        <v xml:space="preserve"> * La variable Compra de Servicio no puede superar el Total Ambos Sexos.</v>
      </c>
      <c r="CH291" s="435"/>
      <c r="CI291" s="433" t="str">
        <f t="shared" si="212"/>
        <v xml:space="preserve"> * La variable Usuarios con Dicapacidad no puede superar el Total Ambos Sexos.</v>
      </c>
      <c r="CJ291" s="433" t="str">
        <f t="shared" si="213"/>
        <v xml:space="preserve"> * La variable Usuarios Oncológicos no puede superar el Total Ambos Sexos.</v>
      </c>
      <c r="CK291" s="433" t="str">
        <f>IF(AND($E291&gt;0,AW291="")," * No olvide digitar la variable Contrarreferencia al alta. Digite Cero si no tiene.",IF(AW291&gt;$E291," * La variable Contrarreferencia al alta no puede superar el Total Ambos Sexos.",""))</f>
        <v xml:space="preserve"> * La variable Contrarreferencia al alta no puede superar el Total Ambos Sexos.</v>
      </c>
      <c r="CL291" s="433" t="str">
        <f t="shared" si="214"/>
        <v xml:space="preserve"> * La variable Migrantes no puede superar el Total Ambos Sexos.</v>
      </c>
      <c r="CM291" s="433" t="str">
        <f t="shared" si="215"/>
        <v xml:space="preserve"> * La variable Pueblo Originario no puede superar el Total Ambos Sexos.</v>
      </c>
      <c r="CP291" s="434">
        <f t="shared" si="216"/>
        <v>1</v>
      </c>
      <c r="CQ291" s="434" t="e">
        <f t="shared" si="217"/>
        <v>#VALUE!</v>
      </c>
      <c r="CR291" s="435"/>
      <c r="CS291" s="435"/>
      <c r="CT291" s="435"/>
      <c r="CU291" s="434">
        <f t="shared" si="218"/>
        <v>1</v>
      </c>
      <c r="CV291" s="435"/>
      <c r="CW291" s="434">
        <f t="shared" si="219"/>
        <v>1</v>
      </c>
      <c r="CX291" s="434">
        <f t="shared" si="220"/>
        <v>1</v>
      </c>
      <c r="CY291" s="434">
        <f>IF(AND($E291&gt;0,AW291=""),1,IF(AW291&gt;$E291,1,0))</f>
        <v>1</v>
      </c>
      <c r="CZ291" s="434">
        <f t="shared" si="221"/>
        <v>1</v>
      </c>
      <c r="DA291" s="434">
        <f t="shared" si="222"/>
        <v>1</v>
      </c>
    </row>
    <row r="292" spans="1:105" ht="15" customHeight="1" x14ac:dyDescent="0.25">
      <c r="A292" s="5812" t="s">
        <v>5903</v>
      </c>
      <c r="B292" s="6058"/>
      <c r="C292" s="7055" t="s">
        <v>1832</v>
      </c>
      <c r="D292" s="6987"/>
      <c r="E292" s="3775" t="s">
        <v>4567</v>
      </c>
      <c r="F292" s="3776" t="s">
        <v>4568</v>
      </c>
      <c r="G292" s="3794" t="s">
        <v>4569</v>
      </c>
      <c r="H292" s="3812" t="s">
        <v>4570</v>
      </c>
      <c r="I292" s="3813" t="s">
        <v>4571</v>
      </c>
      <c r="J292" s="3812" t="s">
        <v>4572</v>
      </c>
      <c r="K292" s="3813" t="s">
        <v>4573</v>
      </c>
      <c r="L292" s="3787" t="s">
        <v>4574</v>
      </c>
      <c r="M292" s="3788" t="s">
        <v>4575</v>
      </c>
      <c r="N292" s="3787" t="s">
        <v>4576</v>
      </c>
      <c r="O292" s="3788" t="s">
        <v>4577</v>
      </c>
      <c r="P292" s="3812" t="s">
        <v>4578</v>
      </c>
      <c r="Q292" s="3813" t="s">
        <v>4579</v>
      </c>
      <c r="R292" s="3812" t="s">
        <v>4580</v>
      </c>
      <c r="S292" s="3813" t="s">
        <v>4581</v>
      </c>
      <c r="T292" s="3787" t="s">
        <v>4582</v>
      </c>
      <c r="U292" s="3788" t="s">
        <v>4583</v>
      </c>
      <c r="V292" s="3787" t="s">
        <v>4584</v>
      </c>
      <c r="W292" s="3788" t="s">
        <v>4585</v>
      </c>
      <c r="X292" s="3785" t="s">
        <v>4586</v>
      </c>
      <c r="Y292" s="2643" t="s">
        <v>4587</v>
      </c>
      <c r="Z292" s="3785" t="s">
        <v>4588</v>
      </c>
      <c r="AA292" s="2643" t="s">
        <v>4589</v>
      </c>
      <c r="AB292" s="3785" t="s">
        <v>4590</v>
      </c>
      <c r="AC292" s="2643" t="s">
        <v>4591</v>
      </c>
      <c r="AD292" s="3785" t="s">
        <v>4592</v>
      </c>
      <c r="AE292" s="2643" t="s">
        <v>4593</v>
      </c>
      <c r="AF292" s="3785" t="s">
        <v>4594</v>
      </c>
      <c r="AG292" s="2643" t="s">
        <v>4595</v>
      </c>
      <c r="AH292" s="3785" t="s">
        <v>4596</v>
      </c>
      <c r="AI292" s="2643" t="s">
        <v>4597</v>
      </c>
      <c r="AJ292" s="3785" t="s">
        <v>4598</v>
      </c>
      <c r="AK292" s="2643" t="s">
        <v>4599</v>
      </c>
      <c r="AL292" s="3785" t="s">
        <v>4600</v>
      </c>
      <c r="AM292" s="2643" t="s">
        <v>4601</v>
      </c>
      <c r="AN292" s="2641" t="s">
        <v>4602</v>
      </c>
      <c r="AO292" s="3786" t="s">
        <v>4603</v>
      </c>
      <c r="AP292" s="3787" t="s">
        <v>4604</v>
      </c>
      <c r="AQ292" s="3788" t="s">
        <v>4605</v>
      </c>
      <c r="AR292" s="3789" t="s">
        <v>4606</v>
      </c>
      <c r="AS292" s="3785" t="s">
        <v>4934</v>
      </c>
      <c r="AT292" s="3788" t="s">
        <v>4935</v>
      </c>
      <c r="AU292" s="3783" t="s">
        <v>4936</v>
      </c>
      <c r="AV292" s="2643" t="s">
        <v>4937</v>
      </c>
      <c r="AW292" s="3788" t="s">
        <v>5234</v>
      </c>
      <c r="AX292" s="3783" t="s">
        <v>5235</v>
      </c>
      <c r="AY292" s="2643" t="s">
        <v>5236</v>
      </c>
      <c r="AZ292" t="e">
        <f t="shared" si="208"/>
        <v>#VALUE!</v>
      </c>
      <c r="CB292" s="433" t="str">
        <f t="shared" si="209"/>
        <v xml:space="preserve"> * La variable Gestante no puede superar el Total Mujeres.</v>
      </c>
      <c r="CC292" s="433" t="e">
        <f t="shared" si="210"/>
        <v>#VALUE!</v>
      </c>
      <c r="CD292" s="435"/>
      <c r="CE292" s="435"/>
      <c r="CF292" s="435"/>
      <c r="CG292" s="433" t="str">
        <f t="shared" si="211"/>
        <v xml:space="preserve"> * La variable Compra de Servicio no puede superar el Total Ambos Sexos.</v>
      </c>
      <c r="CH292" s="435"/>
      <c r="CI292" s="433" t="str">
        <f t="shared" si="212"/>
        <v xml:space="preserve"> * La variable Usuarios con Dicapacidad no puede superar el Total Ambos Sexos.</v>
      </c>
      <c r="CJ292" s="433" t="str">
        <f t="shared" si="213"/>
        <v xml:space="preserve"> * La variable Usuarios Oncológicos no puede superar el Total Ambos Sexos.</v>
      </c>
      <c r="CK292" s="435"/>
      <c r="CL292" s="433" t="str">
        <f t="shared" si="214"/>
        <v xml:space="preserve"> * La variable Migrantes no puede superar el Total Ambos Sexos.</v>
      </c>
      <c r="CM292" s="433" t="str">
        <f t="shared" si="215"/>
        <v xml:space="preserve"> * La variable Pueblo Originario no puede superar el Total Ambos Sexos.</v>
      </c>
      <c r="CP292" s="434">
        <f t="shared" si="216"/>
        <v>1</v>
      </c>
      <c r="CQ292" s="434" t="e">
        <f t="shared" si="217"/>
        <v>#VALUE!</v>
      </c>
      <c r="CR292" s="435"/>
      <c r="CS292" s="435"/>
      <c r="CT292" s="435"/>
      <c r="CU292" s="434">
        <f t="shared" si="218"/>
        <v>1</v>
      </c>
      <c r="CV292" s="435"/>
      <c r="CW292" s="434">
        <f t="shared" si="219"/>
        <v>1</v>
      </c>
      <c r="CX292" s="434">
        <f t="shared" si="220"/>
        <v>1</v>
      </c>
      <c r="CY292" s="435"/>
      <c r="CZ292" s="434">
        <f t="shared" si="221"/>
        <v>1</v>
      </c>
      <c r="DA292" s="434">
        <f t="shared" si="222"/>
        <v>1</v>
      </c>
    </row>
    <row r="293" spans="1:105" ht="15" customHeight="1" x14ac:dyDescent="0.25">
      <c r="A293" s="5812" t="s">
        <v>5904</v>
      </c>
      <c r="B293" s="6842"/>
      <c r="C293" s="7056" t="s">
        <v>1833</v>
      </c>
      <c r="D293" s="7056"/>
      <c r="E293" s="3395" t="s">
        <v>4567</v>
      </c>
      <c r="F293" s="3527" t="s">
        <v>4568</v>
      </c>
      <c r="G293" s="3480" t="s">
        <v>4569</v>
      </c>
      <c r="H293" s="3814" t="s">
        <v>4570</v>
      </c>
      <c r="I293" s="3815" t="s">
        <v>4571</v>
      </c>
      <c r="J293" s="3816" t="s">
        <v>4572</v>
      </c>
      <c r="K293" s="3815" t="s">
        <v>4573</v>
      </c>
      <c r="L293" s="3814" t="s">
        <v>4574</v>
      </c>
      <c r="M293" s="3815" t="s">
        <v>4575</v>
      </c>
      <c r="N293" s="3814" t="s">
        <v>4576</v>
      </c>
      <c r="O293" s="3815" t="s">
        <v>4577</v>
      </c>
      <c r="P293" s="3816" t="s">
        <v>4578</v>
      </c>
      <c r="Q293" s="3815" t="s">
        <v>4579</v>
      </c>
      <c r="R293" s="3816" t="s">
        <v>4580</v>
      </c>
      <c r="S293" s="3815" t="s">
        <v>4581</v>
      </c>
      <c r="T293" s="3814" t="s">
        <v>4582</v>
      </c>
      <c r="U293" s="3815" t="s">
        <v>4583</v>
      </c>
      <c r="V293" s="3814" t="s">
        <v>4584</v>
      </c>
      <c r="W293" s="3815" t="s">
        <v>4585</v>
      </c>
      <c r="X293" s="3768" t="s">
        <v>4586</v>
      </c>
      <c r="Y293" s="815" t="s">
        <v>4587</v>
      </c>
      <c r="Z293" s="3768" t="s">
        <v>4588</v>
      </c>
      <c r="AA293" s="815" t="s">
        <v>4589</v>
      </c>
      <c r="AB293" s="3768" t="s">
        <v>4590</v>
      </c>
      <c r="AC293" s="815" t="s">
        <v>4591</v>
      </c>
      <c r="AD293" s="3768" t="s">
        <v>4592</v>
      </c>
      <c r="AE293" s="815" t="s">
        <v>4593</v>
      </c>
      <c r="AF293" s="3768" t="s">
        <v>4594</v>
      </c>
      <c r="AG293" s="815" t="s">
        <v>4595</v>
      </c>
      <c r="AH293" s="3768" t="s">
        <v>4596</v>
      </c>
      <c r="AI293" s="815" t="s">
        <v>4597</v>
      </c>
      <c r="AJ293" s="3768" t="s">
        <v>4598</v>
      </c>
      <c r="AK293" s="815" t="s">
        <v>4599</v>
      </c>
      <c r="AL293" s="3768" t="s">
        <v>4600</v>
      </c>
      <c r="AM293" s="815" t="s">
        <v>4601</v>
      </c>
      <c r="AN293" s="814" t="s">
        <v>4602</v>
      </c>
      <c r="AO293" s="3769" t="s">
        <v>4603</v>
      </c>
      <c r="AP293" s="3790" t="s">
        <v>4604</v>
      </c>
      <c r="AQ293" s="3770" t="s">
        <v>4605</v>
      </c>
      <c r="AR293" s="3791" t="s">
        <v>4606</v>
      </c>
      <c r="AS293" s="3768" t="s">
        <v>4934</v>
      </c>
      <c r="AT293" s="3770" t="s">
        <v>4935</v>
      </c>
      <c r="AU293" s="3766" t="s">
        <v>4936</v>
      </c>
      <c r="AV293" s="815" t="s">
        <v>4937</v>
      </c>
      <c r="AW293" s="3770" t="s">
        <v>5234</v>
      </c>
      <c r="AX293" s="3766" t="s">
        <v>5235</v>
      </c>
      <c r="AY293" s="815" t="s">
        <v>5236</v>
      </c>
      <c r="AZ293" t="e">
        <f t="shared" si="208"/>
        <v>#VALUE!</v>
      </c>
      <c r="CB293" s="433" t="str">
        <f t="shared" si="209"/>
        <v xml:space="preserve"> * La variable Gestante no puede superar el Total Mujeres.</v>
      </c>
      <c r="CC293" s="433" t="e">
        <f t="shared" si="210"/>
        <v>#VALUE!</v>
      </c>
      <c r="CD293" s="435"/>
      <c r="CE293" s="435"/>
      <c r="CF293" s="435"/>
      <c r="CG293" s="433" t="str">
        <f t="shared" si="211"/>
        <v xml:space="preserve"> * La variable Compra de Servicio no puede superar el Total Ambos Sexos.</v>
      </c>
      <c r="CH293" s="435"/>
      <c r="CI293" s="433" t="str">
        <f t="shared" si="212"/>
        <v xml:space="preserve"> * La variable Usuarios con Dicapacidad no puede superar el Total Ambos Sexos.</v>
      </c>
      <c r="CJ293" s="433" t="str">
        <f t="shared" si="213"/>
        <v xml:space="preserve"> * La variable Usuarios Oncológicos no puede superar el Total Ambos Sexos.</v>
      </c>
      <c r="CK293" s="435"/>
      <c r="CL293" s="433" t="str">
        <f t="shared" si="214"/>
        <v xml:space="preserve"> * La variable Migrantes no puede superar el Total Ambos Sexos.</v>
      </c>
      <c r="CM293" s="433" t="str">
        <f t="shared" si="215"/>
        <v xml:space="preserve"> * La variable Pueblo Originario no puede superar el Total Ambos Sexos.</v>
      </c>
      <c r="CP293" s="434">
        <f t="shared" si="216"/>
        <v>1</v>
      </c>
      <c r="CQ293" s="434" t="e">
        <f t="shared" si="217"/>
        <v>#VALUE!</v>
      </c>
      <c r="CR293" s="435"/>
      <c r="CS293" s="435"/>
      <c r="CT293" s="435"/>
      <c r="CU293" s="434">
        <f t="shared" si="218"/>
        <v>1</v>
      </c>
      <c r="CV293" s="435"/>
      <c r="CW293" s="434">
        <f t="shared" si="219"/>
        <v>1</v>
      </c>
      <c r="CX293" s="434">
        <f t="shared" si="220"/>
        <v>1</v>
      </c>
      <c r="CY293" s="435"/>
      <c r="CZ293" s="434">
        <f t="shared" si="221"/>
        <v>1</v>
      </c>
      <c r="DA293" s="434">
        <f t="shared" si="222"/>
        <v>1</v>
      </c>
    </row>
    <row r="294" spans="1:105" ht="15" customHeight="1" x14ac:dyDescent="0.25">
      <c r="A294" s="5812" t="s">
        <v>5905</v>
      </c>
      <c r="B294" s="6453" t="s">
        <v>1837</v>
      </c>
      <c r="C294" s="7058" t="s">
        <v>1828</v>
      </c>
      <c r="D294" s="7058"/>
      <c r="E294" s="358" t="s">
        <v>4567</v>
      </c>
      <c r="F294" s="3556" t="s">
        <v>4568</v>
      </c>
      <c r="G294" s="3470" t="s">
        <v>4569</v>
      </c>
      <c r="H294" s="3817" t="s">
        <v>4570</v>
      </c>
      <c r="I294" s="3818" t="s">
        <v>4571</v>
      </c>
      <c r="J294" s="3819" t="s">
        <v>4572</v>
      </c>
      <c r="K294" s="3818" t="s">
        <v>4573</v>
      </c>
      <c r="L294" s="3820" t="s">
        <v>4574</v>
      </c>
      <c r="M294" s="3821" t="s">
        <v>4575</v>
      </c>
      <c r="N294" s="3820" t="s">
        <v>4576</v>
      </c>
      <c r="O294" s="3821" t="s">
        <v>4577</v>
      </c>
      <c r="P294" s="3773" t="s">
        <v>4578</v>
      </c>
      <c r="Q294" s="3772" t="s">
        <v>4579</v>
      </c>
      <c r="R294" s="3773" t="s">
        <v>4580</v>
      </c>
      <c r="S294" s="3772" t="s">
        <v>4581</v>
      </c>
      <c r="T294" s="3773" t="s">
        <v>4582</v>
      </c>
      <c r="U294" s="2657" t="s">
        <v>4583</v>
      </c>
      <c r="V294" s="3773" t="s">
        <v>4584</v>
      </c>
      <c r="W294" s="2657" t="s">
        <v>4585</v>
      </c>
      <c r="X294" s="3773" t="s">
        <v>4586</v>
      </c>
      <c r="Y294" s="2657" t="s">
        <v>4587</v>
      </c>
      <c r="Z294" s="3773" t="s">
        <v>4588</v>
      </c>
      <c r="AA294" s="2657" t="s">
        <v>4589</v>
      </c>
      <c r="AB294" s="3773" t="s">
        <v>4590</v>
      </c>
      <c r="AC294" s="2657" t="s">
        <v>4591</v>
      </c>
      <c r="AD294" s="3773" t="s">
        <v>4592</v>
      </c>
      <c r="AE294" s="2657" t="s">
        <v>4593</v>
      </c>
      <c r="AF294" s="3773" t="s">
        <v>4594</v>
      </c>
      <c r="AG294" s="2657" t="s">
        <v>4595</v>
      </c>
      <c r="AH294" s="3773" t="s">
        <v>4596</v>
      </c>
      <c r="AI294" s="2657" t="s">
        <v>4597</v>
      </c>
      <c r="AJ294" s="3773" t="s">
        <v>4598</v>
      </c>
      <c r="AK294" s="2657" t="s">
        <v>4599</v>
      </c>
      <c r="AL294" s="3773" t="s">
        <v>4600</v>
      </c>
      <c r="AM294" s="2657" t="s">
        <v>4601</v>
      </c>
      <c r="AN294" s="2655" t="s">
        <v>4602</v>
      </c>
      <c r="AO294" s="3771" t="s">
        <v>4603</v>
      </c>
      <c r="AP294" s="3774" t="s">
        <v>4604</v>
      </c>
      <c r="AQ294" s="3772" t="s">
        <v>4605</v>
      </c>
      <c r="AR294" s="3759" t="s">
        <v>4606</v>
      </c>
      <c r="AS294" s="3773" t="s">
        <v>4934</v>
      </c>
      <c r="AT294" s="3762" t="s">
        <v>4935</v>
      </c>
      <c r="AU294" s="3774" t="s">
        <v>4936</v>
      </c>
      <c r="AV294" s="2657" t="s">
        <v>4937</v>
      </c>
      <c r="AW294" s="3762" t="s">
        <v>5234</v>
      </c>
      <c r="AX294" s="3774" t="s">
        <v>5235</v>
      </c>
      <c r="AY294" s="2657" t="s">
        <v>5236</v>
      </c>
      <c r="AZ294" t="e">
        <f t="shared" si="208"/>
        <v>#VALUE!</v>
      </c>
      <c r="CB294" s="433" t="str">
        <f t="shared" si="209"/>
        <v xml:space="preserve"> * La variable Gestante no puede superar el Total Mujeres.</v>
      </c>
      <c r="CC294" s="433" t="e">
        <f t="shared" si="210"/>
        <v>#VALUE!</v>
      </c>
      <c r="CD294" s="433" t="str">
        <f>IF(AND($E294&gt;0,AP294="")," * No olvide digitar la variable Consultas Pertinentes: Según Procolo de Referencia. Digite cero si no tiene.",IF(AP294&gt;$E294,"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94" s="433" t="str">
        <f>IF(AND($E294&gt;0,AQ294="")," * No olvide digitar la variable Consultas Pertinentes: Según condición clínica. Digite cero si no tiene.",IF(AQ294&gt;$E294,"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94" s="433" t="str">
        <f>IF(AND($E294&gt;0,AR294="")," * No olvide digitar la variable Inasistente. Digite cero si no tiene.",IF(AR294&gt;$E294," * La variable Insasistente no puede superar el Total Ambos Sexos.",""))</f>
        <v xml:space="preserve"> * La variable Insasistente no puede superar el Total Ambos Sexos.</v>
      </c>
      <c r="CG294" s="433" t="str">
        <f t="shared" si="211"/>
        <v xml:space="preserve"> * La variable Compra de Servicio no puede superar el Total Ambos Sexos.</v>
      </c>
      <c r="CH294" s="435"/>
      <c r="CI294" s="433" t="str">
        <f t="shared" si="212"/>
        <v xml:space="preserve"> * La variable Usuarios con Dicapacidad no puede superar el Total Ambos Sexos.</v>
      </c>
      <c r="CJ294" s="433" t="str">
        <f t="shared" si="213"/>
        <v xml:space="preserve"> * La variable Usuarios Oncológicos no puede superar el Total Ambos Sexos.</v>
      </c>
      <c r="CK294" s="435"/>
      <c r="CL294" s="433" t="str">
        <f t="shared" si="214"/>
        <v xml:space="preserve"> * La variable Migrantes no puede superar el Total Ambos Sexos.</v>
      </c>
      <c r="CM294" s="433" t="str">
        <f t="shared" si="215"/>
        <v xml:space="preserve"> * La variable Pueblo Originario no puede superar el Total Ambos Sexos.</v>
      </c>
      <c r="CP294" s="434">
        <f t="shared" si="216"/>
        <v>1</v>
      </c>
      <c r="CQ294" s="434" t="e">
        <f t="shared" si="217"/>
        <v>#VALUE!</v>
      </c>
      <c r="CR294" s="434">
        <f>IF(AND($E294&gt;0,AP294=""),1,IF(AP294&gt;$E294,1,0))</f>
        <v>1</v>
      </c>
      <c r="CS294" s="434">
        <f t="shared" ref="CS294" si="240">IF(AND($E294&gt;0,AQ294=""),1,IF(AQ294&gt;$E294,1,0))</f>
        <v>1</v>
      </c>
      <c r="CT294" s="434">
        <f t="shared" ref="CT294:CT295" si="241">IF(AND($E294&gt;0,AR294=""),1,IF(AR294&gt;$E294,1,0))</f>
        <v>1</v>
      </c>
      <c r="CU294" s="434">
        <f t="shared" si="218"/>
        <v>1</v>
      </c>
      <c r="CV294" s="435"/>
      <c r="CW294" s="434">
        <f t="shared" si="219"/>
        <v>1</v>
      </c>
      <c r="CX294" s="434">
        <f t="shared" si="220"/>
        <v>1</v>
      </c>
      <c r="CY294" s="435"/>
      <c r="CZ294" s="434">
        <f t="shared" si="221"/>
        <v>1</v>
      </c>
      <c r="DA294" s="434">
        <f t="shared" si="222"/>
        <v>1</v>
      </c>
    </row>
    <row r="295" spans="1:105" ht="15" customHeight="1" x14ac:dyDescent="0.25">
      <c r="A295" s="5812" t="s">
        <v>5906</v>
      </c>
      <c r="B295" s="6058"/>
      <c r="C295" s="7059" t="s">
        <v>1829</v>
      </c>
      <c r="D295" s="7059"/>
      <c r="E295" s="3775" t="s">
        <v>4567</v>
      </c>
      <c r="F295" s="3776" t="s">
        <v>4568</v>
      </c>
      <c r="G295" s="3562" t="s">
        <v>4569</v>
      </c>
      <c r="H295" s="3822" t="s">
        <v>4570</v>
      </c>
      <c r="I295" s="3811" t="s">
        <v>4571</v>
      </c>
      <c r="J295" s="3810" t="s">
        <v>4572</v>
      </c>
      <c r="K295" s="3811" t="s">
        <v>4573</v>
      </c>
      <c r="L295" s="3782" t="s">
        <v>4574</v>
      </c>
      <c r="M295" s="3762" t="s">
        <v>4575</v>
      </c>
      <c r="N295" s="3782" t="s">
        <v>4576</v>
      </c>
      <c r="O295" s="3762" t="s">
        <v>4577</v>
      </c>
      <c r="P295" s="3779" t="s">
        <v>4578</v>
      </c>
      <c r="Q295" s="3778" t="s">
        <v>4579</v>
      </c>
      <c r="R295" s="3779" t="s">
        <v>4580</v>
      </c>
      <c r="S295" s="3778" t="s">
        <v>4581</v>
      </c>
      <c r="T295" s="3779" t="s">
        <v>4582</v>
      </c>
      <c r="U295" s="812" t="s">
        <v>4583</v>
      </c>
      <c r="V295" s="3779" t="s">
        <v>4584</v>
      </c>
      <c r="W295" s="812" t="s">
        <v>4585</v>
      </c>
      <c r="X295" s="3779" t="s">
        <v>4586</v>
      </c>
      <c r="Y295" s="812" t="s">
        <v>4587</v>
      </c>
      <c r="Z295" s="3779" t="s">
        <v>4588</v>
      </c>
      <c r="AA295" s="812" t="s">
        <v>4589</v>
      </c>
      <c r="AB295" s="3779" t="s">
        <v>4590</v>
      </c>
      <c r="AC295" s="812" t="s">
        <v>4591</v>
      </c>
      <c r="AD295" s="3779" t="s">
        <v>4592</v>
      </c>
      <c r="AE295" s="812" t="s">
        <v>4593</v>
      </c>
      <c r="AF295" s="3779" t="s">
        <v>4594</v>
      </c>
      <c r="AG295" s="812" t="s">
        <v>4595</v>
      </c>
      <c r="AH295" s="3779" t="s">
        <v>4596</v>
      </c>
      <c r="AI295" s="812" t="s">
        <v>4597</v>
      </c>
      <c r="AJ295" s="3779" t="s">
        <v>4598</v>
      </c>
      <c r="AK295" s="812" t="s">
        <v>4599</v>
      </c>
      <c r="AL295" s="3779" t="s">
        <v>4600</v>
      </c>
      <c r="AM295" s="812" t="s">
        <v>4601</v>
      </c>
      <c r="AN295" s="3780" t="s">
        <v>4602</v>
      </c>
      <c r="AO295" s="3781" t="s">
        <v>4603</v>
      </c>
      <c r="AP295" s="3761" t="s">
        <v>4604</v>
      </c>
      <c r="AQ295" s="3762" t="s">
        <v>4605</v>
      </c>
      <c r="AR295" s="3773" t="s">
        <v>4606</v>
      </c>
      <c r="AS295" s="3779" t="s">
        <v>4934</v>
      </c>
      <c r="AT295" s="3762" t="s">
        <v>4935</v>
      </c>
      <c r="AU295" s="3777" t="s">
        <v>4936</v>
      </c>
      <c r="AV295" s="812" t="s">
        <v>4937</v>
      </c>
      <c r="AW295" s="3762" t="s">
        <v>5234</v>
      </c>
      <c r="AX295" s="3777" t="s">
        <v>5235</v>
      </c>
      <c r="AY295" s="812" t="s">
        <v>5236</v>
      </c>
      <c r="AZ295" t="e">
        <f t="shared" si="208"/>
        <v>#VALUE!</v>
      </c>
      <c r="CB295" s="433" t="str">
        <f t="shared" si="209"/>
        <v xml:space="preserve"> * La variable Gestante no puede superar el Total Mujeres.</v>
      </c>
      <c r="CC295" s="433" t="e">
        <f t="shared" si="210"/>
        <v>#VALUE!</v>
      </c>
      <c r="CD295" s="435"/>
      <c r="CE295" s="435"/>
      <c r="CF295" s="433" t="str">
        <f>IF(AND($E295&gt;0,AR295="")," * No olvide digitar la variable Inasistente. Digite cero si no tiene.",IF(AR295&gt;$E295," * La variable Insasistente no puede superar el Total Ambos Sexos.",""))</f>
        <v xml:space="preserve"> * La variable Insasistente no puede superar el Total Ambos Sexos.</v>
      </c>
      <c r="CG295" s="433" t="str">
        <f t="shared" si="211"/>
        <v xml:space="preserve"> * La variable Compra de Servicio no puede superar el Total Ambos Sexos.</v>
      </c>
      <c r="CH295" s="435"/>
      <c r="CI295" s="433" t="str">
        <f t="shared" si="212"/>
        <v xml:space="preserve"> * La variable Usuarios con Dicapacidad no puede superar el Total Ambos Sexos.</v>
      </c>
      <c r="CJ295" s="433" t="str">
        <f t="shared" si="213"/>
        <v xml:space="preserve"> * La variable Usuarios Oncológicos no puede superar el Total Ambos Sexos.</v>
      </c>
      <c r="CK295" s="435"/>
      <c r="CL295" s="433" t="str">
        <f t="shared" si="214"/>
        <v xml:space="preserve"> * La variable Migrantes no puede superar el Total Ambos Sexos.</v>
      </c>
      <c r="CM295" s="433" t="str">
        <f t="shared" si="215"/>
        <v xml:space="preserve"> * La variable Pueblo Originario no puede superar el Total Ambos Sexos.</v>
      </c>
      <c r="CP295" s="434">
        <f t="shared" si="216"/>
        <v>1</v>
      </c>
      <c r="CQ295" s="434" t="e">
        <f t="shared" si="217"/>
        <v>#VALUE!</v>
      </c>
      <c r="CR295" s="435"/>
      <c r="CS295" s="435"/>
      <c r="CT295" s="434">
        <f t="shared" si="241"/>
        <v>1</v>
      </c>
      <c r="CU295" s="434">
        <f t="shared" si="218"/>
        <v>1</v>
      </c>
      <c r="CV295" s="435"/>
      <c r="CW295" s="434">
        <f t="shared" si="219"/>
        <v>1</v>
      </c>
      <c r="CX295" s="434">
        <f t="shared" si="220"/>
        <v>1</v>
      </c>
      <c r="CY295" s="435"/>
      <c r="CZ295" s="434">
        <f t="shared" si="221"/>
        <v>1</v>
      </c>
      <c r="DA295" s="434">
        <f t="shared" si="222"/>
        <v>1</v>
      </c>
    </row>
    <row r="296" spans="1:105" ht="15" customHeight="1" x14ac:dyDescent="0.25">
      <c r="A296" s="5812" t="s">
        <v>5907</v>
      </c>
      <c r="B296" s="6058"/>
      <c r="C296" s="7059" t="s">
        <v>1830</v>
      </c>
      <c r="D296" s="7059"/>
      <c r="E296" s="3775" t="s">
        <v>4567</v>
      </c>
      <c r="F296" s="3776" t="s">
        <v>4568</v>
      </c>
      <c r="G296" s="3562" t="s">
        <v>4569</v>
      </c>
      <c r="H296" s="3822" t="s">
        <v>4570</v>
      </c>
      <c r="I296" s="3811" t="s">
        <v>4571</v>
      </c>
      <c r="J296" s="3810" t="s">
        <v>4572</v>
      </c>
      <c r="K296" s="3811" t="s">
        <v>4573</v>
      </c>
      <c r="L296" s="3782" t="s">
        <v>4574</v>
      </c>
      <c r="M296" s="3762" t="s">
        <v>4575</v>
      </c>
      <c r="N296" s="3782" t="s">
        <v>4576</v>
      </c>
      <c r="O296" s="3762" t="s">
        <v>4577</v>
      </c>
      <c r="P296" s="3779" t="s">
        <v>4578</v>
      </c>
      <c r="Q296" s="3778" t="s">
        <v>4579</v>
      </c>
      <c r="R296" s="3779" t="s">
        <v>4580</v>
      </c>
      <c r="S296" s="3778" t="s">
        <v>4581</v>
      </c>
      <c r="T296" s="3779" t="s">
        <v>4582</v>
      </c>
      <c r="U296" s="812" t="s">
        <v>4583</v>
      </c>
      <c r="V296" s="3779" t="s">
        <v>4584</v>
      </c>
      <c r="W296" s="812" t="s">
        <v>4585</v>
      </c>
      <c r="X296" s="3779" t="s">
        <v>4586</v>
      </c>
      <c r="Y296" s="812" t="s">
        <v>4587</v>
      </c>
      <c r="Z296" s="3779" t="s">
        <v>4588</v>
      </c>
      <c r="AA296" s="812" t="s">
        <v>4589</v>
      </c>
      <c r="AB296" s="3779" t="s">
        <v>4590</v>
      </c>
      <c r="AC296" s="812" t="s">
        <v>4591</v>
      </c>
      <c r="AD296" s="3779" t="s">
        <v>4592</v>
      </c>
      <c r="AE296" s="812" t="s">
        <v>4593</v>
      </c>
      <c r="AF296" s="3779" t="s">
        <v>4594</v>
      </c>
      <c r="AG296" s="812" t="s">
        <v>4595</v>
      </c>
      <c r="AH296" s="3779" t="s">
        <v>4596</v>
      </c>
      <c r="AI296" s="812" t="s">
        <v>4597</v>
      </c>
      <c r="AJ296" s="3779" t="s">
        <v>4598</v>
      </c>
      <c r="AK296" s="812" t="s">
        <v>4599</v>
      </c>
      <c r="AL296" s="3779" t="s">
        <v>4600</v>
      </c>
      <c r="AM296" s="812" t="s">
        <v>4601</v>
      </c>
      <c r="AN296" s="3780" t="s">
        <v>4602</v>
      </c>
      <c r="AO296" s="3781" t="s">
        <v>4603</v>
      </c>
      <c r="AP296" s="3761" t="s">
        <v>4604</v>
      </c>
      <c r="AQ296" s="3762" t="s">
        <v>4605</v>
      </c>
      <c r="AR296" s="3782" t="s">
        <v>4606</v>
      </c>
      <c r="AS296" s="3779" t="s">
        <v>4934</v>
      </c>
      <c r="AT296" s="3762" t="s">
        <v>4935</v>
      </c>
      <c r="AU296" s="3777" t="s">
        <v>4936</v>
      </c>
      <c r="AV296" s="812" t="s">
        <v>4937</v>
      </c>
      <c r="AW296" s="3762" t="s">
        <v>5234</v>
      </c>
      <c r="AX296" s="3777" t="s">
        <v>5235</v>
      </c>
      <c r="AY296" s="812" t="s">
        <v>5236</v>
      </c>
      <c r="AZ296" t="e">
        <f t="shared" si="208"/>
        <v>#VALUE!</v>
      </c>
      <c r="CB296" s="433" t="str">
        <f t="shared" si="209"/>
        <v xml:space="preserve"> * La variable Gestante no puede superar el Total Mujeres.</v>
      </c>
      <c r="CC296" s="433" t="e">
        <f t="shared" si="210"/>
        <v>#VALUE!</v>
      </c>
      <c r="CD296" s="435"/>
      <c r="CE296" s="435"/>
      <c r="CF296" s="435"/>
      <c r="CG296" s="433" t="str">
        <f t="shared" si="211"/>
        <v xml:space="preserve"> * La variable Compra de Servicio no puede superar el Total Ambos Sexos.</v>
      </c>
      <c r="CH296" s="435"/>
      <c r="CI296" s="433" t="str">
        <f t="shared" si="212"/>
        <v xml:space="preserve"> * La variable Usuarios con Dicapacidad no puede superar el Total Ambos Sexos.</v>
      </c>
      <c r="CJ296" s="433" t="str">
        <f t="shared" si="213"/>
        <v xml:space="preserve"> * La variable Usuarios Oncológicos no puede superar el Total Ambos Sexos.</v>
      </c>
      <c r="CK296" s="435"/>
      <c r="CL296" s="433" t="str">
        <f t="shared" si="214"/>
        <v xml:space="preserve"> * La variable Migrantes no puede superar el Total Ambos Sexos.</v>
      </c>
      <c r="CM296" s="433" t="str">
        <f t="shared" si="215"/>
        <v xml:space="preserve"> * La variable Pueblo Originario no puede superar el Total Ambos Sexos.</v>
      </c>
      <c r="CP296" s="434">
        <f t="shared" si="216"/>
        <v>1</v>
      </c>
      <c r="CQ296" s="434" t="e">
        <f t="shared" si="217"/>
        <v>#VALUE!</v>
      </c>
      <c r="CR296" s="435"/>
      <c r="CS296" s="435"/>
      <c r="CT296" s="435"/>
      <c r="CU296" s="434">
        <f t="shared" si="218"/>
        <v>1</v>
      </c>
      <c r="CV296" s="435"/>
      <c r="CW296" s="434">
        <f t="shared" si="219"/>
        <v>1</v>
      </c>
      <c r="CX296" s="434">
        <f t="shared" si="220"/>
        <v>1</v>
      </c>
      <c r="CY296" s="435"/>
      <c r="CZ296" s="434">
        <f t="shared" si="221"/>
        <v>1</v>
      </c>
      <c r="DA296" s="434">
        <f t="shared" si="222"/>
        <v>1</v>
      </c>
    </row>
    <row r="297" spans="1:105" ht="15" customHeight="1" x14ac:dyDescent="0.25">
      <c r="A297" s="5812" t="s">
        <v>5908</v>
      </c>
      <c r="B297" s="6058"/>
      <c r="C297" s="7055" t="s">
        <v>1831</v>
      </c>
      <c r="D297" s="6987"/>
      <c r="E297" s="3775" t="s">
        <v>4567</v>
      </c>
      <c r="F297" s="3776" t="s">
        <v>4568</v>
      </c>
      <c r="G297" s="3562" t="s">
        <v>4569</v>
      </c>
      <c r="H297" s="3823" t="s">
        <v>4570</v>
      </c>
      <c r="I297" s="3813" t="s">
        <v>4571</v>
      </c>
      <c r="J297" s="3812" t="s">
        <v>4572</v>
      </c>
      <c r="K297" s="3813" t="s">
        <v>4573</v>
      </c>
      <c r="L297" s="3761" t="s">
        <v>4574</v>
      </c>
      <c r="M297" s="3762" t="s">
        <v>4575</v>
      </c>
      <c r="N297" s="3761" t="s">
        <v>4576</v>
      </c>
      <c r="O297" s="3762" t="s">
        <v>4577</v>
      </c>
      <c r="P297" s="3785" t="s">
        <v>4578</v>
      </c>
      <c r="Q297" s="3784" t="s">
        <v>4579</v>
      </c>
      <c r="R297" s="3785" t="s">
        <v>4580</v>
      </c>
      <c r="S297" s="3784" t="s">
        <v>4581</v>
      </c>
      <c r="T297" s="3785" t="s">
        <v>4582</v>
      </c>
      <c r="U297" s="2643" t="s">
        <v>4583</v>
      </c>
      <c r="V297" s="3785" t="s">
        <v>4584</v>
      </c>
      <c r="W297" s="2643" t="s">
        <v>4585</v>
      </c>
      <c r="X297" s="3785" t="s">
        <v>4586</v>
      </c>
      <c r="Y297" s="2643" t="s">
        <v>4587</v>
      </c>
      <c r="Z297" s="3785" t="s">
        <v>4588</v>
      </c>
      <c r="AA297" s="2643" t="s">
        <v>4589</v>
      </c>
      <c r="AB297" s="3785" t="s">
        <v>4590</v>
      </c>
      <c r="AC297" s="2643" t="s">
        <v>4591</v>
      </c>
      <c r="AD297" s="3785" t="s">
        <v>4592</v>
      </c>
      <c r="AE297" s="2643" t="s">
        <v>4593</v>
      </c>
      <c r="AF297" s="3785" t="s">
        <v>4594</v>
      </c>
      <c r="AG297" s="2643" t="s">
        <v>4595</v>
      </c>
      <c r="AH297" s="3785" t="s">
        <v>4596</v>
      </c>
      <c r="AI297" s="2643" t="s">
        <v>4597</v>
      </c>
      <c r="AJ297" s="3785" t="s">
        <v>4598</v>
      </c>
      <c r="AK297" s="2643" t="s">
        <v>4599</v>
      </c>
      <c r="AL297" s="3785" t="s">
        <v>4600</v>
      </c>
      <c r="AM297" s="2643" t="s">
        <v>4601</v>
      </c>
      <c r="AN297" s="2641" t="s">
        <v>4602</v>
      </c>
      <c r="AO297" s="3786" t="s">
        <v>4603</v>
      </c>
      <c r="AP297" s="3761" t="s">
        <v>4604</v>
      </c>
      <c r="AQ297" s="3762" t="s">
        <v>4605</v>
      </c>
      <c r="AR297" s="3782" t="s">
        <v>4606</v>
      </c>
      <c r="AS297" s="3785" t="s">
        <v>4934</v>
      </c>
      <c r="AT297" s="3762" t="s">
        <v>4935</v>
      </c>
      <c r="AU297" s="3783" t="s">
        <v>4936</v>
      </c>
      <c r="AV297" s="2643" t="s">
        <v>4937</v>
      </c>
      <c r="AW297" s="812" t="s">
        <v>5234</v>
      </c>
      <c r="AX297" s="3783" t="s">
        <v>5235</v>
      </c>
      <c r="AY297" s="2643" t="s">
        <v>5236</v>
      </c>
      <c r="AZ297" t="e">
        <f t="shared" si="208"/>
        <v>#VALUE!</v>
      </c>
      <c r="CB297" s="433" t="str">
        <f t="shared" si="209"/>
        <v xml:space="preserve"> * La variable Gestante no puede superar el Total Mujeres.</v>
      </c>
      <c r="CC297" s="433" t="e">
        <f t="shared" si="210"/>
        <v>#VALUE!</v>
      </c>
      <c r="CD297" s="435"/>
      <c r="CE297" s="435"/>
      <c r="CF297" s="435"/>
      <c r="CG297" s="433" t="str">
        <f t="shared" si="211"/>
        <v xml:space="preserve"> * La variable Compra de Servicio no puede superar el Total Ambos Sexos.</v>
      </c>
      <c r="CH297" s="435"/>
      <c r="CI297" s="433" t="str">
        <f t="shared" si="212"/>
        <v xml:space="preserve"> * La variable Usuarios con Dicapacidad no puede superar el Total Ambos Sexos.</v>
      </c>
      <c r="CJ297" s="433" t="str">
        <f>IF(AND($E297&gt;0,AV297="")," * No olvide digitar la variable Usuarios Oncológicos. Digite Cero si no tiene.",IF(AV297&gt;$E297," * La variable Usuarios Oncológicos no puede superar el Total Ambos Sexos.",""))</f>
        <v xml:space="preserve"> * La variable Usuarios Oncológicos no puede superar el Total Ambos Sexos.</v>
      </c>
      <c r="CK297" s="433" t="str">
        <f>IF(AND($E297&gt;0,AW297="")," * No olvide digitar la variable Contrarreferencia al alta. Digite Cero si no tiene.",IF(AW297&gt;$E297," * La variable Contrarreferencia al alta no puede superar el Total Ambos Sexos.",""))</f>
        <v xml:space="preserve"> * La variable Contrarreferencia al alta no puede superar el Total Ambos Sexos.</v>
      </c>
      <c r="CL297" s="433" t="str">
        <f t="shared" si="214"/>
        <v xml:space="preserve"> * La variable Migrantes no puede superar el Total Ambos Sexos.</v>
      </c>
      <c r="CM297" s="433" t="str">
        <f t="shared" si="215"/>
        <v xml:space="preserve"> * La variable Pueblo Originario no puede superar el Total Ambos Sexos.</v>
      </c>
      <c r="CP297" s="434">
        <f t="shared" si="216"/>
        <v>1</v>
      </c>
      <c r="CQ297" s="434" t="e">
        <f t="shared" si="217"/>
        <v>#VALUE!</v>
      </c>
      <c r="CR297" s="435"/>
      <c r="CS297" s="435"/>
      <c r="CT297" s="435"/>
      <c r="CU297" s="434">
        <f t="shared" si="218"/>
        <v>1</v>
      </c>
      <c r="CV297" s="435"/>
      <c r="CW297" s="434">
        <f t="shared" si="219"/>
        <v>1</v>
      </c>
      <c r="CX297" s="434">
        <f t="shared" si="220"/>
        <v>1</v>
      </c>
      <c r="CY297" s="434">
        <f>IF(AND($E297&gt;0,AW297=""),1,IF(AW297&gt;$E297,1,0))</f>
        <v>1</v>
      </c>
      <c r="CZ297" s="434">
        <f t="shared" si="221"/>
        <v>1</v>
      </c>
      <c r="DA297" s="434">
        <f t="shared" si="222"/>
        <v>1</v>
      </c>
    </row>
    <row r="298" spans="1:105" ht="15" customHeight="1" x14ac:dyDescent="0.25">
      <c r="A298" s="5812" t="s">
        <v>5909</v>
      </c>
      <c r="B298" s="6058"/>
      <c r="C298" s="7055" t="s">
        <v>1832</v>
      </c>
      <c r="D298" s="6987"/>
      <c r="E298" s="3775" t="s">
        <v>4567</v>
      </c>
      <c r="F298" s="3776" t="s">
        <v>4568</v>
      </c>
      <c r="G298" s="3562" t="s">
        <v>4569</v>
      </c>
      <c r="H298" s="3823" t="s">
        <v>4570</v>
      </c>
      <c r="I298" s="3813" t="s">
        <v>4571</v>
      </c>
      <c r="J298" s="3812" t="s">
        <v>4572</v>
      </c>
      <c r="K298" s="3813" t="s">
        <v>4573</v>
      </c>
      <c r="L298" s="3787" t="s">
        <v>4574</v>
      </c>
      <c r="M298" s="3788" t="s">
        <v>4575</v>
      </c>
      <c r="N298" s="3787" t="s">
        <v>4576</v>
      </c>
      <c r="O298" s="3788" t="s">
        <v>4577</v>
      </c>
      <c r="P298" s="3785" t="s">
        <v>4578</v>
      </c>
      <c r="Q298" s="3784" t="s">
        <v>4579</v>
      </c>
      <c r="R298" s="3785" t="s">
        <v>4580</v>
      </c>
      <c r="S298" s="3784" t="s">
        <v>4581</v>
      </c>
      <c r="T298" s="3785" t="s">
        <v>4582</v>
      </c>
      <c r="U298" s="2643" t="s">
        <v>4583</v>
      </c>
      <c r="V298" s="3785" t="s">
        <v>4584</v>
      </c>
      <c r="W298" s="2643" t="s">
        <v>4585</v>
      </c>
      <c r="X298" s="3785" t="s">
        <v>4586</v>
      </c>
      <c r="Y298" s="2643" t="s">
        <v>4587</v>
      </c>
      <c r="Z298" s="3785" t="s">
        <v>4588</v>
      </c>
      <c r="AA298" s="2643" t="s">
        <v>4589</v>
      </c>
      <c r="AB298" s="3785" t="s">
        <v>4590</v>
      </c>
      <c r="AC298" s="2643" t="s">
        <v>4591</v>
      </c>
      <c r="AD298" s="3785" t="s">
        <v>4592</v>
      </c>
      <c r="AE298" s="2643" t="s">
        <v>4593</v>
      </c>
      <c r="AF298" s="3785" t="s">
        <v>4594</v>
      </c>
      <c r="AG298" s="2643" t="s">
        <v>4595</v>
      </c>
      <c r="AH298" s="3785" t="s">
        <v>4596</v>
      </c>
      <c r="AI298" s="2643" t="s">
        <v>4597</v>
      </c>
      <c r="AJ298" s="3785" t="s">
        <v>4598</v>
      </c>
      <c r="AK298" s="2643" t="s">
        <v>4599</v>
      </c>
      <c r="AL298" s="3785" t="s">
        <v>4600</v>
      </c>
      <c r="AM298" s="2643" t="s">
        <v>4601</v>
      </c>
      <c r="AN298" s="2641" t="s">
        <v>4602</v>
      </c>
      <c r="AO298" s="3786" t="s">
        <v>4603</v>
      </c>
      <c r="AP298" s="3787" t="s">
        <v>4604</v>
      </c>
      <c r="AQ298" s="3788" t="s">
        <v>4605</v>
      </c>
      <c r="AR298" s="3789" t="s">
        <v>4606</v>
      </c>
      <c r="AS298" s="3785" t="s">
        <v>4934</v>
      </c>
      <c r="AT298" s="3788" t="s">
        <v>4935</v>
      </c>
      <c r="AU298" s="3783" t="s">
        <v>4936</v>
      </c>
      <c r="AV298" s="2643" t="s">
        <v>4937</v>
      </c>
      <c r="AW298" s="3788" t="s">
        <v>5234</v>
      </c>
      <c r="AX298" s="3783" t="s">
        <v>5235</v>
      </c>
      <c r="AY298" s="2643" t="s">
        <v>5236</v>
      </c>
      <c r="AZ298" t="e">
        <f t="shared" si="208"/>
        <v>#VALUE!</v>
      </c>
      <c r="CB298" s="433" t="str">
        <f t="shared" si="209"/>
        <v xml:space="preserve"> * La variable Gestante no puede superar el Total Mujeres.</v>
      </c>
      <c r="CC298" s="433" t="e">
        <f t="shared" si="210"/>
        <v>#VALUE!</v>
      </c>
      <c r="CD298" s="435"/>
      <c r="CE298" s="435"/>
      <c r="CF298" s="435"/>
      <c r="CG298" s="433" t="str">
        <f t="shared" si="211"/>
        <v xml:space="preserve"> * La variable Compra de Servicio no puede superar el Total Ambos Sexos.</v>
      </c>
      <c r="CH298" s="435"/>
      <c r="CI298" s="433" t="str">
        <f t="shared" si="212"/>
        <v xml:space="preserve"> * La variable Usuarios con Dicapacidad no puede superar el Total Ambos Sexos.</v>
      </c>
      <c r="CJ298" s="433" t="str">
        <f t="shared" si="213"/>
        <v xml:space="preserve"> * La variable Usuarios Oncológicos no puede superar el Total Ambos Sexos.</v>
      </c>
      <c r="CK298" s="435"/>
      <c r="CL298" s="433" t="str">
        <f t="shared" si="214"/>
        <v xml:space="preserve"> * La variable Migrantes no puede superar el Total Ambos Sexos.</v>
      </c>
      <c r="CM298" s="433" t="str">
        <f t="shared" si="215"/>
        <v xml:space="preserve"> * La variable Pueblo Originario no puede superar el Total Ambos Sexos.</v>
      </c>
      <c r="CP298" s="434">
        <f t="shared" si="216"/>
        <v>1</v>
      </c>
      <c r="CQ298" s="434" t="e">
        <f t="shared" si="217"/>
        <v>#VALUE!</v>
      </c>
      <c r="CR298" s="435"/>
      <c r="CS298" s="435"/>
      <c r="CT298" s="435"/>
      <c r="CU298" s="434">
        <f t="shared" si="218"/>
        <v>1</v>
      </c>
      <c r="CV298" s="435"/>
      <c r="CW298" s="434">
        <f t="shared" si="219"/>
        <v>1</v>
      </c>
      <c r="CX298" s="434">
        <f t="shared" si="220"/>
        <v>1</v>
      </c>
      <c r="CY298" s="435"/>
      <c r="CZ298" s="434">
        <f t="shared" si="221"/>
        <v>1</v>
      </c>
      <c r="DA298" s="434">
        <f t="shared" si="222"/>
        <v>1</v>
      </c>
    </row>
    <row r="299" spans="1:105" ht="15" customHeight="1" x14ac:dyDescent="0.25">
      <c r="A299" s="5812" t="s">
        <v>5910</v>
      </c>
      <c r="B299" s="6842"/>
      <c r="C299" s="7056" t="s">
        <v>1833</v>
      </c>
      <c r="D299" s="7056"/>
      <c r="E299" s="3395" t="s">
        <v>4567</v>
      </c>
      <c r="F299" s="3527" t="s">
        <v>4568</v>
      </c>
      <c r="G299" s="3480" t="s">
        <v>4569</v>
      </c>
      <c r="H299" s="3814" t="s">
        <v>4570</v>
      </c>
      <c r="I299" s="3815" t="s">
        <v>4571</v>
      </c>
      <c r="J299" s="3816" t="s">
        <v>4572</v>
      </c>
      <c r="K299" s="3815" t="s">
        <v>4573</v>
      </c>
      <c r="L299" s="3814" t="s">
        <v>4574</v>
      </c>
      <c r="M299" s="3815" t="s">
        <v>4575</v>
      </c>
      <c r="N299" s="3814" t="s">
        <v>4576</v>
      </c>
      <c r="O299" s="3815" t="s">
        <v>4577</v>
      </c>
      <c r="P299" s="3785" t="s">
        <v>4578</v>
      </c>
      <c r="Q299" s="3784" t="s">
        <v>4579</v>
      </c>
      <c r="R299" s="3785" t="s">
        <v>4580</v>
      </c>
      <c r="S299" s="3784" t="s">
        <v>4581</v>
      </c>
      <c r="T299" s="3785" t="s">
        <v>4582</v>
      </c>
      <c r="U299" s="2643" t="s">
        <v>4583</v>
      </c>
      <c r="V299" s="3785" t="s">
        <v>4584</v>
      </c>
      <c r="W299" s="2643" t="s">
        <v>4585</v>
      </c>
      <c r="X299" s="3768" t="s">
        <v>4586</v>
      </c>
      <c r="Y299" s="815" t="s">
        <v>4587</v>
      </c>
      <c r="Z299" s="3768" t="s">
        <v>4588</v>
      </c>
      <c r="AA299" s="815" t="s">
        <v>4589</v>
      </c>
      <c r="AB299" s="3768" t="s">
        <v>4590</v>
      </c>
      <c r="AC299" s="815" t="s">
        <v>4591</v>
      </c>
      <c r="AD299" s="3768" t="s">
        <v>4592</v>
      </c>
      <c r="AE299" s="815" t="s">
        <v>4593</v>
      </c>
      <c r="AF299" s="3768" t="s">
        <v>4594</v>
      </c>
      <c r="AG299" s="815" t="s">
        <v>4595</v>
      </c>
      <c r="AH299" s="3768" t="s">
        <v>4596</v>
      </c>
      <c r="AI299" s="815" t="s">
        <v>4597</v>
      </c>
      <c r="AJ299" s="3768" t="s">
        <v>4598</v>
      </c>
      <c r="AK299" s="815" t="s">
        <v>4599</v>
      </c>
      <c r="AL299" s="3768" t="s">
        <v>4600</v>
      </c>
      <c r="AM299" s="815" t="s">
        <v>4601</v>
      </c>
      <c r="AN299" s="814" t="s">
        <v>4602</v>
      </c>
      <c r="AO299" s="3769" t="s">
        <v>4603</v>
      </c>
      <c r="AP299" s="3790" t="s">
        <v>4604</v>
      </c>
      <c r="AQ299" s="3770" t="s">
        <v>4605</v>
      </c>
      <c r="AR299" s="3791" t="s">
        <v>4606</v>
      </c>
      <c r="AS299" s="3768" t="s">
        <v>4934</v>
      </c>
      <c r="AT299" s="3770" t="s">
        <v>4935</v>
      </c>
      <c r="AU299" s="3766" t="s">
        <v>4936</v>
      </c>
      <c r="AV299" s="815" t="s">
        <v>4937</v>
      </c>
      <c r="AW299" s="3770" t="s">
        <v>5234</v>
      </c>
      <c r="AX299" s="3766" t="s">
        <v>5235</v>
      </c>
      <c r="AY299" s="815" t="s">
        <v>5236</v>
      </c>
      <c r="AZ299" t="e">
        <f t="shared" si="208"/>
        <v>#VALUE!</v>
      </c>
      <c r="CB299" s="433" t="str">
        <f t="shared" si="209"/>
        <v xml:space="preserve"> * La variable Gestante no puede superar el Total Mujeres.</v>
      </c>
      <c r="CC299" s="433" t="e">
        <f t="shared" si="210"/>
        <v>#VALUE!</v>
      </c>
      <c r="CD299" s="435"/>
      <c r="CE299" s="435"/>
      <c r="CF299" s="435"/>
      <c r="CG299" s="433" t="str">
        <f t="shared" si="211"/>
        <v xml:space="preserve"> * La variable Compra de Servicio no puede superar el Total Ambos Sexos.</v>
      </c>
      <c r="CH299" s="435"/>
      <c r="CI299" s="433" t="str">
        <f t="shared" si="212"/>
        <v xml:space="preserve"> * La variable Usuarios con Dicapacidad no puede superar el Total Ambos Sexos.</v>
      </c>
      <c r="CJ299" s="433" t="str">
        <f t="shared" si="213"/>
        <v xml:space="preserve"> * La variable Usuarios Oncológicos no puede superar el Total Ambos Sexos.</v>
      </c>
      <c r="CK299" s="435"/>
      <c r="CL299" s="433" t="str">
        <f t="shared" si="214"/>
        <v xml:space="preserve"> * La variable Migrantes no puede superar el Total Ambos Sexos.</v>
      </c>
      <c r="CM299" s="433" t="str">
        <f t="shared" si="215"/>
        <v xml:space="preserve"> * La variable Pueblo Originario no puede superar el Total Ambos Sexos.</v>
      </c>
      <c r="CP299" s="434">
        <f t="shared" si="216"/>
        <v>1</v>
      </c>
      <c r="CQ299" s="434" t="e">
        <f t="shared" si="217"/>
        <v>#VALUE!</v>
      </c>
      <c r="CR299" s="435"/>
      <c r="CS299" s="435"/>
      <c r="CT299" s="435"/>
      <c r="CU299" s="434">
        <f t="shared" si="218"/>
        <v>1</v>
      </c>
      <c r="CV299" s="435"/>
      <c r="CW299" s="434">
        <f t="shared" si="219"/>
        <v>1</v>
      </c>
      <c r="CX299" s="434">
        <f t="shared" si="220"/>
        <v>1</v>
      </c>
      <c r="CY299" s="435"/>
      <c r="CZ299" s="434">
        <f t="shared" si="221"/>
        <v>1</v>
      </c>
      <c r="DA299" s="434">
        <f t="shared" si="222"/>
        <v>1</v>
      </c>
    </row>
    <row r="300" spans="1:105" ht="15" customHeight="1" x14ac:dyDescent="0.25">
      <c r="A300" s="5812" t="s">
        <v>5911</v>
      </c>
      <c r="B300" s="7037" t="s">
        <v>1838</v>
      </c>
      <c r="C300" s="7058" t="s">
        <v>1828</v>
      </c>
      <c r="D300" s="7058"/>
      <c r="E300" s="358" t="s">
        <v>4567</v>
      </c>
      <c r="F300" s="3556" t="s">
        <v>4568</v>
      </c>
      <c r="G300" s="3470" t="s">
        <v>4569</v>
      </c>
      <c r="H300" s="3824" t="s">
        <v>4570</v>
      </c>
      <c r="I300" s="3821" t="s">
        <v>4571</v>
      </c>
      <c r="J300" s="3820" t="s">
        <v>4572</v>
      </c>
      <c r="K300" s="3821" t="s">
        <v>4573</v>
      </c>
      <c r="L300" s="3820" t="s">
        <v>4574</v>
      </c>
      <c r="M300" s="3821" t="s">
        <v>4575</v>
      </c>
      <c r="N300" s="3820" t="s">
        <v>4576</v>
      </c>
      <c r="O300" s="3821" t="s">
        <v>4577</v>
      </c>
      <c r="P300" s="3820" t="s">
        <v>4578</v>
      </c>
      <c r="Q300" s="3821" t="s">
        <v>4579</v>
      </c>
      <c r="R300" s="3820" t="s">
        <v>4580</v>
      </c>
      <c r="S300" s="3821" t="s">
        <v>4581</v>
      </c>
      <c r="T300" s="3820" t="s">
        <v>4582</v>
      </c>
      <c r="U300" s="3821" t="s">
        <v>4583</v>
      </c>
      <c r="V300" s="3820" t="s">
        <v>4584</v>
      </c>
      <c r="W300" s="3821" t="s">
        <v>4585</v>
      </c>
      <c r="X300" s="3773" t="s">
        <v>4586</v>
      </c>
      <c r="Y300" s="2657" t="s">
        <v>4587</v>
      </c>
      <c r="Z300" s="3773" t="s">
        <v>4588</v>
      </c>
      <c r="AA300" s="2657" t="s">
        <v>4589</v>
      </c>
      <c r="AB300" s="3773" t="s">
        <v>4590</v>
      </c>
      <c r="AC300" s="2657" t="s">
        <v>4591</v>
      </c>
      <c r="AD300" s="3773" t="s">
        <v>4592</v>
      </c>
      <c r="AE300" s="2657" t="s">
        <v>4593</v>
      </c>
      <c r="AF300" s="3773" t="s">
        <v>4594</v>
      </c>
      <c r="AG300" s="2657" t="s">
        <v>4595</v>
      </c>
      <c r="AH300" s="3773" t="s">
        <v>4596</v>
      </c>
      <c r="AI300" s="2657" t="s">
        <v>4597</v>
      </c>
      <c r="AJ300" s="3773" t="s">
        <v>4598</v>
      </c>
      <c r="AK300" s="2657" t="s">
        <v>4599</v>
      </c>
      <c r="AL300" s="3773" t="s">
        <v>4600</v>
      </c>
      <c r="AM300" s="2657" t="s">
        <v>4601</v>
      </c>
      <c r="AN300" s="2655" t="s">
        <v>4602</v>
      </c>
      <c r="AO300" s="3771" t="s">
        <v>4603</v>
      </c>
      <c r="AP300" s="3774" t="s">
        <v>4604</v>
      </c>
      <c r="AQ300" s="3772" t="s">
        <v>4605</v>
      </c>
      <c r="AR300" s="3759" t="s">
        <v>4606</v>
      </c>
      <c r="AS300" s="3773" t="s">
        <v>4934</v>
      </c>
      <c r="AT300" s="3762" t="s">
        <v>4935</v>
      </c>
      <c r="AU300" s="3774" t="s">
        <v>4936</v>
      </c>
      <c r="AV300" s="2657" t="s">
        <v>4937</v>
      </c>
      <c r="AW300" s="3762" t="s">
        <v>5234</v>
      </c>
      <c r="AX300" s="3774" t="s">
        <v>5235</v>
      </c>
      <c r="AY300" s="2657" t="s">
        <v>5236</v>
      </c>
      <c r="AZ300" t="e">
        <f t="shared" si="208"/>
        <v>#VALUE!</v>
      </c>
      <c r="CB300" s="433" t="str">
        <f t="shared" si="209"/>
        <v xml:space="preserve"> * La variable Gestante no puede superar el Total Mujeres.</v>
      </c>
      <c r="CC300" s="433" t="e">
        <f t="shared" si="210"/>
        <v>#VALUE!</v>
      </c>
      <c r="CD300" s="433" t="str">
        <f>IF(AND($E300&gt;0,AP300="")," * No olvide digitar la variable Consultas Pertinentes: Según Procolo de Referencia. Digite cero si no tiene.",IF(AP300&gt;$E300,"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00" s="433" t="str">
        <f>IF(AND($E300&gt;0,AQ300="")," * No olvide digitar la variable Consultas Pertinentes: Según condición clínica. Digite cero si no tiene.",IF(AQ300&gt;$E300,"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00" s="433" t="str">
        <f>IF(AND($E300&gt;0,AR300="")," * No olvide digitar la variable Inasistente. Digite cero si no tiene.",IF(AR300&gt;$E300," * La variable Insasistente no puede superar el Total Ambos Sexos.",""))</f>
        <v xml:space="preserve"> * La variable Insasistente no puede superar el Total Ambos Sexos.</v>
      </c>
      <c r="CG300" s="433" t="str">
        <f t="shared" si="211"/>
        <v xml:space="preserve"> * La variable Compra de Servicio no puede superar el Total Ambos Sexos.</v>
      </c>
      <c r="CH300" s="435"/>
      <c r="CI300" s="433" t="str">
        <f t="shared" si="212"/>
        <v xml:space="preserve"> * La variable Usuarios con Dicapacidad no puede superar el Total Ambos Sexos.</v>
      </c>
      <c r="CJ300" s="433" t="str">
        <f t="shared" si="213"/>
        <v xml:space="preserve"> * La variable Usuarios Oncológicos no puede superar el Total Ambos Sexos.</v>
      </c>
      <c r="CK300" s="435"/>
      <c r="CL300" s="433" t="str">
        <f t="shared" si="214"/>
        <v xml:space="preserve"> * La variable Migrantes no puede superar el Total Ambos Sexos.</v>
      </c>
      <c r="CM300" s="433" t="str">
        <f t="shared" si="215"/>
        <v xml:space="preserve"> * La variable Pueblo Originario no puede superar el Total Ambos Sexos.</v>
      </c>
      <c r="CP300" s="434">
        <f t="shared" si="216"/>
        <v>1</v>
      </c>
      <c r="CQ300" s="434" t="e">
        <f t="shared" si="217"/>
        <v>#VALUE!</v>
      </c>
      <c r="CR300" s="434">
        <f>IF(AND($E300&gt;0,AP300=""),1,IF(AP300&gt;$E300,1,0))</f>
        <v>1</v>
      </c>
      <c r="CS300" s="434">
        <f t="shared" ref="CS300" si="242">IF(AND($E300&gt;0,AQ300=""),1,IF(AQ300&gt;$E300,1,0))</f>
        <v>1</v>
      </c>
      <c r="CT300" s="434">
        <f t="shared" ref="CT300:CT301" si="243">IF(AND($E300&gt;0,AR300=""),1,IF(AR300&gt;$E300,1,0))</f>
        <v>1</v>
      </c>
      <c r="CU300" s="434">
        <f t="shared" si="218"/>
        <v>1</v>
      </c>
      <c r="CV300" s="435"/>
      <c r="CW300" s="434">
        <f t="shared" si="219"/>
        <v>1</v>
      </c>
      <c r="CX300" s="434">
        <f t="shared" si="220"/>
        <v>1</v>
      </c>
      <c r="CY300" s="435"/>
      <c r="CZ300" s="434">
        <f t="shared" si="221"/>
        <v>1</v>
      </c>
      <c r="DA300" s="434">
        <f t="shared" si="222"/>
        <v>1</v>
      </c>
    </row>
    <row r="301" spans="1:105" ht="15" customHeight="1" x14ac:dyDescent="0.25">
      <c r="A301" s="5812" t="s">
        <v>5912</v>
      </c>
      <c r="B301" s="7038"/>
      <c r="C301" s="7059" t="s">
        <v>1829</v>
      </c>
      <c r="D301" s="7059"/>
      <c r="E301" s="3775" t="s">
        <v>4567</v>
      </c>
      <c r="F301" s="3776" t="s">
        <v>4568</v>
      </c>
      <c r="G301" s="3794" t="s">
        <v>4569</v>
      </c>
      <c r="H301" s="3761" t="s">
        <v>4570</v>
      </c>
      <c r="I301" s="3762" t="s">
        <v>4571</v>
      </c>
      <c r="J301" s="3782" t="s">
        <v>4572</v>
      </c>
      <c r="K301" s="3762" t="s">
        <v>4573</v>
      </c>
      <c r="L301" s="3782" t="s">
        <v>4574</v>
      </c>
      <c r="M301" s="3762" t="s">
        <v>4575</v>
      </c>
      <c r="N301" s="3782" t="s">
        <v>4576</v>
      </c>
      <c r="O301" s="3762" t="s">
        <v>4577</v>
      </c>
      <c r="P301" s="3782" t="s">
        <v>4578</v>
      </c>
      <c r="Q301" s="3762" t="s">
        <v>4579</v>
      </c>
      <c r="R301" s="3782" t="s">
        <v>4580</v>
      </c>
      <c r="S301" s="3762" t="s">
        <v>4581</v>
      </c>
      <c r="T301" s="3782" t="s">
        <v>4582</v>
      </c>
      <c r="U301" s="3762" t="s">
        <v>4583</v>
      </c>
      <c r="V301" s="3782" t="s">
        <v>4584</v>
      </c>
      <c r="W301" s="3762" t="s">
        <v>4585</v>
      </c>
      <c r="X301" s="3779" t="s">
        <v>4586</v>
      </c>
      <c r="Y301" s="812" t="s">
        <v>4587</v>
      </c>
      <c r="Z301" s="3779" t="s">
        <v>4588</v>
      </c>
      <c r="AA301" s="812" t="s">
        <v>4589</v>
      </c>
      <c r="AB301" s="3779" t="s">
        <v>4590</v>
      </c>
      <c r="AC301" s="812" t="s">
        <v>4591</v>
      </c>
      <c r="AD301" s="3779" t="s">
        <v>4592</v>
      </c>
      <c r="AE301" s="812" t="s">
        <v>4593</v>
      </c>
      <c r="AF301" s="3779" t="s">
        <v>4594</v>
      </c>
      <c r="AG301" s="812" t="s">
        <v>4595</v>
      </c>
      <c r="AH301" s="3779" t="s">
        <v>4596</v>
      </c>
      <c r="AI301" s="812" t="s">
        <v>4597</v>
      </c>
      <c r="AJ301" s="3779" t="s">
        <v>4598</v>
      </c>
      <c r="AK301" s="812" t="s">
        <v>4599</v>
      </c>
      <c r="AL301" s="3779" t="s">
        <v>4600</v>
      </c>
      <c r="AM301" s="812" t="s">
        <v>4601</v>
      </c>
      <c r="AN301" s="3780" t="s">
        <v>4602</v>
      </c>
      <c r="AO301" s="3781" t="s">
        <v>4603</v>
      </c>
      <c r="AP301" s="3761" t="s">
        <v>4604</v>
      </c>
      <c r="AQ301" s="3762" t="s">
        <v>4605</v>
      </c>
      <c r="AR301" s="3773" t="s">
        <v>4606</v>
      </c>
      <c r="AS301" s="3779" t="s">
        <v>4934</v>
      </c>
      <c r="AT301" s="3762" t="s">
        <v>4935</v>
      </c>
      <c r="AU301" s="3777" t="s">
        <v>4936</v>
      </c>
      <c r="AV301" s="812" t="s">
        <v>4937</v>
      </c>
      <c r="AW301" s="3762" t="s">
        <v>5234</v>
      </c>
      <c r="AX301" s="3777" t="s">
        <v>5235</v>
      </c>
      <c r="AY301" s="812" t="s">
        <v>5236</v>
      </c>
      <c r="AZ301" t="e">
        <f t="shared" si="208"/>
        <v>#VALUE!</v>
      </c>
      <c r="CB301" s="433" t="str">
        <f t="shared" si="209"/>
        <v xml:space="preserve"> * La variable Gestante no puede superar el Total Mujeres.</v>
      </c>
      <c r="CC301" s="433" t="e">
        <f t="shared" si="210"/>
        <v>#VALUE!</v>
      </c>
      <c r="CD301" s="435"/>
      <c r="CE301" s="435"/>
      <c r="CF301" s="433" t="str">
        <f>IF(AND($E301&gt;0,AR301="")," * No olvide digitar la variable Inasistente. Digite cero si no tiene.",IF(AR301&gt;$E301," * La variable Insasistente no puede superar el Total Ambos Sexos.",""))</f>
        <v xml:space="preserve"> * La variable Insasistente no puede superar el Total Ambos Sexos.</v>
      </c>
      <c r="CG301" s="433" t="str">
        <f t="shared" si="211"/>
        <v xml:space="preserve"> * La variable Compra de Servicio no puede superar el Total Ambos Sexos.</v>
      </c>
      <c r="CH301" s="435"/>
      <c r="CI301" s="433" t="str">
        <f t="shared" si="212"/>
        <v xml:space="preserve"> * La variable Usuarios con Dicapacidad no puede superar el Total Ambos Sexos.</v>
      </c>
      <c r="CJ301" s="433" t="str">
        <f t="shared" si="213"/>
        <v xml:space="preserve"> * La variable Usuarios Oncológicos no puede superar el Total Ambos Sexos.</v>
      </c>
      <c r="CK301" s="435"/>
      <c r="CL301" s="433" t="str">
        <f t="shared" si="214"/>
        <v xml:space="preserve"> * La variable Migrantes no puede superar el Total Ambos Sexos.</v>
      </c>
      <c r="CM301" s="433" t="str">
        <f t="shared" si="215"/>
        <v xml:space="preserve"> * La variable Pueblo Originario no puede superar el Total Ambos Sexos.</v>
      </c>
      <c r="CP301" s="434">
        <f t="shared" si="216"/>
        <v>1</v>
      </c>
      <c r="CQ301" s="434" t="e">
        <f t="shared" si="217"/>
        <v>#VALUE!</v>
      </c>
      <c r="CR301" s="435"/>
      <c r="CS301" s="435"/>
      <c r="CT301" s="434">
        <f t="shared" si="243"/>
        <v>1</v>
      </c>
      <c r="CU301" s="434">
        <f t="shared" si="218"/>
        <v>1</v>
      </c>
      <c r="CV301" s="435"/>
      <c r="CW301" s="434">
        <f t="shared" si="219"/>
        <v>1</v>
      </c>
      <c r="CX301" s="434">
        <f t="shared" si="220"/>
        <v>1</v>
      </c>
      <c r="CY301" s="435"/>
      <c r="CZ301" s="434">
        <f t="shared" si="221"/>
        <v>1</v>
      </c>
      <c r="DA301" s="434">
        <f t="shared" si="222"/>
        <v>1</v>
      </c>
    </row>
    <row r="302" spans="1:105" ht="15" customHeight="1" x14ac:dyDescent="0.25">
      <c r="A302" s="5812" t="s">
        <v>5913</v>
      </c>
      <c r="B302" s="7038"/>
      <c r="C302" s="7059" t="s">
        <v>1830</v>
      </c>
      <c r="D302" s="7059"/>
      <c r="E302" s="3775" t="s">
        <v>4567</v>
      </c>
      <c r="F302" s="3776" t="s">
        <v>4568</v>
      </c>
      <c r="G302" s="3562" t="s">
        <v>4569</v>
      </c>
      <c r="H302" s="3761" t="s">
        <v>4570</v>
      </c>
      <c r="I302" s="3762" t="s">
        <v>4571</v>
      </c>
      <c r="J302" s="3782" t="s">
        <v>4572</v>
      </c>
      <c r="K302" s="3762" t="s">
        <v>4573</v>
      </c>
      <c r="L302" s="3782" t="s">
        <v>4574</v>
      </c>
      <c r="M302" s="3762" t="s">
        <v>4575</v>
      </c>
      <c r="N302" s="3782" t="s">
        <v>4576</v>
      </c>
      <c r="O302" s="3762" t="s">
        <v>4577</v>
      </c>
      <c r="P302" s="3782" t="s">
        <v>4578</v>
      </c>
      <c r="Q302" s="3762" t="s">
        <v>4579</v>
      </c>
      <c r="R302" s="3782" t="s">
        <v>4580</v>
      </c>
      <c r="S302" s="3762" t="s">
        <v>4581</v>
      </c>
      <c r="T302" s="3782" t="s">
        <v>4582</v>
      </c>
      <c r="U302" s="3762" t="s">
        <v>4583</v>
      </c>
      <c r="V302" s="3782" t="s">
        <v>4584</v>
      </c>
      <c r="W302" s="3762" t="s">
        <v>4585</v>
      </c>
      <c r="X302" s="3779" t="s">
        <v>4586</v>
      </c>
      <c r="Y302" s="812" t="s">
        <v>4587</v>
      </c>
      <c r="Z302" s="3779" t="s">
        <v>4588</v>
      </c>
      <c r="AA302" s="812" t="s">
        <v>4589</v>
      </c>
      <c r="AB302" s="3779" t="s">
        <v>4590</v>
      </c>
      <c r="AC302" s="812" t="s">
        <v>4591</v>
      </c>
      <c r="AD302" s="3779" t="s">
        <v>4592</v>
      </c>
      <c r="AE302" s="812" t="s">
        <v>4593</v>
      </c>
      <c r="AF302" s="3779" t="s">
        <v>4594</v>
      </c>
      <c r="AG302" s="812" t="s">
        <v>4595</v>
      </c>
      <c r="AH302" s="3779" t="s">
        <v>4596</v>
      </c>
      <c r="AI302" s="812" t="s">
        <v>4597</v>
      </c>
      <c r="AJ302" s="3779" t="s">
        <v>4598</v>
      </c>
      <c r="AK302" s="812" t="s">
        <v>4599</v>
      </c>
      <c r="AL302" s="3779" t="s">
        <v>4600</v>
      </c>
      <c r="AM302" s="812" t="s">
        <v>4601</v>
      </c>
      <c r="AN302" s="3780" t="s">
        <v>4602</v>
      </c>
      <c r="AO302" s="3781" t="s">
        <v>4603</v>
      </c>
      <c r="AP302" s="3761" t="s">
        <v>4604</v>
      </c>
      <c r="AQ302" s="3762" t="s">
        <v>4605</v>
      </c>
      <c r="AR302" s="3782" t="s">
        <v>4606</v>
      </c>
      <c r="AS302" s="3779" t="s">
        <v>4934</v>
      </c>
      <c r="AT302" s="3762" t="s">
        <v>4935</v>
      </c>
      <c r="AU302" s="3777" t="s">
        <v>4936</v>
      </c>
      <c r="AV302" s="812" t="s">
        <v>4937</v>
      </c>
      <c r="AW302" s="3762" t="s">
        <v>5234</v>
      </c>
      <c r="AX302" s="3777" t="s">
        <v>5235</v>
      </c>
      <c r="AY302" s="812" t="s">
        <v>5236</v>
      </c>
      <c r="AZ302" t="e">
        <f t="shared" si="208"/>
        <v>#VALUE!</v>
      </c>
      <c r="CB302" s="433" t="str">
        <f t="shared" si="209"/>
        <v xml:space="preserve"> * La variable Gestante no puede superar el Total Mujeres.</v>
      </c>
      <c r="CC302" s="433" t="e">
        <f t="shared" si="210"/>
        <v>#VALUE!</v>
      </c>
      <c r="CD302" s="435"/>
      <c r="CE302" s="435"/>
      <c r="CF302" s="435"/>
      <c r="CG302" s="433" t="str">
        <f t="shared" si="211"/>
        <v xml:space="preserve"> * La variable Compra de Servicio no puede superar el Total Ambos Sexos.</v>
      </c>
      <c r="CH302" s="435"/>
      <c r="CI302" s="433" t="str">
        <f t="shared" si="212"/>
        <v xml:space="preserve"> * La variable Usuarios con Dicapacidad no puede superar el Total Ambos Sexos.</v>
      </c>
      <c r="CJ302" s="433" t="str">
        <f t="shared" si="213"/>
        <v xml:space="preserve"> * La variable Usuarios Oncológicos no puede superar el Total Ambos Sexos.</v>
      </c>
      <c r="CK302" s="435"/>
      <c r="CL302" s="433" t="str">
        <f t="shared" si="214"/>
        <v xml:space="preserve"> * La variable Migrantes no puede superar el Total Ambos Sexos.</v>
      </c>
      <c r="CM302" s="433" t="str">
        <f t="shared" si="215"/>
        <v xml:space="preserve"> * La variable Pueblo Originario no puede superar el Total Ambos Sexos.</v>
      </c>
      <c r="CP302" s="434">
        <f t="shared" si="216"/>
        <v>1</v>
      </c>
      <c r="CQ302" s="434" t="e">
        <f t="shared" si="217"/>
        <v>#VALUE!</v>
      </c>
      <c r="CR302" s="435"/>
      <c r="CS302" s="435"/>
      <c r="CT302" s="435"/>
      <c r="CU302" s="434">
        <f t="shared" si="218"/>
        <v>1</v>
      </c>
      <c r="CV302" s="435"/>
      <c r="CW302" s="434">
        <f t="shared" si="219"/>
        <v>1</v>
      </c>
      <c r="CX302" s="434">
        <f t="shared" si="220"/>
        <v>1</v>
      </c>
      <c r="CY302" s="435"/>
      <c r="CZ302" s="434">
        <f t="shared" si="221"/>
        <v>1</v>
      </c>
      <c r="DA302" s="434">
        <f t="shared" si="222"/>
        <v>1</v>
      </c>
    </row>
    <row r="303" spans="1:105" ht="15" customHeight="1" x14ac:dyDescent="0.25">
      <c r="A303" s="5812" t="s">
        <v>5914</v>
      </c>
      <c r="B303" s="7038"/>
      <c r="C303" s="7055" t="s">
        <v>1831</v>
      </c>
      <c r="D303" s="6987"/>
      <c r="E303" s="3775" t="s">
        <v>4567</v>
      </c>
      <c r="F303" s="3776" t="s">
        <v>4568</v>
      </c>
      <c r="G303" s="3562" t="s">
        <v>4569</v>
      </c>
      <c r="H303" s="3761" t="s">
        <v>4570</v>
      </c>
      <c r="I303" s="3762" t="s">
        <v>4571</v>
      </c>
      <c r="J303" s="3782" t="s">
        <v>4572</v>
      </c>
      <c r="K303" s="3762" t="s">
        <v>4573</v>
      </c>
      <c r="L303" s="3782" t="s">
        <v>4574</v>
      </c>
      <c r="M303" s="3762" t="s">
        <v>4575</v>
      </c>
      <c r="N303" s="3782" t="s">
        <v>4576</v>
      </c>
      <c r="O303" s="3762" t="s">
        <v>4577</v>
      </c>
      <c r="P303" s="3782" t="s">
        <v>4578</v>
      </c>
      <c r="Q303" s="3762" t="s">
        <v>4579</v>
      </c>
      <c r="R303" s="3782" t="s">
        <v>4580</v>
      </c>
      <c r="S303" s="3762" t="s">
        <v>4581</v>
      </c>
      <c r="T303" s="3782" t="s">
        <v>4582</v>
      </c>
      <c r="U303" s="3762" t="s">
        <v>4583</v>
      </c>
      <c r="V303" s="3782" t="s">
        <v>4584</v>
      </c>
      <c r="W303" s="3762" t="s">
        <v>4585</v>
      </c>
      <c r="X303" s="3779" t="s">
        <v>4586</v>
      </c>
      <c r="Y303" s="812" t="s">
        <v>4587</v>
      </c>
      <c r="Z303" s="3779" t="s">
        <v>4588</v>
      </c>
      <c r="AA303" s="812" t="s">
        <v>4589</v>
      </c>
      <c r="AB303" s="3779" t="s">
        <v>4590</v>
      </c>
      <c r="AC303" s="812" t="s">
        <v>4591</v>
      </c>
      <c r="AD303" s="3779" t="s">
        <v>4592</v>
      </c>
      <c r="AE303" s="812" t="s">
        <v>4593</v>
      </c>
      <c r="AF303" s="3779" t="s">
        <v>4594</v>
      </c>
      <c r="AG303" s="812" t="s">
        <v>4595</v>
      </c>
      <c r="AH303" s="3779" t="s">
        <v>4596</v>
      </c>
      <c r="AI303" s="812" t="s">
        <v>4597</v>
      </c>
      <c r="AJ303" s="3779" t="s">
        <v>4598</v>
      </c>
      <c r="AK303" s="812" t="s">
        <v>4599</v>
      </c>
      <c r="AL303" s="3779" t="s">
        <v>4600</v>
      </c>
      <c r="AM303" s="812" t="s">
        <v>4601</v>
      </c>
      <c r="AN303" s="2641" t="s">
        <v>4602</v>
      </c>
      <c r="AO303" s="3786" t="s">
        <v>4603</v>
      </c>
      <c r="AP303" s="3761" t="s">
        <v>4604</v>
      </c>
      <c r="AQ303" s="3762" t="s">
        <v>4605</v>
      </c>
      <c r="AR303" s="3782" t="s">
        <v>4606</v>
      </c>
      <c r="AS303" s="3785" t="s">
        <v>4934</v>
      </c>
      <c r="AT303" s="3762" t="s">
        <v>4935</v>
      </c>
      <c r="AU303" s="3783" t="s">
        <v>4936</v>
      </c>
      <c r="AV303" s="2643" t="s">
        <v>4937</v>
      </c>
      <c r="AW303" s="812" t="s">
        <v>5234</v>
      </c>
      <c r="AX303" s="3783" t="s">
        <v>5235</v>
      </c>
      <c r="AY303" s="2643" t="s">
        <v>5236</v>
      </c>
      <c r="AZ303" t="e">
        <f t="shared" si="208"/>
        <v>#VALUE!</v>
      </c>
      <c r="CB303" s="433" t="str">
        <f t="shared" si="209"/>
        <v xml:space="preserve"> * La variable Gestante no puede superar el Total Mujeres.</v>
      </c>
      <c r="CC303" s="433" t="e">
        <f t="shared" si="210"/>
        <v>#VALUE!</v>
      </c>
      <c r="CD303" s="435"/>
      <c r="CE303" s="435"/>
      <c r="CF303" s="435"/>
      <c r="CG303" s="433" t="str">
        <f t="shared" si="211"/>
        <v xml:space="preserve"> * La variable Compra de Servicio no puede superar el Total Ambos Sexos.</v>
      </c>
      <c r="CH303" s="435"/>
      <c r="CI303" s="433" t="str">
        <f t="shared" si="212"/>
        <v xml:space="preserve"> * La variable Usuarios con Dicapacidad no puede superar el Total Ambos Sexos.</v>
      </c>
      <c r="CJ303" s="433" t="str">
        <f t="shared" si="213"/>
        <v xml:space="preserve"> * La variable Usuarios Oncológicos no puede superar el Total Ambos Sexos.</v>
      </c>
      <c r="CK303" s="433" t="str">
        <f>IF(AND($E303&gt;0,AW303="")," * No olvide digitar la variable Contrarreferencia al alta. Digite Cero si no tiene.",IF(AW303&gt;$E303," * La variable Contrarreferencia al alta no puede superar el Total Ambos Sexos.",""))</f>
        <v xml:space="preserve"> * La variable Contrarreferencia al alta no puede superar el Total Ambos Sexos.</v>
      </c>
      <c r="CL303" s="433" t="str">
        <f t="shared" si="214"/>
        <v xml:space="preserve"> * La variable Migrantes no puede superar el Total Ambos Sexos.</v>
      </c>
      <c r="CM303" s="433" t="str">
        <f t="shared" si="215"/>
        <v xml:space="preserve"> * La variable Pueblo Originario no puede superar el Total Ambos Sexos.</v>
      </c>
      <c r="CP303" s="434">
        <f t="shared" si="216"/>
        <v>1</v>
      </c>
      <c r="CQ303" s="434" t="e">
        <f t="shared" si="217"/>
        <v>#VALUE!</v>
      </c>
      <c r="CR303" s="435"/>
      <c r="CS303" s="435"/>
      <c r="CT303" s="435"/>
      <c r="CU303" s="434">
        <f t="shared" si="218"/>
        <v>1</v>
      </c>
      <c r="CV303" s="435"/>
      <c r="CW303" s="434">
        <f t="shared" si="219"/>
        <v>1</v>
      </c>
      <c r="CX303" s="434">
        <f t="shared" si="220"/>
        <v>1</v>
      </c>
      <c r="CY303" s="434">
        <f>IF(AND($E303&gt;0,AW303=""),1,IF(AW303&gt;$E303,1,0))</f>
        <v>1</v>
      </c>
      <c r="CZ303" s="434">
        <f t="shared" si="221"/>
        <v>1</v>
      </c>
      <c r="DA303" s="434">
        <f t="shared" si="222"/>
        <v>1</v>
      </c>
    </row>
    <row r="304" spans="1:105" ht="15" customHeight="1" x14ac:dyDescent="0.25">
      <c r="A304" s="5812" t="s">
        <v>5915</v>
      </c>
      <c r="B304" s="7038"/>
      <c r="C304" s="7055" t="s">
        <v>1832</v>
      </c>
      <c r="D304" s="6987"/>
      <c r="E304" s="3775" t="s">
        <v>4567</v>
      </c>
      <c r="F304" s="3776" t="s">
        <v>4568</v>
      </c>
      <c r="G304" s="3562" t="s">
        <v>4569</v>
      </c>
      <c r="H304" s="3825" t="s">
        <v>4570</v>
      </c>
      <c r="I304" s="3826" t="s">
        <v>4571</v>
      </c>
      <c r="J304" s="3827" t="s">
        <v>4572</v>
      </c>
      <c r="K304" s="3826" t="s">
        <v>4573</v>
      </c>
      <c r="L304" s="3827" t="s">
        <v>4574</v>
      </c>
      <c r="M304" s="3826" t="s">
        <v>4575</v>
      </c>
      <c r="N304" s="3827" t="s">
        <v>4576</v>
      </c>
      <c r="O304" s="3826" t="s">
        <v>4577</v>
      </c>
      <c r="P304" s="3827" t="s">
        <v>4578</v>
      </c>
      <c r="Q304" s="3826" t="s">
        <v>4579</v>
      </c>
      <c r="R304" s="3827" t="s">
        <v>4580</v>
      </c>
      <c r="S304" s="3826" t="s">
        <v>4581</v>
      </c>
      <c r="T304" s="3827" t="s">
        <v>4582</v>
      </c>
      <c r="U304" s="3826" t="s">
        <v>4583</v>
      </c>
      <c r="V304" s="3827" t="s">
        <v>4584</v>
      </c>
      <c r="W304" s="3826" t="s">
        <v>4585</v>
      </c>
      <c r="X304" s="3785" t="s">
        <v>4586</v>
      </c>
      <c r="Y304" s="2643" t="s">
        <v>4587</v>
      </c>
      <c r="Z304" s="3785" t="s">
        <v>4588</v>
      </c>
      <c r="AA304" s="2643" t="s">
        <v>4589</v>
      </c>
      <c r="AB304" s="3785" t="s">
        <v>4590</v>
      </c>
      <c r="AC304" s="2643" t="s">
        <v>4591</v>
      </c>
      <c r="AD304" s="3785" t="s">
        <v>4592</v>
      </c>
      <c r="AE304" s="2643" t="s">
        <v>4593</v>
      </c>
      <c r="AF304" s="3785" t="s">
        <v>4594</v>
      </c>
      <c r="AG304" s="2643" t="s">
        <v>4595</v>
      </c>
      <c r="AH304" s="3785" t="s">
        <v>4596</v>
      </c>
      <c r="AI304" s="2643" t="s">
        <v>4597</v>
      </c>
      <c r="AJ304" s="3785" t="s">
        <v>4598</v>
      </c>
      <c r="AK304" s="2643" t="s">
        <v>4599</v>
      </c>
      <c r="AL304" s="3785" t="s">
        <v>4600</v>
      </c>
      <c r="AM304" s="2643" t="s">
        <v>4601</v>
      </c>
      <c r="AN304" s="2641" t="s">
        <v>4602</v>
      </c>
      <c r="AO304" s="3786" t="s">
        <v>4603</v>
      </c>
      <c r="AP304" s="3787" t="s">
        <v>4604</v>
      </c>
      <c r="AQ304" s="3788" t="s">
        <v>4605</v>
      </c>
      <c r="AR304" s="3789" t="s">
        <v>4606</v>
      </c>
      <c r="AS304" s="3785" t="s">
        <v>4934</v>
      </c>
      <c r="AT304" s="3788" t="s">
        <v>4935</v>
      </c>
      <c r="AU304" s="3783" t="s">
        <v>4936</v>
      </c>
      <c r="AV304" s="2643" t="s">
        <v>4937</v>
      </c>
      <c r="AW304" s="3788" t="s">
        <v>5234</v>
      </c>
      <c r="AX304" s="3783" t="s">
        <v>5235</v>
      </c>
      <c r="AY304" s="2643" t="s">
        <v>5236</v>
      </c>
      <c r="AZ304" t="e">
        <f t="shared" si="208"/>
        <v>#VALUE!</v>
      </c>
      <c r="CB304" s="433" t="str">
        <f t="shared" si="209"/>
        <v xml:space="preserve"> * La variable Gestante no puede superar el Total Mujeres.</v>
      </c>
      <c r="CC304" s="433" t="e">
        <f t="shared" si="210"/>
        <v>#VALUE!</v>
      </c>
      <c r="CD304" s="435"/>
      <c r="CE304" s="435"/>
      <c r="CF304" s="435"/>
      <c r="CG304" s="433" t="str">
        <f t="shared" si="211"/>
        <v xml:space="preserve"> * La variable Compra de Servicio no puede superar el Total Ambos Sexos.</v>
      </c>
      <c r="CH304" s="435"/>
      <c r="CI304" s="433" t="str">
        <f t="shared" si="212"/>
        <v xml:space="preserve"> * La variable Usuarios con Dicapacidad no puede superar el Total Ambos Sexos.</v>
      </c>
      <c r="CJ304" s="433" t="str">
        <f t="shared" si="213"/>
        <v xml:space="preserve"> * La variable Usuarios Oncológicos no puede superar el Total Ambos Sexos.</v>
      </c>
      <c r="CK304" s="435"/>
      <c r="CL304" s="433" t="str">
        <f t="shared" si="214"/>
        <v xml:space="preserve"> * La variable Migrantes no puede superar el Total Ambos Sexos.</v>
      </c>
      <c r="CM304" s="433" t="str">
        <f t="shared" si="215"/>
        <v xml:space="preserve"> * La variable Pueblo Originario no puede superar el Total Ambos Sexos.</v>
      </c>
      <c r="CP304" s="434">
        <f t="shared" si="216"/>
        <v>1</v>
      </c>
      <c r="CQ304" s="434" t="e">
        <f t="shared" si="217"/>
        <v>#VALUE!</v>
      </c>
      <c r="CR304" s="435"/>
      <c r="CS304" s="435"/>
      <c r="CT304" s="435"/>
      <c r="CU304" s="434">
        <f t="shared" si="218"/>
        <v>1</v>
      </c>
      <c r="CV304" s="435"/>
      <c r="CW304" s="434">
        <f t="shared" si="219"/>
        <v>1</v>
      </c>
      <c r="CX304" s="434">
        <f t="shared" si="220"/>
        <v>1</v>
      </c>
      <c r="CY304" s="435"/>
      <c r="CZ304" s="434">
        <f t="shared" si="221"/>
        <v>1</v>
      </c>
      <c r="DA304" s="434">
        <f t="shared" si="222"/>
        <v>1</v>
      </c>
    </row>
    <row r="305" spans="1:105" ht="15" customHeight="1" x14ac:dyDescent="0.25">
      <c r="A305" s="5812" t="s">
        <v>5916</v>
      </c>
      <c r="B305" s="7039"/>
      <c r="C305" s="7056" t="s">
        <v>1833</v>
      </c>
      <c r="D305" s="7056"/>
      <c r="E305" s="3725" t="s">
        <v>4567</v>
      </c>
      <c r="F305" s="3527" t="s">
        <v>4568</v>
      </c>
      <c r="G305" s="3480" t="s">
        <v>4569</v>
      </c>
      <c r="H305" s="3801" t="s">
        <v>4570</v>
      </c>
      <c r="I305" s="3802" t="s">
        <v>4571</v>
      </c>
      <c r="J305" s="3828" t="s">
        <v>4572</v>
      </c>
      <c r="K305" s="3802" t="s">
        <v>4573</v>
      </c>
      <c r="L305" s="3828" t="s">
        <v>4574</v>
      </c>
      <c r="M305" s="3802" t="s">
        <v>4575</v>
      </c>
      <c r="N305" s="3828" t="s">
        <v>4576</v>
      </c>
      <c r="O305" s="3802" t="s">
        <v>4577</v>
      </c>
      <c r="P305" s="3828" t="s">
        <v>4578</v>
      </c>
      <c r="Q305" s="3802" t="s">
        <v>4579</v>
      </c>
      <c r="R305" s="3828" t="s">
        <v>4580</v>
      </c>
      <c r="S305" s="3802" t="s">
        <v>4581</v>
      </c>
      <c r="T305" s="3828" t="s">
        <v>4582</v>
      </c>
      <c r="U305" s="3802" t="s">
        <v>4583</v>
      </c>
      <c r="V305" s="3828" t="s">
        <v>4584</v>
      </c>
      <c r="W305" s="3802" t="s">
        <v>4585</v>
      </c>
      <c r="X305" s="3768" t="s">
        <v>4586</v>
      </c>
      <c r="Y305" s="815" t="s">
        <v>4587</v>
      </c>
      <c r="Z305" s="3768" t="s">
        <v>4588</v>
      </c>
      <c r="AA305" s="815" t="s">
        <v>4589</v>
      </c>
      <c r="AB305" s="3768" t="s">
        <v>4590</v>
      </c>
      <c r="AC305" s="815" t="s">
        <v>4591</v>
      </c>
      <c r="AD305" s="3768" t="s">
        <v>4592</v>
      </c>
      <c r="AE305" s="815" t="s">
        <v>4593</v>
      </c>
      <c r="AF305" s="3768" t="s">
        <v>4594</v>
      </c>
      <c r="AG305" s="815" t="s">
        <v>4595</v>
      </c>
      <c r="AH305" s="3768" t="s">
        <v>4596</v>
      </c>
      <c r="AI305" s="815" t="s">
        <v>4597</v>
      </c>
      <c r="AJ305" s="3768" t="s">
        <v>4598</v>
      </c>
      <c r="AK305" s="815" t="s">
        <v>4599</v>
      </c>
      <c r="AL305" s="3768" t="s">
        <v>4600</v>
      </c>
      <c r="AM305" s="815" t="s">
        <v>4601</v>
      </c>
      <c r="AN305" s="814" t="s">
        <v>4602</v>
      </c>
      <c r="AO305" s="3769" t="s">
        <v>4603</v>
      </c>
      <c r="AP305" s="3790" t="s">
        <v>4604</v>
      </c>
      <c r="AQ305" s="3770" t="s">
        <v>4605</v>
      </c>
      <c r="AR305" s="3791" t="s">
        <v>4606</v>
      </c>
      <c r="AS305" s="3768" t="s">
        <v>4934</v>
      </c>
      <c r="AT305" s="3770" t="s">
        <v>4935</v>
      </c>
      <c r="AU305" s="3766" t="s">
        <v>4936</v>
      </c>
      <c r="AV305" s="815" t="s">
        <v>4937</v>
      </c>
      <c r="AW305" s="3770" t="s">
        <v>5234</v>
      </c>
      <c r="AX305" s="3766" t="s">
        <v>5235</v>
      </c>
      <c r="AY305" s="815" t="s">
        <v>5236</v>
      </c>
      <c r="AZ305" t="e">
        <f t="shared" si="208"/>
        <v>#VALUE!</v>
      </c>
      <c r="CB305" s="433" t="str">
        <f t="shared" si="209"/>
        <v xml:space="preserve"> * La variable Gestante no puede superar el Total Mujeres.</v>
      </c>
      <c r="CC305" s="433" t="e">
        <f t="shared" si="210"/>
        <v>#VALUE!</v>
      </c>
      <c r="CD305" s="435"/>
      <c r="CE305" s="435"/>
      <c r="CF305" s="435"/>
      <c r="CG305" s="433" t="str">
        <f t="shared" si="211"/>
        <v xml:space="preserve"> * La variable Compra de Servicio no puede superar el Total Ambos Sexos.</v>
      </c>
      <c r="CH305" s="435"/>
      <c r="CI305" s="433" t="str">
        <f t="shared" si="212"/>
        <v xml:space="preserve"> * La variable Usuarios con Dicapacidad no puede superar el Total Ambos Sexos.</v>
      </c>
      <c r="CJ305" s="433" t="str">
        <f t="shared" si="213"/>
        <v xml:space="preserve"> * La variable Usuarios Oncológicos no puede superar el Total Ambos Sexos.</v>
      </c>
      <c r="CK305" s="435"/>
      <c r="CL305" s="433" t="str">
        <f t="shared" si="214"/>
        <v xml:space="preserve"> * La variable Migrantes no puede superar el Total Ambos Sexos.</v>
      </c>
      <c r="CM305" s="433" t="str">
        <f t="shared" si="215"/>
        <v xml:space="preserve"> * La variable Pueblo Originario no puede superar el Total Ambos Sexos.</v>
      </c>
      <c r="CP305" s="434">
        <f t="shared" si="216"/>
        <v>1</v>
      </c>
      <c r="CQ305" s="434" t="e">
        <f t="shared" si="217"/>
        <v>#VALUE!</v>
      </c>
      <c r="CR305" s="435"/>
      <c r="CS305" s="435"/>
      <c r="CT305" s="435"/>
      <c r="CU305" s="434">
        <f t="shared" si="218"/>
        <v>1</v>
      </c>
      <c r="CV305" s="435"/>
      <c r="CW305" s="434">
        <f t="shared" si="219"/>
        <v>1</v>
      </c>
      <c r="CX305" s="434">
        <f t="shared" si="220"/>
        <v>1</v>
      </c>
      <c r="CY305" s="435"/>
      <c r="CZ305" s="434">
        <f t="shared" si="221"/>
        <v>1</v>
      </c>
      <c r="DA305" s="434">
        <f t="shared" si="222"/>
        <v>1</v>
      </c>
    </row>
    <row r="306" spans="1:105" ht="15" customHeight="1" x14ac:dyDescent="0.25">
      <c r="A306" s="5812" t="s">
        <v>5917</v>
      </c>
      <c r="B306" s="6453" t="s">
        <v>1839</v>
      </c>
      <c r="C306" s="7058" t="s">
        <v>1828</v>
      </c>
      <c r="D306" s="7058"/>
      <c r="E306" s="358" t="s">
        <v>4567</v>
      </c>
      <c r="F306" s="3556" t="s">
        <v>4568</v>
      </c>
      <c r="G306" s="3470" t="s">
        <v>4569</v>
      </c>
      <c r="H306" s="3824" t="s">
        <v>4570</v>
      </c>
      <c r="I306" s="3821" t="s">
        <v>4571</v>
      </c>
      <c r="J306" s="3820" t="s">
        <v>4572</v>
      </c>
      <c r="K306" s="3821" t="s">
        <v>4573</v>
      </c>
      <c r="L306" s="3820" t="s">
        <v>4574</v>
      </c>
      <c r="M306" s="3821" t="s">
        <v>4575</v>
      </c>
      <c r="N306" s="3820" t="s">
        <v>4576</v>
      </c>
      <c r="O306" s="3821" t="s">
        <v>4577</v>
      </c>
      <c r="P306" s="3820" t="s">
        <v>4578</v>
      </c>
      <c r="Q306" s="3821" t="s">
        <v>4579</v>
      </c>
      <c r="R306" s="3820" t="s">
        <v>4580</v>
      </c>
      <c r="S306" s="3821" t="s">
        <v>4581</v>
      </c>
      <c r="T306" s="3820" t="s">
        <v>4582</v>
      </c>
      <c r="U306" s="3821" t="s">
        <v>4583</v>
      </c>
      <c r="V306" s="3820" t="s">
        <v>4584</v>
      </c>
      <c r="W306" s="3821" t="s">
        <v>4585</v>
      </c>
      <c r="X306" s="3773" t="s">
        <v>4586</v>
      </c>
      <c r="Y306" s="2657" t="s">
        <v>4587</v>
      </c>
      <c r="Z306" s="3773" t="s">
        <v>4588</v>
      </c>
      <c r="AA306" s="2657" t="s">
        <v>4589</v>
      </c>
      <c r="AB306" s="3773" t="s">
        <v>4590</v>
      </c>
      <c r="AC306" s="2657" t="s">
        <v>4591</v>
      </c>
      <c r="AD306" s="3773" t="s">
        <v>4592</v>
      </c>
      <c r="AE306" s="2657" t="s">
        <v>4593</v>
      </c>
      <c r="AF306" s="3773" t="s">
        <v>4594</v>
      </c>
      <c r="AG306" s="2657" t="s">
        <v>4595</v>
      </c>
      <c r="AH306" s="3773" t="s">
        <v>4596</v>
      </c>
      <c r="AI306" s="2657" t="s">
        <v>4597</v>
      </c>
      <c r="AJ306" s="3773" t="s">
        <v>4598</v>
      </c>
      <c r="AK306" s="2657" t="s">
        <v>4599</v>
      </c>
      <c r="AL306" s="3773" t="s">
        <v>4600</v>
      </c>
      <c r="AM306" s="2657" t="s">
        <v>4601</v>
      </c>
      <c r="AN306" s="2655" t="s">
        <v>4602</v>
      </c>
      <c r="AO306" s="3771" t="s">
        <v>4603</v>
      </c>
      <c r="AP306" s="3774" t="s">
        <v>4604</v>
      </c>
      <c r="AQ306" s="3772" t="s">
        <v>4605</v>
      </c>
      <c r="AR306" s="3759" t="s">
        <v>4606</v>
      </c>
      <c r="AS306" s="3773" t="s">
        <v>4934</v>
      </c>
      <c r="AT306" s="3762" t="s">
        <v>4935</v>
      </c>
      <c r="AU306" s="3774" t="s">
        <v>4936</v>
      </c>
      <c r="AV306" s="2657" t="s">
        <v>4937</v>
      </c>
      <c r="AW306" s="3762" t="s">
        <v>5234</v>
      </c>
      <c r="AX306" s="3774" t="s">
        <v>5235</v>
      </c>
      <c r="AY306" s="2657" t="s">
        <v>5236</v>
      </c>
      <c r="AZ306" t="e">
        <f t="shared" si="208"/>
        <v>#VALUE!</v>
      </c>
      <c r="CB306" s="433" t="str">
        <f t="shared" si="209"/>
        <v xml:space="preserve"> * La variable Gestante no puede superar el Total Mujeres.</v>
      </c>
      <c r="CC306" s="433" t="e">
        <f t="shared" si="210"/>
        <v>#VALUE!</v>
      </c>
      <c r="CD306" s="433" t="str">
        <f>IF(AND($E306&gt;0,AP306="")," * No olvide digitar la variable Consultas Pertinentes: Según Procolo de Referencia. Digite cero si no tiene.",IF(AP306&gt;$E306,"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06" s="433" t="str">
        <f>IF(AND($E306&gt;0,AQ306="")," * No olvide digitar la variable Consultas Pertinentes: Según condición clínica. Digite cero si no tiene.",IF(AQ306&gt;$E306,"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06" s="433" t="str">
        <f>IF(AND($E306&gt;0,AR306="")," * No olvide digitar la variable Inasistente. Digite cero si no tiene.",IF(AR306&gt;$E306," * La variable Insasistente no puede superar el Total Ambos Sexos.",""))</f>
        <v xml:space="preserve"> * La variable Insasistente no puede superar el Total Ambos Sexos.</v>
      </c>
      <c r="CG306" s="433" t="str">
        <f t="shared" si="211"/>
        <v xml:space="preserve"> * La variable Compra de Servicio no puede superar el Total Ambos Sexos.</v>
      </c>
      <c r="CH306" s="435"/>
      <c r="CI306" s="433" t="str">
        <f t="shared" si="212"/>
        <v xml:space="preserve"> * La variable Usuarios con Dicapacidad no puede superar el Total Ambos Sexos.</v>
      </c>
      <c r="CJ306" s="433" t="str">
        <f t="shared" si="213"/>
        <v xml:space="preserve"> * La variable Usuarios Oncológicos no puede superar el Total Ambos Sexos.</v>
      </c>
      <c r="CK306" s="435"/>
      <c r="CL306" s="433" t="str">
        <f t="shared" si="214"/>
        <v xml:space="preserve"> * La variable Migrantes no puede superar el Total Ambos Sexos.</v>
      </c>
      <c r="CM306" s="433" t="str">
        <f t="shared" si="215"/>
        <v xml:space="preserve"> * La variable Pueblo Originario no puede superar el Total Ambos Sexos.</v>
      </c>
      <c r="CP306" s="434">
        <f t="shared" si="216"/>
        <v>1</v>
      </c>
      <c r="CQ306" s="434" t="e">
        <f t="shared" si="217"/>
        <v>#VALUE!</v>
      </c>
      <c r="CR306" s="434">
        <f>IF(AND($E306&gt;0,AP306=""),1,IF(AP306&gt;$E306,1,0))</f>
        <v>1</v>
      </c>
      <c r="CS306" s="434">
        <f t="shared" ref="CS306" si="244">IF(AND($E306&gt;0,AQ306=""),1,IF(AQ306&gt;$E306,1,0))</f>
        <v>1</v>
      </c>
      <c r="CT306" s="434">
        <f t="shared" ref="CT306:CT307" si="245">IF(AND($E306&gt;0,AR306=""),1,IF(AR306&gt;$E306,1,0))</f>
        <v>1</v>
      </c>
      <c r="CU306" s="434">
        <f t="shared" si="218"/>
        <v>1</v>
      </c>
      <c r="CV306" s="435"/>
      <c r="CW306" s="434">
        <f t="shared" si="219"/>
        <v>1</v>
      </c>
      <c r="CX306" s="434">
        <f t="shared" si="220"/>
        <v>1</v>
      </c>
      <c r="CY306" s="435"/>
      <c r="CZ306" s="434">
        <f t="shared" si="221"/>
        <v>1</v>
      </c>
      <c r="DA306" s="434">
        <f t="shared" si="222"/>
        <v>1</v>
      </c>
    </row>
    <row r="307" spans="1:105" ht="15" customHeight="1" x14ac:dyDescent="0.25">
      <c r="A307" s="5812" t="s">
        <v>5918</v>
      </c>
      <c r="B307" s="6058"/>
      <c r="C307" s="7059" t="s">
        <v>1829</v>
      </c>
      <c r="D307" s="7059"/>
      <c r="E307" s="3775" t="s">
        <v>4567</v>
      </c>
      <c r="F307" s="3776" t="s">
        <v>4568</v>
      </c>
      <c r="G307" s="3562" t="s">
        <v>4569</v>
      </c>
      <c r="H307" s="3761" t="s">
        <v>4570</v>
      </c>
      <c r="I307" s="3762" t="s">
        <v>4571</v>
      </c>
      <c r="J307" s="3782" t="s">
        <v>4572</v>
      </c>
      <c r="K307" s="3762" t="s">
        <v>4573</v>
      </c>
      <c r="L307" s="3782" t="s">
        <v>4574</v>
      </c>
      <c r="M307" s="3762" t="s">
        <v>4575</v>
      </c>
      <c r="N307" s="3782" t="s">
        <v>4576</v>
      </c>
      <c r="O307" s="3762" t="s">
        <v>4577</v>
      </c>
      <c r="P307" s="3782" t="s">
        <v>4578</v>
      </c>
      <c r="Q307" s="3762" t="s">
        <v>4579</v>
      </c>
      <c r="R307" s="3782" t="s">
        <v>4580</v>
      </c>
      <c r="S307" s="3762" t="s">
        <v>4581</v>
      </c>
      <c r="T307" s="3782" t="s">
        <v>4582</v>
      </c>
      <c r="U307" s="3762" t="s">
        <v>4583</v>
      </c>
      <c r="V307" s="3782" t="s">
        <v>4584</v>
      </c>
      <c r="W307" s="3762" t="s">
        <v>4585</v>
      </c>
      <c r="X307" s="3779" t="s">
        <v>4586</v>
      </c>
      <c r="Y307" s="812" t="s">
        <v>4587</v>
      </c>
      <c r="Z307" s="3779" t="s">
        <v>4588</v>
      </c>
      <c r="AA307" s="812" t="s">
        <v>4589</v>
      </c>
      <c r="AB307" s="3779" t="s">
        <v>4590</v>
      </c>
      <c r="AC307" s="812" t="s">
        <v>4591</v>
      </c>
      <c r="AD307" s="3779" t="s">
        <v>4592</v>
      </c>
      <c r="AE307" s="812" t="s">
        <v>4593</v>
      </c>
      <c r="AF307" s="3779" t="s">
        <v>4594</v>
      </c>
      <c r="AG307" s="812" t="s">
        <v>4595</v>
      </c>
      <c r="AH307" s="3779" t="s">
        <v>4596</v>
      </c>
      <c r="AI307" s="812" t="s">
        <v>4597</v>
      </c>
      <c r="AJ307" s="3779" t="s">
        <v>4598</v>
      </c>
      <c r="AK307" s="812" t="s">
        <v>4599</v>
      </c>
      <c r="AL307" s="3779" t="s">
        <v>4600</v>
      </c>
      <c r="AM307" s="812" t="s">
        <v>4601</v>
      </c>
      <c r="AN307" s="3780" t="s">
        <v>4602</v>
      </c>
      <c r="AO307" s="3781" t="s">
        <v>4603</v>
      </c>
      <c r="AP307" s="3761" t="s">
        <v>4604</v>
      </c>
      <c r="AQ307" s="3762" t="s">
        <v>4605</v>
      </c>
      <c r="AR307" s="3773" t="s">
        <v>4606</v>
      </c>
      <c r="AS307" s="3779" t="s">
        <v>4934</v>
      </c>
      <c r="AT307" s="3762" t="s">
        <v>4935</v>
      </c>
      <c r="AU307" s="3777" t="s">
        <v>4936</v>
      </c>
      <c r="AV307" s="812" t="s">
        <v>4937</v>
      </c>
      <c r="AW307" s="3762" t="s">
        <v>5234</v>
      </c>
      <c r="AX307" s="3777" t="s">
        <v>5235</v>
      </c>
      <c r="AY307" s="812" t="s">
        <v>5236</v>
      </c>
      <c r="AZ307" t="e">
        <f t="shared" si="208"/>
        <v>#VALUE!</v>
      </c>
      <c r="CB307" s="433" t="str">
        <f t="shared" si="209"/>
        <v xml:space="preserve"> * La variable Gestante no puede superar el Total Mujeres.</v>
      </c>
      <c r="CC307" s="433" t="e">
        <f t="shared" si="210"/>
        <v>#VALUE!</v>
      </c>
      <c r="CD307" s="435"/>
      <c r="CE307" s="435"/>
      <c r="CF307" s="433" t="str">
        <f>IF(AND($E307&gt;0,AR307="")," * No olvide digitar la variable Inasistente. Digite cero si no tiene.",IF(AR307&gt;$E307," * La variable Insasistente no puede superar el Total Ambos Sexos.",""))</f>
        <v xml:space="preserve"> * La variable Insasistente no puede superar el Total Ambos Sexos.</v>
      </c>
      <c r="CG307" s="433" t="str">
        <f t="shared" si="211"/>
        <v xml:space="preserve"> * La variable Compra de Servicio no puede superar el Total Ambos Sexos.</v>
      </c>
      <c r="CH307" s="435"/>
      <c r="CI307" s="433" t="str">
        <f t="shared" si="212"/>
        <v xml:space="preserve"> * La variable Usuarios con Dicapacidad no puede superar el Total Ambos Sexos.</v>
      </c>
      <c r="CJ307" s="433" t="str">
        <f t="shared" si="213"/>
        <v xml:space="preserve"> * La variable Usuarios Oncológicos no puede superar el Total Ambos Sexos.</v>
      </c>
      <c r="CK307" s="435"/>
      <c r="CL307" s="433" t="str">
        <f t="shared" si="214"/>
        <v xml:space="preserve"> * La variable Migrantes no puede superar el Total Ambos Sexos.</v>
      </c>
      <c r="CM307" s="433" t="str">
        <f t="shared" si="215"/>
        <v xml:space="preserve"> * La variable Pueblo Originario no puede superar el Total Ambos Sexos.</v>
      </c>
      <c r="CP307" s="434">
        <f t="shared" si="216"/>
        <v>1</v>
      </c>
      <c r="CQ307" s="434" t="e">
        <f t="shared" si="217"/>
        <v>#VALUE!</v>
      </c>
      <c r="CR307" s="435"/>
      <c r="CS307" s="435"/>
      <c r="CT307" s="434">
        <f t="shared" si="245"/>
        <v>1</v>
      </c>
      <c r="CU307" s="434">
        <f t="shared" si="218"/>
        <v>1</v>
      </c>
      <c r="CV307" s="435"/>
      <c r="CW307" s="434">
        <f t="shared" si="219"/>
        <v>1</v>
      </c>
      <c r="CX307" s="434">
        <f t="shared" si="220"/>
        <v>1</v>
      </c>
      <c r="CY307" s="435"/>
      <c r="CZ307" s="434">
        <f t="shared" si="221"/>
        <v>1</v>
      </c>
      <c r="DA307" s="434">
        <f t="shared" si="222"/>
        <v>1</v>
      </c>
    </row>
    <row r="308" spans="1:105" ht="15" customHeight="1" x14ac:dyDescent="0.25">
      <c r="A308" s="5812" t="s">
        <v>5919</v>
      </c>
      <c r="B308" s="6058"/>
      <c r="C308" s="7059" t="s">
        <v>1830</v>
      </c>
      <c r="D308" s="7059"/>
      <c r="E308" s="3775" t="s">
        <v>4567</v>
      </c>
      <c r="F308" s="3776" t="s">
        <v>4568</v>
      </c>
      <c r="G308" s="3562" t="s">
        <v>4569</v>
      </c>
      <c r="H308" s="3761" t="s">
        <v>4570</v>
      </c>
      <c r="I308" s="3762" t="s">
        <v>4571</v>
      </c>
      <c r="J308" s="3782" t="s">
        <v>4572</v>
      </c>
      <c r="K308" s="3762" t="s">
        <v>4573</v>
      </c>
      <c r="L308" s="3782" t="s">
        <v>4574</v>
      </c>
      <c r="M308" s="3762" t="s">
        <v>4575</v>
      </c>
      <c r="N308" s="3782" t="s">
        <v>4576</v>
      </c>
      <c r="O308" s="3762" t="s">
        <v>4577</v>
      </c>
      <c r="P308" s="3782" t="s">
        <v>4578</v>
      </c>
      <c r="Q308" s="3762" t="s">
        <v>4579</v>
      </c>
      <c r="R308" s="3782" t="s">
        <v>4580</v>
      </c>
      <c r="S308" s="3762" t="s">
        <v>4581</v>
      </c>
      <c r="T308" s="3782" t="s">
        <v>4582</v>
      </c>
      <c r="U308" s="3762" t="s">
        <v>4583</v>
      </c>
      <c r="V308" s="3782" t="s">
        <v>4584</v>
      </c>
      <c r="W308" s="3762" t="s">
        <v>4585</v>
      </c>
      <c r="X308" s="3779" t="s">
        <v>4586</v>
      </c>
      <c r="Y308" s="812" t="s">
        <v>4587</v>
      </c>
      <c r="Z308" s="3779" t="s">
        <v>4588</v>
      </c>
      <c r="AA308" s="812" t="s">
        <v>4589</v>
      </c>
      <c r="AB308" s="3779" t="s">
        <v>4590</v>
      </c>
      <c r="AC308" s="812" t="s">
        <v>4591</v>
      </c>
      <c r="AD308" s="3779" t="s">
        <v>4592</v>
      </c>
      <c r="AE308" s="812" t="s">
        <v>4593</v>
      </c>
      <c r="AF308" s="3779" t="s">
        <v>4594</v>
      </c>
      <c r="AG308" s="812" t="s">
        <v>4595</v>
      </c>
      <c r="AH308" s="3779" t="s">
        <v>4596</v>
      </c>
      <c r="AI308" s="812" t="s">
        <v>4597</v>
      </c>
      <c r="AJ308" s="3779" t="s">
        <v>4598</v>
      </c>
      <c r="AK308" s="812" t="s">
        <v>4599</v>
      </c>
      <c r="AL308" s="3779" t="s">
        <v>4600</v>
      </c>
      <c r="AM308" s="812" t="s">
        <v>4601</v>
      </c>
      <c r="AN308" s="3780" t="s">
        <v>4602</v>
      </c>
      <c r="AO308" s="3781" t="s">
        <v>4603</v>
      </c>
      <c r="AP308" s="3761" t="s">
        <v>4604</v>
      </c>
      <c r="AQ308" s="3762" t="s">
        <v>4605</v>
      </c>
      <c r="AR308" s="3782" t="s">
        <v>4606</v>
      </c>
      <c r="AS308" s="3779" t="s">
        <v>4934</v>
      </c>
      <c r="AT308" s="3762" t="s">
        <v>4935</v>
      </c>
      <c r="AU308" s="3777" t="s">
        <v>4936</v>
      </c>
      <c r="AV308" s="812" t="s">
        <v>4937</v>
      </c>
      <c r="AW308" s="3762" t="s">
        <v>5234</v>
      </c>
      <c r="AX308" s="3777" t="s">
        <v>5235</v>
      </c>
      <c r="AY308" s="812" t="s">
        <v>5236</v>
      </c>
      <c r="AZ308" t="e">
        <f t="shared" si="208"/>
        <v>#VALUE!</v>
      </c>
      <c r="CB308" s="433" t="str">
        <f t="shared" si="209"/>
        <v xml:space="preserve"> * La variable Gestante no puede superar el Total Mujeres.</v>
      </c>
      <c r="CC308" s="433" t="e">
        <f t="shared" si="210"/>
        <v>#VALUE!</v>
      </c>
      <c r="CD308" s="435"/>
      <c r="CE308" s="435"/>
      <c r="CF308" s="435"/>
      <c r="CG308" s="433" t="str">
        <f t="shared" si="211"/>
        <v xml:space="preserve"> * La variable Compra de Servicio no puede superar el Total Ambos Sexos.</v>
      </c>
      <c r="CH308" s="435"/>
      <c r="CI308" s="433" t="str">
        <f t="shared" si="212"/>
        <v xml:space="preserve"> * La variable Usuarios con Dicapacidad no puede superar el Total Ambos Sexos.</v>
      </c>
      <c r="CJ308" s="433" t="str">
        <f t="shared" si="213"/>
        <v xml:space="preserve"> * La variable Usuarios Oncológicos no puede superar el Total Ambos Sexos.</v>
      </c>
      <c r="CK308" s="435"/>
      <c r="CL308" s="433" t="str">
        <f t="shared" si="214"/>
        <v xml:space="preserve"> * La variable Migrantes no puede superar el Total Ambos Sexos.</v>
      </c>
      <c r="CM308" s="433" t="str">
        <f t="shared" si="215"/>
        <v xml:space="preserve"> * La variable Pueblo Originario no puede superar el Total Ambos Sexos.</v>
      </c>
      <c r="CP308" s="434">
        <f t="shared" si="216"/>
        <v>1</v>
      </c>
      <c r="CQ308" s="434" t="e">
        <f t="shared" si="217"/>
        <v>#VALUE!</v>
      </c>
      <c r="CR308" s="435"/>
      <c r="CS308" s="435"/>
      <c r="CT308" s="435"/>
      <c r="CU308" s="434">
        <f t="shared" si="218"/>
        <v>1</v>
      </c>
      <c r="CV308" s="435"/>
      <c r="CW308" s="434">
        <f t="shared" si="219"/>
        <v>1</v>
      </c>
      <c r="CX308" s="434">
        <f t="shared" si="220"/>
        <v>1</v>
      </c>
      <c r="CY308" s="435"/>
      <c r="CZ308" s="434">
        <f t="shared" si="221"/>
        <v>1</v>
      </c>
      <c r="DA308" s="434">
        <f t="shared" si="222"/>
        <v>1</v>
      </c>
    </row>
    <row r="309" spans="1:105" x14ac:dyDescent="0.25">
      <c r="A309" s="5812" t="s">
        <v>5920</v>
      </c>
      <c r="B309" s="6058"/>
      <c r="C309" s="7055" t="s">
        <v>1831</v>
      </c>
      <c r="D309" s="6987"/>
      <c r="E309" s="3775" t="s">
        <v>4567</v>
      </c>
      <c r="F309" s="3776" t="s">
        <v>4568</v>
      </c>
      <c r="G309" s="3562" t="s">
        <v>4569</v>
      </c>
      <c r="H309" s="3761" t="s">
        <v>4570</v>
      </c>
      <c r="I309" s="3762" t="s">
        <v>4571</v>
      </c>
      <c r="J309" s="3782" t="s">
        <v>4572</v>
      </c>
      <c r="K309" s="3762" t="s">
        <v>4573</v>
      </c>
      <c r="L309" s="3782" t="s">
        <v>4574</v>
      </c>
      <c r="M309" s="3762" t="s">
        <v>4575</v>
      </c>
      <c r="N309" s="3782" t="s">
        <v>4576</v>
      </c>
      <c r="O309" s="3762" t="s">
        <v>4577</v>
      </c>
      <c r="P309" s="3782" t="s">
        <v>4578</v>
      </c>
      <c r="Q309" s="3762" t="s">
        <v>4579</v>
      </c>
      <c r="R309" s="3782" t="s">
        <v>4580</v>
      </c>
      <c r="S309" s="3762" t="s">
        <v>4581</v>
      </c>
      <c r="T309" s="3782" t="s">
        <v>4582</v>
      </c>
      <c r="U309" s="3762" t="s">
        <v>4583</v>
      </c>
      <c r="V309" s="3782" t="s">
        <v>4584</v>
      </c>
      <c r="W309" s="3762" t="s">
        <v>4585</v>
      </c>
      <c r="X309" s="3785" t="s">
        <v>4586</v>
      </c>
      <c r="Y309" s="2643" t="s">
        <v>4587</v>
      </c>
      <c r="Z309" s="3785" t="s">
        <v>4588</v>
      </c>
      <c r="AA309" s="2643" t="s">
        <v>4589</v>
      </c>
      <c r="AB309" s="3785" t="s">
        <v>4590</v>
      </c>
      <c r="AC309" s="2643" t="s">
        <v>4591</v>
      </c>
      <c r="AD309" s="3785" t="s">
        <v>4592</v>
      </c>
      <c r="AE309" s="2643" t="s">
        <v>4593</v>
      </c>
      <c r="AF309" s="3785" t="s">
        <v>4594</v>
      </c>
      <c r="AG309" s="2643" t="s">
        <v>4595</v>
      </c>
      <c r="AH309" s="3785" t="s">
        <v>4596</v>
      </c>
      <c r="AI309" s="2643" t="s">
        <v>4597</v>
      </c>
      <c r="AJ309" s="3785" t="s">
        <v>4598</v>
      </c>
      <c r="AK309" s="2643" t="s">
        <v>4599</v>
      </c>
      <c r="AL309" s="3785" t="s">
        <v>4600</v>
      </c>
      <c r="AM309" s="2643" t="s">
        <v>4601</v>
      </c>
      <c r="AN309" s="2641" t="s">
        <v>4602</v>
      </c>
      <c r="AO309" s="3786" t="s">
        <v>4603</v>
      </c>
      <c r="AP309" s="3761" t="s">
        <v>4604</v>
      </c>
      <c r="AQ309" s="3762" t="s">
        <v>4605</v>
      </c>
      <c r="AR309" s="3782" t="s">
        <v>4606</v>
      </c>
      <c r="AS309" s="3785" t="s">
        <v>4934</v>
      </c>
      <c r="AT309" s="3762" t="s">
        <v>4935</v>
      </c>
      <c r="AU309" s="3783" t="s">
        <v>4936</v>
      </c>
      <c r="AV309" s="2643" t="s">
        <v>4937</v>
      </c>
      <c r="AW309" s="812" t="s">
        <v>5234</v>
      </c>
      <c r="AX309" s="3783" t="s">
        <v>5235</v>
      </c>
      <c r="AY309" s="2643" t="s">
        <v>5236</v>
      </c>
      <c r="AZ309" t="e">
        <f t="shared" si="208"/>
        <v>#VALUE!</v>
      </c>
      <c r="CB309" s="433" t="str">
        <f t="shared" si="209"/>
        <v xml:space="preserve"> * La variable Gestante no puede superar el Total Mujeres.</v>
      </c>
      <c r="CC309" s="433" t="e">
        <f t="shared" si="210"/>
        <v>#VALUE!</v>
      </c>
      <c r="CD309" s="435"/>
      <c r="CE309" s="435"/>
      <c r="CF309" s="435"/>
      <c r="CG309" s="433" t="str">
        <f t="shared" si="211"/>
        <v xml:space="preserve"> * La variable Compra de Servicio no puede superar el Total Ambos Sexos.</v>
      </c>
      <c r="CH309" s="435"/>
      <c r="CI309" s="433" t="str">
        <f t="shared" si="212"/>
        <v xml:space="preserve"> * La variable Usuarios con Dicapacidad no puede superar el Total Ambos Sexos.</v>
      </c>
      <c r="CJ309" s="433" t="str">
        <f t="shared" si="213"/>
        <v xml:space="preserve"> * La variable Usuarios Oncológicos no puede superar el Total Ambos Sexos.</v>
      </c>
      <c r="CK309" s="433" t="str">
        <f>IF(AND($E309&gt;0,AW309="")," * No olvide digitar la variable Contrarreferencia al alta. Digite Cero si no tiene.",IF(AW309&gt;$E309," * La variable Contrarreferencia al alta no puede superar el Total Ambos Sexos.",""))</f>
        <v xml:space="preserve"> * La variable Contrarreferencia al alta no puede superar el Total Ambos Sexos.</v>
      </c>
      <c r="CL309" s="433" t="str">
        <f t="shared" si="214"/>
        <v xml:space="preserve"> * La variable Migrantes no puede superar el Total Ambos Sexos.</v>
      </c>
      <c r="CM309" s="433" t="str">
        <f t="shared" si="215"/>
        <v xml:space="preserve"> * La variable Pueblo Originario no puede superar el Total Ambos Sexos.</v>
      </c>
      <c r="CP309" s="434">
        <f t="shared" si="216"/>
        <v>1</v>
      </c>
      <c r="CQ309" s="434" t="e">
        <f t="shared" si="217"/>
        <v>#VALUE!</v>
      </c>
      <c r="CR309" s="435"/>
      <c r="CS309" s="435"/>
      <c r="CT309" s="435"/>
      <c r="CU309" s="434">
        <f t="shared" si="218"/>
        <v>1</v>
      </c>
      <c r="CV309" s="435"/>
      <c r="CW309" s="434">
        <f t="shared" si="219"/>
        <v>1</v>
      </c>
      <c r="CX309" s="434">
        <f t="shared" si="220"/>
        <v>1</v>
      </c>
      <c r="CY309" s="434">
        <f t="shared" si="220"/>
        <v>1</v>
      </c>
      <c r="CZ309" s="434">
        <f t="shared" si="221"/>
        <v>1</v>
      </c>
      <c r="DA309" s="434">
        <f t="shared" si="222"/>
        <v>1</v>
      </c>
    </row>
    <row r="310" spans="1:105" ht="15" customHeight="1" x14ac:dyDescent="0.25">
      <c r="A310" s="5812" t="s">
        <v>5921</v>
      </c>
      <c r="B310" s="6058"/>
      <c r="C310" s="7055" t="s">
        <v>1832</v>
      </c>
      <c r="D310" s="6987"/>
      <c r="E310" s="3775" t="s">
        <v>4567</v>
      </c>
      <c r="F310" s="3776" t="s">
        <v>4568</v>
      </c>
      <c r="G310" s="3562" t="s">
        <v>4569</v>
      </c>
      <c r="H310" s="3825" t="s">
        <v>4570</v>
      </c>
      <c r="I310" s="3826" t="s">
        <v>4571</v>
      </c>
      <c r="J310" s="3827" t="s">
        <v>4572</v>
      </c>
      <c r="K310" s="3826" t="s">
        <v>4573</v>
      </c>
      <c r="L310" s="3827" t="s">
        <v>4574</v>
      </c>
      <c r="M310" s="3826" t="s">
        <v>4575</v>
      </c>
      <c r="N310" s="3827" t="s">
        <v>4576</v>
      </c>
      <c r="O310" s="3826" t="s">
        <v>4577</v>
      </c>
      <c r="P310" s="3827" t="s">
        <v>4578</v>
      </c>
      <c r="Q310" s="3826" t="s">
        <v>4579</v>
      </c>
      <c r="R310" s="3827" t="s">
        <v>4580</v>
      </c>
      <c r="S310" s="3826" t="s">
        <v>4581</v>
      </c>
      <c r="T310" s="3827" t="s">
        <v>4582</v>
      </c>
      <c r="U310" s="3826" t="s">
        <v>4583</v>
      </c>
      <c r="V310" s="3827" t="s">
        <v>4584</v>
      </c>
      <c r="W310" s="3826" t="s">
        <v>4585</v>
      </c>
      <c r="X310" s="3785" t="s">
        <v>4586</v>
      </c>
      <c r="Y310" s="2643" t="s">
        <v>4587</v>
      </c>
      <c r="Z310" s="3785" t="s">
        <v>4588</v>
      </c>
      <c r="AA310" s="2643" t="s">
        <v>4589</v>
      </c>
      <c r="AB310" s="3785" t="s">
        <v>4590</v>
      </c>
      <c r="AC310" s="2643" t="s">
        <v>4591</v>
      </c>
      <c r="AD310" s="3785" t="s">
        <v>4592</v>
      </c>
      <c r="AE310" s="2643" t="s">
        <v>4593</v>
      </c>
      <c r="AF310" s="3785" t="s">
        <v>4594</v>
      </c>
      <c r="AG310" s="2643" t="s">
        <v>4595</v>
      </c>
      <c r="AH310" s="3785" t="s">
        <v>4596</v>
      </c>
      <c r="AI310" s="2643" t="s">
        <v>4597</v>
      </c>
      <c r="AJ310" s="3785" t="s">
        <v>4598</v>
      </c>
      <c r="AK310" s="2643" t="s">
        <v>4599</v>
      </c>
      <c r="AL310" s="3785" t="s">
        <v>4600</v>
      </c>
      <c r="AM310" s="2643" t="s">
        <v>4601</v>
      </c>
      <c r="AN310" s="2641" t="s">
        <v>4602</v>
      </c>
      <c r="AO310" s="3786" t="s">
        <v>4603</v>
      </c>
      <c r="AP310" s="3787" t="s">
        <v>4604</v>
      </c>
      <c r="AQ310" s="3788" t="s">
        <v>4605</v>
      </c>
      <c r="AR310" s="3782" t="s">
        <v>4606</v>
      </c>
      <c r="AS310" s="3785" t="s">
        <v>4934</v>
      </c>
      <c r="AT310" s="3788" t="s">
        <v>4935</v>
      </c>
      <c r="AU310" s="3783" t="s">
        <v>4936</v>
      </c>
      <c r="AV310" s="2643" t="s">
        <v>4937</v>
      </c>
      <c r="AW310" s="3788" t="s">
        <v>5234</v>
      </c>
      <c r="AX310" s="3783" t="s">
        <v>5235</v>
      </c>
      <c r="AY310" s="2643" t="s">
        <v>5236</v>
      </c>
      <c r="AZ310" t="e">
        <f t="shared" si="208"/>
        <v>#VALUE!</v>
      </c>
      <c r="CB310" s="433" t="str">
        <f t="shared" si="209"/>
        <v xml:space="preserve"> * La variable Gestante no puede superar el Total Mujeres.</v>
      </c>
      <c r="CC310" s="433" t="e">
        <f t="shared" si="210"/>
        <v>#VALUE!</v>
      </c>
      <c r="CD310" s="435"/>
      <c r="CE310" s="435"/>
      <c r="CF310" s="435"/>
      <c r="CG310" s="433" t="str">
        <f t="shared" si="211"/>
        <v xml:space="preserve"> * La variable Compra de Servicio no puede superar el Total Ambos Sexos.</v>
      </c>
      <c r="CH310" s="435"/>
      <c r="CI310" s="433" t="str">
        <f t="shared" si="212"/>
        <v xml:space="preserve"> * La variable Usuarios con Dicapacidad no puede superar el Total Ambos Sexos.</v>
      </c>
      <c r="CJ310" s="433" t="str">
        <f t="shared" si="213"/>
        <v xml:space="preserve"> * La variable Usuarios Oncológicos no puede superar el Total Ambos Sexos.</v>
      </c>
      <c r="CK310" s="435"/>
      <c r="CL310" s="433" t="str">
        <f t="shared" si="214"/>
        <v xml:space="preserve"> * La variable Migrantes no puede superar el Total Ambos Sexos.</v>
      </c>
      <c r="CM310" s="433" t="str">
        <f t="shared" si="215"/>
        <v xml:space="preserve"> * La variable Pueblo Originario no puede superar el Total Ambos Sexos.</v>
      </c>
      <c r="CP310" s="434">
        <f t="shared" si="216"/>
        <v>1</v>
      </c>
      <c r="CQ310" s="434" t="e">
        <f t="shared" si="217"/>
        <v>#VALUE!</v>
      </c>
      <c r="CR310" s="435"/>
      <c r="CS310" s="435"/>
      <c r="CT310" s="435"/>
      <c r="CU310" s="434">
        <f t="shared" si="218"/>
        <v>1</v>
      </c>
      <c r="CV310" s="435"/>
      <c r="CW310" s="434">
        <f t="shared" si="219"/>
        <v>1</v>
      </c>
      <c r="CX310" s="434">
        <f t="shared" si="220"/>
        <v>1</v>
      </c>
      <c r="CY310" s="435"/>
      <c r="CZ310" s="434">
        <f t="shared" si="221"/>
        <v>1</v>
      </c>
      <c r="DA310" s="434">
        <f t="shared" si="222"/>
        <v>1</v>
      </c>
    </row>
    <row r="311" spans="1:105" ht="15" customHeight="1" x14ac:dyDescent="0.25">
      <c r="A311" s="5812" t="s">
        <v>5922</v>
      </c>
      <c r="B311" s="6842"/>
      <c r="C311" s="7056" t="s">
        <v>1833</v>
      </c>
      <c r="D311" s="7056"/>
      <c r="E311" s="3395" t="s">
        <v>4567</v>
      </c>
      <c r="F311" s="3527" t="s">
        <v>4568</v>
      </c>
      <c r="G311" s="3480" t="s">
        <v>4569</v>
      </c>
      <c r="H311" s="3801" t="s">
        <v>4570</v>
      </c>
      <c r="I311" s="3802" t="s">
        <v>4571</v>
      </c>
      <c r="J311" s="3828" t="s">
        <v>4572</v>
      </c>
      <c r="K311" s="3802" t="s">
        <v>4573</v>
      </c>
      <c r="L311" s="3828" t="s">
        <v>4574</v>
      </c>
      <c r="M311" s="3802" t="s">
        <v>4575</v>
      </c>
      <c r="N311" s="3828" t="s">
        <v>4576</v>
      </c>
      <c r="O311" s="3802" t="s">
        <v>4577</v>
      </c>
      <c r="P311" s="3828" t="s">
        <v>4578</v>
      </c>
      <c r="Q311" s="3802" t="s">
        <v>4579</v>
      </c>
      <c r="R311" s="3828" t="s">
        <v>4580</v>
      </c>
      <c r="S311" s="3802" t="s">
        <v>4581</v>
      </c>
      <c r="T311" s="3828" t="s">
        <v>4582</v>
      </c>
      <c r="U311" s="3802" t="s">
        <v>4583</v>
      </c>
      <c r="V311" s="3828" t="s">
        <v>4584</v>
      </c>
      <c r="W311" s="3802" t="s">
        <v>4585</v>
      </c>
      <c r="X311" s="3768" t="s">
        <v>4586</v>
      </c>
      <c r="Y311" s="815" t="s">
        <v>4587</v>
      </c>
      <c r="Z311" s="3768" t="s">
        <v>4588</v>
      </c>
      <c r="AA311" s="815" t="s">
        <v>4589</v>
      </c>
      <c r="AB311" s="3768" t="s">
        <v>4590</v>
      </c>
      <c r="AC311" s="815" t="s">
        <v>4591</v>
      </c>
      <c r="AD311" s="3768" t="s">
        <v>4592</v>
      </c>
      <c r="AE311" s="815" t="s">
        <v>4593</v>
      </c>
      <c r="AF311" s="3768" t="s">
        <v>4594</v>
      </c>
      <c r="AG311" s="815" t="s">
        <v>4595</v>
      </c>
      <c r="AH311" s="3768" t="s">
        <v>4596</v>
      </c>
      <c r="AI311" s="815" t="s">
        <v>4597</v>
      </c>
      <c r="AJ311" s="3768" t="s">
        <v>4598</v>
      </c>
      <c r="AK311" s="815" t="s">
        <v>4599</v>
      </c>
      <c r="AL311" s="3768" t="s">
        <v>4600</v>
      </c>
      <c r="AM311" s="815" t="s">
        <v>4601</v>
      </c>
      <c r="AN311" s="814" t="s">
        <v>4602</v>
      </c>
      <c r="AO311" s="3769" t="s">
        <v>4603</v>
      </c>
      <c r="AP311" s="3790" t="s">
        <v>4604</v>
      </c>
      <c r="AQ311" s="3770" t="s">
        <v>4605</v>
      </c>
      <c r="AR311" s="3782" t="s">
        <v>4606</v>
      </c>
      <c r="AS311" s="3768" t="s">
        <v>4934</v>
      </c>
      <c r="AT311" s="3770" t="s">
        <v>4935</v>
      </c>
      <c r="AU311" s="3766" t="s">
        <v>4936</v>
      </c>
      <c r="AV311" s="815" t="s">
        <v>4937</v>
      </c>
      <c r="AW311" s="3770" t="s">
        <v>5234</v>
      </c>
      <c r="AX311" s="3766" t="s">
        <v>5235</v>
      </c>
      <c r="AY311" s="815" t="s">
        <v>5236</v>
      </c>
      <c r="AZ311" t="e">
        <f t="shared" si="208"/>
        <v>#VALUE!</v>
      </c>
      <c r="CB311" s="433" t="str">
        <f t="shared" si="209"/>
        <v xml:space="preserve"> * La variable Gestante no puede superar el Total Mujeres.</v>
      </c>
      <c r="CC311" s="433" t="e">
        <f t="shared" si="210"/>
        <v>#VALUE!</v>
      </c>
      <c r="CD311" s="435"/>
      <c r="CE311" s="435"/>
      <c r="CF311" s="435"/>
      <c r="CG311" s="433" t="str">
        <f t="shared" si="211"/>
        <v xml:space="preserve"> * La variable Compra de Servicio no puede superar el Total Ambos Sexos.</v>
      </c>
      <c r="CH311" s="435"/>
      <c r="CI311" s="433" t="str">
        <f t="shared" si="212"/>
        <v xml:space="preserve"> * La variable Usuarios con Dicapacidad no puede superar el Total Ambos Sexos.</v>
      </c>
      <c r="CJ311" s="433" t="str">
        <f t="shared" si="213"/>
        <v xml:space="preserve"> * La variable Usuarios Oncológicos no puede superar el Total Ambos Sexos.</v>
      </c>
      <c r="CK311" s="435"/>
      <c r="CL311" s="433" t="str">
        <f t="shared" si="214"/>
        <v xml:space="preserve"> * La variable Migrantes no puede superar el Total Ambos Sexos.</v>
      </c>
      <c r="CM311" s="433" t="str">
        <f t="shared" si="215"/>
        <v xml:space="preserve"> * La variable Pueblo Originario no puede superar el Total Ambos Sexos.</v>
      </c>
      <c r="CP311" s="434">
        <f t="shared" si="216"/>
        <v>1</v>
      </c>
      <c r="CQ311" s="434" t="e">
        <f t="shared" si="217"/>
        <v>#VALUE!</v>
      </c>
      <c r="CR311" s="435"/>
      <c r="CS311" s="435"/>
      <c r="CT311" s="435"/>
      <c r="CU311" s="434">
        <f t="shared" si="218"/>
        <v>1</v>
      </c>
      <c r="CV311" s="435"/>
      <c r="CW311" s="434">
        <f t="shared" si="219"/>
        <v>1</v>
      </c>
      <c r="CX311" s="434">
        <f t="shared" si="220"/>
        <v>1</v>
      </c>
      <c r="CY311" s="435"/>
      <c r="CZ311" s="434">
        <f t="shared" si="221"/>
        <v>1</v>
      </c>
      <c r="DA311" s="434">
        <f t="shared" si="222"/>
        <v>1</v>
      </c>
    </row>
    <row r="312" spans="1:105" x14ac:dyDescent="0.25">
      <c r="A312" s="5812" t="s">
        <v>5923</v>
      </c>
      <c r="B312" s="6453" t="s">
        <v>1649</v>
      </c>
      <c r="C312" s="7058" t="s">
        <v>1828</v>
      </c>
      <c r="D312" s="7058"/>
      <c r="E312" s="358" t="s">
        <v>4567</v>
      </c>
      <c r="F312" s="3556" t="s">
        <v>4568</v>
      </c>
      <c r="G312" s="3470" t="s">
        <v>4569</v>
      </c>
      <c r="H312" s="3774" t="s">
        <v>4570</v>
      </c>
      <c r="I312" s="3772" t="s">
        <v>4571</v>
      </c>
      <c r="J312" s="3773" t="s">
        <v>4572</v>
      </c>
      <c r="K312" s="3772" t="s">
        <v>4573</v>
      </c>
      <c r="L312" s="3773" t="s">
        <v>4574</v>
      </c>
      <c r="M312" s="3772" t="s">
        <v>4575</v>
      </c>
      <c r="N312" s="3773" t="s">
        <v>4576</v>
      </c>
      <c r="O312" s="3772" t="s">
        <v>4577</v>
      </c>
      <c r="P312" s="3773" t="s">
        <v>4578</v>
      </c>
      <c r="Q312" s="3772" t="s">
        <v>4579</v>
      </c>
      <c r="R312" s="3773" t="s">
        <v>4580</v>
      </c>
      <c r="S312" s="3772" t="s">
        <v>4581</v>
      </c>
      <c r="T312" s="3773" t="s">
        <v>4582</v>
      </c>
      <c r="U312" s="2657" t="s">
        <v>4583</v>
      </c>
      <c r="V312" s="3773" t="s">
        <v>4584</v>
      </c>
      <c r="W312" s="2657" t="s">
        <v>4585</v>
      </c>
      <c r="X312" s="3773" t="s">
        <v>4586</v>
      </c>
      <c r="Y312" s="2657" t="s">
        <v>4587</v>
      </c>
      <c r="Z312" s="3773" t="s">
        <v>4588</v>
      </c>
      <c r="AA312" s="2657" t="s">
        <v>4589</v>
      </c>
      <c r="AB312" s="3773" t="s">
        <v>4590</v>
      </c>
      <c r="AC312" s="2657" t="s">
        <v>4591</v>
      </c>
      <c r="AD312" s="3773" t="s">
        <v>4592</v>
      </c>
      <c r="AE312" s="2657" t="s">
        <v>4593</v>
      </c>
      <c r="AF312" s="3773" t="s">
        <v>4594</v>
      </c>
      <c r="AG312" s="2657" t="s">
        <v>4595</v>
      </c>
      <c r="AH312" s="3773" t="s">
        <v>4596</v>
      </c>
      <c r="AI312" s="2657" t="s">
        <v>4597</v>
      </c>
      <c r="AJ312" s="3773" t="s">
        <v>4598</v>
      </c>
      <c r="AK312" s="2657" t="s">
        <v>4599</v>
      </c>
      <c r="AL312" s="3773" t="s">
        <v>4600</v>
      </c>
      <c r="AM312" s="2657" t="s">
        <v>4601</v>
      </c>
      <c r="AN312" s="2655" t="s">
        <v>4602</v>
      </c>
      <c r="AO312" s="3771" t="s">
        <v>4603</v>
      </c>
      <c r="AP312" s="3774" t="s">
        <v>4604</v>
      </c>
      <c r="AQ312" s="3772" t="s">
        <v>4605</v>
      </c>
      <c r="AR312" s="3759" t="s">
        <v>4606</v>
      </c>
      <c r="AS312" s="3773" t="s">
        <v>4934</v>
      </c>
      <c r="AT312" s="3762" t="s">
        <v>4935</v>
      </c>
      <c r="AU312" s="3774" t="s">
        <v>4936</v>
      </c>
      <c r="AV312" s="2657" t="s">
        <v>4937</v>
      </c>
      <c r="AW312" s="3762" t="s">
        <v>5234</v>
      </c>
      <c r="AX312" s="3774" t="s">
        <v>5235</v>
      </c>
      <c r="AY312" s="2657" t="s">
        <v>5236</v>
      </c>
      <c r="AZ312" t="e">
        <f t="shared" si="208"/>
        <v>#VALUE!</v>
      </c>
      <c r="CB312" s="433" t="str">
        <f t="shared" si="209"/>
        <v xml:space="preserve"> * La variable Gestante no puede superar el Total Mujeres.</v>
      </c>
      <c r="CC312" s="433" t="e">
        <f t="shared" si="210"/>
        <v>#VALUE!</v>
      </c>
      <c r="CD312" s="433" t="str">
        <f>IF(AND($E312&gt;0,AP312="")," * No olvide digitar la variable Consultas Pertinentes: Según Procolo de Referencia. Digite cero si no tiene.",IF(AP312&gt;$E312,"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12" s="433" t="str">
        <f>IF(AND($E312&gt;0,AQ312="")," * No olvide digitar la variable Consultas Pertinentes: Según condición clínica. Digite cero si no tiene.",IF(AQ312&gt;$E312,"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12" s="433" t="str">
        <f>IF(AND($E312&gt;0,AR312="")," * No olvide digitar la variable Inasistente. Digite cero si no tiene.",IF(AR312&gt;$E312," * La variable Insasistente no puede superar el Total Ambos Sexos.",""))</f>
        <v xml:space="preserve"> * La variable Insasistente no puede superar el Total Ambos Sexos.</v>
      </c>
      <c r="CG312" s="433" t="str">
        <f t="shared" si="211"/>
        <v xml:space="preserve"> * La variable Compra de Servicio no puede superar el Total Ambos Sexos.</v>
      </c>
      <c r="CH312" s="435"/>
      <c r="CI312" s="433" t="str">
        <f t="shared" si="212"/>
        <v xml:space="preserve"> * La variable Usuarios con Dicapacidad no puede superar el Total Ambos Sexos.</v>
      </c>
      <c r="CJ312" s="433" t="str">
        <f t="shared" si="213"/>
        <v xml:space="preserve"> * La variable Usuarios Oncológicos no puede superar el Total Ambos Sexos.</v>
      </c>
      <c r="CK312" s="435"/>
      <c r="CL312" s="433" t="str">
        <f t="shared" si="214"/>
        <v xml:space="preserve"> * La variable Migrantes no puede superar el Total Ambos Sexos.</v>
      </c>
      <c r="CM312" s="433" t="str">
        <f t="shared" si="215"/>
        <v xml:space="preserve"> * La variable Pueblo Originario no puede superar el Total Ambos Sexos.</v>
      </c>
      <c r="CP312" s="434">
        <f t="shared" si="216"/>
        <v>1</v>
      </c>
      <c r="CQ312" s="434" t="e">
        <f t="shared" si="217"/>
        <v>#VALUE!</v>
      </c>
      <c r="CR312" s="434">
        <f>IF(AND($E312&gt;0,AP312=""),1,IF(AP312&gt;$E312,1,0))</f>
        <v>1</v>
      </c>
      <c r="CS312" s="434">
        <f t="shared" ref="CS312" si="246">IF(AND($E312&gt;0,AQ312=""),1,IF(AQ312&gt;$E312,1,0))</f>
        <v>1</v>
      </c>
      <c r="CT312" s="434">
        <f t="shared" ref="CT312:CT313" si="247">IF(AND($E312&gt;0,AR312=""),1,IF(AR312&gt;$E312,1,0))</f>
        <v>1</v>
      </c>
      <c r="CU312" s="434">
        <f t="shared" si="218"/>
        <v>1</v>
      </c>
      <c r="CV312" s="435"/>
      <c r="CW312" s="434">
        <f t="shared" si="219"/>
        <v>1</v>
      </c>
      <c r="CX312" s="434">
        <f t="shared" si="220"/>
        <v>1</v>
      </c>
      <c r="CY312" s="435"/>
      <c r="CZ312" s="434">
        <f t="shared" si="221"/>
        <v>1</v>
      </c>
      <c r="DA312" s="434">
        <f t="shared" si="222"/>
        <v>1</v>
      </c>
    </row>
    <row r="313" spans="1:105" ht="15" customHeight="1" x14ac:dyDescent="0.25">
      <c r="A313" s="5812" t="s">
        <v>5924</v>
      </c>
      <c r="B313" s="6058"/>
      <c r="C313" s="7059" t="s">
        <v>1829</v>
      </c>
      <c r="D313" s="7059"/>
      <c r="E313" s="3775" t="s">
        <v>4567</v>
      </c>
      <c r="F313" s="3776" t="s">
        <v>4568</v>
      </c>
      <c r="G313" s="3562" t="s">
        <v>4569</v>
      </c>
      <c r="H313" s="3777" t="s">
        <v>4570</v>
      </c>
      <c r="I313" s="3778" t="s">
        <v>4571</v>
      </c>
      <c r="J313" s="3779" t="s">
        <v>4572</v>
      </c>
      <c r="K313" s="3778" t="s">
        <v>4573</v>
      </c>
      <c r="L313" s="3779" t="s">
        <v>4574</v>
      </c>
      <c r="M313" s="3778" t="s">
        <v>4575</v>
      </c>
      <c r="N313" s="3779" t="s">
        <v>4576</v>
      </c>
      <c r="O313" s="3778" t="s">
        <v>4577</v>
      </c>
      <c r="P313" s="3779" t="s">
        <v>4578</v>
      </c>
      <c r="Q313" s="3778" t="s">
        <v>4579</v>
      </c>
      <c r="R313" s="3779" t="s">
        <v>4580</v>
      </c>
      <c r="S313" s="3778" t="s">
        <v>4581</v>
      </c>
      <c r="T313" s="3779" t="s">
        <v>4582</v>
      </c>
      <c r="U313" s="812" t="s">
        <v>4583</v>
      </c>
      <c r="V313" s="3779" t="s">
        <v>4584</v>
      </c>
      <c r="W313" s="812" t="s">
        <v>4585</v>
      </c>
      <c r="X313" s="3779" t="s">
        <v>4586</v>
      </c>
      <c r="Y313" s="812" t="s">
        <v>4587</v>
      </c>
      <c r="Z313" s="3779" t="s">
        <v>4588</v>
      </c>
      <c r="AA313" s="812" t="s">
        <v>4589</v>
      </c>
      <c r="AB313" s="3779" t="s">
        <v>4590</v>
      </c>
      <c r="AC313" s="812" t="s">
        <v>4591</v>
      </c>
      <c r="AD313" s="3779" t="s">
        <v>4592</v>
      </c>
      <c r="AE313" s="812" t="s">
        <v>4593</v>
      </c>
      <c r="AF313" s="3779" t="s">
        <v>4594</v>
      </c>
      <c r="AG313" s="812" t="s">
        <v>4595</v>
      </c>
      <c r="AH313" s="3779" t="s">
        <v>4596</v>
      </c>
      <c r="AI313" s="812" t="s">
        <v>4597</v>
      </c>
      <c r="AJ313" s="3779" t="s">
        <v>4598</v>
      </c>
      <c r="AK313" s="812" t="s">
        <v>4599</v>
      </c>
      <c r="AL313" s="3779" t="s">
        <v>4600</v>
      </c>
      <c r="AM313" s="812" t="s">
        <v>4601</v>
      </c>
      <c r="AN313" s="3780" t="s">
        <v>4602</v>
      </c>
      <c r="AO313" s="3781" t="s">
        <v>4603</v>
      </c>
      <c r="AP313" s="3761" t="s">
        <v>4604</v>
      </c>
      <c r="AQ313" s="3762" t="s">
        <v>4605</v>
      </c>
      <c r="AR313" s="3773" t="s">
        <v>4606</v>
      </c>
      <c r="AS313" s="3779" t="s">
        <v>4934</v>
      </c>
      <c r="AT313" s="3762" t="s">
        <v>4935</v>
      </c>
      <c r="AU313" s="3777" t="s">
        <v>4936</v>
      </c>
      <c r="AV313" s="812" t="s">
        <v>4937</v>
      </c>
      <c r="AW313" s="3762" t="s">
        <v>5234</v>
      </c>
      <c r="AX313" s="3777" t="s">
        <v>5235</v>
      </c>
      <c r="AY313" s="812" t="s">
        <v>5236</v>
      </c>
      <c r="AZ313" t="e">
        <f t="shared" si="208"/>
        <v>#VALUE!</v>
      </c>
      <c r="CB313" s="433" t="str">
        <f t="shared" si="209"/>
        <v xml:space="preserve"> * La variable Gestante no puede superar el Total Mujeres.</v>
      </c>
      <c r="CC313" s="433" t="e">
        <f t="shared" si="210"/>
        <v>#VALUE!</v>
      </c>
      <c r="CD313" s="435"/>
      <c r="CE313" s="435"/>
      <c r="CF313" s="433" t="str">
        <f>IF(AND($E313&gt;0,AR313="")," * No olvide digitar la variable Inasistente. Digite cero si no tiene.",IF(AR313&gt;$E313," * La variable Insasistente no puede superar el Total Ambos Sexos.",""))</f>
        <v xml:space="preserve"> * La variable Insasistente no puede superar el Total Ambos Sexos.</v>
      </c>
      <c r="CG313" s="433" t="str">
        <f t="shared" si="211"/>
        <v xml:space="preserve"> * La variable Compra de Servicio no puede superar el Total Ambos Sexos.</v>
      </c>
      <c r="CH313" s="435"/>
      <c r="CI313" s="433" t="str">
        <f t="shared" si="212"/>
        <v xml:space="preserve"> * La variable Usuarios con Dicapacidad no puede superar el Total Ambos Sexos.</v>
      </c>
      <c r="CJ313" s="433" t="str">
        <f t="shared" si="213"/>
        <v xml:space="preserve"> * La variable Usuarios Oncológicos no puede superar el Total Ambos Sexos.</v>
      </c>
      <c r="CK313" s="435"/>
      <c r="CL313" s="433" t="str">
        <f t="shared" si="214"/>
        <v xml:space="preserve"> * La variable Migrantes no puede superar el Total Ambos Sexos.</v>
      </c>
      <c r="CM313" s="433" t="str">
        <f t="shared" si="215"/>
        <v xml:space="preserve"> * La variable Pueblo Originario no puede superar el Total Ambos Sexos.</v>
      </c>
      <c r="CP313" s="434">
        <f t="shared" si="216"/>
        <v>1</v>
      </c>
      <c r="CQ313" s="434" t="e">
        <f t="shared" si="217"/>
        <v>#VALUE!</v>
      </c>
      <c r="CR313" s="435"/>
      <c r="CS313" s="435"/>
      <c r="CT313" s="434">
        <f t="shared" si="247"/>
        <v>1</v>
      </c>
      <c r="CU313" s="434">
        <f t="shared" si="218"/>
        <v>1</v>
      </c>
      <c r="CV313" s="435"/>
      <c r="CW313" s="434">
        <f t="shared" si="219"/>
        <v>1</v>
      </c>
      <c r="CX313" s="434">
        <f t="shared" si="220"/>
        <v>1</v>
      </c>
      <c r="CY313" s="435"/>
      <c r="CZ313" s="434">
        <f t="shared" si="221"/>
        <v>1</v>
      </c>
      <c r="DA313" s="434">
        <f t="shared" si="222"/>
        <v>1</v>
      </c>
    </row>
    <row r="314" spans="1:105" ht="15" customHeight="1" x14ac:dyDescent="0.25">
      <c r="A314" s="5812" t="s">
        <v>5925</v>
      </c>
      <c r="B314" s="6058"/>
      <c r="C314" s="7059" t="s">
        <v>1830</v>
      </c>
      <c r="D314" s="7059"/>
      <c r="E314" s="3775" t="s">
        <v>4567</v>
      </c>
      <c r="F314" s="3776" t="s">
        <v>4568</v>
      </c>
      <c r="G314" s="3794" t="s">
        <v>4569</v>
      </c>
      <c r="H314" s="3779" t="s">
        <v>4570</v>
      </c>
      <c r="I314" s="3778" t="s">
        <v>4571</v>
      </c>
      <c r="J314" s="3779" t="s">
        <v>4572</v>
      </c>
      <c r="K314" s="3778" t="s">
        <v>4573</v>
      </c>
      <c r="L314" s="3779" t="s">
        <v>4574</v>
      </c>
      <c r="M314" s="3778" t="s">
        <v>4575</v>
      </c>
      <c r="N314" s="3779" t="s">
        <v>4576</v>
      </c>
      <c r="O314" s="3778" t="s">
        <v>4577</v>
      </c>
      <c r="P314" s="3779" t="s">
        <v>4578</v>
      </c>
      <c r="Q314" s="3778" t="s">
        <v>4579</v>
      </c>
      <c r="R314" s="3779" t="s">
        <v>4580</v>
      </c>
      <c r="S314" s="3778" t="s">
        <v>4581</v>
      </c>
      <c r="T314" s="3779" t="s">
        <v>4582</v>
      </c>
      <c r="U314" s="812" t="s">
        <v>4583</v>
      </c>
      <c r="V314" s="3779" t="s">
        <v>4584</v>
      </c>
      <c r="W314" s="812" t="s">
        <v>4585</v>
      </c>
      <c r="X314" s="3779" t="s">
        <v>4586</v>
      </c>
      <c r="Y314" s="812" t="s">
        <v>4587</v>
      </c>
      <c r="Z314" s="3779" t="s">
        <v>4588</v>
      </c>
      <c r="AA314" s="812" t="s">
        <v>4589</v>
      </c>
      <c r="AB314" s="3779" t="s">
        <v>4590</v>
      </c>
      <c r="AC314" s="812" t="s">
        <v>4591</v>
      </c>
      <c r="AD314" s="3779" t="s">
        <v>4592</v>
      </c>
      <c r="AE314" s="812" t="s">
        <v>4593</v>
      </c>
      <c r="AF314" s="3779" t="s">
        <v>4594</v>
      </c>
      <c r="AG314" s="812" t="s">
        <v>4595</v>
      </c>
      <c r="AH314" s="3779" t="s">
        <v>4596</v>
      </c>
      <c r="AI314" s="812" t="s">
        <v>4597</v>
      </c>
      <c r="AJ314" s="3779" t="s">
        <v>4598</v>
      </c>
      <c r="AK314" s="812" t="s">
        <v>4599</v>
      </c>
      <c r="AL314" s="3779" t="s">
        <v>4600</v>
      </c>
      <c r="AM314" s="812" t="s">
        <v>4601</v>
      </c>
      <c r="AN314" s="3780" t="s">
        <v>4602</v>
      </c>
      <c r="AO314" s="3781" t="s">
        <v>4603</v>
      </c>
      <c r="AP314" s="3761" t="s">
        <v>4604</v>
      </c>
      <c r="AQ314" s="3762" t="s">
        <v>4605</v>
      </c>
      <c r="AR314" s="3782" t="s">
        <v>4606</v>
      </c>
      <c r="AS314" s="3779" t="s">
        <v>4934</v>
      </c>
      <c r="AT314" s="3762" t="s">
        <v>4935</v>
      </c>
      <c r="AU314" s="3777" t="s">
        <v>4936</v>
      </c>
      <c r="AV314" s="812" t="s">
        <v>4937</v>
      </c>
      <c r="AW314" s="3762" t="s">
        <v>5234</v>
      </c>
      <c r="AX314" s="3777" t="s">
        <v>5235</v>
      </c>
      <c r="AY314" s="812" t="s">
        <v>5236</v>
      </c>
      <c r="AZ314" t="e">
        <f t="shared" si="208"/>
        <v>#VALUE!</v>
      </c>
      <c r="CB314" s="433" t="str">
        <f t="shared" si="209"/>
        <v xml:space="preserve"> * La variable Gestante no puede superar el Total Mujeres.</v>
      </c>
      <c r="CC314" s="433" t="e">
        <f t="shared" si="210"/>
        <v>#VALUE!</v>
      </c>
      <c r="CD314" s="435"/>
      <c r="CE314" s="435"/>
      <c r="CF314" s="435"/>
      <c r="CG314" s="433" t="str">
        <f t="shared" si="211"/>
        <v xml:space="preserve"> * La variable Compra de Servicio no puede superar el Total Ambos Sexos.</v>
      </c>
      <c r="CH314" s="435"/>
      <c r="CI314" s="433" t="str">
        <f t="shared" si="212"/>
        <v xml:space="preserve"> * La variable Usuarios con Dicapacidad no puede superar el Total Ambos Sexos.</v>
      </c>
      <c r="CJ314" s="433" t="str">
        <f t="shared" si="213"/>
        <v xml:space="preserve"> * La variable Usuarios Oncológicos no puede superar el Total Ambos Sexos.</v>
      </c>
      <c r="CK314" s="435"/>
      <c r="CL314" s="433" t="str">
        <f t="shared" si="214"/>
        <v xml:space="preserve"> * La variable Migrantes no puede superar el Total Ambos Sexos.</v>
      </c>
      <c r="CM314" s="433" t="str">
        <f t="shared" si="215"/>
        <v xml:space="preserve"> * La variable Pueblo Originario no puede superar el Total Ambos Sexos.</v>
      </c>
      <c r="CP314" s="434">
        <f t="shared" si="216"/>
        <v>1</v>
      </c>
      <c r="CQ314" s="434" t="e">
        <f t="shared" si="217"/>
        <v>#VALUE!</v>
      </c>
      <c r="CR314" s="435"/>
      <c r="CS314" s="435"/>
      <c r="CT314" s="435"/>
      <c r="CU314" s="434">
        <f t="shared" si="218"/>
        <v>1</v>
      </c>
      <c r="CV314" s="435"/>
      <c r="CW314" s="434">
        <f t="shared" si="219"/>
        <v>1</v>
      </c>
      <c r="CX314" s="434">
        <f t="shared" si="220"/>
        <v>1</v>
      </c>
      <c r="CY314" s="435"/>
      <c r="CZ314" s="434">
        <f t="shared" si="221"/>
        <v>1</v>
      </c>
      <c r="DA314" s="434">
        <f t="shared" si="222"/>
        <v>1</v>
      </c>
    </row>
    <row r="315" spans="1:105" ht="15" customHeight="1" x14ac:dyDescent="0.25">
      <c r="A315" s="5812" t="s">
        <v>5926</v>
      </c>
      <c r="B315" s="6058"/>
      <c r="C315" s="7055" t="s">
        <v>1831</v>
      </c>
      <c r="D315" s="6987"/>
      <c r="E315" s="3775" t="s">
        <v>4567</v>
      </c>
      <c r="F315" s="3776" t="s">
        <v>4568</v>
      </c>
      <c r="G315" s="3794" t="s">
        <v>4569</v>
      </c>
      <c r="H315" s="3785" t="s">
        <v>4570</v>
      </c>
      <c r="I315" s="3784" t="s">
        <v>4571</v>
      </c>
      <c r="J315" s="3785" t="s">
        <v>4572</v>
      </c>
      <c r="K315" s="3784" t="s">
        <v>4573</v>
      </c>
      <c r="L315" s="3785" t="s">
        <v>4574</v>
      </c>
      <c r="M315" s="3784" t="s">
        <v>4575</v>
      </c>
      <c r="N315" s="3785" t="s">
        <v>4576</v>
      </c>
      <c r="O315" s="3784" t="s">
        <v>4577</v>
      </c>
      <c r="P315" s="3785" t="s">
        <v>4578</v>
      </c>
      <c r="Q315" s="3784" t="s">
        <v>4579</v>
      </c>
      <c r="R315" s="3785" t="s">
        <v>4580</v>
      </c>
      <c r="S315" s="3784" t="s">
        <v>4581</v>
      </c>
      <c r="T315" s="3785" t="s">
        <v>4582</v>
      </c>
      <c r="U315" s="2643" t="s">
        <v>4583</v>
      </c>
      <c r="V315" s="3785" t="s">
        <v>4584</v>
      </c>
      <c r="W315" s="2643" t="s">
        <v>4585</v>
      </c>
      <c r="X315" s="3785" t="s">
        <v>4586</v>
      </c>
      <c r="Y315" s="2643" t="s">
        <v>4587</v>
      </c>
      <c r="Z315" s="3785" t="s">
        <v>4588</v>
      </c>
      <c r="AA315" s="2643" t="s">
        <v>4589</v>
      </c>
      <c r="AB315" s="3785" t="s">
        <v>4590</v>
      </c>
      <c r="AC315" s="2643" t="s">
        <v>4591</v>
      </c>
      <c r="AD315" s="3785" t="s">
        <v>4592</v>
      </c>
      <c r="AE315" s="2643" t="s">
        <v>4593</v>
      </c>
      <c r="AF315" s="3785" t="s">
        <v>4594</v>
      </c>
      <c r="AG315" s="2643" t="s">
        <v>4595</v>
      </c>
      <c r="AH315" s="3785" t="s">
        <v>4596</v>
      </c>
      <c r="AI315" s="2643" t="s">
        <v>4597</v>
      </c>
      <c r="AJ315" s="3785" t="s">
        <v>4598</v>
      </c>
      <c r="AK315" s="2643" t="s">
        <v>4599</v>
      </c>
      <c r="AL315" s="3785" t="s">
        <v>4600</v>
      </c>
      <c r="AM315" s="2643" t="s">
        <v>4601</v>
      </c>
      <c r="AN315" s="2641" t="s">
        <v>4602</v>
      </c>
      <c r="AO315" s="3786" t="s">
        <v>4603</v>
      </c>
      <c r="AP315" s="3761" t="s">
        <v>4604</v>
      </c>
      <c r="AQ315" s="3762" t="s">
        <v>4605</v>
      </c>
      <c r="AR315" s="3782" t="s">
        <v>4606</v>
      </c>
      <c r="AS315" s="3785" t="s">
        <v>4934</v>
      </c>
      <c r="AT315" s="3762" t="s">
        <v>4935</v>
      </c>
      <c r="AU315" s="3783" t="s">
        <v>4936</v>
      </c>
      <c r="AV315" s="2643" t="s">
        <v>4937</v>
      </c>
      <c r="AW315" s="812" t="s">
        <v>5234</v>
      </c>
      <c r="AX315" s="3783" t="s">
        <v>5235</v>
      </c>
      <c r="AY315" s="2643" t="s">
        <v>5236</v>
      </c>
      <c r="AZ315" t="e">
        <f t="shared" ref="AZ315:AZ328" si="248">CB315&amp;CC315&amp;CD315&amp;CE315&amp;CF315&amp;CG315&amp;CH315&amp;CI315&amp;CJ315&amp;CK315&amp;CL315&amp;CM315</f>
        <v>#VALUE!</v>
      </c>
      <c r="CB315" s="433" t="str">
        <f t="shared" ref="CB315:CB329" si="249">IF(AND($G315&gt;0,AN315="")," * No olvide digitar la variable Gestante. Digite cero si no tiene.",IF(AN315&gt;$G315," * La variable Gestante no puede superar el Total Mujeres.",""))</f>
        <v xml:space="preserve"> * La variable Gestante no puede superar el Total Mujeres.</v>
      </c>
      <c r="CC315" s="433" t="e">
        <f t="shared" ref="CC315:CC329" si="250">IF(AND(AH315+AI315&gt;0,AO315="")," * No olvide digitar la variable 60 años (incluido en grupos de 60-64 años). Digite Cero si no tiene.",IF(AO315&gt;AH315+AI315," * La variable 60 años (incluido en grupos de 60-64 años) no puede superar la suma del Grupo 60-64 años.",""))</f>
        <v>#VALUE!</v>
      </c>
      <c r="CD315" s="435"/>
      <c r="CE315" s="435"/>
      <c r="CF315" s="435"/>
      <c r="CG315" s="433" t="str">
        <f t="shared" ref="CG315:CG329" si="251">IF(AND($E315&gt;0,AS315="")," * No olvide digitar la variable Compra de Servicio. Digite Cero si no tiene.",IF(AS315&gt;$E315," * La variable Compra de Servicio no puede superar el Total Ambos Sexos.",""))</f>
        <v xml:space="preserve"> * La variable Compra de Servicio no puede superar el Total Ambos Sexos.</v>
      </c>
      <c r="CH315" s="435"/>
      <c r="CI315" s="433" t="str">
        <f t="shared" ref="CI315:CI329" si="252">IF(AND($E315&gt;0,AU315="")," * No olvide digitar la variable Usuarios con Dicapacidad. Digite Cero si no tiene.",IF(AU315&gt;$E315," * La variable Usuarios con Dicapacidad no puede superar el Total Ambos Sexos.",""))</f>
        <v xml:space="preserve"> * La variable Usuarios con Dicapacidad no puede superar el Total Ambos Sexos.</v>
      </c>
      <c r="CJ315" s="433" t="str">
        <f t="shared" ref="CJ315:CJ329" si="253">IF(AND($E315&gt;0,AV315="")," * No olvide digitar la variable Usuarios Oncológicos. Digite Cero si no tiene.",IF(AV315&gt;$E315," * La variable Usuarios Oncológicos no puede superar el Total Ambos Sexos.",""))</f>
        <v xml:space="preserve"> * La variable Usuarios Oncológicos no puede superar el Total Ambos Sexos.</v>
      </c>
      <c r="CK315" s="433" t="str">
        <f>IF(AND($E315&gt;0,AW315="")," * No olvide digitar la variable Contrarreferencia al alta. Digite Cero si no tiene.",IF(AW315&gt;$E315," * La variable Contrarreferencia al alta no puede superar el Total Ambos Sexos.",""))</f>
        <v xml:space="preserve"> * La variable Contrarreferencia al alta no puede superar el Total Ambos Sexos.</v>
      </c>
      <c r="CL315" s="433" t="str">
        <f t="shared" ref="CL315:CL329" si="254">IF(AND($E315&gt;0,AX315="")," * No olvide digitar la variable Migrantes. Digite Cero si no tiene.",IF(AX315&gt;$E315," * La variable Migrantes no puede superar el Total Ambos Sexos.",""))</f>
        <v xml:space="preserve"> * La variable Migrantes no puede superar el Total Ambos Sexos.</v>
      </c>
      <c r="CM315" s="433" t="str">
        <f t="shared" ref="CM315:CM329" si="255">IF(AND($E315&gt;0,AY315=""),"  * No olvide digitar la variable Pueblo Originario. Digite Cero si no tiene.",IF(AY315&gt;$E315," * La variable Pueblo Originario no puede superar el Total Ambos Sexos.",""))</f>
        <v xml:space="preserve"> * La variable Pueblo Originario no puede superar el Total Ambos Sexos.</v>
      </c>
      <c r="CP315" s="434">
        <f t="shared" ref="CP315:CP329" si="256">IF(AND($G315&gt;0,AN315=""),1,IF(AN315&gt;$G315,1,0))</f>
        <v>1</v>
      </c>
      <c r="CQ315" s="434" t="e">
        <f t="shared" ref="CQ315:CQ329" si="257">IF(AND(AH315+AI315&gt;0,AO315=""),1,IF(AO315&gt;AH315+AI315,1,0))</f>
        <v>#VALUE!</v>
      </c>
      <c r="CR315" s="435"/>
      <c r="CS315" s="435"/>
      <c r="CT315" s="435"/>
      <c r="CU315" s="434">
        <f t="shared" ref="CU315:CU329" si="258">IF(AND($E315&gt;0,AS315=""),1,IF(AS315&gt;$E315,1,0))</f>
        <v>1</v>
      </c>
      <c r="CV315" s="435"/>
      <c r="CW315" s="434">
        <f t="shared" ref="CW315:CW329" si="259">IF(AND($E315&gt;0,AU315=""),1,IF(AU315&gt;$E315,1,0))</f>
        <v>1</v>
      </c>
      <c r="CX315" s="434">
        <f t="shared" ref="CX315:CX329" si="260">IF(AND($E315&gt;0,AV315=""),1,IF(AV315&gt;$E315,1,0))</f>
        <v>1</v>
      </c>
      <c r="CY315" s="434">
        <f>IF(AND($E315&gt;0,AW315=""),1,IF(AW315&gt;$E315,1,0))</f>
        <v>1</v>
      </c>
      <c r="CZ315" s="434">
        <f t="shared" ref="CZ315:CZ329" si="261">IF(AND($E315&gt;0,AX315=""),1,IF(AX315&gt;$E315,1,0))</f>
        <v>1</v>
      </c>
      <c r="DA315" s="434">
        <f t="shared" ref="DA315:DA329" si="262">IF(AND($E315&gt;0,AY315=""),1,IF(AY315&gt;$E315,1,0))</f>
        <v>1</v>
      </c>
    </row>
    <row r="316" spans="1:105" ht="15" customHeight="1" x14ac:dyDescent="0.25">
      <c r="A316" s="5812" t="s">
        <v>5927</v>
      </c>
      <c r="B316" s="6058"/>
      <c r="C316" s="7055" t="s">
        <v>1832</v>
      </c>
      <c r="D316" s="6987"/>
      <c r="E316" s="3775" t="s">
        <v>4567</v>
      </c>
      <c r="F316" s="3776" t="s">
        <v>4568</v>
      </c>
      <c r="G316" s="3794" t="s">
        <v>4569</v>
      </c>
      <c r="H316" s="3785" t="s">
        <v>4570</v>
      </c>
      <c r="I316" s="3784" t="s">
        <v>4571</v>
      </c>
      <c r="J316" s="3785" t="s">
        <v>4572</v>
      </c>
      <c r="K316" s="3784" t="s">
        <v>4573</v>
      </c>
      <c r="L316" s="3785" t="s">
        <v>4574</v>
      </c>
      <c r="M316" s="3784" t="s">
        <v>4575</v>
      </c>
      <c r="N316" s="3785" t="s">
        <v>4576</v>
      </c>
      <c r="O316" s="3784" t="s">
        <v>4577</v>
      </c>
      <c r="P316" s="3785" t="s">
        <v>4578</v>
      </c>
      <c r="Q316" s="3784" t="s">
        <v>4579</v>
      </c>
      <c r="R316" s="3785" t="s">
        <v>4580</v>
      </c>
      <c r="S316" s="3784" t="s">
        <v>4581</v>
      </c>
      <c r="T316" s="3785" t="s">
        <v>4582</v>
      </c>
      <c r="U316" s="2643" t="s">
        <v>4583</v>
      </c>
      <c r="V316" s="3785" t="s">
        <v>4584</v>
      </c>
      <c r="W316" s="2643" t="s">
        <v>4585</v>
      </c>
      <c r="X316" s="3785" t="s">
        <v>4586</v>
      </c>
      <c r="Y316" s="2643" t="s">
        <v>4587</v>
      </c>
      <c r="Z316" s="3785" t="s">
        <v>4588</v>
      </c>
      <c r="AA316" s="2643" t="s">
        <v>4589</v>
      </c>
      <c r="AB316" s="3785" t="s">
        <v>4590</v>
      </c>
      <c r="AC316" s="2643" t="s">
        <v>4591</v>
      </c>
      <c r="AD316" s="3785" t="s">
        <v>4592</v>
      </c>
      <c r="AE316" s="2643" t="s">
        <v>4593</v>
      </c>
      <c r="AF316" s="3785" t="s">
        <v>4594</v>
      </c>
      <c r="AG316" s="2643" t="s">
        <v>4595</v>
      </c>
      <c r="AH316" s="3785" t="s">
        <v>4596</v>
      </c>
      <c r="AI316" s="2643" t="s">
        <v>4597</v>
      </c>
      <c r="AJ316" s="3785" t="s">
        <v>4598</v>
      </c>
      <c r="AK316" s="2643" t="s">
        <v>4599</v>
      </c>
      <c r="AL316" s="3785" t="s">
        <v>4600</v>
      </c>
      <c r="AM316" s="2643" t="s">
        <v>4601</v>
      </c>
      <c r="AN316" s="2641" t="s">
        <v>4602</v>
      </c>
      <c r="AO316" s="3786" t="s">
        <v>4603</v>
      </c>
      <c r="AP316" s="3787" t="s">
        <v>4604</v>
      </c>
      <c r="AQ316" s="3788" t="s">
        <v>4605</v>
      </c>
      <c r="AR316" s="3789" t="s">
        <v>4606</v>
      </c>
      <c r="AS316" s="3785" t="s">
        <v>4934</v>
      </c>
      <c r="AT316" s="3788" t="s">
        <v>4935</v>
      </c>
      <c r="AU316" s="3783" t="s">
        <v>4936</v>
      </c>
      <c r="AV316" s="2643" t="s">
        <v>4937</v>
      </c>
      <c r="AW316" s="3788" t="s">
        <v>5234</v>
      </c>
      <c r="AX316" s="3783" t="s">
        <v>5235</v>
      </c>
      <c r="AY316" s="2643" t="s">
        <v>5236</v>
      </c>
      <c r="AZ316" t="e">
        <f t="shared" si="248"/>
        <v>#VALUE!</v>
      </c>
      <c r="CB316" s="433" t="str">
        <f t="shared" si="249"/>
        <v xml:space="preserve"> * La variable Gestante no puede superar el Total Mujeres.</v>
      </c>
      <c r="CC316" s="433" t="e">
        <f t="shared" si="250"/>
        <v>#VALUE!</v>
      </c>
      <c r="CD316" s="435"/>
      <c r="CE316" s="435"/>
      <c r="CF316" s="435"/>
      <c r="CG316" s="433" t="str">
        <f t="shared" si="251"/>
        <v xml:space="preserve"> * La variable Compra de Servicio no puede superar el Total Ambos Sexos.</v>
      </c>
      <c r="CH316" s="435"/>
      <c r="CI316" s="433" t="str">
        <f t="shared" si="252"/>
        <v xml:space="preserve"> * La variable Usuarios con Dicapacidad no puede superar el Total Ambos Sexos.</v>
      </c>
      <c r="CJ316" s="433" t="str">
        <f t="shared" si="253"/>
        <v xml:space="preserve"> * La variable Usuarios Oncológicos no puede superar el Total Ambos Sexos.</v>
      </c>
      <c r="CK316" s="435"/>
      <c r="CL316" s="433" t="str">
        <f t="shared" si="254"/>
        <v xml:space="preserve"> * La variable Migrantes no puede superar el Total Ambos Sexos.</v>
      </c>
      <c r="CM316" s="433" t="str">
        <f t="shared" si="255"/>
        <v xml:space="preserve"> * La variable Pueblo Originario no puede superar el Total Ambos Sexos.</v>
      </c>
      <c r="CP316" s="434">
        <f t="shared" si="256"/>
        <v>1</v>
      </c>
      <c r="CQ316" s="434" t="e">
        <f t="shared" si="257"/>
        <v>#VALUE!</v>
      </c>
      <c r="CR316" s="435"/>
      <c r="CS316" s="435"/>
      <c r="CT316" s="435"/>
      <c r="CU316" s="434">
        <f t="shared" si="258"/>
        <v>1</v>
      </c>
      <c r="CV316" s="435"/>
      <c r="CW316" s="434">
        <f t="shared" si="259"/>
        <v>1</v>
      </c>
      <c r="CX316" s="434">
        <f t="shared" si="260"/>
        <v>1</v>
      </c>
      <c r="CY316" s="435"/>
      <c r="CZ316" s="434">
        <f t="shared" si="261"/>
        <v>1</v>
      </c>
      <c r="DA316" s="434">
        <f t="shared" si="262"/>
        <v>1</v>
      </c>
    </row>
    <row r="317" spans="1:105" ht="15" customHeight="1" x14ac:dyDescent="0.25">
      <c r="A317" s="5812" t="s">
        <v>5928</v>
      </c>
      <c r="B317" s="6842"/>
      <c r="C317" s="7056" t="s">
        <v>1833</v>
      </c>
      <c r="D317" s="7056"/>
      <c r="E317" s="3395" t="s">
        <v>4567</v>
      </c>
      <c r="F317" s="3527" t="s">
        <v>4568</v>
      </c>
      <c r="G317" s="3480" t="s">
        <v>4569</v>
      </c>
      <c r="H317" s="3766" t="s">
        <v>4570</v>
      </c>
      <c r="I317" s="3767" t="s">
        <v>4571</v>
      </c>
      <c r="J317" s="3768" t="s">
        <v>4572</v>
      </c>
      <c r="K317" s="3767" t="s">
        <v>4573</v>
      </c>
      <c r="L317" s="3768" t="s">
        <v>4574</v>
      </c>
      <c r="M317" s="3767" t="s">
        <v>4575</v>
      </c>
      <c r="N317" s="3768" t="s">
        <v>4576</v>
      </c>
      <c r="O317" s="3767" t="s">
        <v>4577</v>
      </c>
      <c r="P317" s="3768" t="s">
        <v>4578</v>
      </c>
      <c r="Q317" s="3767" t="s">
        <v>4579</v>
      </c>
      <c r="R317" s="3768" t="s">
        <v>4580</v>
      </c>
      <c r="S317" s="3767" t="s">
        <v>4581</v>
      </c>
      <c r="T317" s="3768" t="s">
        <v>4582</v>
      </c>
      <c r="U317" s="815" t="s">
        <v>4583</v>
      </c>
      <c r="V317" s="3768" t="s">
        <v>4584</v>
      </c>
      <c r="W317" s="815" t="s">
        <v>4585</v>
      </c>
      <c r="X317" s="3768" t="s">
        <v>4586</v>
      </c>
      <c r="Y317" s="815" t="s">
        <v>4587</v>
      </c>
      <c r="Z317" s="3768" t="s">
        <v>4588</v>
      </c>
      <c r="AA317" s="815" t="s">
        <v>4589</v>
      </c>
      <c r="AB317" s="3768" t="s">
        <v>4590</v>
      </c>
      <c r="AC317" s="815" t="s">
        <v>4591</v>
      </c>
      <c r="AD317" s="3768" t="s">
        <v>4592</v>
      </c>
      <c r="AE317" s="815" t="s">
        <v>4593</v>
      </c>
      <c r="AF317" s="3768" t="s">
        <v>4594</v>
      </c>
      <c r="AG317" s="815" t="s">
        <v>4595</v>
      </c>
      <c r="AH317" s="3768" t="s">
        <v>4596</v>
      </c>
      <c r="AI317" s="815" t="s">
        <v>4597</v>
      </c>
      <c r="AJ317" s="3768" t="s">
        <v>4598</v>
      </c>
      <c r="AK317" s="815" t="s">
        <v>4599</v>
      </c>
      <c r="AL317" s="3768" t="s">
        <v>4600</v>
      </c>
      <c r="AM317" s="815" t="s">
        <v>4601</v>
      </c>
      <c r="AN317" s="814" t="s">
        <v>4602</v>
      </c>
      <c r="AO317" s="3769" t="s">
        <v>4603</v>
      </c>
      <c r="AP317" s="3790" t="s">
        <v>4604</v>
      </c>
      <c r="AQ317" s="3770" t="s">
        <v>4605</v>
      </c>
      <c r="AR317" s="3791" t="s">
        <v>4606</v>
      </c>
      <c r="AS317" s="3768" t="s">
        <v>4934</v>
      </c>
      <c r="AT317" s="3770" t="s">
        <v>4935</v>
      </c>
      <c r="AU317" s="3766" t="s">
        <v>4936</v>
      </c>
      <c r="AV317" s="815" t="s">
        <v>4937</v>
      </c>
      <c r="AW317" s="3770" t="s">
        <v>5234</v>
      </c>
      <c r="AX317" s="3766" t="s">
        <v>5235</v>
      </c>
      <c r="AY317" s="815" t="s">
        <v>5236</v>
      </c>
      <c r="AZ317" t="e">
        <f t="shared" si="248"/>
        <v>#VALUE!</v>
      </c>
      <c r="CB317" s="433" t="str">
        <f t="shared" si="249"/>
        <v xml:space="preserve"> * La variable Gestante no puede superar el Total Mujeres.</v>
      </c>
      <c r="CC317" s="433" t="e">
        <f t="shared" si="250"/>
        <v>#VALUE!</v>
      </c>
      <c r="CD317" s="435"/>
      <c r="CE317" s="435"/>
      <c r="CF317" s="435"/>
      <c r="CG317" s="433" t="str">
        <f t="shared" si="251"/>
        <v xml:space="preserve"> * La variable Compra de Servicio no puede superar el Total Ambos Sexos.</v>
      </c>
      <c r="CH317" s="435"/>
      <c r="CI317" s="433" t="str">
        <f t="shared" si="252"/>
        <v xml:space="preserve"> * La variable Usuarios con Dicapacidad no puede superar el Total Ambos Sexos.</v>
      </c>
      <c r="CJ317" s="433" t="str">
        <f t="shared" si="253"/>
        <v xml:space="preserve"> * La variable Usuarios Oncológicos no puede superar el Total Ambos Sexos.</v>
      </c>
      <c r="CK317" s="435"/>
      <c r="CL317" s="433" t="str">
        <f t="shared" si="254"/>
        <v xml:space="preserve"> * La variable Migrantes no puede superar el Total Ambos Sexos.</v>
      </c>
      <c r="CM317" s="433" t="str">
        <f t="shared" si="255"/>
        <v xml:space="preserve"> * La variable Pueblo Originario no puede superar el Total Ambos Sexos.</v>
      </c>
      <c r="CP317" s="434">
        <f t="shared" si="256"/>
        <v>1</v>
      </c>
      <c r="CQ317" s="434" t="e">
        <f t="shared" si="257"/>
        <v>#VALUE!</v>
      </c>
      <c r="CR317" s="435"/>
      <c r="CS317" s="435"/>
      <c r="CT317" s="435"/>
      <c r="CU317" s="434">
        <f t="shared" si="258"/>
        <v>1</v>
      </c>
      <c r="CV317" s="435"/>
      <c r="CW317" s="434">
        <f t="shared" si="259"/>
        <v>1</v>
      </c>
      <c r="CX317" s="434">
        <f t="shared" si="260"/>
        <v>1</v>
      </c>
      <c r="CY317" s="435"/>
      <c r="CZ317" s="434">
        <f t="shared" si="261"/>
        <v>1</v>
      </c>
      <c r="DA317" s="434">
        <f t="shared" si="262"/>
        <v>1</v>
      </c>
    </row>
    <row r="318" spans="1:105" ht="18" customHeight="1" x14ac:dyDescent="0.25">
      <c r="A318" s="5810" t="s">
        <v>5929</v>
      </c>
      <c r="B318" s="6642" t="s">
        <v>1651</v>
      </c>
      <c r="C318" s="7089" t="s">
        <v>1828</v>
      </c>
      <c r="D318" s="7089"/>
      <c r="E318" s="3254" t="s">
        <v>4567</v>
      </c>
      <c r="F318" s="3556" t="s">
        <v>4568</v>
      </c>
      <c r="G318" s="3470" t="s">
        <v>4569</v>
      </c>
      <c r="H318" s="3829" t="s">
        <v>4570</v>
      </c>
      <c r="I318" s="3830" t="s">
        <v>4571</v>
      </c>
      <c r="J318" s="3831" t="s">
        <v>4572</v>
      </c>
      <c r="K318" s="3830" t="s">
        <v>4573</v>
      </c>
      <c r="L318" s="3831" t="s">
        <v>4574</v>
      </c>
      <c r="M318" s="3830" t="s">
        <v>4575</v>
      </c>
      <c r="N318" s="3831" t="s">
        <v>4576</v>
      </c>
      <c r="O318" s="3830" t="s">
        <v>4577</v>
      </c>
      <c r="P318" s="3831" t="s">
        <v>4578</v>
      </c>
      <c r="Q318" s="3830" t="s">
        <v>4579</v>
      </c>
      <c r="R318" s="3831" t="s">
        <v>4580</v>
      </c>
      <c r="S318" s="3830" t="s">
        <v>4581</v>
      </c>
      <c r="T318" s="3831" t="s">
        <v>4582</v>
      </c>
      <c r="U318" s="3832" t="s">
        <v>4583</v>
      </c>
      <c r="V318" s="3831" t="s">
        <v>4584</v>
      </c>
      <c r="W318" s="3832" t="s">
        <v>4585</v>
      </c>
      <c r="X318" s="3831" t="s">
        <v>4586</v>
      </c>
      <c r="Y318" s="3832" t="s">
        <v>4587</v>
      </c>
      <c r="Z318" s="3831" t="s">
        <v>4588</v>
      </c>
      <c r="AA318" s="3832" t="s">
        <v>4589</v>
      </c>
      <c r="AB318" s="3831" t="s">
        <v>4590</v>
      </c>
      <c r="AC318" s="3832" t="s">
        <v>4591</v>
      </c>
      <c r="AD318" s="3831" t="s">
        <v>4592</v>
      </c>
      <c r="AE318" s="3832" t="s">
        <v>4593</v>
      </c>
      <c r="AF318" s="3831" t="s">
        <v>4594</v>
      </c>
      <c r="AG318" s="3832" t="s">
        <v>4595</v>
      </c>
      <c r="AH318" s="3831" t="s">
        <v>4596</v>
      </c>
      <c r="AI318" s="3832" t="s">
        <v>4597</v>
      </c>
      <c r="AJ318" s="3831" t="s">
        <v>4598</v>
      </c>
      <c r="AK318" s="3832" t="s">
        <v>4599</v>
      </c>
      <c r="AL318" s="3829" t="s">
        <v>4600</v>
      </c>
      <c r="AM318" s="3833" t="s">
        <v>4601</v>
      </c>
      <c r="AN318" s="3831" t="s">
        <v>4602</v>
      </c>
      <c r="AO318" s="3834" t="s">
        <v>4603</v>
      </c>
      <c r="AP318" s="3829" t="s">
        <v>4604</v>
      </c>
      <c r="AQ318" s="3835" t="s">
        <v>4605</v>
      </c>
      <c r="AR318" s="3759" t="s">
        <v>4606</v>
      </c>
      <c r="AS318" s="3759" t="s">
        <v>4934</v>
      </c>
      <c r="AT318" s="3762" t="s">
        <v>4935</v>
      </c>
      <c r="AU318" s="3758" t="s">
        <v>4936</v>
      </c>
      <c r="AV318" s="803" t="s">
        <v>4937</v>
      </c>
      <c r="AW318" s="3762" t="s">
        <v>5234</v>
      </c>
      <c r="AX318" s="3758" t="s">
        <v>5235</v>
      </c>
      <c r="AY318" s="803" t="s">
        <v>5236</v>
      </c>
      <c r="AZ318" t="e">
        <f t="shared" si="248"/>
        <v>#VALUE!</v>
      </c>
      <c r="CB318" s="433" t="str">
        <f t="shared" si="249"/>
        <v xml:space="preserve"> * La variable Gestante no puede superar el Total Mujeres.</v>
      </c>
      <c r="CC318" s="433" t="e">
        <f t="shared" si="250"/>
        <v>#VALUE!</v>
      </c>
      <c r="CD318" s="433" t="str">
        <f>IF(AND($E318&gt;0,AP318="")," * No olvide digitar la variable Consultas Pertinentes: Según Procolo de Referencia. Digite cero si no tiene.",IF(AP318&gt;$E318,"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18" s="433" t="str">
        <f>IF(AND($E318&gt;0,AQ318="")," * No olvide digitar la variable Consultas Pertinentes: Según condición clínica. Digite cero si no tiene.",IF(AQ318&gt;$E318,"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18" s="433" t="str">
        <f>IF(AND($E318&gt;0,AR318="")," * No olvide digitar la variable Inasistente. Digite cero si no tiene.",IF(AR318&gt;$E318," * La variable Insasistente no puede superar el Total Ambos Sexos.",""))</f>
        <v xml:space="preserve"> * La variable Insasistente no puede superar el Total Ambos Sexos.</v>
      </c>
      <c r="CG318" s="433" t="str">
        <f t="shared" si="251"/>
        <v xml:space="preserve"> * La variable Compra de Servicio no puede superar el Total Ambos Sexos.</v>
      </c>
      <c r="CH318" s="435"/>
      <c r="CI318" s="433" t="str">
        <f t="shared" si="252"/>
        <v xml:space="preserve"> * La variable Usuarios con Dicapacidad no puede superar el Total Ambos Sexos.</v>
      </c>
      <c r="CJ318" s="433" t="str">
        <f t="shared" si="253"/>
        <v xml:space="preserve"> * La variable Usuarios Oncológicos no puede superar el Total Ambos Sexos.</v>
      </c>
      <c r="CK318" s="435"/>
      <c r="CL318" s="433" t="str">
        <f t="shared" si="254"/>
        <v xml:space="preserve"> * La variable Migrantes no puede superar el Total Ambos Sexos.</v>
      </c>
      <c r="CM318" s="433" t="str">
        <f t="shared" si="255"/>
        <v xml:space="preserve"> * La variable Pueblo Originario no puede superar el Total Ambos Sexos.</v>
      </c>
      <c r="CP318" s="434">
        <f t="shared" si="256"/>
        <v>1</v>
      </c>
      <c r="CQ318" s="434" t="e">
        <f t="shared" si="257"/>
        <v>#VALUE!</v>
      </c>
      <c r="CR318" s="434">
        <f>IF(AND($E318&gt;0,AP318=""),1,IF(AP318&gt;$E318,1,0))</f>
        <v>1</v>
      </c>
      <c r="CS318" s="434">
        <f t="shared" ref="CS318" si="263">IF(AND($E318&gt;0,AQ318=""),1,IF(AQ318&gt;$E318,1,0))</f>
        <v>1</v>
      </c>
      <c r="CT318" s="434">
        <f t="shared" ref="CT318:CT319" si="264">IF(AND($E318&gt;0,AR318=""),1,IF(AR318&gt;$E318,1,0))</f>
        <v>1</v>
      </c>
      <c r="CU318" s="434">
        <f t="shared" si="258"/>
        <v>1</v>
      </c>
      <c r="CV318" s="435"/>
      <c r="CW318" s="434">
        <f t="shared" si="259"/>
        <v>1</v>
      </c>
      <c r="CX318" s="434">
        <f t="shared" si="260"/>
        <v>1</v>
      </c>
      <c r="CY318" s="435"/>
      <c r="CZ318" s="434">
        <f t="shared" si="261"/>
        <v>1</v>
      </c>
      <c r="DA318" s="434">
        <f t="shared" si="262"/>
        <v>1</v>
      </c>
    </row>
    <row r="319" spans="1:105" x14ac:dyDescent="0.25">
      <c r="A319" s="5810" t="s">
        <v>5930</v>
      </c>
      <c r="B319" s="6643"/>
      <c r="C319" s="7059" t="s">
        <v>1829</v>
      </c>
      <c r="D319" s="7059"/>
      <c r="E319" s="3836" t="s">
        <v>4567</v>
      </c>
      <c r="F319" s="3776" t="s">
        <v>4568</v>
      </c>
      <c r="G319" s="3562" t="s">
        <v>4569</v>
      </c>
      <c r="H319" s="3837" t="s">
        <v>4570</v>
      </c>
      <c r="I319" s="3838" t="s">
        <v>4571</v>
      </c>
      <c r="J319" s="3839" t="s">
        <v>4572</v>
      </c>
      <c r="K319" s="3838" t="s">
        <v>4573</v>
      </c>
      <c r="L319" s="3839" t="s">
        <v>4574</v>
      </c>
      <c r="M319" s="3838" t="s">
        <v>4575</v>
      </c>
      <c r="N319" s="3839" t="s">
        <v>4576</v>
      </c>
      <c r="O319" s="3838" t="s">
        <v>4577</v>
      </c>
      <c r="P319" s="3839" t="s">
        <v>4578</v>
      </c>
      <c r="Q319" s="3838" t="s">
        <v>4579</v>
      </c>
      <c r="R319" s="3839" t="s">
        <v>4580</v>
      </c>
      <c r="S319" s="3838" t="s">
        <v>4581</v>
      </c>
      <c r="T319" s="3839" t="s">
        <v>4582</v>
      </c>
      <c r="U319" s="3840" t="s">
        <v>4583</v>
      </c>
      <c r="V319" s="3839" t="s">
        <v>4584</v>
      </c>
      <c r="W319" s="3840" t="s">
        <v>4585</v>
      </c>
      <c r="X319" s="3839" t="s">
        <v>4586</v>
      </c>
      <c r="Y319" s="3840" t="s">
        <v>4587</v>
      </c>
      <c r="Z319" s="3839" t="s">
        <v>4588</v>
      </c>
      <c r="AA319" s="3840" t="s">
        <v>4589</v>
      </c>
      <c r="AB319" s="3839" t="s">
        <v>4590</v>
      </c>
      <c r="AC319" s="3840" t="s">
        <v>4591</v>
      </c>
      <c r="AD319" s="3839" t="s">
        <v>4592</v>
      </c>
      <c r="AE319" s="3840" t="s">
        <v>4593</v>
      </c>
      <c r="AF319" s="3839" t="s">
        <v>4594</v>
      </c>
      <c r="AG319" s="3840" t="s">
        <v>4595</v>
      </c>
      <c r="AH319" s="3839" t="s">
        <v>4596</v>
      </c>
      <c r="AI319" s="3840" t="s">
        <v>4597</v>
      </c>
      <c r="AJ319" s="3839" t="s">
        <v>4598</v>
      </c>
      <c r="AK319" s="3840" t="s">
        <v>4599</v>
      </c>
      <c r="AL319" s="3837" t="s">
        <v>4600</v>
      </c>
      <c r="AM319" s="3841" t="s">
        <v>4601</v>
      </c>
      <c r="AN319" s="3839" t="s">
        <v>4602</v>
      </c>
      <c r="AO319" s="3842" t="s">
        <v>4603</v>
      </c>
      <c r="AP319" s="3761" t="s">
        <v>4604</v>
      </c>
      <c r="AQ319" s="3762" t="s">
        <v>4605</v>
      </c>
      <c r="AR319" s="3773" t="s">
        <v>4606</v>
      </c>
      <c r="AS319" s="3779" t="s">
        <v>4934</v>
      </c>
      <c r="AT319" s="3762" t="s">
        <v>4935</v>
      </c>
      <c r="AU319" s="3777" t="s">
        <v>4936</v>
      </c>
      <c r="AV319" s="812" t="s">
        <v>4937</v>
      </c>
      <c r="AW319" s="3762" t="s">
        <v>5234</v>
      </c>
      <c r="AX319" s="3777" t="s">
        <v>5235</v>
      </c>
      <c r="AY319" s="812" t="s">
        <v>5236</v>
      </c>
      <c r="AZ319" t="e">
        <f t="shared" si="248"/>
        <v>#VALUE!</v>
      </c>
      <c r="CB319" s="433" t="str">
        <f t="shared" si="249"/>
        <v xml:space="preserve"> * La variable Gestante no puede superar el Total Mujeres.</v>
      </c>
      <c r="CC319" s="433" t="e">
        <f t="shared" si="250"/>
        <v>#VALUE!</v>
      </c>
      <c r="CD319" s="435"/>
      <c r="CE319" s="435"/>
      <c r="CF319" s="433" t="str">
        <f>IF(AND($E319&gt;0,AR319="")," * No olvide digitar la variable Inasistente. Digite cero si no tiene.",IF(AR319&gt;$E319," * La variable Insasistente no puede superar el Total Ambos Sexos.",""))</f>
        <v xml:space="preserve"> * La variable Insasistente no puede superar el Total Ambos Sexos.</v>
      </c>
      <c r="CG319" s="433" t="str">
        <f t="shared" si="251"/>
        <v xml:space="preserve"> * La variable Compra de Servicio no puede superar el Total Ambos Sexos.</v>
      </c>
      <c r="CH319" s="435"/>
      <c r="CI319" s="433" t="str">
        <f t="shared" si="252"/>
        <v xml:space="preserve"> * La variable Usuarios con Dicapacidad no puede superar el Total Ambos Sexos.</v>
      </c>
      <c r="CJ319" s="433" t="str">
        <f t="shared" si="253"/>
        <v xml:space="preserve"> * La variable Usuarios Oncológicos no puede superar el Total Ambos Sexos.</v>
      </c>
      <c r="CK319" s="435"/>
      <c r="CL319" s="433" t="str">
        <f t="shared" si="254"/>
        <v xml:space="preserve"> * La variable Migrantes no puede superar el Total Ambos Sexos.</v>
      </c>
      <c r="CM319" s="433" t="str">
        <f t="shared" si="255"/>
        <v xml:space="preserve"> * La variable Pueblo Originario no puede superar el Total Ambos Sexos.</v>
      </c>
      <c r="CP319" s="434">
        <f t="shared" si="256"/>
        <v>1</v>
      </c>
      <c r="CQ319" s="434" t="e">
        <f t="shared" si="257"/>
        <v>#VALUE!</v>
      </c>
      <c r="CR319" s="435"/>
      <c r="CS319" s="435"/>
      <c r="CT319" s="434">
        <f t="shared" si="264"/>
        <v>1</v>
      </c>
      <c r="CU319" s="434">
        <f t="shared" si="258"/>
        <v>1</v>
      </c>
      <c r="CV319" s="435"/>
      <c r="CW319" s="434">
        <f t="shared" si="259"/>
        <v>1</v>
      </c>
      <c r="CX319" s="434">
        <f t="shared" si="260"/>
        <v>1</v>
      </c>
      <c r="CY319" s="435"/>
      <c r="CZ319" s="434">
        <f t="shared" si="261"/>
        <v>1</v>
      </c>
      <c r="DA319" s="434">
        <f t="shared" si="262"/>
        <v>1</v>
      </c>
    </row>
    <row r="320" spans="1:105" ht="15" customHeight="1" x14ac:dyDescent="0.25">
      <c r="A320" s="5810" t="s">
        <v>5931</v>
      </c>
      <c r="B320" s="6643"/>
      <c r="C320" s="7059" t="s">
        <v>1830</v>
      </c>
      <c r="D320" s="7059"/>
      <c r="E320" s="3836" t="s">
        <v>4567</v>
      </c>
      <c r="F320" s="3776" t="s">
        <v>4568</v>
      </c>
      <c r="G320" s="3562" t="s">
        <v>4569</v>
      </c>
      <c r="H320" s="3837" t="s">
        <v>4570</v>
      </c>
      <c r="I320" s="3838" t="s">
        <v>4571</v>
      </c>
      <c r="J320" s="3839" t="s">
        <v>4572</v>
      </c>
      <c r="K320" s="3838" t="s">
        <v>4573</v>
      </c>
      <c r="L320" s="3839" t="s">
        <v>4574</v>
      </c>
      <c r="M320" s="3838" t="s">
        <v>4575</v>
      </c>
      <c r="N320" s="3839" t="s">
        <v>4576</v>
      </c>
      <c r="O320" s="3838" t="s">
        <v>4577</v>
      </c>
      <c r="P320" s="3839" t="s">
        <v>4578</v>
      </c>
      <c r="Q320" s="3838" t="s">
        <v>4579</v>
      </c>
      <c r="R320" s="3839" t="s">
        <v>4580</v>
      </c>
      <c r="S320" s="3838" t="s">
        <v>4581</v>
      </c>
      <c r="T320" s="3839" t="s">
        <v>4582</v>
      </c>
      <c r="U320" s="3840" t="s">
        <v>4583</v>
      </c>
      <c r="V320" s="3839" t="s">
        <v>4584</v>
      </c>
      <c r="W320" s="3840" t="s">
        <v>4585</v>
      </c>
      <c r="X320" s="3839" t="s">
        <v>4586</v>
      </c>
      <c r="Y320" s="3840" t="s">
        <v>4587</v>
      </c>
      <c r="Z320" s="3839" t="s">
        <v>4588</v>
      </c>
      <c r="AA320" s="3840" t="s">
        <v>4589</v>
      </c>
      <c r="AB320" s="3839" t="s">
        <v>4590</v>
      </c>
      <c r="AC320" s="3840" t="s">
        <v>4591</v>
      </c>
      <c r="AD320" s="3839" t="s">
        <v>4592</v>
      </c>
      <c r="AE320" s="3840" t="s">
        <v>4593</v>
      </c>
      <c r="AF320" s="3839" t="s">
        <v>4594</v>
      </c>
      <c r="AG320" s="3840" t="s">
        <v>4595</v>
      </c>
      <c r="AH320" s="3839" t="s">
        <v>4596</v>
      </c>
      <c r="AI320" s="3840" t="s">
        <v>4597</v>
      </c>
      <c r="AJ320" s="3839" t="s">
        <v>4598</v>
      </c>
      <c r="AK320" s="3840" t="s">
        <v>4599</v>
      </c>
      <c r="AL320" s="3837" t="s">
        <v>4600</v>
      </c>
      <c r="AM320" s="3841" t="s">
        <v>4601</v>
      </c>
      <c r="AN320" s="3839" t="s">
        <v>4602</v>
      </c>
      <c r="AO320" s="3842" t="s">
        <v>4603</v>
      </c>
      <c r="AP320" s="3761" t="s">
        <v>4604</v>
      </c>
      <c r="AQ320" s="3762" t="s">
        <v>4605</v>
      </c>
      <c r="AR320" s="3782" t="s">
        <v>4606</v>
      </c>
      <c r="AS320" s="3779" t="s">
        <v>4934</v>
      </c>
      <c r="AT320" s="3762" t="s">
        <v>4935</v>
      </c>
      <c r="AU320" s="3777" t="s">
        <v>4936</v>
      </c>
      <c r="AV320" s="812" t="s">
        <v>4937</v>
      </c>
      <c r="AW320" s="3762" t="s">
        <v>5234</v>
      </c>
      <c r="AX320" s="3777" t="s">
        <v>5235</v>
      </c>
      <c r="AY320" s="812" t="s">
        <v>5236</v>
      </c>
      <c r="AZ320" t="e">
        <f t="shared" si="248"/>
        <v>#VALUE!</v>
      </c>
      <c r="CB320" s="433" t="str">
        <f t="shared" si="249"/>
        <v xml:space="preserve"> * La variable Gestante no puede superar el Total Mujeres.</v>
      </c>
      <c r="CC320" s="433" t="e">
        <f t="shared" si="250"/>
        <v>#VALUE!</v>
      </c>
      <c r="CD320" s="435"/>
      <c r="CE320" s="435"/>
      <c r="CF320" s="435"/>
      <c r="CG320" s="433" t="str">
        <f t="shared" si="251"/>
        <v xml:space="preserve"> * La variable Compra de Servicio no puede superar el Total Ambos Sexos.</v>
      </c>
      <c r="CH320" s="435"/>
      <c r="CI320" s="433" t="str">
        <f t="shared" si="252"/>
        <v xml:space="preserve"> * La variable Usuarios con Dicapacidad no puede superar el Total Ambos Sexos.</v>
      </c>
      <c r="CJ320" s="433" t="str">
        <f t="shared" si="253"/>
        <v xml:space="preserve"> * La variable Usuarios Oncológicos no puede superar el Total Ambos Sexos.</v>
      </c>
      <c r="CK320" s="435"/>
      <c r="CL320" s="433" t="str">
        <f t="shared" si="254"/>
        <v xml:space="preserve"> * La variable Migrantes no puede superar el Total Ambos Sexos.</v>
      </c>
      <c r="CM320" s="433" t="str">
        <f t="shared" si="255"/>
        <v xml:space="preserve"> * La variable Pueblo Originario no puede superar el Total Ambos Sexos.</v>
      </c>
      <c r="CP320" s="434">
        <f t="shared" si="256"/>
        <v>1</v>
      </c>
      <c r="CQ320" s="434" t="e">
        <f t="shared" si="257"/>
        <v>#VALUE!</v>
      </c>
      <c r="CR320" s="435"/>
      <c r="CS320" s="435"/>
      <c r="CT320" s="435"/>
      <c r="CU320" s="434">
        <f t="shared" si="258"/>
        <v>1</v>
      </c>
      <c r="CV320" s="435"/>
      <c r="CW320" s="434">
        <f t="shared" si="259"/>
        <v>1</v>
      </c>
      <c r="CX320" s="434">
        <f t="shared" si="260"/>
        <v>1</v>
      </c>
      <c r="CY320" s="435"/>
      <c r="CZ320" s="434">
        <f t="shared" si="261"/>
        <v>1</v>
      </c>
      <c r="DA320" s="434">
        <f t="shared" si="262"/>
        <v>1</v>
      </c>
    </row>
    <row r="321" spans="1:105" ht="15" customHeight="1" x14ac:dyDescent="0.25">
      <c r="A321" s="5810" t="s">
        <v>5932</v>
      </c>
      <c r="B321" s="6643"/>
      <c r="C321" s="7055" t="s">
        <v>1831</v>
      </c>
      <c r="D321" s="6987"/>
      <c r="E321" s="3836" t="s">
        <v>4567</v>
      </c>
      <c r="F321" s="3776" t="s">
        <v>4568</v>
      </c>
      <c r="G321" s="3562" t="s">
        <v>4569</v>
      </c>
      <c r="H321" s="3843" t="s">
        <v>4570</v>
      </c>
      <c r="I321" s="3844" t="s">
        <v>4571</v>
      </c>
      <c r="J321" s="3845" t="s">
        <v>4572</v>
      </c>
      <c r="K321" s="3844" t="s">
        <v>4573</v>
      </c>
      <c r="L321" s="3845" t="s">
        <v>4574</v>
      </c>
      <c r="M321" s="3844" t="s">
        <v>4575</v>
      </c>
      <c r="N321" s="3845" t="s">
        <v>4576</v>
      </c>
      <c r="O321" s="3844" t="s">
        <v>4577</v>
      </c>
      <c r="P321" s="3845" t="s">
        <v>4578</v>
      </c>
      <c r="Q321" s="3844" t="s">
        <v>4579</v>
      </c>
      <c r="R321" s="3845" t="s">
        <v>4580</v>
      </c>
      <c r="S321" s="3844" t="s">
        <v>4581</v>
      </c>
      <c r="T321" s="3845" t="s">
        <v>4582</v>
      </c>
      <c r="U321" s="3844" t="s">
        <v>4583</v>
      </c>
      <c r="V321" s="3845" t="s">
        <v>4584</v>
      </c>
      <c r="W321" s="3844" t="s">
        <v>4585</v>
      </c>
      <c r="X321" s="3845" t="s">
        <v>4586</v>
      </c>
      <c r="Y321" s="3844" t="s">
        <v>4587</v>
      </c>
      <c r="Z321" s="3845" t="s">
        <v>4588</v>
      </c>
      <c r="AA321" s="3844" t="s">
        <v>4589</v>
      </c>
      <c r="AB321" s="3845" t="s">
        <v>4590</v>
      </c>
      <c r="AC321" s="3844" t="s">
        <v>4591</v>
      </c>
      <c r="AD321" s="3845" t="s">
        <v>4592</v>
      </c>
      <c r="AE321" s="3844" t="s">
        <v>4593</v>
      </c>
      <c r="AF321" s="3845" t="s">
        <v>4594</v>
      </c>
      <c r="AG321" s="3844" t="s">
        <v>4595</v>
      </c>
      <c r="AH321" s="3845" t="s">
        <v>4596</v>
      </c>
      <c r="AI321" s="3844" t="s">
        <v>4597</v>
      </c>
      <c r="AJ321" s="3845" t="s">
        <v>4598</v>
      </c>
      <c r="AK321" s="3844" t="s">
        <v>4599</v>
      </c>
      <c r="AL321" s="3843" t="s">
        <v>4600</v>
      </c>
      <c r="AM321" s="3846" t="s">
        <v>4601</v>
      </c>
      <c r="AN321" s="3847" t="s">
        <v>4602</v>
      </c>
      <c r="AO321" s="3848" t="s">
        <v>4603</v>
      </c>
      <c r="AP321" s="3761" t="s">
        <v>4604</v>
      </c>
      <c r="AQ321" s="3762" t="s">
        <v>4605</v>
      </c>
      <c r="AR321" s="3782" t="s">
        <v>4606</v>
      </c>
      <c r="AS321" s="3847" t="s">
        <v>4934</v>
      </c>
      <c r="AT321" s="3762" t="s">
        <v>4935</v>
      </c>
      <c r="AU321" s="3849" t="s">
        <v>4936</v>
      </c>
      <c r="AV321" s="3850" t="s">
        <v>4937</v>
      </c>
      <c r="AW321" s="812" t="s">
        <v>5234</v>
      </c>
      <c r="AX321" s="3849" t="s">
        <v>5235</v>
      </c>
      <c r="AY321" s="3850" t="s">
        <v>5236</v>
      </c>
      <c r="AZ321" t="e">
        <f t="shared" si="248"/>
        <v>#VALUE!</v>
      </c>
      <c r="CB321" s="433" t="str">
        <f t="shared" si="249"/>
        <v xml:space="preserve"> * La variable Gestante no puede superar el Total Mujeres.</v>
      </c>
      <c r="CC321" s="433" t="e">
        <f t="shared" si="250"/>
        <v>#VALUE!</v>
      </c>
      <c r="CD321" s="435"/>
      <c r="CE321" s="435"/>
      <c r="CF321" s="435"/>
      <c r="CG321" s="433" t="str">
        <f t="shared" si="251"/>
        <v xml:space="preserve"> * La variable Compra de Servicio no puede superar el Total Ambos Sexos.</v>
      </c>
      <c r="CH321" s="435"/>
      <c r="CI321" s="433" t="str">
        <f t="shared" si="252"/>
        <v xml:space="preserve"> * La variable Usuarios con Dicapacidad no puede superar el Total Ambos Sexos.</v>
      </c>
      <c r="CJ321" s="433" t="str">
        <f t="shared" si="253"/>
        <v xml:space="preserve"> * La variable Usuarios Oncológicos no puede superar el Total Ambos Sexos.</v>
      </c>
      <c r="CK321" s="433" t="str">
        <f>IF(AND($E321&gt;0,AW321="")," * No olvide digitar la variable Contrarreferencia al alta. Digite Cero si no tiene.",IF(AW321&gt;$E321," * La variable Contrarreferencia al alta no puede superar el Total Ambos Sexos.",""))</f>
        <v xml:space="preserve"> * La variable Contrarreferencia al alta no puede superar el Total Ambos Sexos.</v>
      </c>
      <c r="CL321" s="433" t="str">
        <f t="shared" si="254"/>
        <v xml:space="preserve"> * La variable Migrantes no puede superar el Total Ambos Sexos.</v>
      </c>
      <c r="CM321" s="433" t="str">
        <f t="shared" si="255"/>
        <v xml:space="preserve"> * La variable Pueblo Originario no puede superar el Total Ambos Sexos.</v>
      </c>
      <c r="CP321" s="434">
        <f t="shared" si="256"/>
        <v>1</v>
      </c>
      <c r="CQ321" s="434" t="e">
        <f t="shared" si="257"/>
        <v>#VALUE!</v>
      </c>
      <c r="CR321" s="435"/>
      <c r="CS321" s="435"/>
      <c r="CT321" s="435"/>
      <c r="CU321" s="434">
        <f t="shared" si="258"/>
        <v>1</v>
      </c>
      <c r="CV321" s="435"/>
      <c r="CW321" s="434">
        <f t="shared" si="259"/>
        <v>1</v>
      </c>
      <c r="CX321" s="434">
        <f t="shared" si="260"/>
        <v>1</v>
      </c>
      <c r="CY321" s="434">
        <f>IF(AND($E321&gt;0,AW321=""),1,IF(AW321&gt;$E321,1,0))</f>
        <v>1</v>
      </c>
      <c r="CZ321" s="434">
        <f t="shared" si="261"/>
        <v>1</v>
      </c>
      <c r="DA321" s="434">
        <f t="shared" si="262"/>
        <v>1</v>
      </c>
    </row>
    <row r="322" spans="1:105" ht="15" customHeight="1" x14ac:dyDescent="0.25">
      <c r="A322" s="5810" t="s">
        <v>5933</v>
      </c>
      <c r="B322" s="6643"/>
      <c r="C322" s="7055" t="s">
        <v>1832</v>
      </c>
      <c r="D322" s="6987"/>
      <c r="E322" s="3836" t="s">
        <v>4567</v>
      </c>
      <c r="F322" s="3776" t="s">
        <v>4568</v>
      </c>
      <c r="G322" s="3562" t="s">
        <v>4569</v>
      </c>
      <c r="H322" s="3843" t="s">
        <v>4570</v>
      </c>
      <c r="I322" s="3844" t="s">
        <v>4571</v>
      </c>
      <c r="J322" s="3845" t="s">
        <v>4572</v>
      </c>
      <c r="K322" s="3844" t="s">
        <v>4573</v>
      </c>
      <c r="L322" s="3845" t="s">
        <v>4574</v>
      </c>
      <c r="M322" s="3844" t="s">
        <v>4575</v>
      </c>
      <c r="N322" s="3845" t="s">
        <v>4576</v>
      </c>
      <c r="O322" s="3844" t="s">
        <v>4577</v>
      </c>
      <c r="P322" s="3845" t="s">
        <v>4578</v>
      </c>
      <c r="Q322" s="3844" t="s">
        <v>4579</v>
      </c>
      <c r="R322" s="3845" t="s">
        <v>4580</v>
      </c>
      <c r="S322" s="3844" t="s">
        <v>4581</v>
      </c>
      <c r="T322" s="3845" t="s">
        <v>4582</v>
      </c>
      <c r="U322" s="3844" t="s">
        <v>4583</v>
      </c>
      <c r="V322" s="3845" t="s">
        <v>4584</v>
      </c>
      <c r="W322" s="3844" t="s">
        <v>4585</v>
      </c>
      <c r="X322" s="3845" t="s">
        <v>4586</v>
      </c>
      <c r="Y322" s="3844" t="s">
        <v>4587</v>
      </c>
      <c r="Z322" s="3845" t="s">
        <v>4588</v>
      </c>
      <c r="AA322" s="3844" t="s">
        <v>4589</v>
      </c>
      <c r="AB322" s="3845" t="s">
        <v>4590</v>
      </c>
      <c r="AC322" s="3844" t="s">
        <v>4591</v>
      </c>
      <c r="AD322" s="3845" t="s">
        <v>4592</v>
      </c>
      <c r="AE322" s="3844" t="s">
        <v>4593</v>
      </c>
      <c r="AF322" s="3845" t="s">
        <v>4594</v>
      </c>
      <c r="AG322" s="3844" t="s">
        <v>4595</v>
      </c>
      <c r="AH322" s="3845" t="s">
        <v>4596</v>
      </c>
      <c r="AI322" s="3844" t="s">
        <v>4597</v>
      </c>
      <c r="AJ322" s="3845" t="s">
        <v>4598</v>
      </c>
      <c r="AK322" s="3844" t="s">
        <v>4599</v>
      </c>
      <c r="AL322" s="3843" t="s">
        <v>4600</v>
      </c>
      <c r="AM322" s="3846" t="s">
        <v>4601</v>
      </c>
      <c r="AN322" s="3851" t="s">
        <v>4602</v>
      </c>
      <c r="AO322" s="3852" t="s">
        <v>4603</v>
      </c>
      <c r="AP322" s="3787" t="s">
        <v>4604</v>
      </c>
      <c r="AQ322" s="3788" t="s">
        <v>4605</v>
      </c>
      <c r="AR322" s="3789" t="s">
        <v>4606</v>
      </c>
      <c r="AS322" s="3851" t="s">
        <v>4934</v>
      </c>
      <c r="AT322" s="3788" t="s">
        <v>4935</v>
      </c>
      <c r="AU322" s="3853" t="s">
        <v>4936</v>
      </c>
      <c r="AV322" s="3854" t="s">
        <v>4937</v>
      </c>
      <c r="AW322" s="3788" t="s">
        <v>5234</v>
      </c>
      <c r="AX322" s="3853" t="s">
        <v>5235</v>
      </c>
      <c r="AY322" s="3854" t="s">
        <v>5236</v>
      </c>
      <c r="AZ322" t="e">
        <f t="shared" si="248"/>
        <v>#VALUE!</v>
      </c>
      <c r="CB322" s="433" t="str">
        <f t="shared" si="249"/>
        <v xml:space="preserve"> * La variable Gestante no puede superar el Total Mujeres.</v>
      </c>
      <c r="CC322" s="433" t="e">
        <f t="shared" si="250"/>
        <v>#VALUE!</v>
      </c>
      <c r="CD322" s="435"/>
      <c r="CE322" s="435"/>
      <c r="CF322" s="435"/>
      <c r="CG322" s="433" t="str">
        <f t="shared" si="251"/>
        <v xml:space="preserve"> * La variable Compra de Servicio no puede superar el Total Ambos Sexos.</v>
      </c>
      <c r="CH322" s="435"/>
      <c r="CI322" s="433" t="str">
        <f t="shared" si="252"/>
        <v xml:space="preserve"> * La variable Usuarios con Dicapacidad no puede superar el Total Ambos Sexos.</v>
      </c>
      <c r="CJ322" s="433" t="str">
        <f t="shared" si="253"/>
        <v xml:space="preserve"> * La variable Usuarios Oncológicos no puede superar el Total Ambos Sexos.</v>
      </c>
      <c r="CK322" s="435"/>
      <c r="CL322" s="433" t="str">
        <f t="shared" si="254"/>
        <v xml:space="preserve"> * La variable Migrantes no puede superar el Total Ambos Sexos.</v>
      </c>
      <c r="CM322" s="433" t="str">
        <f t="shared" si="255"/>
        <v xml:space="preserve"> * La variable Pueblo Originario no puede superar el Total Ambos Sexos.</v>
      </c>
      <c r="CP322" s="434">
        <f t="shared" si="256"/>
        <v>1</v>
      </c>
      <c r="CQ322" s="434" t="e">
        <f t="shared" si="257"/>
        <v>#VALUE!</v>
      </c>
      <c r="CR322" s="435"/>
      <c r="CS322" s="435"/>
      <c r="CT322" s="435"/>
      <c r="CU322" s="434">
        <f t="shared" si="258"/>
        <v>1</v>
      </c>
      <c r="CV322" s="435"/>
      <c r="CW322" s="434">
        <f t="shared" si="259"/>
        <v>1</v>
      </c>
      <c r="CX322" s="434">
        <f t="shared" si="260"/>
        <v>1</v>
      </c>
      <c r="CY322" s="435"/>
      <c r="CZ322" s="434">
        <f t="shared" si="261"/>
        <v>1</v>
      </c>
      <c r="DA322" s="434">
        <f t="shared" si="262"/>
        <v>1</v>
      </c>
    </row>
    <row r="323" spans="1:105" ht="15" customHeight="1" x14ac:dyDescent="0.25">
      <c r="A323" s="5810" t="s">
        <v>5934</v>
      </c>
      <c r="B323" s="7007"/>
      <c r="C323" s="7056" t="s">
        <v>1833</v>
      </c>
      <c r="D323" s="7056"/>
      <c r="E323" s="703" t="s">
        <v>4567</v>
      </c>
      <c r="F323" s="3543" t="s">
        <v>4568</v>
      </c>
      <c r="G323" s="2906" t="s">
        <v>4569</v>
      </c>
      <c r="H323" s="3855" t="s">
        <v>4570</v>
      </c>
      <c r="I323" s="3856" t="s">
        <v>4571</v>
      </c>
      <c r="J323" s="3857" t="s">
        <v>4572</v>
      </c>
      <c r="K323" s="3856" t="s">
        <v>4573</v>
      </c>
      <c r="L323" s="3857" t="s">
        <v>4574</v>
      </c>
      <c r="M323" s="3856" t="s">
        <v>4575</v>
      </c>
      <c r="N323" s="3857" t="s">
        <v>4576</v>
      </c>
      <c r="O323" s="3856" t="s">
        <v>4577</v>
      </c>
      <c r="P323" s="3857" t="s">
        <v>4578</v>
      </c>
      <c r="Q323" s="3856" t="s">
        <v>4579</v>
      </c>
      <c r="R323" s="3857" t="s">
        <v>4580</v>
      </c>
      <c r="S323" s="3856" t="s">
        <v>4581</v>
      </c>
      <c r="T323" s="3855" t="s">
        <v>4582</v>
      </c>
      <c r="U323" s="3856" t="s">
        <v>4583</v>
      </c>
      <c r="V323" s="3855" t="s">
        <v>4584</v>
      </c>
      <c r="W323" s="3856" t="s">
        <v>4585</v>
      </c>
      <c r="X323" s="3855" t="s">
        <v>4586</v>
      </c>
      <c r="Y323" s="3856" t="s">
        <v>4587</v>
      </c>
      <c r="Z323" s="3855" t="s">
        <v>4588</v>
      </c>
      <c r="AA323" s="3856" t="s">
        <v>4589</v>
      </c>
      <c r="AB323" s="3855" t="s">
        <v>4590</v>
      </c>
      <c r="AC323" s="3856" t="s">
        <v>4591</v>
      </c>
      <c r="AD323" s="3855" t="s">
        <v>4592</v>
      </c>
      <c r="AE323" s="3856" t="s">
        <v>4593</v>
      </c>
      <c r="AF323" s="3855" t="s">
        <v>4594</v>
      </c>
      <c r="AG323" s="3856" t="s">
        <v>4595</v>
      </c>
      <c r="AH323" s="3855" t="s">
        <v>4596</v>
      </c>
      <c r="AI323" s="3856" t="s">
        <v>4597</v>
      </c>
      <c r="AJ323" s="3855" t="s">
        <v>4598</v>
      </c>
      <c r="AK323" s="3856" t="s">
        <v>4599</v>
      </c>
      <c r="AL323" s="3855" t="s">
        <v>4600</v>
      </c>
      <c r="AM323" s="3858" t="s">
        <v>4601</v>
      </c>
      <c r="AN323" s="3768" t="s">
        <v>4602</v>
      </c>
      <c r="AO323" s="3769" t="s">
        <v>4603</v>
      </c>
      <c r="AP323" s="3790" t="s">
        <v>4604</v>
      </c>
      <c r="AQ323" s="3770" t="s">
        <v>4605</v>
      </c>
      <c r="AR323" s="3791" t="s">
        <v>4606</v>
      </c>
      <c r="AS323" s="3768" t="s">
        <v>4934</v>
      </c>
      <c r="AT323" s="3770" t="s">
        <v>4935</v>
      </c>
      <c r="AU323" s="3766" t="s">
        <v>4936</v>
      </c>
      <c r="AV323" s="815" t="s">
        <v>4937</v>
      </c>
      <c r="AW323" s="3770" t="s">
        <v>5234</v>
      </c>
      <c r="AX323" s="3766" t="s">
        <v>5235</v>
      </c>
      <c r="AY323" s="815" t="s">
        <v>5236</v>
      </c>
      <c r="AZ323" t="e">
        <f t="shared" si="248"/>
        <v>#VALUE!</v>
      </c>
      <c r="CB323" s="433" t="str">
        <f t="shared" si="249"/>
        <v xml:space="preserve"> * La variable Gestante no puede superar el Total Mujeres.</v>
      </c>
      <c r="CC323" s="433" t="e">
        <f t="shared" si="250"/>
        <v>#VALUE!</v>
      </c>
      <c r="CD323" s="435"/>
      <c r="CE323" s="435"/>
      <c r="CF323" s="435"/>
      <c r="CG323" s="433" t="str">
        <f t="shared" si="251"/>
        <v xml:space="preserve"> * La variable Compra de Servicio no puede superar el Total Ambos Sexos.</v>
      </c>
      <c r="CH323" s="435"/>
      <c r="CI323" s="433" t="str">
        <f t="shared" si="252"/>
        <v xml:space="preserve"> * La variable Usuarios con Dicapacidad no puede superar el Total Ambos Sexos.</v>
      </c>
      <c r="CJ323" s="433" t="str">
        <f t="shared" si="253"/>
        <v xml:space="preserve"> * La variable Usuarios Oncológicos no puede superar el Total Ambos Sexos.</v>
      </c>
      <c r="CK323" s="435"/>
      <c r="CL323" s="433" t="str">
        <f t="shared" si="254"/>
        <v xml:space="preserve"> * La variable Migrantes no puede superar el Total Ambos Sexos.</v>
      </c>
      <c r="CM323" s="433" t="str">
        <f t="shared" si="255"/>
        <v xml:space="preserve"> * La variable Pueblo Originario no puede superar el Total Ambos Sexos.</v>
      </c>
      <c r="CP323" s="434">
        <f t="shared" si="256"/>
        <v>1</v>
      </c>
      <c r="CQ323" s="434" t="e">
        <f t="shared" si="257"/>
        <v>#VALUE!</v>
      </c>
      <c r="CR323" s="435"/>
      <c r="CS323" s="435"/>
      <c r="CT323" s="435"/>
      <c r="CU323" s="434">
        <f t="shared" si="258"/>
        <v>1</v>
      </c>
      <c r="CV323" s="435"/>
      <c r="CW323" s="434">
        <f t="shared" si="259"/>
        <v>1</v>
      </c>
      <c r="CX323" s="434">
        <f t="shared" si="260"/>
        <v>1</v>
      </c>
      <c r="CY323" s="435"/>
      <c r="CZ323" s="434">
        <f t="shared" si="261"/>
        <v>1</v>
      </c>
      <c r="DA323" s="434">
        <f t="shared" si="262"/>
        <v>1</v>
      </c>
    </row>
    <row r="324" spans="1:105" ht="15" customHeight="1" x14ac:dyDescent="0.25">
      <c r="A324" s="5811" t="s">
        <v>5935</v>
      </c>
      <c r="B324" s="6938" t="s">
        <v>1840</v>
      </c>
      <c r="C324" s="7089" t="s">
        <v>1828</v>
      </c>
      <c r="D324" s="7089"/>
      <c r="E324" s="3254" t="s">
        <v>4567</v>
      </c>
      <c r="F324" s="3556" t="s">
        <v>4568</v>
      </c>
      <c r="G324" s="3470" t="s">
        <v>4569</v>
      </c>
      <c r="H324" s="3829" t="s">
        <v>4570</v>
      </c>
      <c r="I324" s="3830" t="s">
        <v>4571</v>
      </c>
      <c r="J324" s="3831" t="s">
        <v>4572</v>
      </c>
      <c r="K324" s="3830" t="s">
        <v>4573</v>
      </c>
      <c r="L324" s="3831" t="s">
        <v>4574</v>
      </c>
      <c r="M324" s="3830" t="s">
        <v>4575</v>
      </c>
      <c r="N324" s="3831" t="s">
        <v>4576</v>
      </c>
      <c r="O324" s="3830" t="s">
        <v>4577</v>
      </c>
      <c r="P324" s="3831" t="s">
        <v>4578</v>
      </c>
      <c r="Q324" s="3830" t="s">
        <v>4579</v>
      </c>
      <c r="R324" s="3831" t="s">
        <v>4580</v>
      </c>
      <c r="S324" s="3830" t="s">
        <v>4581</v>
      </c>
      <c r="T324" s="3831" t="s">
        <v>4582</v>
      </c>
      <c r="U324" s="3832" t="s">
        <v>4583</v>
      </c>
      <c r="V324" s="3831" t="s">
        <v>4584</v>
      </c>
      <c r="W324" s="3832" t="s">
        <v>4585</v>
      </c>
      <c r="X324" s="3831" t="s">
        <v>4586</v>
      </c>
      <c r="Y324" s="3832" t="s">
        <v>4587</v>
      </c>
      <c r="Z324" s="3831" t="s">
        <v>4588</v>
      </c>
      <c r="AA324" s="3832" t="s">
        <v>4589</v>
      </c>
      <c r="AB324" s="3831" t="s">
        <v>4590</v>
      </c>
      <c r="AC324" s="3832" t="s">
        <v>4591</v>
      </c>
      <c r="AD324" s="3831" t="s">
        <v>4592</v>
      </c>
      <c r="AE324" s="3832" t="s">
        <v>4593</v>
      </c>
      <c r="AF324" s="3831" t="s">
        <v>4594</v>
      </c>
      <c r="AG324" s="3832" t="s">
        <v>4595</v>
      </c>
      <c r="AH324" s="3831" t="s">
        <v>4596</v>
      </c>
      <c r="AI324" s="3832" t="s">
        <v>4597</v>
      </c>
      <c r="AJ324" s="3831" t="s">
        <v>4598</v>
      </c>
      <c r="AK324" s="3832" t="s">
        <v>4599</v>
      </c>
      <c r="AL324" s="3829" t="s">
        <v>4600</v>
      </c>
      <c r="AM324" s="3833" t="s">
        <v>4601</v>
      </c>
      <c r="AN324" s="3831" t="s">
        <v>4602</v>
      </c>
      <c r="AO324" s="3830" t="s">
        <v>4603</v>
      </c>
      <c r="AP324" s="3773" t="s">
        <v>4604</v>
      </c>
      <c r="AQ324" s="836" t="s">
        <v>4605</v>
      </c>
      <c r="AR324" s="3773" t="s">
        <v>4606</v>
      </c>
      <c r="AS324" s="3759" t="s">
        <v>4934</v>
      </c>
      <c r="AT324" s="3762" t="s">
        <v>4935</v>
      </c>
      <c r="AU324" s="3758" t="s">
        <v>4936</v>
      </c>
      <c r="AV324" s="803" t="s">
        <v>4937</v>
      </c>
      <c r="AW324" s="3762" t="s">
        <v>5234</v>
      </c>
      <c r="AX324" s="3758" t="s">
        <v>5235</v>
      </c>
      <c r="AY324" s="803" t="s">
        <v>5236</v>
      </c>
      <c r="AZ324" t="e">
        <f>CB324&amp;CC324&amp;CD324&amp;CE324&amp;CF324&amp;CG324&amp;CH324&amp;CI324&amp;CJ324&amp;CK324&amp;CL324&amp;CM324</f>
        <v>#VALUE!</v>
      </c>
      <c r="CB324" s="433" t="str">
        <f t="shared" si="249"/>
        <v xml:space="preserve"> * La variable Gestante no puede superar el Total Mujeres.</v>
      </c>
      <c r="CC324" s="433" t="e">
        <f t="shared" si="250"/>
        <v>#VALUE!</v>
      </c>
      <c r="CD324" s="433" t="str">
        <f>IF(AND($E324&gt;0,AP324="")," * No olvide digitar la variable Consultas Pertinentes: Según Procolo de Referencia. Digite cero si no tiene.",IF(AP324&gt;$E324,"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24" s="433" t="str">
        <f>IF(AND($E324&gt;0,AQ324="")," * No olvide digitar la variable Consultas Pertinentes: Según condición clínica. Digite cero si no tiene.",IF(AQ324&gt;$E324,"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24" s="433" t="str">
        <f>IF(AND($E324&gt;0,AR324="")," * No olvide digitar la variable Inasistente. Digite cero si no tiene.",IF(AR324&gt;$E324," * La variable Insasistente no puede superar el Total Ambos Sexos.",""))</f>
        <v xml:space="preserve"> * La variable Insasistente no puede superar el Total Ambos Sexos.</v>
      </c>
      <c r="CG324" s="433" t="str">
        <f t="shared" si="251"/>
        <v xml:space="preserve"> * La variable Compra de Servicio no puede superar el Total Ambos Sexos.</v>
      </c>
      <c r="CH324" s="435"/>
      <c r="CI324" s="433" t="str">
        <f t="shared" si="252"/>
        <v xml:space="preserve"> * La variable Usuarios con Dicapacidad no puede superar el Total Ambos Sexos.</v>
      </c>
      <c r="CJ324" s="433" t="str">
        <f t="shared" si="253"/>
        <v xml:space="preserve"> * La variable Usuarios Oncológicos no puede superar el Total Ambos Sexos.</v>
      </c>
      <c r="CK324" s="435"/>
      <c r="CL324" s="433" t="str">
        <f t="shared" si="254"/>
        <v xml:space="preserve"> * La variable Migrantes no puede superar el Total Ambos Sexos.</v>
      </c>
      <c r="CM324" s="433" t="str">
        <f t="shared" si="255"/>
        <v xml:space="preserve"> * La variable Pueblo Originario no puede superar el Total Ambos Sexos.</v>
      </c>
      <c r="CP324" s="434">
        <f t="shared" si="256"/>
        <v>1</v>
      </c>
      <c r="CQ324" s="434" t="e">
        <f t="shared" si="257"/>
        <v>#VALUE!</v>
      </c>
      <c r="CR324" s="434">
        <f>IF(AND($E324&gt;0,AP324=""),1,IF(AP324&gt;$E324,1,0))</f>
        <v>1</v>
      </c>
      <c r="CS324" s="434">
        <f>IF(AND($E324&gt;0,AQ324=""),1,IF(AQ324&gt;$E324,1,0))</f>
        <v>1</v>
      </c>
      <c r="CT324" s="434">
        <f>IF(AND($E324&gt;0,AR324=""),1,IF(AR324&gt;$E324,1,0))</f>
        <v>1</v>
      </c>
      <c r="CU324" s="434">
        <f t="shared" si="258"/>
        <v>1</v>
      </c>
      <c r="CV324" s="435"/>
      <c r="CW324" s="434">
        <f t="shared" si="259"/>
        <v>1</v>
      </c>
      <c r="CX324" s="434">
        <f t="shared" si="260"/>
        <v>1</v>
      </c>
      <c r="CY324" s="435"/>
      <c r="CZ324" s="434">
        <f t="shared" si="261"/>
        <v>1</v>
      </c>
      <c r="DA324" s="434">
        <f t="shared" si="262"/>
        <v>1</v>
      </c>
    </row>
    <row r="325" spans="1:105" ht="15" customHeight="1" x14ac:dyDescent="0.25">
      <c r="A325" s="5811" t="s">
        <v>5936</v>
      </c>
      <c r="B325" s="6938"/>
      <c r="C325" s="7059" t="s">
        <v>1829</v>
      </c>
      <c r="D325" s="7059"/>
      <c r="E325" s="3836" t="s">
        <v>4567</v>
      </c>
      <c r="F325" s="3776" t="s">
        <v>4568</v>
      </c>
      <c r="G325" s="3562" t="s">
        <v>4569</v>
      </c>
      <c r="H325" s="3837" t="s">
        <v>4570</v>
      </c>
      <c r="I325" s="3838" t="s">
        <v>4571</v>
      </c>
      <c r="J325" s="3839" t="s">
        <v>4572</v>
      </c>
      <c r="K325" s="3838" t="s">
        <v>4573</v>
      </c>
      <c r="L325" s="3839" t="s">
        <v>4574</v>
      </c>
      <c r="M325" s="3838" t="s">
        <v>4575</v>
      </c>
      <c r="N325" s="3839" t="s">
        <v>4576</v>
      </c>
      <c r="O325" s="3838" t="s">
        <v>4577</v>
      </c>
      <c r="P325" s="3839" t="s">
        <v>4578</v>
      </c>
      <c r="Q325" s="3838" t="s">
        <v>4579</v>
      </c>
      <c r="R325" s="3839" t="s">
        <v>4580</v>
      </c>
      <c r="S325" s="3838" t="s">
        <v>4581</v>
      </c>
      <c r="T325" s="3839" t="s">
        <v>4582</v>
      </c>
      <c r="U325" s="3840" t="s">
        <v>4583</v>
      </c>
      <c r="V325" s="3839" t="s">
        <v>4584</v>
      </c>
      <c r="W325" s="3840" t="s">
        <v>4585</v>
      </c>
      <c r="X325" s="3839" t="s">
        <v>4586</v>
      </c>
      <c r="Y325" s="3840" t="s">
        <v>4587</v>
      </c>
      <c r="Z325" s="3839" t="s">
        <v>4588</v>
      </c>
      <c r="AA325" s="3840" t="s">
        <v>4589</v>
      </c>
      <c r="AB325" s="3839" t="s">
        <v>4590</v>
      </c>
      <c r="AC325" s="3840" t="s">
        <v>4591</v>
      </c>
      <c r="AD325" s="3839" t="s">
        <v>4592</v>
      </c>
      <c r="AE325" s="3840" t="s">
        <v>4593</v>
      </c>
      <c r="AF325" s="3839" t="s">
        <v>4594</v>
      </c>
      <c r="AG325" s="3840" t="s">
        <v>4595</v>
      </c>
      <c r="AH325" s="3839" t="s">
        <v>4596</v>
      </c>
      <c r="AI325" s="3840" t="s">
        <v>4597</v>
      </c>
      <c r="AJ325" s="3839" t="s">
        <v>4598</v>
      </c>
      <c r="AK325" s="3840" t="s">
        <v>4599</v>
      </c>
      <c r="AL325" s="3837" t="s">
        <v>4600</v>
      </c>
      <c r="AM325" s="3841" t="s">
        <v>4601</v>
      </c>
      <c r="AN325" s="3839" t="s">
        <v>4602</v>
      </c>
      <c r="AO325" s="3838" t="s">
        <v>4603</v>
      </c>
      <c r="AP325" s="3779" t="s">
        <v>4604</v>
      </c>
      <c r="AQ325" s="3778" t="s">
        <v>4605</v>
      </c>
      <c r="AR325" s="3779" t="s">
        <v>4606</v>
      </c>
      <c r="AS325" s="3779" t="s">
        <v>4934</v>
      </c>
      <c r="AT325" s="3762" t="s">
        <v>4935</v>
      </c>
      <c r="AU325" s="3777" t="s">
        <v>4936</v>
      </c>
      <c r="AV325" s="812" t="s">
        <v>4937</v>
      </c>
      <c r="AW325" s="3762" t="s">
        <v>5234</v>
      </c>
      <c r="AX325" s="3777" t="s">
        <v>5235</v>
      </c>
      <c r="AY325" s="812" t="s">
        <v>5236</v>
      </c>
      <c r="AZ325" t="e">
        <f t="shared" si="248"/>
        <v>#VALUE!</v>
      </c>
      <c r="CB325" s="433" t="str">
        <f t="shared" si="249"/>
        <v xml:space="preserve"> * La variable Gestante no puede superar el Total Mujeres.</v>
      </c>
      <c r="CC325" s="433" t="e">
        <f t="shared" si="250"/>
        <v>#VALUE!</v>
      </c>
      <c r="CD325" s="433" t="str">
        <f t="shared" ref="CD325:CD328" si="265">IF(AND($E325&gt;0,AP325="")," * No olvide digitar la variable Consultas Pertinentes: Según Procolo de Referencia. Digite cero si no tiene.",IF(AP325&gt;$E325,"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25" s="433" t="str">
        <f t="shared" ref="CE325:CE328" si="266">IF(AND($E325&gt;0,AQ325="")," * No olvide digitar la variable Consultas Pertinentes: Según condición clínica. Digite cero si no tiene.",IF(AQ325&gt;$E325,"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25" s="433" t="str">
        <f t="shared" ref="CF325:CF328" si="267">IF(AND($E325&gt;0,AR325="")," * No olvide digitar la variable Inasistente. Digite cero si no tiene.",IF(AR325&gt;$E325," * La variable Insasistente no puede superar el Total Ambos Sexos.",""))</f>
        <v xml:space="preserve"> * La variable Insasistente no puede superar el Total Ambos Sexos.</v>
      </c>
      <c r="CG325" s="433" t="str">
        <f t="shared" si="251"/>
        <v xml:space="preserve"> * La variable Compra de Servicio no puede superar el Total Ambos Sexos.</v>
      </c>
      <c r="CH325" s="435"/>
      <c r="CI325" s="433" t="str">
        <f t="shared" si="252"/>
        <v xml:space="preserve"> * La variable Usuarios con Dicapacidad no puede superar el Total Ambos Sexos.</v>
      </c>
      <c r="CJ325" s="433" t="str">
        <f t="shared" si="253"/>
        <v xml:space="preserve"> * La variable Usuarios Oncológicos no puede superar el Total Ambos Sexos.</v>
      </c>
      <c r="CK325" s="435"/>
      <c r="CL325" s="433" t="str">
        <f t="shared" si="254"/>
        <v xml:space="preserve"> * La variable Migrantes no puede superar el Total Ambos Sexos.</v>
      </c>
      <c r="CM325" s="433" t="str">
        <f t="shared" si="255"/>
        <v xml:space="preserve"> * La variable Pueblo Originario no puede superar el Total Ambos Sexos.</v>
      </c>
      <c r="CP325" s="434">
        <f t="shared" si="256"/>
        <v>1</v>
      </c>
      <c r="CQ325" s="434" t="e">
        <f t="shared" si="257"/>
        <v>#VALUE!</v>
      </c>
      <c r="CR325" s="434">
        <f t="shared" ref="CR325:CR329" si="268">IF(AND($E325&gt;0,AP325=""),1,IF(AP325&gt;$E325,1,0))</f>
        <v>1</v>
      </c>
      <c r="CS325" s="434">
        <f t="shared" ref="CS325:CS329" si="269">IF(AND($E325&gt;0,AQ325=""),1,IF(AQ325&gt;$E325,1,0))</f>
        <v>1</v>
      </c>
      <c r="CT325" s="434">
        <f t="shared" ref="CT325:CT329" si="270">IF(AND($E325&gt;0,AR325=""),1,IF(AR325&gt;$E325,1,0))</f>
        <v>1</v>
      </c>
      <c r="CU325" s="434">
        <f t="shared" si="258"/>
        <v>1</v>
      </c>
      <c r="CV325" s="435"/>
      <c r="CW325" s="434">
        <f t="shared" si="259"/>
        <v>1</v>
      </c>
      <c r="CX325" s="434">
        <f t="shared" si="260"/>
        <v>1</v>
      </c>
      <c r="CY325" s="435"/>
      <c r="CZ325" s="434">
        <f t="shared" si="261"/>
        <v>1</v>
      </c>
      <c r="DA325" s="434">
        <f t="shared" si="262"/>
        <v>1</v>
      </c>
    </row>
    <row r="326" spans="1:105" ht="15" customHeight="1" x14ac:dyDescent="0.25">
      <c r="A326" s="5811" t="s">
        <v>5937</v>
      </c>
      <c r="B326" s="6938"/>
      <c r="C326" s="7059" t="s">
        <v>1830</v>
      </c>
      <c r="D326" s="7059"/>
      <c r="E326" s="3836" t="s">
        <v>4567</v>
      </c>
      <c r="F326" s="3776" t="s">
        <v>4568</v>
      </c>
      <c r="G326" s="3562" t="s">
        <v>4569</v>
      </c>
      <c r="H326" s="3837" t="s">
        <v>4570</v>
      </c>
      <c r="I326" s="3838" t="s">
        <v>4571</v>
      </c>
      <c r="J326" s="3839" t="s">
        <v>4572</v>
      </c>
      <c r="K326" s="3838" t="s">
        <v>4573</v>
      </c>
      <c r="L326" s="3839" t="s">
        <v>4574</v>
      </c>
      <c r="M326" s="3838" t="s">
        <v>4575</v>
      </c>
      <c r="N326" s="3839" t="s">
        <v>4576</v>
      </c>
      <c r="O326" s="3838" t="s">
        <v>4577</v>
      </c>
      <c r="P326" s="3839" t="s">
        <v>4578</v>
      </c>
      <c r="Q326" s="3838" t="s">
        <v>4579</v>
      </c>
      <c r="R326" s="3839" t="s">
        <v>4580</v>
      </c>
      <c r="S326" s="3838" t="s">
        <v>4581</v>
      </c>
      <c r="T326" s="3839" t="s">
        <v>4582</v>
      </c>
      <c r="U326" s="3840" t="s">
        <v>4583</v>
      </c>
      <c r="V326" s="3839" t="s">
        <v>4584</v>
      </c>
      <c r="W326" s="3840" t="s">
        <v>4585</v>
      </c>
      <c r="X326" s="3839" t="s">
        <v>4586</v>
      </c>
      <c r="Y326" s="3840" t="s">
        <v>4587</v>
      </c>
      <c r="Z326" s="3839" t="s">
        <v>4588</v>
      </c>
      <c r="AA326" s="3840" t="s">
        <v>4589</v>
      </c>
      <c r="AB326" s="3839" t="s">
        <v>4590</v>
      </c>
      <c r="AC326" s="3840" t="s">
        <v>4591</v>
      </c>
      <c r="AD326" s="3839" t="s">
        <v>4592</v>
      </c>
      <c r="AE326" s="3840" t="s">
        <v>4593</v>
      </c>
      <c r="AF326" s="3839" t="s">
        <v>4594</v>
      </c>
      <c r="AG326" s="3840" t="s">
        <v>4595</v>
      </c>
      <c r="AH326" s="3839" t="s">
        <v>4596</v>
      </c>
      <c r="AI326" s="3840" t="s">
        <v>4597</v>
      </c>
      <c r="AJ326" s="3839" t="s">
        <v>4598</v>
      </c>
      <c r="AK326" s="3840" t="s">
        <v>4599</v>
      </c>
      <c r="AL326" s="3837" t="s">
        <v>4600</v>
      </c>
      <c r="AM326" s="3841" t="s">
        <v>4601</v>
      </c>
      <c r="AN326" s="3839" t="s">
        <v>4602</v>
      </c>
      <c r="AO326" s="3838" t="s">
        <v>4603</v>
      </c>
      <c r="AP326" s="3779" t="s">
        <v>4604</v>
      </c>
      <c r="AQ326" s="3778" t="s">
        <v>4605</v>
      </c>
      <c r="AR326" s="3779" t="s">
        <v>4606</v>
      </c>
      <c r="AS326" s="3779" t="s">
        <v>4934</v>
      </c>
      <c r="AT326" s="3762" t="s">
        <v>4935</v>
      </c>
      <c r="AU326" s="3777" t="s">
        <v>4936</v>
      </c>
      <c r="AV326" s="812" t="s">
        <v>4937</v>
      </c>
      <c r="AW326" s="3762" t="s">
        <v>5234</v>
      </c>
      <c r="AX326" s="3777" t="s">
        <v>5235</v>
      </c>
      <c r="AY326" s="812" t="s">
        <v>5236</v>
      </c>
      <c r="AZ326" t="e">
        <f t="shared" si="248"/>
        <v>#VALUE!</v>
      </c>
      <c r="CB326" s="433" t="str">
        <f t="shared" si="249"/>
        <v xml:space="preserve"> * La variable Gestante no puede superar el Total Mujeres.</v>
      </c>
      <c r="CC326" s="433" t="e">
        <f t="shared" si="250"/>
        <v>#VALUE!</v>
      </c>
      <c r="CD326" s="433" t="str">
        <f t="shared" si="265"/>
        <v xml:space="preserve"> * La variable Consultas Pertinentes: Según Procolo de Referencia no puede superar el Total Ambos Sexos.</v>
      </c>
      <c r="CE326" s="433" t="str">
        <f t="shared" si="266"/>
        <v xml:space="preserve"> * La variable Consultas Pertinentes: Según condición clínica no puede superar el Total Ambos Sexos.</v>
      </c>
      <c r="CF326" s="433" t="str">
        <f t="shared" si="267"/>
        <v xml:space="preserve"> * La variable Insasistente no puede superar el Total Ambos Sexos.</v>
      </c>
      <c r="CG326" s="433" t="str">
        <f t="shared" si="251"/>
        <v xml:space="preserve"> * La variable Compra de Servicio no puede superar el Total Ambos Sexos.</v>
      </c>
      <c r="CH326" s="435"/>
      <c r="CI326" s="433" t="str">
        <f t="shared" si="252"/>
        <v xml:space="preserve"> * La variable Usuarios con Dicapacidad no puede superar el Total Ambos Sexos.</v>
      </c>
      <c r="CJ326" s="433" t="str">
        <f t="shared" si="253"/>
        <v xml:space="preserve"> * La variable Usuarios Oncológicos no puede superar el Total Ambos Sexos.</v>
      </c>
      <c r="CK326" s="435"/>
      <c r="CL326" s="433" t="str">
        <f t="shared" si="254"/>
        <v xml:space="preserve"> * La variable Migrantes no puede superar el Total Ambos Sexos.</v>
      </c>
      <c r="CM326" s="433" t="str">
        <f t="shared" si="255"/>
        <v xml:space="preserve"> * La variable Pueblo Originario no puede superar el Total Ambos Sexos.</v>
      </c>
      <c r="CP326" s="434">
        <f t="shared" si="256"/>
        <v>1</v>
      </c>
      <c r="CQ326" s="434" t="e">
        <f t="shared" si="257"/>
        <v>#VALUE!</v>
      </c>
      <c r="CR326" s="434">
        <f t="shared" si="268"/>
        <v>1</v>
      </c>
      <c r="CS326" s="434">
        <f t="shared" si="269"/>
        <v>1</v>
      </c>
      <c r="CT326" s="434">
        <f t="shared" si="270"/>
        <v>1</v>
      </c>
      <c r="CU326" s="434">
        <f t="shared" si="258"/>
        <v>1</v>
      </c>
      <c r="CV326" s="435"/>
      <c r="CW326" s="434">
        <f t="shared" si="259"/>
        <v>1</v>
      </c>
      <c r="CX326" s="434">
        <f t="shared" si="260"/>
        <v>1</v>
      </c>
      <c r="CY326" s="435"/>
      <c r="CZ326" s="434">
        <f t="shared" si="261"/>
        <v>1</v>
      </c>
      <c r="DA326" s="434">
        <f t="shared" si="262"/>
        <v>1</v>
      </c>
    </row>
    <row r="327" spans="1:105" ht="15" customHeight="1" x14ac:dyDescent="0.25">
      <c r="A327" s="5811" t="s">
        <v>5938</v>
      </c>
      <c r="B327" s="6938"/>
      <c r="C327" s="7055" t="s">
        <v>1831</v>
      </c>
      <c r="D327" s="6987"/>
      <c r="E327" s="3836" t="s">
        <v>4567</v>
      </c>
      <c r="F327" s="3776" t="s">
        <v>4568</v>
      </c>
      <c r="G327" s="3562" t="s">
        <v>4569</v>
      </c>
      <c r="H327" s="3843" t="s">
        <v>4570</v>
      </c>
      <c r="I327" s="3844" t="s">
        <v>4571</v>
      </c>
      <c r="J327" s="3845" t="s">
        <v>4572</v>
      </c>
      <c r="K327" s="3844" t="s">
        <v>4573</v>
      </c>
      <c r="L327" s="3845" t="s">
        <v>4574</v>
      </c>
      <c r="M327" s="3844" t="s">
        <v>4575</v>
      </c>
      <c r="N327" s="3845" t="s">
        <v>4576</v>
      </c>
      <c r="O327" s="3844" t="s">
        <v>4577</v>
      </c>
      <c r="P327" s="3845" t="s">
        <v>4578</v>
      </c>
      <c r="Q327" s="3844" t="s">
        <v>4579</v>
      </c>
      <c r="R327" s="3845" t="s">
        <v>4580</v>
      </c>
      <c r="S327" s="3844" t="s">
        <v>4581</v>
      </c>
      <c r="T327" s="3845" t="s">
        <v>4582</v>
      </c>
      <c r="U327" s="3844" t="s">
        <v>4583</v>
      </c>
      <c r="V327" s="3845" t="s">
        <v>4584</v>
      </c>
      <c r="W327" s="3844" t="s">
        <v>4585</v>
      </c>
      <c r="X327" s="3845" t="s">
        <v>4586</v>
      </c>
      <c r="Y327" s="3844" t="s">
        <v>4587</v>
      </c>
      <c r="Z327" s="3845" t="s">
        <v>4588</v>
      </c>
      <c r="AA327" s="3844" t="s">
        <v>4589</v>
      </c>
      <c r="AB327" s="3845" t="s">
        <v>4590</v>
      </c>
      <c r="AC327" s="3844" t="s">
        <v>4591</v>
      </c>
      <c r="AD327" s="3845" t="s">
        <v>4592</v>
      </c>
      <c r="AE327" s="3844" t="s">
        <v>4593</v>
      </c>
      <c r="AF327" s="3845" t="s">
        <v>4594</v>
      </c>
      <c r="AG327" s="3844" t="s">
        <v>4595</v>
      </c>
      <c r="AH327" s="3845" t="s">
        <v>4596</v>
      </c>
      <c r="AI327" s="3844" t="s">
        <v>4597</v>
      </c>
      <c r="AJ327" s="3845" t="s">
        <v>4598</v>
      </c>
      <c r="AK327" s="3844" t="s">
        <v>4599</v>
      </c>
      <c r="AL327" s="3843" t="s">
        <v>4600</v>
      </c>
      <c r="AM327" s="3846" t="s">
        <v>4601</v>
      </c>
      <c r="AN327" s="3847" t="s">
        <v>4602</v>
      </c>
      <c r="AO327" s="3859" t="s">
        <v>4603</v>
      </c>
      <c r="AP327" s="3785" t="s">
        <v>4604</v>
      </c>
      <c r="AQ327" s="3784" t="s">
        <v>4605</v>
      </c>
      <c r="AR327" s="3785" t="s">
        <v>4606</v>
      </c>
      <c r="AS327" s="3847" t="s">
        <v>4934</v>
      </c>
      <c r="AT327" s="3762" t="s">
        <v>4935</v>
      </c>
      <c r="AU327" s="3849" t="s">
        <v>4936</v>
      </c>
      <c r="AV327" s="3850" t="s">
        <v>4937</v>
      </c>
      <c r="AW327" s="812" t="s">
        <v>5234</v>
      </c>
      <c r="AX327" s="3849" t="s">
        <v>5235</v>
      </c>
      <c r="AY327" s="3850" t="s">
        <v>5236</v>
      </c>
      <c r="AZ327" t="e">
        <f t="shared" si="248"/>
        <v>#VALUE!</v>
      </c>
      <c r="CB327" s="433" t="str">
        <f t="shared" si="249"/>
        <v xml:space="preserve"> * La variable Gestante no puede superar el Total Mujeres.</v>
      </c>
      <c r="CC327" s="433" t="e">
        <f t="shared" si="250"/>
        <v>#VALUE!</v>
      </c>
      <c r="CD327" s="433" t="str">
        <f t="shared" si="265"/>
        <v xml:space="preserve"> * La variable Consultas Pertinentes: Según Procolo de Referencia no puede superar el Total Ambos Sexos.</v>
      </c>
      <c r="CE327" s="433" t="str">
        <f t="shared" si="266"/>
        <v xml:space="preserve"> * La variable Consultas Pertinentes: Según condición clínica no puede superar el Total Ambos Sexos.</v>
      </c>
      <c r="CF327" s="433" t="str">
        <f t="shared" si="267"/>
        <v xml:space="preserve"> * La variable Insasistente no puede superar el Total Ambos Sexos.</v>
      </c>
      <c r="CG327" s="433" t="str">
        <f t="shared" si="251"/>
        <v xml:space="preserve"> * La variable Compra de Servicio no puede superar el Total Ambos Sexos.</v>
      </c>
      <c r="CH327" s="435"/>
      <c r="CI327" s="433" t="str">
        <f t="shared" si="252"/>
        <v xml:space="preserve"> * La variable Usuarios con Dicapacidad no puede superar el Total Ambos Sexos.</v>
      </c>
      <c r="CJ327" s="433" t="str">
        <f t="shared" si="253"/>
        <v xml:space="preserve"> * La variable Usuarios Oncológicos no puede superar el Total Ambos Sexos.</v>
      </c>
      <c r="CK327" s="433" t="str">
        <f>IF(AND($E327&gt;0,AW327="")," * No olvide digitar la variable Contrarreferencia al alta. Digite Cero si no tiene.",IF(AW327&gt;$E327," * La variable Contrarreferencia al alta no puede superar el Total Ambos Sexos.",""))</f>
        <v xml:space="preserve"> * La variable Contrarreferencia al alta no puede superar el Total Ambos Sexos.</v>
      </c>
      <c r="CL327" s="433" t="str">
        <f t="shared" si="254"/>
        <v xml:space="preserve"> * La variable Migrantes no puede superar el Total Ambos Sexos.</v>
      </c>
      <c r="CM327" s="433" t="str">
        <f t="shared" si="255"/>
        <v xml:space="preserve"> * La variable Pueblo Originario no puede superar el Total Ambos Sexos.</v>
      </c>
      <c r="CP327" s="434">
        <f t="shared" si="256"/>
        <v>1</v>
      </c>
      <c r="CQ327" s="434" t="e">
        <f t="shared" si="257"/>
        <v>#VALUE!</v>
      </c>
      <c r="CR327" s="434">
        <f t="shared" si="268"/>
        <v>1</v>
      </c>
      <c r="CS327" s="434">
        <f t="shared" si="269"/>
        <v>1</v>
      </c>
      <c r="CT327" s="434">
        <f t="shared" si="270"/>
        <v>1</v>
      </c>
      <c r="CU327" s="434">
        <f t="shared" si="258"/>
        <v>1</v>
      </c>
      <c r="CV327" s="435"/>
      <c r="CW327" s="434">
        <f t="shared" si="259"/>
        <v>1</v>
      </c>
      <c r="CX327" s="434">
        <f t="shared" si="260"/>
        <v>1</v>
      </c>
      <c r="CY327" s="434">
        <f>IF(AND($E327&gt;0,AW327=""),1,IF(AW327&gt;$E327,1,0))</f>
        <v>1</v>
      </c>
      <c r="CZ327" s="434">
        <f t="shared" si="261"/>
        <v>1</v>
      </c>
      <c r="DA327" s="434">
        <f t="shared" si="262"/>
        <v>1</v>
      </c>
    </row>
    <row r="328" spans="1:105" ht="15" customHeight="1" x14ac:dyDescent="0.25">
      <c r="A328" s="5811" t="s">
        <v>5939</v>
      </c>
      <c r="B328" s="6938"/>
      <c r="C328" s="7055" t="s">
        <v>1832</v>
      </c>
      <c r="D328" s="6987"/>
      <c r="E328" s="3836" t="s">
        <v>4567</v>
      </c>
      <c r="F328" s="3776" t="s">
        <v>4568</v>
      </c>
      <c r="G328" s="3562" t="s">
        <v>4569</v>
      </c>
      <c r="H328" s="3843" t="s">
        <v>4570</v>
      </c>
      <c r="I328" s="3844" t="s">
        <v>4571</v>
      </c>
      <c r="J328" s="3845" t="s">
        <v>4572</v>
      </c>
      <c r="K328" s="3844" t="s">
        <v>4573</v>
      </c>
      <c r="L328" s="3845" t="s">
        <v>4574</v>
      </c>
      <c r="M328" s="3844" t="s">
        <v>4575</v>
      </c>
      <c r="N328" s="3845" t="s">
        <v>4576</v>
      </c>
      <c r="O328" s="3844" t="s">
        <v>4577</v>
      </c>
      <c r="P328" s="3845" t="s">
        <v>4578</v>
      </c>
      <c r="Q328" s="3844" t="s">
        <v>4579</v>
      </c>
      <c r="R328" s="3845" t="s">
        <v>4580</v>
      </c>
      <c r="S328" s="3844" t="s">
        <v>4581</v>
      </c>
      <c r="T328" s="3845" t="s">
        <v>4582</v>
      </c>
      <c r="U328" s="3844" t="s">
        <v>4583</v>
      </c>
      <c r="V328" s="3845" t="s">
        <v>4584</v>
      </c>
      <c r="W328" s="3844" t="s">
        <v>4585</v>
      </c>
      <c r="X328" s="3845" t="s">
        <v>4586</v>
      </c>
      <c r="Y328" s="3844" t="s">
        <v>4587</v>
      </c>
      <c r="Z328" s="3845" t="s">
        <v>4588</v>
      </c>
      <c r="AA328" s="3844" t="s">
        <v>4589</v>
      </c>
      <c r="AB328" s="3845" t="s">
        <v>4590</v>
      </c>
      <c r="AC328" s="3844" t="s">
        <v>4591</v>
      </c>
      <c r="AD328" s="3845" t="s">
        <v>4592</v>
      </c>
      <c r="AE328" s="3844" t="s">
        <v>4593</v>
      </c>
      <c r="AF328" s="3845" t="s">
        <v>4594</v>
      </c>
      <c r="AG328" s="3844" t="s">
        <v>4595</v>
      </c>
      <c r="AH328" s="3845" t="s">
        <v>4596</v>
      </c>
      <c r="AI328" s="3844" t="s">
        <v>4597</v>
      </c>
      <c r="AJ328" s="3845" t="s">
        <v>4598</v>
      </c>
      <c r="AK328" s="3844" t="s">
        <v>4599</v>
      </c>
      <c r="AL328" s="3843" t="s">
        <v>4600</v>
      </c>
      <c r="AM328" s="3846" t="s">
        <v>4601</v>
      </c>
      <c r="AN328" s="3851" t="s">
        <v>4602</v>
      </c>
      <c r="AO328" s="3860" t="s">
        <v>4603</v>
      </c>
      <c r="AP328" s="3785" t="s">
        <v>4604</v>
      </c>
      <c r="AQ328" s="3784" t="s">
        <v>4605</v>
      </c>
      <c r="AR328" s="3785" t="s">
        <v>4606</v>
      </c>
      <c r="AS328" s="3851" t="s">
        <v>4934</v>
      </c>
      <c r="AT328" s="3788" t="s">
        <v>4935</v>
      </c>
      <c r="AU328" s="3853" t="s">
        <v>4936</v>
      </c>
      <c r="AV328" s="3854" t="s">
        <v>4937</v>
      </c>
      <c r="AW328" s="3788" t="s">
        <v>5234</v>
      </c>
      <c r="AX328" s="3853" t="s">
        <v>5235</v>
      </c>
      <c r="AY328" s="3854" t="s">
        <v>5236</v>
      </c>
      <c r="AZ328" t="e">
        <f t="shared" si="248"/>
        <v>#VALUE!</v>
      </c>
      <c r="CB328" s="433" t="str">
        <f t="shared" si="249"/>
        <v xml:space="preserve"> * La variable Gestante no puede superar el Total Mujeres.</v>
      </c>
      <c r="CC328" s="433" t="e">
        <f t="shared" si="250"/>
        <v>#VALUE!</v>
      </c>
      <c r="CD328" s="433" t="str">
        <f t="shared" si="265"/>
        <v xml:space="preserve"> * La variable Consultas Pertinentes: Según Procolo de Referencia no puede superar el Total Ambos Sexos.</v>
      </c>
      <c r="CE328" s="433" t="str">
        <f t="shared" si="266"/>
        <v xml:space="preserve"> * La variable Consultas Pertinentes: Según condición clínica no puede superar el Total Ambos Sexos.</v>
      </c>
      <c r="CF328" s="433" t="str">
        <f t="shared" si="267"/>
        <v xml:space="preserve"> * La variable Insasistente no puede superar el Total Ambos Sexos.</v>
      </c>
      <c r="CG328" s="433" t="str">
        <f t="shared" si="251"/>
        <v xml:space="preserve"> * La variable Compra de Servicio no puede superar el Total Ambos Sexos.</v>
      </c>
      <c r="CH328" s="435"/>
      <c r="CI328" s="433" t="str">
        <f t="shared" si="252"/>
        <v xml:space="preserve"> * La variable Usuarios con Dicapacidad no puede superar el Total Ambos Sexos.</v>
      </c>
      <c r="CJ328" s="433" t="str">
        <f t="shared" si="253"/>
        <v xml:space="preserve"> * La variable Usuarios Oncológicos no puede superar el Total Ambos Sexos.</v>
      </c>
      <c r="CK328" s="435"/>
      <c r="CL328" s="433" t="str">
        <f t="shared" si="254"/>
        <v xml:space="preserve"> * La variable Migrantes no puede superar el Total Ambos Sexos.</v>
      </c>
      <c r="CM328" s="433" t="str">
        <f t="shared" si="255"/>
        <v xml:space="preserve"> * La variable Pueblo Originario no puede superar el Total Ambos Sexos.</v>
      </c>
      <c r="CP328" s="434">
        <f t="shared" si="256"/>
        <v>1</v>
      </c>
      <c r="CQ328" s="434" t="e">
        <f t="shared" si="257"/>
        <v>#VALUE!</v>
      </c>
      <c r="CR328" s="434">
        <f t="shared" si="268"/>
        <v>1</v>
      </c>
      <c r="CS328" s="434">
        <f t="shared" si="269"/>
        <v>1</v>
      </c>
      <c r="CT328" s="434">
        <f t="shared" si="270"/>
        <v>1</v>
      </c>
      <c r="CU328" s="434">
        <f t="shared" si="258"/>
        <v>1</v>
      </c>
      <c r="CV328" s="435"/>
      <c r="CW328" s="434">
        <f t="shared" si="259"/>
        <v>1</v>
      </c>
      <c r="CX328" s="434">
        <f t="shared" si="260"/>
        <v>1</v>
      </c>
      <c r="CY328" s="435"/>
      <c r="CZ328" s="434">
        <f t="shared" si="261"/>
        <v>1</v>
      </c>
      <c r="DA328" s="434">
        <f t="shared" si="262"/>
        <v>1</v>
      </c>
    </row>
    <row r="329" spans="1:105" ht="15" customHeight="1" x14ac:dyDescent="0.25">
      <c r="A329" s="5811" t="s">
        <v>5940</v>
      </c>
      <c r="B329" s="6938"/>
      <c r="C329" s="7056" t="s">
        <v>1833</v>
      </c>
      <c r="D329" s="7056"/>
      <c r="E329" s="703" t="s">
        <v>4567</v>
      </c>
      <c r="F329" s="3543" t="s">
        <v>4568</v>
      </c>
      <c r="G329" s="2906" t="s">
        <v>4569</v>
      </c>
      <c r="H329" s="3855" t="s">
        <v>4570</v>
      </c>
      <c r="I329" s="3856" t="s">
        <v>4571</v>
      </c>
      <c r="J329" s="3857" t="s">
        <v>4572</v>
      </c>
      <c r="K329" s="3856" t="s">
        <v>4573</v>
      </c>
      <c r="L329" s="3857" t="s">
        <v>4574</v>
      </c>
      <c r="M329" s="3856" t="s">
        <v>4575</v>
      </c>
      <c r="N329" s="3857" t="s">
        <v>4576</v>
      </c>
      <c r="O329" s="3856" t="s">
        <v>4577</v>
      </c>
      <c r="P329" s="3857" t="s">
        <v>4578</v>
      </c>
      <c r="Q329" s="3856" t="s">
        <v>4579</v>
      </c>
      <c r="R329" s="3857" t="s">
        <v>4580</v>
      </c>
      <c r="S329" s="3856" t="s">
        <v>4581</v>
      </c>
      <c r="T329" s="3855" t="s">
        <v>4582</v>
      </c>
      <c r="U329" s="3856" t="s">
        <v>4583</v>
      </c>
      <c r="V329" s="3855" t="s">
        <v>4584</v>
      </c>
      <c r="W329" s="3856" t="s">
        <v>4585</v>
      </c>
      <c r="X329" s="3855" t="s">
        <v>4586</v>
      </c>
      <c r="Y329" s="3856" t="s">
        <v>4587</v>
      </c>
      <c r="Z329" s="3855" t="s">
        <v>4588</v>
      </c>
      <c r="AA329" s="3856" t="s">
        <v>4589</v>
      </c>
      <c r="AB329" s="3855" t="s">
        <v>4590</v>
      </c>
      <c r="AC329" s="3856" t="s">
        <v>4591</v>
      </c>
      <c r="AD329" s="3855" t="s">
        <v>4592</v>
      </c>
      <c r="AE329" s="3856" t="s">
        <v>4593</v>
      </c>
      <c r="AF329" s="3855" t="s">
        <v>4594</v>
      </c>
      <c r="AG329" s="3856" t="s">
        <v>4595</v>
      </c>
      <c r="AH329" s="3855" t="s">
        <v>4596</v>
      </c>
      <c r="AI329" s="3856" t="s">
        <v>4597</v>
      </c>
      <c r="AJ329" s="3855" t="s">
        <v>4598</v>
      </c>
      <c r="AK329" s="3856" t="s">
        <v>4599</v>
      </c>
      <c r="AL329" s="3855" t="s">
        <v>4600</v>
      </c>
      <c r="AM329" s="3858" t="s">
        <v>4601</v>
      </c>
      <c r="AN329" s="3768" t="s">
        <v>4602</v>
      </c>
      <c r="AO329" s="3767" t="s">
        <v>4603</v>
      </c>
      <c r="AP329" s="3768" t="s">
        <v>4604</v>
      </c>
      <c r="AQ329" s="3767" t="s">
        <v>4605</v>
      </c>
      <c r="AR329" s="3768" t="s">
        <v>4606</v>
      </c>
      <c r="AS329" s="3768" t="s">
        <v>4934</v>
      </c>
      <c r="AT329" s="3770" t="s">
        <v>4935</v>
      </c>
      <c r="AU329" s="3766" t="s">
        <v>4936</v>
      </c>
      <c r="AV329" s="815" t="s">
        <v>4937</v>
      </c>
      <c r="AW329" s="3770" t="s">
        <v>5234</v>
      </c>
      <c r="AX329" s="3766" t="s">
        <v>5235</v>
      </c>
      <c r="AY329" s="815" t="s">
        <v>5236</v>
      </c>
      <c r="AZ329" t="e">
        <f>CB329&amp;CC329&amp;CD329&amp;CE329&amp;CF329&amp;CG329&amp;CH329&amp;CI329&amp;CJ329&amp;CK329&amp;CL329&amp;CM329</f>
        <v>#VALUE!</v>
      </c>
      <c r="CB329" s="433" t="str">
        <f t="shared" si="249"/>
        <v xml:space="preserve"> * La variable Gestante no puede superar el Total Mujeres.</v>
      </c>
      <c r="CC329" s="433" t="e">
        <f t="shared" si="250"/>
        <v>#VALUE!</v>
      </c>
      <c r="CD329" s="433" t="str">
        <f>IF(AND($E329&gt;0,AP329="")," * No olvide digitar la variable Consultas Pertinentes: Según Procolo de Referencia. Digite cero si no tiene.",IF(AP329&gt;$E329,"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29" s="433" t="str">
        <f>IF(AND($E329&gt;0,AQ329="")," * No olvide digitar la variable Consultas Pertinentes: Según condición clínica. Digite cero si no tiene.",IF(AQ329&gt;$E329,"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29" s="433" t="str">
        <f>IF(AND($E329&gt;0,AR329="")," * No olvide digitar la variable Inasistente. Digite cero si no tiene.",IF(AR329&gt;$E329," * La variable Insasistente no puede superar el Total Ambos Sexos.",""))</f>
        <v xml:space="preserve"> * La variable Insasistente no puede superar el Total Ambos Sexos.</v>
      </c>
      <c r="CG329" s="433" t="str">
        <f t="shared" si="251"/>
        <v xml:space="preserve"> * La variable Compra de Servicio no puede superar el Total Ambos Sexos.</v>
      </c>
      <c r="CH329" s="435"/>
      <c r="CI329" s="433" t="str">
        <f t="shared" si="252"/>
        <v xml:space="preserve"> * La variable Usuarios con Dicapacidad no puede superar el Total Ambos Sexos.</v>
      </c>
      <c r="CJ329" s="433" t="str">
        <f t="shared" si="253"/>
        <v xml:space="preserve"> * La variable Usuarios Oncológicos no puede superar el Total Ambos Sexos.</v>
      </c>
      <c r="CK329" s="435"/>
      <c r="CL329" s="433" t="str">
        <f t="shared" si="254"/>
        <v xml:space="preserve"> * La variable Migrantes no puede superar el Total Ambos Sexos.</v>
      </c>
      <c r="CM329" s="433" t="str">
        <f t="shared" si="255"/>
        <v xml:space="preserve"> * La variable Pueblo Originario no puede superar el Total Ambos Sexos.</v>
      </c>
      <c r="CP329" s="434">
        <f t="shared" si="256"/>
        <v>1</v>
      </c>
      <c r="CQ329" s="434" t="e">
        <f t="shared" si="257"/>
        <v>#VALUE!</v>
      </c>
      <c r="CR329" s="434">
        <f t="shared" si="268"/>
        <v>1</v>
      </c>
      <c r="CS329" s="434">
        <f t="shared" si="269"/>
        <v>1</v>
      </c>
      <c r="CT329" s="434">
        <f t="shared" si="270"/>
        <v>1</v>
      </c>
      <c r="CU329" s="434">
        <f t="shared" si="258"/>
        <v>1</v>
      </c>
      <c r="CV329" s="435"/>
      <c r="CW329" s="434">
        <f t="shared" si="259"/>
        <v>1</v>
      </c>
      <c r="CX329" s="434">
        <f t="shared" si="260"/>
        <v>1</v>
      </c>
      <c r="CY329" s="435"/>
      <c r="CZ329" s="434">
        <f t="shared" si="261"/>
        <v>1</v>
      </c>
      <c r="DA329" s="434">
        <f t="shared" si="262"/>
        <v>1</v>
      </c>
    </row>
    <row r="330" spans="1:105" x14ac:dyDescent="0.25">
      <c r="A330" s="5793"/>
      <c r="B330" s="7090" t="s">
        <v>77</v>
      </c>
      <c r="C330" s="6996" t="s">
        <v>1828</v>
      </c>
      <c r="D330" s="6998"/>
      <c r="E330" s="3722" t="e">
        <f>SUM(F330+G330)</f>
        <v>#VALUE!</v>
      </c>
      <c r="F330" s="3861" t="e">
        <f>SUM(H330++J330+L330+N330+P330+R330+T330+V330+X330+Z330+AB330+AD330+AF330+AH330+AJ330+AL330)</f>
        <v>#VALUE!</v>
      </c>
      <c r="G330" s="3641" t="e">
        <f>SUM(I330++K330+M330+O330+Q330+S330+U330+W330+Y330+AA330+AC330+AE330+AG330+AI330+AK330+AM330)</f>
        <v>#VALUE!</v>
      </c>
      <c r="H330" s="3722" t="e">
        <f>H252+H264+H270+H276+H282+H312+H318+H324</f>
        <v>#VALUE!</v>
      </c>
      <c r="I330" s="3693" t="e">
        <f t="shared" ref="I330:O334" si="271">I252+I258+I264+I270+I276+I282+I306+I312+I318+I324</f>
        <v>#VALUE!</v>
      </c>
      <c r="J330" s="3722" t="e">
        <f t="shared" si="271"/>
        <v>#VALUE!</v>
      </c>
      <c r="K330" s="3693" t="e">
        <f t="shared" si="271"/>
        <v>#VALUE!</v>
      </c>
      <c r="L330" s="3722" t="e">
        <f t="shared" si="271"/>
        <v>#VALUE!</v>
      </c>
      <c r="M330" s="3693" t="e">
        <f>M252+M258+M264+M270+M276+M282+M306+M312+M318+M324</f>
        <v>#VALUE!</v>
      </c>
      <c r="N330" s="3722" t="e">
        <f t="shared" si="271"/>
        <v>#VALUE!</v>
      </c>
      <c r="O330" s="3693" t="e">
        <f t="shared" si="271"/>
        <v>#VALUE!</v>
      </c>
      <c r="P330" s="3722" t="e">
        <f t="shared" ref="P330:W334" si="272">P252+P258+P264+P270+P276+P282+P294+P312+P318+P324</f>
        <v>#VALUE!</v>
      </c>
      <c r="Q330" s="3667" t="e">
        <f t="shared" si="272"/>
        <v>#VALUE!</v>
      </c>
      <c r="R330" s="3722" t="e">
        <f t="shared" si="272"/>
        <v>#VALUE!</v>
      </c>
      <c r="S330" s="3667" t="e">
        <f t="shared" si="272"/>
        <v>#VALUE!</v>
      </c>
      <c r="T330" s="3722" t="e">
        <f t="shared" si="272"/>
        <v>#VALUE!</v>
      </c>
      <c r="U330" s="3667" t="e">
        <f t="shared" si="272"/>
        <v>#VALUE!</v>
      </c>
      <c r="V330" s="3722" t="e">
        <f t="shared" si="272"/>
        <v>#VALUE!</v>
      </c>
      <c r="W330" s="3711" t="e">
        <f t="shared" si="272"/>
        <v>#VALUE!</v>
      </c>
      <c r="X330" s="5539" t="e">
        <f>X252+X258+X264+X270+X276+X282+X288+X294+X300+X306+X312+X318+X324</f>
        <v>#VALUE!</v>
      </c>
      <c r="Y330" s="5536" t="e">
        <f t="shared" ref="Y330:AO330" si="273">Y252+Y258+Y264+Y270+Y276+Y282+Y288+Y294+Y300+Y306+Y312+Y318+Y324</f>
        <v>#VALUE!</v>
      </c>
      <c r="Z330" s="5539" t="e">
        <f>Z252+Z258+Z264+Z270+Z276+Z282+Z288+Z294+Z300+Z306+Z312+Z318+Z324</f>
        <v>#VALUE!</v>
      </c>
      <c r="AA330" s="5536" t="e">
        <f t="shared" si="273"/>
        <v>#VALUE!</v>
      </c>
      <c r="AB330" s="5539" t="e">
        <f t="shared" si="273"/>
        <v>#VALUE!</v>
      </c>
      <c r="AC330" s="5536" t="e">
        <f t="shared" si="273"/>
        <v>#VALUE!</v>
      </c>
      <c r="AD330" s="5539" t="e">
        <f t="shared" si="273"/>
        <v>#VALUE!</v>
      </c>
      <c r="AE330" s="5536" t="e">
        <f t="shared" si="273"/>
        <v>#VALUE!</v>
      </c>
      <c r="AF330" s="5539" t="e">
        <f t="shared" si="273"/>
        <v>#VALUE!</v>
      </c>
      <c r="AG330" s="5536" t="e">
        <f t="shared" si="273"/>
        <v>#VALUE!</v>
      </c>
      <c r="AH330" s="5539" t="e">
        <f t="shared" si="273"/>
        <v>#VALUE!</v>
      </c>
      <c r="AI330" s="5536" t="e">
        <f t="shared" si="273"/>
        <v>#VALUE!</v>
      </c>
      <c r="AJ330" s="5539" t="e">
        <f t="shared" si="273"/>
        <v>#VALUE!</v>
      </c>
      <c r="AK330" s="5536" t="e">
        <f t="shared" si="273"/>
        <v>#VALUE!</v>
      </c>
      <c r="AL330" s="5539" t="e">
        <f t="shared" si="273"/>
        <v>#VALUE!</v>
      </c>
      <c r="AM330" s="5540" t="e">
        <f t="shared" si="273"/>
        <v>#VALUE!</v>
      </c>
      <c r="AN330" s="5536" t="e">
        <f t="shared" si="273"/>
        <v>#VALUE!</v>
      </c>
      <c r="AO330" s="5536" t="e">
        <f t="shared" si="273"/>
        <v>#VALUE!</v>
      </c>
      <c r="AP330" s="358" t="e">
        <f>SUM(AP252+AP258+AP264+AP270+AP276+AP282+AP288+AP294+AP300+AP306+AP312+AP318)</f>
        <v>#VALUE!</v>
      </c>
      <c r="AQ330" s="3714" t="e">
        <f>SUM(AQ252+AQ258+AQ264+AQ270+AQ276+AQ282+AQ288+AQ294+AQ300+AQ306+AQ312+AQ318)</f>
        <v>#VALUE!</v>
      </c>
      <c r="AR330" s="3693" t="e">
        <f t="shared" ref="AR330:AS331" si="274">AR252+AR258+AR264+AR270+AR276+AR282+AR288+AR294+AR300+AR306+AR312+AR318+AR324</f>
        <v>#VALUE!</v>
      </c>
      <c r="AS330" s="3693" t="e">
        <f t="shared" si="274"/>
        <v>#VALUE!</v>
      </c>
      <c r="AT330" s="3641">
        <f>SUM(AT264,AT276)</f>
        <v>0</v>
      </c>
      <c r="AU330" s="3722" t="e">
        <f t="shared" ref="AU330:AY331" si="275">AU252+AU258+AU264+AU270+AU276+AU282+AU288+AU294+AU300+AU306+AU312+AU318+AU324</f>
        <v>#VALUE!</v>
      </c>
      <c r="AV330" s="3711" t="e">
        <f t="shared" si="275"/>
        <v>#VALUE!</v>
      </c>
      <c r="AW330" s="3668"/>
      <c r="AX330" s="3722" t="e">
        <f t="shared" si="275"/>
        <v>#VALUE!</v>
      </c>
      <c r="AY330" s="3711" t="e">
        <f t="shared" si="275"/>
        <v>#VALUE!</v>
      </c>
    </row>
    <row r="331" spans="1:105" x14ac:dyDescent="0.25">
      <c r="A331" s="5793"/>
      <c r="B331" s="7090"/>
      <c r="C331" s="7059" t="s">
        <v>1829</v>
      </c>
      <c r="D331" s="7059"/>
      <c r="E331" s="358" t="e">
        <f t="shared" ref="E331:E335" si="276">SUM(F331+G331)</f>
        <v>#VALUE!</v>
      </c>
      <c r="F331" s="3862" t="e">
        <f t="shared" ref="F331:G335" si="277">SUM(H331++J331+L331+N331+P331+R331+T331+V331+X331+Z331+AB331+AD331+AF331+AH331+AJ331+AL331)</f>
        <v>#VALUE!</v>
      </c>
      <c r="G331" s="3863" t="e">
        <f t="shared" si="277"/>
        <v>#VALUE!</v>
      </c>
      <c r="H331" s="3775" t="e">
        <f>H253+H265+H271+H277+H283+H313+H319+H325</f>
        <v>#VALUE!</v>
      </c>
      <c r="I331" s="3864" t="e">
        <f t="shared" si="271"/>
        <v>#VALUE!</v>
      </c>
      <c r="J331" s="3775" t="e">
        <f t="shared" si="271"/>
        <v>#VALUE!</v>
      </c>
      <c r="K331" s="3864" t="e">
        <f t="shared" si="271"/>
        <v>#VALUE!</v>
      </c>
      <c r="L331" s="3775" t="e">
        <f>L253+L259+L265+L271+L277+L283+L307+L313+L319+L325</f>
        <v>#VALUE!</v>
      </c>
      <c r="M331" s="3864" t="e">
        <f t="shared" si="271"/>
        <v>#VALUE!</v>
      </c>
      <c r="N331" s="3775" t="e">
        <f t="shared" si="271"/>
        <v>#VALUE!</v>
      </c>
      <c r="O331" s="3864" t="e">
        <f t="shared" si="271"/>
        <v>#VALUE!</v>
      </c>
      <c r="P331" s="358" t="e">
        <f>P253+P259+P265+P271+P277+P283+P295+P313+P319+P325</f>
        <v>#VALUE!</v>
      </c>
      <c r="Q331" s="3693" t="e">
        <f t="shared" si="272"/>
        <v>#VALUE!</v>
      </c>
      <c r="R331" s="358" t="e">
        <f t="shared" si="272"/>
        <v>#VALUE!</v>
      </c>
      <c r="S331" s="3693" t="e">
        <f t="shared" si="272"/>
        <v>#VALUE!</v>
      </c>
      <c r="T331" s="358" t="e">
        <f t="shared" si="272"/>
        <v>#VALUE!</v>
      </c>
      <c r="U331" s="3693" t="e">
        <f t="shared" si="272"/>
        <v>#VALUE!</v>
      </c>
      <c r="V331" s="358" t="e">
        <f t="shared" si="272"/>
        <v>#VALUE!</v>
      </c>
      <c r="W331" s="3714" t="e">
        <f t="shared" si="272"/>
        <v>#VALUE!</v>
      </c>
      <c r="X331" s="1148" t="e">
        <f>X253+X259+X265+X271+X277+X283+X289+X295+X301+X307+X313+X319+X325</f>
        <v>#VALUE!</v>
      </c>
      <c r="Y331" s="5537" t="e">
        <f t="shared" ref="Y331:AO331" si="278">Y253+Y259+Y265+Y271+Y277+Y283+Y289+Y295+Y301+Y307+Y313+Y319+Y325</f>
        <v>#VALUE!</v>
      </c>
      <c r="Z331" s="1148" t="e">
        <f t="shared" si="278"/>
        <v>#VALUE!</v>
      </c>
      <c r="AA331" s="5537" t="e">
        <f t="shared" si="278"/>
        <v>#VALUE!</v>
      </c>
      <c r="AB331" s="1148" t="e">
        <f t="shared" si="278"/>
        <v>#VALUE!</v>
      </c>
      <c r="AC331" s="5537" t="e">
        <f t="shared" si="278"/>
        <v>#VALUE!</v>
      </c>
      <c r="AD331" s="1148" t="e">
        <f t="shared" si="278"/>
        <v>#VALUE!</v>
      </c>
      <c r="AE331" s="5537" t="e">
        <f t="shared" si="278"/>
        <v>#VALUE!</v>
      </c>
      <c r="AF331" s="1148" t="e">
        <f t="shared" si="278"/>
        <v>#VALUE!</v>
      </c>
      <c r="AG331" s="5537" t="e">
        <f t="shared" si="278"/>
        <v>#VALUE!</v>
      </c>
      <c r="AH331" s="1148" t="e">
        <f t="shared" si="278"/>
        <v>#VALUE!</v>
      </c>
      <c r="AI331" s="5537" t="e">
        <f t="shared" si="278"/>
        <v>#VALUE!</v>
      </c>
      <c r="AJ331" s="1148" t="e">
        <f t="shared" si="278"/>
        <v>#VALUE!</v>
      </c>
      <c r="AK331" s="5537" t="e">
        <f t="shared" si="278"/>
        <v>#VALUE!</v>
      </c>
      <c r="AL331" s="1148" t="e">
        <f t="shared" si="278"/>
        <v>#VALUE!</v>
      </c>
      <c r="AM331" s="5541" t="e">
        <f t="shared" si="278"/>
        <v>#VALUE!</v>
      </c>
      <c r="AN331" s="5537" t="e">
        <f t="shared" si="278"/>
        <v>#VALUE!</v>
      </c>
      <c r="AO331" s="5537" t="e">
        <f t="shared" si="278"/>
        <v>#VALUE!</v>
      </c>
      <c r="AP331" s="3865"/>
      <c r="AQ331" s="3866"/>
      <c r="AR331" s="3672" t="e">
        <f t="shared" si="274"/>
        <v>#VALUE!</v>
      </c>
      <c r="AS331" s="3672" t="e">
        <f t="shared" si="274"/>
        <v>#VALUE!</v>
      </c>
      <c r="AT331" s="3867" t="e">
        <f>SUM(AT277+ AT265)</f>
        <v>#VALUE!</v>
      </c>
      <c r="AU331" s="3775" t="e">
        <f t="shared" si="275"/>
        <v>#VALUE!</v>
      </c>
      <c r="AV331" s="3662" t="e">
        <f t="shared" si="275"/>
        <v>#VALUE!</v>
      </c>
      <c r="AW331" s="3319"/>
      <c r="AX331" s="3775" t="e">
        <f t="shared" si="275"/>
        <v>#VALUE!</v>
      </c>
      <c r="AY331" s="3662" t="e">
        <f t="shared" si="275"/>
        <v>#VALUE!</v>
      </c>
    </row>
    <row r="332" spans="1:105" x14ac:dyDescent="0.25">
      <c r="A332" s="5793"/>
      <c r="B332" s="7090"/>
      <c r="C332" s="7059" t="s">
        <v>1830</v>
      </c>
      <c r="D332" s="7059"/>
      <c r="E332" s="358" t="e">
        <f t="shared" si="276"/>
        <v>#VALUE!</v>
      </c>
      <c r="F332" s="3862" t="e">
        <f t="shared" si="277"/>
        <v>#VALUE!</v>
      </c>
      <c r="G332" s="3863" t="e">
        <f t="shared" si="277"/>
        <v>#VALUE!</v>
      </c>
      <c r="H332" s="3775" t="e">
        <f>H254+H266+H272+H278+H284+H314+H320+H326</f>
        <v>#VALUE!</v>
      </c>
      <c r="I332" s="3864" t="e">
        <f t="shared" si="271"/>
        <v>#VALUE!</v>
      </c>
      <c r="J332" s="3775" t="e">
        <f t="shared" si="271"/>
        <v>#VALUE!</v>
      </c>
      <c r="K332" s="3864" t="e">
        <f t="shared" si="271"/>
        <v>#VALUE!</v>
      </c>
      <c r="L332" s="3775" t="e">
        <f t="shared" si="271"/>
        <v>#VALUE!</v>
      </c>
      <c r="M332" s="3864" t="e">
        <f t="shared" si="271"/>
        <v>#VALUE!</v>
      </c>
      <c r="N332" s="3775" t="e">
        <f t="shared" si="271"/>
        <v>#VALUE!</v>
      </c>
      <c r="O332" s="3864" t="e">
        <f t="shared" si="271"/>
        <v>#VALUE!</v>
      </c>
      <c r="P332" s="358" t="e">
        <f t="shared" si="272"/>
        <v>#VALUE!</v>
      </c>
      <c r="Q332" s="3693" t="e">
        <f t="shared" si="272"/>
        <v>#VALUE!</v>
      </c>
      <c r="R332" s="358" t="e">
        <f t="shared" si="272"/>
        <v>#VALUE!</v>
      </c>
      <c r="S332" s="3693" t="e">
        <f t="shared" si="272"/>
        <v>#VALUE!</v>
      </c>
      <c r="T332" s="358" t="e">
        <f t="shared" si="272"/>
        <v>#VALUE!</v>
      </c>
      <c r="U332" s="3693" t="e">
        <f t="shared" si="272"/>
        <v>#VALUE!</v>
      </c>
      <c r="V332" s="358" t="e">
        <f t="shared" si="272"/>
        <v>#VALUE!</v>
      </c>
      <c r="W332" s="3714" t="e">
        <f t="shared" si="272"/>
        <v>#VALUE!</v>
      </c>
      <c r="X332" s="1148" t="e">
        <f>X254+X260+X266+X272+X278+X284+X290+X296+X302+X308+X314+X320+X326</f>
        <v>#VALUE!</v>
      </c>
      <c r="Y332" s="5537" t="e">
        <f t="shared" ref="Y332:AO332" si="279">Y254+Y260+Y266+Y272+Y278+Y284+Y290+Y296+Y302+Y308+Y314+Y320+Y326</f>
        <v>#VALUE!</v>
      </c>
      <c r="Z332" s="1148" t="e">
        <f t="shared" si="279"/>
        <v>#VALUE!</v>
      </c>
      <c r="AA332" s="5537" t="e">
        <f t="shared" si="279"/>
        <v>#VALUE!</v>
      </c>
      <c r="AB332" s="1148" t="e">
        <f t="shared" si="279"/>
        <v>#VALUE!</v>
      </c>
      <c r="AC332" s="5537" t="e">
        <f t="shared" si="279"/>
        <v>#VALUE!</v>
      </c>
      <c r="AD332" s="1148" t="e">
        <f t="shared" si="279"/>
        <v>#VALUE!</v>
      </c>
      <c r="AE332" s="5537" t="e">
        <f t="shared" si="279"/>
        <v>#VALUE!</v>
      </c>
      <c r="AF332" s="1148" t="e">
        <f t="shared" si="279"/>
        <v>#VALUE!</v>
      </c>
      <c r="AG332" s="5537" t="e">
        <f t="shared" si="279"/>
        <v>#VALUE!</v>
      </c>
      <c r="AH332" s="1148" t="e">
        <f t="shared" si="279"/>
        <v>#VALUE!</v>
      </c>
      <c r="AI332" s="5537" t="e">
        <f t="shared" si="279"/>
        <v>#VALUE!</v>
      </c>
      <c r="AJ332" s="1148" t="e">
        <f t="shared" si="279"/>
        <v>#VALUE!</v>
      </c>
      <c r="AK332" s="5537" t="e">
        <f t="shared" si="279"/>
        <v>#VALUE!</v>
      </c>
      <c r="AL332" s="1148" t="e">
        <f t="shared" si="279"/>
        <v>#VALUE!</v>
      </c>
      <c r="AM332" s="5541" t="e">
        <f t="shared" si="279"/>
        <v>#VALUE!</v>
      </c>
      <c r="AN332" s="5537" t="e">
        <f t="shared" si="279"/>
        <v>#VALUE!</v>
      </c>
      <c r="AO332" s="5537" t="e">
        <f t="shared" si="279"/>
        <v>#VALUE!</v>
      </c>
      <c r="AP332" s="3865"/>
      <c r="AQ332" s="3866"/>
      <c r="AR332" s="3782"/>
      <c r="AS332" s="3672" t="e">
        <f>SUM(AS336+AS254+AS260+AS266+AS272+AS278+AS284+AS290+AS296+AS302+AS308+AS314+AS320+AS326)</f>
        <v>#VALUE!</v>
      </c>
      <c r="AT332" s="3867" t="e">
        <f>SUM(AT266+AT278)</f>
        <v>#VALUE!</v>
      </c>
      <c r="AU332" s="3775" t="e">
        <f t="shared" ref="AU332:AY332" si="280">SUM(AU254+AU260+AU266+AU272+AU278+AU284+AU290+AU296+AU302+AU308+AU314+AU320+AU326)</f>
        <v>#VALUE!</v>
      </c>
      <c r="AV332" s="3662" t="e">
        <f t="shared" si="280"/>
        <v>#VALUE!</v>
      </c>
      <c r="AW332" s="3319"/>
      <c r="AX332" s="3775" t="e">
        <f t="shared" si="280"/>
        <v>#VALUE!</v>
      </c>
      <c r="AY332" s="3662" t="e">
        <f t="shared" si="280"/>
        <v>#VALUE!</v>
      </c>
    </row>
    <row r="333" spans="1:105" x14ac:dyDescent="0.25">
      <c r="A333" s="5793"/>
      <c r="B333" s="7090"/>
      <c r="C333" s="7055" t="s">
        <v>1831</v>
      </c>
      <c r="D333" s="6987"/>
      <c r="E333" s="358" t="e">
        <f t="shared" si="276"/>
        <v>#VALUE!</v>
      </c>
      <c r="F333" s="3862" t="e">
        <f t="shared" si="277"/>
        <v>#VALUE!</v>
      </c>
      <c r="G333" s="3863" t="e">
        <f t="shared" si="277"/>
        <v>#VALUE!</v>
      </c>
      <c r="H333" s="3775" t="e">
        <f>H255+H267+H273+H279+H285+H315+H321+H327</f>
        <v>#VALUE!</v>
      </c>
      <c r="I333" s="3864" t="e">
        <f t="shared" si="271"/>
        <v>#VALUE!</v>
      </c>
      <c r="J333" s="3775" t="e">
        <f t="shared" si="271"/>
        <v>#VALUE!</v>
      </c>
      <c r="K333" s="3864" t="e">
        <f t="shared" si="271"/>
        <v>#VALUE!</v>
      </c>
      <c r="L333" s="3775" t="e">
        <f t="shared" si="271"/>
        <v>#VALUE!</v>
      </c>
      <c r="M333" s="3864" t="e">
        <f t="shared" si="271"/>
        <v>#VALUE!</v>
      </c>
      <c r="N333" s="3775" t="e">
        <f t="shared" si="271"/>
        <v>#VALUE!</v>
      </c>
      <c r="O333" s="3864" t="e">
        <f t="shared" si="271"/>
        <v>#VALUE!</v>
      </c>
      <c r="P333" s="358" t="e">
        <f>P255+P261+P267+P273+P279+P285+P297+P315+P321+P327</f>
        <v>#VALUE!</v>
      </c>
      <c r="Q333" s="3693" t="e">
        <f>Q255+Q261+Q267+Q273+Q279+Q285+Q297+Q315+Q321+Q327</f>
        <v>#VALUE!</v>
      </c>
      <c r="R333" s="358" t="e">
        <f t="shared" si="272"/>
        <v>#VALUE!</v>
      </c>
      <c r="S333" s="3693" t="e">
        <f t="shared" si="272"/>
        <v>#VALUE!</v>
      </c>
      <c r="T333" s="358" t="e">
        <f t="shared" si="272"/>
        <v>#VALUE!</v>
      </c>
      <c r="U333" s="3693" t="e">
        <f t="shared" si="272"/>
        <v>#VALUE!</v>
      </c>
      <c r="V333" s="358" t="e">
        <f t="shared" si="272"/>
        <v>#VALUE!</v>
      </c>
      <c r="W333" s="3714" t="e">
        <f t="shared" si="272"/>
        <v>#VALUE!</v>
      </c>
      <c r="X333" s="1148" t="e">
        <f>X255+X261+X267+X273+X279+X285+X291+X297+X303+X309+X315+X321+X327</f>
        <v>#VALUE!</v>
      </c>
      <c r="Y333" s="5537" t="e">
        <f t="shared" ref="Y333:AO333" si="281">Y255+Y261+Y267+Y273+Y279+Y285+Y291+Y297+Y303+Y309+Y315+Y321+Y327</f>
        <v>#VALUE!</v>
      </c>
      <c r="Z333" s="1148" t="e">
        <f t="shared" si="281"/>
        <v>#VALUE!</v>
      </c>
      <c r="AA333" s="5537" t="e">
        <f t="shared" si="281"/>
        <v>#VALUE!</v>
      </c>
      <c r="AB333" s="1148" t="e">
        <f t="shared" si="281"/>
        <v>#VALUE!</v>
      </c>
      <c r="AC333" s="5537" t="e">
        <f t="shared" si="281"/>
        <v>#VALUE!</v>
      </c>
      <c r="AD333" s="1148" t="e">
        <f t="shared" si="281"/>
        <v>#VALUE!</v>
      </c>
      <c r="AE333" s="5537" t="e">
        <f t="shared" si="281"/>
        <v>#VALUE!</v>
      </c>
      <c r="AF333" s="1148" t="e">
        <f t="shared" si="281"/>
        <v>#VALUE!</v>
      </c>
      <c r="AG333" s="5537" t="e">
        <f t="shared" si="281"/>
        <v>#VALUE!</v>
      </c>
      <c r="AH333" s="1148" t="e">
        <f t="shared" si="281"/>
        <v>#VALUE!</v>
      </c>
      <c r="AI333" s="5537" t="e">
        <f t="shared" si="281"/>
        <v>#VALUE!</v>
      </c>
      <c r="AJ333" s="1148" t="e">
        <f t="shared" si="281"/>
        <v>#VALUE!</v>
      </c>
      <c r="AK333" s="5537" t="e">
        <f t="shared" si="281"/>
        <v>#VALUE!</v>
      </c>
      <c r="AL333" s="1148" t="e">
        <f t="shared" si="281"/>
        <v>#VALUE!</v>
      </c>
      <c r="AM333" s="5541" t="e">
        <f t="shared" si="281"/>
        <v>#VALUE!</v>
      </c>
      <c r="AN333" s="5537" t="e">
        <f t="shared" si="281"/>
        <v>#VALUE!</v>
      </c>
      <c r="AO333" s="5537" t="e">
        <f t="shared" si="281"/>
        <v>#VALUE!</v>
      </c>
      <c r="AP333" s="3865"/>
      <c r="AQ333" s="3866"/>
      <c r="AR333" s="3782"/>
      <c r="AS333" s="3672" t="e">
        <f>AS255+AS261+AS267+AS273+AS279+AS285+AS291+AS297+AS303+AS309+AS315+AS321+AS327</f>
        <v>#VALUE!</v>
      </c>
      <c r="AT333" s="3867" t="e">
        <f>SUM(AT268+AT280)</f>
        <v>#VALUE!</v>
      </c>
      <c r="AU333" s="3775" t="e">
        <f t="shared" ref="AU333:AY333" si="282">AU255+AU261+AU267+AU273+AU279+AU285+AU291+AU297+AU303+AU309+AU315+AU321+AU327</f>
        <v>#VALUE!</v>
      </c>
      <c r="AV333" s="3662" t="e">
        <f t="shared" si="282"/>
        <v>#VALUE!</v>
      </c>
      <c r="AW333" s="3662" t="e">
        <f>AW255+AW261+AW267+AW273+AW279+AW285+AW291+AW297+AW303+AW309+AW315+AW321+AW327</f>
        <v>#VALUE!</v>
      </c>
      <c r="AX333" s="3775" t="e">
        <f t="shared" si="282"/>
        <v>#VALUE!</v>
      </c>
      <c r="AY333" s="3662" t="e">
        <f t="shared" si="282"/>
        <v>#VALUE!</v>
      </c>
    </row>
    <row r="334" spans="1:105" x14ac:dyDescent="0.25">
      <c r="A334" s="5793"/>
      <c r="B334" s="7090"/>
      <c r="C334" s="7055" t="s">
        <v>1832</v>
      </c>
      <c r="D334" s="6987"/>
      <c r="E334" s="358" t="e">
        <f t="shared" si="276"/>
        <v>#VALUE!</v>
      </c>
      <c r="F334" s="3862" t="e">
        <f t="shared" si="277"/>
        <v>#VALUE!</v>
      </c>
      <c r="G334" s="3863" t="e">
        <f t="shared" si="277"/>
        <v>#VALUE!</v>
      </c>
      <c r="H334" s="3775" t="e">
        <f>H256+H268+H274+H280+H286+H316+H322+H328</f>
        <v>#VALUE!</v>
      </c>
      <c r="I334" s="3864" t="e">
        <f t="shared" si="271"/>
        <v>#VALUE!</v>
      </c>
      <c r="J334" s="3775" t="e">
        <f t="shared" si="271"/>
        <v>#VALUE!</v>
      </c>
      <c r="K334" s="3864" t="e">
        <f t="shared" si="271"/>
        <v>#VALUE!</v>
      </c>
      <c r="L334" s="3775" t="e">
        <f t="shared" si="271"/>
        <v>#VALUE!</v>
      </c>
      <c r="M334" s="3864" t="e">
        <f t="shared" si="271"/>
        <v>#VALUE!</v>
      </c>
      <c r="N334" s="3775" t="e">
        <f t="shared" si="271"/>
        <v>#VALUE!</v>
      </c>
      <c r="O334" s="3864" t="e">
        <f t="shared" si="271"/>
        <v>#VALUE!</v>
      </c>
      <c r="P334" s="358" t="e">
        <f>P256+P262+P268+P274+P280+P286+P298+P316+P322+P328</f>
        <v>#VALUE!</v>
      </c>
      <c r="Q334" s="3693" t="e">
        <f t="shared" si="272"/>
        <v>#VALUE!</v>
      </c>
      <c r="R334" s="358" t="e">
        <f t="shared" si="272"/>
        <v>#VALUE!</v>
      </c>
      <c r="S334" s="3693" t="e">
        <f t="shared" si="272"/>
        <v>#VALUE!</v>
      </c>
      <c r="T334" s="358" t="e">
        <f t="shared" si="272"/>
        <v>#VALUE!</v>
      </c>
      <c r="U334" s="3693" t="e">
        <f t="shared" si="272"/>
        <v>#VALUE!</v>
      </c>
      <c r="V334" s="358" t="e">
        <f t="shared" si="272"/>
        <v>#VALUE!</v>
      </c>
      <c r="W334" s="3714" t="e">
        <f t="shared" si="272"/>
        <v>#VALUE!</v>
      </c>
      <c r="X334" s="1148" t="e">
        <f>X256+X262+X268+X274+X280+X286+X292+X298+X304+X310+X316+X322+X328</f>
        <v>#VALUE!</v>
      </c>
      <c r="Y334" s="5537" t="e">
        <f t="shared" ref="Y334:AO334" si="283">Y256+Y262+Y268+Y274+Y280+Y286+Y292+Y298+Y304+Y310+Y316+Y322+Y328</f>
        <v>#VALUE!</v>
      </c>
      <c r="Z334" s="1148" t="e">
        <f t="shared" si="283"/>
        <v>#VALUE!</v>
      </c>
      <c r="AA334" s="5537" t="e">
        <f t="shared" si="283"/>
        <v>#VALUE!</v>
      </c>
      <c r="AB334" s="1148" t="e">
        <f t="shared" si="283"/>
        <v>#VALUE!</v>
      </c>
      <c r="AC334" s="5537" t="e">
        <f t="shared" si="283"/>
        <v>#VALUE!</v>
      </c>
      <c r="AD334" s="1148" t="e">
        <f t="shared" si="283"/>
        <v>#VALUE!</v>
      </c>
      <c r="AE334" s="5537" t="e">
        <f t="shared" si="283"/>
        <v>#VALUE!</v>
      </c>
      <c r="AF334" s="1148" t="e">
        <f t="shared" si="283"/>
        <v>#VALUE!</v>
      </c>
      <c r="AG334" s="5537" t="e">
        <f t="shared" si="283"/>
        <v>#VALUE!</v>
      </c>
      <c r="AH334" s="1148" t="e">
        <f t="shared" si="283"/>
        <v>#VALUE!</v>
      </c>
      <c r="AI334" s="5537" t="e">
        <f t="shared" si="283"/>
        <v>#VALUE!</v>
      </c>
      <c r="AJ334" s="1148" t="e">
        <f t="shared" si="283"/>
        <v>#VALUE!</v>
      </c>
      <c r="AK334" s="5537" t="e">
        <f t="shared" si="283"/>
        <v>#VALUE!</v>
      </c>
      <c r="AL334" s="1148" t="e">
        <f t="shared" si="283"/>
        <v>#VALUE!</v>
      </c>
      <c r="AM334" s="5541" t="e">
        <f t="shared" si="283"/>
        <v>#VALUE!</v>
      </c>
      <c r="AN334" s="5537" t="e">
        <f t="shared" si="283"/>
        <v>#VALUE!</v>
      </c>
      <c r="AO334" s="5537" t="e">
        <f t="shared" si="283"/>
        <v>#VALUE!</v>
      </c>
      <c r="AP334" s="3865"/>
      <c r="AQ334" s="3866"/>
      <c r="AR334" s="3789"/>
      <c r="AS334" s="3672" t="e">
        <f>SUM(AS256+AS262+AS268+AS274+AS280+AS286+AS304+AS298+AS292+AS310+AS316+AS322+AS328)</f>
        <v>#VALUE!</v>
      </c>
      <c r="AT334" s="3867" t="e">
        <f>SUM(AT256+AT262+AT268+AT274+AT280+AT286+AT304+AT298+AT292+AT310+AT316+AT322+AT328)</f>
        <v>#VALUE!</v>
      </c>
      <c r="AU334" s="3775" t="e">
        <f t="shared" ref="AU334:AY334" si="284">SUM(AU256+AU262+AU268+AU274+AU280+AU286+AU304+AU298+AU292+AU310+AU316+AU322+AU328)</f>
        <v>#VALUE!</v>
      </c>
      <c r="AV334" s="3662" t="e">
        <f t="shared" si="284"/>
        <v>#VALUE!</v>
      </c>
      <c r="AW334" s="3319"/>
      <c r="AX334" s="3775" t="e">
        <f t="shared" si="284"/>
        <v>#VALUE!</v>
      </c>
      <c r="AY334" s="3662" t="e">
        <f t="shared" si="284"/>
        <v>#VALUE!</v>
      </c>
    </row>
    <row r="335" spans="1:105" x14ac:dyDescent="0.25">
      <c r="A335" s="5793"/>
      <c r="B335" s="7091"/>
      <c r="C335" s="7056" t="s">
        <v>1833</v>
      </c>
      <c r="D335" s="7056"/>
      <c r="E335" s="3725" t="e">
        <f t="shared" si="276"/>
        <v>#VALUE!</v>
      </c>
      <c r="F335" s="3868" t="e">
        <f t="shared" si="277"/>
        <v>#VALUE!</v>
      </c>
      <c r="G335" s="3869" t="e">
        <f t="shared" si="277"/>
        <v>#VALUE!</v>
      </c>
      <c r="H335" s="3395" t="e">
        <f>H275+H281+H287+H317+H323+H329</f>
        <v>#VALUE!</v>
      </c>
      <c r="I335" s="3698" t="e">
        <f>I275+I281+I287+I317+I323+I329</f>
        <v>#VALUE!</v>
      </c>
      <c r="J335" s="3395" t="e">
        <f>J257+J269+J275+J281+J287+J317+J323+J329</f>
        <v>#VALUE!</v>
      </c>
      <c r="K335" s="3698" t="e">
        <f t="shared" ref="K335:O335" si="285">K257+K269+K275+K281+K287+K317+K323+K329</f>
        <v>#VALUE!</v>
      </c>
      <c r="L335" s="3395" t="e">
        <f t="shared" si="285"/>
        <v>#VALUE!</v>
      </c>
      <c r="M335" s="3698" t="e">
        <f t="shared" si="285"/>
        <v>#VALUE!</v>
      </c>
      <c r="N335" s="3395" t="e">
        <f t="shared" si="285"/>
        <v>#VALUE!</v>
      </c>
      <c r="O335" s="3698" t="e">
        <f t="shared" si="285"/>
        <v>#VALUE!</v>
      </c>
      <c r="P335" s="3725" t="e">
        <f>P257+P269+P275+P281+P287+P299+P317+P323+P329</f>
        <v>#VALUE!</v>
      </c>
      <c r="Q335" s="3674" t="e">
        <f t="shared" ref="Q335:W335" si="286">Q257+Q269+Q275+Q281+Q287+Q299+Q317+Q323+Q329</f>
        <v>#VALUE!</v>
      </c>
      <c r="R335" s="3725" t="e">
        <f t="shared" si="286"/>
        <v>#VALUE!</v>
      </c>
      <c r="S335" s="3674" t="e">
        <f t="shared" si="286"/>
        <v>#VALUE!</v>
      </c>
      <c r="T335" s="3725" t="e">
        <f t="shared" si="286"/>
        <v>#VALUE!</v>
      </c>
      <c r="U335" s="3674" t="e">
        <f t="shared" si="286"/>
        <v>#VALUE!</v>
      </c>
      <c r="V335" s="3725" t="e">
        <f t="shared" si="286"/>
        <v>#VALUE!</v>
      </c>
      <c r="W335" s="3870" t="e">
        <f t="shared" si="286"/>
        <v>#VALUE!</v>
      </c>
      <c r="X335" s="1140" t="e">
        <f>X257+X263+X269+X275+X281+X287+X293+X305+X311+X299+X317+X323+X329</f>
        <v>#VALUE!</v>
      </c>
      <c r="Y335" s="5538" t="e">
        <f t="shared" ref="Y335:AO335" si="287">Y257+Y263+Y269+Y275+Y281+Y287+Y293+Y305+Y311+Y299+Y317+Y323+Y329</f>
        <v>#VALUE!</v>
      </c>
      <c r="Z335" s="1140" t="e">
        <f t="shared" si="287"/>
        <v>#VALUE!</v>
      </c>
      <c r="AA335" s="5538" t="e">
        <f t="shared" si="287"/>
        <v>#VALUE!</v>
      </c>
      <c r="AB335" s="1140" t="e">
        <f t="shared" si="287"/>
        <v>#VALUE!</v>
      </c>
      <c r="AC335" s="5538" t="e">
        <f t="shared" si="287"/>
        <v>#VALUE!</v>
      </c>
      <c r="AD335" s="1140" t="e">
        <f t="shared" si="287"/>
        <v>#VALUE!</v>
      </c>
      <c r="AE335" s="5538" t="e">
        <f t="shared" si="287"/>
        <v>#VALUE!</v>
      </c>
      <c r="AF335" s="1140" t="e">
        <f t="shared" si="287"/>
        <v>#VALUE!</v>
      </c>
      <c r="AG335" s="5538" t="e">
        <f t="shared" si="287"/>
        <v>#VALUE!</v>
      </c>
      <c r="AH335" s="1140" t="e">
        <f t="shared" si="287"/>
        <v>#VALUE!</v>
      </c>
      <c r="AI335" s="5538" t="e">
        <f t="shared" si="287"/>
        <v>#VALUE!</v>
      </c>
      <c r="AJ335" s="1140" t="e">
        <f t="shared" si="287"/>
        <v>#VALUE!</v>
      </c>
      <c r="AK335" s="5538" t="e">
        <f t="shared" si="287"/>
        <v>#VALUE!</v>
      </c>
      <c r="AL335" s="1140" t="e">
        <f t="shared" si="287"/>
        <v>#VALUE!</v>
      </c>
      <c r="AM335" s="5542" t="e">
        <f t="shared" si="287"/>
        <v>#VALUE!</v>
      </c>
      <c r="AN335" s="5538" t="e">
        <f t="shared" si="287"/>
        <v>#VALUE!</v>
      </c>
      <c r="AO335" s="5538" t="e">
        <f t="shared" si="287"/>
        <v>#VALUE!</v>
      </c>
      <c r="AP335" s="3871"/>
      <c r="AQ335" s="3872"/>
      <c r="AR335" s="3791"/>
      <c r="AS335" s="3698" t="e">
        <f>SUM(AS257+AS263+AS269+AS275+AS281+AS287+AS293+AS299+AS305+AS311+AS317+AS323+AS329)</f>
        <v>#VALUE!</v>
      </c>
      <c r="AT335" s="3873" t="e">
        <f>SUM(AT269+AT281)</f>
        <v>#VALUE!</v>
      </c>
      <c r="AU335" s="3395" t="e">
        <f t="shared" ref="AU335:AY335" si="288">SUM(AU257+AU263+AU269+AU275+AU281+AU287+AU293+AU299+AU305+AU311+AU317+AU323+AU329)</f>
        <v>#VALUE!</v>
      </c>
      <c r="AV335" s="3698" t="e">
        <f t="shared" si="288"/>
        <v>#VALUE!</v>
      </c>
      <c r="AW335" s="3872"/>
      <c r="AX335" s="3395" t="e">
        <f t="shared" si="288"/>
        <v>#VALUE!</v>
      </c>
      <c r="AY335" s="3663" t="e">
        <f t="shared" si="288"/>
        <v>#VALUE!</v>
      </c>
    </row>
    <row r="336" spans="1:105" x14ac:dyDescent="0.25">
      <c r="A336" s="5548"/>
      <c r="B336" s="3" t="s">
        <v>1841</v>
      </c>
      <c r="C336" s="3638"/>
      <c r="D336" s="3638"/>
      <c r="E336" s="8"/>
      <c r="F336" s="8"/>
      <c r="G336" s="8"/>
      <c r="H336" s="8"/>
      <c r="I336" s="8"/>
      <c r="J336" s="8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1839"/>
      <c r="AN336" s="1839"/>
      <c r="AO336" s="9"/>
      <c r="AP336" s="9"/>
      <c r="AQ336" s="9"/>
      <c r="AR336" s="9"/>
      <c r="AS336" s="9"/>
    </row>
    <row r="337" spans="1:95" x14ac:dyDescent="0.25">
      <c r="A337" s="5548"/>
      <c r="B337" s="6575" t="s">
        <v>1592</v>
      </c>
      <c r="C337" s="6491"/>
      <c r="D337" s="6576"/>
      <c r="E337" s="7092" t="s">
        <v>77</v>
      </c>
      <c r="F337" s="6819"/>
      <c r="G337" s="6820"/>
      <c r="H337" s="6956" t="s">
        <v>101</v>
      </c>
      <c r="I337" s="6515"/>
      <c r="J337" s="6515"/>
      <c r="K337" s="6515"/>
      <c r="L337" s="6515"/>
      <c r="M337" s="6515"/>
      <c r="N337" s="6515"/>
      <c r="O337" s="6515"/>
      <c r="P337" s="6515"/>
      <c r="Q337" s="6515"/>
      <c r="R337" s="6515"/>
      <c r="S337" s="6515"/>
      <c r="T337" s="6515"/>
      <c r="U337" s="6515"/>
      <c r="V337" s="6515"/>
      <c r="W337" s="6515"/>
      <c r="X337" s="6515"/>
      <c r="Y337" s="6515"/>
      <c r="Z337" s="6515"/>
      <c r="AA337" s="6515"/>
      <c r="AB337" s="6515"/>
      <c r="AC337" s="6515"/>
      <c r="AD337" s="6515"/>
      <c r="AE337" s="6515"/>
      <c r="AF337" s="6515"/>
      <c r="AG337" s="6515"/>
      <c r="AH337" s="6515"/>
      <c r="AI337" s="6515"/>
      <c r="AJ337" s="6515"/>
      <c r="AK337" s="6515"/>
      <c r="AL337" s="6515"/>
      <c r="AM337" s="6515"/>
      <c r="AN337" s="6515"/>
      <c r="AO337" s="6515"/>
      <c r="AP337" s="6515"/>
      <c r="AQ337" s="6957"/>
      <c r="AR337" s="6517" t="s">
        <v>1842</v>
      </c>
      <c r="AS337" s="6511" t="s">
        <v>1843</v>
      </c>
    </row>
    <row r="338" spans="1:95" x14ac:dyDescent="0.25">
      <c r="A338" s="5548"/>
      <c r="B338" s="6827"/>
      <c r="C338" s="6954"/>
      <c r="D338" s="6331"/>
      <c r="E338" s="7093"/>
      <c r="F338" s="7094"/>
      <c r="G338" s="7065"/>
      <c r="H338" s="7096" t="s">
        <v>474</v>
      </c>
      <c r="I338" s="6961"/>
      <c r="J338" s="6956" t="s">
        <v>380</v>
      </c>
      <c r="K338" s="6545"/>
      <c r="L338" s="6956" t="s">
        <v>381</v>
      </c>
      <c r="M338" s="6545"/>
      <c r="N338" s="6956" t="s">
        <v>1577</v>
      </c>
      <c r="O338" s="6545"/>
      <c r="P338" s="6956" t="s">
        <v>383</v>
      </c>
      <c r="Q338" s="6545"/>
      <c r="R338" s="6956" t="s">
        <v>384</v>
      </c>
      <c r="S338" s="6545"/>
      <c r="T338" s="6956" t="s">
        <v>385</v>
      </c>
      <c r="U338" s="6545"/>
      <c r="V338" s="6956" t="s">
        <v>386</v>
      </c>
      <c r="W338" s="6545"/>
      <c r="X338" s="6956" t="s">
        <v>1578</v>
      </c>
      <c r="Y338" s="6545"/>
      <c r="Z338" s="6956" t="s">
        <v>303</v>
      </c>
      <c r="AA338" s="6962"/>
      <c r="AB338" s="6956" t="s">
        <v>304</v>
      </c>
      <c r="AC338" s="6962"/>
      <c r="AD338" s="6956" t="s">
        <v>1818</v>
      </c>
      <c r="AE338" s="6962"/>
      <c r="AF338" s="6956" t="s">
        <v>1819</v>
      </c>
      <c r="AG338" s="6962"/>
      <c r="AH338" s="6956" t="s">
        <v>1820</v>
      </c>
      <c r="AI338" s="6962"/>
      <c r="AJ338" s="6956" t="s">
        <v>1821</v>
      </c>
      <c r="AK338" s="6962"/>
      <c r="AL338" s="6956" t="s">
        <v>1583</v>
      </c>
      <c r="AM338" s="6962"/>
      <c r="AN338" s="6956" t="s">
        <v>1584</v>
      </c>
      <c r="AO338" s="6962"/>
      <c r="AP338" s="6956" t="s">
        <v>938</v>
      </c>
      <c r="AQ338" s="6962"/>
      <c r="AR338" s="6034"/>
      <c r="AS338" s="6027"/>
    </row>
    <row r="339" spans="1:95" x14ac:dyDescent="0.25">
      <c r="A339" s="5548"/>
      <c r="B339" s="6750"/>
      <c r="C339" s="6749"/>
      <c r="D339" s="6913"/>
      <c r="E339" s="3452" t="s">
        <v>79</v>
      </c>
      <c r="F339" s="490" t="s">
        <v>58</v>
      </c>
      <c r="G339" s="1768" t="s">
        <v>59</v>
      </c>
      <c r="H339" s="3424" t="s">
        <v>58</v>
      </c>
      <c r="I339" s="591" t="s">
        <v>59</v>
      </c>
      <c r="J339" s="3405" t="s">
        <v>58</v>
      </c>
      <c r="K339" s="591" t="s">
        <v>59</v>
      </c>
      <c r="L339" s="3405" t="s">
        <v>58</v>
      </c>
      <c r="M339" s="591" t="s">
        <v>59</v>
      </c>
      <c r="N339" s="3405" t="s">
        <v>58</v>
      </c>
      <c r="O339" s="591" t="s">
        <v>59</v>
      </c>
      <c r="P339" s="3405" t="s">
        <v>58</v>
      </c>
      <c r="Q339" s="591" t="s">
        <v>59</v>
      </c>
      <c r="R339" s="3405" t="s">
        <v>58</v>
      </c>
      <c r="S339" s="591" t="s">
        <v>59</v>
      </c>
      <c r="T339" s="3405" t="s">
        <v>58</v>
      </c>
      <c r="U339" s="591" t="s">
        <v>59</v>
      </c>
      <c r="V339" s="3405" t="s">
        <v>58</v>
      </c>
      <c r="W339" s="591" t="s">
        <v>59</v>
      </c>
      <c r="X339" s="3405" t="s">
        <v>58</v>
      </c>
      <c r="Y339" s="591" t="s">
        <v>59</v>
      </c>
      <c r="Z339" s="3405" t="s">
        <v>58</v>
      </c>
      <c r="AA339" s="591" t="s">
        <v>59</v>
      </c>
      <c r="AB339" s="3405" t="s">
        <v>58</v>
      </c>
      <c r="AC339" s="591" t="s">
        <v>59</v>
      </c>
      <c r="AD339" s="3405" t="s">
        <v>58</v>
      </c>
      <c r="AE339" s="591" t="s">
        <v>59</v>
      </c>
      <c r="AF339" s="3405" t="s">
        <v>58</v>
      </c>
      <c r="AG339" s="591" t="s">
        <v>59</v>
      </c>
      <c r="AH339" s="3405" t="s">
        <v>58</v>
      </c>
      <c r="AI339" s="591" t="s">
        <v>59</v>
      </c>
      <c r="AJ339" s="3405" t="s">
        <v>58</v>
      </c>
      <c r="AK339" s="591" t="s">
        <v>59</v>
      </c>
      <c r="AL339" s="3405" t="s">
        <v>58</v>
      </c>
      <c r="AM339" s="591" t="s">
        <v>59</v>
      </c>
      <c r="AN339" s="3405" t="s">
        <v>58</v>
      </c>
      <c r="AO339" s="591" t="s">
        <v>59</v>
      </c>
      <c r="AP339" s="3405" t="s">
        <v>58</v>
      </c>
      <c r="AQ339" s="591" t="s">
        <v>59</v>
      </c>
      <c r="AR339" s="6035"/>
      <c r="AS339" s="6955"/>
    </row>
    <row r="340" spans="1:95" x14ac:dyDescent="0.25">
      <c r="A340" s="5816" t="s">
        <v>5941</v>
      </c>
      <c r="B340" s="6914" t="s">
        <v>1598</v>
      </c>
      <c r="C340" s="7057"/>
      <c r="D340" s="6915"/>
      <c r="E340" s="3254" t="s">
        <v>4567</v>
      </c>
      <c r="F340" s="583" t="s">
        <v>4568</v>
      </c>
      <c r="G340" s="584" t="s">
        <v>4569</v>
      </c>
      <c r="H340" s="3226" t="s">
        <v>4570</v>
      </c>
      <c r="I340" s="748" t="s">
        <v>4571</v>
      </c>
      <c r="J340" s="3226" t="s">
        <v>4572</v>
      </c>
      <c r="K340" s="748" t="s">
        <v>4573</v>
      </c>
      <c r="L340" s="3226" t="s">
        <v>4574</v>
      </c>
      <c r="M340" s="748" t="s">
        <v>4575</v>
      </c>
      <c r="N340" s="3226" t="s">
        <v>4576</v>
      </c>
      <c r="O340" s="748" t="s">
        <v>4577</v>
      </c>
      <c r="P340" s="3226" t="s">
        <v>4578</v>
      </c>
      <c r="Q340" s="748" t="s">
        <v>4579</v>
      </c>
      <c r="R340" s="3226" t="s">
        <v>4580</v>
      </c>
      <c r="S340" s="748" t="s">
        <v>4581</v>
      </c>
      <c r="T340" s="3226" t="s">
        <v>4582</v>
      </c>
      <c r="U340" s="748" t="s">
        <v>4583</v>
      </c>
      <c r="V340" s="3226" t="s">
        <v>4584</v>
      </c>
      <c r="W340" s="748" t="s">
        <v>4585</v>
      </c>
      <c r="X340" s="3226" t="s">
        <v>4586</v>
      </c>
      <c r="Y340" s="748" t="s">
        <v>4587</v>
      </c>
      <c r="Z340" s="3226" t="s">
        <v>4588</v>
      </c>
      <c r="AA340" s="748" t="s">
        <v>4589</v>
      </c>
      <c r="AB340" s="3226" t="s">
        <v>4590</v>
      </c>
      <c r="AC340" s="748" t="s">
        <v>4591</v>
      </c>
      <c r="AD340" s="3226" t="s">
        <v>4592</v>
      </c>
      <c r="AE340" s="748" t="s">
        <v>4593</v>
      </c>
      <c r="AF340" s="3226" t="s">
        <v>4594</v>
      </c>
      <c r="AG340" s="748" t="s">
        <v>4595</v>
      </c>
      <c r="AH340" s="3226" t="s">
        <v>4596</v>
      </c>
      <c r="AI340" s="748" t="s">
        <v>4597</v>
      </c>
      <c r="AJ340" s="3226" t="s">
        <v>4598</v>
      </c>
      <c r="AK340" s="748" t="s">
        <v>4599</v>
      </c>
      <c r="AL340" s="3226" t="s">
        <v>4600</v>
      </c>
      <c r="AM340" s="748" t="s">
        <v>4601</v>
      </c>
      <c r="AN340" s="3226" t="s">
        <v>4602</v>
      </c>
      <c r="AO340" s="748" t="s">
        <v>4603</v>
      </c>
      <c r="AP340" s="3226" t="s">
        <v>4604</v>
      </c>
      <c r="AQ340" s="736" t="s">
        <v>4605</v>
      </c>
      <c r="AR340" s="74" t="s">
        <v>4606</v>
      </c>
      <c r="AS340" s="42" t="s">
        <v>4934</v>
      </c>
      <c r="AT340" t="e">
        <f>CB340&amp;CC340</f>
        <v>#VALUE!</v>
      </c>
      <c r="CB340" s="433" t="str">
        <f>IF(AND($G340&gt;0,AR340="")," * No olvide digitar la variable Gestante. Digite cero si no tiene.",IF(AR340&gt;$G340," * La variable Gestante no puede superar el Total Mujeres.",""))</f>
        <v xml:space="preserve"> * La variable Gestante no puede superar el Total Mujeres.</v>
      </c>
      <c r="CC340" s="433" t="e">
        <f>IF(AND(AL340+AM340&gt;0,AS340="")," * No olvide digitar la variable 60 años (incluido en grupos de 60-64 años). Digite Cero si no tiene.",IF(AS340&gt;AL340+AM340," * La variable 60 años (incluido en grupos de 60-64 años) no puede superar la suma del Grupo 60-64 años.",""))</f>
        <v>#VALUE!</v>
      </c>
      <c r="CP340" s="434">
        <f>IF(AND($G340&gt;0,AR340=""),1,IF(AR340&gt;$G340,1,0))</f>
        <v>1</v>
      </c>
      <c r="CQ340" s="434" t="e">
        <f>IF(AND(AL340+AM340&gt;0,AS340=""),1,IF(AS340&gt;AL340+AM340,1,0))</f>
        <v>#VALUE!</v>
      </c>
    </row>
    <row r="341" spans="1:95" x14ac:dyDescent="0.25">
      <c r="A341" s="5812" t="s">
        <v>5942</v>
      </c>
      <c r="B341" s="7095" t="s">
        <v>1844</v>
      </c>
      <c r="C341" s="6974"/>
      <c r="D341" s="6618"/>
      <c r="E341" s="3836" t="s">
        <v>4567</v>
      </c>
      <c r="F341" s="575" t="s">
        <v>4568</v>
      </c>
      <c r="G341" s="479" t="s">
        <v>4569</v>
      </c>
      <c r="H341" s="3875" t="s">
        <v>4570</v>
      </c>
      <c r="I341" s="3876" t="s">
        <v>4571</v>
      </c>
      <c r="J341" s="3875" t="s">
        <v>4572</v>
      </c>
      <c r="K341" s="3876" t="s">
        <v>4573</v>
      </c>
      <c r="L341" s="3875" t="s">
        <v>4574</v>
      </c>
      <c r="M341" s="3876" t="s">
        <v>4575</v>
      </c>
      <c r="N341" s="3875" t="s">
        <v>4576</v>
      </c>
      <c r="O341" s="3876" t="s">
        <v>4577</v>
      </c>
      <c r="P341" s="3875" t="s">
        <v>4578</v>
      </c>
      <c r="Q341" s="3876" t="s">
        <v>4579</v>
      </c>
      <c r="R341" s="3875" t="s">
        <v>4580</v>
      </c>
      <c r="S341" s="3876" t="s">
        <v>4581</v>
      </c>
      <c r="T341" s="3875" t="s">
        <v>4582</v>
      </c>
      <c r="U341" s="3876" t="s">
        <v>4583</v>
      </c>
      <c r="V341" s="3875" t="s">
        <v>4584</v>
      </c>
      <c r="W341" s="3876" t="s">
        <v>4585</v>
      </c>
      <c r="X341" s="3875" t="s">
        <v>4586</v>
      </c>
      <c r="Y341" s="3876" t="s">
        <v>4587</v>
      </c>
      <c r="Z341" s="3875" t="s">
        <v>4588</v>
      </c>
      <c r="AA341" s="3876" t="s">
        <v>4589</v>
      </c>
      <c r="AB341" s="3875" t="s">
        <v>4590</v>
      </c>
      <c r="AC341" s="3876" t="s">
        <v>4591</v>
      </c>
      <c r="AD341" s="3875" t="s">
        <v>4592</v>
      </c>
      <c r="AE341" s="3876" t="s">
        <v>4593</v>
      </c>
      <c r="AF341" s="3875" t="s">
        <v>4594</v>
      </c>
      <c r="AG341" s="3876" t="s">
        <v>4595</v>
      </c>
      <c r="AH341" s="3875" t="s">
        <v>4596</v>
      </c>
      <c r="AI341" s="3876" t="s">
        <v>4597</v>
      </c>
      <c r="AJ341" s="3875" t="s">
        <v>4598</v>
      </c>
      <c r="AK341" s="3876" t="s">
        <v>4599</v>
      </c>
      <c r="AL341" s="3875" t="s">
        <v>4600</v>
      </c>
      <c r="AM341" s="3876" t="s">
        <v>4601</v>
      </c>
      <c r="AN341" s="3875" t="s">
        <v>4602</v>
      </c>
      <c r="AO341" s="3876" t="s">
        <v>4603</v>
      </c>
      <c r="AP341" s="3875" t="s">
        <v>4604</v>
      </c>
      <c r="AQ341" s="351" t="s">
        <v>4605</v>
      </c>
      <c r="AR341" s="429" t="s">
        <v>4606</v>
      </c>
      <c r="AS341" s="346" t="s">
        <v>4934</v>
      </c>
      <c r="AT341" t="e">
        <f t="shared" ref="AT341:AT343" si="289">CB341&amp;CC341</f>
        <v>#VALUE!</v>
      </c>
      <c r="CB341" s="433" t="str">
        <f t="shared" ref="CB341:CB344" si="290">IF(AND($G341&gt;0,AR341="")," * No olvide digitar la variable Gestante. Digite cero si no tiene.",IF(AR341&gt;$G341," * La variable Gestante no puede superar el Total Mujeres.",""))</f>
        <v xml:space="preserve"> * La variable Gestante no puede superar el Total Mujeres.</v>
      </c>
      <c r="CC341" s="433" t="e">
        <f t="shared" ref="CC341:CC344" si="291">IF(AND(AL341+AM341&gt;0,AS341="")," * No olvide digitar la variable 60 años (incluido en grupos de 60-64 años). Digite Cero si no tiene.",IF(AS341&gt;AL341+AM341," * La variable 60 años (incluido en grupos de 60-64 años) no puede superar la suma del Grupo 60-64 años.",""))</f>
        <v>#VALUE!</v>
      </c>
      <c r="CP341" s="434">
        <f t="shared" ref="CP341:CP344" si="292">IF(AND($G341&gt;0,AR341=""),1,IF(AR341&gt;$G341,1,0))</f>
        <v>1</v>
      </c>
      <c r="CQ341" s="434" t="e">
        <f t="shared" ref="CQ341:CQ344" si="293">IF(AND(AL341+AM341&gt;0,AS341=""),1,IF(AS341&gt;AL341+AM341,1,0))</f>
        <v>#VALUE!</v>
      </c>
    </row>
    <row r="342" spans="1:95" x14ac:dyDescent="0.25">
      <c r="A342" s="5812" t="s">
        <v>5943</v>
      </c>
      <c r="B342" s="7095" t="s">
        <v>1845</v>
      </c>
      <c r="C342" s="6974"/>
      <c r="D342" s="6618"/>
      <c r="E342" s="3836" t="s">
        <v>4567</v>
      </c>
      <c r="F342" s="575" t="s">
        <v>4568</v>
      </c>
      <c r="G342" s="479" t="s">
        <v>4569</v>
      </c>
      <c r="H342" s="3875" t="s">
        <v>4570</v>
      </c>
      <c r="I342" s="3876" t="s">
        <v>4571</v>
      </c>
      <c r="J342" s="3875" t="s">
        <v>4572</v>
      </c>
      <c r="K342" s="3876" t="s">
        <v>4573</v>
      </c>
      <c r="L342" s="3875" t="s">
        <v>4574</v>
      </c>
      <c r="M342" s="3876" t="s">
        <v>4575</v>
      </c>
      <c r="N342" s="3875" t="s">
        <v>4576</v>
      </c>
      <c r="O342" s="3876" t="s">
        <v>4577</v>
      </c>
      <c r="P342" s="3875" t="s">
        <v>4578</v>
      </c>
      <c r="Q342" s="3876" t="s">
        <v>4579</v>
      </c>
      <c r="R342" s="3875" t="s">
        <v>4580</v>
      </c>
      <c r="S342" s="3876" t="s">
        <v>4581</v>
      </c>
      <c r="T342" s="3875" t="s">
        <v>4582</v>
      </c>
      <c r="U342" s="3876" t="s">
        <v>4583</v>
      </c>
      <c r="V342" s="3875" t="s">
        <v>4584</v>
      </c>
      <c r="W342" s="3876" t="s">
        <v>4585</v>
      </c>
      <c r="X342" s="3875" t="s">
        <v>4586</v>
      </c>
      <c r="Y342" s="3876" t="s">
        <v>4587</v>
      </c>
      <c r="Z342" s="3875" t="s">
        <v>4588</v>
      </c>
      <c r="AA342" s="3876" t="s">
        <v>4589</v>
      </c>
      <c r="AB342" s="3875" t="s">
        <v>4590</v>
      </c>
      <c r="AC342" s="3876" t="s">
        <v>4591</v>
      </c>
      <c r="AD342" s="3875" t="s">
        <v>4592</v>
      </c>
      <c r="AE342" s="3876" t="s">
        <v>4593</v>
      </c>
      <c r="AF342" s="3875" t="s">
        <v>4594</v>
      </c>
      <c r="AG342" s="3876" t="s">
        <v>4595</v>
      </c>
      <c r="AH342" s="3875" t="s">
        <v>4596</v>
      </c>
      <c r="AI342" s="3876" t="s">
        <v>4597</v>
      </c>
      <c r="AJ342" s="3875" t="s">
        <v>4598</v>
      </c>
      <c r="AK342" s="3876" t="s">
        <v>4599</v>
      </c>
      <c r="AL342" s="3875" t="s">
        <v>4600</v>
      </c>
      <c r="AM342" s="3876" t="s">
        <v>4601</v>
      </c>
      <c r="AN342" s="3875" t="s">
        <v>4602</v>
      </c>
      <c r="AO342" s="3876" t="s">
        <v>4603</v>
      </c>
      <c r="AP342" s="3875" t="s">
        <v>4604</v>
      </c>
      <c r="AQ342" s="351" t="s">
        <v>4605</v>
      </c>
      <c r="AR342" s="429" t="s">
        <v>4606</v>
      </c>
      <c r="AS342" s="346" t="s">
        <v>4934</v>
      </c>
      <c r="AT342" t="e">
        <f t="shared" si="289"/>
        <v>#VALUE!</v>
      </c>
      <c r="CB342" s="433" t="str">
        <f t="shared" si="290"/>
        <v xml:space="preserve"> * La variable Gestante no puede superar el Total Mujeres.</v>
      </c>
      <c r="CC342" s="433" t="e">
        <f t="shared" si="291"/>
        <v>#VALUE!</v>
      </c>
      <c r="CP342" s="434">
        <f t="shared" si="292"/>
        <v>1</v>
      </c>
      <c r="CQ342" s="434" t="e">
        <f t="shared" si="293"/>
        <v>#VALUE!</v>
      </c>
    </row>
    <row r="343" spans="1:95" x14ac:dyDescent="0.25">
      <c r="A343" s="5812" t="s">
        <v>5944</v>
      </c>
      <c r="B343" s="7055" t="s">
        <v>1846</v>
      </c>
      <c r="C343" s="6986"/>
      <c r="D343" s="6987"/>
      <c r="E343" s="3836" t="s">
        <v>4567</v>
      </c>
      <c r="F343" s="575" t="s">
        <v>4568</v>
      </c>
      <c r="G343" s="479" t="s">
        <v>4569</v>
      </c>
      <c r="H343" s="3875" t="s">
        <v>4570</v>
      </c>
      <c r="I343" s="3876" t="s">
        <v>4571</v>
      </c>
      <c r="J343" s="3875" t="s">
        <v>4572</v>
      </c>
      <c r="K343" s="3876" t="s">
        <v>4573</v>
      </c>
      <c r="L343" s="3875" t="s">
        <v>4574</v>
      </c>
      <c r="M343" s="3876" t="s">
        <v>4575</v>
      </c>
      <c r="N343" s="3875" t="s">
        <v>4576</v>
      </c>
      <c r="O343" s="3876" t="s">
        <v>4577</v>
      </c>
      <c r="P343" s="3875" t="s">
        <v>4578</v>
      </c>
      <c r="Q343" s="3876" t="s">
        <v>4579</v>
      </c>
      <c r="R343" s="3875" t="s">
        <v>4580</v>
      </c>
      <c r="S343" s="3876" t="s">
        <v>4581</v>
      </c>
      <c r="T343" s="3875" t="s">
        <v>4582</v>
      </c>
      <c r="U343" s="3876" t="s">
        <v>4583</v>
      </c>
      <c r="V343" s="3875" t="s">
        <v>4584</v>
      </c>
      <c r="W343" s="3876" t="s">
        <v>4585</v>
      </c>
      <c r="X343" s="3875" t="s">
        <v>4586</v>
      </c>
      <c r="Y343" s="3876" t="s">
        <v>4587</v>
      </c>
      <c r="Z343" s="3875" t="s">
        <v>4588</v>
      </c>
      <c r="AA343" s="3876" t="s">
        <v>4589</v>
      </c>
      <c r="AB343" s="3875" t="s">
        <v>4590</v>
      </c>
      <c r="AC343" s="3876" t="s">
        <v>4591</v>
      </c>
      <c r="AD343" s="3875" t="s">
        <v>4592</v>
      </c>
      <c r="AE343" s="3876" t="s">
        <v>4593</v>
      </c>
      <c r="AF343" s="3875" t="s">
        <v>4594</v>
      </c>
      <c r="AG343" s="3876" t="s">
        <v>4595</v>
      </c>
      <c r="AH343" s="3875" t="s">
        <v>4596</v>
      </c>
      <c r="AI343" s="3876" t="s">
        <v>4597</v>
      </c>
      <c r="AJ343" s="3875" t="s">
        <v>4598</v>
      </c>
      <c r="AK343" s="3876" t="s">
        <v>4599</v>
      </c>
      <c r="AL343" s="3875" t="s">
        <v>4600</v>
      </c>
      <c r="AM343" s="3876" t="s">
        <v>4601</v>
      </c>
      <c r="AN343" s="3875" t="s">
        <v>4602</v>
      </c>
      <c r="AO343" s="3876" t="s">
        <v>4603</v>
      </c>
      <c r="AP343" s="3875" t="s">
        <v>4604</v>
      </c>
      <c r="AQ343" s="351" t="s">
        <v>4605</v>
      </c>
      <c r="AR343" s="376" t="s">
        <v>4606</v>
      </c>
      <c r="AS343" s="2" t="s">
        <v>4934</v>
      </c>
      <c r="AT343" t="e">
        <f t="shared" si="289"/>
        <v>#VALUE!</v>
      </c>
      <c r="CB343" s="433" t="str">
        <f t="shared" si="290"/>
        <v xml:space="preserve"> * La variable Gestante no puede superar el Total Mujeres.</v>
      </c>
      <c r="CC343" s="433" t="e">
        <f t="shared" si="291"/>
        <v>#VALUE!</v>
      </c>
      <c r="CP343" s="434">
        <f t="shared" si="292"/>
        <v>1</v>
      </c>
      <c r="CQ343" s="434" t="e">
        <f t="shared" si="293"/>
        <v>#VALUE!</v>
      </c>
    </row>
    <row r="344" spans="1:95" x14ac:dyDescent="0.25">
      <c r="A344" s="5812" t="s">
        <v>5945</v>
      </c>
      <c r="B344" s="6536" t="s">
        <v>1847</v>
      </c>
      <c r="C344" s="6324"/>
      <c r="D344" s="6325"/>
      <c r="E344" s="703" t="s">
        <v>4567</v>
      </c>
      <c r="F344" s="3590" t="s">
        <v>4568</v>
      </c>
      <c r="G344" s="484" t="s">
        <v>4569</v>
      </c>
      <c r="H344" s="428" t="s">
        <v>4570</v>
      </c>
      <c r="I344" s="388" t="s">
        <v>4571</v>
      </c>
      <c r="J344" s="428" t="s">
        <v>4572</v>
      </c>
      <c r="K344" s="388" t="s">
        <v>4573</v>
      </c>
      <c r="L344" s="428" t="s">
        <v>4574</v>
      </c>
      <c r="M344" s="388" t="s">
        <v>4575</v>
      </c>
      <c r="N344" s="428" t="s">
        <v>4576</v>
      </c>
      <c r="O344" s="388" t="s">
        <v>4577</v>
      </c>
      <c r="P344" s="428" t="s">
        <v>4578</v>
      </c>
      <c r="Q344" s="388" t="s">
        <v>4579</v>
      </c>
      <c r="R344" s="428" t="s">
        <v>4580</v>
      </c>
      <c r="S344" s="388" t="s">
        <v>4581</v>
      </c>
      <c r="T344" s="428" t="s">
        <v>4582</v>
      </c>
      <c r="U344" s="388" t="s">
        <v>4583</v>
      </c>
      <c r="V344" s="428" t="s">
        <v>4584</v>
      </c>
      <c r="W344" s="388" t="s">
        <v>4585</v>
      </c>
      <c r="X344" s="428" t="s">
        <v>4586</v>
      </c>
      <c r="Y344" s="388" t="s">
        <v>4587</v>
      </c>
      <c r="Z344" s="428" t="s">
        <v>4588</v>
      </c>
      <c r="AA344" s="388" t="s">
        <v>4589</v>
      </c>
      <c r="AB344" s="428" t="s">
        <v>4590</v>
      </c>
      <c r="AC344" s="388" t="s">
        <v>4591</v>
      </c>
      <c r="AD344" s="428" t="s">
        <v>4592</v>
      </c>
      <c r="AE344" s="388" t="s">
        <v>4593</v>
      </c>
      <c r="AF344" s="428" t="s">
        <v>4594</v>
      </c>
      <c r="AG344" s="388" t="s">
        <v>4595</v>
      </c>
      <c r="AH344" s="428" t="s">
        <v>4596</v>
      </c>
      <c r="AI344" s="388" t="s">
        <v>4597</v>
      </c>
      <c r="AJ344" s="428" t="s">
        <v>4598</v>
      </c>
      <c r="AK344" s="388" t="s">
        <v>4599</v>
      </c>
      <c r="AL344" s="428" t="s">
        <v>4600</v>
      </c>
      <c r="AM344" s="388" t="s">
        <v>4601</v>
      </c>
      <c r="AN344" s="428" t="s">
        <v>4602</v>
      </c>
      <c r="AO344" s="388" t="s">
        <v>4603</v>
      </c>
      <c r="AP344" s="428" t="s">
        <v>4604</v>
      </c>
      <c r="AQ344" s="389" t="s">
        <v>4605</v>
      </c>
      <c r="AR344" s="378" t="s">
        <v>4606</v>
      </c>
      <c r="AS344" s="387" t="s">
        <v>4934</v>
      </c>
      <c r="AT344" t="e">
        <f>CB344&amp;CC344</f>
        <v>#VALUE!</v>
      </c>
      <c r="CB344" s="433" t="str">
        <f t="shared" si="290"/>
        <v xml:space="preserve"> * La variable Gestante no puede superar el Total Mujeres.</v>
      </c>
      <c r="CC344" s="433" t="e">
        <f t="shared" si="291"/>
        <v>#VALUE!</v>
      </c>
      <c r="CP344" s="434">
        <f t="shared" si="292"/>
        <v>1</v>
      </c>
      <c r="CQ344" s="434" t="e">
        <f t="shared" si="293"/>
        <v>#VALUE!</v>
      </c>
    </row>
    <row r="345" spans="1:95" ht="15.75" x14ac:dyDescent="0.25">
      <c r="B345" s="11" t="s">
        <v>1848</v>
      </c>
      <c r="C345" s="3877"/>
      <c r="D345" s="3877"/>
      <c r="E345" s="3878"/>
      <c r="F345" s="3879"/>
    </row>
    <row r="346" spans="1:95" ht="31.5" x14ac:dyDescent="0.25">
      <c r="B346" s="6956" t="s">
        <v>1423</v>
      </c>
      <c r="C346" s="6545"/>
      <c r="D346" s="3880" t="s">
        <v>1849</v>
      </c>
      <c r="E346" s="3881" t="s">
        <v>1850</v>
      </c>
      <c r="F346" s="3882" t="s">
        <v>1851</v>
      </c>
    </row>
    <row r="347" spans="1:95" x14ac:dyDescent="0.25">
      <c r="A347" s="5812" t="s">
        <v>5946</v>
      </c>
      <c r="B347" s="7103" t="s">
        <v>1641</v>
      </c>
      <c r="C347" s="7104"/>
      <c r="D347" s="3227" t="s">
        <v>4567</v>
      </c>
      <c r="E347" s="750" t="s">
        <v>4568</v>
      </c>
      <c r="F347" s="566" t="s">
        <v>4569</v>
      </c>
    </row>
    <row r="348" spans="1:95" x14ac:dyDescent="0.25">
      <c r="A348" s="5810" t="s">
        <v>5947</v>
      </c>
      <c r="B348" s="7099" t="s">
        <v>1852</v>
      </c>
      <c r="C348" s="7100"/>
      <c r="D348" s="345" t="s">
        <v>4567</v>
      </c>
      <c r="E348" s="368" t="s">
        <v>4568</v>
      </c>
      <c r="F348" s="346" t="s">
        <v>4569</v>
      </c>
    </row>
    <row r="349" spans="1:95" x14ac:dyDescent="0.25">
      <c r="A349" s="5810" t="s">
        <v>5948</v>
      </c>
      <c r="B349" s="6321" t="s">
        <v>1853</v>
      </c>
      <c r="C349" s="6236"/>
      <c r="D349" s="345" t="s">
        <v>4567</v>
      </c>
      <c r="E349" s="368" t="s">
        <v>4568</v>
      </c>
      <c r="F349" s="346" t="s">
        <v>4569</v>
      </c>
    </row>
    <row r="350" spans="1:95" x14ac:dyDescent="0.25">
      <c r="A350" s="5810" t="s">
        <v>5949</v>
      </c>
      <c r="B350" s="7099" t="s">
        <v>1646</v>
      </c>
      <c r="C350" s="7100"/>
      <c r="D350" s="345" t="s">
        <v>4567</v>
      </c>
      <c r="E350" s="368" t="s">
        <v>4568</v>
      </c>
      <c r="F350" s="346" t="s">
        <v>4569</v>
      </c>
    </row>
    <row r="351" spans="1:95" x14ac:dyDescent="0.25">
      <c r="A351" s="5810" t="s">
        <v>5950</v>
      </c>
      <c r="B351" s="7099" t="s">
        <v>1648</v>
      </c>
      <c r="C351" s="7100"/>
      <c r="D351" s="345" t="s">
        <v>4567</v>
      </c>
      <c r="E351" s="368" t="s">
        <v>4568</v>
      </c>
      <c r="F351" s="346" t="s">
        <v>4569</v>
      </c>
    </row>
    <row r="352" spans="1:95" x14ac:dyDescent="0.25">
      <c r="A352" s="5812" t="s">
        <v>5951</v>
      </c>
      <c r="B352" s="7099" t="s">
        <v>1854</v>
      </c>
      <c r="C352" s="7100"/>
      <c r="D352" s="345" t="s">
        <v>4567</v>
      </c>
      <c r="E352" s="368" t="s">
        <v>4568</v>
      </c>
      <c r="F352" s="346" t="s">
        <v>4569</v>
      </c>
    </row>
    <row r="353" spans="1:6" x14ac:dyDescent="0.25">
      <c r="A353" s="5812" t="s">
        <v>5952</v>
      </c>
      <c r="B353" s="7099" t="s">
        <v>1645</v>
      </c>
      <c r="C353" s="7100"/>
      <c r="D353" s="345" t="s">
        <v>4567</v>
      </c>
      <c r="E353" s="368" t="s">
        <v>4568</v>
      </c>
      <c r="F353" s="346" t="s">
        <v>4569</v>
      </c>
    </row>
    <row r="354" spans="1:6" ht="21" customHeight="1" x14ac:dyDescent="0.25">
      <c r="A354" s="5812" t="s">
        <v>5953</v>
      </c>
      <c r="B354" s="7101" t="s">
        <v>1855</v>
      </c>
      <c r="C354" s="7102"/>
      <c r="D354" s="345" t="s">
        <v>4567</v>
      </c>
      <c r="E354" s="368" t="s">
        <v>4568</v>
      </c>
      <c r="F354" s="346" t="s">
        <v>4569</v>
      </c>
    </row>
    <row r="355" spans="1:6" x14ac:dyDescent="0.25">
      <c r="A355" s="5812" t="s">
        <v>5954</v>
      </c>
      <c r="B355" s="7101" t="s">
        <v>1649</v>
      </c>
      <c r="C355" s="7102"/>
      <c r="D355" s="345" t="s">
        <v>4567</v>
      </c>
      <c r="E355" s="368" t="s">
        <v>4568</v>
      </c>
      <c r="F355" s="346" t="s">
        <v>4569</v>
      </c>
    </row>
    <row r="356" spans="1:6" x14ac:dyDescent="0.25">
      <c r="A356" s="5812" t="s">
        <v>5955</v>
      </c>
      <c r="B356" s="7101" t="s">
        <v>1650</v>
      </c>
      <c r="C356" s="7102"/>
      <c r="D356" s="345" t="s">
        <v>4567</v>
      </c>
      <c r="E356" s="368" t="s">
        <v>4568</v>
      </c>
      <c r="F356" s="346" t="s">
        <v>4569</v>
      </c>
    </row>
    <row r="357" spans="1:6" x14ac:dyDescent="0.25">
      <c r="A357" s="5811" t="s">
        <v>5956</v>
      </c>
      <c r="B357" s="7097" t="s">
        <v>1856</v>
      </c>
      <c r="C357" s="7098"/>
      <c r="D357" s="379" t="s">
        <v>4567</v>
      </c>
      <c r="E357" s="2872" t="s">
        <v>4568</v>
      </c>
      <c r="F357" s="387" t="s">
        <v>4569</v>
      </c>
    </row>
    <row r="360" spans="1:6" x14ac:dyDescent="0.25">
      <c r="A360" t="s">
        <v>4777</v>
      </c>
    </row>
    <row r="361" spans="1:6" x14ac:dyDescent="0.25">
      <c r="A361" s="5812" t="s">
        <v>5957</v>
      </c>
    </row>
    <row r="362" spans="1:6" x14ac:dyDescent="0.25">
      <c r="A362" s="5812" t="s">
        <v>5958</v>
      </c>
    </row>
    <row r="363" spans="1:6" x14ac:dyDescent="0.25">
      <c r="A363" s="5817" t="s">
        <v>5959</v>
      </c>
    </row>
    <row r="364" spans="1:6" x14ac:dyDescent="0.25">
      <c r="A364" s="5817" t="s">
        <v>5960</v>
      </c>
    </row>
    <row r="365" spans="1:6" x14ac:dyDescent="0.25">
      <c r="A365" s="5812" t="s">
        <v>5961</v>
      </c>
    </row>
    <row r="366" spans="1:6" x14ac:dyDescent="0.25">
      <c r="A366" s="5812" t="s">
        <v>5962</v>
      </c>
    </row>
    <row r="367" spans="1:6" x14ac:dyDescent="0.25">
      <c r="A367" s="5812" t="s">
        <v>5963</v>
      </c>
    </row>
    <row r="368" spans="1:6" x14ac:dyDescent="0.25">
      <c r="A368" s="5812" t="s">
        <v>5964</v>
      </c>
    </row>
    <row r="369" spans="1:3" x14ac:dyDescent="0.25">
      <c r="A369" s="5812" t="s">
        <v>5965</v>
      </c>
    </row>
    <row r="370" spans="1:3" x14ac:dyDescent="0.25">
      <c r="A370" s="5812" t="s">
        <v>5966</v>
      </c>
    </row>
    <row r="371" spans="1:3" x14ac:dyDescent="0.25">
      <c r="A371" s="5818" t="s">
        <v>5967</v>
      </c>
    </row>
    <row r="372" spans="1:3" x14ac:dyDescent="0.25">
      <c r="A372" s="5818" t="s">
        <v>5968</v>
      </c>
    </row>
    <row r="373" spans="1:3" x14ac:dyDescent="0.25">
      <c r="A373" s="5818" t="s">
        <v>5969</v>
      </c>
    </row>
    <row r="374" spans="1:3" x14ac:dyDescent="0.25">
      <c r="A374" s="5818" t="s">
        <v>5970</v>
      </c>
    </row>
    <row r="375" spans="1:3" x14ac:dyDescent="0.25">
      <c r="A375" s="5818" t="s">
        <v>5971</v>
      </c>
    </row>
    <row r="376" spans="1:3" x14ac:dyDescent="0.25">
      <c r="A376" s="5818" t="s">
        <v>5972</v>
      </c>
    </row>
    <row r="377" spans="1:3" x14ac:dyDescent="0.25">
      <c r="A377" s="5818" t="s">
        <v>5973</v>
      </c>
    </row>
    <row r="378" spans="1:3" x14ac:dyDescent="0.25">
      <c r="A378" s="5818" t="s">
        <v>5974</v>
      </c>
    </row>
    <row r="379" spans="1:3" x14ac:dyDescent="0.25">
      <c r="A379" s="5818" t="s">
        <v>5975</v>
      </c>
    </row>
    <row r="380" spans="1:3" x14ac:dyDescent="0.25">
      <c r="A380" s="5818" t="s">
        <v>5976</v>
      </c>
    </row>
    <row r="381" spans="1:3" x14ac:dyDescent="0.25">
      <c r="A381" s="5818" t="s">
        <v>5977</v>
      </c>
    </row>
    <row r="382" spans="1:3" x14ac:dyDescent="0.25">
      <c r="A382" s="5818" t="s">
        <v>5978</v>
      </c>
    </row>
    <row r="383" spans="1:3" x14ac:dyDescent="0.25">
      <c r="A383" s="5818" t="s">
        <v>5979</v>
      </c>
    </row>
    <row r="384" spans="1:3" x14ac:dyDescent="0.25">
      <c r="A384" s="5818" t="s">
        <v>5980</v>
      </c>
      <c r="B384" s="3032" t="e">
        <f>SUM(E12:E17,E21:E38,E44:E67,E71:E81,J71:J81,E85:E86,E91:E143,C148:C158,J148:J158,E163:E174,E179:E200,E202:E226,E231:E234,E241:E245,E250:E335,E340:E344,D347:F357)</f>
        <v>#VALUE!</v>
      </c>
      <c r="C384" s="3033" t="e">
        <f>SUM(CP12:DA344)</f>
        <v>#VALUE!</v>
      </c>
    </row>
    <row r="385" spans="1:1" x14ac:dyDescent="0.25">
      <c r="A385" s="5818" t="s">
        <v>5981</v>
      </c>
    </row>
    <row r="386" spans="1:1" x14ac:dyDescent="0.25">
      <c r="A386" s="5818" t="s">
        <v>5861</v>
      </c>
    </row>
    <row r="387" spans="1:1" x14ac:dyDescent="0.25">
      <c r="A387" s="5818" t="s">
        <v>5862</v>
      </c>
    </row>
    <row r="388" spans="1:1" x14ac:dyDescent="0.25">
      <c r="A388" s="5818" t="s">
        <v>5982</v>
      </c>
    </row>
    <row r="389" spans="1:1" x14ac:dyDescent="0.25">
      <c r="A389" s="5818" t="s">
        <v>5983</v>
      </c>
    </row>
    <row r="390" spans="1:1" x14ac:dyDescent="0.25">
      <c r="A390" s="5818" t="s">
        <v>5984</v>
      </c>
    </row>
    <row r="391" spans="1:1" x14ac:dyDescent="0.25">
      <c r="A391" s="5818" t="s">
        <v>5985</v>
      </c>
    </row>
    <row r="392" spans="1:1" x14ac:dyDescent="0.25">
      <c r="A392" s="5818" t="s">
        <v>5986</v>
      </c>
    </row>
    <row r="393" spans="1:1" x14ac:dyDescent="0.25">
      <c r="A393" s="5818" t="s">
        <v>5987</v>
      </c>
    </row>
    <row r="395" spans="1:1" x14ac:dyDescent="0.25">
      <c r="A395" s="5812" t="s">
        <v>4566</v>
      </c>
    </row>
    <row r="396" spans="1:1" x14ac:dyDescent="0.25">
      <c r="A396" s="5819" t="s">
        <v>5678</v>
      </c>
    </row>
    <row r="397" spans="1:1" x14ac:dyDescent="0.25">
      <c r="A397" s="5819" t="s">
        <v>5679</v>
      </c>
    </row>
    <row r="398" spans="1:1" x14ac:dyDescent="0.25">
      <c r="A398" s="5819" t="s">
        <v>5697</v>
      </c>
    </row>
    <row r="399" spans="1:1" x14ac:dyDescent="0.25">
      <c r="A399" s="5819" t="s">
        <v>5702</v>
      </c>
    </row>
    <row r="400" spans="1:1" x14ac:dyDescent="0.25">
      <c r="A400" s="5819" t="s">
        <v>5703</v>
      </c>
    </row>
    <row r="401" spans="1:1" x14ac:dyDescent="0.25">
      <c r="A401" s="5819" t="s">
        <v>5732</v>
      </c>
    </row>
    <row r="402" spans="1:1" x14ac:dyDescent="0.25">
      <c r="A402" s="5819" t="s">
        <v>5733</v>
      </c>
    </row>
    <row r="403" spans="1:1" x14ac:dyDescent="0.25">
      <c r="A403" s="5819" t="s">
        <v>5734</v>
      </c>
    </row>
    <row r="404" spans="1:1" x14ac:dyDescent="0.25">
      <c r="A404" s="5819" t="s">
        <v>5735</v>
      </c>
    </row>
    <row r="405" spans="1:1" x14ac:dyDescent="0.25">
      <c r="A405" s="5819" t="s">
        <v>5736</v>
      </c>
    </row>
    <row r="406" spans="1:1" x14ac:dyDescent="0.25">
      <c r="A406" s="5819" t="s">
        <v>5737</v>
      </c>
    </row>
    <row r="407" spans="1:1" x14ac:dyDescent="0.25">
      <c r="A407" s="5819" t="s">
        <v>5738</v>
      </c>
    </row>
    <row r="408" spans="1:1" x14ac:dyDescent="0.25">
      <c r="A408" s="5819" t="s">
        <v>5739</v>
      </c>
    </row>
    <row r="409" spans="1:1" x14ac:dyDescent="0.25">
      <c r="A409" s="5819" t="s">
        <v>5740</v>
      </c>
    </row>
    <row r="410" spans="1:1" x14ac:dyDescent="0.25">
      <c r="A410" s="5819" t="s">
        <v>5741</v>
      </c>
    </row>
    <row r="411" spans="1:1" x14ac:dyDescent="0.25">
      <c r="A411" s="5819" t="s">
        <v>5742</v>
      </c>
    </row>
    <row r="412" spans="1:1" x14ac:dyDescent="0.25">
      <c r="A412" s="5819" t="s">
        <v>5743</v>
      </c>
    </row>
    <row r="413" spans="1:1" x14ac:dyDescent="0.25">
      <c r="A413" s="5819" t="s">
        <v>5768</v>
      </c>
    </row>
    <row r="414" spans="1:1" x14ac:dyDescent="0.25">
      <c r="A414" s="5819" t="s">
        <v>5781</v>
      </c>
    </row>
    <row r="415" spans="1:1" x14ac:dyDescent="0.25">
      <c r="A415" s="5819" t="s">
        <v>5783</v>
      </c>
    </row>
    <row r="416" spans="1:1" x14ac:dyDescent="0.25">
      <c r="A416" s="5819" t="s">
        <v>5784</v>
      </c>
    </row>
    <row r="417" spans="1:1" x14ac:dyDescent="0.25">
      <c r="A417" s="5819" t="s">
        <v>5785</v>
      </c>
    </row>
    <row r="418" spans="1:1" x14ac:dyDescent="0.25">
      <c r="A418" s="5819" t="s">
        <v>5786</v>
      </c>
    </row>
    <row r="419" spans="1:1" x14ac:dyDescent="0.25">
      <c r="A419" s="5819" t="s">
        <v>5787</v>
      </c>
    </row>
    <row r="420" spans="1:1" x14ac:dyDescent="0.25">
      <c r="A420" s="5819" t="s">
        <v>5788</v>
      </c>
    </row>
    <row r="421" spans="1:1" x14ac:dyDescent="0.25">
      <c r="A421" s="5819" t="s">
        <v>5789</v>
      </c>
    </row>
    <row r="422" spans="1:1" x14ac:dyDescent="0.25">
      <c r="A422" s="5819" t="s">
        <v>5790</v>
      </c>
    </row>
    <row r="423" spans="1:1" x14ac:dyDescent="0.25">
      <c r="A423" s="5819" t="s">
        <v>5791</v>
      </c>
    </row>
    <row r="424" spans="1:1" x14ac:dyDescent="0.25">
      <c r="A424" s="5819" t="s">
        <v>5792</v>
      </c>
    </row>
    <row r="425" spans="1:1" x14ac:dyDescent="0.25">
      <c r="A425" s="5819" t="s">
        <v>5793</v>
      </c>
    </row>
    <row r="426" spans="1:1" x14ac:dyDescent="0.25">
      <c r="A426" s="5819" t="s">
        <v>5794</v>
      </c>
    </row>
    <row r="427" spans="1:1" x14ac:dyDescent="0.25">
      <c r="A427" s="5819" t="s">
        <v>5795</v>
      </c>
    </row>
    <row r="428" spans="1:1" x14ac:dyDescent="0.25">
      <c r="A428" s="5819" t="s">
        <v>5799</v>
      </c>
    </row>
    <row r="429" spans="1:1" x14ac:dyDescent="0.25">
      <c r="A429" s="5819" t="s">
        <v>5800</v>
      </c>
    </row>
    <row r="430" spans="1:1" x14ac:dyDescent="0.25">
      <c r="A430" s="5819" t="s">
        <v>5801</v>
      </c>
    </row>
    <row r="431" spans="1:1" x14ac:dyDescent="0.25">
      <c r="A431" s="5819" t="s">
        <v>5804</v>
      </c>
    </row>
    <row r="432" spans="1:1" x14ac:dyDescent="0.25">
      <c r="A432" s="5819" t="s">
        <v>5810</v>
      </c>
    </row>
    <row r="433" spans="1:1" x14ac:dyDescent="0.25">
      <c r="A433" s="5819" t="s">
        <v>5812</v>
      </c>
    </row>
    <row r="434" spans="1:1" x14ac:dyDescent="0.25">
      <c r="A434" s="5819" t="s">
        <v>5815</v>
      </c>
    </row>
    <row r="435" spans="1:1" x14ac:dyDescent="0.25">
      <c r="A435" s="5819" t="s">
        <v>5816</v>
      </c>
    </row>
    <row r="436" spans="1:1" x14ac:dyDescent="0.25">
      <c r="A436" s="5819" t="s">
        <v>5821</v>
      </c>
    </row>
    <row r="437" spans="1:1" x14ac:dyDescent="0.25">
      <c r="A437" s="5819" t="s">
        <v>5822</v>
      </c>
    </row>
    <row r="438" spans="1:1" x14ac:dyDescent="0.25">
      <c r="A438" s="5819" t="s">
        <v>5823</v>
      </c>
    </row>
    <row r="439" spans="1:1" x14ac:dyDescent="0.25">
      <c r="A439" s="5819" t="s">
        <v>5824</v>
      </c>
    </row>
    <row r="440" spans="1:1" x14ac:dyDescent="0.25">
      <c r="A440" s="5819" t="s">
        <v>5845</v>
      </c>
    </row>
    <row r="441" spans="1:1" x14ac:dyDescent="0.25">
      <c r="A441" s="5819" t="s">
        <v>5846</v>
      </c>
    </row>
    <row r="442" spans="1:1" x14ac:dyDescent="0.25">
      <c r="A442" s="5819" t="s">
        <v>5847</v>
      </c>
    </row>
    <row r="443" spans="1:1" x14ac:dyDescent="0.25">
      <c r="A443" s="5819" t="s">
        <v>5848</v>
      </c>
    </row>
    <row r="444" spans="1:1" x14ac:dyDescent="0.25">
      <c r="A444" s="5819" t="s">
        <v>5849</v>
      </c>
    </row>
    <row r="445" spans="1:1" x14ac:dyDescent="0.25">
      <c r="A445" s="5819" t="s">
        <v>5859</v>
      </c>
    </row>
    <row r="446" spans="1:1" x14ac:dyDescent="0.25">
      <c r="A446" s="5819" t="s">
        <v>5860</v>
      </c>
    </row>
    <row r="447" spans="1:1" x14ac:dyDescent="0.25">
      <c r="A447" s="5819" t="s">
        <v>5935</v>
      </c>
    </row>
    <row r="448" spans="1:1" x14ac:dyDescent="0.25">
      <c r="A448" s="5819" t="s">
        <v>5936</v>
      </c>
    </row>
    <row r="449" spans="1:1" x14ac:dyDescent="0.25">
      <c r="A449" s="5819" t="s">
        <v>5937</v>
      </c>
    </row>
    <row r="450" spans="1:1" x14ac:dyDescent="0.25">
      <c r="A450" s="5819" t="s">
        <v>5938</v>
      </c>
    </row>
    <row r="451" spans="1:1" x14ac:dyDescent="0.25">
      <c r="A451" s="5819" t="s">
        <v>5939</v>
      </c>
    </row>
    <row r="452" spans="1:1" x14ac:dyDescent="0.25">
      <c r="A452" s="5819" t="s">
        <v>5940</v>
      </c>
    </row>
    <row r="453" spans="1:1" x14ac:dyDescent="0.25">
      <c r="A453" s="5819" t="s">
        <v>5956</v>
      </c>
    </row>
  </sheetData>
  <mergeCells count="563">
    <mergeCell ref="B357:C357"/>
    <mergeCell ref="B353:C353"/>
    <mergeCell ref="B356:C356"/>
    <mergeCell ref="B346:C346"/>
    <mergeCell ref="B347:C347"/>
    <mergeCell ref="B348:C348"/>
    <mergeCell ref="B349:C349"/>
    <mergeCell ref="B350:C350"/>
    <mergeCell ref="B351:C351"/>
    <mergeCell ref="B354:C354"/>
    <mergeCell ref="B355:C355"/>
    <mergeCell ref="B352:C352"/>
    <mergeCell ref="B340:D340"/>
    <mergeCell ref="B341:D341"/>
    <mergeCell ref="B342:D342"/>
    <mergeCell ref="B343:D343"/>
    <mergeCell ref="B344:D344"/>
    <mergeCell ref="H337:AQ337"/>
    <mergeCell ref="AR337:AR339"/>
    <mergeCell ref="AS337:AS339"/>
    <mergeCell ref="H338:I338"/>
    <mergeCell ref="J338:K338"/>
    <mergeCell ref="L338:M338"/>
    <mergeCell ref="N338:O338"/>
    <mergeCell ref="P338:Q338"/>
    <mergeCell ref="R338:S338"/>
    <mergeCell ref="T338:U338"/>
    <mergeCell ref="V338:W338"/>
    <mergeCell ref="X338:Y338"/>
    <mergeCell ref="Z338:AA338"/>
    <mergeCell ref="AB338:AC338"/>
    <mergeCell ref="AD338:AE338"/>
    <mergeCell ref="AF338:AG338"/>
    <mergeCell ref="AH338:AI338"/>
    <mergeCell ref="AJ338:AK338"/>
    <mergeCell ref="AL338:AM338"/>
    <mergeCell ref="AN338:AO338"/>
    <mergeCell ref="AP338:AQ338"/>
    <mergeCell ref="B330:B335"/>
    <mergeCell ref="C330:D330"/>
    <mergeCell ref="C331:D331"/>
    <mergeCell ref="C332:D332"/>
    <mergeCell ref="C333:D333"/>
    <mergeCell ref="C334:D334"/>
    <mergeCell ref="C335:D335"/>
    <mergeCell ref="B337:D339"/>
    <mergeCell ref="E337:G338"/>
    <mergeCell ref="C322:D322"/>
    <mergeCell ref="C323:D323"/>
    <mergeCell ref="B324:B329"/>
    <mergeCell ref="C324:D324"/>
    <mergeCell ref="C325:D325"/>
    <mergeCell ref="C326:D326"/>
    <mergeCell ref="C327:D327"/>
    <mergeCell ref="C328:D328"/>
    <mergeCell ref="C329:D329"/>
    <mergeCell ref="B318:B323"/>
    <mergeCell ref="C318:D318"/>
    <mergeCell ref="C319:D319"/>
    <mergeCell ref="C320:D320"/>
    <mergeCell ref="C321:D321"/>
    <mergeCell ref="AV247:AV249"/>
    <mergeCell ref="AW247:AW249"/>
    <mergeCell ref="AX247:AX249"/>
    <mergeCell ref="AY247:AY249"/>
    <mergeCell ref="H248:I248"/>
    <mergeCell ref="J248:K248"/>
    <mergeCell ref="L248:M248"/>
    <mergeCell ref="N248:O248"/>
    <mergeCell ref="P248:Q248"/>
    <mergeCell ref="R248:S248"/>
    <mergeCell ref="T248:U248"/>
    <mergeCell ref="V248:W248"/>
    <mergeCell ref="X248:Y248"/>
    <mergeCell ref="Z248:AA248"/>
    <mergeCell ref="AB248:AC248"/>
    <mergeCell ref="AD248:AE248"/>
    <mergeCell ref="AF248:AG248"/>
    <mergeCell ref="AH248:AI248"/>
    <mergeCell ref="AJ248:AK248"/>
    <mergeCell ref="AL248:AM248"/>
    <mergeCell ref="AP248:AP249"/>
    <mergeCell ref="AQ248:AQ249"/>
    <mergeCell ref="E247:G248"/>
    <mergeCell ref="H247:AM247"/>
    <mergeCell ref="AN247:AN249"/>
    <mergeCell ref="AO247:AO249"/>
    <mergeCell ref="AP247:AQ247"/>
    <mergeCell ref="AR247:AR249"/>
    <mergeCell ref="AS247:AS249"/>
    <mergeCell ref="AT247:AT249"/>
    <mergeCell ref="AU247:AU249"/>
    <mergeCell ref="AW176:AW178"/>
    <mergeCell ref="AX176:AX178"/>
    <mergeCell ref="AY176:AY178"/>
    <mergeCell ref="H177:I177"/>
    <mergeCell ref="J177:K177"/>
    <mergeCell ref="L177:M177"/>
    <mergeCell ref="N177:O177"/>
    <mergeCell ref="P177:Q177"/>
    <mergeCell ref="R177:S177"/>
    <mergeCell ref="T177:U177"/>
    <mergeCell ref="V177:W177"/>
    <mergeCell ref="X177:Y177"/>
    <mergeCell ref="Z177:AA177"/>
    <mergeCell ref="AB177:AC177"/>
    <mergeCell ref="AD177:AE177"/>
    <mergeCell ref="AF177:AG177"/>
    <mergeCell ref="AH177:AI177"/>
    <mergeCell ref="AJ177:AK177"/>
    <mergeCell ref="AL177:AM177"/>
    <mergeCell ref="AN177:AO177"/>
    <mergeCell ref="AP177:AQ177"/>
    <mergeCell ref="B174:D174"/>
    <mergeCell ref="B176:D178"/>
    <mergeCell ref="E176:G177"/>
    <mergeCell ref="H176:AQ176"/>
    <mergeCell ref="AR176:AR178"/>
    <mergeCell ref="AS176:AS178"/>
    <mergeCell ref="AT176:AT178"/>
    <mergeCell ref="AU176:AU178"/>
    <mergeCell ref="AV176:AV178"/>
    <mergeCell ref="AX160:AX162"/>
    <mergeCell ref="AY160:AY162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X161:Y161"/>
    <mergeCell ref="Z161:AA161"/>
    <mergeCell ref="AB161:AC161"/>
    <mergeCell ref="AD161:AE161"/>
    <mergeCell ref="AF161:AG161"/>
    <mergeCell ref="AH161:AI161"/>
    <mergeCell ref="AJ161:AK161"/>
    <mergeCell ref="AL161:AM161"/>
    <mergeCell ref="AN161:AO161"/>
    <mergeCell ref="AP161:AQ161"/>
    <mergeCell ref="AY88:AY90"/>
    <mergeCell ref="B91:B96"/>
    <mergeCell ref="C91:D91"/>
    <mergeCell ref="B97:B102"/>
    <mergeCell ref="B141:D141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O145:O147"/>
    <mergeCell ref="AX145:AX147"/>
    <mergeCell ref="AY145:AY147"/>
    <mergeCell ref="B143:D143"/>
    <mergeCell ref="B136:D136"/>
    <mergeCell ref="B137:D137"/>
    <mergeCell ref="E69:I69"/>
    <mergeCell ref="J69:N69"/>
    <mergeCell ref="O69:O70"/>
    <mergeCell ref="B71:D71"/>
    <mergeCell ref="B72:B73"/>
    <mergeCell ref="C73:D73"/>
    <mergeCell ref="C303:D303"/>
    <mergeCell ref="C304:D304"/>
    <mergeCell ref="C297:D297"/>
    <mergeCell ref="C298:D298"/>
    <mergeCell ref="C299:D299"/>
    <mergeCell ref="C300:D300"/>
    <mergeCell ref="C301:D301"/>
    <mergeCell ref="C302:D302"/>
    <mergeCell ref="C291:D291"/>
    <mergeCell ref="C292:D292"/>
    <mergeCell ref="C293:D293"/>
    <mergeCell ref="C294:D294"/>
    <mergeCell ref="C295:D295"/>
    <mergeCell ref="C296:D296"/>
    <mergeCell ref="B288:B293"/>
    <mergeCell ref="B294:B299"/>
    <mergeCell ref="C285:D285"/>
    <mergeCell ref="B172:D172"/>
    <mergeCell ref="C305:D305"/>
    <mergeCell ref="C306:D306"/>
    <mergeCell ref="C307:D307"/>
    <mergeCell ref="B312:B317"/>
    <mergeCell ref="C312:D312"/>
    <mergeCell ref="C313:D313"/>
    <mergeCell ref="C314:D314"/>
    <mergeCell ref="C315:D315"/>
    <mergeCell ref="C316:D316"/>
    <mergeCell ref="C317:D317"/>
    <mergeCell ref="C308:D308"/>
    <mergeCell ref="B306:B311"/>
    <mergeCell ref="C309:D309"/>
    <mergeCell ref="C310:D310"/>
    <mergeCell ref="C311:D311"/>
    <mergeCell ref="B300:B305"/>
    <mergeCell ref="C288:D288"/>
    <mergeCell ref="C289:D289"/>
    <mergeCell ref="C290:D290"/>
    <mergeCell ref="C279:D279"/>
    <mergeCell ref="C280:D280"/>
    <mergeCell ref="C281:D281"/>
    <mergeCell ref="C282:D282"/>
    <mergeCell ref="C283:D283"/>
    <mergeCell ref="C284:D284"/>
    <mergeCell ref="B276:B281"/>
    <mergeCell ref="B282:B287"/>
    <mergeCell ref="C273:D273"/>
    <mergeCell ref="C274:D274"/>
    <mergeCell ref="C275:D275"/>
    <mergeCell ref="C276:D276"/>
    <mergeCell ref="C277:D277"/>
    <mergeCell ref="C278:D278"/>
    <mergeCell ref="C267:D267"/>
    <mergeCell ref="C268:D268"/>
    <mergeCell ref="C269:D269"/>
    <mergeCell ref="C270:D270"/>
    <mergeCell ref="C271:D271"/>
    <mergeCell ref="C272:D272"/>
    <mergeCell ref="B264:B269"/>
    <mergeCell ref="B270:B275"/>
    <mergeCell ref="C286:D286"/>
    <mergeCell ref="C287:D287"/>
    <mergeCell ref="C264:D264"/>
    <mergeCell ref="C265:D265"/>
    <mergeCell ref="C266:D266"/>
    <mergeCell ref="B243:D243"/>
    <mergeCell ref="B244:D244"/>
    <mergeCell ref="B245:D245"/>
    <mergeCell ref="B247:D249"/>
    <mergeCell ref="B250:B251"/>
    <mergeCell ref="C261:D261"/>
    <mergeCell ref="C262:D262"/>
    <mergeCell ref="C263:D263"/>
    <mergeCell ref="B241:D241"/>
    <mergeCell ref="B242:D242"/>
    <mergeCell ref="C255:D255"/>
    <mergeCell ref="C256:D256"/>
    <mergeCell ref="C257:D257"/>
    <mergeCell ref="C258:D258"/>
    <mergeCell ref="C259:D259"/>
    <mergeCell ref="C260:D260"/>
    <mergeCell ref="B252:B257"/>
    <mergeCell ref="B258:B263"/>
    <mergeCell ref="C250:D250"/>
    <mergeCell ref="C251:D251"/>
    <mergeCell ref="C252:D252"/>
    <mergeCell ref="C253:D253"/>
    <mergeCell ref="C254:D254"/>
    <mergeCell ref="AH228:AH230"/>
    <mergeCell ref="AI228:AI230"/>
    <mergeCell ref="B228:D230"/>
    <mergeCell ref="E228:G229"/>
    <mergeCell ref="AB229:AC229"/>
    <mergeCell ref="J229:K229"/>
    <mergeCell ref="L229:M229"/>
    <mergeCell ref="N229:O229"/>
    <mergeCell ref="P229:Q229"/>
    <mergeCell ref="R229:S229"/>
    <mergeCell ref="T229:U229"/>
    <mergeCell ref="V229:W229"/>
    <mergeCell ref="X229:Y229"/>
    <mergeCell ref="B232:D232"/>
    <mergeCell ref="B233:D233"/>
    <mergeCell ref="B234:D234"/>
    <mergeCell ref="B235:D235"/>
    <mergeCell ref="B236:D236"/>
    <mergeCell ref="B238:D240"/>
    <mergeCell ref="E238:G239"/>
    <mergeCell ref="H238:H240"/>
    <mergeCell ref="H228:AC228"/>
    <mergeCell ref="L238:L240"/>
    <mergeCell ref="I238:I240"/>
    <mergeCell ref="J238:J240"/>
    <mergeCell ref="K238:K240"/>
    <mergeCell ref="B231:D231"/>
    <mergeCell ref="AJ228:AJ230"/>
    <mergeCell ref="H229:I229"/>
    <mergeCell ref="B201:B203"/>
    <mergeCell ref="C201:C203"/>
    <mergeCell ref="B204:B211"/>
    <mergeCell ref="C204:C206"/>
    <mergeCell ref="C207:C208"/>
    <mergeCell ref="C209:C211"/>
    <mergeCell ref="B212:B216"/>
    <mergeCell ref="C212:D212"/>
    <mergeCell ref="C213:C214"/>
    <mergeCell ref="C215:C216"/>
    <mergeCell ref="B217:B219"/>
    <mergeCell ref="C217:C219"/>
    <mergeCell ref="B220:B221"/>
    <mergeCell ref="C220:C221"/>
    <mergeCell ref="B222:B226"/>
    <mergeCell ref="C222:C223"/>
    <mergeCell ref="C224:C226"/>
    <mergeCell ref="Z229:AA229"/>
    <mergeCell ref="AD228:AD230"/>
    <mergeCell ref="AE228:AE230"/>
    <mergeCell ref="AF228:AF230"/>
    <mergeCell ref="AG228:AG230"/>
    <mergeCell ref="B192:B200"/>
    <mergeCell ref="C192:D192"/>
    <mergeCell ref="C193:D193"/>
    <mergeCell ref="C194:D194"/>
    <mergeCell ref="C195:D195"/>
    <mergeCell ref="C196:C200"/>
    <mergeCell ref="B179:B191"/>
    <mergeCell ref="C179:D179"/>
    <mergeCell ref="C180:D180"/>
    <mergeCell ref="C181:D181"/>
    <mergeCell ref="C182:D182"/>
    <mergeCell ref="C183:C191"/>
    <mergeCell ref="B169:D169"/>
    <mergeCell ref="B170:C170"/>
    <mergeCell ref="B171:D171"/>
    <mergeCell ref="AR160:AR162"/>
    <mergeCell ref="AS160:AS162"/>
    <mergeCell ref="AT145:AT147"/>
    <mergeCell ref="AU145:AU147"/>
    <mergeCell ref="AV145:AV147"/>
    <mergeCell ref="AW145:AW147"/>
    <mergeCell ref="AR145:AR147"/>
    <mergeCell ref="AS145:AS147"/>
    <mergeCell ref="B160:D162"/>
    <mergeCell ref="E160:G161"/>
    <mergeCell ref="H160:AQ160"/>
    <mergeCell ref="B163:D163"/>
    <mergeCell ref="B164:D164"/>
    <mergeCell ref="B165:D165"/>
    <mergeCell ref="B166:D166"/>
    <mergeCell ref="B167:D167"/>
    <mergeCell ref="B168:D168"/>
    <mergeCell ref="AT160:AT162"/>
    <mergeCell ref="AU160:AU162"/>
    <mergeCell ref="AV160:AV162"/>
    <mergeCell ref="AW160:AW162"/>
    <mergeCell ref="B138:D138"/>
    <mergeCell ref="B139:D139"/>
    <mergeCell ref="B142:D142"/>
    <mergeCell ref="B130:D130"/>
    <mergeCell ref="B131:D131"/>
    <mergeCell ref="B132:D132"/>
    <mergeCell ref="B133:D133"/>
    <mergeCell ref="B134:D134"/>
    <mergeCell ref="B135:D135"/>
    <mergeCell ref="B125:D125"/>
    <mergeCell ref="B126:D126"/>
    <mergeCell ref="B127:D127"/>
    <mergeCell ref="B128:D128"/>
    <mergeCell ref="B129:D129"/>
    <mergeCell ref="B119:D119"/>
    <mergeCell ref="B120:D120"/>
    <mergeCell ref="B121:D121"/>
    <mergeCell ref="B122:D122"/>
    <mergeCell ref="B123:D123"/>
    <mergeCell ref="B124:D124"/>
    <mergeCell ref="B113:D113"/>
    <mergeCell ref="B114:D114"/>
    <mergeCell ref="B115:D115"/>
    <mergeCell ref="B116:D116"/>
    <mergeCell ref="B117:D117"/>
    <mergeCell ref="B118:D118"/>
    <mergeCell ref="B108:D108"/>
    <mergeCell ref="B109:D109"/>
    <mergeCell ref="B110:D110"/>
    <mergeCell ref="B111:D111"/>
    <mergeCell ref="B112:D112"/>
    <mergeCell ref="B107:D107"/>
    <mergeCell ref="C92:D92"/>
    <mergeCell ref="C93:D93"/>
    <mergeCell ref="C94:D94"/>
    <mergeCell ref="C95:D95"/>
    <mergeCell ref="C96:D96"/>
    <mergeCell ref="C97:D97"/>
    <mergeCell ref="C98:D98"/>
    <mergeCell ref="C99:D99"/>
    <mergeCell ref="C100:D100"/>
    <mergeCell ref="C101:D101"/>
    <mergeCell ref="C102:D102"/>
    <mergeCell ref="R89:S89"/>
    <mergeCell ref="T89:U89"/>
    <mergeCell ref="V89:W89"/>
    <mergeCell ref="X89:Y89"/>
    <mergeCell ref="Z89:AA89"/>
    <mergeCell ref="B103:D103"/>
    <mergeCell ref="B104:D104"/>
    <mergeCell ref="B105:D105"/>
    <mergeCell ref="B106:D106"/>
    <mergeCell ref="AS88:AS90"/>
    <mergeCell ref="AT88:AT90"/>
    <mergeCell ref="AU88:AU90"/>
    <mergeCell ref="AV88:AV90"/>
    <mergeCell ref="AW88:AW90"/>
    <mergeCell ref="AX88:AX90"/>
    <mergeCell ref="B88:D90"/>
    <mergeCell ref="E88:G89"/>
    <mergeCell ref="H88:AO88"/>
    <mergeCell ref="AP88:AP90"/>
    <mergeCell ref="AQ88:AQ90"/>
    <mergeCell ref="AR88:AR90"/>
    <mergeCell ref="H89:I89"/>
    <mergeCell ref="J89:K89"/>
    <mergeCell ref="L89:M89"/>
    <mergeCell ref="N89:O89"/>
    <mergeCell ref="AN89:AO89"/>
    <mergeCell ref="AJ89:AK89"/>
    <mergeCell ref="AL89:AM89"/>
    <mergeCell ref="AB89:AC89"/>
    <mergeCell ref="AD89:AE89"/>
    <mergeCell ref="AF89:AG89"/>
    <mergeCell ref="AH89:AI89"/>
    <mergeCell ref="P89:Q89"/>
    <mergeCell ref="B79:D79"/>
    <mergeCell ref="B80:D80"/>
    <mergeCell ref="B81:D81"/>
    <mergeCell ref="B83:D84"/>
    <mergeCell ref="E83:G83"/>
    <mergeCell ref="B85:B86"/>
    <mergeCell ref="C85:D85"/>
    <mergeCell ref="C86:D86"/>
    <mergeCell ref="B74:D74"/>
    <mergeCell ref="B75:D75"/>
    <mergeCell ref="B77:D77"/>
    <mergeCell ref="B78:D78"/>
    <mergeCell ref="B76:D76"/>
    <mergeCell ref="B63:D63"/>
    <mergeCell ref="C72:D72"/>
    <mergeCell ref="B48:D48"/>
    <mergeCell ref="B50:D50"/>
    <mergeCell ref="B51:C56"/>
    <mergeCell ref="B57:D57"/>
    <mergeCell ref="B58:C62"/>
    <mergeCell ref="B49:D49"/>
    <mergeCell ref="B64:C66"/>
    <mergeCell ref="B67:D67"/>
    <mergeCell ref="B69:D70"/>
    <mergeCell ref="B44:D44"/>
    <mergeCell ref="B45:D45"/>
    <mergeCell ref="B46:D46"/>
    <mergeCell ref="B47:D47"/>
    <mergeCell ref="AB42:AC42"/>
    <mergeCell ref="AD42:AE42"/>
    <mergeCell ref="AF42:AG42"/>
    <mergeCell ref="AH42:AI42"/>
    <mergeCell ref="AJ42:AK42"/>
    <mergeCell ref="E41:G42"/>
    <mergeCell ref="AV41:AV43"/>
    <mergeCell ref="AW41:AW43"/>
    <mergeCell ref="AX41:AX43"/>
    <mergeCell ref="AY41:AY43"/>
    <mergeCell ref="H42:I42"/>
    <mergeCell ref="J42:K42"/>
    <mergeCell ref="L42:M42"/>
    <mergeCell ref="N42:O42"/>
    <mergeCell ref="P42:Q42"/>
    <mergeCell ref="R42:S42"/>
    <mergeCell ref="H41:AQ41"/>
    <mergeCell ref="AR41:AR43"/>
    <mergeCell ref="AS41:AS43"/>
    <mergeCell ref="AT41:AT43"/>
    <mergeCell ref="AU41:AU43"/>
    <mergeCell ref="T42:U42"/>
    <mergeCell ref="V42:W42"/>
    <mergeCell ref="X42:Y42"/>
    <mergeCell ref="Z42:AA42"/>
    <mergeCell ref="AN42:AO42"/>
    <mergeCell ref="AP42:AQ42"/>
    <mergeCell ref="AL42:AM42"/>
    <mergeCell ref="B34:D34"/>
    <mergeCell ref="B35:D35"/>
    <mergeCell ref="B36:D36"/>
    <mergeCell ref="B37:D37"/>
    <mergeCell ref="B39:D39"/>
    <mergeCell ref="B41:D43"/>
    <mergeCell ref="B28:D28"/>
    <mergeCell ref="B29:D29"/>
    <mergeCell ref="B30:D30"/>
    <mergeCell ref="B31:D31"/>
    <mergeCell ref="B32:D32"/>
    <mergeCell ref="B33:D33"/>
    <mergeCell ref="AW19:AW20"/>
    <mergeCell ref="B21:D21"/>
    <mergeCell ref="AL19:AM19"/>
    <mergeCell ref="AN19:AO19"/>
    <mergeCell ref="AP19:AQ19"/>
    <mergeCell ref="AR19:AR20"/>
    <mergeCell ref="AS19:AS20"/>
    <mergeCell ref="AT19:AT20"/>
    <mergeCell ref="Z19:AA19"/>
    <mergeCell ref="AB19:AC19"/>
    <mergeCell ref="AD19:AE19"/>
    <mergeCell ref="AF19:AG19"/>
    <mergeCell ref="AH19:AI19"/>
    <mergeCell ref="AJ19:AK19"/>
    <mergeCell ref="N19:O19"/>
    <mergeCell ref="P19:Q19"/>
    <mergeCell ref="B22:D22"/>
    <mergeCell ref="B23:D23"/>
    <mergeCell ref="B16:D16"/>
    <mergeCell ref="B17:D17"/>
    <mergeCell ref="B24:D24"/>
    <mergeCell ref="B25:D25"/>
    <mergeCell ref="B26:D26"/>
    <mergeCell ref="B27:D27"/>
    <mergeCell ref="AU19:AU20"/>
    <mergeCell ref="AL10:AM10"/>
    <mergeCell ref="AX19:AX20"/>
    <mergeCell ref="AY19:AY20"/>
    <mergeCell ref="B12:D12"/>
    <mergeCell ref="B13:D13"/>
    <mergeCell ref="B14:D14"/>
    <mergeCell ref="B15:D15"/>
    <mergeCell ref="B19:D20"/>
    <mergeCell ref="E19:G19"/>
    <mergeCell ref="H19:I19"/>
    <mergeCell ref="J19:K19"/>
    <mergeCell ref="L19:M19"/>
    <mergeCell ref="R19:S19"/>
    <mergeCell ref="T19:U19"/>
    <mergeCell ref="V19:W19"/>
    <mergeCell ref="X19:Y19"/>
    <mergeCell ref="AN10:AO10"/>
    <mergeCell ref="R10:S10"/>
    <mergeCell ref="T10:U10"/>
    <mergeCell ref="V10:W10"/>
    <mergeCell ref="X10:Y10"/>
    <mergeCell ref="Z10:AA10"/>
    <mergeCell ref="AB10:AC10"/>
    <mergeCell ref="AV19:AV20"/>
    <mergeCell ref="H67:AA67"/>
    <mergeCell ref="B6:Q6"/>
    <mergeCell ref="DS6:EJ6"/>
    <mergeCell ref="B9:D11"/>
    <mergeCell ref="E9:G10"/>
    <mergeCell ref="H9:AQ9"/>
    <mergeCell ref="AR9:AR11"/>
    <mergeCell ref="AS9:AS11"/>
    <mergeCell ref="AT9:AT11"/>
    <mergeCell ref="AU9:AU11"/>
    <mergeCell ref="AV9:AV11"/>
    <mergeCell ref="AW9:AW11"/>
    <mergeCell ref="AX9:AX11"/>
    <mergeCell ref="AY9:AY11"/>
    <mergeCell ref="H10:I10"/>
    <mergeCell ref="J10:K10"/>
    <mergeCell ref="L10:M10"/>
    <mergeCell ref="N10:O10"/>
    <mergeCell ref="P10:Q10"/>
    <mergeCell ref="AP10:AQ10"/>
    <mergeCell ref="AD10:AE10"/>
    <mergeCell ref="AF10:AG10"/>
    <mergeCell ref="AH10:AI10"/>
    <mergeCell ref="AJ10:AK10"/>
  </mergeCells>
  <dataValidations count="10">
    <dataValidation type="whole" operator="greaterThanOrEqual" allowBlank="1" showInputMessage="1" showErrorMessage="1" errorTitle="Error" error="Favor Ingrese sólo Números." sqref="P148:AY156 H12:AY17 H23:U33 V45:Y63 F85:G86 AI183 AP196 AK183 P157 H163:AY173 AD196 AF196 AG183 AE183 AR196:AY196 H340:AS344 AE231:AE236 AM183 AH196 AO183 AJ196 AQ183:AY183 AL196 AN196 F241:L245 H45:S46 T44:U63 V21:AY38 H35:U38 H21:U21 H48:S63 AB44:AY67 Z44:AA66" xr:uid="{00000000-0002-0000-0900-000000000000}">
      <formula1>0</formula1>
    </dataValidation>
    <dataValidation type="whole" operator="greaterThanOrEqual" allowBlank="1" showInputMessage="1" showErrorMessage="1" sqref="K71:O81 F71:I81" xr:uid="{103569F6-8656-4260-956F-386A5CDEB186}">
      <formula1>0</formula1>
    </dataValidation>
    <dataValidation type="whole" operator="equal" allowBlank="1" showInputMessage="1" showErrorMessage="1" errorTitle="Error" error="Favor Ingrese sólo Números." sqref="H22:U22 H44:S44 H47:S47 V44:Y44 H34:U34 H64:H67 I64:Y66" xr:uid="{714DC3D5-0680-41E3-93EB-1CC193492D91}">
      <formula1>0</formula1>
    </dataValidation>
    <dataValidation type="whole" operator="equal" allowBlank="1" showInputMessage="1" showErrorMessage="1" sqref="AW330:AW332 AW334:AW335 AP331:AQ331 AP332:AR335 H231:K236 E235:G236 L235:U236 V231:AC236 AD235:AD236 AI235:AJ236 AB220:AC221 Z220:AA226 H204:Y226 Z204:AA216 AB209:AC216 AD212:AK216 AN212:AQ216 AT212:AU216 AW205:AW206 AW208 AW210:AW211 AW220:AW221 AW223 AW225:AW226 H179:AC200 AD179:AD191 AF179:AF191 AH179:AH191 AJ179:AJ191 AL179:AL191 AN179:AN191 AP179:AP191 AQ192:AQ200 AO192:AO200 AM192:AM200 AK192:AK200 AI192:AI200 AG192:AG200 AE192:AE200 AW192:AW195 G148 G151:G152 G154 G156 M148 M151:M152 M154 M156 H121:Q127 R122:Y125 R127:Y127 H110:Q114 H104:Y104" xr:uid="{8B9CE04D-E205-43B5-B707-8FC1AF87FB78}">
      <formula1>0</formula1>
    </dataValidation>
    <dataValidation type="whole" allowBlank="1" showInputMessage="1" showErrorMessage="1" sqref="AB202:AC208 AB222:AC226 Z217:AC219 Z202:AA203 H128:Y142 Z91:AY142 H105:Q109 R126:Y126 H115:Q120 H91:Y103 R105:Y121" xr:uid="{8CF5700F-03BA-460E-81EE-C598E1057758}">
      <formula1>0</formula1>
      <formula2>9.99999999999999E+40</formula2>
    </dataValidation>
    <dataValidation type="whole" allowBlank="1" showInputMessage="1" showErrorMessage="1" sqref="AW184:AW191 G157 AR179:AY182 AW224 AR197:AY200 H250:AY329 AR202:AS226 AT217:AU226 AT202:AU211 AV202:AV226 AX202:AY226 AW202:AW204 AW207 AW209 AW212:AW219 AW222 AR184:AV195 AX184:AY195 D148:F157 H148:I157 G149:G150 G153 G155 K148:L157 N148:O157 M157 M155 M153 M149:M150" xr:uid="{3FDBDA2C-8336-4286-8FF2-247CF3C41D2B}">
      <formula1>0</formula1>
      <formula2>9.99999999999999E+39</formula2>
    </dataValidation>
    <dataValidation type="whole" allowBlank="1" showInputMessage="1" showErrorMessage="1" sqref="F179:F191 G192:G200" xr:uid="{3EE8E97D-9BE9-46E2-8737-EA7AD5E2BA63}">
      <formula1>0</formula1>
      <formula2>9.99999999999999E+34</formula2>
    </dataValidation>
    <dataValidation type="whole" allowBlank="1" showInputMessage="1" showErrorMessage="1" sqref="H202:Y203 D347:F357" xr:uid="{0ABB7874-19D2-4B4C-AAD3-4E3A907B79D9}">
      <formula1>0</formula1>
      <formula2>9.99999999999999E+42</formula2>
    </dataValidation>
    <dataValidation type="whole" allowBlank="1" showInputMessage="1" showErrorMessage="1" sqref="AD192:AD195 AN217:AQ226 AQ184:AQ191 AD217:AK226 AD202:AK211 AL202:AM226 AN202:AQ211 AG179:AG182 AL192:AL195 AH192:AH195 AF192:AF195 AE179:AE182 AF197:AF200 AH197:AH200 AI179:AI182 AJ197:AJ200 AJ192:AJ195 AL197:AL200 AP192:AP195 AK179:AK182 AM179:AM182 AN197:AN200 AN192:AN195 AP197:AP200 AQ179:AQ182 AO179:AO182 AO184:AO191 AM184:AM191 AK184:AK191 AI184:AI191 AG184:AG191 AD197:AD200 AE184:AE191" xr:uid="{D0787436-2597-41C3-896D-F3EB73D941A9}">
      <formula1>0</formula1>
      <formula2>9.99999999999999E+38</formula2>
    </dataValidation>
    <dataValidation type="whole" allowBlank="1" showInputMessage="1" showErrorMessage="1" sqref="AD231:AD234 L231:U234 AF231:AH236 AI231:AJ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G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17.5703125" customWidth="1"/>
    <col min="2" max="2" width="43.140625" customWidth="1"/>
    <col min="3" max="3" width="35.85546875" customWidth="1"/>
    <col min="4" max="4" width="16.85546875" customWidth="1"/>
    <col min="5" max="5" width="14.85546875" customWidth="1"/>
    <col min="6" max="6" width="14.5703125" customWidth="1"/>
    <col min="45" max="45" width="13.42578125" customWidth="1"/>
    <col min="47" max="47" width="12.85546875" customWidth="1"/>
    <col min="49" max="49" width="12.42578125" customWidth="1"/>
    <col min="51" max="51" width="12.140625" customWidth="1"/>
    <col min="77" max="78" width="8.140625" customWidth="1"/>
    <col min="79" max="79" width="9.42578125" hidden="1" customWidth="1"/>
    <col min="80" max="85" width="14" hidden="1" customWidth="1"/>
    <col min="86" max="91" width="11.42578125" hidden="1" customWidth="1"/>
    <col min="92" max="92" width="11.85546875" hidden="1" customWidth="1"/>
    <col min="93" max="132" width="11.42578125" hidden="1" customWidth="1"/>
    <col min="133" max="133" width="24.28515625" hidden="1" customWidth="1"/>
    <col min="134" max="137" width="11.42578125" hidden="1" customWidth="1"/>
    <col min="138" max="138" width="9.42578125" customWidth="1"/>
    <col min="139" max="140" width="8.140625" customWidth="1"/>
  </cols>
  <sheetData>
    <row r="1" spans="1:134" x14ac:dyDescent="0.25">
      <c r="B1" s="50" t="s">
        <v>23</v>
      </c>
    </row>
    <row r="2" spans="1:134" x14ac:dyDescent="0.25">
      <c r="B2" s="50" t="str">
        <f>CONCATENATE("COMUNA: ",NOMBRE!B2, " (",NOMBRE!C2,NOMBRE!D2,NOMBRE!E2,NOMBRE!F2,NOMBRE!G2,")")</f>
        <v>COMUNA:  ()</v>
      </c>
    </row>
    <row r="3" spans="1:134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134" x14ac:dyDescent="0.25">
      <c r="B4" s="50" t="str">
        <f>CONCATENATE("MES: ",NOMBRE!B6, " (",NOMBRE!C6,NOMBRE!D6,")")</f>
        <v>MES:  ()</v>
      </c>
    </row>
    <row r="5" spans="1:134" x14ac:dyDescent="0.25">
      <c r="B5" s="50" t="str">
        <f>CONCATENATE("AÑO: ",NOMBRE!B7)</f>
        <v>AÑO: 2025</v>
      </c>
    </row>
    <row r="6" spans="1:134" s="1936" customFormat="1" ht="18" customHeight="1" x14ac:dyDescent="0.25">
      <c r="B6" s="6087" t="s">
        <v>1857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3883"/>
      <c r="S6" s="3883"/>
      <c r="T6" s="3883"/>
      <c r="U6" s="3883"/>
      <c r="V6" s="3883"/>
      <c r="W6" s="3883"/>
      <c r="X6" s="3883"/>
      <c r="Y6" s="3883"/>
      <c r="Z6" s="3883"/>
      <c r="AA6" s="3883"/>
      <c r="AB6" s="3883"/>
      <c r="AC6" s="3883"/>
      <c r="AD6" s="3883"/>
      <c r="AE6" s="3883"/>
      <c r="AF6" s="3883"/>
      <c r="AG6" s="7"/>
      <c r="AH6" s="7"/>
      <c r="AI6" s="7"/>
      <c r="AJ6" s="7"/>
      <c r="AK6" s="7"/>
      <c r="AL6" s="7"/>
      <c r="AM6" s="7"/>
      <c r="AN6" s="2150"/>
      <c r="AO6" s="2150"/>
      <c r="AP6" s="2150"/>
      <c r="AQ6" s="2150"/>
      <c r="AR6" s="2150"/>
      <c r="AS6" s="2150"/>
      <c r="AT6" s="2150"/>
      <c r="AU6" s="2150"/>
      <c r="AV6" s="2150"/>
      <c r="AW6" s="2150"/>
      <c r="AX6" s="2150"/>
      <c r="AY6" s="3884"/>
      <c r="AZ6" s="3884"/>
      <c r="BA6" s="3884"/>
      <c r="BB6" s="3884"/>
      <c r="BC6" s="3884"/>
      <c r="BD6" s="3884"/>
      <c r="BE6" s="3884"/>
      <c r="BF6" s="3884"/>
      <c r="BG6" s="3884"/>
      <c r="BH6" s="3884"/>
      <c r="BI6" s="3884"/>
      <c r="BJ6" s="3884"/>
      <c r="BK6" s="2150"/>
      <c r="BL6" s="2150"/>
      <c r="BM6" s="2150"/>
      <c r="BN6" s="2150"/>
      <c r="BO6" s="2150"/>
      <c r="BP6" s="2150"/>
      <c r="BQ6" s="2150"/>
      <c r="BR6" s="2150"/>
      <c r="BS6" s="2150"/>
      <c r="BT6" s="2150"/>
      <c r="BU6" s="2150"/>
      <c r="BV6" s="2150"/>
      <c r="BW6" s="2149"/>
      <c r="BX6" s="2149"/>
      <c r="BY6" s="3885"/>
      <c r="BZ6" s="3885"/>
      <c r="CA6" s="3885"/>
      <c r="CB6" s="3886"/>
      <c r="CC6" s="3886"/>
      <c r="CD6" s="3886"/>
      <c r="CE6" s="3886"/>
      <c r="CF6" s="3886"/>
      <c r="CG6" s="3886"/>
      <c r="CH6" s="3886"/>
      <c r="CI6" s="3886"/>
      <c r="CJ6" s="3886"/>
      <c r="CK6" s="3886"/>
      <c r="CL6" s="3886"/>
      <c r="CM6" s="3886"/>
      <c r="CN6" s="3886"/>
      <c r="CO6" s="3886"/>
      <c r="CP6" s="3886"/>
      <c r="CQ6" s="3886"/>
      <c r="CR6" s="3886"/>
      <c r="CS6" s="3886"/>
      <c r="CT6" s="3886"/>
      <c r="CU6" s="3886"/>
      <c r="CV6" s="3886"/>
      <c r="CW6" s="3886"/>
      <c r="CX6" s="3886"/>
      <c r="CY6" s="3886"/>
      <c r="CZ6" s="3886"/>
      <c r="DA6" s="3886"/>
      <c r="DB6" s="3886"/>
      <c r="DC6" s="3886"/>
      <c r="DD6" s="3886"/>
      <c r="DE6" s="3886"/>
      <c r="DF6" s="3886"/>
      <c r="DG6" s="3886"/>
      <c r="DH6" s="3886"/>
      <c r="DI6" s="3886"/>
      <c r="DJ6" s="3886"/>
      <c r="DK6" s="3886"/>
      <c r="DL6" s="3886"/>
      <c r="DM6" s="3886"/>
      <c r="DN6" s="3886"/>
      <c r="DO6" s="3886"/>
      <c r="DP6" s="3886"/>
      <c r="DQ6" s="3886"/>
      <c r="DR6" s="3886"/>
      <c r="DS6" s="3886"/>
      <c r="DT6" s="3886"/>
      <c r="DU6" s="3886"/>
      <c r="DV6" s="3886"/>
      <c r="DW6" s="3886"/>
      <c r="DX6" s="3886"/>
      <c r="DY6" s="3886"/>
      <c r="DZ6" s="3886"/>
      <c r="EA6" s="3886"/>
      <c r="EB6" s="3886"/>
      <c r="EC6" s="3886"/>
      <c r="ED6" s="3886"/>
    </row>
    <row r="8" spans="1:134" s="1937" customFormat="1" ht="18" customHeight="1" x14ac:dyDescent="0.25">
      <c r="B8" s="3887" t="s">
        <v>1858</v>
      </c>
      <c r="C8" s="3887"/>
      <c r="D8" s="3887"/>
      <c r="E8" s="3887"/>
      <c r="F8" s="3887"/>
      <c r="G8" s="3887"/>
      <c r="H8" s="3887"/>
      <c r="I8" s="3887"/>
      <c r="J8" s="3887"/>
      <c r="K8" s="3887"/>
      <c r="L8" s="3887"/>
      <c r="M8" s="3887"/>
      <c r="N8" s="3887"/>
      <c r="O8" s="3887"/>
      <c r="P8" s="3887"/>
      <c r="Q8" s="3887"/>
      <c r="R8" s="3887"/>
      <c r="S8" s="3887"/>
      <c r="T8" s="3887"/>
      <c r="U8" s="3887"/>
      <c r="V8" s="3887"/>
      <c r="W8" s="3887"/>
      <c r="X8" s="3887"/>
      <c r="Y8" s="3887"/>
      <c r="Z8" s="3887"/>
      <c r="AA8" s="3887"/>
      <c r="AB8" s="3887"/>
      <c r="AC8" s="3887"/>
      <c r="AD8" s="3887"/>
      <c r="AE8" s="3887"/>
      <c r="AF8" s="3887"/>
      <c r="AG8" s="3887"/>
      <c r="AH8" s="3887"/>
      <c r="AI8" s="3887"/>
      <c r="AJ8" s="3887"/>
      <c r="AK8" s="3887"/>
      <c r="AL8" s="3887"/>
      <c r="AM8" s="3887"/>
      <c r="AN8" s="3887"/>
      <c r="AO8" s="3887"/>
      <c r="AP8" s="3887"/>
      <c r="AQ8" s="3887"/>
      <c r="AR8" s="3887"/>
    </row>
    <row r="9" spans="1:134" ht="18" customHeight="1" x14ac:dyDescent="0.25">
      <c r="B9" s="3887" t="s">
        <v>1859</v>
      </c>
      <c r="C9" s="3887"/>
      <c r="D9" s="3887"/>
      <c r="E9" s="3887"/>
      <c r="F9" s="3887"/>
      <c r="G9" s="3887"/>
      <c r="H9" s="3887"/>
      <c r="I9" s="3887"/>
      <c r="J9" s="3887"/>
      <c r="K9" s="3887"/>
      <c r="L9" s="3887"/>
      <c r="M9" s="3887"/>
      <c r="N9" s="3887"/>
      <c r="O9" s="3887"/>
      <c r="P9" s="3887"/>
      <c r="Q9" s="3887"/>
      <c r="R9" s="3887"/>
      <c r="S9" s="3887"/>
      <c r="T9" s="3887"/>
      <c r="U9" s="3887"/>
      <c r="V9" s="3887"/>
      <c r="W9" s="3887"/>
      <c r="X9" s="3887"/>
      <c r="Y9" s="3887"/>
      <c r="Z9" s="3887"/>
      <c r="AA9" s="3887"/>
      <c r="AB9" s="3887"/>
      <c r="AC9" s="3887"/>
      <c r="AD9" s="3887"/>
      <c r="AE9" s="3887"/>
      <c r="AF9" s="3887"/>
      <c r="AG9" s="3887"/>
      <c r="AH9" s="3887"/>
      <c r="AI9" s="3887"/>
      <c r="AJ9" s="3887"/>
      <c r="AK9" s="3887"/>
      <c r="AL9" s="3887"/>
      <c r="AM9" s="3887"/>
      <c r="AN9" s="3887"/>
      <c r="AO9" s="3887"/>
      <c r="AP9" s="3887"/>
      <c r="AQ9" s="3887"/>
      <c r="AR9" s="3887"/>
    </row>
    <row r="10" spans="1:134" x14ac:dyDescent="0.25">
      <c r="B10" s="7105" t="s">
        <v>1860</v>
      </c>
      <c r="C10" s="7106" t="s">
        <v>77</v>
      </c>
      <c r="D10" s="6576"/>
      <c r="E10" s="7107" t="s">
        <v>29</v>
      </c>
      <c r="F10" s="7108"/>
      <c r="G10" s="7108"/>
      <c r="H10" s="7108"/>
      <c r="I10" s="7108"/>
      <c r="J10" s="7108"/>
      <c r="K10" s="7108"/>
      <c r="L10" s="7108"/>
      <c r="M10" s="7108"/>
      <c r="N10" s="7108"/>
      <c r="O10" s="7108"/>
      <c r="P10" s="7108"/>
      <c r="Q10" s="7108"/>
      <c r="R10" s="7108"/>
      <c r="S10" s="7108"/>
      <c r="T10" s="7108"/>
      <c r="U10" s="7108"/>
      <c r="V10" s="7108"/>
      <c r="W10" s="7108"/>
      <c r="X10" s="7108"/>
      <c r="Y10" s="7108"/>
      <c r="Z10" s="7108"/>
      <c r="AA10" s="7108"/>
      <c r="AB10" s="7108"/>
      <c r="AC10" s="7108"/>
      <c r="AD10" s="7108"/>
      <c r="AE10" s="7108"/>
      <c r="AF10" s="7108"/>
      <c r="AG10" s="7108"/>
      <c r="AH10" s="7108"/>
      <c r="AI10" s="7108"/>
      <c r="AJ10" s="7108"/>
      <c r="AK10" s="7108"/>
      <c r="AL10" s="7108"/>
      <c r="AM10" s="7108"/>
      <c r="AN10" s="7108"/>
      <c r="AO10" s="7108"/>
      <c r="AP10" s="7108"/>
      <c r="AQ10" s="7108"/>
      <c r="AR10" s="7109"/>
      <c r="AS10" s="7110" t="s">
        <v>1861</v>
      </c>
      <c r="AT10" s="7111"/>
      <c r="AU10" s="7112" t="s">
        <v>457</v>
      </c>
      <c r="AV10" s="7113"/>
      <c r="AW10" s="6492" t="s">
        <v>36</v>
      </c>
      <c r="AX10" s="6511" t="s">
        <v>37</v>
      </c>
    </row>
    <row r="11" spans="1:134" x14ac:dyDescent="0.25">
      <c r="B11" s="6023"/>
      <c r="C11" s="6750"/>
      <c r="D11" s="6913"/>
      <c r="E11" s="7116" t="s">
        <v>1862</v>
      </c>
      <c r="F11" s="7110"/>
      <c r="G11" s="7116" t="s">
        <v>935</v>
      </c>
      <c r="H11" s="7110"/>
      <c r="I11" s="7116" t="s">
        <v>1863</v>
      </c>
      <c r="J11" s="7117"/>
      <c r="K11" s="7110" t="s">
        <v>937</v>
      </c>
      <c r="L11" s="7110"/>
      <c r="M11" s="7116" t="s">
        <v>326</v>
      </c>
      <c r="N11" s="7110"/>
      <c r="O11" s="7116" t="s">
        <v>94</v>
      </c>
      <c r="P11" s="7110"/>
      <c r="Q11" s="7116" t="s">
        <v>44</v>
      </c>
      <c r="R11" s="7110"/>
      <c r="S11" s="7116" t="s">
        <v>45</v>
      </c>
      <c r="T11" s="7110"/>
      <c r="U11" s="7116" t="s">
        <v>46</v>
      </c>
      <c r="V11" s="7117"/>
      <c r="W11" s="7116" t="s">
        <v>47</v>
      </c>
      <c r="X11" s="7117"/>
      <c r="Y11" s="7116" t="s">
        <v>48</v>
      </c>
      <c r="Z11" s="7117"/>
      <c r="AA11" s="7116" t="s">
        <v>49</v>
      </c>
      <c r="AB11" s="7117"/>
      <c r="AC11" s="7116" t="s">
        <v>50</v>
      </c>
      <c r="AD11" s="7117"/>
      <c r="AE11" s="7116" t="s">
        <v>51</v>
      </c>
      <c r="AF11" s="7117"/>
      <c r="AG11" s="7116" t="s">
        <v>52</v>
      </c>
      <c r="AH11" s="7117"/>
      <c r="AI11" s="7116" t="s">
        <v>53</v>
      </c>
      <c r="AJ11" s="7117"/>
      <c r="AK11" s="7116" t="s">
        <v>54</v>
      </c>
      <c r="AL11" s="7117"/>
      <c r="AM11" s="7116" t="s">
        <v>55</v>
      </c>
      <c r="AN11" s="7117"/>
      <c r="AO11" s="7116" t="s">
        <v>56</v>
      </c>
      <c r="AP11" s="7117"/>
      <c r="AQ11" s="7116" t="s">
        <v>57</v>
      </c>
      <c r="AR11" s="7111"/>
      <c r="AS11" s="6492" t="s">
        <v>58</v>
      </c>
      <c r="AT11" s="7119" t="s">
        <v>59</v>
      </c>
      <c r="AU11" s="7114"/>
      <c r="AV11" s="7115"/>
      <c r="AW11" s="7118"/>
      <c r="AX11" s="6027"/>
    </row>
    <row r="12" spans="1:134" x14ac:dyDescent="0.25">
      <c r="B12" s="6739"/>
      <c r="C12" s="3894" t="s">
        <v>1864</v>
      </c>
      <c r="D12" s="486" t="s">
        <v>1865</v>
      </c>
      <c r="E12" s="3894" t="s">
        <v>1864</v>
      </c>
      <c r="F12" s="3895" t="s">
        <v>1865</v>
      </c>
      <c r="G12" s="3894" t="s">
        <v>1864</v>
      </c>
      <c r="H12" s="3895" t="s">
        <v>1865</v>
      </c>
      <c r="I12" s="3894" t="s">
        <v>1864</v>
      </c>
      <c r="J12" s="3896" t="s">
        <v>1865</v>
      </c>
      <c r="K12" s="3897" t="s">
        <v>1864</v>
      </c>
      <c r="L12" s="3895" t="s">
        <v>1865</v>
      </c>
      <c r="M12" s="3894" t="s">
        <v>1864</v>
      </c>
      <c r="N12" s="3896" t="s">
        <v>1865</v>
      </c>
      <c r="O12" s="3897" t="s">
        <v>1864</v>
      </c>
      <c r="P12" s="3895" t="s">
        <v>1865</v>
      </c>
      <c r="Q12" s="3894" t="s">
        <v>1864</v>
      </c>
      <c r="R12" s="3895" t="s">
        <v>1865</v>
      </c>
      <c r="S12" s="3894" t="s">
        <v>1864</v>
      </c>
      <c r="T12" s="3895" t="s">
        <v>1865</v>
      </c>
      <c r="U12" s="3894" t="s">
        <v>1864</v>
      </c>
      <c r="V12" s="3895" t="s">
        <v>1865</v>
      </c>
      <c r="W12" s="3894" t="s">
        <v>1864</v>
      </c>
      <c r="X12" s="3895" t="s">
        <v>1865</v>
      </c>
      <c r="Y12" s="3894" t="s">
        <v>1864</v>
      </c>
      <c r="Z12" s="3895" t="s">
        <v>1865</v>
      </c>
      <c r="AA12" s="3894" t="s">
        <v>1864</v>
      </c>
      <c r="AB12" s="3895" t="s">
        <v>1865</v>
      </c>
      <c r="AC12" s="3894" t="s">
        <v>1864</v>
      </c>
      <c r="AD12" s="3895" t="s">
        <v>1865</v>
      </c>
      <c r="AE12" s="3894" t="s">
        <v>1864</v>
      </c>
      <c r="AF12" s="3895" t="s">
        <v>1865</v>
      </c>
      <c r="AG12" s="3894" t="s">
        <v>1864</v>
      </c>
      <c r="AH12" s="3895" t="s">
        <v>1865</v>
      </c>
      <c r="AI12" s="3894" t="s">
        <v>1864</v>
      </c>
      <c r="AJ12" s="3895" t="s">
        <v>1865</v>
      </c>
      <c r="AK12" s="3894" t="s">
        <v>1864</v>
      </c>
      <c r="AL12" s="3895" t="s">
        <v>1865</v>
      </c>
      <c r="AM12" s="3894" t="s">
        <v>1864</v>
      </c>
      <c r="AN12" s="3895" t="s">
        <v>1865</v>
      </c>
      <c r="AO12" s="3894" t="s">
        <v>1864</v>
      </c>
      <c r="AP12" s="3895" t="s">
        <v>1865</v>
      </c>
      <c r="AQ12" s="3894" t="s">
        <v>1864</v>
      </c>
      <c r="AR12" s="3898" t="s">
        <v>1865</v>
      </c>
      <c r="AS12" s="6894"/>
      <c r="AT12" s="6224"/>
      <c r="AU12" s="1750" t="s">
        <v>462</v>
      </c>
      <c r="AV12" s="1797" t="s">
        <v>463</v>
      </c>
      <c r="AW12" s="6894"/>
      <c r="AX12" s="6955"/>
    </row>
    <row r="13" spans="1:134" x14ac:dyDescent="0.25">
      <c r="A13" s="5601">
        <v>11053700</v>
      </c>
      <c r="B13" s="3899" t="s">
        <v>1866</v>
      </c>
      <c r="C13" s="3225" t="s">
        <v>4567</v>
      </c>
      <c r="D13" s="3900" t="s">
        <v>4568</v>
      </c>
      <c r="E13" s="333" t="s">
        <v>4569</v>
      </c>
      <c r="F13" s="1885" t="s">
        <v>4570</v>
      </c>
      <c r="G13" s="333" t="s">
        <v>4571</v>
      </c>
      <c r="H13" s="1885" t="s">
        <v>4572</v>
      </c>
      <c r="I13" s="333" t="s">
        <v>4573</v>
      </c>
      <c r="J13" s="1885" t="s">
        <v>4574</v>
      </c>
      <c r="K13" s="333" t="s">
        <v>4575</v>
      </c>
      <c r="L13" s="1885" t="s">
        <v>4576</v>
      </c>
      <c r="M13" s="333" t="s">
        <v>4577</v>
      </c>
      <c r="N13" s="987" t="s">
        <v>4578</v>
      </c>
      <c r="O13" s="44" t="s">
        <v>4579</v>
      </c>
      <c r="P13" s="1014" t="s">
        <v>4580</v>
      </c>
      <c r="Q13" s="326" t="s">
        <v>4581</v>
      </c>
      <c r="R13" s="1014" t="s">
        <v>4582</v>
      </c>
      <c r="S13" s="326" t="s">
        <v>4583</v>
      </c>
      <c r="T13" s="1014" t="s">
        <v>4584</v>
      </c>
      <c r="U13" s="326" t="s">
        <v>4585</v>
      </c>
      <c r="V13" s="1014" t="s">
        <v>4586</v>
      </c>
      <c r="W13" s="326" t="s">
        <v>4587</v>
      </c>
      <c r="X13" s="1014" t="s">
        <v>4588</v>
      </c>
      <c r="Y13" s="326" t="s">
        <v>4589</v>
      </c>
      <c r="Z13" s="1014" t="s">
        <v>4590</v>
      </c>
      <c r="AA13" s="326" t="s">
        <v>4591</v>
      </c>
      <c r="AB13" s="1014" t="s">
        <v>4592</v>
      </c>
      <c r="AC13" s="326" t="s">
        <v>4593</v>
      </c>
      <c r="AD13" s="1014" t="s">
        <v>4594</v>
      </c>
      <c r="AE13" s="326" t="s">
        <v>4595</v>
      </c>
      <c r="AF13" s="1014" t="s">
        <v>4596</v>
      </c>
      <c r="AG13" s="326" t="s">
        <v>4597</v>
      </c>
      <c r="AH13" s="1014" t="s">
        <v>4598</v>
      </c>
      <c r="AI13" s="326" t="s">
        <v>4599</v>
      </c>
      <c r="AJ13" s="1014" t="s">
        <v>4600</v>
      </c>
      <c r="AK13" s="326" t="s">
        <v>4601</v>
      </c>
      <c r="AL13" s="1014" t="s">
        <v>4602</v>
      </c>
      <c r="AM13" s="326" t="s">
        <v>4603</v>
      </c>
      <c r="AN13" s="1014" t="s">
        <v>4604</v>
      </c>
      <c r="AO13" s="326" t="s">
        <v>4605</v>
      </c>
      <c r="AP13" s="1014" t="s">
        <v>4606</v>
      </c>
      <c r="AQ13" s="326" t="s">
        <v>4934</v>
      </c>
      <c r="AR13" s="1001" t="s">
        <v>4935</v>
      </c>
      <c r="AS13" s="3901" t="s">
        <v>4936</v>
      </c>
      <c r="AT13" s="3902" t="s">
        <v>4937</v>
      </c>
      <c r="AU13" s="3903" t="s">
        <v>5234</v>
      </c>
      <c r="AV13" s="3902" t="s">
        <v>5235</v>
      </c>
      <c r="AW13" s="3904" t="s">
        <v>5236</v>
      </c>
      <c r="AX13" s="3905" t="s">
        <v>5237</v>
      </c>
      <c r="AY13" s="1864" t="e">
        <f t="shared" ref="AY13:AY20" si="0">$CB13&amp;CC13&amp;CD13&amp;$CE13&amp;CK13&amp;CL13&amp;CM13&amp;CN13&amp;CO13&amp;CP13&amp;CQ13&amp;CR13&amp;CS13&amp;CT13&amp;CU13&amp;CV13&amp;CW13&amp;CX13&amp;CY13</f>
        <v>#VALUE!</v>
      </c>
      <c r="CB13" s="1865" t="str">
        <f>IF(C13&lt;&gt;(AT13)," * La suma de las columnas "&amp;AS$10&amp;""&amp;" DEBE SER IGUAL a los Exámenes Procesados. ","")</f>
        <v xml:space="preserve"> * La suma de las columnas POR SEXO (Procesados) DEBE SER IGUAL a los Exámenes Procesados. </v>
      </c>
      <c r="CC13" s="1865" t="e">
        <f t="shared" ref="CC13:CC30" si="1">IF(AND($C13&gt;0,AND(AU13="",AV13="")),"* No olvide ingresar las columnas Trans Masculino o Femenino (Digite CERO si no tiene). ",IF((AU13+AV13)&gt;$C13,"* El Número de Trans Masculino o Femenino no puede superar el Total Procesados. ",""))</f>
        <v>#VALUE!</v>
      </c>
      <c r="CD13" s="1865" t="str">
        <f t="shared" ref="CD13:CD30" si="2">IF(AND($C13&gt;0,AW13=""),"* No olvide ingresar la columna "&amp;AW$10&amp;""&amp;" *(Digite CERO si no tiene). ",IF(AW13&gt;$C13," *El Número de "&amp;AW$10&amp;""&amp;" no puede superar el Total Procesados. ",""))</f>
        <v xml:space="preserve"> *El Número de Pueblos Originarios no puede superar el Total Procesados. </v>
      </c>
      <c r="CE13" s="1865" t="str">
        <f t="shared" ref="CE13:CE30" si="3">IF(AND($C13&gt;0,AX13=""),"* No olvide ingresar la columna "&amp;AX$10&amp;""&amp;" *(Digite CERO si no tiene). ",IF(AX13&gt;$C13," *El Número de "&amp;AX$10&amp;""&amp;" no puede superar el Total Procesados. ",""))</f>
        <v xml:space="preserve"> *El Número de Migrantes no puede superar el Total Procesados. </v>
      </c>
      <c r="CF13" s="1866"/>
      <c r="CG13" s="1866"/>
      <c r="CH13" s="1866"/>
      <c r="CI13" s="1866"/>
      <c r="CJ13" s="1866"/>
      <c r="CK13" s="1865" t="str">
        <f t="shared" ref="CK13:CK21" si="4">IF(O13&lt;P13,CONCATENATE("* El total de Procesados debe ser mayor o igual al total de Reactivos en el grupo de edad ",$O$11),"")</f>
        <v>* El total de Procesados debe ser mayor o igual al total de Reactivos en el grupo de edad 10 - 14 años</v>
      </c>
      <c r="CL13" s="1865" t="str">
        <f t="shared" ref="CL13:CL21" si="5">IF(Q13&lt;R13,CONCATENATE("* El total de Procesados debe ser mayor o igual al total de Reactivos en el grupo de edad ",$Q$11),"")</f>
        <v>* El total de Procesados debe ser mayor o igual al total de Reactivos en el grupo de edad 15 - 19 años</v>
      </c>
      <c r="CM13" s="1865" t="str">
        <f t="shared" ref="CM13:CM21" si="6">IF(S13&lt;T13,CONCATENATE("* El total de Procesados debe ser mayor o igual al total de Reactivos en el grupo de edad ",$S$11),"")</f>
        <v>* El total de Procesados debe ser mayor o igual al total de Reactivos en el grupo de edad 20 - 24 años</v>
      </c>
      <c r="CN13" s="1865" t="str">
        <f>IF($U13&lt;$V13,CONCATENATE("* El total de Procesados debe ser mayor o igual al total de Reactivos en el grupo de edad ",$U$11),"")</f>
        <v>* El total de Procesados debe ser mayor o igual al total de Reactivos en el grupo de edad 25 - 29 años</v>
      </c>
      <c r="CO13" s="1865" t="str">
        <f t="shared" ref="CO13:CO21" si="7">IF(W13&lt;X13,CONCATENATE("* El total de Procesados debe ser mayor o igual al total de Reactivos en el grupo de edad ",$W$11),"")</f>
        <v>* El total de Procesados debe ser mayor o igual al total de Reactivos en el grupo de edad 30 - 34 años</v>
      </c>
      <c r="CP13" s="1865" t="str">
        <f t="shared" ref="CP13:CP21" si="8">IF(Y13&lt;Z13,CONCATENATE("* El total de Procesados debe ser mayor o igual al total de Reactivos en el grupo de edad ",$Y$11),"")</f>
        <v>* El total de Procesados debe ser mayor o igual al total de Reactivos en el grupo de edad 35 - 39 años</v>
      </c>
      <c r="CQ13" s="1865" t="str">
        <f t="shared" ref="CQ13:CQ21" si="9">IF(AA13&lt;AB13,CONCATENATE("* El total de Procesados debe ser mayor o igual al total de Reactivos en el grupo de edad ",$AA$11),"")</f>
        <v>* El total de Procesados debe ser mayor o igual al total de Reactivos en el grupo de edad 40 - 44 años</v>
      </c>
      <c r="CR13" s="1865" t="str">
        <f t="shared" ref="CR13:CR21" si="10">IF(AC13&lt;AD13,CONCATENATE("* El total de Procesados debe ser mayor o igual al total de Reactivos en el grupo de edad ",$AC$11),"")</f>
        <v>* El total de Procesados debe ser mayor o igual al total de Reactivos en el grupo de edad 45 - 49 años</v>
      </c>
      <c r="CS13" s="1865" t="str">
        <f t="shared" ref="CS13:CS21" si="11">IF(AE13&lt;AF13,CONCATENATE("* El total de Procesados debe ser mayor o igual al total de Reactivos en el grupo de edad ",$AE$11),"")</f>
        <v>* El total de Procesados debe ser mayor o igual al total de Reactivos en el grupo de edad 50 - 54 años</v>
      </c>
      <c r="CT13" s="1865" t="str">
        <f t="shared" ref="CT13:CT21" si="12">IF(AG13&lt;AH13,CONCATENATE("* El total de Procesados debe ser mayor o igual al total de Reactivos en el grupo de edad ",$AG$11),"")</f>
        <v>* El total de Procesados debe ser mayor o igual al total de Reactivos en el grupo de edad 55 - 59 años</v>
      </c>
      <c r="CU13" s="1865" t="str">
        <f t="shared" ref="CU13:CU21" si="13">IF(AI13&lt;AJ13,CONCATENATE("* El total de Procesados debe ser mayor o igual al total de Reactivos en el grupo de edad ",$AI$11),"")</f>
        <v>* El total de Procesados debe ser mayor o igual al total de Reactivos en el grupo de edad 60 - 64 años</v>
      </c>
      <c r="CV13" s="1865" t="str">
        <f t="shared" ref="CV13:CV21" si="14">IF(AK13&lt;AL13,CONCATENATE("* El total de Procesados debe ser mayor o igual al total de Reactivos en el grupo de edad ",$AK$11),"")</f>
        <v>* El total de Procesados debe ser mayor o igual al total de Reactivos en el grupo de edad 65 - 69 años</v>
      </c>
      <c r="CW13" s="1865" t="str">
        <f t="shared" ref="CW13:CW21" si="15">IF(AM13&lt;AN13,CONCATENATE("* El total de Procesados debe ser mayor o igual al total de Reactivos en el grupo de edad ",$AM$11),"")</f>
        <v>* El total de Procesados debe ser mayor o igual al total de Reactivos en el grupo de edad 70 - 74 años</v>
      </c>
      <c r="CX13" s="1865" t="str">
        <f t="shared" ref="CX13:CX21" si="16">IF(AO13&lt;AP13,CONCATENATE("* El total de Procesados debe ser mayor o igual al total de Reactivos en el grupo de edad ",$AO$11),"")</f>
        <v>* El total de Procesados debe ser mayor o igual al total de Reactivos en el grupo de edad 75 - 79 años</v>
      </c>
      <c r="CY13" s="1865" t="str">
        <f t="shared" ref="CY13:CY21" si="17">IF(AQ13&lt;AR13,CONCATENATE("* El total de Procesados debe ser mayor o igual al total de Reactivos en el grupo de edad ",$AQ$11),"")</f>
        <v>* El total de Procesados debe ser mayor o igual al total de Reactivos en el grupo de edad 80 y más años</v>
      </c>
      <c r="CZ13" s="1936"/>
      <c r="DA13" s="1937"/>
      <c r="DB13" s="1937"/>
      <c r="DF13" s="1936"/>
      <c r="DG13" s="3906">
        <f>IF(C13&lt;&gt;(AT13),1,0)</f>
        <v>1</v>
      </c>
      <c r="DH13" s="3906" t="e">
        <f t="shared" ref="DH13:DH30" si="18">IF(AND($C13&gt;0,AND(AU13="",AV13="")),1,IF((AU13+AV13)&gt;$C13,1,0))</f>
        <v>#VALUE!</v>
      </c>
      <c r="DI13" s="3906">
        <f t="shared" ref="DI13:DI30" si="19">IF(AND($C13&gt;0,AW13=""),1,IF(AW13&gt;$C13,1,0))</f>
        <v>1</v>
      </c>
      <c r="DJ13" s="3906">
        <f t="shared" ref="DJ13:DJ30" si="20">IF(AND($C13&gt;0,AX13=""),1,IF(AX13&gt;$C13,1,0))</f>
        <v>1</v>
      </c>
      <c r="DK13" s="1866"/>
      <c r="DL13" s="1866"/>
      <c r="DM13" s="1866"/>
      <c r="DN13" s="1866"/>
      <c r="DO13" s="1866"/>
      <c r="DP13" s="3906">
        <f t="shared" ref="DP13:DP21" si="21">IF(O13&lt;P13,1,0)</f>
        <v>1</v>
      </c>
      <c r="DQ13" s="3906">
        <f t="shared" ref="DQ13:DQ21" si="22">IF(Q13&lt;R13,1,0)</f>
        <v>1</v>
      </c>
      <c r="DR13" s="3906">
        <f t="shared" ref="DR13:DR21" si="23">IF(S13&lt;T13,1,0)</f>
        <v>1</v>
      </c>
      <c r="DS13" s="3906">
        <f>IF($U13&lt;$V13,1,0)</f>
        <v>1</v>
      </c>
      <c r="DT13" s="3906">
        <f t="shared" ref="DT13:DT21" si="24">IF(W13&lt;X13,1,0)</f>
        <v>1</v>
      </c>
      <c r="DU13" s="3906">
        <f t="shared" ref="DU13:DU21" si="25">IF(Y13&lt;Z13,1,0)</f>
        <v>1</v>
      </c>
      <c r="DV13" s="3906">
        <f t="shared" ref="DV13:DV21" si="26">IF(AA13&lt;AB13,1,0)</f>
        <v>1</v>
      </c>
      <c r="DW13" s="3906">
        <f t="shared" ref="DW13:DW21" si="27">IF(AC13&lt;AD13,1,0)</f>
        <v>1</v>
      </c>
      <c r="DX13" s="3906">
        <f t="shared" ref="DX13:DX21" si="28">IF(AE13&lt;AF13,1,0)</f>
        <v>1</v>
      </c>
      <c r="DY13" s="3906">
        <f t="shared" ref="DY13:DY21" si="29">IF(AG13&lt;AH13,1,0)</f>
        <v>1</v>
      </c>
      <c r="DZ13" s="3906">
        <f t="shared" ref="DZ13:DZ21" si="30">IF(AI13&lt;AJ13,1,0)</f>
        <v>1</v>
      </c>
      <c r="EA13" s="3906">
        <f t="shared" ref="EA13:EA21" si="31">IF(AK13&lt;AL13,1,0)</f>
        <v>1</v>
      </c>
      <c r="EB13" s="3906">
        <f t="shared" ref="EB13:EB21" si="32">IF(AM13&lt;AN13,1,0)</f>
        <v>1</v>
      </c>
      <c r="EC13" s="3906">
        <f t="shared" ref="EC13:EC21" si="33">IF(AO13&lt;AP13,1,0)</f>
        <v>1</v>
      </c>
      <c r="ED13" s="3906">
        <f t="shared" ref="ED13:ED21" si="34">IF(AQ13&lt;AR13,1,0)</f>
        <v>1</v>
      </c>
    </row>
    <row r="14" spans="1:134" x14ac:dyDescent="0.25">
      <c r="A14" s="5601">
        <v>11053800</v>
      </c>
      <c r="B14" s="3907" t="s">
        <v>1867</v>
      </c>
      <c r="C14" s="3908" t="s">
        <v>4567</v>
      </c>
      <c r="D14" s="344" t="s">
        <v>4568</v>
      </c>
      <c r="E14" s="3909" t="s">
        <v>4569</v>
      </c>
      <c r="F14" s="3910" t="s">
        <v>4570</v>
      </c>
      <c r="G14" s="3909" t="s">
        <v>4571</v>
      </c>
      <c r="H14" s="3910" t="s">
        <v>4572</v>
      </c>
      <c r="I14" s="3909" t="s">
        <v>4573</v>
      </c>
      <c r="J14" s="3910" t="s">
        <v>4574</v>
      </c>
      <c r="K14" s="3909" t="s">
        <v>4575</v>
      </c>
      <c r="L14" s="3910" t="s">
        <v>4576</v>
      </c>
      <c r="M14" s="3909" t="s">
        <v>4577</v>
      </c>
      <c r="N14" s="3911" t="s">
        <v>4578</v>
      </c>
      <c r="O14" s="3904" t="s">
        <v>4579</v>
      </c>
      <c r="P14" s="3912" t="s">
        <v>4580</v>
      </c>
      <c r="Q14" s="3913" t="s">
        <v>4581</v>
      </c>
      <c r="R14" s="3912" t="s">
        <v>4582</v>
      </c>
      <c r="S14" s="3913" t="s">
        <v>4583</v>
      </c>
      <c r="T14" s="3912" t="s">
        <v>4584</v>
      </c>
      <c r="U14" s="3913" t="s">
        <v>4585</v>
      </c>
      <c r="V14" s="3912" t="s">
        <v>4586</v>
      </c>
      <c r="W14" s="3913" t="s">
        <v>4587</v>
      </c>
      <c r="X14" s="3912" t="s">
        <v>4588</v>
      </c>
      <c r="Y14" s="3913" t="s">
        <v>4589</v>
      </c>
      <c r="Z14" s="3912" t="s">
        <v>4590</v>
      </c>
      <c r="AA14" s="3913" t="s">
        <v>4591</v>
      </c>
      <c r="AB14" s="3912" t="s">
        <v>4592</v>
      </c>
      <c r="AC14" s="3913" t="s">
        <v>4593</v>
      </c>
      <c r="AD14" s="3912" t="s">
        <v>4594</v>
      </c>
      <c r="AE14" s="3913" t="s">
        <v>4595</v>
      </c>
      <c r="AF14" s="3912" t="s">
        <v>4596</v>
      </c>
      <c r="AG14" s="3913" t="s">
        <v>4597</v>
      </c>
      <c r="AH14" s="3912" t="s">
        <v>4598</v>
      </c>
      <c r="AI14" s="3913" t="s">
        <v>4599</v>
      </c>
      <c r="AJ14" s="3912" t="s">
        <v>4600</v>
      </c>
      <c r="AK14" s="3913" t="s">
        <v>4601</v>
      </c>
      <c r="AL14" s="3912" t="s">
        <v>4602</v>
      </c>
      <c r="AM14" s="3913" t="s">
        <v>4603</v>
      </c>
      <c r="AN14" s="3912" t="s">
        <v>4604</v>
      </c>
      <c r="AO14" s="3913" t="s">
        <v>4605</v>
      </c>
      <c r="AP14" s="3912" t="s">
        <v>4606</v>
      </c>
      <c r="AQ14" s="3913" t="s">
        <v>4934</v>
      </c>
      <c r="AR14" s="3902" t="s">
        <v>4935</v>
      </c>
      <c r="AS14" s="3901" t="s">
        <v>4936</v>
      </c>
      <c r="AT14" s="3902" t="s">
        <v>4937</v>
      </c>
      <c r="AU14" s="3903" t="s">
        <v>5234</v>
      </c>
      <c r="AV14" s="3902" t="s">
        <v>5235</v>
      </c>
      <c r="AW14" s="3904" t="s">
        <v>5236</v>
      </c>
      <c r="AX14" s="3905" t="s">
        <v>5237</v>
      </c>
      <c r="AY14" s="1864" t="e">
        <f t="shared" si="0"/>
        <v>#VALUE!</v>
      </c>
      <c r="CB14" s="1865" t="str">
        <f>IF(C14&lt;&gt;(AT14)," * La suma de las columnas "&amp;AS$10&amp;""&amp;" DEBE SER IGUAL a los Exámenes Procesados. ","")</f>
        <v xml:space="preserve"> * La suma de las columnas POR SEXO (Procesados) DEBE SER IGUAL a los Exámenes Procesados. </v>
      </c>
      <c r="CC14" s="1865" t="e">
        <f t="shared" si="1"/>
        <v>#VALUE!</v>
      </c>
      <c r="CD14" s="1865" t="str">
        <f t="shared" si="2"/>
        <v xml:space="preserve"> *El Número de Pueblos Originarios no puede superar el Total Procesados. </v>
      </c>
      <c r="CE14" s="1865" t="str">
        <f t="shared" si="3"/>
        <v xml:space="preserve"> *El Número de Migrantes no puede superar el Total Procesados. </v>
      </c>
      <c r="CF14" s="1866"/>
      <c r="CG14" s="1866"/>
      <c r="CH14" s="1866"/>
      <c r="CI14" s="1866"/>
      <c r="CJ14" s="1866"/>
      <c r="CK14" s="1865" t="str">
        <f t="shared" si="4"/>
        <v>* El total de Procesados debe ser mayor o igual al total de Reactivos en el grupo de edad 10 - 14 años</v>
      </c>
      <c r="CL14" s="1865" t="str">
        <f t="shared" si="5"/>
        <v>* El total de Procesados debe ser mayor o igual al total de Reactivos en el grupo de edad 15 - 19 años</v>
      </c>
      <c r="CM14" s="1865" t="str">
        <f t="shared" si="6"/>
        <v>* El total de Procesados debe ser mayor o igual al total de Reactivos en el grupo de edad 20 - 24 años</v>
      </c>
      <c r="CN14" s="1865" t="str">
        <f t="shared" ref="CN14:CN30" si="35">IF($U14&lt;$V14,CONCATENATE("* El total de Procesados debe ser mayor o igual al total de Reactivos en el grupo de edad ",$U$11),"")</f>
        <v>* El total de Procesados debe ser mayor o igual al total de Reactivos en el grupo de edad 25 - 29 años</v>
      </c>
      <c r="CO14" s="1865" t="str">
        <f t="shared" si="7"/>
        <v>* El total de Procesados debe ser mayor o igual al total de Reactivos en el grupo de edad 30 - 34 años</v>
      </c>
      <c r="CP14" s="1865" t="str">
        <f t="shared" si="8"/>
        <v>* El total de Procesados debe ser mayor o igual al total de Reactivos en el grupo de edad 35 - 39 años</v>
      </c>
      <c r="CQ14" s="1865" t="str">
        <f t="shared" si="9"/>
        <v>* El total de Procesados debe ser mayor o igual al total de Reactivos en el grupo de edad 40 - 44 años</v>
      </c>
      <c r="CR14" s="1865" t="str">
        <f t="shared" si="10"/>
        <v>* El total de Procesados debe ser mayor o igual al total de Reactivos en el grupo de edad 45 - 49 años</v>
      </c>
      <c r="CS14" s="1865" t="str">
        <f t="shared" si="11"/>
        <v>* El total de Procesados debe ser mayor o igual al total de Reactivos en el grupo de edad 50 - 54 años</v>
      </c>
      <c r="CT14" s="1865" t="str">
        <f t="shared" si="12"/>
        <v>* El total de Procesados debe ser mayor o igual al total de Reactivos en el grupo de edad 55 - 59 años</v>
      </c>
      <c r="CU14" s="1865" t="str">
        <f t="shared" si="13"/>
        <v>* El total de Procesados debe ser mayor o igual al total de Reactivos en el grupo de edad 60 - 64 años</v>
      </c>
      <c r="CV14" s="1865" t="str">
        <f t="shared" si="14"/>
        <v>* El total de Procesados debe ser mayor o igual al total de Reactivos en el grupo de edad 65 - 69 años</v>
      </c>
      <c r="CW14" s="1865" t="str">
        <f t="shared" si="15"/>
        <v>* El total de Procesados debe ser mayor o igual al total de Reactivos en el grupo de edad 70 - 74 años</v>
      </c>
      <c r="CX14" s="1865" t="str">
        <f t="shared" si="16"/>
        <v>* El total de Procesados debe ser mayor o igual al total de Reactivos en el grupo de edad 75 - 79 años</v>
      </c>
      <c r="CY14" s="1865" t="str">
        <f t="shared" si="17"/>
        <v>* El total de Procesados debe ser mayor o igual al total de Reactivos en el grupo de edad 80 y más años</v>
      </c>
      <c r="DF14" s="1936"/>
      <c r="DG14" s="3906">
        <f>IF(C14&lt;&gt;(AT14),1,0)</f>
        <v>1</v>
      </c>
      <c r="DH14" s="3906" t="e">
        <f t="shared" si="18"/>
        <v>#VALUE!</v>
      </c>
      <c r="DI14" s="3906">
        <f t="shared" si="19"/>
        <v>1</v>
      </c>
      <c r="DJ14" s="3906">
        <f t="shared" si="20"/>
        <v>1</v>
      </c>
      <c r="DK14" s="1866"/>
      <c r="DL14" s="1866"/>
      <c r="DM14" s="1866"/>
      <c r="DN14" s="1866"/>
      <c r="DO14" s="1866"/>
      <c r="DP14" s="3906">
        <f t="shared" si="21"/>
        <v>1</v>
      </c>
      <c r="DQ14" s="3906">
        <f t="shared" si="22"/>
        <v>1</v>
      </c>
      <c r="DR14" s="3906">
        <f t="shared" si="23"/>
        <v>1</v>
      </c>
      <c r="DS14" s="3906">
        <f t="shared" ref="DS14:DS30" si="36">IF($U14&lt;$V14,1,0)</f>
        <v>1</v>
      </c>
      <c r="DT14" s="3906">
        <f t="shared" si="24"/>
        <v>1</v>
      </c>
      <c r="DU14" s="3906">
        <f t="shared" si="25"/>
        <v>1</v>
      </c>
      <c r="DV14" s="3906">
        <f t="shared" si="26"/>
        <v>1</v>
      </c>
      <c r="DW14" s="3906">
        <f t="shared" si="27"/>
        <v>1</v>
      </c>
      <c r="DX14" s="3906">
        <f t="shared" si="28"/>
        <v>1</v>
      </c>
      <c r="DY14" s="3906">
        <f t="shared" si="29"/>
        <v>1</v>
      </c>
      <c r="DZ14" s="3906">
        <f t="shared" si="30"/>
        <v>1</v>
      </c>
      <c r="EA14" s="3906">
        <f t="shared" si="31"/>
        <v>1</v>
      </c>
      <c r="EB14" s="3906">
        <f t="shared" si="32"/>
        <v>1</v>
      </c>
      <c r="EC14" s="3906">
        <f t="shared" si="33"/>
        <v>1</v>
      </c>
      <c r="ED14" s="3906">
        <f t="shared" si="34"/>
        <v>1</v>
      </c>
    </row>
    <row r="15" spans="1:134" x14ac:dyDescent="0.25">
      <c r="A15" s="5601">
        <v>11053900</v>
      </c>
      <c r="B15" s="3907" t="s">
        <v>1868</v>
      </c>
      <c r="C15" s="3908" t="s">
        <v>4567</v>
      </c>
      <c r="D15" s="344" t="s">
        <v>4568</v>
      </c>
      <c r="E15" s="3909" t="s">
        <v>4569</v>
      </c>
      <c r="F15" s="3910" t="s">
        <v>4570</v>
      </c>
      <c r="G15" s="3909" t="s">
        <v>4571</v>
      </c>
      <c r="H15" s="3910" t="s">
        <v>4572</v>
      </c>
      <c r="I15" s="3909" t="s">
        <v>4573</v>
      </c>
      <c r="J15" s="3910" t="s">
        <v>4574</v>
      </c>
      <c r="K15" s="3909" t="s">
        <v>4575</v>
      </c>
      <c r="L15" s="3910" t="s">
        <v>4576</v>
      </c>
      <c r="M15" s="3909" t="s">
        <v>4577</v>
      </c>
      <c r="N15" s="3911" t="s">
        <v>4578</v>
      </c>
      <c r="O15" s="3904" t="s">
        <v>4579</v>
      </c>
      <c r="P15" s="3912" t="s">
        <v>4580</v>
      </c>
      <c r="Q15" s="3913" t="s">
        <v>4581</v>
      </c>
      <c r="R15" s="3912" t="s">
        <v>4582</v>
      </c>
      <c r="S15" s="3913" t="s">
        <v>4583</v>
      </c>
      <c r="T15" s="3912" t="s">
        <v>4584</v>
      </c>
      <c r="U15" s="3913" t="s">
        <v>4585</v>
      </c>
      <c r="V15" s="3912" t="s">
        <v>4586</v>
      </c>
      <c r="W15" s="3913" t="s">
        <v>4587</v>
      </c>
      <c r="X15" s="3912" t="s">
        <v>4588</v>
      </c>
      <c r="Y15" s="3913" t="s">
        <v>4589</v>
      </c>
      <c r="Z15" s="3912" t="s">
        <v>4590</v>
      </c>
      <c r="AA15" s="3913" t="s">
        <v>4591</v>
      </c>
      <c r="AB15" s="3912" t="s">
        <v>4592</v>
      </c>
      <c r="AC15" s="3913" t="s">
        <v>4593</v>
      </c>
      <c r="AD15" s="3912" t="s">
        <v>4594</v>
      </c>
      <c r="AE15" s="3913" t="s">
        <v>4595</v>
      </c>
      <c r="AF15" s="3912" t="s">
        <v>4596</v>
      </c>
      <c r="AG15" s="3913" t="s">
        <v>4597</v>
      </c>
      <c r="AH15" s="3912" t="s">
        <v>4598</v>
      </c>
      <c r="AI15" s="3913" t="s">
        <v>4599</v>
      </c>
      <c r="AJ15" s="3912" t="s">
        <v>4600</v>
      </c>
      <c r="AK15" s="3913" t="s">
        <v>4601</v>
      </c>
      <c r="AL15" s="3912" t="s">
        <v>4602</v>
      </c>
      <c r="AM15" s="3913" t="s">
        <v>4603</v>
      </c>
      <c r="AN15" s="3912" t="s">
        <v>4604</v>
      </c>
      <c r="AO15" s="3913" t="s">
        <v>4605</v>
      </c>
      <c r="AP15" s="3912" t="s">
        <v>4606</v>
      </c>
      <c r="AQ15" s="3913" t="s">
        <v>4934</v>
      </c>
      <c r="AR15" s="3902" t="s">
        <v>4935</v>
      </c>
      <c r="AS15" s="3901" t="s">
        <v>4936</v>
      </c>
      <c r="AT15" s="3902" t="s">
        <v>4937</v>
      </c>
      <c r="AU15" s="3903" t="s">
        <v>5234</v>
      </c>
      <c r="AV15" s="3902" t="s">
        <v>5235</v>
      </c>
      <c r="AW15" s="3904" t="s">
        <v>5236</v>
      </c>
      <c r="AX15" s="3905" t="s">
        <v>5237</v>
      </c>
      <c r="AY15" s="1864" t="e">
        <f t="shared" si="0"/>
        <v>#VALUE!</v>
      </c>
      <c r="CB15" s="1865" t="str">
        <f>IF(C15&lt;&gt;(AT15)," * La suma de las columnas "&amp;AS$10&amp;""&amp;" DEBE SER IGUAL a los Exámenes Procesados. ","")</f>
        <v xml:space="preserve"> * La suma de las columnas POR SEXO (Procesados) DEBE SER IGUAL a los Exámenes Procesados. </v>
      </c>
      <c r="CC15" s="1865" t="e">
        <f t="shared" si="1"/>
        <v>#VALUE!</v>
      </c>
      <c r="CD15" s="1865" t="str">
        <f t="shared" si="2"/>
        <v xml:space="preserve"> *El Número de Pueblos Originarios no puede superar el Total Procesados. </v>
      </c>
      <c r="CE15" s="1865" t="str">
        <f t="shared" si="3"/>
        <v xml:space="preserve"> *El Número de Migrantes no puede superar el Total Procesados. </v>
      </c>
      <c r="CF15" s="1866"/>
      <c r="CG15" s="1866"/>
      <c r="CH15" s="1866"/>
      <c r="CI15" s="1866"/>
      <c r="CJ15" s="1866"/>
      <c r="CK15" s="1865" t="str">
        <f t="shared" si="4"/>
        <v>* El total de Procesados debe ser mayor o igual al total de Reactivos en el grupo de edad 10 - 14 años</v>
      </c>
      <c r="CL15" s="1865" t="str">
        <f t="shared" si="5"/>
        <v>* El total de Procesados debe ser mayor o igual al total de Reactivos en el grupo de edad 15 - 19 años</v>
      </c>
      <c r="CM15" s="1865" t="str">
        <f t="shared" si="6"/>
        <v>* El total de Procesados debe ser mayor o igual al total de Reactivos en el grupo de edad 20 - 24 años</v>
      </c>
      <c r="CN15" s="1865" t="str">
        <f t="shared" si="35"/>
        <v>* El total de Procesados debe ser mayor o igual al total de Reactivos en el grupo de edad 25 - 29 años</v>
      </c>
      <c r="CO15" s="1865" t="str">
        <f t="shared" si="7"/>
        <v>* El total de Procesados debe ser mayor o igual al total de Reactivos en el grupo de edad 30 - 34 años</v>
      </c>
      <c r="CP15" s="1865" t="str">
        <f t="shared" si="8"/>
        <v>* El total de Procesados debe ser mayor o igual al total de Reactivos en el grupo de edad 35 - 39 años</v>
      </c>
      <c r="CQ15" s="1865" t="str">
        <f t="shared" si="9"/>
        <v>* El total de Procesados debe ser mayor o igual al total de Reactivos en el grupo de edad 40 - 44 años</v>
      </c>
      <c r="CR15" s="1865" t="str">
        <f t="shared" si="10"/>
        <v>* El total de Procesados debe ser mayor o igual al total de Reactivos en el grupo de edad 45 - 49 años</v>
      </c>
      <c r="CS15" s="1865" t="str">
        <f t="shared" si="11"/>
        <v>* El total de Procesados debe ser mayor o igual al total de Reactivos en el grupo de edad 50 - 54 años</v>
      </c>
      <c r="CT15" s="1865" t="str">
        <f t="shared" si="12"/>
        <v>* El total de Procesados debe ser mayor o igual al total de Reactivos en el grupo de edad 55 - 59 años</v>
      </c>
      <c r="CU15" s="1865" t="str">
        <f t="shared" si="13"/>
        <v>* El total de Procesados debe ser mayor o igual al total de Reactivos en el grupo de edad 60 - 64 años</v>
      </c>
      <c r="CV15" s="1865" t="str">
        <f t="shared" si="14"/>
        <v>* El total de Procesados debe ser mayor o igual al total de Reactivos en el grupo de edad 65 - 69 años</v>
      </c>
      <c r="CW15" s="1865" t="str">
        <f t="shared" si="15"/>
        <v>* El total de Procesados debe ser mayor o igual al total de Reactivos en el grupo de edad 70 - 74 años</v>
      </c>
      <c r="CX15" s="1865" t="str">
        <f t="shared" si="16"/>
        <v>* El total de Procesados debe ser mayor o igual al total de Reactivos en el grupo de edad 75 - 79 años</v>
      </c>
      <c r="CY15" s="1865" t="str">
        <f t="shared" si="17"/>
        <v>* El total de Procesados debe ser mayor o igual al total de Reactivos en el grupo de edad 80 y más años</v>
      </c>
      <c r="DF15" s="1936"/>
      <c r="DG15" s="3906">
        <f>IF(C15&lt;&gt;(AT15),1,0)</f>
        <v>1</v>
      </c>
      <c r="DH15" s="3906" t="e">
        <f t="shared" si="18"/>
        <v>#VALUE!</v>
      </c>
      <c r="DI15" s="3906">
        <f t="shared" si="19"/>
        <v>1</v>
      </c>
      <c r="DJ15" s="3906">
        <f t="shared" si="20"/>
        <v>1</v>
      </c>
      <c r="DK15" s="1866"/>
      <c r="DL15" s="1866"/>
      <c r="DM15" s="1866"/>
      <c r="DN15" s="1866"/>
      <c r="DO15" s="1866"/>
      <c r="DP15" s="3906">
        <f t="shared" si="21"/>
        <v>1</v>
      </c>
      <c r="DQ15" s="3906">
        <f t="shared" si="22"/>
        <v>1</v>
      </c>
      <c r="DR15" s="3906">
        <f t="shared" si="23"/>
        <v>1</v>
      </c>
      <c r="DS15" s="3906">
        <f t="shared" si="36"/>
        <v>1</v>
      </c>
      <c r="DT15" s="3906">
        <f t="shared" si="24"/>
        <v>1</v>
      </c>
      <c r="DU15" s="3906">
        <f t="shared" si="25"/>
        <v>1</v>
      </c>
      <c r="DV15" s="3906">
        <f t="shared" si="26"/>
        <v>1</v>
      </c>
      <c r="DW15" s="3906">
        <f t="shared" si="27"/>
        <v>1</v>
      </c>
      <c r="DX15" s="3906">
        <f t="shared" si="28"/>
        <v>1</v>
      </c>
      <c r="DY15" s="3906">
        <f t="shared" si="29"/>
        <v>1</v>
      </c>
      <c r="DZ15" s="3906">
        <f t="shared" si="30"/>
        <v>1</v>
      </c>
      <c r="EA15" s="3906">
        <f t="shared" si="31"/>
        <v>1</v>
      </c>
      <c r="EB15" s="3906">
        <f t="shared" si="32"/>
        <v>1</v>
      </c>
      <c r="EC15" s="3906">
        <f t="shared" si="33"/>
        <v>1</v>
      </c>
      <c r="ED15" s="3906">
        <f t="shared" si="34"/>
        <v>1</v>
      </c>
    </row>
    <row r="16" spans="1:134" x14ac:dyDescent="0.25">
      <c r="A16" s="5601">
        <v>11054000</v>
      </c>
      <c r="B16" s="3907" t="s">
        <v>1869</v>
      </c>
      <c r="C16" s="3908" t="s">
        <v>4567</v>
      </c>
      <c r="D16" s="344" t="s">
        <v>4568</v>
      </c>
      <c r="E16" s="3909" t="s">
        <v>4569</v>
      </c>
      <c r="F16" s="3910" t="s">
        <v>4570</v>
      </c>
      <c r="G16" s="3909" t="s">
        <v>4571</v>
      </c>
      <c r="H16" s="3910" t="s">
        <v>4572</v>
      </c>
      <c r="I16" s="3909" t="s">
        <v>4573</v>
      </c>
      <c r="J16" s="3910" t="s">
        <v>4574</v>
      </c>
      <c r="K16" s="3909" t="s">
        <v>4575</v>
      </c>
      <c r="L16" s="3910" t="s">
        <v>4576</v>
      </c>
      <c r="M16" s="3909" t="s">
        <v>4577</v>
      </c>
      <c r="N16" s="3911" t="s">
        <v>4578</v>
      </c>
      <c r="O16" s="3904" t="s">
        <v>4579</v>
      </c>
      <c r="P16" s="3912" t="s">
        <v>4580</v>
      </c>
      <c r="Q16" s="3913" t="s">
        <v>4581</v>
      </c>
      <c r="R16" s="3912" t="s">
        <v>4582</v>
      </c>
      <c r="S16" s="3913" t="s">
        <v>4583</v>
      </c>
      <c r="T16" s="3912" t="s">
        <v>4584</v>
      </c>
      <c r="U16" s="3913" t="s">
        <v>4585</v>
      </c>
      <c r="V16" s="3912" t="s">
        <v>4586</v>
      </c>
      <c r="W16" s="3913" t="s">
        <v>4587</v>
      </c>
      <c r="X16" s="3912" t="s">
        <v>4588</v>
      </c>
      <c r="Y16" s="3913" t="s">
        <v>4589</v>
      </c>
      <c r="Z16" s="3912" t="s">
        <v>4590</v>
      </c>
      <c r="AA16" s="3913" t="s">
        <v>4591</v>
      </c>
      <c r="AB16" s="3912" t="s">
        <v>4592</v>
      </c>
      <c r="AC16" s="3913" t="s">
        <v>4593</v>
      </c>
      <c r="AD16" s="3912" t="s">
        <v>4594</v>
      </c>
      <c r="AE16" s="3913" t="s">
        <v>4595</v>
      </c>
      <c r="AF16" s="3912" t="s">
        <v>4596</v>
      </c>
      <c r="AG16" s="3913" t="s">
        <v>4597</v>
      </c>
      <c r="AH16" s="3912" t="s">
        <v>4598</v>
      </c>
      <c r="AI16" s="3913" t="s">
        <v>4599</v>
      </c>
      <c r="AJ16" s="3912" t="s">
        <v>4600</v>
      </c>
      <c r="AK16" s="3913" t="s">
        <v>4601</v>
      </c>
      <c r="AL16" s="3912" t="s">
        <v>4602</v>
      </c>
      <c r="AM16" s="3913" t="s">
        <v>4603</v>
      </c>
      <c r="AN16" s="3912" t="s">
        <v>4604</v>
      </c>
      <c r="AO16" s="3913" t="s">
        <v>4605</v>
      </c>
      <c r="AP16" s="3912" t="s">
        <v>4606</v>
      </c>
      <c r="AQ16" s="3913" t="s">
        <v>4934</v>
      </c>
      <c r="AR16" s="3902" t="s">
        <v>4935</v>
      </c>
      <c r="AS16" s="3901" t="s">
        <v>4936</v>
      </c>
      <c r="AT16" s="3902" t="s">
        <v>4937</v>
      </c>
      <c r="AU16" s="3903" t="s">
        <v>5234</v>
      </c>
      <c r="AV16" s="3902" t="s">
        <v>5235</v>
      </c>
      <c r="AW16" s="3904" t="s">
        <v>5236</v>
      </c>
      <c r="AX16" s="3905" t="s">
        <v>5237</v>
      </c>
      <c r="AY16" s="1864" t="e">
        <f t="shared" si="0"/>
        <v>#VALUE!</v>
      </c>
      <c r="CB16" s="1865" t="str">
        <f>IF(C16&lt;&gt;(AT16)," * La suma de las columnas "&amp;AS$10&amp;""&amp;" DEBE SER IGUAL a los Exámenes Procesados. ","")</f>
        <v xml:space="preserve"> * La suma de las columnas POR SEXO (Procesados) DEBE SER IGUAL a los Exámenes Procesados. </v>
      </c>
      <c r="CC16" s="1865" t="e">
        <f t="shared" si="1"/>
        <v>#VALUE!</v>
      </c>
      <c r="CD16" s="1865" t="str">
        <f t="shared" si="2"/>
        <v xml:space="preserve"> *El Número de Pueblos Originarios no puede superar el Total Procesados. </v>
      </c>
      <c r="CE16" s="1865" t="str">
        <f t="shared" si="3"/>
        <v xml:space="preserve"> *El Número de Migrantes no puede superar el Total Procesados. </v>
      </c>
      <c r="CF16" s="1866"/>
      <c r="CG16" s="1866"/>
      <c r="CH16" s="1866"/>
      <c r="CI16" s="1866"/>
      <c r="CJ16" s="1866"/>
      <c r="CK16" s="1865" t="str">
        <f t="shared" si="4"/>
        <v>* El total de Procesados debe ser mayor o igual al total de Reactivos en el grupo de edad 10 - 14 años</v>
      </c>
      <c r="CL16" s="1865" t="str">
        <f t="shared" si="5"/>
        <v>* El total de Procesados debe ser mayor o igual al total de Reactivos en el grupo de edad 15 - 19 años</v>
      </c>
      <c r="CM16" s="1865" t="str">
        <f t="shared" si="6"/>
        <v>* El total de Procesados debe ser mayor o igual al total de Reactivos en el grupo de edad 20 - 24 años</v>
      </c>
      <c r="CN16" s="1865" t="str">
        <f t="shared" si="35"/>
        <v>* El total de Procesados debe ser mayor o igual al total de Reactivos en el grupo de edad 25 - 29 años</v>
      </c>
      <c r="CO16" s="1865" t="str">
        <f t="shared" si="7"/>
        <v>* El total de Procesados debe ser mayor o igual al total de Reactivos en el grupo de edad 30 - 34 años</v>
      </c>
      <c r="CP16" s="1865" t="str">
        <f t="shared" si="8"/>
        <v>* El total de Procesados debe ser mayor o igual al total de Reactivos en el grupo de edad 35 - 39 años</v>
      </c>
      <c r="CQ16" s="1865" t="str">
        <f t="shared" si="9"/>
        <v>* El total de Procesados debe ser mayor o igual al total de Reactivos en el grupo de edad 40 - 44 años</v>
      </c>
      <c r="CR16" s="1865" t="str">
        <f t="shared" si="10"/>
        <v>* El total de Procesados debe ser mayor o igual al total de Reactivos en el grupo de edad 45 - 49 años</v>
      </c>
      <c r="CS16" s="1865" t="str">
        <f t="shared" si="11"/>
        <v>* El total de Procesados debe ser mayor o igual al total de Reactivos en el grupo de edad 50 - 54 años</v>
      </c>
      <c r="CT16" s="1865" t="str">
        <f t="shared" si="12"/>
        <v>* El total de Procesados debe ser mayor o igual al total de Reactivos en el grupo de edad 55 - 59 años</v>
      </c>
      <c r="CU16" s="1865" t="str">
        <f t="shared" si="13"/>
        <v>* El total de Procesados debe ser mayor o igual al total de Reactivos en el grupo de edad 60 - 64 años</v>
      </c>
      <c r="CV16" s="1865" t="str">
        <f t="shared" si="14"/>
        <v>* El total de Procesados debe ser mayor o igual al total de Reactivos en el grupo de edad 65 - 69 años</v>
      </c>
      <c r="CW16" s="1865" t="str">
        <f t="shared" si="15"/>
        <v>* El total de Procesados debe ser mayor o igual al total de Reactivos en el grupo de edad 70 - 74 años</v>
      </c>
      <c r="CX16" s="1865" t="str">
        <f t="shared" si="16"/>
        <v>* El total de Procesados debe ser mayor o igual al total de Reactivos en el grupo de edad 75 - 79 años</v>
      </c>
      <c r="CY16" s="1865" t="str">
        <f t="shared" si="17"/>
        <v>* El total de Procesados debe ser mayor o igual al total de Reactivos en el grupo de edad 80 y más años</v>
      </c>
      <c r="DF16" s="1936"/>
      <c r="DG16" s="3906">
        <f>IF(C16&lt;&gt;(AT16),1,0)</f>
        <v>1</v>
      </c>
      <c r="DH16" s="3906" t="e">
        <f t="shared" si="18"/>
        <v>#VALUE!</v>
      </c>
      <c r="DI16" s="3906">
        <f t="shared" si="19"/>
        <v>1</v>
      </c>
      <c r="DJ16" s="3906">
        <f t="shared" si="20"/>
        <v>1</v>
      </c>
      <c r="DK16" s="1866"/>
      <c r="DL16" s="1866"/>
      <c r="DM16" s="1866"/>
      <c r="DN16" s="1866"/>
      <c r="DO16" s="1866"/>
      <c r="DP16" s="3906">
        <f t="shared" si="21"/>
        <v>1</v>
      </c>
      <c r="DQ16" s="3906">
        <f t="shared" si="22"/>
        <v>1</v>
      </c>
      <c r="DR16" s="3906">
        <f t="shared" si="23"/>
        <v>1</v>
      </c>
      <c r="DS16" s="3906">
        <f t="shared" si="36"/>
        <v>1</v>
      </c>
      <c r="DT16" s="3906">
        <f t="shared" si="24"/>
        <v>1</v>
      </c>
      <c r="DU16" s="3906">
        <f t="shared" si="25"/>
        <v>1</v>
      </c>
      <c r="DV16" s="3906">
        <f t="shared" si="26"/>
        <v>1</v>
      </c>
      <c r="DW16" s="3906">
        <f t="shared" si="27"/>
        <v>1</v>
      </c>
      <c r="DX16" s="3906">
        <f t="shared" si="28"/>
        <v>1</v>
      </c>
      <c r="DY16" s="3906">
        <f t="shared" si="29"/>
        <v>1</v>
      </c>
      <c r="DZ16" s="3906">
        <f t="shared" si="30"/>
        <v>1</v>
      </c>
      <c r="EA16" s="3906">
        <f t="shared" si="31"/>
        <v>1</v>
      </c>
      <c r="EB16" s="3906">
        <f t="shared" si="32"/>
        <v>1</v>
      </c>
      <c r="EC16" s="3906">
        <f t="shared" si="33"/>
        <v>1</v>
      </c>
      <c r="ED16" s="3906">
        <f t="shared" si="34"/>
        <v>1</v>
      </c>
    </row>
    <row r="17" spans="1:134" x14ac:dyDescent="0.25">
      <c r="A17" s="5601">
        <v>11051200</v>
      </c>
      <c r="B17" s="3874" t="s">
        <v>1870</v>
      </c>
      <c r="C17" s="3908" t="s">
        <v>4567</v>
      </c>
      <c r="D17" s="344" t="s">
        <v>4568</v>
      </c>
      <c r="E17" s="3909" t="s">
        <v>4569</v>
      </c>
      <c r="F17" s="3910" t="s">
        <v>4570</v>
      </c>
      <c r="G17" s="3909" t="s">
        <v>4571</v>
      </c>
      <c r="H17" s="3910" t="s">
        <v>4572</v>
      </c>
      <c r="I17" s="3909" t="s">
        <v>4573</v>
      </c>
      <c r="J17" s="3910" t="s">
        <v>4574</v>
      </c>
      <c r="K17" s="3909" t="s">
        <v>4575</v>
      </c>
      <c r="L17" s="3910" t="s">
        <v>4576</v>
      </c>
      <c r="M17" s="3909" t="s">
        <v>4577</v>
      </c>
      <c r="N17" s="3911" t="s">
        <v>4578</v>
      </c>
      <c r="O17" s="3904" t="s">
        <v>4579</v>
      </c>
      <c r="P17" s="3912" t="s">
        <v>4580</v>
      </c>
      <c r="Q17" s="3913" t="s">
        <v>4581</v>
      </c>
      <c r="R17" s="3912" t="s">
        <v>4582</v>
      </c>
      <c r="S17" s="3913" t="s">
        <v>4583</v>
      </c>
      <c r="T17" s="3912" t="s">
        <v>4584</v>
      </c>
      <c r="U17" s="3913" t="s">
        <v>4585</v>
      </c>
      <c r="V17" s="3912" t="s">
        <v>4586</v>
      </c>
      <c r="W17" s="3913" t="s">
        <v>4587</v>
      </c>
      <c r="X17" s="3912" t="s">
        <v>4588</v>
      </c>
      <c r="Y17" s="3913" t="s">
        <v>4589</v>
      </c>
      <c r="Z17" s="3912" t="s">
        <v>4590</v>
      </c>
      <c r="AA17" s="3913" t="s">
        <v>4591</v>
      </c>
      <c r="AB17" s="3912" t="s">
        <v>4592</v>
      </c>
      <c r="AC17" s="3913" t="s">
        <v>4593</v>
      </c>
      <c r="AD17" s="3912" t="s">
        <v>4594</v>
      </c>
      <c r="AE17" s="3913" t="s">
        <v>4595</v>
      </c>
      <c r="AF17" s="3912" t="s">
        <v>4596</v>
      </c>
      <c r="AG17" s="3913" t="s">
        <v>4597</v>
      </c>
      <c r="AH17" s="3912" t="s">
        <v>4598</v>
      </c>
      <c r="AI17" s="3913" t="s">
        <v>4599</v>
      </c>
      <c r="AJ17" s="3912" t="s">
        <v>4600</v>
      </c>
      <c r="AK17" s="3913" t="s">
        <v>4601</v>
      </c>
      <c r="AL17" s="3912" t="s">
        <v>4602</v>
      </c>
      <c r="AM17" s="3913" t="s">
        <v>4603</v>
      </c>
      <c r="AN17" s="3912" t="s">
        <v>4604</v>
      </c>
      <c r="AO17" s="3913" t="s">
        <v>4605</v>
      </c>
      <c r="AP17" s="3912" t="s">
        <v>4606</v>
      </c>
      <c r="AQ17" s="3913" t="s">
        <v>4934</v>
      </c>
      <c r="AR17" s="3902" t="s">
        <v>4935</v>
      </c>
      <c r="AS17" s="3901" t="s">
        <v>4936</v>
      </c>
      <c r="AT17" s="3902" t="s">
        <v>4937</v>
      </c>
      <c r="AU17" s="3903" t="s">
        <v>5234</v>
      </c>
      <c r="AV17" s="3902" t="s">
        <v>5235</v>
      </c>
      <c r="AW17" s="3904" t="s">
        <v>5236</v>
      </c>
      <c r="AX17" s="3905" t="s">
        <v>5237</v>
      </c>
      <c r="AY17" s="1864" t="e">
        <f t="shared" si="0"/>
        <v>#VALUE!</v>
      </c>
      <c r="CB17" s="1865" t="str">
        <f>IF(C17&lt;&gt;(AT17)," * La suma de las columnas "&amp;AS$10&amp;""&amp;" DEBE SER IGUAL a los Exámenes Procesados. ","")</f>
        <v xml:space="preserve"> * La suma de las columnas POR SEXO (Procesados) DEBE SER IGUAL a los Exámenes Procesados. </v>
      </c>
      <c r="CC17" s="1865" t="e">
        <f t="shared" si="1"/>
        <v>#VALUE!</v>
      </c>
      <c r="CD17" s="1865" t="str">
        <f t="shared" si="2"/>
        <v xml:space="preserve"> *El Número de Pueblos Originarios no puede superar el Total Procesados. </v>
      </c>
      <c r="CE17" s="1865" t="str">
        <f t="shared" si="3"/>
        <v xml:space="preserve"> *El Número de Migrantes no puede superar el Total Procesados. </v>
      </c>
      <c r="CF17" s="1866"/>
      <c r="CG17" s="1866"/>
      <c r="CH17" s="1866"/>
      <c r="CI17" s="1866"/>
      <c r="CJ17" s="1866"/>
      <c r="CK17" s="1865" t="str">
        <f t="shared" si="4"/>
        <v>* El total de Procesados debe ser mayor o igual al total de Reactivos en el grupo de edad 10 - 14 años</v>
      </c>
      <c r="CL17" s="1865" t="str">
        <f t="shared" si="5"/>
        <v>* El total de Procesados debe ser mayor o igual al total de Reactivos en el grupo de edad 15 - 19 años</v>
      </c>
      <c r="CM17" s="1865" t="str">
        <f t="shared" si="6"/>
        <v>* El total de Procesados debe ser mayor o igual al total de Reactivos en el grupo de edad 20 - 24 años</v>
      </c>
      <c r="CN17" s="1865" t="str">
        <f t="shared" si="35"/>
        <v>* El total de Procesados debe ser mayor o igual al total de Reactivos en el grupo de edad 25 - 29 años</v>
      </c>
      <c r="CO17" s="1865" t="str">
        <f t="shared" si="7"/>
        <v>* El total de Procesados debe ser mayor o igual al total de Reactivos en el grupo de edad 30 - 34 años</v>
      </c>
      <c r="CP17" s="1865" t="str">
        <f t="shared" si="8"/>
        <v>* El total de Procesados debe ser mayor o igual al total de Reactivos en el grupo de edad 35 - 39 años</v>
      </c>
      <c r="CQ17" s="1865" t="str">
        <f t="shared" si="9"/>
        <v>* El total de Procesados debe ser mayor o igual al total de Reactivos en el grupo de edad 40 - 44 años</v>
      </c>
      <c r="CR17" s="1865" t="str">
        <f t="shared" si="10"/>
        <v>* El total de Procesados debe ser mayor o igual al total de Reactivos en el grupo de edad 45 - 49 años</v>
      </c>
      <c r="CS17" s="1865" t="str">
        <f t="shared" si="11"/>
        <v>* El total de Procesados debe ser mayor o igual al total de Reactivos en el grupo de edad 50 - 54 años</v>
      </c>
      <c r="CT17" s="1865" t="str">
        <f t="shared" si="12"/>
        <v>* El total de Procesados debe ser mayor o igual al total de Reactivos en el grupo de edad 55 - 59 años</v>
      </c>
      <c r="CU17" s="1865" t="str">
        <f t="shared" si="13"/>
        <v>* El total de Procesados debe ser mayor o igual al total de Reactivos en el grupo de edad 60 - 64 años</v>
      </c>
      <c r="CV17" s="1865" t="str">
        <f t="shared" si="14"/>
        <v>* El total de Procesados debe ser mayor o igual al total de Reactivos en el grupo de edad 65 - 69 años</v>
      </c>
      <c r="CW17" s="1865" t="str">
        <f t="shared" si="15"/>
        <v>* El total de Procesados debe ser mayor o igual al total de Reactivos en el grupo de edad 70 - 74 años</v>
      </c>
      <c r="CX17" s="1865" t="str">
        <f t="shared" si="16"/>
        <v>* El total de Procesados debe ser mayor o igual al total de Reactivos en el grupo de edad 75 - 79 años</v>
      </c>
      <c r="CY17" s="1865" t="str">
        <f t="shared" si="17"/>
        <v>* El total de Procesados debe ser mayor o igual al total de Reactivos en el grupo de edad 80 y más años</v>
      </c>
      <c r="DF17" s="1936"/>
      <c r="DG17" s="3906">
        <f>IF(C17&lt;&gt;(AT17),1,0)</f>
        <v>1</v>
      </c>
      <c r="DH17" s="3906" t="e">
        <f t="shared" si="18"/>
        <v>#VALUE!</v>
      </c>
      <c r="DI17" s="3906">
        <f t="shared" si="19"/>
        <v>1</v>
      </c>
      <c r="DJ17" s="3906">
        <f t="shared" si="20"/>
        <v>1</v>
      </c>
      <c r="DK17" s="1866"/>
      <c r="DL17" s="1866"/>
      <c r="DM17" s="1866"/>
      <c r="DN17" s="1866"/>
      <c r="DO17" s="1866"/>
      <c r="DP17" s="3906">
        <f t="shared" si="21"/>
        <v>1</v>
      </c>
      <c r="DQ17" s="3906">
        <f t="shared" si="22"/>
        <v>1</v>
      </c>
      <c r="DR17" s="3906">
        <f t="shared" si="23"/>
        <v>1</v>
      </c>
      <c r="DS17" s="3906">
        <f t="shared" si="36"/>
        <v>1</v>
      </c>
      <c r="DT17" s="3906">
        <f t="shared" si="24"/>
        <v>1</v>
      </c>
      <c r="DU17" s="3906">
        <f t="shared" si="25"/>
        <v>1</v>
      </c>
      <c r="DV17" s="3906">
        <f t="shared" si="26"/>
        <v>1</v>
      </c>
      <c r="DW17" s="3906">
        <f t="shared" si="27"/>
        <v>1</v>
      </c>
      <c r="DX17" s="3906">
        <f t="shared" si="28"/>
        <v>1</v>
      </c>
      <c r="DY17" s="3906">
        <f t="shared" si="29"/>
        <v>1</v>
      </c>
      <c r="DZ17" s="3906">
        <f t="shared" si="30"/>
        <v>1</v>
      </c>
      <c r="EA17" s="3906">
        <f t="shared" si="31"/>
        <v>1</v>
      </c>
      <c r="EB17" s="3906">
        <f t="shared" si="32"/>
        <v>1</v>
      </c>
      <c r="EC17" s="3906">
        <f t="shared" si="33"/>
        <v>1</v>
      </c>
      <c r="ED17" s="3906">
        <f t="shared" si="34"/>
        <v>1</v>
      </c>
    </row>
    <row r="18" spans="1:134" x14ac:dyDescent="0.25">
      <c r="A18" s="5601">
        <v>11051201</v>
      </c>
      <c r="B18" s="3874" t="s">
        <v>1871</v>
      </c>
      <c r="C18" s="3908" t="s">
        <v>4567</v>
      </c>
      <c r="D18" s="344" t="s">
        <v>4568</v>
      </c>
      <c r="E18" s="3909" t="s">
        <v>4569</v>
      </c>
      <c r="F18" s="3910" t="s">
        <v>4570</v>
      </c>
      <c r="G18" s="3909" t="s">
        <v>4571</v>
      </c>
      <c r="H18" s="3910" t="s">
        <v>4572</v>
      </c>
      <c r="I18" s="3909" t="s">
        <v>4573</v>
      </c>
      <c r="J18" s="3910" t="s">
        <v>4574</v>
      </c>
      <c r="K18" s="3909" t="s">
        <v>4575</v>
      </c>
      <c r="L18" s="3910" t="s">
        <v>4576</v>
      </c>
      <c r="M18" s="3909" t="s">
        <v>4577</v>
      </c>
      <c r="N18" s="3911" t="s">
        <v>4578</v>
      </c>
      <c r="O18" s="3904" t="s">
        <v>4579</v>
      </c>
      <c r="P18" s="3912" t="s">
        <v>4580</v>
      </c>
      <c r="Q18" s="3913" t="s">
        <v>4581</v>
      </c>
      <c r="R18" s="3912" t="s">
        <v>4582</v>
      </c>
      <c r="S18" s="3913" t="s">
        <v>4583</v>
      </c>
      <c r="T18" s="3912" t="s">
        <v>4584</v>
      </c>
      <c r="U18" s="3913" t="s">
        <v>4585</v>
      </c>
      <c r="V18" s="3912" t="s">
        <v>4586</v>
      </c>
      <c r="W18" s="3913" t="s">
        <v>4587</v>
      </c>
      <c r="X18" s="3912" t="s">
        <v>4588</v>
      </c>
      <c r="Y18" s="3913" t="s">
        <v>4589</v>
      </c>
      <c r="Z18" s="3912" t="s">
        <v>4590</v>
      </c>
      <c r="AA18" s="3913" t="s">
        <v>4591</v>
      </c>
      <c r="AB18" s="3912" t="s">
        <v>4592</v>
      </c>
      <c r="AC18" s="3913" t="s">
        <v>4593</v>
      </c>
      <c r="AD18" s="3912" t="s">
        <v>4594</v>
      </c>
      <c r="AE18" s="3913" t="s">
        <v>4595</v>
      </c>
      <c r="AF18" s="3912" t="s">
        <v>4596</v>
      </c>
      <c r="AG18" s="3913" t="s">
        <v>4597</v>
      </c>
      <c r="AH18" s="3912" t="s">
        <v>4598</v>
      </c>
      <c r="AI18" s="3913" t="s">
        <v>4599</v>
      </c>
      <c r="AJ18" s="3912" t="s">
        <v>4600</v>
      </c>
      <c r="AK18" s="3913" t="s">
        <v>4601</v>
      </c>
      <c r="AL18" s="3912" t="s">
        <v>4602</v>
      </c>
      <c r="AM18" s="3913" t="s">
        <v>4603</v>
      </c>
      <c r="AN18" s="3912" t="s">
        <v>4604</v>
      </c>
      <c r="AO18" s="3913" t="s">
        <v>4605</v>
      </c>
      <c r="AP18" s="3912" t="s">
        <v>4606</v>
      </c>
      <c r="AQ18" s="3913" t="s">
        <v>4934</v>
      </c>
      <c r="AR18" s="3902" t="s">
        <v>4935</v>
      </c>
      <c r="AS18" s="3904" t="s">
        <v>4936</v>
      </c>
      <c r="AT18" s="3902" t="s">
        <v>4937</v>
      </c>
      <c r="AU18" s="3903" t="s">
        <v>5234</v>
      </c>
      <c r="AV18" s="3902" t="s">
        <v>5235</v>
      </c>
      <c r="AW18" s="3904" t="s">
        <v>5236</v>
      </c>
      <c r="AX18" s="3905" t="s">
        <v>5237</v>
      </c>
      <c r="AY18" s="1864" t="e">
        <f t="shared" si="0"/>
        <v>#VALUE!</v>
      </c>
      <c r="CB18" s="1865" t="e">
        <f>IF(C18&lt;&gt;(AT18+AS18)," * La suma de las columnas "&amp;AS$10&amp;""&amp;" DEBE SER IGUAL a los Exámenes Procesados. ","")</f>
        <v>#VALUE!</v>
      </c>
      <c r="CC18" s="1865" t="e">
        <f t="shared" si="1"/>
        <v>#VALUE!</v>
      </c>
      <c r="CD18" s="1865" t="str">
        <f t="shared" si="2"/>
        <v xml:space="preserve"> *El Número de Pueblos Originarios no puede superar el Total Procesados. </v>
      </c>
      <c r="CE18" s="1865" t="str">
        <f t="shared" si="3"/>
        <v xml:space="preserve"> *El Número de Migrantes no puede superar el Total Procesados. </v>
      </c>
      <c r="CF18" s="1866"/>
      <c r="CG18" s="1866"/>
      <c r="CH18" s="1866"/>
      <c r="CI18" s="1866"/>
      <c r="CJ18" s="1866"/>
      <c r="CK18" s="1865" t="str">
        <f t="shared" si="4"/>
        <v>* El total de Procesados debe ser mayor o igual al total de Reactivos en el grupo de edad 10 - 14 años</v>
      </c>
      <c r="CL18" s="1865" t="str">
        <f t="shared" si="5"/>
        <v>* El total de Procesados debe ser mayor o igual al total de Reactivos en el grupo de edad 15 - 19 años</v>
      </c>
      <c r="CM18" s="1865" t="str">
        <f t="shared" si="6"/>
        <v>* El total de Procesados debe ser mayor o igual al total de Reactivos en el grupo de edad 20 - 24 años</v>
      </c>
      <c r="CN18" s="1865" t="str">
        <f t="shared" si="35"/>
        <v>* El total de Procesados debe ser mayor o igual al total de Reactivos en el grupo de edad 25 - 29 años</v>
      </c>
      <c r="CO18" s="1865" t="str">
        <f t="shared" si="7"/>
        <v>* El total de Procesados debe ser mayor o igual al total de Reactivos en el grupo de edad 30 - 34 años</v>
      </c>
      <c r="CP18" s="1865" t="str">
        <f t="shared" si="8"/>
        <v>* El total de Procesados debe ser mayor o igual al total de Reactivos en el grupo de edad 35 - 39 años</v>
      </c>
      <c r="CQ18" s="1865" t="str">
        <f t="shared" si="9"/>
        <v>* El total de Procesados debe ser mayor o igual al total de Reactivos en el grupo de edad 40 - 44 años</v>
      </c>
      <c r="CR18" s="1865" t="str">
        <f t="shared" si="10"/>
        <v>* El total de Procesados debe ser mayor o igual al total de Reactivos en el grupo de edad 45 - 49 años</v>
      </c>
      <c r="CS18" s="1865" t="str">
        <f t="shared" si="11"/>
        <v>* El total de Procesados debe ser mayor o igual al total de Reactivos en el grupo de edad 50 - 54 años</v>
      </c>
      <c r="CT18" s="1865" t="str">
        <f t="shared" si="12"/>
        <v>* El total de Procesados debe ser mayor o igual al total de Reactivos en el grupo de edad 55 - 59 años</v>
      </c>
      <c r="CU18" s="1865" t="str">
        <f t="shared" si="13"/>
        <v>* El total de Procesados debe ser mayor o igual al total de Reactivos en el grupo de edad 60 - 64 años</v>
      </c>
      <c r="CV18" s="1865" t="str">
        <f t="shared" si="14"/>
        <v>* El total de Procesados debe ser mayor o igual al total de Reactivos en el grupo de edad 65 - 69 años</v>
      </c>
      <c r="CW18" s="1865" t="str">
        <f t="shared" si="15"/>
        <v>* El total de Procesados debe ser mayor o igual al total de Reactivos en el grupo de edad 70 - 74 años</v>
      </c>
      <c r="CX18" s="1865" t="str">
        <f t="shared" si="16"/>
        <v>* El total de Procesados debe ser mayor o igual al total de Reactivos en el grupo de edad 75 - 79 años</v>
      </c>
      <c r="CY18" s="1865" t="str">
        <f t="shared" si="17"/>
        <v>* El total de Procesados debe ser mayor o igual al total de Reactivos en el grupo de edad 80 y más años</v>
      </c>
      <c r="DF18" s="1936"/>
      <c r="DG18" s="3906" t="e">
        <f>IF(C18&lt;&gt;(AT18+AS18),1,0)</f>
        <v>#VALUE!</v>
      </c>
      <c r="DH18" s="3906" t="e">
        <f t="shared" si="18"/>
        <v>#VALUE!</v>
      </c>
      <c r="DI18" s="3906">
        <f t="shared" si="19"/>
        <v>1</v>
      </c>
      <c r="DJ18" s="3906">
        <f t="shared" si="20"/>
        <v>1</v>
      </c>
      <c r="DK18" s="1866"/>
      <c r="DL18" s="1866"/>
      <c r="DM18" s="1866"/>
      <c r="DN18" s="1866"/>
      <c r="DO18" s="1866"/>
      <c r="DP18" s="3906">
        <f t="shared" si="21"/>
        <v>1</v>
      </c>
      <c r="DQ18" s="3906">
        <f t="shared" si="22"/>
        <v>1</v>
      </c>
      <c r="DR18" s="3906">
        <f t="shared" si="23"/>
        <v>1</v>
      </c>
      <c r="DS18" s="3906">
        <f t="shared" si="36"/>
        <v>1</v>
      </c>
      <c r="DT18" s="3906">
        <f t="shared" si="24"/>
        <v>1</v>
      </c>
      <c r="DU18" s="3906">
        <f t="shared" si="25"/>
        <v>1</v>
      </c>
      <c r="DV18" s="3906">
        <f t="shared" si="26"/>
        <v>1</v>
      </c>
      <c r="DW18" s="3906">
        <f t="shared" si="27"/>
        <v>1</v>
      </c>
      <c r="DX18" s="3906">
        <f t="shared" si="28"/>
        <v>1</v>
      </c>
      <c r="DY18" s="3906">
        <f t="shared" si="29"/>
        <v>1</v>
      </c>
      <c r="DZ18" s="3906">
        <f t="shared" si="30"/>
        <v>1</v>
      </c>
      <c r="EA18" s="3906">
        <f t="shared" si="31"/>
        <v>1</v>
      </c>
      <c r="EB18" s="3906">
        <f t="shared" si="32"/>
        <v>1</v>
      </c>
      <c r="EC18" s="3906">
        <f t="shared" si="33"/>
        <v>1</v>
      </c>
      <c r="ED18" s="3906">
        <f t="shared" si="34"/>
        <v>1</v>
      </c>
    </row>
    <row r="19" spans="1:134" x14ac:dyDescent="0.25">
      <c r="A19" s="5601">
        <v>11041000</v>
      </c>
      <c r="B19" s="3874" t="s">
        <v>1872</v>
      </c>
      <c r="C19" s="3908" t="s">
        <v>4567</v>
      </c>
      <c r="D19" s="344" t="s">
        <v>4568</v>
      </c>
      <c r="E19" s="3909" t="s">
        <v>4569</v>
      </c>
      <c r="F19" s="3910" t="s">
        <v>4570</v>
      </c>
      <c r="G19" s="3909" t="s">
        <v>4571</v>
      </c>
      <c r="H19" s="3910" t="s">
        <v>4572</v>
      </c>
      <c r="I19" s="3909" t="s">
        <v>4573</v>
      </c>
      <c r="J19" s="3910" t="s">
        <v>4574</v>
      </c>
      <c r="K19" s="3909" t="s">
        <v>4575</v>
      </c>
      <c r="L19" s="3910" t="s">
        <v>4576</v>
      </c>
      <c r="M19" s="3909" t="s">
        <v>4577</v>
      </c>
      <c r="N19" s="3911" t="s">
        <v>4578</v>
      </c>
      <c r="O19" s="3904" t="s">
        <v>4579</v>
      </c>
      <c r="P19" s="3912" t="s">
        <v>4580</v>
      </c>
      <c r="Q19" s="3913" t="s">
        <v>4581</v>
      </c>
      <c r="R19" s="3912" t="s">
        <v>4582</v>
      </c>
      <c r="S19" s="3913" t="s">
        <v>4583</v>
      </c>
      <c r="T19" s="3912" t="s">
        <v>4584</v>
      </c>
      <c r="U19" s="3913" t="s">
        <v>4585</v>
      </c>
      <c r="V19" s="3912" t="s">
        <v>4586</v>
      </c>
      <c r="W19" s="3913" t="s">
        <v>4587</v>
      </c>
      <c r="X19" s="3912" t="s">
        <v>4588</v>
      </c>
      <c r="Y19" s="3913" t="s">
        <v>4589</v>
      </c>
      <c r="Z19" s="3912" t="s">
        <v>4590</v>
      </c>
      <c r="AA19" s="3913" t="s">
        <v>4591</v>
      </c>
      <c r="AB19" s="3912" t="s">
        <v>4592</v>
      </c>
      <c r="AC19" s="3913" t="s">
        <v>4593</v>
      </c>
      <c r="AD19" s="3912" t="s">
        <v>4594</v>
      </c>
      <c r="AE19" s="3913" t="s">
        <v>4595</v>
      </c>
      <c r="AF19" s="3912" t="s">
        <v>4596</v>
      </c>
      <c r="AG19" s="3913" t="s">
        <v>4597</v>
      </c>
      <c r="AH19" s="3912" t="s">
        <v>4598</v>
      </c>
      <c r="AI19" s="3913" t="s">
        <v>4599</v>
      </c>
      <c r="AJ19" s="3912" t="s">
        <v>4600</v>
      </c>
      <c r="AK19" s="3913" t="s">
        <v>4601</v>
      </c>
      <c r="AL19" s="3912" t="s">
        <v>4602</v>
      </c>
      <c r="AM19" s="3913" t="s">
        <v>4603</v>
      </c>
      <c r="AN19" s="3912" t="s">
        <v>4604</v>
      </c>
      <c r="AO19" s="3913" t="s">
        <v>4605</v>
      </c>
      <c r="AP19" s="3912" t="s">
        <v>4606</v>
      </c>
      <c r="AQ19" s="3913" t="s">
        <v>4934</v>
      </c>
      <c r="AR19" s="3902" t="s">
        <v>4935</v>
      </c>
      <c r="AS19" s="3901" t="s">
        <v>4936</v>
      </c>
      <c r="AT19" s="3902" t="s">
        <v>4937</v>
      </c>
      <c r="AU19" s="3903" t="s">
        <v>5234</v>
      </c>
      <c r="AV19" s="3902" t="s">
        <v>5235</v>
      </c>
      <c r="AW19" s="3904" t="s">
        <v>5236</v>
      </c>
      <c r="AX19" s="3905" t="s">
        <v>5237</v>
      </c>
      <c r="AY19" s="1864" t="e">
        <f t="shared" si="0"/>
        <v>#VALUE!</v>
      </c>
      <c r="CB19" s="1865" t="str">
        <f>IF(C19&lt;&gt;(AT19)," * La suma de las columnas "&amp;AS$10&amp;""&amp;" DEBE SER IGUAL a los Exámenes Procesados. ","")</f>
        <v xml:space="preserve"> * La suma de las columnas POR SEXO (Procesados) DEBE SER IGUAL a los Exámenes Procesados. </v>
      </c>
      <c r="CC19" s="1865" t="e">
        <f t="shared" si="1"/>
        <v>#VALUE!</v>
      </c>
      <c r="CD19" s="1865" t="str">
        <f t="shared" si="2"/>
        <v xml:space="preserve"> *El Número de Pueblos Originarios no puede superar el Total Procesados. </v>
      </c>
      <c r="CE19" s="1865" t="str">
        <f t="shared" si="3"/>
        <v xml:space="preserve"> *El Número de Migrantes no puede superar el Total Procesados. </v>
      </c>
      <c r="CF19" s="1866"/>
      <c r="CG19" s="1866"/>
      <c r="CH19" s="1866"/>
      <c r="CI19" s="1866"/>
      <c r="CJ19" s="1866"/>
      <c r="CK19" s="1865" t="str">
        <f t="shared" si="4"/>
        <v>* El total de Procesados debe ser mayor o igual al total de Reactivos en el grupo de edad 10 - 14 años</v>
      </c>
      <c r="CL19" s="1865" t="str">
        <f t="shared" si="5"/>
        <v>* El total de Procesados debe ser mayor o igual al total de Reactivos en el grupo de edad 15 - 19 años</v>
      </c>
      <c r="CM19" s="1865" t="str">
        <f t="shared" si="6"/>
        <v>* El total de Procesados debe ser mayor o igual al total de Reactivos en el grupo de edad 20 - 24 años</v>
      </c>
      <c r="CN19" s="1865" t="str">
        <f t="shared" si="35"/>
        <v>* El total de Procesados debe ser mayor o igual al total de Reactivos en el grupo de edad 25 - 29 años</v>
      </c>
      <c r="CO19" s="1865" t="str">
        <f t="shared" si="7"/>
        <v>* El total de Procesados debe ser mayor o igual al total de Reactivos en el grupo de edad 30 - 34 años</v>
      </c>
      <c r="CP19" s="1865" t="str">
        <f t="shared" si="8"/>
        <v>* El total de Procesados debe ser mayor o igual al total de Reactivos en el grupo de edad 35 - 39 años</v>
      </c>
      <c r="CQ19" s="1865" t="str">
        <f t="shared" si="9"/>
        <v>* El total de Procesados debe ser mayor o igual al total de Reactivos en el grupo de edad 40 - 44 años</v>
      </c>
      <c r="CR19" s="1865" t="str">
        <f t="shared" si="10"/>
        <v>* El total de Procesados debe ser mayor o igual al total de Reactivos en el grupo de edad 45 - 49 años</v>
      </c>
      <c r="CS19" s="1865" t="str">
        <f t="shared" si="11"/>
        <v>* El total de Procesados debe ser mayor o igual al total de Reactivos en el grupo de edad 50 - 54 años</v>
      </c>
      <c r="CT19" s="1865" t="str">
        <f t="shared" si="12"/>
        <v>* El total de Procesados debe ser mayor o igual al total de Reactivos en el grupo de edad 55 - 59 años</v>
      </c>
      <c r="CU19" s="1865" t="str">
        <f t="shared" si="13"/>
        <v>* El total de Procesados debe ser mayor o igual al total de Reactivos en el grupo de edad 60 - 64 años</v>
      </c>
      <c r="CV19" s="1865" t="str">
        <f t="shared" si="14"/>
        <v>* El total de Procesados debe ser mayor o igual al total de Reactivos en el grupo de edad 65 - 69 años</v>
      </c>
      <c r="CW19" s="1865" t="str">
        <f t="shared" si="15"/>
        <v>* El total de Procesados debe ser mayor o igual al total de Reactivos en el grupo de edad 70 - 74 años</v>
      </c>
      <c r="CX19" s="1865" t="str">
        <f t="shared" si="16"/>
        <v>* El total de Procesados debe ser mayor o igual al total de Reactivos en el grupo de edad 75 - 79 años</v>
      </c>
      <c r="CY19" s="1865" t="str">
        <f t="shared" si="17"/>
        <v>* El total de Procesados debe ser mayor o igual al total de Reactivos en el grupo de edad 80 y más años</v>
      </c>
      <c r="DF19" s="1936"/>
      <c r="DG19" s="3906">
        <f>IF(C19&lt;&gt;(AT19),1,0)</f>
        <v>1</v>
      </c>
      <c r="DH19" s="3906" t="e">
        <f t="shared" si="18"/>
        <v>#VALUE!</v>
      </c>
      <c r="DI19" s="3906">
        <f t="shared" si="19"/>
        <v>1</v>
      </c>
      <c r="DJ19" s="3906">
        <f t="shared" si="20"/>
        <v>1</v>
      </c>
      <c r="DK19" s="1866"/>
      <c r="DL19" s="1866"/>
      <c r="DM19" s="1866"/>
      <c r="DN19" s="1866"/>
      <c r="DO19" s="1866"/>
      <c r="DP19" s="3906">
        <f t="shared" si="21"/>
        <v>1</v>
      </c>
      <c r="DQ19" s="3906">
        <f t="shared" si="22"/>
        <v>1</v>
      </c>
      <c r="DR19" s="3906">
        <f t="shared" si="23"/>
        <v>1</v>
      </c>
      <c r="DS19" s="3906">
        <f t="shared" si="36"/>
        <v>1</v>
      </c>
      <c r="DT19" s="3906">
        <f t="shared" si="24"/>
        <v>1</v>
      </c>
      <c r="DU19" s="3906">
        <f t="shared" si="25"/>
        <v>1</v>
      </c>
      <c r="DV19" s="3906">
        <f t="shared" si="26"/>
        <v>1</v>
      </c>
      <c r="DW19" s="3906">
        <f t="shared" si="27"/>
        <v>1</v>
      </c>
      <c r="DX19" s="3906">
        <f t="shared" si="28"/>
        <v>1</v>
      </c>
      <c r="DY19" s="3906">
        <f t="shared" si="29"/>
        <v>1</v>
      </c>
      <c r="DZ19" s="3906">
        <f t="shared" si="30"/>
        <v>1</v>
      </c>
      <c r="EA19" s="3906">
        <f t="shared" si="31"/>
        <v>1</v>
      </c>
      <c r="EB19" s="3906">
        <f t="shared" si="32"/>
        <v>1</v>
      </c>
      <c r="EC19" s="3906">
        <f t="shared" si="33"/>
        <v>1</v>
      </c>
      <c r="ED19" s="3906">
        <f t="shared" si="34"/>
        <v>1</v>
      </c>
    </row>
    <row r="20" spans="1:134" x14ac:dyDescent="0.25">
      <c r="A20" s="5601">
        <v>11041100</v>
      </c>
      <c r="B20" s="3907" t="s">
        <v>1873</v>
      </c>
      <c r="C20" s="3908" t="s">
        <v>4567</v>
      </c>
      <c r="D20" s="344" t="s">
        <v>4568</v>
      </c>
      <c r="E20" s="3909" t="s">
        <v>4569</v>
      </c>
      <c r="F20" s="3910" t="s">
        <v>4570</v>
      </c>
      <c r="G20" s="3909" t="s">
        <v>4571</v>
      </c>
      <c r="H20" s="3910" t="s">
        <v>4572</v>
      </c>
      <c r="I20" s="3909" t="s">
        <v>4573</v>
      </c>
      <c r="J20" s="3910" t="s">
        <v>4574</v>
      </c>
      <c r="K20" s="3909" t="s">
        <v>4575</v>
      </c>
      <c r="L20" s="3910" t="s">
        <v>4576</v>
      </c>
      <c r="M20" s="3909" t="s">
        <v>4577</v>
      </c>
      <c r="N20" s="3911" t="s">
        <v>4578</v>
      </c>
      <c r="O20" s="3904" t="s">
        <v>4579</v>
      </c>
      <c r="P20" s="3912" t="s">
        <v>4580</v>
      </c>
      <c r="Q20" s="3913" t="s">
        <v>4581</v>
      </c>
      <c r="R20" s="3912" t="s">
        <v>4582</v>
      </c>
      <c r="S20" s="3913" t="s">
        <v>4583</v>
      </c>
      <c r="T20" s="3912" t="s">
        <v>4584</v>
      </c>
      <c r="U20" s="3913" t="s">
        <v>4585</v>
      </c>
      <c r="V20" s="3912" t="s">
        <v>4586</v>
      </c>
      <c r="W20" s="3913" t="s">
        <v>4587</v>
      </c>
      <c r="X20" s="3912" t="s">
        <v>4588</v>
      </c>
      <c r="Y20" s="3913" t="s">
        <v>4589</v>
      </c>
      <c r="Z20" s="3912" t="s">
        <v>4590</v>
      </c>
      <c r="AA20" s="3913" t="s">
        <v>4591</v>
      </c>
      <c r="AB20" s="3912" t="s">
        <v>4592</v>
      </c>
      <c r="AC20" s="3913" t="s">
        <v>4593</v>
      </c>
      <c r="AD20" s="3912" t="s">
        <v>4594</v>
      </c>
      <c r="AE20" s="3913" t="s">
        <v>4595</v>
      </c>
      <c r="AF20" s="3912" t="s">
        <v>4596</v>
      </c>
      <c r="AG20" s="3913" t="s">
        <v>4597</v>
      </c>
      <c r="AH20" s="3912" t="s">
        <v>4598</v>
      </c>
      <c r="AI20" s="3913" t="s">
        <v>4599</v>
      </c>
      <c r="AJ20" s="3912" t="s">
        <v>4600</v>
      </c>
      <c r="AK20" s="3913" t="s">
        <v>4601</v>
      </c>
      <c r="AL20" s="3912" t="s">
        <v>4602</v>
      </c>
      <c r="AM20" s="3913" t="s">
        <v>4603</v>
      </c>
      <c r="AN20" s="3912" t="s">
        <v>4604</v>
      </c>
      <c r="AO20" s="3913" t="s">
        <v>4605</v>
      </c>
      <c r="AP20" s="3912" t="s">
        <v>4606</v>
      </c>
      <c r="AQ20" s="3913" t="s">
        <v>4934</v>
      </c>
      <c r="AR20" s="3902" t="s">
        <v>4935</v>
      </c>
      <c r="AS20" s="3901" t="s">
        <v>4936</v>
      </c>
      <c r="AT20" s="3902" t="s">
        <v>4937</v>
      </c>
      <c r="AU20" s="3903" t="s">
        <v>5234</v>
      </c>
      <c r="AV20" s="3902" t="s">
        <v>5235</v>
      </c>
      <c r="AW20" s="3904" t="s">
        <v>5236</v>
      </c>
      <c r="AX20" s="3905" t="s">
        <v>5237</v>
      </c>
      <c r="AY20" s="1864" t="e">
        <f t="shared" si="0"/>
        <v>#VALUE!</v>
      </c>
      <c r="CB20" s="1865" t="str">
        <f>IF(C20&lt;&gt;(AT20)," * La suma de las columnas "&amp;AS$10&amp;""&amp;" DEBE SER IGUAL a los Exámenes Procesados. ","")</f>
        <v xml:space="preserve"> * La suma de las columnas POR SEXO (Procesados) DEBE SER IGUAL a los Exámenes Procesados. </v>
      </c>
      <c r="CC20" s="1865" t="e">
        <f t="shared" si="1"/>
        <v>#VALUE!</v>
      </c>
      <c r="CD20" s="1865" t="str">
        <f t="shared" si="2"/>
        <v xml:space="preserve"> *El Número de Pueblos Originarios no puede superar el Total Procesados. </v>
      </c>
      <c r="CE20" s="1865" t="str">
        <f t="shared" si="3"/>
        <v xml:space="preserve"> *El Número de Migrantes no puede superar el Total Procesados. </v>
      </c>
      <c r="CF20" s="1866"/>
      <c r="CG20" s="1866"/>
      <c r="CH20" s="1866"/>
      <c r="CI20" s="1866"/>
      <c r="CJ20" s="1866"/>
      <c r="CK20" s="1865" t="str">
        <f t="shared" si="4"/>
        <v>* El total de Procesados debe ser mayor o igual al total de Reactivos en el grupo de edad 10 - 14 años</v>
      </c>
      <c r="CL20" s="1865" t="str">
        <f t="shared" si="5"/>
        <v>* El total de Procesados debe ser mayor o igual al total de Reactivos en el grupo de edad 15 - 19 años</v>
      </c>
      <c r="CM20" s="1865" t="str">
        <f t="shared" si="6"/>
        <v>* El total de Procesados debe ser mayor o igual al total de Reactivos en el grupo de edad 20 - 24 años</v>
      </c>
      <c r="CN20" s="1865" t="str">
        <f t="shared" si="35"/>
        <v>* El total de Procesados debe ser mayor o igual al total de Reactivos en el grupo de edad 25 - 29 años</v>
      </c>
      <c r="CO20" s="1865" t="str">
        <f t="shared" si="7"/>
        <v>* El total de Procesados debe ser mayor o igual al total de Reactivos en el grupo de edad 30 - 34 años</v>
      </c>
      <c r="CP20" s="1865" t="str">
        <f t="shared" si="8"/>
        <v>* El total de Procesados debe ser mayor o igual al total de Reactivos en el grupo de edad 35 - 39 años</v>
      </c>
      <c r="CQ20" s="1865" t="str">
        <f t="shared" si="9"/>
        <v>* El total de Procesados debe ser mayor o igual al total de Reactivos en el grupo de edad 40 - 44 años</v>
      </c>
      <c r="CR20" s="1865" t="str">
        <f t="shared" si="10"/>
        <v>* El total de Procesados debe ser mayor o igual al total de Reactivos en el grupo de edad 45 - 49 años</v>
      </c>
      <c r="CS20" s="1865" t="str">
        <f t="shared" si="11"/>
        <v>* El total de Procesados debe ser mayor o igual al total de Reactivos en el grupo de edad 50 - 54 años</v>
      </c>
      <c r="CT20" s="1865" t="str">
        <f t="shared" si="12"/>
        <v>* El total de Procesados debe ser mayor o igual al total de Reactivos en el grupo de edad 55 - 59 años</v>
      </c>
      <c r="CU20" s="1865" t="str">
        <f t="shared" si="13"/>
        <v>* El total de Procesados debe ser mayor o igual al total de Reactivos en el grupo de edad 60 - 64 años</v>
      </c>
      <c r="CV20" s="1865" t="str">
        <f t="shared" si="14"/>
        <v>* El total de Procesados debe ser mayor o igual al total de Reactivos en el grupo de edad 65 - 69 años</v>
      </c>
      <c r="CW20" s="1865" t="str">
        <f t="shared" si="15"/>
        <v>* El total de Procesados debe ser mayor o igual al total de Reactivos en el grupo de edad 70 - 74 años</v>
      </c>
      <c r="CX20" s="1865" t="str">
        <f t="shared" si="16"/>
        <v>* El total de Procesados debe ser mayor o igual al total de Reactivos en el grupo de edad 75 - 79 años</v>
      </c>
      <c r="CY20" s="1865" t="str">
        <f t="shared" si="17"/>
        <v>* El total de Procesados debe ser mayor o igual al total de Reactivos en el grupo de edad 80 y más años</v>
      </c>
      <c r="DF20" s="1936"/>
      <c r="DG20" s="3906">
        <f>IF(C20&lt;&gt;(AT20),1,0)</f>
        <v>1</v>
      </c>
      <c r="DH20" s="3906" t="e">
        <f t="shared" si="18"/>
        <v>#VALUE!</v>
      </c>
      <c r="DI20" s="3906">
        <f t="shared" si="19"/>
        <v>1</v>
      </c>
      <c r="DJ20" s="3906">
        <f t="shared" si="20"/>
        <v>1</v>
      </c>
      <c r="DK20" s="1866"/>
      <c r="DL20" s="1866"/>
      <c r="DM20" s="1866"/>
      <c r="DN20" s="1866"/>
      <c r="DO20" s="1866"/>
      <c r="DP20" s="3906">
        <f t="shared" si="21"/>
        <v>1</v>
      </c>
      <c r="DQ20" s="3906">
        <f t="shared" si="22"/>
        <v>1</v>
      </c>
      <c r="DR20" s="3906">
        <f t="shared" si="23"/>
        <v>1</v>
      </c>
      <c r="DS20" s="3906">
        <f t="shared" si="36"/>
        <v>1</v>
      </c>
      <c r="DT20" s="3906">
        <f t="shared" si="24"/>
        <v>1</v>
      </c>
      <c r="DU20" s="3906">
        <f t="shared" si="25"/>
        <v>1</v>
      </c>
      <c r="DV20" s="3906">
        <f t="shared" si="26"/>
        <v>1</v>
      </c>
      <c r="DW20" s="3906">
        <f t="shared" si="27"/>
        <v>1</v>
      </c>
      <c r="DX20" s="3906">
        <f t="shared" si="28"/>
        <v>1</v>
      </c>
      <c r="DY20" s="3906">
        <f t="shared" si="29"/>
        <v>1</v>
      </c>
      <c r="DZ20" s="3906">
        <f t="shared" si="30"/>
        <v>1</v>
      </c>
      <c r="EA20" s="3906">
        <f t="shared" si="31"/>
        <v>1</v>
      </c>
      <c r="EB20" s="3906">
        <f t="shared" si="32"/>
        <v>1</v>
      </c>
      <c r="EC20" s="3906">
        <f t="shared" si="33"/>
        <v>1</v>
      </c>
      <c r="ED20" s="3906">
        <f t="shared" si="34"/>
        <v>1</v>
      </c>
    </row>
    <row r="21" spans="1:134" x14ac:dyDescent="0.25">
      <c r="A21" s="5601">
        <v>11051500</v>
      </c>
      <c r="B21" s="3907" t="s">
        <v>1874</v>
      </c>
      <c r="C21" s="3908" t="s">
        <v>4567</v>
      </c>
      <c r="D21" s="344" t="s">
        <v>4568</v>
      </c>
      <c r="E21" s="3913" t="s">
        <v>4569</v>
      </c>
      <c r="F21" s="3912" t="s">
        <v>4570</v>
      </c>
      <c r="G21" s="3913" t="s">
        <v>4571</v>
      </c>
      <c r="H21" s="3912" t="s">
        <v>4572</v>
      </c>
      <c r="I21" s="3913" t="s">
        <v>4573</v>
      </c>
      <c r="J21" s="3905" t="s">
        <v>4574</v>
      </c>
      <c r="K21" s="3904" t="s">
        <v>4575</v>
      </c>
      <c r="L21" s="3904" t="s">
        <v>4576</v>
      </c>
      <c r="M21" s="3913" t="s">
        <v>4577</v>
      </c>
      <c r="N21" s="3905" t="s">
        <v>4578</v>
      </c>
      <c r="O21" s="3904" t="s">
        <v>4579</v>
      </c>
      <c r="P21" s="3912" t="s">
        <v>4580</v>
      </c>
      <c r="Q21" s="3913" t="s">
        <v>4581</v>
      </c>
      <c r="R21" s="3912" t="s">
        <v>4582</v>
      </c>
      <c r="S21" s="3913" t="s">
        <v>4583</v>
      </c>
      <c r="T21" s="3912" t="s">
        <v>4584</v>
      </c>
      <c r="U21" s="3913" t="s">
        <v>4585</v>
      </c>
      <c r="V21" s="3912" t="s">
        <v>4586</v>
      </c>
      <c r="W21" s="3913" t="s">
        <v>4587</v>
      </c>
      <c r="X21" s="3912" t="s">
        <v>4588</v>
      </c>
      <c r="Y21" s="3913" t="s">
        <v>4589</v>
      </c>
      <c r="Z21" s="3912" t="s">
        <v>4590</v>
      </c>
      <c r="AA21" s="3913" t="s">
        <v>4591</v>
      </c>
      <c r="AB21" s="3912" t="s">
        <v>4592</v>
      </c>
      <c r="AC21" s="3913" t="s">
        <v>4593</v>
      </c>
      <c r="AD21" s="3912" t="s">
        <v>4594</v>
      </c>
      <c r="AE21" s="3913" t="s">
        <v>4595</v>
      </c>
      <c r="AF21" s="3912" t="s">
        <v>4596</v>
      </c>
      <c r="AG21" s="3913" t="s">
        <v>4597</v>
      </c>
      <c r="AH21" s="3912" t="s">
        <v>4598</v>
      </c>
      <c r="AI21" s="3913" t="s">
        <v>4599</v>
      </c>
      <c r="AJ21" s="3912" t="s">
        <v>4600</v>
      </c>
      <c r="AK21" s="3913" t="s">
        <v>4601</v>
      </c>
      <c r="AL21" s="3912" t="s">
        <v>4602</v>
      </c>
      <c r="AM21" s="3913" t="s">
        <v>4603</v>
      </c>
      <c r="AN21" s="3912" t="s">
        <v>4604</v>
      </c>
      <c r="AO21" s="3913" t="s">
        <v>4605</v>
      </c>
      <c r="AP21" s="3912" t="s">
        <v>4606</v>
      </c>
      <c r="AQ21" s="3913" t="s">
        <v>4934</v>
      </c>
      <c r="AR21" s="3902" t="s">
        <v>4935</v>
      </c>
      <c r="AS21" s="3901" t="s">
        <v>4936</v>
      </c>
      <c r="AT21" s="3902" t="s">
        <v>4937</v>
      </c>
      <c r="AU21" s="3903" t="s">
        <v>5234</v>
      </c>
      <c r="AV21" s="3902" t="s">
        <v>5235</v>
      </c>
      <c r="AW21" s="3904" t="s">
        <v>5236</v>
      </c>
      <c r="AX21" s="3905" t="s">
        <v>5237</v>
      </c>
      <c r="AY21" s="1864" t="e">
        <f>$CB21&amp;CC21&amp;CD21&amp;$CE21&amp;CK21&amp;CF21&amp;CG21&amp;CH21&amp;CI21&amp;CJ21&amp;CL21&amp;CM21&amp;CN21&amp;CO21&amp;CP21&amp;CQ21&amp;CR21&amp;CS21&amp;CT21&amp;CU21&amp;CV21&amp;CW21&amp;CX21&amp;CY21</f>
        <v>#VALUE!</v>
      </c>
      <c r="CB21" s="1865" t="str">
        <f>IF(C21&lt;&gt;(AT21)," * La suma de las columnas "&amp;AS$10&amp;""&amp;" DEBE SER IGUAL a los Exámenes Procesados. ","")</f>
        <v xml:space="preserve"> * La suma de las columnas POR SEXO (Procesados) DEBE SER IGUAL a los Exámenes Procesados. </v>
      </c>
      <c r="CC21" s="1865" t="e">
        <f t="shared" si="1"/>
        <v>#VALUE!</v>
      </c>
      <c r="CD21" s="1865" t="str">
        <f t="shared" si="2"/>
        <v xml:space="preserve"> *El Número de Pueblos Originarios no puede superar el Total Procesados. </v>
      </c>
      <c r="CE21" s="1865" t="str">
        <f t="shared" si="3"/>
        <v xml:space="preserve"> *El Número de Migrantes no puede superar el Total Procesados. </v>
      </c>
      <c r="CF21" s="1865" t="str">
        <f>IF(E21&lt;F21,CONCATENATE("* El total de Procesados debe ser mayor o igual al total de Reactivos en el grupo de edad ",$E$11),"")</f>
        <v>* El total de Procesados debe ser mayor o igual al total de Reactivos en el grupo de edad Menos de 6 meses</v>
      </c>
      <c r="CG21" s="1865" t="str">
        <f>IF(G21&lt;H21,CONCATENATE("* El total de Procesados debe ser mayor o igual al total de Reactivos en el grupo de edad ",$G$11),"")</f>
        <v>* El total de Procesados debe ser mayor o igual al total de Reactivos en el grupo de edad 6 - 11 meses</v>
      </c>
      <c r="CH21" s="1865" t="str">
        <f>IF(I21&lt;J21,CONCATENATE("* El total de Procesados debe ser mayor o igual al total de Reactivos en el grupo de edad ",$I$11),"")</f>
        <v>* El total de Procesados debe ser mayor o igual al total de Reactivos en el grupo de edad 12-24 meses</v>
      </c>
      <c r="CI21" s="1865" t="str">
        <f>IF(K21&lt;L21,CONCATENATE("* El total de Procesados debe ser mayor o igual al total de Reactivos en el grupo de edad ",$K$11),"")</f>
        <v>* El total de Procesados debe ser mayor o igual al total de Reactivos en el grupo de edad 3 - 4 años</v>
      </c>
      <c r="CJ21" s="1865" t="str">
        <f>IF(M21&lt;N21,CONCATENATE("* El total de Procesados debe ser mayor o igual al total de Reactivos en el grupo de edad ",$M$11),"")</f>
        <v>* El total de Procesados debe ser mayor o igual al total de Reactivos en el grupo de edad 5 - 9 años</v>
      </c>
      <c r="CK21" s="1865" t="str">
        <f t="shared" si="4"/>
        <v>* El total de Procesados debe ser mayor o igual al total de Reactivos en el grupo de edad 10 - 14 años</v>
      </c>
      <c r="CL21" s="1865" t="str">
        <f t="shared" si="5"/>
        <v>* El total de Procesados debe ser mayor o igual al total de Reactivos en el grupo de edad 15 - 19 años</v>
      </c>
      <c r="CM21" s="1865" t="str">
        <f t="shared" si="6"/>
        <v>* El total de Procesados debe ser mayor o igual al total de Reactivos en el grupo de edad 20 - 24 años</v>
      </c>
      <c r="CN21" s="1865" t="str">
        <f>IF($U21&lt;$V21,CONCATENATE("* El total de Procesados debe ser mayor o igual al total de Reactivos en el grupo de edad ",$U$11),"")</f>
        <v>* El total de Procesados debe ser mayor o igual al total de Reactivos en el grupo de edad 25 - 29 años</v>
      </c>
      <c r="CO21" s="1865" t="str">
        <f t="shared" si="7"/>
        <v>* El total de Procesados debe ser mayor o igual al total de Reactivos en el grupo de edad 30 - 34 años</v>
      </c>
      <c r="CP21" s="1865" t="str">
        <f t="shared" si="8"/>
        <v>* El total de Procesados debe ser mayor o igual al total de Reactivos en el grupo de edad 35 - 39 años</v>
      </c>
      <c r="CQ21" s="1865" t="str">
        <f t="shared" si="9"/>
        <v>* El total de Procesados debe ser mayor o igual al total de Reactivos en el grupo de edad 40 - 44 años</v>
      </c>
      <c r="CR21" s="1865" t="str">
        <f t="shared" si="10"/>
        <v>* El total de Procesados debe ser mayor o igual al total de Reactivos en el grupo de edad 45 - 49 años</v>
      </c>
      <c r="CS21" s="1865" t="str">
        <f t="shared" si="11"/>
        <v>* El total de Procesados debe ser mayor o igual al total de Reactivos en el grupo de edad 50 - 54 años</v>
      </c>
      <c r="CT21" s="1865" t="str">
        <f t="shared" si="12"/>
        <v>* El total de Procesados debe ser mayor o igual al total de Reactivos en el grupo de edad 55 - 59 años</v>
      </c>
      <c r="CU21" s="1865" t="str">
        <f t="shared" si="13"/>
        <v>* El total de Procesados debe ser mayor o igual al total de Reactivos en el grupo de edad 60 - 64 años</v>
      </c>
      <c r="CV21" s="1865" t="str">
        <f t="shared" si="14"/>
        <v>* El total de Procesados debe ser mayor o igual al total de Reactivos en el grupo de edad 65 - 69 años</v>
      </c>
      <c r="CW21" s="1865" t="str">
        <f t="shared" si="15"/>
        <v>* El total de Procesados debe ser mayor o igual al total de Reactivos en el grupo de edad 70 - 74 años</v>
      </c>
      <c r="CX21" s="1865" t="str">
        <f t="shared" si="16"/>
        <v>* El total de Procesados debe ser mayor o igual al total de Reactivos en el grupo de edad 75 - 79 años</v>
      </c>
      <c r="CY21" s="1865" t="str">
        <f t="shared" si="17"/>
        <v>* El total de Procesados debe ser mayor o igual al total de Reactivos en el grupo de edad 80 y más años</v>
      </c>
      <c r="DF21" s="1936"/>
      <c r="DG21" s="3906">
        <f>IF(C21&lt;&gt;(AT21),1,0)</f>
        <v>1</v>
      </c>
      <c r="DH21" s="3906" t="e">
        <f t="shared" si="18"/>
        <v>#VALUE!</v>
      </c>
      <c r="DI21" s="3906">
        <f t="shared" si="19"/>
        <v>1</v>
      </c>
      <c r="DJ21" s="3906">
        <f t="shared" si="20"/>
        <v>1</v>
      </c>
      <c r="DK21" s="3906">
        <f>IF(E21&lt;F21,1,0)</f>
        <v>1</v>
      </c>
      <c r="DL21" s="3906">
        <f>IF(G21&lt;H21,1,0)</f>
        <v>1</v>
      </c>
      <c r="DM21" s="3906">
        <f>IF(I21&lt;J21,1,0)</f>
        <v>1</v>
      </c>
      <c r="DN21" s="3906">
        <f>IF(K21&lt;L21,1,0)</f>
        <v>1</v>
      </c>
      <c r="DO21" s="3906">
        <f>IF(M21&lt;N21,1,0)</f>
        <v>1</v>
      </c>
      <c r="DP21" s="3906">
        <f t="shared" si="21"/>
        <v>1</v>
      </c>
      <c r="DQ21" s="3906">
        <f t="shared" si="22"/>
        <v>1</v>
      </c>
      <c r="DR21" s="3906">
        <f t="shared" si="23"/>
        <v>1</v>
      </c>
      <c r="DS21" s="3906">
        <f t="shared" si="36"/>
        <v>1</v>
      </c>
      <c r="DT21" s="3906">
        <f t="shared" si="24"/>
        <v>1</v>
      </c>
      <c r="DU21" s="3906">
        <f t="shared" si="25"/>
        <v>1</v>
      </c>
      <c r="DV21" s="3906">
        <f t="shared" si="26"/>
        <v>1</v>
      </c>
      <c r="DW21" s="3906">
        <f t="shared" si="27"/>
        <v>1</v>
      </c>
      <c r="DX21" s="3906">
        <f t="shared" si="28"/>
        <v>1</v>
      </c>
      <c r="DY21" s="3906">
        <f t="shared" si="29"/>
        <v>1</v>
      </c>
      <c r="DZ21" s="3906">
        <f t="shared" si="30"/>
        <v>1</v>
      </c>
      <c r="EA21" s="3906">
        <f t="shared" si="31"/>
        <v>1</v>
      </c>
      <c r="EB21" s="3906">
        <f t="shared" si="32"/>
        <v>1</v>
      </c>
      <c r="EC21" s="3906">
        <f t="shared" si="33"/>
        <v>1</v>
      </c>
      <c r="ED21" s="3906">
        <f t="shared" si="34"/>
        <v>1</v>
      </c>
    </row>
    <row r="22" spans="1:134" ht="21" x14ac:dyDescent="0.25">
      <c r="A22" s="5601">
        <v>11051300</v>
      </c>
      <c r="B22" s="3874" t="s">
        <v>1875</v>
      </c>
      <c r="C22" s="3908" t="s">
        <v>4567</v>
      </c>
      <c r="D22" s="344" t="s">
        <v>4568</v>
      </c>
      <c r="E22" s="3913" t="s">
        <v>4569</v>
      </c>
      <c r="F22" s="3912" t="s">
        <v>4570</v>
      </c>
      <c r="G22" s="3913" t="s">
        <v>4571</v>
      </c>
      <c r="H22" s="3912" t="s">
        <v>4572</v>
      </c>
      <c r="I22" s="3913" t="s">
        <v>4573</v>
      </c>
      <c r="J22" s="3905" t="s">
        <v>4574</v>
      </c>
      <c r="K22" s="3914" t="s">
        <v>4575</v>
      </c>
      <c r="L22" s="3915" t="s">
        <v>4576</v>
      </c>
      <c r="M22" s="3914" t="s">
        <v>4577</v>
      </c>
      <c r="N22" s="3915" t="s">
        <v>4578</v>
      </c>
      <c r="O22" s="3914" t="s">
        <v>4579</v>
      </c>
      <c r="P22" s="3915" t="s">
        <v>4580</v>
      </c>
      <c r="Q22" s="3914" t="s">
        <v>4581</v>
      </c>
      <c r="R22" s="3915" t="s">
        <v>4582</v>
      </c>
      <c r="S22" s="3914" t="s">
        <v>4583</v>
      </c>
      <c r="T22" s="3915" t="s">
        <v>4584</v>
      </c>
      <c r="U22" s="3914" t="s">
        <v>4585</v>
      </c>
      <c r="V22" s="3915" t="s">
        <v>4586</v>
      </c>
      <c r="W22" s="3914" t="s">
        <v>4587</v>
      </c>
      <c r="X22" s="3915" t="s">
        <v>4588</v>
      </c>
      <c r="Y22" s="3914" t="s">
        <v>4589</v>
      </c>
      <c r="Z22" s="3915" t="s">
        <v>4590</v>
      </c>
      <c r="AA22" s="3914" t="s">
        <v>4591</v>
      </c>
      <c r="AB22" s="3915" t="s">
        <v>4592</v>
      </c>
      <c r="AC22" s="3914" t="s">
        <v>4593</v>
      </c>
      <c r="AD22" s="3915" t="s">
        <v>4594</v>
      </c>
      <c r="AE22" s="3914" t="s">
        <v>4595</v>
      </c>
      <c r="AF22" s="3915" t="s">
        <v>4596</v>
      </c>
      <c r="AG22" s="3914" t="s">
        <v>4597</v>
      </c>
      <c r="AH22" s="3915" t="s">
        <v>4598</v>
      </c>
      <c r="AI22" s="3914" t="s">
        <v>4599</v>
      </c>
      <c r="AJ22" s="3915" t="s">
        <v>4600</v>
      </c>
      <c r="AK22" s="3914" t="s">
        <v>4601</v>
      </c>
      <c r="AL22" s="3915" t="s">
        <v>4602</v>
      </c>
      <c r="AM22" s="3914" t="s">
        <v>4603</v>
      </c>
      <c r="AN22" s="3915" t="s">
        <v>4604</v>
      </c>
      <c r="AO22" s="3914" t="s">
        <v>4605</v>
      </c>
      <c r="AP22" s="3915" t="s">
        <v>4606</v>
      </c>
      <c r="AQ22" s="3914" t="s">
        <v>4934</v>
      </c>
      <c r="AR22" s="3916" t="s">
        <v>4935</v>
      </c>
      <c r="AS22" s="3904" t="s">
        <v>4936</v>
      </c>
      <c r="AT22" s="3902" t="s">
        <v>4937</v>
      </c>
      <c r="AU22" s="3903" t="s">
        <v>5234</v>
      </c>
      <c r="AV22" s="3902" t="s">
        <v>5235</v>
      </c>
      <c r="AW22" s="3904" t="s">
        <v>5236</v>
      </c>
      <c r="AX22" s="3905" t="s">
        <v>5237</v>
      </c>
      <c r="AY22" s="1864" t="e">
        <f>$CB22&amp;CC22&amp;CD22&amp;$CE22&amp;CF22&amp;CG22&amp;CH22</f>
        <v>#VALUE!</v>
      </c>
      <c r="CB22" s="1865" t="e">
        <f t="shared" ref="CB22:CB30" si="37">IF(C22&lt;&gt;(AT22+AS22)," * La suma de las columnas "&amp;AS$10&amp;""&amp;" DEBE SER IGUAL a los Exámenes Procesados. ","")</f>
        <v>#VALUE!</v>
      </c>
      <c r="CC22" s="1865" t="e">
        <f t="shared" si="1"/>
        <v>#VALUE!</v>
      </c>
      <c r="CD22" s="1865" t="str">
        <f t="shared" si="2"/>
        <v xml:space="preserve"> *El Número de Pueblos Originarios no puede superar el Total Procesados. </v>
      </c>
      <c r="CE22" s="1865" t="str">
        <f t="shared" si="3"/>
        <v xml:space="preserve"> *El Número de Migrantes no puede superar el Total Procesados. </v>
      </c>
      <c r="CF22" s="1865" t="str">
        <f>IF(E22&lt;F22,CONCATENATE("* El total de Procesados debe ser mayor o igual al total de Reactivos en el grupo de edad ",$E$11),"")</f>
        <v>* El total de Procesados debe ser mayor o igual al total de Reactivos en el grupo de edad Menos de 6 meses</v>
      </c>
      <c r="CG22" s="1865" t="str">
        <f>IF(G22&lt;H22,CONCATENATE("* El total de Procesados debe ser mayor o igual al total de Reactivos en el grupo de edad ",$G$11),"")</f>
        <v>* El total de Procesados debe ser mayor o igual al total de Reactivos en el grupo de edad 6 - 11 meses</v>
      </c>
      <c r="CH22" s="1865" t="str">
        <f>IF(I22&lt;J22,CONCATENATE("* El total de Procesados debe ser mayor o igual al total de Reactivos en el grupo de edad ",$I$11),"")</f>
        <v>* El total de Procesados debe ser mayor o igual al total de Reactivos en el grupo de edad 12-24 meses</v>
      </c>
      <c r="CI22" s="1868"/>
      <c r="CJ22" s="1868"/>
      <c r="CK22" s="3917"/>
      <c r="CL22" s="1868"/>
      <c r="CM22" s="1868"/>
      <c r="CN22" s="1868"/>
      <c r="CO22" s="1868"/>
      <c r="CP22" s="1868"/>
      <c r="CQ22" s="1868"/>
      <c r="CR22" s="1868"/>
      <c r="CS22" s="1868"/>
      <c r="CT22" s="1868"/>
      <c r="CU22" s="1868"/>
      <c r="CV22" s="1868"/>
      <c r="CW22" s="1868"/>
      <c r="CX22" s="1868"/>
      <c r="CY22" s="1868"/>
      <c r="DF22" s="1936"/>
      <c r="DG22" s="3906" t="e">
        <f t="shared" ref="DG22:DG30" si="38">IF(C22&lt;&gt;(AT22+AS22),1,0)</f>
        <v>#VALUE!</v>
      </c>
      <c r="DH22" s="3906" t="e">
        <f t="shared" si="18"/>
        <v>#VALUE!</v>
      </c>
      <c r="DI22" s="3906">
        <f t="shared" si="19"/>
        <v>1</v>
      </c>
      <c r="DJ22" s="3906">
        <f t="shared" si="20"/>
        <v>1</v>
      </c>
      <c r="DK22" s="3906">
        <f>IF(E22&lt;F22,1,0)</f>
        <v>1</v>
      </c>
      <c r="DL22" s="3906">
        <f>IF(G22&lt;H22,1,0)</f>
        <v>1</v>
      </c>
      <c r="DM22" s="3906">
        <f>IF(I22&lt;J22,1,0)</f>
        <v>1</v>
      </c>
      <c r="DN22" s="1868"/>
      <c r="DO22" s="1868"/>
      <c r="DP22" s="1866"/>
      <c r="DQ22" s="1866"/>
      <c r="DR22" s="1866"/>
      <c r="DS22" s="1866"/>
      <c r="DT22" s="1866"/>
      <c r="DU22" s="1866"/>
      <c r="DV22" s="1866"/>
      <c r="DW22" s="1866"/>
      <c r="DX22" s="1866"/>
      <c r="DY22" s="1866"/>
      <c r="DZ22" s="1866"/>
      <c r="EA22" s="1866"/>
      <c r="EB22" s="1866"/>
      <c r="EC22" s="1866"/>
      <c r="ED22" s="1866"/>
    </row>
    <row r="23" spans="1:134" x14ac:dyDescent="0.25">
      <c r="A23" s="5601">
        <v>11040200</v>
      </c>
      <c r="B23" s="3874" t="s">
        <v>1876</v>
      </c>
      <c r="C23" s="3908" t="s">
        <v>4567</v>
      </c>
      <c r="D23" s="344" t="s">
        <v>4568</v>
      </c>
      <c r="E23" s="3909" t="s">
        <v>4569</v>
      </c>
      <c r="F23" s="3910" t="s">
        <v>4570</v>
      </c>
      <c r="G23" s="3909" t="s">
        <v>4571</v>
      </c>
      <c r="H23" s="3910" t="s">
        <v>4572</v>
      </c>
      <c r="I23" s="3909" t="s">
        <v>4573</v>
      </c>
      <c r="J23" s="3910" t="s">
        <v>4574</v>
      </c>
      <c r="K23" s="3909" t="s">
        <v>4575</v>
      </c>
      <c r="L23" s="3910" t="s">
        <v>4576</v>
      </c>
      <c r="M23" s="3909" t="s">
        <v>4577</v>
      </c>
      <c r="N23" s="3911" t="s">
        <v>4578</v>
      </c>
      <c r="O23" s="3918" t="s">
        <v>4579</v>
      </c>
      <c r="P23" s="3910" t="s">
        <v>4580</v>
      </c>
      <c r="Q23" s="3913" t="s">
        <v>4581</v>
      </c>
      <c r="R23" s="3912" t="s">
        <v>4582</v>
      </c>
      <c r="S23" s="3913" t="s">
        <v>4583</v>
      </c>
      <c r="T23" s="3912" t="s">
        <v>4584</v>
      </c>
      <c r="U23" s="3913" t="s">
        <v>4585</v>
      </c>
      <c r="V23" s="3912" t="s">
        <v>4586</v>
      </c>
      <c r="W23" s="3913" t="s">
        <v>4587</v>
      </c>
      <c r="X23" s="3912" t="s">
        <v>4588</v>
      </c>
      <c r="Y23" s="3913" t="s">
        <v>4589</v>
      </c>
      <c r="Z23" s="3912" t="s">
        <v>4590</v>
      </c>
      <c r="AA23" s="3913" t="s">
        <v>4591</v>
      </c>
      <c r="AB23" s="3912" t="s">
        <v>4592</v>
      </c>
      <c r="AC23" s="3913" t="s">
        <v>4593</v>
      </c>
      <c r="AD23" s="3912" t="s">
        <v>4594</v>
      </c>
      <c r="AE23" s="3913" t="s">
        <v>4595</v>
      </c>
      <c r="AF23" s="3912" t="s">
        <v>4596</v>
      </c>
      <c r="AG23" s="3913" t="s">
        <v>4597</v>
      </c>
      <c r="AH23" s="3912" t="s">
        <v>4598</v>
      </c>
      <c r="AI23" s="3913" t="s">
        <v>4599</v>
      </c>
      <c r="AJ23" s="3912" t="s">
        <v>4600</v>
      </c>
      <c r="AK23" s="3913" t="s">
        <v>4601</v>
      </c>
      <c r="AL23" s="3912" t="s">
        <v>4602</v>
      </c>
      <c r="AM23" s="3913" t="s">
        <v>4603</v>
      </c>
      <c r="AN23" s="3912" t="s">
        <v>4604</v>
      </c>
      <c r="AO23" s="3913" t="s">
        <v>4605</v>
      </c>
      <c r="AP23" s="3912" t="s">
        <v>4606</v>
      </c>
      <c r="AQ23" s="3913" t="s">
        <v>4934</v>
      </c>
      <c r="AR23" s="3902" t="s">
        <v>4935</v>
      </c>
      <c r="AS23" s="3904" t="s">
        <v>4936</v>
      </c>
      <c r="AT23" s="3902" t="s">
        <v>4937</v>
      </c>
      <c r="AU23" s="3903" t="s">
        <v>5234</v>
      </c>
      <c r="AV23" s="3902" t="s">
        <v>5235</v>
      </c>
      <c r="AW23" s="3904" t="s">
        <v>5236</v>
      </c>
      <c r="AX23" s="3905" t="s">
        <v>5237</v>
      </c>
      <c r="AY23" s="1864" t="e">
        <f>$CB23&amp;CC23&amp;CD23&amp;$CE23&amp;CL23&amp;CM23&amp;CN23&amp;CO23&amp;CP23&amp;CQ23&amp;CR23&amp;CS23&amp;CT23&amp;CU23&amp;CV23&amp;CW23&amp;CX23&amp;CY23</f>
        <v>#VALUE!</v>
      </c>
      <c r="CB23" s="1865" t="e">
        <f t="shared" si="37"/>
        <v>#VALUE!</v>
      </c>
      <c r="CC23" s="1865" t="e">
        <f t="shared" si="1"/>
        <v>#VALUE!</v>
      </c>
      <c r="CD23" s="1865" t="str">
        <f t="shared" si="2"/>
        <v xml:space="preserve"> *El Número de Pueblos Originarios no puede superar el Total Procesados. </v>
      </c>
      <c r="CE23" s="1865" t="str">
        <f t="shared" si="3"/>
        <v xml:space="preserve"> *El Número de Migrantes no puede superar el Total Procesados. </v>
      </c>
      <c r="CF23" s="3917"/>
      <c r="CG23" s="3917"/>
      <c r="CH23" s="1868"/>
      <c r="CI23" s="1868"/>
      <c r="CJ23" s="1868"/>
      <c r="CK23" s="3917"/>
      <c r="CL23" s="1865" t="str">
        <f t="shared" ref="CL23:CL30" si="39">IF(Q23&lt;R23,CONCATENATE("* El total de Procesados debe ser mayor o igual al total de Reactivos en el grupo de edad ",$Q$11),"")</f>
        <v>* El total de Procesados debe ser mayor o igual al total de Reactivos en el grupo de edad 15 - 19 años</v>
      </c>
      <c r="CM23" s="1865" t="str">
        <f t="shared" ref="CM23:CM30" si="40">IF(S23&lt;T23,CONCATENATE("* El total de Procesados debe ser mayor o igual al total de Reactivos en el grupo de edad ",$S$11),"")</f>
        <v>* El total de Procesados debe ser mayor o igual al total de Reactivos en el grupo de edad 20 - 24 años</v>
      </c>
      <c r="CN23" s="1865" t="str">
        <f t="shared" si="35"/>
        <v>* El total de Procesados debe ser mayor o igual al total de Reactivos en el grupo de edad 25 - 29 años</v>
      </c>
      <c r="CO23" s="1865" t="str">
        <f t="shared" ref="CO23:CO30" si="41">IF(W23&lt;X23,CONCATENATE("* El total de Procesados debe ser mayor o igual al total de Reactivos en el grupo de edad ",$W$11),"")</f>
        <v>* El total de Procesados debe ser mayor o igual al total de Reactivos en el grupo de edad 30 - 34 años</v>
      </c>
      <c r="CP23" s="1865" t="str">
        <f t="shared" ref="CP23:CP30" si="42">IF(Y23&lt;Z23,CONCATENATE("* El total de Procesados debe ser mayor o igual al total de Reactivos en el grupo de edad ",$Y$11),"")</f>
        <v>* El total de Procesados debe ser mayor o igual al total de Reactivos en el grupo de edad 35 - 39 años</v>
      </c>
      <c r="CQ23" s="1865" t="str">
        <f t="shared" ref="CQ23:CQ30" si="43">IF(AA23&lt;AB23,CONCATENATE("* El total de Procesados debe ser mayor o igual al total de Reactivos en el grupo de edad ",$AA$11),"")</f>
        <v>* El total de Procesados debe ser mayor o igual al total de Reactivos en el grupo de edad 40 - 44 años</v>
      </c>
      <c r="CR23" s="1865" t="str">
        <f t="shared" ref="CR23:CR30" si="44">IF(AC23&lt;AD23,CONCATENATE("* El total de Procesados debe ser mayor o igual al total de Reactivos en el grupo de edad ",$AC$11),"")</f>
        <v>* El total de Procesados debe ser mayor o igual al total de Reactivos en el grupo de edad 45 - 49 años</v>
      </c>
      <c r="CS23" s="1865" t="str">
        <f t="shared" ref="CS23:CS30" si="45">IF(AE23&lt;AF23,CONCATENATE("* El total de Procesados debe ser mayor o igual al total de Reactivos en el grupo de edad ",$AE$11),"")</f>
        <v>* El total de Procesados debe ser mayor o igual al total de Reactivos en el grupo de edad 50 - 54 años</v>
      </c>
      <c r="CT23" s="1865" t="str">
        <f t="shared" ref="CT23:CT30" si="46">IF(AG23&lt;AH23,CONCATENATE("* El total de Procesados debe ser mayor o igual al total de Reactivos en el grupo de edad ",$AG$11),"")</f>
        <v>* El total de Procesados debe ser mayor o igual al total de Reactivos en el grupo de edad 55 - 59 años</v>
      </c>
      <c r="CU23" s="1865" t="str">
        <f t="shared" ref="CU23:CU30" si="47">IF(AI23&lt;AJ23,CONCATENATE("* El total de Procesados debe ser mayor o igual al total de Reactivos en el grupo de edad ",$AI$11),"")</f>
        <v>* El total de Procesados debe ser mayor o igual al total de Reactivos en el grupo de edad 60 - 64 años</v>
      </c>
      <c r="CV23" s="1865" t="str">
        <f>IF(AK23&lt;AL23,CONCATENATE("* El total de Procesados debe ser mayor o igual al total de Reactivos en el grupo de edad ",$AK$11),"")</f>
        <v>* El total de Procesados debe ser mayor o igual al total de Reactivos en el grupo de edad 65 - 69 años</v>
      </c>
      <c r="CW23" s="1865" t="str">
        <f>IF(AM23&lt;AN23,CONCATENATE("* El total de Procesados debe ser mayor o igual al total de Reactivos en el grupo de edad ",$AM$11),"")</f>
        <v>* El total de Procesados debe ser mayor o igual al total de Reactivos en el grupo de edad 70 - 74 años</v>
      </c>
      <c r="CX23" s="1865" t="str">
        <f>IF(AO23&lt;AP23,CONCATENATE("* El total de Procesados debe ser mayor o igual al total de Reactivos en el grupo de edad ",$AO$11),"")</f>
        <v>* El total de Procesados debe ser mayor o igual al total de Reactivos en el grupo de edad 75 - 79 años</v>
      </c>
      <c r="CY23" s="1865" t="str">
        <f>IF(AQ23&lt;AR23,CONCATENATE("* El total de Procesados debe ser mayor o igual al total de Reactivos en el grupo de edad ",$AQ$11),"")</f>
        <v>* El total de Procesados debe ser mayor o igual al total de Reactivos en el grupo de edad 80 y más años</v>
      </c>
      <c r="DF23" s="1936"/>
      <c r="DG23" s="3906" t="e">
        <f t="shared" si="38"/>
        <v>#VALUE!</v>
      </c>
      <c r="DH23" s="3906" t="e">
        <f t="shared" si="18"/>
        <v>#VALUE!</v>
      </c>
      <c r="DI23" s="3906">
        <f t="shared" si="19"/>
        <v>1</v>
      </c>
      <c r="DJ23" s="3906">
        <f t="shared" si="20"/>
        <v>1</v>
      </c>
      <c r="DK23" s="1868"/>
      <c r="DL23" s="1868"/>
      <c r="DM23" s="1868"/>
      <c r="DN23" s="1868"/>
      <c r="DO23" s="1868"/>
      <c r="DP23" s="1866"/>
      <c r="DQ23" s="3906">
        <f t="shared" ref="DQ23:DQ30" si="48">IF(Q23&lt;R23,1,0)</f>
        <v>1</v>
      </c>
      <c r="DR23" s="3906">
        <f t="shared" ref="DR23:DR30" si="49">IF(S23&lt;T23,1,0)</f>
        <v>1</v>
      </c>
      <c r="DS23" s="3906">
        <f t="shared" si="36"/>
        <v>1</v>
      </c>
      <c r="DT23" s="3906">
        <f t="shared" ref="DT23:DT30" si="50">IF(W23&lt;X23,1,0)</f>
        <v>1</v>
      </c>
      <c r="DU23" s="3906">
        <f t="shared" ref="DU23:DU30" si="51">IF(Y23&lt;Z23,1,0)</f>
        <v>1</v>
      </c>
      <c r="DV23" s="3906">
        <f t="shared" ref="DV23:DV30" si="52">IF(AA23&lt;AB23,1,0)</f>
        <v>1</v>
      </c>
      <c r="DW23" s="3906">
        <f t="shared" ref="DW23:DW30" si="53">IF(AC23&lt;AD23,1,0)</f>
        <v>1</v>
      </c>
      <c r="DX23" s="3906">
        <f t="shared" ref="DX23:DX30" si="54">IF(AE23&lt;AF23,1,0)</f>
        <v>1</v>
      </c>
      <c r="DY23" s="3906">
        <f t="shared" ref="DY23:DY30" si="55">IF(AG23&lt;AH23,1,0)</f>
        <v>1</v>
      </c>
      <c r="DZ23" s="3906">
        <f t="shared" ref="DZ23:DZ30" si="56">IF(AI23&lt;AJ23,1,0)</f>
        <v>1</v>
      </c>
      <c r="EA23" s="3906">
        <f>IF(AK23&lt;AL23,1,0)</f>
        <v>1</v>
      </c>
      <c r="EB23" s="3906">
        <f>IF(AM23&lt;AN23,1,0)</f>
        <v>1</v>
      </c>
      <c r="EC23" s="3906">
        <f>IF(AO23&lt;AP23,1,0)</f>
        <v>1</v>
      </c>
      <c r="ED23" s="3906">
        <f>IF(AQ23&lt;AR23,1,0)</f>
        <v>1</v>
      </c>
    </row>
    <row r="24" spans="1:134" x14ac:dyDescent="0.25">
      <c r="A24" s="5601">
        <v>11051400</v>
      </c>
      <c r="B24" s="3907" t="s">
        <v>1877</v>
      </c>
      <c r="C24" s="3908" t="s">
        <v>4567</v>
      </c>
      <c r="D24" s="344" t="s">
        <v>4568</v>
      </c>
      <c r="E24" s="3914" t="s">
        <v>4569</v>
      </c>
      <c r="F24" s="3915" t="s">
        <v>4570</v>
      </c>
      <c r="G24" s="3914" t="s">
        <v>4571</v>
      </c>
      <c r="H24" s="3915" t="s">
        <v>4572</v>
      </c>
      <c r="I24" s="3914" t="s">
        <v>4573</v>
      </c>
      <c r="J24" s="3919" t="s">
        <v>4574</v>
      </c>
      <c r="K24" s="3901" t="s">
        <v>4575</v>
      </c>
      <c r="L24" s="3901" t="s">
        <v>4576</v>
      </c>
      <c r="M24" s="3914" t="s">
        <v>4577</v>
      </c>
      <c r="N24" s="3919" t="s">
        <v>4578</v>
      </c>
      <c r="O24" s="3904" t="s">
        <v>4579</v>
      </c>
      <c r="P24" s="3912" t="s">
        <v>4580</v>
      </c>
      <c r="Q24" s="3913" t="s">
        <v>4581</v>
      </c>
      <c r="R24" s="3912" t="s">
        <v>4582</v>
      </c>
      <c r="S24" s="3913" t="s">
        <v>4583</v>
      </c>
      <c r="T24" s="3912" t="s">
        <v>4584</v>
      </c>
      <c r="U24" s="3913" t="s">
        <v>4585</v>
      </c>
      <c r="V24" s="3912" t="s">
        <v>4586</v>
      </c>
      <c r="W24" s="3913" t="s">
        <v>4587</v>
      </c>
      <c r="X24" s="3912" t="s">
        <v>4588</v>
      </c>
      <c r="Y24" s="3913" t="s">
        <v>4589</v>
      </c>
      <c r="Z24" s="3912" t="s">
        <v>4590</v>
      </c>
      <c r="AA24" s="3913" t="s">
        <v>4591</v>
      </c>
      <c r="AB24" s="3912" t="s">
        <v>4592</v>
      </c>
      <c r="AC24" s="3913" t="s">
        <v>4593</v>
      </c>
      <c r="AD24" s="3912" t="s">
        <v>4594</v>
      </c>
      <c r="AE24" s="3913" t="s">
        <v>4595</v>
      </c>
      <c r="AF24" s="3912" t="s">
        <v>4596</v>
      </c>
      <c r="AG24" s="3913" t="s">
        <v>4597</v>
      </c>
      <c r="AH24" s="3912" t="s">
        <v>4598</v>
      </c>
      <c r="AI24" s="3913" t="s">
        <v>4599</v>
      </c>
      <c r="AJ24" s="3912" t="s">
        <v>4600</v>
      </c>
      <c r="AK24" s="3913" t="s">
        <v>4601</v>
      </c>
      <c r="AL24" s="3912" t="s">
        <v>4602</v>
      </c>
      <c r="AM24" s="3913" t="s">
        <v>4603</v>
      </c>
      <c r="AN24" s="3912" t="s">
        <v>4604</v>
      </c>
      <c r="AO24" s="3913" t="s">
        <v>4605</v>
      </c>
      <c r="AP24" s="3905" t="s">
        <v>4606</v>
      </c>
      <c r="AQ24" s="3913" t="s">
        <v>4934</v>
      </c>
      <c r="AR24" s="3902" t="s">
        <v>4935</v>
      </c>
      <c r="AS24" s="3904" t="s">
        <v>4936</v>
      </c>
      <c r="AT24" s="3902" t="s">
        <v>4937</v>
      </c>
      <c r="AU24" s="3903" t="s">
        <v>5234</v>
      </c>
      <c r="AV24" s="3902" t="s">
        <v>5235</v>
      </c>
      <c r="AW24" s="3904" t="s">
        <v>5236</v>
      </c>
      <c r="AX24" s="3905" t="s">
        <v>5237</v>
      </c>
      <c r="AY24" s="1864" t="e">
        <f>$CB24&amp;CC24&amp;CD24&amp;$CE24&amp;CK24&amp;CL24&amp;CM24&amp;CN24&amp;CO24&amp;CP24&amp;CQ24&amp;CR24&amp;CS24&amp;CT24&amp;CU24&amp;CV24&amp;CW24&amp;CX24&amp;CY24</f>
        <v>#VALUE!</v>
      </c>
      <c r="CB24" s="1865" t="e">
        <f t="shared" si="37"/>
        <v>#VALUE!</v>
      </c>
      <c r="CC24" s="1865" t="e">
        <f t="shared" si="1"/>
        <v>#VALUE!</v>
      </c>
      <c r="CD24" s="1865" t="str">
        <f t="shared" si="2"/>
        <v xml:space="preserve"> *El Número de Pueblos Originarios no puede superar el Total Procesados. </v>
      </c>
      <c r="CE24" s="1865" t="str">
        <f t="shared" si="3"/>
        <v xml:space="preserve"> *El Número de Migrantes no puede superar el Total Procesados. </v>
      </c>
      <c r="CF24" s="3917"/>
      <c r="CG24" s="3917"/>
      <c r="CH24" s="1868"/>
      <c r="CI24" s="1868"/>
      <c r="CJ24" s="1868"/>
      <c r="CK24" s="1865" t="str">
        <f>IF(O24&lt;P24,CONCATENATE("* El total de Procesados debe ser mayor o igual al total de Reactivos en el grupo de edad ",$O$11),"")</f>
        <v>* El total de Procesados debe ser mayor o igual al total de Reactivos en el grupo de edad 10 - 14 años</v>
      </c>
      <c r="CL24" s="1865" t="str">
        <f t="shared" si="39"/>
        <v>* El total de Procesados debe ser mayor o igual al total de Reactivos en el grupo de edad 15 - 19 años</v>
      </c>
      <c r="CM24" s="1865" t="str">
        <f t="shared" si="40"/>
        <v>* El total de Procesados debe ser mayor o igual al total de Reactivos en el grupo de edad 20 - 24 años</v>
      </c>
      <c r="CN24" s="1865" t="str">
        <f t="shared" si="35"/>
        <v>* El total de Procesados debe ser mayor o igual al total de Reactivos en el grupo de edad 25 - 29 años</v>
      </c>
      <c r="CO24" s="1865" t="str">
        <f t="shared" si="41"/>
        <v>* El total de Procesados debe ser mayor o igual al total de Reactivos en el grupo de edad 30 - 34 años</v>
      </c>
      <c r="CP24" s="1865" t="str">
        <f t="shared" si="42"/>
        <v>* El total de Procesados debe ser mayor o igual al total de Reactivos en el grupo de edad 35 - 39 años</v>
      </c>
      <c r="CQ24" s="1865" t="str">
        <f t="shared" si="43"/>
        <v>* El total de Procesados debe ser mayor o igual al total de Reactivos en el grupo de edad 40 - 44 años</v>
      </c>
      <c r="CR24" s="1865" t="str">
        <f t="shared" si="44"/>
        <v>* El total de Procesados debe ser mayor o igual al total de Reactivos en el grupo de edad 45 - 49 años</v>
      </c>
      <c r="CS24" s="1865" t="str">
        <f t="shared" si="45"/>
        <v>* El total de Procesados debe ser mayor o igual al total de Reactivos en el grupo de edad 50 - 54 años</v>
      </c>
      <c r="CT24" s="1865" t="str">
        <f t="shared" si="46"/>
        <v>* El total de Procesados debe ser mayor o igual al total de Reactivos en el grupo de edad 55 - 59 años</v>
      </c>
      <c r="CU24" s="1865" t="str">
        <f t="shared" si="47"/>
        <v>* El total de Procesados debe ser mayor o igual al total de Reactivos en el grupo de edad 60 - 64 años</v>
      </c>
      <c r="CV24" s="1865" t="str">
        <f>IF(AK24&lt;AL24,CONCATENATE("* El total de Procesados debe ser mayor o igual al total de Reactivos en el grupo de edad ",$AK$11),"")</f>
        <v>* El total de Procesados debe ser mayor o igual al total de Reactivos en el grupo de edad 65 - 69 años</v>
      </c>
      <c r="CW24" s="1865" t="str">
        <f>IF(AM24&lt;AN24,CONCATENATE("* El total de Procesados debe ser mayor o igual al total de Reactivos en el grupo de edad ",$AM$11),"")</f>
        <v>* El total de Procesados debe ser mayor o igual al total de Reactivos en el grupo de edad 70 - 74 años</v>
      </c>
      <c r="CX24" s="1865" t="str">
        <f>IF(AO24&lt;AP24,CONCATENATE("* El total de Procesados debe ser mayor o igual al total de Reactivos en el grupo de edad ",$AO$11),"")</f>
        <v>* El total de Procesados debe ser mayor o igual al total de Reactivos en el grupo de edad 75 - 79 años</v>
      </c>
      <c r="CY24" s="1865" t="str">
        <f>IF(AQ24&lt;AR24,CONCATENATE("* El total de Procesados debe ser mayor o igual al total de Reactivos en el grupo de edad ",$AQ$11),"")</f>
        <v>* El total de Procesados debe ser mayor o igual al total de Reactivos en el grupo de edad 80 y más años</v>
      </c>
      <c r="DF24" s="1936"/>
      <c r="DG24" s="3906" t="e">
        <f t="shared" si="38"/>
        <v>#VALUE!</v>
      </c>
      <c r="DH24" s="3906" t="e">
        <f t="shared" si="18"/>
        <v>#VALUE!</v>
      </c>
      <c r="DI24" s="3906">
        <f t="shared" si="19"/>
        <v>1</v>
      </c>
      <c r="DJ24" s="3906">
        <f t="shared" si="20"/>
        <v>1</v>
      </c>
      <c r="DK24" s="1868"/>
      <c r="DL24" s="1868"/>
      <c r="DM24" s="1868"/>
      <c r="DN24" s="1868"/>
      <c r="DO24" s="1868"/>
      <c r="DP24" s="3906">
        <f>IF(O24&lt;P24,1,0)</f>
        <v>1</v>
      </c>
      <c r="DQ24" s="3906">
        <f t="shared" si="48"/>
        <v>1</v>
      </c>
      <c r="DR24" s="3906">
        <f t="shared" si="49"/>
        <v>1</v>
      </c>
      <c r="DS24" s="3906">
        <f t="shared" si="36"/>
        <v>1</v>
      </c>
      <c r="DT24" s="3906">
        <f t="shared" si="50"/>
        <v>1</v>
      </c>
      <c r="DU24" s="3906">
        <f t="shared" si="51"/>
        <v>1</v>
      </c>
      <c r="DV24" s="3906">
        <f t="shared" si="52"/>
        <v>1</v>
      </c>
      <c r="DW24" s="3906">
        <f t="shared" si="53"/>
        <v>1</v>
      </c>
      <c r="DX24" s="3906">
        <f t="shared" si="54"/>
        <v>1</v>
      </c>
      <c r="DY24" s="3906">
        <f t="shared" si="55"/>
        <v>1</v>
      </c>
      <c r="DZ24" s="3906">
        <f t="shared" si="56"/>
        <v>1</v>
      </c>
      <c r="EA24" s="3906">
        <f>IF(AK24&lt;AL24,1,0)</f>
        <v>1</v>
      </c>
      <c r="EB24" s="3906">
        <f>IF(AM24&lt;AN24,1,0)</f>
        <v>1</v>
      </c>
      <c r="EC24" s="3906">
        <f>IF(AO24&lt;AP24,1,0)</f>
        <v>1</v>
      </c>
      <c r="ED24" s="3906">
        <f>IF(AQ24&lt;AR24,1,0)</f>
        <v>1</v>
      </c>
    </row>
    <row r="25" spans="1:134" x14ac:dyDescent="0.25">
      <c r="A25" s="5601">
        <v>11040300</v>
      </c>
      <c r="B25" s="3907" t="s">
        <v>1878</v>
      </c>
      <c r="C25" s="3908" t="s">
        <v>4567</v>
      </c>
      <c r="D25" s="344" t="s">
        <v>4568</v>
      </c>
      <c r="E25" s="3913" t="s">
        <v>4569</v>
      </c>
      <c r="F25" s="3912" t="s">
        <v>4570</v>
      </c>
      <c r="G25" s="3913" t="s">
        <v>4571</v>
      </c>
      <c r="H25" s="3912" t="s">
        <v>4572</v>
      </c>
      <c r="I25" s="3913" t="s">
        <v>4573</v>
      </c>
      <c r="J25" s="3905" t="s">
        <v>4574</v>
      </c>
      <c r="K25" s="3904" t="s">
        <v>4575</v>
      </c>
      <c r="L25" s="3904" t="s">
        <v>4576</v>
      </c>
      <c r="M25" s="3913" t="s">
        <v>4577</v>
      </c>
      <c r="N25" s="3905" t="s">
        <v>4578</v>
      </c>
      <c r="O25" s="3904" t="s">
        <v>4579</v>
      </c>
      <c r="P25" s="3912" t="s">
        <v>4580</v>
      </c>
      <c r="Q25" s="3913" t="s">
        <v>4581</v>
      </c>
      <c r="R25" s="3912" t="s">
        <v>4582</v>
      </c>
      <c r="S25" s="3913" t="s">
        <v>4583</v>
      </c>
      <c r="T25" s="3912" t="s">
        <v>4584</v>
      </c>
      <c r="U25" s="3913" t="s">
        <v>4585</v>
      </c>
      <c r="V25" s="3912" t="s">
        <v>4586</v>
      </c>
      <c r="W25" s="3913" t="s">
        <v>4587</v>
      </c>
      <c r="X25" s="3912" t="s">
        <v>4588</v>
      </c>
      <c r="Y25" s="3913" t="s">
        <v>4589</v>
      </c>
      <c r="Z25" s="3912" t="s">
        <v>4590</v>
      </c>
      <c r="AA25" s="3913" t="s">
        <v>4591</v>
      </c>
      <c r="AB25" s="3912" t="s">
        <v>4592</v>
      </c>
      <c r="AC25" s="3913" t="s">
        <v>4593</v>
      </c>
      <c r="AD25" s="3912" t="s">
        <v>4594</v>
      </c>
      <c r="AE25" s="3913" t="s">
        <v>4595</v>
      </c>
      <c r="AF25" s="3912" t="s">
        <v>4596</v>
      </c>
      <c r="AG25" s="3913" t="s">
        <v>4597</v>
      </c>
      <c r="AH25" s="3912" t="s">
        <v>4598</v>
      </c>
      <c r="AI25" s="3913" t="s">
        <v>4599</v>
      </c>
      <c r="AJ25" s="3912" t="s">
        <v>4600</v>
      </c>
      <c r="AK25" s="3913" t="s">
        <v>4601</v>
      </c>
      <c r="AL25" s="3912" t="s">
        <v>4602</v>
      </c>
      <c r="AM25" s="3913" t="s">
        <v>4603</v>
      </c>
      <c r="AN25" s="3912" t="s">
        <v>4604</v>
      </c>
      <c r="AO25" s="3913" t="s">
        <v>4605</v>
      </c>
      <c r="AP25" s="3912" t="s">
        <v>4606</v>
      </c>
      <c r="AQ25" s="3913" t="s">
        <v>4934</v>
      </c>
      <c r="AR25" s="3902" t="s">
        <v>4935</v>
      </c>
      <c r="AS25" s="3904" t="s">
        <v>4936</v>
      </c>
      <c r="AT25" s="3902" t="s">
        <v>4937</v>
      </c>
      <c r="AU25" s="3903" t="s">
        <v>5234</v>
      </c>
      <c r="AV25" s="3902" t="s">
        <v>5235</v>
      </c>
      <c r="AW25" s="3904" t="s">
        <v>5236</v>
      </c>
      <c r="AX25" s="3905" t="s">
        <v>5237</v>
      </c>
      <c r="AY25" s="1864" t="e">
        <f>$CB25&amp;CC25&amp;CD25&amp;$CE25&amp;CF25&amp;CG25&amp;CH25&amp;CI25&amp;CJ25&amp;CK25&amp;CL25&amp;CM25&amp;CN25&amp;CO25&amp;CP25&amp;CQ25&amp;CR25&amp;CS25&amp;CT25&amp;CU25&amp;CV25&amp;CW25&amp;CX25&amp;CY25</f>
        <v>#VALUE!</v>
      </c>
      <c r="CB25" s="1865" t="e">
        <f t="shared" si="37"/>
        <v>#VALUE!</v>
      </c>
      <c r="CC25" s="1865" t="e">
        <f t="shared" si="1"/>
        <v>#VALUE!</v>
      </c>
      <c r="CD25" s="1865" t="str">
        <f t="shared" si="2"/>
        <v xml:space="preserve"> *El Número de Pueblos Originarios no puede superar el Total Procesados. </v>
      </c>
      <c r="CE25" s="1865" t="str">
        <f t="shared" si="3"/>
        <v xml:space="preserve"> *El Número de Migrantes no puede superar el Total Procesados. </v>
      </c>
      <c r="CF25" s="1865" t="str">
        <f>IF(E25&lt;F25,CONCATENATE("* El total de Procesados debe ser mayor o igual al total de Reactivos en el grupo de edad ",$E$11),"")</f>
        <v>* El total de Procesados debe ser mayor o igual al total de Reactivos en el grupo de edad Menos de 6 meses</v>
      </c>
      <c r="CG25" s="1865" t="str">
        <f>IF(G25&lt;H25,CONCATENATE("* El total de Procesados debe ser mayor o igual al total de Reactivos en el grupo de edad ",$G$11),"")</f>
        <v>* El total de Procesados debe ser mayor o igual al total de Reactivos en el grupo de edad 6 - 11 meses</v>
      </c>
      <c r="CH25" s="1865" t="str">
        <f>IF(I25&lt;J25,CONCATENATE("* El total de Procesados debe ser mayor o igual al total de Reactivos en el grupo de edad ",$I$11),"")</f>
        <v>* El total de Procesados debe ser mayor o igual al total de Reactivos en el grupo de edad 12-24 meses</v>
      </c>
      <c r="CI25" s="1865" t="str">
        <f>IF(K25&lt;L25,CONCATENATE("* El total de Procesados debe ser mayor o igual al total de Reactivos en el grupo de edad ",$K$11),"")</f>
        <v>* El total de Procesados debe ser mayor o igual al total de Reactivos en el grupo de edad 3 - 4 años</v>
      </c>
      <c r="CJ25" s="1865" t="str">
        <f>IF(M25&lt;N25,CONCATENATE("* El total de Procesados debe ser mayor o igual al total de Reactivos en el grupo de edad ",$M$11),"")</f>
        <v>* El total de Procesados debe ser mayor o igual al total de Reactivos en el grupo de edad 5 - 9 años</v>
      </c>
      <c r="CK25" s="1865" t="str">
        <f>IF(O25&lt;P25,CONCATENATE("* El total de Procesados debe ser mayor o igual al total de Reactivos en el grupo de edad ",$O$11),"")</f>
        <v>* El total de Procesados debe ser mayor o igual al total de Reactivos en el grupo de edad 10 - 14 años</v>
      </c>
      <c r="CL25" s="1865" t="str">
        <f t="shared" si="39"/>
        <v>* El total de Procesados debe ser mayor o igual al total de Reactivos en el grupo de edad 15 - 19 años</v>
      </c>
      <c r="CM25" s="1865" t="str">
        <f t="shared" si="40"/>
        <v>* El total de Procesados debe ser mayor o igual al total de Reactivos en el grupo de edad 20 - 24 años</v>
      </c>
      <c r="CN25" s="1865" t="str">
        <f t="shared" si="35"/>
        <v>* El total de Procesados debe ser mayor o igual al total de Reactivos en el grupo de edad 25 - 29 años</v>
      </c>
      <c r="CO25" s="1865" t="str">
        <f t="shared" si="41"/>
        <v>* El total de Procesados debe ser mayor o igual al total de Reactivos en el grupo de edad 30 - 34 años</v>
      </c>
      <c r="CP25" s="1865" t="str">
        <f t="shared" si="42"/>
        <v>* El total de Procesados debe ser mayor o igual al total de Reactivos en el grupo de edad 35 - 39 años</v>
      </c>
      <c r="CQ25" s="1865" t="str">
        <f t="shared" si="43"/>
        <v>* El total de Procesados debe ser mayor o igual al total de Reactivos en el grupo de edad 40 - 44 años</v>
      </c>
      <c r="CR25" s="1865" t="str">
        <f t="shared" si="44"/>
        <v>* El total de Procesados debe ser mayor o igual al total de Reactivos en el grupo de edad 45 - 49 años</v>
      </c>
      <c r="CS25" s="1865" t="str">
        <f t="shared" si="45"/>
        <v>* El total de Procesados debe ser mayor o igual al total de Reactivos en el grupo de edad 50 - 54 años</v>
      </c>
      <c r="CT25" s="1865" t="str">
        <f t="shared" si="46"/>
        <v>* El total de Procesados debe ser mayor o igual al total de Reactivos en el grupo de edad 55 - 59 años</v>
      </c>
      <c r="CU25" s="1865" t="str">
        <f t="shared" si="47"/>
        <v>* El total de Procesados debe ser mayor o igual al total de Reactivos en el grupo de edad 60 - 64 años</v>
      </c>
      <c r="CV25" s="1865" t="str">
        <f>IF(AK25&lt;AL25,CONCATENATE("* El total de Procesados debe ser mayor o igual al total de Reactivos en el grupo de edad ",$AK$11),"")</f>
        <v>* El total de Procesados debe ser mayor o igual al total de Reactivos en el grupo de edad 65 - 69 años</v>
      </c>
      <c r="CW25" s="1865" t="str">
        <f>IF(AM25&lt;AN25,CONCATENATE("* El total de Procesados debe ser mayor o igual al total de Reactivos en el grupo de edad ",$AM$11),"")</f>
        <v>* El total de Procesados debe ser mayor o igual al total de Reactivos en el grupo de edad 70 - 74 años</v>
      </c>
      <c r="CX25" s="1865" t="str">
        <f>IF(AO25&lt;AP25,CONCATENATE("* El total de Procesados debe ser mayor o igual al total de Reactivos en el grupo de edad ",$AO$11),"")</f>
        <v>* El total de Procesados debe ser mayor o igual al total de Reactivos en el grupo de edad 75 - 79 años</v>
      </c>
      <c r="CY25" s="1865" t="str">
        <f>IF(AQ25&lt;AR25,CONCATENATE("* El total de Procesados debe ser mayor o igual al total de Reactivos en el grupo de edad ",$AQ$11),"")</f>
        <v>* El total de Procesados debe ser mayor o igual al total de Reactivos en el grupo de edad 80 y más años</v>
      </c>
      <c r="DF25" s="1936"/>
      <c r="DG25" s="3906" t="e">
        <f t="shared" si="38"/>
        <v>#VALUE!</v>
      </c>
      <c r="DH25" s="3906" t="e">
        <f t="shared" si="18"/>
        <v>#VALUE!</v>
      </c>
      <c r="DI25" s="3906">
        <f t="shared" si="19"/>
        <v>1</v>
      </c>
      <c r="DJ25" s="3906">
        <f t="shared" si="20"/>
        <v>1</v>
      </c>
      <c r="DK25" s="3906">
        <f>IF(E25&lt;F25,1,0)</f>
        <v>1</v>
      </c>
      <c r="DL25" s="3906">
        <f>IF(G25&lt;H25,1,0)</f>
        <v>1</v>
      </c>
      <c r="DM25" s="3906">
        <f>IF(I25&lt;J25,1,0)</f>
        <v>1</v>
      </c>
      <c r="DN25" s="3906">
        <f>IF(K25&lt;L25,1,0)</f>
        <v>1</v>
      </c>
      <c r="DO25" s="3906">
        <f>IF(M25&lt;N25,1,0)</f>
        <v>1</v>
      </c>
      <c r="DP25" s="3906">
        <f>IF(O25&lt;P25,1,0)</f>
        <v>1</v>
      </c>
      <c r="DQ25" s="3906">
        <f t="shared" si="48"/>
        <v>1</v>
      </c>
      <c r="DR25" s="3906">
        <f t="shared" si="49"/>
        <v>1</v>
      </c>
      <c r="DS25" s="3906">
        <f t="shared" si="36"/>
        <v>1</v>
      </c>
      <c r="DT25" s="3906">
        <f t="shared" si="50"/>
        <v>1</v>
      </c>
      <c r="DU25" s="3906">
        <f t="shared" si="51"/>
        <v>1</v>
      </c>
      <c r="DV25" s="3906">
        <f t="shared" si="52"/>
        <v>1</v>
      </c>
      <c r="DW25" s="3906">
        <f t="shared" si="53"/>
        <v>1</v>
      </c>
      <c r="DX25" s="3906">
        <f t="shared" si="54"/>
        <v>1</v>
      </c>
      <c r="DY25" s="3906">
        <f t="shared" si="55"/>
        <v>1</v>
      </c>
      <c r="DZ25" s="3906">
        <f t="shared" si="56"/>
        <v>1</v>
      </c>
      <c r="EA25" s="3906">
        <f>IF(AK25&lt;AL25,1,0)</f>
        <v>1</v>
      </c>
      <c r="EB25" s="3906">
        <f>IF(AM25&lt;AN25,1,0)</f>
        <v>1</v>
      </c>
      <c r="EC25" s="3906">
        <f>IF(AO25&lt;AP25,1,0)</f>
        <v>1</v>
      </c>
      <c r="ED25" s="3906">
        <f>IF(AQ25&lt;AR25,1,0)</f>
        <v>1</v>
      </c>
    </row>
    <row r="26" spans="1:134" x14ac:dyDescent="0.25">
      <c r="A26" s="5601">
        <v>11040600</v>
      </c>
      <c r="B26" s="3907" t="s">
        <v>1879</v>
      </c>
      <c r="C26" s="3908" t="s">
        <v>4567</v>
      </c>
      <c r="D26" s="344" t="s">
        <v>4568</v>
      </c>
      <c r="E26" s="3909" t="s">
        <v>4569</v>
      </c>
      <c r="F26" s="3910" t="s">
        <v>4570</v>
      </c>
      <c r="G26" s="3909" t="s">
        <v>4571</v>
      </c>
      <c r="H26" s="3910" t="s">
        <v>4572</v>
      </c>
      <c r="I26" s="3909" t="s">
        <v>4573</v>
      </c>
      <c r="J26" s="3910" t="s">
        <v>4574</v>
      </c>
      <c r="K26" s="3909" t="s">
        <v>4575</v>
      </c>
      <c r="L26" s="3910" t="s">
        <v>4576</v>
      </c>
      <c r="M26" s="3909" t="s">
        <v>4577</v>
      </c>
      <c r="N26" s="3911" t="s">
        <v>4578</v>
      </c>
      <c r="O26" s="3918" t="s">
        <v>4579</v>
      </c>
      <c r="P26" s="3910" t="s">
        <v>4580</v>
      </c>
      <c r="Q26" s="3913" t="s">
        <v>4581</v>
      </c>
      <c r="R26" s="3912" t="s">
        <v>4582</v>
      </c>
      <c r="S26" s="3913" t="s">
        <v>4583</v>
      </c>
      <c r="T26" s="3912" t="s">
        <v>4584</v>
      </c>
      <c r="U26" s="3913" t="s">
        <v>4585</v>
      </c>
      <c r="V26" s="3912" t="s">
        <v>4586</v>
      </c>
      <c r="W26" s="3913" t="s">
        <v>4587</v>
      </c>
      <c r="X26" s="3912" t="s">
        <v>4588</v>
      </c>
      <c r="Y26" s="3913" t="s">
        <v>4589</v>
      </c>
      <c r="Z26" s="3912" t="s">
        <v>4590</v>
      </c>
      <c r="AA26" s="3913" t="s">
        <v>4591</v>
      </c>
      <c r="AB26" s="3912" t="s">
        <v>4592</v>
      </c>
      <c r="AC26" s="3913" t="s">
        <v>4593</v>
      </c>
      <c r="AD26" s="3912" t="s">
        <v>4594</v>
      </c>
      <c r="AE26" s="3913" t="s">
        <v>4595</v>
      </c>
      <c r="AF26" s="3912" t="s">
        <v>4596</v>
      </c>
      <c r="AG26" s="3913" t="s">
        <v>4597</v>
      </c>
      <c r="AH26" s="3912" t="s">
        <v>4598</v>
      </c>
      <c r="AI26" s="3913" t="s">
        <v>4599</v>
      </c>
      <c r="AJ26" s="3912" t="s">
        <v>4600</v>
      </c>
      <c r="AK26" s="3913" t="s">
        <v>4601</v>
      </c>
      <c r="AL26" s="3912" t="s">
        <v>4602</v>
      </c>
      <c r="AM26" s="3913" t="s">
        <v>4603</v>
      </c>
      <c r="AN26" s="3912" t="s">
        <v>4604</v>
      </c>
      <c r="AO26" s="3913" t="s">
        <v>4605</v>
      </c>
      <c r="AP26" s="3912" t="s">
        <v>4606</v>
      </c>
      <c r="AQ26" s="3913" t="s">
        <v>4934</v>
      </c>
      <c r="AR26" s="3902" t="s">
        <v>4935</v>
      </c>
      <c r="AS26" s="3904" t="s">
        <v>4936</v>
      </c>
      <c r="AT26" s="3902" t="s">
        <v>4937</v>
      </c>
      <c r="AU26" s="3903" t="s">
        <v>5234</v>
      </c>
      <c r="AV26" s="3902" t="s">
        <v>5235</v>
      </c>
      <c r="AW26" s="3904" t="s">
        <v>5236</v>
      </c>
      <c r="AX26" s="3905" t="s">
        <v>5237</v>
      </c>
      <c r="AY26" s="1864" t="e">
        <f>$CB26&amp;CC26&amp;CD26&amp;$CE26&amp;CK26&amp;CL26&amp;CM26&amp;CN26&amp;CO26&amp;CP26&amp;CQ26&amp;CR26&amp;CS26&amp;CT26&amp;CU26&amp;CV26&amp;CW26&amp;CX26&amp;CY26</f>
        <v>#VALUE!</v>
      </c>
      <c r="CB26" s="1865" t="e">
        <f t="shared" si="37"/>
        <v>#VALUE!</v>
      </c>
      <c r="CC26" s="1865" t="e">
        <f t="shared" si="1"/>
        <v>#VALUE!</v>
      </c>
      <c r="CD26" s="1865" t="str">
        <f t="shared" si="2"/>
        <v xml:space="preserve"> *El Número de Pueblos Originarios no puede superar el Total Procesados. </v>
      </c>
      <c r="CE26" s="1865" t="str">
        <f t="shared" si="3"/>
        <v xml:space="preserve"> *El Número de Migrantes no puede superar el Total Procesados. </v>
      </c>
      <c r="CF26" s="3917"/>
      <c r="CG26" s="3917"/>
      <c r="CH26" s="1868"/>
      <c r="CI26" s="1868"/>
      <c r="CJ26" s="1868"/>
      <c r="CK26" s="3917"/>
      <c r="CL26" s="1865" t="str">
        <f t="shared" si="39"/>
        <v>* El total de Procesados debe ser mayor o igual al total de Reactivos en el grupo de edad 15 - 19 años</v>
      </c>
      <c r="CM26" s="1865" t="str">
        <f t="shared" si="40"/>
        <v>* El total de Procesados debe ser mayor o igual al total de Reactivos en el grupo de edad 20 - 24 años</v>
      </c>
      <c r="CN26" s="1865" t="str">
        <f t="shared" si="35"/>
        <v>* El total de Procesados debe ser mayor o igual al total de Reactivos en el grupo de edad 25 - 29 años</v>
      </c>
      <c r="CO26" s="1865" t="str">
        <f t="shared" si="41"/>
        <v>* El total de Procesados debe ser mayor o igual al total de Reactivos en el grupo de edad 30 - 34 años</v>
      </c>
      <c r="CP26" s="1865" t="str">
        <f t="shared" si="42"/>
        <v>* El total de Procesados debe ser mayor o igual al total de Reactivos en el grupo de edad 35 - 39 años</v>
      </c>
      <c r="CQ26" s="1865" t="str">
        <f t="shared" si="43"/>
        <v>* El total de Procesados debe ser mayor o igual al total de Reactivos en el grupo de edad 40 - 44 años</v>
      </c>
      <c r="CR26" s="1865" t="str">
        <f t="shared" si="44"/>
        <v>* El total de Procesados debe ser mayor o igual al total de Reactivos en el grupo de edad 45 - 49 años</v>
      </c>
      <c r="CS26" s="1865" t="str">
        <f t="shared" si="45"/>
        <v>* El total de Procesados debe ser mayor o igual al total de Reactivos en el grupo de edad 50 - 54 años</v>
      </c>
      <c r="CT26" s="1865" t="str">
        <f t="shared" si="46"/>
        <v>* El total de Procesados debe ser mayor o igual al total de Reactivos en el grupo de edad 55 - 59 años</v>
      </c>
      <c r="CU26" s="1865" t="str">
        <f t="shared" si="47"/>
        <v>* El total de Procesados debe ser mayor o igual al total de Reactivos en el grupo de edad 60 - 64 años</v>
      </c>
      <c r="CV26" s="1865" t="str">
        <f>IF(AK26&lt;AL26,CONCATENATE("* El total de Procesados debe ser mayor o igual al total de Reactivos en el grupo de edad ",$AK$11),"")</f>
        <v>* El total de Procesados debe ser mayor o igual al total de Reactivos en el grupo de edad 65 - 69 años</v>
      </c>
      <c r="CW26" s="1865" t="str">
        <f>IF(AM26&lt;AN26,CONCATENATE("* El total de Procesados debe ser mayor o igual al total de Reactivos en el grupo de edad ",$AM$11),"")</f>
        <v>* El total de Procesados debe ser mayor o igual al total de Reactivos en el grupo de edad 70 - 74 años</v>
      </c>
      <c r="CX26" s="1865" t="str">
        <f>IF(AO26&lt;AP26,CONCATENATE("* El total de Procesados debe ser mayor o igual al total de Reactivos en el grupo de edad ",$AO$11),"")</f>
        <v>* El total de Procesados debe ser mayor o igual al total de Reactivos en el grupo de edad 75 - 79 años</v>
      </c>
      <c r="CY26" s="1865" t="str">
        <f>IF(AQ26&lt;AR26,CONCATENATE("* El total de Procesados debe ser mayor o igual al total de Reactivos en el grupo de edad ",$AQ$11),"")</f>
        <v>* El total de Procesados debe ser mayor o igual al total de Reactivos en el grupo de edad 80 y más años</v>
      </c>
      <c r="DF26" s="1936"/>
      <c r="DG26" s="3906" t="e">
        <f t="shared" si="38"/>
        <v>#VALUE!</v>
      </c>
      <c r="DH26" s="3906" t="e">
        <f t="shared" si="18"/>
        <v>#VALUE!</v>
      </c>
      <c r="DI26" s="3906">
        <f t="shared" si="19"/>
        <v>1</v>
      </c>
      <c r="DJ26" s="3906">
        <f t="shared" si="20"/>
        <v>1</v>
      </c>
      <c r="DK26" s="1868"/>
      <c r="DL26" s="1868"/>
      <c r="DM26" s="1868"/>
      <c r="DN26" s="1868"/>
      <c r="DO26" s="1868"/>
      <c r="DP26" s="1866"/>
      <c r="DQ26" s="3906">
        <f t="shared" si="48"/>
        <v>1</v>
      </c>
      <c r="DR26" s="3906">
        <f t="shared" si="49"/>
        <v>1</v>
      </c>
      <c r="DS26" s="3906">
        <f t="shared" si="36"/>
        <v>1</v>
      </c>
      <c r="DT26" s="3906">
        <f t="shared" si="50"/>
        <v>1</v>
      </c>
      <c r="DU26" s="3906">
        <f t="shared" si="51"/>
        <v>1</v>
      </c>
      <c r="DV26" s="3906">
        <f t="shared" si="52"/>
        <v>1</v>
      </c>
      <c r="DW26" s="3906">
        <f t="shared" si="53"/>
        <v>1</v>
      </c>
      <c r="DX26" s="3906">
        <f t="shared" si="54"/>
        <v>1</v>
      </c>
      <c r="DY26" s="3906">
        <f t="shared" si="55"/>
        <v>1</v>
      </c>
      <c r="DZ26" s="3906">
        <f t="shared" si="56"/>
        <v>1</v>
      </c>
      <c r="EA26" s="3906">
        <f>IF(AK26&lt;AL26,1,0)</f>
        <v>1</v>
      </c>
      <c r="EB26" s="3906">
        <f>IF(AM26&lt;AN26,1,0)</f>
        <v>1</v>
      </c>
      <c r="EC26" s="3906">
        <f>IF(AO26&lt;AP26,1,0)</f>
        <v>1</v>
      </c>
      <c r="ED26" s="3906">
        <f>IF(AQ26&lt;AR26,1,0)</f>
        <v>1</v>
      </c>
    </row>
    <row r="27" spans="1:134" x14ac:dyDescent="0.25">
      <c r="A27" s="5601">
        <v>11040500</v>
      </c>
      <c r="B27" s="3907" t="s">
        <v>1880</v>
      </c>
      <c r="C27" s="3908" t="s">
        <v>4567</v>
      </c>
      <c r="D27" s="344" t="s">
        <v>4568</v>
      </c>
      <c r="E27" s="3909" t="s">
        <v>4569</v>
      </c>
      <c r="F27" s="3910" t="s">
        <v>4570</v>
      </c>
      <c r="G27" s="3909" t="s">
        <v>4571</v>
      </c>
      <c r="H27" s="3910" t="s">
        <v>4572</v>
      </c>
      <c r="I27" s="3909" t="s">
        <v>4573</v>
      </c>
      <c r="J27" s="3910" t="s">
        <v>4574</v>
      </c>
      <c r="K27" s="3909" t="s">
        <v>4575</v>
      </c>
      <c r="L27" s="3910" t="s">
        <v>4576</v>
      </c>
      <c r="M27" s="3909" t="s">
        <v>4577</v>
      </c>
      <c r="N27" s="3911" t="s">
        <v>4578</v>
      </c>
      <c r="O27" s="3918" t="s">
        <v>4579</v>
      </c>
      <c r="P27" s="3910" t="s">
        <v>4580</v>
      </c>
      <c r="Q27" s="3913" t="s">
        <v>4581</v>
      </c>
      <c r="R27" s="3912" t="s">
        <v>4582</v>
      </c>
      <c r="S27" s="3913" t="s">
        <v>4583</v>
      </c>
      <c r="T27" s="3912" t="s">
        <v>4584</v>
      </c>
      <c r="U27" s="3913" t="s">
        <v>4585</v>
      </c>
      <c r="V27" s="3912" t="s">
        <v>4586</v>
      </c>
      <c r="W27" s="3913" t="s">
        <v>4587</v>
      </c>
      <c r="X27" s="3912" t="s">
        <v>4588</v>
      </c>
      <c r="Y27" s="3913" t="s">
        <v>4589</v>
      </c>
      <c r="Z27" s="3912" t="s">
        <v>4590</v>
      </c>
      <c r="AA27" s="3913" t="s">
        <v>4591</v>
      </c>
      <c r="AB27" s="3912" t="s">
        <v>4592</v>
      </c>
      <c r="AC27" s="3913" t="s">
        <v>4593</v>
      </c>
      <c r="AD27" s="3912" t="s">
        <v>4594</v>
      </c>
      <c r="AE27" s="3913" t="s">
        <v>4595</v>
      </c>
      <c r="AF27" s="3912" t="s">
        <v>4596</v>
      </c>
      <c r="AG27" s="3913" t="s">
        <v>4597</v>
      </c>
      <c r="AH27" s="3912" t="s">
        <v>4598</v>
      </c>
      <c r="AI27" s="3913" t="s">
        <v>4599</v>
      </c>
      <c r="AJ27" s="3912" t="s">
        <v>4600</v>
      </c>
      <c r="AK27" s="3909" t="s">
        <v>4601</v>
      </c>
      <c r="AL27" s="3910" t="s">
        <v>4602</v>
      </c>
      <c r="AM27" s="3909" t="s">
        <v>4603</v>
      </c>
      <c r="AN27" s="3910" t="s">
        <v>4604</v>
      </c>
      <c r="AO27" s="3909" t="s">
        <v>4605</v>
      </c>
      <c r="AP27" s="3910" t="s">
        <v>4606</v>
      </c>
      <c r="AQ27" s="3909" t="s">
        <v>4934</v>
      </c>
      <c r="AR27" s="3920" t="s">
        <v>4935</v>
      </c>
      <c r="AS27" s="3904" t="s">
        <v>4936</v>
      </c>
      <c r="AT27" s="3902" t="s">
        <v>4937</v>
      </c>
      <c r="AU27" s="3903" t="s">
        <v>5234</v>
      </c>
      <c r="AV27" s="3902" t="s">
        <v>5235</v>
      </c>
      <c r="AW27" s="3904" t="s">
        <v>5236</v>
      </c>
      <c r="AX27" s="3905" t="s">
        <v>5237</v>
      </c>
      <c r="AY27" s="1864" t="e">
        <f>$CB27&amp;CC27&amp;CD27&amp;$CE27&amp;CL27&amp;CM27&amp;CN27&amp;CO27&amp;CP27&amp;CQ27&amp;CR27&amp;CS27&amp;CT27&amp;CU27</f>
        <v>#VALUE!</v>
      </c>
      <c r="CB27" s="1865" t="e">
        <f t="shared" si="37"/>
        <v>#VALUE!</v>
      </c>
      <c r="CC27" s="1865" t="e">
        <f t="shared" si="1"/>
        <v>#VALUE!</v>
      </c>
      <c r="CD27" s="1865" t="str">
        <f t="shared" si="2"/>
        <v xml:space="preserve"> *El Número de Pueblos Originarios no puede superar el Total Procesados. </v>
      </c>
      <c r="CE27" s="1865" t="str">
        <f t="shared" si="3"/>
        <v xml:space="preserve"> *El Número de Migrantes no puede superar el Total Procesados. </v>
      </c>
      <c r="CF27" s="3917"/>
      <c r="CG27" s="3917"/>
      <c r="CH27" s="1868"/>
      <c r="CI27" s="1868"/>
      <c r="CJ27" s="1868"/>
      <c r="CK27" s="3917"/>
      <c r="CL27" s="1865" t="str">
        <f t="shared" si="39"/>
        <v>* El total de Procesados debe ser mayor o igual al total de Reactivos en el grupo de edad 15 - 19 años</v>
      </c>
      <c r="CM27" s="1865" t="str">
        <f t="shared" si="40"/>
        <v>* El total de Procesados debe ser mayor o igual al total de Reactivos en el grupo de edad 20 - 24 años</v>
      </c>
      <c r="CN27" s="1865" t="str">
        <f t="shared" si="35"/>
        <v>* El total de Procesados debe ser mayor o igual al total de Reactivos en el grupo de edad 25 - 29 años</v>
      </c>
      <c r="CO27" s="1865" t="str">
        <f t="shared" si="41"/>
        <v>* El total de Procesados debe ser mayor o igual al total de Reactivos en el grupo de edad 30 - 34 años</v>
      </c>
      <c r="CP27" s="1865" t="str">
        <f t="shared" si="42"/>
        <v>* El total de Procesados debe ser mayor o igual al total de Reactivos en el grupo de edad 35 - 39 años</v>
      </c>
      <c r="CQ27" s="1865" t="str">
        <f t="shared" si="43"/>
        <v>* El total de Procesados debe ser mayor o igual al total de Reactivos en el grupo de edad 40 - 44 años</v>
      </c>
      <c r="CR27" s="1865" t="str">
        <f t="shared" si="44"/>
        <v>* El total de Procesados debe ser mayor o igual al total de Reactivos en el grupo de edad 45 - 49 años</v>
      </c>
      <c r="CS27" s="1865" t="str">
        <f t="shared" si="45"/>
        <v>* El total de Procesados debe ser mayor o igual al total de Reactivos en el grupo de edad 50 - 54 años</v>
      </c>
      <c r="CT27" s="1865" t="str">
        <f t="shared" si="46"/>
        <v>* El total de Procesados debe ser mayor o igual al total de Reactivos en el grupo de edad 55 - 59 años</v>
      </c>
      <c r="CU27" s="1865" t="str">
        <f t="shared" si="47"/>
        <v>* El total de Procesados debe ser mayor o igual al total de Reactivos en el grupo de edad 60 - 64 años</v>
      </c>
      <c r="CV27" s="1866"/>
      <c r="CW27" s="1866"/>
      <c r="CX27" s="1866"/>
      <c r="CY27" s="1866"/>
      <c r="DF27" s="1936"/>
      <c r="DG27" s="3906" t="e">
        <f t="shared" si="38"/>
        <v>#VALUE!</v>
      </c>
      <c r="DH27" s="3906" t="e">
        <f t="shared" si="18"/>
        <v>#VALUE!</v>
      </c>
      <c r="DI27" s="3906">
        <f t="shared" si="19"/>
        <v>1</v>
      </c>
      <c r="DJ27" s="3906">
        <f t="shared" si="20"/>
        <v>1</v>
      </c>
      <c r="DK27" s="1868"/>
      <c r="DL27" s="1868"/>
      <c r="DM27" s="1868"/>
      <c r="DN27" s="1868"/>
      <c r="DO27" s="1868"/>
      <c r="DP27" s="1866"/>
      <c r="DQ27" s="3906">
        <f t="shared" si="48"/>
        <v>1</v>
      </c>
      <c r="DR27" s="3906">
        <f t="shared" si="49"/>
        <v>1</v>
      </c>
      <c r="DS27" s="3906">
        <f t="shared" si="36"/>
        <v>1</v>
      </c>
      <c r="DT27" s="3906">
        <f t="shared" si="50"/>
        <v>1</v>
      </c>
      <c r="DU27" s="3906">
        <f t="shared" si="51"/>
        <v>1</v>
      </c>
      <c r="DV27" s="3906">
        <f t="shared" si="52"/>
        <v>1</v>
      </c>
      <c r="DW27" s="3906">
        <f t="shared" si="53"/>
        <v>1</v>
      </c>
      <c r="DX27" s="3906">
        <f t="shared" si="54"/>
        <v>1</v>
      </c>
      <c r="DY27" s="3906">
        <f t="shared" si="55"/>
        <v>1</v>
      </c>
      <c r="DZ27" s="3906">
        <f t="shared" si="56"/>
        <v>1</v>
      </c>
      <c r="EA27" s="1866"/>
      <c r="EB27" s="1866"/>
      <c r="EC27" s="1866"/>
      <c r="ED27" s="1866"/>
    </row>
    <row r="28" spans="1:134" x14ac:dyDescent="0.25">
      <c r="A28" s="5601">
        <v>11054100</v>
      </c>
      <c r="B28" s="3907" t="s">
        <v>1881</v>
      </c>
      <c r="C28" s="3908" t="s">
        <v>4567</v>
      </c>
      <c r="D28" s="344" t="s">
        <v>4568</v>
      </c>
      <c r="E28" s="3913" t="s">
        <v>4569</v>
      </c>
      <c r="F28" s="3912" t="s">
        <v>4570</v>
      </c>
      <c r="G28" s="3913" t="s">
        <v>4571</v>
      </c>
      <c r="H28" s="3912" t="s">
        <v>4572</v>
      </c>
      <c r="I28" s="3913" t="s">
        <v>4573</v>
      </c>
      <c r="J28" s="3905" t="s">
        <v>4574</v>
      </c>
      <c r="K28" s="3904" t="s">
        <v>4575</v>
      </c>
      <c r="L28" s="3904" t="s">
        <v>4576</v>
      </c>
      <c r="M28" s="3913" t="s">
        <v>4577</v>
      </c>
      <c r="N28" s="3905" t="s">
        <v>4578</v>
      </c>
      <c r="O28" s="3904" t="s">
        <v>4579</v>
      </c>
      <c r="P28" s="3912" t="s">
        <v>4580</v>
      </c>
      <c r="Q28" s="3913" t="s">
        <v>4581</v>
      </c>
      <c r="R28" s="3912" t="s">
        <v>4582</v>
      </c>
      <c r="S28" s="3913" t="s">
        <v>4583</v>
      </c>
      <c r="T28" s="3912" t="s">
        <v>4584</v>
      </c>
      <c r="U28" s="3913" t="s">
        <v>4585</v>
      </c>
      <c r="V28" s="3912" t="s">
        <v>4586</v>
      </c>
      <c r="W28" s="3913" t="s">
        <v>4587</v>
      </c>
      <c r="X28" s="3912" t="s">
        <v>4588</v>
      </c>
      <c r="Y28" s="3913" t="s">
        <v>4589</v>
      </c>
      <c r="Z28" s="3912" t="s">
        <v>4590</v>
      </c>
      <c r="AA28" s="3913" t="s">
        <v>4591</v>
      </c>
      <c r="AB28" s="3912" t="s">
        <v>4592</v>
      </c>
      <c r="AC28" s="3913" t="s">
        <v>4593</v>
      </c>
      <c r="AD28" s="3912" t="s">
        <v>4594</v>
      </c>
      <c r="AE28" s="3913" t="s">
        <v>4595</v>
      </c>
      <c r="AF28" s="3912" t="s">
        <v>4596</v>
      </c>
      <c r="AG28" s="3913" t="s">
        <v>4597</v>
      </c>
      <c r="AH28" s="3912" t="s">
        <v>4598</v>
      </c>
      <c r="AI28" s="3913" t="s">
        <v>4599</v>
      </c>
      <c r="AJ28" s="3912" t="s">
        <v>4600</v>
      </c>
      <c r="AK28" s="3913" t="s">
        <v>4601</v>
      </c>
      <c r="AL28" s="3912" t="s">
        <v>4602</v>
      </c>
      <c r="AM28" s="3913" t="s">
        <v>4603</v>
      </c>
      <c r="AN28" s="3912" t="s">
        <v>4604</v>
      </c>
      <c r="AO28" s="3913" t="s">
        <v>4605</v>
      </c>
      <c r="AP28" s="3912" t="s">
        <v>4606</v>
      </c>
      <c r="AQ28" s="3913" t="s">
        <v>4934</v>
      </c>
      <c r="AR28" s="3902" t="s">
        <v>4935</v>
      </c>
      <c r="AS28" s="3904" t="s">
        <v>4936</v>
      </c>
      <c r="AT28" s="3902" t="s">
        <v>4937</v>
      </c>
      <c r="AU28" s="3903" t="s">
        <v>5234</v>
      </c>
      <c r="AV28" s="3902" t="s">
        <v>5235</v>
      </c>
      <c r="AW28" s="3904" t="s">
        <v>5236</v>
      </c>
      <c r="AX28" s="3905" t="s">
        <v>5237</v>
      </c>
      <c r="AY28" s="1864" t="e">
        <f>$CB28&amp;CC28&amp;CD28&amp;$CE28&amp;CK28&amp;CL28&amp;CM28&amp;CN28&amp;CO28&amp;CP28&amp;CQ28&amp;CR28&amp;CS28&amp;CT28&amp;CU28&amp;CV28&amp;CW28&amp;CX28&amp;CY28&amp;CF28&amp;CG28&amp;CH28&amp;CI28&amp;CJ28</f>
        <v>#VALUE!</v>
      </c>
      <c r="CB28" s="1865" t="e">
        <f t="shared" si="37"/>
        <v>#VALUE!</v>
      </c>
      <c r="CC28" s="1865" t="e">
        <f t="shared" si="1"/>
        <v>#VALUE!</v>
      </c>
      <c r="CD28" s="1865" t="str">
        <f t="shared" si="2"/>
        <v xml:space="preserve"> *El Número de Pueblos Originarios no puede superar el Total Procesados. </v>
      </c>
      <c r="CE28" s="1865" t="str">
        <f t="shared" si="3"/>
        <v xml:space="preserve"> *El Número de Migrantes no puede superar el Total Procesados. </v>
      </c>
      <c r="CF28" s="1865" t="str">
        <f>IF(E28&lt;F28,CONCATENATE("* El total de Procesados debe ser mayor o igual al total de Reactivos en el grupo de edad ",$E$11),"")</f>
        <v>* El total de Procesados debe ser mayor o igual al total de Reactivos en el grupo de edad Menos de 6 meses</v>
      </c>
      <c r="CG28" s="1865" t="str">
        <f>IF(G28&lt;H28,CONCATENATE("* El total de Procesados debe ser mayor o igual al total de Reactivos en el grupo de edad ",$G$11),"")</f>
        <v>* El total de Procesados debe ser mayor o igual al total de Reactivos en el grupo de edad 6 - 11 meses</v>
      </c>
      <c r="CH28" s="1865" t="str">
        <f>IF(I28&lt;J28,CONCATENATE("* El total de Procesados debe ser mayor o igual al total de Reactivos en el grupo de edad ",$I$11),"")</f>
        <v>* El total de Procesados debe ser mayor o igual al total de Reactivos en el grupo de edad 12-24 meses</v>
      </c>
      <c r="CI28" s="1865" t="str">
        <f>IF(K28&lt;L28,CONCATENATE("* El total de Procesados debe ser mayor o igual al total de Reactivos en el grupo de edad ",$K$11),"")</f>
        <v>* El total de Procesados debe ser mayor o igual al total de Reactivos en el grupo de edad 3 - 4 años</v>
      </c>
      <c r="CJ28" s="1865" t="str">
        <f>IF(M28&lt;N28,CONCATENATE("* El total de Procesados debe ser mayor o igual al total de Reactivos en el grupo de edad ",$M$11),"")</f>
        <v>* El total de Procesados debe ser mayor o igual al total de Reactivos en el grupo de edad 5 - 9 años</v>
      </c>
      <c r="CK28" s="1865" t="str">
        <f>IF(O28&lt;P28,CONCATENATE("* El total de Procesados debe ser mayor o igual al total de Reactivos en el grupo de edad ",$O$11),"")</f>
        <v>* El total de Procesados debe ser mayor o igual al total de Reactivos en el grupo de edad 10 - 14 años</v>
      </c>
      <c r="CL28" s="1865" t="str">
        <f t="shared" si="39"/>
        <v>* El total de Procesados debe ser mayor o igual al total de Reactivos en el grupo de edad 15 - 19 años</v>
      </c>
      <c r="CM28" s="1865" t="str">
        <f t="shared" si="40"/>
        <v>* El total de Procesados debe ser mayor o igual al total de Reactivos en el grupo de edad 20 - 24 años</v>
      </c>
      <c r="CN28" s="1865" t="str">
        <f t="shared" si="35"/>
        <v>* El total de Procesados debe ser mayor o igual al total de Reactivos en el grupo de edad 25 - 29 años</v>
      </c>
      <c r="CO28" s="1865" t="str">
        <f t="shared" si="41"/>
        <v>* El total de Procesados debe ser mayor o igual al total de Reactivos en el grupo de edad 30 - 34 años</v>
      </c>
      <c r="CP28" s="1865" t="str">
        <f t="shared" si="42"/>
        <v>* El total de Procesados debe ser mayor o igual al total de Reactivos en el grupo de edad 35 - 39 años</v>
      </c>
      <c r="CQ28" s="1865" t="str">
        <f t="shared" si="43"/>
        <v>* El total de Procesados debe ser mayor o igual al total de Reactivos en el grupo de edad 40 - 44 años</v>
      </c>
      <c r="CR28" s="1865" t="str">
        <f t="shared" si="44"/>
        <v>* El total de Procesados debe ser mayor o igual al total de Reactivos en el grupo de edad 45 - 49 años</v>
      </c>
      <c r="CS28" s="1865" t="str">
        <f t="shared" si="45"/>
        <v>* El total de Procesados debe ser mayor o igual al total de Reactivos en el grupo de edad 50 - 54 años</v>
      </c>
      <c r="CT28" s="1865" t="str">
        <f t="shared" si="46"/>
        <v>* El total de Procesados debe ser mayor o igual al total de Reactivos en el grupo de edad 55 - 59 años</v>
      </c>
      <c r="CU28" s="1865" t="str">
        <f t="shared" si="47"/>
        <v>* El total de Procesados debe ser mayor o igual al total de Reactivos en el grupo de edad 60 - 64 años</v>
      </c>
      <c r="CV28" s="1865" t="str">
        <f>IF(AK28&lt;AL28,CONCATENATE("* El total de Procesados debe ser mayor o igual al total de Reactivos en el grupo de edad ",$AK$11),"")</f>
        <v>* El total de Procesados debe ser mayor o igual al total de Reactivos en el grupo de edad 65 - 69 años</v>
      </c>
      <c r="CW28" s="1865" t="str">
        <f>IF(AM28&lt;AN28,CONCATENATE("* El total de Procesados debe ser mayor o igual al total de Reactivos en el grupo de edad ",$AM$11),"")</f>
        <v>* El total de Procesados debe ser mayor o igual al total de Reactivos en el grupo de edad 70 - 74 años</v>
      </c>
      <c r="CX28" s="1865" t="str">
        <f>IF(AO28&lt;AP28,CONCATENATE("* El total de Procesados debe ser mayor o igual al total de Reactivos en el grupo de edad ",$AO$11),"")</f>
        <v>* El total de Procesados debe ser mayor o igual al total de Reactivos en el grupo de edad 75 - 79 años</v>
      </c>
      <c r="CY28" s="1865" t="str">
        <f>IF(AQ28&lt;AR28,CONCATENATE("* El total de Procesados debe ser mayor o igual al total de Reactivos en el grupo de edad ",$AQ$11),"")</f>
        <v>* El total de Procesados debe ser mayor o igual al total de Reactivos en el grupo de edad 80 y más años</v>
      </c>
      <c r="DF28" s="1936"/>
      <c r="DG28" s="3906" t="e">
        <f t="shared" si="38"/>
        <v>#VALUE!</v>
      </c>
      <c r="DH28" s="3906" t="e">
        <f t="shared" si="18"/>
        <v>#VALUE!</v>
      </c>
      <c r="DI28" s="3906">
        <f t="shared" si="19"/>
        <v>1</v>
      </c>
      <c r="DJ28" s="3906">
        <f t="shared" si="20"/>
        <v>1</v>
      </c>
      <c r="DK28" s="3906">
        <f>IF(E28&lt;F28,1,0)</f>
        <v>1</v>
      </c>
      <c r="DL28" s="3906">
        <f>IF(G28&lt;H28,1,0)</f>
        <v>1</v>
      </c>
      <c r="DM28" s="3906">
        <f>IF(I28&lt;J28,1,0)</f>
        <v>1</v>
      </c>
      <c r="DN28" s="3906">
        <f>IF(K28&lt;L28,1,0)</f>
        <v>1</v>
      </c>
      <c r="DO28" s="3906">
        <f>IF(M28&lt;N28,1,0)</f>
        <v>1</v>
      </c>
      <c r="DP28" s="3906">
        <f>IF(O28&lt;P28,1,0)</f>
        <v>1</v>
      </c>
      <c r="DQ28" s="3906">
        <f t="shared" si="48"/>
        <v>1</v>
      </c>
      <c r="DR28" s="3906">
        <f t="shared" si="49"/>
        <v>1</v>
      </c>
      <c r="DS28" s="3906">
        <f t="shared" si="36"/>
        <v>1</v>
      </c>
      <c r="DT28" s="3906">
        <f t="shared" si="50"/>
        <v>1</v>
      </c>
      <c r="DU28" s="3906">
        <f t="shared" si="51"/>
        <v>1</v>
      </c>
      <c r="DV28" s="3906">
        <f t="shared" si="52"/>
        <v>1</v>
      </c>
      <c r="DW28" s="3906">
        <f t="shared" si="53"/>
        <v>1</v>
      </c>
      <c r="DX28" s="3906">
        <f t="shared" si="54"/>
        <v>1</v>
      </c>
      <c r="DY28" s="3906">
        <f t="shared" si="55"/>
        <v>1</v>
      </c>
      <c r="DZ28" s="3906">
        <f t="shared" si="56"/>
        <v>1</v>
      </c>
      <c r="EA28" s="3906">
        <f>IF(AK28&lt;AL28,1,0)</f>
        <v>1</v>
      </c>
      <c r="EB28" s="3906">
        <f>IF(AM28&lt;AN28,1,0)</f>
        <v>1</v>
      </c>
      <c r="EC28" s="3906">
        <f>IF(AO28&lt;AP28,1,0)</f>
        <v>1</v>
      </c>
      <c r="ED28" s="3906">
        <f>IF(AQ28&lt;AR28,1,0)</f>
        <v>1</v>
      </c>
    </row>
    <row r="29" spans="1:134" x14ac:dyDescent="0.25">
      <c r="A29" s="5601">
        <v>11054200</v>
      </c>
      <c r="B29" s="3907" t="s">
        <v>1882</v>
      </c>
      <c r="C29" s="3908" t="s">
        <v>4567</v>
      </c>
      <c r="D29" s="344" t="s">
        <v>4568</v>
      </c>
      <c r="E29" s="3913" t="s">
        <v>4569</v>
      </c>
      <c r="F29" s="3912" t="s">
        <v>4570</v>
      </c>
      <c r="G29" s="3913" t="s">
        <v>4571</v>
      </c>
      <c r="H29" s="3912" t="s">
        <v>4572</v>
      </c>
      <c r="I29" s="3913" t="s">
        <v>4573</v>
      </c>
      <c r="J29" s="3905" t="s">
        <v>4574</v>
      </c>
      <c r="K29" s="3904" t="s">
        <v>4575</v>
      </c>
      <c r="L29" s="3904" t="s">
        <v>4576</v>
      </c>
      <c r="M29" s="3913" t="s">
        <v>4577</v>
      </c>
      <c r="N29" s="3905" t="s">
        <v>4578</v>
      </c>
      <c r="O29" s="3904" t="s">
        <v>4579</v>
      </c>
      <c r="P29" s="3912" t="s">
        <v>4580</v>
      </c>
      <c r="Q29" s="3913" t="s">
        <v>4581</v>
      </c>
      <c r="R29" s="3912" t="s">
        <v>4582</v>
      </c>
      <c r="S29" s="3913" t="s">
        <v>4583</v>
      </c>
      <c r="T29" s="3912" t="s">
        <v>4584</v>
      </c>
      <c r="U29" s="3913" t="s">
        <v>4585</v>
      </c>
      <c r="V29" s="3912" t="s">
        <v>4586</v>
      </c>
      <c r="W29" s="3913" t="s">
        <v>4587</v>
      </c>
      <c r="X29" s="3912" t="s">
        <v>4588</v>
      </c>
      <c r="Y29" s="3913" t="s">
        <v>4589</v>
      </c>
      <c r="Z29" s="3912" t="s">
        <v>4590</v>
      </c>
      <c r="AA29" s="3913" t="s">
        <v>4591</v>
      </c>
      <c r="AB29" s="3912" t="s">
        <v>4592</v>
      </c>
      <c r="AC29" s="3913" t="s">
        <v>4593</v>
      </c>
      <c r="AD29" s="3912" t="s">
        <v>4594</v>
      </c>
      <c r="AE29" s="3913" t="s">
        <v>4595</v>
      </c>
      <c r="AF29" s="3912" t="s">
        <v>4596</v>
      </c>
      <c r="AG29" s="3913" t="s">
        <v>4597</v>
      </c>
      <c r="AH29" s="3912" t="s">
        <v>4598</v>
      </c>
      <c r="AI29" s="3913" t="s">
        <v>4599</v>
      </c>
      <c r="AJ29" s="3912" t="s">
        <v>4600</v>
      </c>
      <c r="AK29" s="3913" t="s">
        <v>4601</v>
      </c>
      <c r="AL29" s="3912" t="s">
        <v>4602</v>
      </c>
      <c r="AM29" s="3913" t="s">
        <v>4603</v>
      </c>
      <c r="AN29" s="3912" t="s">
        <v>4604</v>
      </c>
      <c r="AO29" s="3913" t="s">
        <v>4605</v>
      </c>
      <c r="AP29" s="3912" t="s">
        <v>4606</v>
      </c>
      <c r="AQ29" s="3913" t="s">
        <v>4934</v>
      </c>
      <c r="AR29" s="3902" t="s">
        <v>4935</v>
      </c>
      <c r="AS29" s="3904" t="s">
        <v>4936</v>
      </c>
      <c r="AT29" s="3902" t="s">
        <v>4937</v>
      </c>
      <c r="AU29" s="3903" t="s">
        <v>5234</v>
      </c>
      <c r="AV29" s="3902" t="s">
        <v>5235</v>
      </c>
      <c r="AW29" s="3904" t="s">
        <v>5236</v>
      </c>
      <c r="AX29" s="3905" t="s">
        <v>5237</v>
      </c>
      <c r="AY29" s="1864" t="e">
        <f>$CB29&amp;CC29&amp;CD29&amp;$CE29&amp;CK29&amp;CL29&amp;CM29&amp;CN29&amp;CO29&amp;CP29&amp;CQ29&amp;CR29&amp;CS29&amp;CT29&amp;CU29&amp;CV29&amp;CW29&amp;CX29&amp;CY29&amp;CF29&amp;CG29&amp;CH29&amp;CI29&amp;CJ29</f>
        <v>#VALUE!</v>
      </c>
      <c r="CB29" s="1865" t="e">
        <f t="shared" si="37"/>
        <v>#VALUE!</v>
      </c>
      <c r="CC29" s="1865" t="e">
        <f t="shared" si="1"/>
        <v>#VALUE!</v>
      </c>
      <c r="CD29" s="1865" t="str">
        <f t="shared" si="2"/>
        <v xml:space="preserve"> *El Número de Pueblos Originarios no puede superar el Total Procesados. </v>
      </c>
      <c r="CE29" s="1865" t="str">
        <f t="shared" si="3"/>
        <v xml:space="preserve"> *El Número de Migrantes no puede superar el Total Procesados. </v>
      </c>
      <c r="CF29" s="1865" t="str">
        <f>IF(E29&lt;F29,CONCATENATE("* El total de Procesados debe ser mayor o igual al total de Reactivos en el grupo de edad ",$E$11),"")</f>
        <v>* El total de Procesados debe ser mayor o igual al total de Reactivos en el grupo de edad Menos de 6 meses</v>
      </c>
      <c r="CG29" s="1865" t="str">
        <f>IF(G29&lt;H29,CONCATENATE("* El total de Procesados debe ser mayor o igual al total de Reactivos en el grupo de edad ",$G$11),"")</f>
        <v>* El total de Procesados debe ser mayor o igual al total de Reactivos en el grupo de edad 6 - 11 meses</v>
      </c>
      <c r="CH29" s="1865" t="str">
        <f>IF(I29&lt;J29,CONCATENATE("* El total de Procesados debe ser mayor o igual al total de Reactivos en el grupo de edad ",$I$11),"")</f>
        <v>* El total de Procesados debe ser mayor o igual al total de Reactivos en el grupo de edad 12-24 meses</v>
      </c>
      <c r="CI29" s="1865" t="str">
        <f>IF(K29&lt;L29,CONCATENATE("* El total de Procesados debe ser mayor o igual al total de Reactivos en el grupo de edad ",$K$11),"")</f>
        <v>* El total de Procesados debe ser mayor o igual al total de Reactivos en el grupo de edad 3 - 4 años</v>
      </c>
      <c r="CJ29" s="1865" t="str">
        <f>IF(M29&lt;N29,CONCATENATE("* El total de Procesados debe ser mayor o igual al total de Reactivos en el grupo de edad ",$M$11),"")</f>
        <v>* El total de Procesados debe ser mayor o igual al total de Reactivos en el grupo de edad 5 - 9 años</v>
      </c>
      <c r="CK29" s="1865" t="str">
        <f>IF(O29&lt;P29,CONCATENATE("* El total de Procesados debe ser mayor o igual al total de Reactivos en el grupo de edad ",$O$11),"")</f>
        <v>* El total de Procesados debe ser mayor o igual al total de Reactivos en el grupo de edad 10 - 14 años</v>
      </c>
      <c r="CL29" s="1865" t="str">
        <f t="shared" si="39"/>
        <v>* El total de Procesados debe ser mayor o igual al total de Reactivos en el grupo de edad 15 - 19 años</v>
      </c>
      <c r="CM29" s="1865" t="str">
        <f t="shared" si="40"/>
        <v>* El total de Procesados debe ser mayor o igual al total de Reactivos en el grupo de edad 20 - 24 años</v>
      </c>
      <c r="CN29" s="1865" t="str">
        <f t="shared" si="35"/>
        <v>* El total de Procesados debe ser mayor o igual al total de Reactivos en el grupo de edad 25 - 29 años</v>
      </c>
      <c r="CO29" s="1865" t="str">
        <f t="shared" si="41"/>
        <v>* El total de Procesados debe ser mayor o igual al total de Reactivos en el grupo de edad 30 - 34 años</v>
      </c>
      <c r="CP29" s="1865" t="str">
        <f t="shared" si="42"/>
        <v>* El total de Procesados debe ser mayor o igual al total de Reactivos en el grupo de edad 35 - 39 años</v>
      </c>
      <c r="CQ29" s="1865" t="str">
        <f t="shared" si="43"/>
        <v>* El total de Procesados debe ser mayor o igual al total de Reactivos en el grupo de edad 40 - 44 años</v>
      </c>
      <c r="CR29" s="1865" t="str">
        <f t="shared" si="44"/>
        <v>* El total de Procesados debe ser mayor o igual al total de Reactivos en el grupo de edad 45 - 49 años</v>
      </c>
      <c r="CS29" s="1865" t="str">
        <f t="shared" si="45"/>
        <v>* El total de Procesados debe ser mayor o igual al total de Reactivos en el grupo de edad 50 - 54 años</v>
      </c>
      <c r="CT29" s="1865" t="str">
        <f t="shared" si="46"/>
        <v>* El total de Procesados debe ser mayor o igual al total de Reactivos en el grupo de edad 55 - 59 años</v>
      </c>
      <c r="CU29" s="1865" t="str">
        <f t="shared" si="47"/>
        <v>* El total de Procesados debe ser mayor o igual al total de Reactivos en el grupo de edad 60 - 64 años</v>
      </c>
      <c r="CV29" s="1865" t="str">
        <f>IF(AK29&lt;AL29,CONCATENATE("* El total de Procesados debe ser mayor o igual al total de Reactivos en el grupo de edad ",$AK$11),"")</f>
        <v>* El total de Procesados debe ser mayor o igual al total de Reactivos en el grupo de edad 65 - 69 años</v>
      </c>
      <c r="CW29" s="1865" t="str">
        <f>IF(AM29&lt;AN29,CONCATENATE("* El total de Procesados debe ser mayor o igual al total de Reactivos en el grupo de edad ",$AM$11),"")</f>
        <v>* El total de Procesados debe ser mayor o igual al total de Reactivos en el grupo de edad 70 - 74 años</v>
      </c>
      <c r="CX29" s="1865" t="str">
        <f>IF(AO29&lt;AP29,CONCATENATE("* El total de Procesados debe ser mayor o igual al total de Reactivos en el grupo de edad ",$AO$11),"")</f>
        <v>* El total de Procesados debe ser mayor o igual al total de Reactivos en el grupo de edad 75 - 79 años</v>
      </c>
      <c r="CY29" s="1865" t="str">
        <f>IF(AQ29&lt;AR29,CONCATENATE("* El total de Procesados debe ser mayor o igual al total de Reactivos en el grupo de edad ",$AQ$11),"")</f>
        <v>* El total de Procesados debe ser mayor o igual al total de Reactivos en el grupo de edad 80 y más años</v>
      </c>
      <c r="DF29" s="1936"/>
      <c r="DG29" s="3906" t="e">
        <f t="shared" si="38"/>
        <v>#VALUE!</v>
      </c>
      <c r="DH29" s="3906" t="e">
        <f t="shared" si="18"/>
        <v>#VALUE!</v>
      </c>
      <c r="DI29" s="3906">
        <f t="shared" si="19"/>
        <v>1</v>
      </c>
      <c r="DJ29" s="3906">
        <f t="shared" si="20"/>
        <v>1</v>
      </c>
      <c r="DK29" s="3906">
        <f>IF(E29&lt;F29,1,0)</f>
        <v>1</v>
      </c>
      <c r="DL29" s="3906">
        <f>IF(G29&lt;H29,1,0)</f>
        <v>1</v>
      </c>
      <c r="DM29" s="3906">
        <f>IF(I29&lt;J29,1,0)</f>
        <v>1</v>
      </c>
      <c r="DN29" s="3906">
        <f>IF(K29&lt;L29,1,0)</f>
        <v>1</v>
      </c>
      <c r="DO29" s="3906">
        <f>IF(M29&lt;N29,1,0)</f>
        <v>1</v>
      </c>
      <c r="DP29" s="3906">
        <f>IF(O29&lt;P29,1,0)</f>
        <v>1</v>
      </c>
      <c r="DQ29" s="3906">
        <f t="shared" si="48"/>
        <v>1</v>
      </c>
      <c r="DR29" s="3906">
        <f t="shared" si="49"/>
        <v>1</v>
      </c>
      <c r="DS29" s="3906">
        <f t="shared" si="36"/>
        <v>1</v>
      </c>
      <c r="DT29" s="3906">
        <f t="shared" si="50"/>
        <v>1</v>
      </c>
      <c r="DU29" s="3906">
        <f t="shared" si="51"/>
        <v>1</v>
      </c>
      <c r="DV29" s="3906">
        <f t="shared" si="52"/>
        <v>1</v>
      </c>
      <c r="DW29" s="3906">
        <f t="shared" si="53"/>
        <v>1</v>
      </c>
      <c r="DX29" s="3906">
        <f t="shared" si="54"/>
        <v>1</v>
      </c>
      <c r="DY29" s="3906">
        <f t="shared" si="55"/>
        <v>1</v>
      </c>
      <c r="DZ29" s="3906">
        <f t="shared" si="56"/>
        <v>1</v>
      </c>
      <c r="EA29" s="3906">
        <f>IF(AK29&lt;AL29,1,0)</f>
        <v>1</v>
      </c>
      <c r="EB29" s="3906">
        <f>IF(AM29&lt;AN29,1,0)</f>
        <v>1</v>
      </c>
      <c r="EC29" s="3906">
        <f>IF(AO29&lt;AP29,1,0)</f>
        <v>1</v>
      </c>
      <c r="ED29" s="3906">
        <f>IF(AQ29&lt;AR29,1,0)</f>
        <v>1</v>
      </c>
    </row>
    <row r="30" spans="1:134" x14ac:dyDescent="0.25">
      <c r="A30" s="5609">
        <v>11054201</v>
      </c>
      <c r="B30" s="3345" t="s">
        <v>1883</v>
      </c>
      <c r="C30" s="1058" t="s">
        <v>4567</v>
      </c>
      <c r="D30" s="3346" t="s">
        <v>4568</v>
      </c>
      <c r="E30" s="853" t="s">
        <v>4569</v>
      </c>
      <c r="F30" s="1873" t="s">
        <v>4570</v>
      </c>
      <c r="G30" s="853" t="s">
        <v>4571</v>
      </c>
      <c r="H30" s="1873" t="s">
        <v>4572</v>
      </c>
      <c r="I30" s="853" t="s">
        <v>4573</v>
      </c>
      <c r="J30" s="1975" t="s">
        <v>4574</v>
      </c>
      <c r="K30" s="1877" t="s">
        <v>4575</v>
      </c>
      <c r="L30" s="1877" t="s">
        <v>4576</v>
      </c>
      <c r="M30" s="853" t="s">
        <v>4577</v>
      </c>
      <c r="N30" s="1975" t="s">
        <v>4578</v>
      </c>
      <c r="O30" s="1877" t="s">
        <v>4579</v>
      </c>
      <c r="P30" s="1873" t="s">
        <v>4580</v>
      </c>
      <c r="Q30" s="853" t="s">
        <v>4581</v>
      </c>
      <c r="R30" s="1873" t="s">
        <v>4582</v>
      </c>
      <c r="S30" s="853" t="s">
        <v>4583</v>
      </c>
      <c r="T30" s="1873" t="s">
        <v>4584</v>
      </c>
      <c r="U30" s="853" t="s">
        <v>4585</v>
      </c>
      <c r="V30" s="1873" t="s">
        <v>4586</v>
      </c>
      <c r="W30" s="853" t="s">
        <v>4587</v>
      </c>
      <c r="X30" s="1873" t="s">
        <v>4588</v>
      </c>
      <c r="Y30" s="853" t="s">
        <v>4589</v>
      </c>
      <c r="Z30" s="1873" t="s">
        <v>4590</v>
      </c>
      <c r="AA30" s="853" t="s">
        <v>4591</v>
      </c>
      <c r="AB30" s="1873" t="s">
        <v>4592</v>
      </c>
      <c r="AC30" s="853" t="s">
        <v>4593</v>
      </c>
      <c r="AD30" s="1873" t="s">
        <v>4594</v>
      </c>
      <c r="AE30" s="853" t="s">
        <v>4595</v>
      </c>
      <c r="AF30" s="1873" t="s">
        <v>4596</v>
      </c>
      <c r="AG30" s="853" t="s">
        <v>4597</v>
      </c>
      <c r="AH30" s="1873" t="s">
        <v>4598</v>
      </c>
      <c r="AI30" s="853" t="s">
        <v>4599</v>
      </c>
      <c r="AJ30" s="1873" t="s">
        <v>4600</v>
      </c>
      <c r="AK30" s="853" t="s">
        <v>4601</v>
      </c>
      <c r="AL30" s="1873" t="s">
        <v>4602</v>
      </c>
      <c r="AM30" s="853" t="s">
        <v>4603</v>
      </c>
      <c r="AN30" s="1873" t="s">
        <v>4604</v>
      </c>
      <c r="AO30" s="853" t="s">
        <v>4605</v>
      </c>
      <c r="AP30" s="1873" t="s">
        <v>4606</v>
      </c>
      <c r="AQ30" s="853" t="s">
        <v>4934</v>
      </c>
      <c r="AR30" s="1919" t="s">
        <v>4935</v>
      </c>
      <c r="AS30" s="1877" t="s">
        <v>4936</v>
      </c>
      <c r="AT30" s="1919" t="s">
        <v>4937</v>
      </c>
      <c r="AU30" s="1879" t="s">
        <v>5234</v>
      </c>
      <c r="AV30" s="1919" t="s">
        <v>5235</v>
      </c>
      <c r="AW30" s="1877" t="s">
        <v>5236</v>
      </c>
      <c r="AX30" s="1975" t="s">
        <v>5237</v>
      </c>
      <c r="AY30" s="1864" t="e">
        <f>$CB30&amp;CC30&amp;CD30&amp;$CE30&amp;CK30&amp;CL30&amp;CM30&amp;CN30&amp;CO30&amp;CP30&amp;CQ30&amp;CR30&amp;CS30&amp;CT30&amp;CU30&amp;CV30&amp;CW30&amp;CX30&amp;CY30&amp;CF30&amp;CG30&amp;CH30&amp;CI30&amp;CJ30</f>
        <v>#VALUE!</v>
      </c>
      <c r="CB30" s="1865" t="e">
        <f t="shared" si="37"/>
        <v>#VALUE!</v>
      </c>
      <c r="CC30" s="1865" t="e">
        <f t="shared" si="1"/>
        <v>#VALUE!</v>
      </c>
      <c r="CD30" s="1865" t="str">
        <f t="shared" si="2"/>
        <v xml:space="preserve"> *El Número de Pueblos Originarios no puede superar el Total Procesados. </v>
      </c>
      <c r="CE30" s="1865" t="str">
        <f t="shared" si="3"/>
        <v xml:space="preserve"> *El Número de Migrantes no puede superar el Total Procesados. </v>
      </c>
      <c r="CF30" s="1865" t="str">
        <f>IF(E30&lt;F30,CONCATENATE("* El total de Procesados debe ser mayor o igual al total de Reactivos en el grupo de edad ",$E$11),"")</f>
        <v>* El total de Procesados debe ser mayor o igual al total de Reactivos en el grupo de edad Menos de 6 meses</v>
      </c>
      <c r="CG30" s="1865" t="str">
        <f>IF(G30&lt;H30,CONCATENATE("* El total de Procesados debe ser mayor o igual al total de Reactivos en el grupo de edad ",$G$11),"")</f>
        <v>* El total de Procesados debe ser mayor o igual al total de Reactivos en el grupo de edad 6 - 11 meses</v>
      </c>
      <c r="CH30" s="1865" t="str">
        <f>IF(I30&lt;J30,CONCATENATE("* El total de Procesados debe ser mayor o igual al total de Reactivos en el grupo de edad ",$I$11),"")</f>
        <v>* El total de Procesados debe ser mayor o igual al total de Reactivos en el grupo de edad 12-24 meses</v>
      </c>
      <c r="CI30" s="1865" t="str">
        <f>IF(K30&lt;L30,CONCATENATE("* El total de Procesados debe ser mayor o igual al total de Reactivos en el grupo de edad ",$K$11),"")</f>
        <v>* El total de Procesados debe ser mayor o igual al total de Reactivos en el grupo de edad 3 - 4 años</v>
      </c>
      <c r="CJ30" s="1865" t="str">
        <f>IF(M30&lt;N30,CONCATENATE("* El total de Procesados debe ser mayor o igual al total de Reactivos en el grupo de edad ",$M$11),"")</f>
        <v>* El total de Procesados debe ser mayor o igual al total de Reactivos en el grupo de edad 5 - 9 años</v>
      </c>
      <c r="CK30" s="1865" t="str">
        <f>IF(O30&lt;P30,CONCATENATE("* El total de Procesados debe ser mayor o igual al total de Reactivos en el grupo de edad ",$O$11),"")</f>
        <v>* El total de Procesados debe ser mayor o igual al total de Reactivos en el grupo de edad 10 - 14 años</v>
      </c>
      <c r="CL30" s="1865" t="str">
        <f t="shared" si="39"/>
        <v>* El total de Procesados debe ser mayor o igual al total de Reactivos en el grupo de edad 15 - 19 años</v>
      </c>
      <c r="CM30" s="1865" t="str">
        <f t="shared" si="40"/>
        <v>* El total de Procesados debe ser mayor o igual al total de Reactivos en el grupo de edad 20 - 24 años</v>
      </c>
      <c r="CN30" s="1865" t="str">
        <f t="shared" si="35"/>
        <v>* El total de Procesados debe ser mayor o igual al total de Reactivos en el grupo de edad 25 - 29 años</v>
      </c>
      <c r="CO30" s="1865" t="str">
        <f t="shared" si="41"/>
        <v>* El total de Procesados debe ser mayor o igual al total de Reactivos en el grupo de edad 30 - 34 años</v>
      </c>
      <c r="CP30" s="1865" t="str">
        <f t="shared" si="42"/>
        <v>* El total de Procesados debe ser mayor o igual al total de Reactivos en el grupo de edad 35 - 39 años</v>
      </c>
      <c r="CQ30" s="1865" t="str">
        <f t="shared" si="43"/>
        <v>* El total de Procesados debe ser mayor o igual al total de Reactivos en el grupo de edad 40 - 44 años</v>
      </c>
      <c r="CR30" s="1865" t="str">
        <f t="shared" si="44"/>
        <v>* El total de Procesados debe ser mayor o igual al total de Reactivos en el grupo de edad 45 - 49 años</v>
      </c>
      <c r="CS30" s="1865" t="str">
        <f t="shared" si="45"/>
        <v>* El total de Procesados debe ser mayor o igual al total de Reactivos en el grupo de edad 50 - 54 años</v>
      </c>
      <c r="CT30" s="1865" t="str">
        <f t="shared" si="46"/>
        <v>* El total de Procesados debe ser mayor o igual al total de Reactivos en el grupo de edad 55 - 59 años</v>
      </c>
      <c r="CU30" s="1865" t="str">
        <f t="shared" si="47"/>
        <v>* El total de Procesados debe ser mayor o igual al total de Reactivos en el grupo de edad 60 - 64 años</v>
      </c>
      <c r="CV30" s="1865" t="str">
        <f>IF(AK30&lt;AL30,CONCATENATE("* El total de Procesados debe ser mayor o igual al total de Reactivos en el grupo de edad ",$AK$11),"")</f>
        <v>* El total de Procesados debe ser mayor o igual al total de Reactivos en el grupo de edad 65 - 69 años</v>
      </c>
      <c r="CW30" s="1865" t="str">
        <f>IF(AM30&lt;AN30,CONCATENATE("* El total de Procesados debe ser mayor o igual al total de Reactivos en el grupo de edad ",$AM$11),"")</f>
        <v>* El total de Procesados debe ser mayor o igual al total de Reactivos en el grupo de edad 70 - 74 años</v>
      </c>
      <c r="CX30" s="1865" t="str">
        <f>IF(AO30&lt;AP30,CONCATENATE("* El total de Procesados debe ser mayor o igual al total de Reactivos en el grupo de edad ",$AO$11),"")</f>
        <v>* El total de Procesados debe ser mayor o igual al total de Reactivos en el grupo de edad 75 - 79 años</v>
      </c>
      <c r="CY30" s="1865" t="str">
        <f>IF(AQ30&lt;AR30,CONCATENATE("* El total de Procesados debe ser mayor o igual al total de Reactivos en el grupo de edad ",$AQ$11),"")</f>
        <v>* El total de Procesados debe ser mayor o igual al total de Reactivos en el grupo de edad 80 y más años</v>
      </c>
      <c r="DF30" s="1936"/>
      <c r="DG30" s="3906" t="e">
        <f t="shared" si="38"/>
        <v>#VALUE!</v>
      </c>
      <c r="DH30" s="3906" t="e">
        <f t="shared" si="18"/>
        <v>#VALUE!</v>
      </c>
      <c r="DI30" s="3906">
        <f t="shared" si="19"/>
        <v>1</v>
      </c>
      <c r="DJ30" s="3906">
        <f t="shared" si="20"/>
        <v>1</v>
      </c>
      <c r="DK30" s="3906">
        <f>IF(E30&lt;F30,1,0)</f>
        <v>1</v>
      </c>
      <c r="DL30" s="3906">
        <f>IF(G30&lt;H30,1,0)</f>
        <v>1</v>
      </c>
      <c r="DM30" s="3906">
        <f>IF(I30&lt;J30,1,0)</f>
        <v>1</v>
      </c>
      <c r="DN30" s="3906">
        <f>IF(K30&lt;L30,1,0)</f>
        <v>1</v>
      </c>
      <c r="DO30" s="3906">
        <f>IF(M30&lt;N30,1,0)</f>
        <v>1</v>
      </c>
      <c r="DP30" s="3906">
        <f>IF(O30&lt;P30,1,0)</f>
        <v>1</v>
      </c>
      <c r="DQ30" s="3906">
        <f t="shared" si="48"/>
        <v>1</v>
      </c>
      <c r="DR30" s="3906">
        <f t="shared" si="49"/>
        <v>1</v>
      </c>
      <c r="DS30" s="3906">
        <f t="shared" si="36"/>
        <v>1</v>
      </c>
      <c r="DT30" s="3906">
        <f t="shared" si="50"/>
        <v>1</v>
      </c>
      <c r="DU30" s="3906">
        <f t="shared" si="51"/>
        <v>1</v>
      </c>
      <c r="DV30" s="3906">
        <f t="shared" si="52"/>
        <v>1</v>
      </c>
      <c r="DW30" s="3906">
        <f t="shared" si="53"/>
        <v>1</v>
      </c>
      <c r="DX30" s="3906">
        <f t="shared" si="54"/>
        <v>1</v>
      </c>
      <c r="DY30" s="3906">
        <f t="shared" si="55"/>
        <v>1</v>
      </c>
      <c r="DZ30" s="3906">
        <f t="shared" si="56"/>
        <v>1</v>
      </c>
      <c r="EA30" s="3906">
        <f>IF(AK30&lt;AL30,1,0)</f>
        <v>1</v>
      </c>
      <c r="EB30" s="3906">
        <f>IF(AM30&lt;AN30,1,0)</f>
        <v>1</v>
      </c>
      <c r="EC30" s="3906">
        <f>IF(AO30&lt;AP30,1,0)</f>
        <v>1</v>
      </c>
      <c r="ED30" s="3906">
        <f>IF(AQ30&lt;AR30,1,0)</f>
        <v>1</v>
      </c>
    </row>
    <row r="31" spans="1:134" ht="18" customHeight="1" x14ac:dyDescent="0.25">
      <c r="A31" s="5797"/>
      <c r="B31" s="3921" t="s">
        <v>1884</v>
      </c>
      <c r="C31" s="3921"/>
      <c r="D31" s="3921"/>
      <c r="E31" s="3921"/>
      <c r="F31" s="3921"/>
      <c r="G31" s="3921"/>
      <c r="H31" s="3921"/>
      <c r="I31" s="3921"/>
      <c r="J31" s="3921"/>
      <c r="K31" s="3921"/>
      <c r="L31" s="3921"/>
      <c r="M31" s="3921"/>
      <c r="N31" s="3921"/>
      <c r="O31" s="3921"/>
      <c r="P31" s="3921"/>
      <c r="Q31" s="3921"/>
      <c r="R31" s="3921"/>
      <c r="S31" s="3921"/>
      <c r="T31" s="3921"/>
      <c r="U31" s="3921"/>
      <c r="V31" s="3921"/>
      <c r="W31" s="3921"/>
      <c r="X31" s="3921"/>
      <c r="Y31" s="3921"/>
      <c r="Z31" s="3921"/>
      <c r="AA31" s="3921"/>
      <c r="AB31" s="3921"/>
      <c r="AC31" s="3921"/>
      <c r="AD31" s="3921"/>
      <c r="AE31" s="3921"/>
      <c r="AF31" s="3921"/>
      <c r="AG31" s="3921"/>
      <c r="AH31" s="3921"/>
      <c r="AI31" s="3921"/>
      <c r="AJ31" s="3921"/>
      <c r="AK31" s="3921"/>
      <c r="AL31" s="3921"/>
      <c r="AM31" s="3921"/>
      <c r="AN31" s="3921"/>
      <c r="AO31" s="3921"/>
      <c r="AP31" s="3921"/>
      <c r="AQ31" s="3921"/>
      <c r="AR31" s="3921"/>
      <c r="AS31" s="1937"/>
      <c r="AT31" s="1937"/>
      <c r="AU31" s="1937"/>
      <c r="AV31" s="1937"/>
      <c r="AW31" s="1937"/>
      <c r="AX31" s="1937"/>
    </row>
    <row r="32" spans="1:134" x14ac:dyDescent="0.25">
      <c r="A32" s="5797"/>
      <c r="B32" s="7105" t="s">
        <v>1860</v>
      </c>
      <c r="C32" s="6491" t="s">
        <v>77</v>
      </c>
      <c r="D32" s="6576"/>
      <c r="E32" s="7107" t="s">
        <v>29</v>
      </c>
      <c r="F32" s="7108"/>
      <c r="G32" s="7108"/>
      <c r="H32" s="7108"/>
      <c r="I32" s="7108"/>
      <c r="J32" s="7108"/>
      <c r="K32" s="7108"/>
      <c r="L32" s="7108"/>
      <c r="M32" s="7108"/>
      <c r="N32" s="7108"/>
      <c r="O32" s="7108"/>
      <c r="P32" s="7108"/>
      <c r="Q32" s="7108"/>
      <c r="R32" s="7108"/>
      <c r="S32" s="7108"/>
      <c r="T32" s="7108"/>
      <c r="U32" s="7108"/>
      <c r="V32" s="7108"/>
      <c r="W32" s="7108"/>
      <c r="X32" s="7108"/>
      <c r="Y32" s="7108"/>
      <c r="Z32" s="7108"/>
      <c r="AA32" s="7108"/>
      <c r="AB32" s="7108"/>
      <c r="AC32" s="7108"/>
      <c r="AD32" s="7108"/>
      <c r="AE32" s="7108"/>
      <c r="AF32" s="7108"/>
      <c r="AG32" s="7108"/>
      <c r="AH32" s="7108"/>
      <c r="AI32" s="7108"/>
      <c r="AJ32" s="7108"/>
      <c r="AK32" s="7108"/>
      <c r="AL32" s="7108"/>
      <c r="AM32" s="7108"/>
      <c r="AN32" s="7108"/>
      <c r="AO32" s="7108"/>
      <c r="AP32" s="7108"/>
      <c r="AQ32" s="7108"/>
      <c r="AR32" s="7109"/>
      <c r="AS32" s="7110" t="s">
        <v>1861</v>
      </c>
      <c r="AT32" s="7111"/>
      <c r="AU32" s="7112" t="s">
        <v>457</v>
      </c>
      <c r="AV32" s="7113"/>
      <c r="AW32" s="6492" t="s">
        <v>36</v>
      </c>
      <c r="AX32" s="6511" t="s">
        <v>37</v>
      </c>
    </row>
    <row r="33" spans="1:134" x14ac:dyDescent="0.25">
      <c r="A33" s="5797"/>
      <c r="B33" s="6023"/>
      <c r="C33" s="6749"/>
      <c r="D33" s="6913"/>
      <c r="E33" s="7116" t="s">
        <v>1862</v>
      </c>
      <c r="F33" s="7110"/>
      <c r="G33" s="7116" t="s">
        <v>935</v>
      </c>
      <c r="H33" s="7110"/>
      <c r="I33" s="7116" t="s">
        <v>1863</v>
      </c>
      <c r="J33" s="7117"/>
      <c r="K33" s="7110" t="s">
        <v>937</v>
      </c>
      <c r="L33" s="7110"/>
      <c r="M33" s="7116" t="s">
        <v>326</v>
      </c>
      <c r="N33" s="7110"/>
      <c r="O33" s="7116" t="s">
        <v>94</v>
      </c>
      <c r="P33" s="7110"/>
      <c r="Q33" s="7116" t="s">
        <v>44</v>
      </c>
      <c r="R33" s="7110"/>
      <c r="S33" s="7116" t="s">
        <v>45</v>
      </c>
      <c r="T33" s="7110"/>
      <c r="U33" s="7116" t="s">
        <v>46</v>
      </c>
      <c r="V33" s="7117"/>
      <c r="W33" s="7116" t="s">
        <v>47</v>
      </c>
      <c r="X33" s="7117"/>
      <c r="Y33" s="7116" t="s">
        <v>48</v>
      </c>
      <c r="Z33" s="7117"/>
      <c r="AA33" s="7116" t="s">
        <v>49</v>
      </c>
      <c r="AB33" s="7117"/>
      <c r="AC33" s="7116" t="s">
        <v>50</v>
      </c>
      <c r="AD33" s="7117"/>
      <c r="AE33" s="7116" t="s">
        <v>51</v>
      </c>
      <c r="AF33" s="7117"/>
      <c r="AG33" s="7116" t="s">
        <v>52</v>
      </c>
      <c r="AH33" s="7117"/>
      <c r="AI33" s="7116" t="s">
        <v>53</v>
      </c>
      <c r="AJ33" s="7117"/>
      <c r="AK33" s="7116" t="s">
        <v>54</v>
      </c>
      <c r="AL33" s="7117"/>
      <c r="AM33" s="7116" t="s">
        <v>55</v>
      </c>
      <c r="AN33" s="7117"/>
      <c r="AO33" s="7116" t="s">
        <v>56</v>
      </c>
      <c r="AP33" s="7117"/>
      <c r="AQ33" s="7116" t="s">
        <v>57</v>
      </c>
      <c r="AR33" s="7111"/>
      <c r="AS33" s="6492" t="s">
        <v>58</v>
      </c>
      <c r="AT33" s="7119" t="s">
        <v>59</v>
      </c>
      <c r="AU33" s="7114"/>
      <c r="AV33" s="7115"/>
      <c r="AW33" s="7118"/>
      <c r="AX33" s="6027"/>
    </row>
    <row r="34" spans="1:134" x14ac:dyDescent="0.25">
      <c r="A34" s="5797"/>
      <c r="B34" s="6739"/>
      <c r="C34" s="3897" t="s">
        <v>1864</v>
      </c>
      <c r="D34" s="3896" t="s">
        <v>1865</v>
      </c>
      <c r="E34" s="3894" t="s">
        <v>1864</v>
      </c>
      <c r="F34" s="3895" t="s">
        <v>1865</v>
      </c>
      <c r="G34" s="3894" t="s">
        <v>1864</v>
      </c>
      <c r="H34" s="3895" t="s">
        <v>1865</v>
      </c>
      <c r="I34" s="3894" t="s">
        <v>1864</v>
      </c>
      <c r="J34" s="3896" t="s">
        <v>1865</v>
      </c>
      <c r="K34" s="3897" t="s">
        <v>1864</v>
      </c>
      <c r="L34" s="3895" t="s">
        <v>1865</v>
      </c>
      <c r="M34" s="3894" t="s">
        <v>1864</v>
      </c>
      <c r="N34" s="3895" t="s">
        <v>1865</v>
      </c>
      <c r="O34" s="3894" t="s">
        <v>1864</v>
      </c>
      <c r="P34" s="3895" t="s">
        <v>1865</v>
      </c>
      <c r="Q34" s="3894" t="s">
        <v>1864</v>
      </c>
      <c r="R34" s="3895" t="s">
        <v>1865</v>
      </c>
      <c r="S34" s="3894" t="s">
        <v>1864</v>
      </c>
      <c r="T34" s="3895" t="s">
        <v>1865</v>
      </c>
      <c r="U34" s="3894" t="s">
        <v>1864</v>
      </c>
      <c r="V34" s="3895" t="s">
        <v>1865</v>
      </c>
      <c r="W34" s="3894" t="s">
        <v>1864</v>
      </c>
      <c r="X34" s="3895" t="s">
        <v>1865</v>
      </c>
      <c r="Y34" s="3894" t="s">
        <v>1864</v>
      </c>
      <c r="Z34" s="3895" t="s">
        <v>1865</v>
      </c>
      <c r="AA34" s="3894" t="s">
        <v>1864</v>
      </c>
      <c r="AB34" s="3895" t="s">
        <v>1865</v>
      </c>
      <c r="AC34" s="3894" t="s">
        <v>1864</v>
      </c>
      <c r="AD34" s="3895" t="s">
        <v>1865</v>
      </c>
      <c r="AE34" s="3894" t="s">
        <v>1864</v>
      </c>
      <c r="AF34" s="3895" t="s">
        <v>1865</v>
      </c>
      <c r="AG34" s="3894" t="s">
        <v>1864</v>
      </c>
      <c r="AH34" s="3895" t="s">
        <v>1865</v>
      </c>
      <c r="AI34" s="3894" t="s">
        <v>1864</v>
      </c>
      <c r="AJ34" s="3895" t="s">
        <v>1865</v>
      </c>
      <c r="AK34" s="3894" t="s">
        <v>1864</v>
      </c>
      <c r="AL34" s="3895" t="s">
        <v>1865</v>
      </c>
      <c r="AM34" s="3894" t="s">
        <v>1864</v>
      </c>
      <c r="AN34" s="3895" t="s">
        <v>1865</v>
      </c>
      <c r="AO34" s="3894" t="s">
        <v>1864</v>
      </c>
      <c r="AP34" s="3895" t="s">
        <v>1865</v>
      </c>
      <c r="AQ34" s="3894" t="s">
        <v>1864</v>
      </c>
      <c r="AR34" s="3898" t="s">
        <v>1865</v>
      </c>
      <c r="AS34" s="6894"/>
      <c r="AT34" s="6224"/>
      <c r="AU34" s="1750" t="s">
        <v>462</v>
      </c>
      <c r="AV34" s="1797" t="s">
        <v>463</v>
      </c>
      <c r="AW34" s="6894"/>
      <c r="AX34" s="6955"/>
    </row>
    <row r="35" spans="1:134" x14ac:dyDescent="0.25">
      <c r="A35" s="5601">
        <v>11054202</v>
      </c>
      <c r="B35" s="909" t="s">
        <v>1866</v>
      </c>
      <c r="C35" s="3225" t="s">
        <v>4567</v>
      </c>
      <c r="D35" s="3900" t="s">
        <v>4568</v>
      </c>
      <c r="E35" s="3918" t="s">
        <v>4569</v>
      </c>
      <c r="F35" s="3910" t="s">
        <v>4570</v>
      </c>
      <c r="G35" s="3909" t="s">
        <v>4571</v>
      </c>
      <c r="H35" s="3910" t="s">
        <v>4572</v>
      </c>
      <c r="I35" s="3909" t="s">
        <v>4573</v>
      </c>
      <c r="J35" s="3910" t="s">
        <v>4574</v>
      </c>
      <c r="K35" s="3909" t="s">
        <v>4575</v>
      </c>
      <c r="L35" s="3910" t="s">
        <v>4576</v>
      </c>
      <c r="M35" s="3909" t="s">
        <v>4577</v>
      </c>
      <c r="N35" s="3911" t="s">
        <v>4578</v>
      </c>
      <c r="O35" s="3904" t="s">
        <v>4579</v>
      </c>
      <c r="P35" s="3912" t="s">
        <v>4580</v>
      </c>
      <c r="Q35" s="3913" t="s">
        <v>4581</v>
      </c>
      <c r="R35" s="3912" t="s">
        <v>4582</v>
      </c>
      <c r="S35" s="3913" t="s">
        <v>4583</v>
      </c>
      <c r="T35" s="3912" t="s">
        <v>4584</v>
      </c>
      <c r="U35" s="3913" t="s">
        <v>4585</v>
      </c>
      <c r="V35" s="3912" t="s">
        <v>4586</v>
      </c>
      <c r="W35" s="3913" t="s">
        <v>4587</v>
      </c>
      <c r="X35" s="3912" t="s">
        <v>4588</v>
      </c>
      <c r="Y35" s="3913" t="s">
        <v>4589</v>
      </c>
      <c r="Z35" s="3912" t="s">
        <v>4590</v>
      </c>
      <c r="AA35" s="3913" t="s">
        <v>4591</v>
      </c>
      <c r="AB35" s="3912" t="s">
        <v>4592</v>
      </c>
      <c r="AC35" s="3913" t="s">
        <v>4593</v>
      </c>
      <c r="AD35" s="3912" t="s">
        <v>4594</v>
      </c>
      <c r="AE35" s="3913" t="s">
        <v>4595</v>
      </c>
      <c r="AF35" s="3912" t="s">
        <v>4596</v>
      </c>
      <c r="AG35" s="3913" t="s">
        <v>4597</v>
      </c>
      <c r="AH35" s="3912" t="s">
        <v>4598</v>
      </c>
      <c r="AI35" s="3913" t="s">
        <v>4599</v>
      </c>
      <c r="AJ35" s="3912" t="s">
        <v>4600</v>
      </c>
      <c r="AK35" s="3913" t="s">
        <v>4601</v>
      </c>
      <c r="AL35" s="3912" t="s">
        <v>4602</v>
      </c>
      <c r="AM35" s="3913" t="s">
        <v>4603</v>
      </c>
      <c r="AN35" s="3912" t="s">
        <v>4604</v>
      </c>
      <c r="AO35" s="3913" t="s">
        <v>4605</v>
      </c>
      <c r="AP35" s="3912" t="s">
        <v>4606</v>
      </c>
      <c r="AQ35" s="3913" t="s">
        <v>4934</v>
      </c>
      <c r="AR35" s="3902" t="s">
        <v>4935</v>
      </c>
      <c r="AS35" s="3901" t="s">
        <v>4936</v>
      </c>
      <c r="AT35" s="3902" t="s">
        <v>4937</v>
      </c>
      <c r="AU35" s="3903" t="s">
        <v>5234</v>
      </c>
      <c r="AV35" s="3902" t="s">
        <v>5235</v>
      </c>
      <c r="AW35" s="3904" t="s">
        <v>5236</v>
      </c>
      <c r="AX35" s="3905" t="s">
        <v>5237</v>
      </c>
      <c r="AY35" s="1864" t="e">
        <f t="shared" ref="AY35:AY42" si="57">$CB35&amp;CC35&amp;CD35&amp;$CE35&amp;CK35&amp;CL35&amp;CM35&amp;CN35&amp;CO35&amp;CP35&amp;CQ35&amp;CR35&amp;CS35&amp;CT35&amp;CU35&amp;CV35&amp;CW35&amp;CX35&amp;CY35</f>
        <v>#VALUE!</v>
      </c>
      <c r="CB35" s="1865" t="str">
        <f>IF(C35&lt;&gt;(AT35)," * La suma de las columnas "&amp;AS$10&amp;""&amp;" DEBE SER IGUAL a los Exámenes Procesados. ","")</f>
        <v xml:space="preserve"> * La suma de las columnas POR SEXO (Procesados) DEBE SER IGUAL a los Exámenes Procesados. </v>
      </c>
      <c r="CC35" s="1865" t="e">
        <f t="shared" ref="CC35:CC51" si="58">IF(AND($C35&gt;0,AND(AU35="",AV35="")),"* No olvide ingresar las columnas Trans Masculino o Femenino (*Digite CERO si no tiene). ",IF((AU35+AV35)&gt;$C35,"* El Número de Trans Masculino o Femenino no puede superar el Total Procesados. ",""))</f>
        <v>#VALUE!</v>
      </c>
      <c r="CD35" s="1865" t="str">
        <f t="shared" ref="CD35:CD51" si="59">IF(AND($C35&gt;0,AW35=""),"* No olvide ingresar la columna "&amp;AW$10&amp;""&amp;" *(Digite CERO si no tiene). ",IF(AW35&gt;$C35," *El Número de "&amp;AW$10&amp;""&amp;" no puede superar el Total Procesados. ",""))</f>
        <v xml:space="preserve"> *El Número de Pueblos Originarios no puede superar el Total Procesados. </v>
      </c>
      <c r="CE35" s="1865" t="str">
        <f t="shared" ref="CE35:CE51" si="60">IF(AND($C35&gt;0,AX35=""),"* No olvide ingresar la columna "&amp;AX$10&amp;""&amp;" *(Digite CERO si no tiene). ",IF(AX35&gt;$C35," *El Número de "&amp;AX$10&amp;""&amp;" no puede superar el Total Procesados. ",""))</f>
        <v xml:space="preserve"> *El Número de Migrantes no puede superar el Total Procesados. </v>
      </c>
      <c r="CF35" s="1866"/>
      <c r="CG35" s="1866"/>
      <c r="CH35" s="1866"/>
      <c r="CI35" s="1866"/>
      <c r="CJ35" s="1866"/>
      <c r="CK35" s="1865" t="str">
        <f t="shared" ref="CK35:CK43" si="61">IF(O35&lt;P35,CONCATENATE("* El total de Procesados debe ser mayor o igual al total de Reactivos en el grupo de edad ",$O$11),"")</f>
        <v>* El total de Procesados debe ser mayor o igual al total de Reactivos en el grupo de edad 10 - 14 años</v>
      </c>
      <c r="CL35" s="1865" t="str">
        <f t="shared" ref="CL35:CL43" si="62">IF(Q35&lt;R35,CONCATENATE("* El total de Procesados debe ser mayor o igual al total de Reactivos en el grupo de edad ",$Q$11),"")</f>
        <v>* El total de Procesados debe ser mayor o igual al total de Reactivos en el grupo de edad 15 - 19 años</v>
      </c>
      <c r="CM35" s="1865" t="str">
        <f t="shared" ref="CM35:CM43" si="63">IF(S35&lt;T35,CONCATENATE("* El total de Procesados debe ser mayor o igual al total de Reactivos en el grupo de edad ",$S$11),"")</f>
        <v>* El total de Procesados debe ser mayor o igual al total de Reactivos en el grupo de edad 20 - 24 años</v>
      </c>
      <c r="CN35" s="1865" t="str">
        <f t="shared" ref="CN35:CN43" si="64">IF($U35&lt;$V35,CONCATENATE("* El total de Procesados debe ser mayor o igual al total de Reactivos en el grupo de edad ",$U$11),"")</f>
        <v>* El total de Procesados debe ser mayor o igual al total de Reactivos en el grupo de edad 25 - 29 años</v>
      </c>
      <c r="CO35" s="1865" t="str">
        <f t="shared" ref="CO35:CO43" si="65">IF(W35&lt;X35,CONCATENATE("* El total de Procesados debe ser mayor o igual al total de Reactivos en el grupo de edad ",$W$11),"")</f>
        <v>* El total de Procesados debe ser mayor o igual al total de Reactivos en el grupo de edad 30 - 34 años</v>
      </c>
      <c r="CP35" s="1865" t="str">
        <f t="shared" ref="CP35:CP43" si="66">IF(Y35&lt;Z35,CONCATENATE("* El total de Procesados debe ser mayor o igual al total de Reactivos en el grupo de edad ",$Y$11),"")</f>
        <v>* El total de Procesados debe ser mayor o igual al total de Reactivos en el grupo de edad 35 - 39 años</v>
      </c>
      <c r="CQ35" s="1865" t="str">
        <f t="shared" ref="CQ35:CQ43" si="67">IF(AA35&lt;AB35,CONCATENATE("* El total de Procesados debe ser mayor o igual al total de Reactivos en el grupo de edad ",$AA$11),"")</f>
        <v>* El total de Procesados debe ser mayor o igual al total de Reactivos en el grupo de edad 40 - 44 años</v>
      </c>
      <c r="CR35" s="1865" t="str">
        <f t="shared" ref="CR35:CR43" si="68">IF(AC35&lt;AD35,CONCATENATE("* El total de Procesados debe ser mayor o igual al total de Reactivos en el grupo de edad ",$AC$11),"")</f>
        <v>* El total de Procesados debe ser mayor o igual al total de Reactivos en el grupo de edad 45 - 49 años</v>
      </c>
      <c r="CS35" s="1865" t="str">
        <f t="shared" ref="CS35:CS43" si="69">IF(AE35&lt;AF35,CONCATENATE("* El total de Procesados debe ser mayor o igual al total de Reactivos en el grupo de edad ",$AE$11),"")</f>
        <v>* El total de Procesados debe ser mayor o igual al total de Reactivos en el grupo de edad 50 - 54 años</v>
      </c>
      <c r="CT35" s="1865" t="str">
        <f t="shared" ref="CT35:CT43" si="70">IF(AG35&lt;AH35,CONCATENATE("* El total de Procesados debe ser mayor o igual al total de Reactivos en el grupo de edad ",$AG$11),"")</f>
        <v>* El total de Procesados debe ser mayor o igual al total de Reactivos en el grupo de edad 55 - 59 años</v>
      </c>
      <c r="CU35" s="1865" t="str">
        <f t="shared" ref="CU35:CU43" si="71">IF(AI35&lt;AJ35,CONCATENATE("* El total de Procesados debe ser mayor o igual al total de Reactivos en el grupo de edad ",$AI$11),"")</f>
        <v>* El total de Procesados debe ser mayor o igual al total de Reactivos en el grupo de edad 60 - 64 años</v>
      </c>
      <c r="CV35" s="1865" t="str">
        <f t="shared" ref="CV35:CV43" si="72">IF(AK35&lt;AL35,CONCATENATE("* El total de Procesados debe ser mayor o igual al total de Reactivos en el grupo de edad ",$AK$11),"")</f>
        <v>* El total de Procesados debe ser mayor o igual al total de Reactivos en el grupo de edad 65 - 69 años</v>
      </c>
      <c r="CW35" s="1865" t="str">
        <f t="shared" ref="CW35:CW43" si="73">IF(AM35&lt;AN35,CONCATENATE("* El total de Procesados debe ser mayor o igual al total de Reactivos en el grupo de edad ",$AM$11),"")</f>
        <v>* El total de Procesados debe ser mayor o igual al total de Reactivos en el grupo de edad 70 - 74 años</v>
      </c>
      <c r="CX35" s="1865" t="str">
        <f t="shared" ref="CX35:CX43" si="74">IF(AO35&lt;AP35,CONCATENATE("* El total de Procesados debe ser mayor o igual al total de Reactivos en el grupo de edad ",$AO$11),"")</f>
        <v>* El total de Procesados debe ser mayor o igual al total de Reactivos en el grupo de edad 75 - 79 años</v>
      </c>
      <c r="CY35" s="1865" t="str">
        <f t="shared" ref="CY35:CY43" si="75">IF(AQ35&lt;AR35,CONCATENATE("* El total de Procesados debe ser mayor o igual al total de Reactivos en el grupo de edad ",$AQ$11),"")</f>
        <v>* El total de Procesados debe ser mayor o igual al total de Reactivos en el grupo de edad 80 y más años</v>
      </c>
      <c r="DF35" s="1936"/>
      <c r="DG35" s="3922">
        <f>IF(C35&lt;&gt;(AT35),1,0)</f>
        <v>1</v>
      </c>
      <c r="DH35" s="3906" t="e">
        <f t="shared" ref="DH35:DH51" si="76">IF(AND($C35&gt;0,AND(AU35="",AV35="")),1,IF((AU35+AV35)&gt;$C35,1,0))</f>
        <v>#VALUE!</v>
      </c>
      <c r="DI35" s="3906">
        <f t="shared" ref="DI35:DI51" si="77">IF(AND($C35&gt;0,AW35=""),1,IF(AW35&gt;$C35,1,0))</f>
        <v>1</v>
      </c>
      <c r="DJ35" s="3906">
        <f t="shared" ref="DJ35:DJ51" si="78">IF(AND($C35&gt;0,AX35=""),1,IF(AX35&gt;$C35,1,0))</f>
        <v>1</v>
      </c>
      <c r="DK35" s="1866"/>
      <c r="DL35" s="1866"/>
      <c r="DM35" s="1866"/>
      <c r="DN35" s="1866"/>
      <c r="DO35" s="1866"/>
      <c r="DP35" s="3906">
        <f t="shared" ref="DP35:DP43" si="79">IF(O35&lt;P35,1,0)</f>
        <v>1</v>
      </c>
      <c r="DQ35" s="3906">
        <f t="shared" ref="DQ35:DQ43" si="80">IF(Q35&lt;R35,1,0)</f>
        <v>1</v>
      </c>
      <c r="DR35" s="3906">
        <f t="shared" ref="DR35:DR43" si="81">IF(S35&lt;T35,1,0)</f>
        <v>1</v>
      </c>
      <c r="DS35" s="3906">
        <f t="shared" ref="DS35:DS43" si="82">IF($U35&lt;$V35,1,0)</f>
        <v>1</v>
      </c>
      <c r="DT35" s="3906">
        <f t="shared" ref="DT35:DT43" si="83">IF(W35&lt;X35,1,0)</f>
        <v>1</v>
      </c>
      <c r="DU35" s="3906">
        <f t="shared" ref="DU35:DU43" si="84">IF(Y35&lt;Z35,1,0)</f>
        <v>1</v>
      </c>
      <c r="DV35" s="3906">
        <f t="shared" ref="DV35:DV43" si="85">IF(AA35&lt;AB35,1,0)</f>
        <v>1</v>
      </c>
      <c r="DW35" s="3906">
        <f t="shared" ref="DW35:DW43" si="86">IF(AC35&lt;AD35,1,0)</f>
        <v>1</v>
      </c>
      <c r="DX35" s="3906">
        <f t="shared" ref="DX35:DX43" si="87">IF(AE35&lt;AF35,1,0)</f>
        <v>1</v>
      </c>
      <c r="DY35" s="3906">
        <f t="shared" ref="DY35:DY43" si="88">IF(AG35&lt;AH35,1,0)</f>
        <v>1</v>
      </c>
      <c r="DZ35" s="3906">
        <f t="shared" ref="DZ35:DZ43" si="89">IF(AI35&lt;AJ35,1,0)</f>
        <v>1</v>
      </c>
      <c r="EA35" s="3906">
        <f t="shared" ref="EA35:EA43" si="90">IF(AK35&lt;AL35,1,0)</f>
        <v>1</v>
      </c>
      <c r="EB35" s="3906">
        <f t="shared" ref="EB35:EB43" si="91">IF(AM35&lt;AN35,1,0)</f>
        <v>1</v>
      </c>
      <c r="EC35" s="3906">
        <f t="shared" ref="EC35:EC43" si="92">IF(AO35&lt;AP35,1,0)</f>
        <v>1</v>
      </c>
      <c r="ED35" s="3906">
        <f t="shared" ref="ED35:ED43" si="93">IF(AQ35&lt;AR35,1,0)</f>
        <v>1</v>
      </c>
    </row>
    <row r="36" spans="1:134" x14ac:dyDescent="0.25">
      <c r="A36" s="5601">
        <v>11054203</v>
      </c>
      <c r="B36" s="3923" t="s">
        <v>1867</v>
      </c>
      <c r="C36" s="3908" t="s">
        <v>4567</v>
      </c>
      <c r="D36" s="344" t="s">
        <v>4568</v>
      </c>
      <c r="E36" s="3918" t="s">
        <v>4569</v>
      </c>
      <c r="F36" s="3910" t="s">
        <v>4570</v>
      </c>
      <c r="G36" s="3909" t="s">
        <v>4571</v>
      </c>
      <c r="H36" s="3910" t="s">
        <v>4572</v>
      </c>
      <c r="I36" s="3909" t="s">
        <v>4573</v>
      </c>
      <c r="J36" s="3910" t="s">
        <v>4574</v>
      </c>
      <c r="K36" s="3909" t="s">
        <v>4575</v>
      </c>
      <c r="L36" s="3910" t="s">
        <v>4576</v>
      </c>
      <c r="M36" s="3909" t="s">
        <v>4577</v>
      </c>
      <c r="N36" s="3911" t="s">
        <v>4578</v>
      </c>
      <c r="O36" s="3904" t="s">
        <v>4579</v>
      </c>
      <c r="P36" s="3912" t="s">
        <v>4580</v>
      </c>
      <c r="Q36" s="3913" t="s">
        <v>4581</v>
      </c>
      <c r="R36" s="3912" t="s">
        <v>4582</v>
      </c>
      <c r="S36" s="3913" t="s">
        <v>4583</v>
      </c>
      <c r="T36" s="3912" t="s">
        <v>4584</v>
      </c>
      <c r="U36" s="3913" t="s">
        <v>4585</v>
      </c>
      <c r="V36" s="3912" t="s">
        <v>4586</v>
      </c>
      <c r="W36" s="3913" t="s">
        <v>4587</v>
      </c>
      <c r="X36" s="3912" t="s">
        <v>4588</v>
      </c>
      <c r="Y36" s="3913" t="s">
        <v>4589</v>
      </c>
      <c r="Z36" s="3912" t="s">
        <v>4590</v>
      </c>
      <c r="AA36" s="3913" t="s">
        <v>4591</v>
      </c>
      <c r="AB36" s="3912" t="s">
        <v>4592</v>
      </c>
      <c r="AC36" s="3913" t="s">
        <v>4593</v>
      </c>
      <c r="AD36" s="3912" t="s">
        <v>4594</v>
      </c>
      <c r="AE36" s="3913" t="s">
        <v>4595</v>
      </c>
      <c r="AF36" s="3912" t="s">
        <v>4596</v>
      </c>
      <c r="AG36" s="3913" t="s">
        <v>4597</v>
      </c>
      <c r="AH36" s="3912" t="s">
        <v>4598</v>
      </c>
      <c r="AI36" s="3913" t="s">
        <v>4599</v>
      </c>
      <c r="AJ36" s="3912" t="s">
        <v>4600</v>
      </c>
      <c r="AK36" s="3913" t="s">
        <v>4601</v>
      </c>
      <c r="AL36" s="3912" t="s">
        <v>4602</v>
      </c>
      <c r="AM36" s="3913" t="s">
        <v>4603</v>
      </c>
      <c r="AN36" s="3912" t="s">
        <v>4604</v>
      </c>
      <c r="AO36" s="3913" t="s">
        <v>4605</v>
      </c>
      <c r="AP36" s="3912" t="s">
        <v>4606</v>
      </c>
      <c r="AQ36" s="3913" t="s">
        <v>4934</v>
      </c>
      <c r="AR36" s="3902" t="s">
        <v>4935</v>
      </c>
      <c r="AS36" s="3901" t="s">
        <v>4936</v>
      </c>
      <c r="AT36" s="3902" t="s">
        <v>4937</v>
      </c>
      <c r="AU36" s="3903" t="s">
        <v>5234</v>
      </c>
      <c r="AV36" s="3902" t="s">
        <v>5235</v>
      </c>
      <c r="AW36" s="3904" t="s">
        <v>5236</v>
      </c>
      <c r="AX36" s="3905" t="s">
        <v>5237</v>
      </c>
      <c r="AY36" s="1864" t="e">
        <f t="shared" si="57"/>
        <v>#VALUE!</v>
      </c>
      <c r="CB36" s="1865" t="str">
        <f>IF(C36&lt;&gt;(AT36)," * La suma de las columnas "&amp;AS$10&amp;""&amp;" DEBE SER IGUAL a los Exámenes Procesados. ","")</f>
        <v xml:space="preserve"> * La suma de las columnas POR SEXO (Procesados) DEBE SER IGUAL a los Exámenes Procesados. </v>
      </c>
      <c r="CC36" s="1865" t="e">
        <f t="shared" si="58"/>
        <v>#VALUE!</v>
      </c>
      <c r="CD36" s="1865" t="str">
        <f t="shared" si="59"/>
        <v xml:space="preserve"> *El Número de Pueblos Originarios no puede superar el Total Procesados. </v>
      </c>
      <c r="CE36" s="1865" t="str">
        <f t="shared" si="60"/>
        <v xml:space="preserve"> *El Número de Migrantes no puede superar el Total Procesados. </v>
      </c>
      <c r="CF36" s="1866"/>
      <c r="CG36" s="1866"/>
      <c r="CH36" s="1866"/>
      <c r="CI36" s="1866"/>
      <c r="CJ36" s="1866"/>
      <c r="CK36" s="1865" t="str">
        <f t="shared" si="61"/>
        <v>* El total de Procesados debe ser mayor o igual al total de Reactivos en el grupo de edad 10 - 14 años</v>
      </c>
      <c r="CL36" s="1865" t="str">
        <f t="shared" si="62"/>
        <v>* El total de Procesados debe ser mayor o igual al total de Reactivos en el grupo de edad 15 - 19 años</v>
      </c>
      <c r="CM36" s="1865" t="str">
        <f t="shared" si="63"/>
        <v>* El total de Procesados debe ser mayor o igual al total de Reactivos en el grupo de edad 20 - 24 años</v>
      </c>
      <c r="CN36" s="1865" t="str">
        <f t="shared" si="64"/>
        <v>* El total de Procesados debe ser mayor o igual al total de Reactivos en el grupo de edad 25 - 29 años</v>
      </c>
      <c r="CO36" s="1865" t="str">
        <f t="shared" si="65"/>
        <v>* El total de Procesados debe ser mayor o igual al total de Reactivos en el grupo de edad 30 - 34 años</v>
      </c>
      <c r="CP36" s="1865" t="str">
        <f t="shared" si="66"/>
        <v>* El total de Procesados debe ser mayor o igual al total de Reactivos en el grupo de edad 35 - 39 años</v>
      </c>
      <c r="CQ36" s="1865" t="str">
        <f t="shared" si="67"/>
        <v>* El total de Procesados debe ser mayor o igual al total de Reactivos en el grupo de edad 40 - 44 años</v>
      </c>
      <c r="CR36" s="1865" t="str">
        <f t="shared" si="68"/>
        <v>* El total de Procesados debe ser mayor o igual al total de Reactivos en el grupo de edad 45 - 49 años</v>
      </c>
      <c r="CS36" s="1865" t="str">
        <f t="shared" si="69"/>
        <v>* El total de Procesados debe ser mayor o igual al total de Reactivos en el grupo de edad 50 - 54 años</v>
      </c>
      <c r="CT36" s="1865" t="str">
        <f t="shared" si="70"/>
        <v>* El total de Procesados debe ser mayor o igual al total de Reactivos en el grupo de edad 55 - 59 años</v>
      </c>
      <c r="CU36" s="1865" t="str">
        <f t="shared" si="71"/>
        <v>* El total de Procesados debe ser mayor o igual al total de Reactivos en el grupo de edad 60 - 64 años</v>
      </c>
      <c r="CV36" s="1865" t="str">
        <f t="shared" si="72"/>
        <v>* El total de Procesados debe ser mayor o igual al total de Reactivos en el grupo de edad 65 - 69 años</v>
      </c>
      <c r="CW36" s="1865" t="str">
        <f t="shared" si="73"/>
        <v>* El total de Procesados debe ser mayor o igual al total de Reactivos en el grupo de edad 70 - 74 años</v>
      </c>
      <c r="CX36" s="1865" t="str">
        <f t="shared" si="74"/>
        <v>* El total de Procesados debe ser mayor o igual al total de Reactivos en el grupo de edad 75 - 79 años</v>
      </c>
      <c r="CY36" s="1865" t="str">
        <f t="shared" si="75"/>
        <v>* El total de Procesados debe ser mayor o igual al total de Reactivos en el grupo de edad 80 y más años</v>
      </c>
      <c r="DF36" s="1936"/>
      <c r="DG36" s="3922">
        <f>IF(C36&lt;&gt;(AT36),1,0)</f>
        <v>1</v>
      </c>
      <c r="DH36" s="3906" t="e">
        <f t="shared" si="76"/>
        <v>#VALUE!</v>
      </c>
      <c r="DI36" s="3906">
        <f t="shared" si="77"/>
        <v>1</v>
      </c>
      <c r="DJ36" s="3906">
        <f t="shared" si="78"/>
        <v>1</v>
      </c>
      <c r="DK36" s="1866"/>
      <c r="DL36" s="1866"/>
      <c r="DM36" s="1866"/>
      <c r="DN36" s="1866"/>
      <c r="DO36" s="1866"/>
      <c r="DP36" s="3906">
        <f t="shared" si="79"/>
        <v>1</v>
      </c>
      <c r="DQ36" s="3906">
        <f t="shared" si="80"/>
        <v>1</v>
      </c>
      <c r="DR36" s="3906">
        <f t="shared" si="81"/>
        <v>1</v>
      </c>
      <c r="DS36" s="3906">
        <f t="shared" si="82"/>
        <v>1</v>
      </c>
      <c r="DT36" s="3906">
        <f t="shared" si="83"/>
        <v>1</v>
      </c>
      <c r="DU36" s="3906">
        <f t="shared" si="84"/>
        <v>1</v>
      </c>
      <c r="DV36" s="3906">
        <f t="shared" si="85"/>
        <v>1</v>
      </c>
      <c r="DW36" s="3906">
        <f t="shared" si="86"/>
        <v>1</v>
      </c>
      <c r="DX36" s="3906">
        <f t="shared" si="87"/>
        <v>1</v>
      </c>
      <c r="DY36" s="3906">
        <f t="shared" si="88"/>
        <v>1</v>
      </c>
      <c r="DZ36" s="3906">
        <f t="shared" si="89"/>
        <v>1</v>
      </c>
      <c r="EA36" s="3906">
        <f t="shared" si="90"/>
        <v>1</v>
      </c>
      <c r="EB36" s="3906">
        <f t="shared" si="91"/>
        <v>1</v>
      </c>
      <c r="EC36" s="3906">
        <f t="shared" si="92"/>
        <v>1</v>
      </c>
      <c r="ED36" s="3906">
        <f t="shared" si="93"/>
        <v>1</v>
      </c>
    </row>
    <row r="37" spans="1:134" x14ac:dyDescent="0.25">
      <c r="A37" s="5601">
        <v>11054204</v>
      </c>
      <c r="B37" s="3923" t="s">
        <v>1868</v>
      </c>
      <c r="C37" s="3908" t="s">
        <v>4567</v>
      </c>
      <c r="D37" s="344" t="s">
        <v>4568</v>
      </c>
      <c r="E37" s="3918" t="s">
        <v>4569</v>
      </c>
      <c r="F37" s="3910" t="s">
        <v>4570</v>
      </c>
      <c r="G37" s="3909" t="s">
        <v>4571</v>
      </c>
      <c r="H37" s="3910" t="s">
        <v>4572</v>
      </c>
      <c r="I37" s="3909" t="s">
        <v>4573</v>
      </c>
      <c r="J37" s="3910" t="s">
        <v>4574</v>
      </c>
      <c r="K37" s="3909" t="s">
        <v>4575</v>
      </c>
      <c r="L37" s="3910" t="s">
        <v>4576</v>
      </c>
      <c r="M37" s="3909" t="s">
        <v>4577</v>
      </c>
      <c r="N37" s="3911" t="s">
        <v>4578</v>
      </c>
      <c r="O37" s="3904" t="s">
        <v>4579</v>
      </c>
      <c r="P37" s="3912" t="s">
        <v>4580</v>
      </c>
      <c r="Q37" s="3913" t="s">
        <v>4581</v>
      </c>
      <c r="R37" s="3912" t="s">
        <v>4582</v>
      </c>
      <c r="S37" s="3913" t="s">
        <v>4583</v>
      </c>
      <c r="T37" s="3912" t="s">
        <v>4584</v>
      </c>
      <c r="U37" s="3913" t="s">
        <v>4585</v>
      </c>
      <c r="V37" s="3912" t="s">
        <v>4586</v>
      </c>
      <c r="W37" s="3913" t="s">
        <v>4587</v>
      </c>
      <c r="X37" s="3912" t="s">
        <v>4588</v>
      </c>
      <c r="Y37" s="3913" t="s">
        <v>4589</v>
      </c>
      <c r="Z37" s="3912" t="s">
        <v>4590</v>
      </c>
      <c r="AA37" s="3913" t="s">
        <v>4591</v>
      </c>
      <c r="AB37" s="3912" t="s">
        <v>4592</v>
      </c>
      <c r="AC37" s="3913" t="s">
        <v>4593</v>
      </c>
      <c r="AD37" s="3912" t="s">
        <v>4594</v>
      </c>
      <c r="AE37" s="3913" t="s">
        <v>4595</v>
      </c>
      <c r="AF37" s="3912" t="s">
        <v>4596</v>
      </c>
      <c r="AG37" s="3913" t="s">
        <v>4597</v>
      </c>
      <c r="AH37" s="3912" t="s">
        <v>4598</v>
      </c>
      <c r="AI37" s="3913" t="s">
        <v>4599</v>
      </c>
      <c r="AJ37" s="3912" t="s">
        <v>4600</v>
      </c>
      <c r="AK37" s="3913" t="s">
        <v>4601</v>
      </c>
      <c r="AL37" s="3912" t="s">
        <v>4602</v>
      </c>
      <c r="AM37" s="3913" t="s">
        <v>4603</v>
      </c>
      <c r="AN37" s="3912" t="s">
        <v>4604</v>
      </c>
      <c r="AO37" s="3913" t="s">
        <v>4605</v>
      </c>
      <c r="AP37" s="3912" t="s">
        <v>4606</v>
      </c>
      <c r="AQ37" s="3913" t="s">
        <v>4934</v>
      </c>
      <c r="AR37" s="3902" t="s">
        <v>4935</v>
      </c>
      <c r="AS37" s="3901" t="s">
        <v>4936</v>
      </c>
      <c r="AT37" s="3902" t="s">
        <v>4937</v>
      </c>
      <c r="AU37" s="3903" t="s">
        <v>5234</v>
      </c>
      <c r="AV37" s="3902" t="s">
        <v>5235</v>
      </c>
      <c r="AW37" s="3904" t="s">
        <v>5236</v>
      </c>
      <c r="AX37" s="3905" t="s">
        <v>5237</v>
      </c>
      <c r="AY37" s="1864" t="e">
        <f t="shared" si="57"/>
        <v>#VALUE!</v>
      </c>
      <c r="CB37" s="1865" t="str">
        <f>IF(C37&lt;&gt;(AT37)," * La suma de las columnas "&amp;AS$10&amp;""&amp;" DEBE SER IGUAL a los Exámenes Procesados. ","")</f>
        <v xml:space="preserve"> * La suma de las columnas POR SEXO (Procesados) DEBE SER IGUAL a los Exámenes Procesados. </v>
      </c>
      <c r="CC37" s="1865" t="e">
        <f t="shared" si="58"/>
        <v>#VALUE!</v>
      </c>
      <c r="CD37" s="1865" t="str">
        <f t="shared" si="59"/>
        <v xml:space="preserve"> *El Número de Pueblos Originarios no puede superar el Total Procesados. </v>
      </c>
      <c r="CE37" s="1865" t="str">
        <f t="shared" si="60"/>
        <v xml:space="preserve"> *El Número de Migrantes no puede superar el Total Procesados. </v>
      </c>
      <c r="CF37" s="1866"/>
      <c r="CG37" s="1866"/>
      <c r="CH37" s="1866"/>
      <c r="CI37" s="1866"/>
      <c r="CJ37" s="1866"/>
      <c r="CK37" s="1865" t="str">
        <f t="shared" si="61"/>
        <v>* El total de Procesados debe ser mayor o igual al total de Reactivos en el grupo de edad 10 - 14 años</v>
      </c>
      <c r="CL37" s="1865" t="str">
        <f t="shared" si="62"/>
        <v>* El total de Procesados debe ser mayor o igual al total de Reactivos en el grupo de edad 15 - 19 años</v>
      </c>
      <c r="CM37" s="1865" t="str">
        <f t="shared" si="63"/>
        <v>* El total de Procesados debe ser mayor o igual al total de Reactivos en el grupo de edad 20 - 24 años</v>
      </c>
      <c r="CN37" s="1865" t="str">
        <f t="shared" si="64"/>
        <v>* El total de Procesados debe ser mayor o igual al total de Reactivos en el grupo de edad 25 - 29 años</v>
      </c>
      <c r="CO37" s="1865" t="str">
        <f t="shared" si="65"/>
        <v>* El total de Procesados debe ser mayor o igual al total de Reactivos en el grupo de edad 30 - 34 años</v>
      </c>
      <c r="CP37" s="1865" t="str">
        <f t="shared" si="66"/>
        <v>* El total de Procesados debe ser mayor o igual al total de Reactivos en el grupo de edad 35 - 39 años</v>
      </c>
      <c r="CQ37" s="1865" t="str">
        <f t="shared" si="67"/>
        <v>* El total de Procesados debe ser mayor o igual al total de Reactivos en el grupo de edad 40 - 44 años</v>
      </c>
      <c r="CR37" s="1865" t="str">
        <f t="shared" si="68"/>
        <v>* El total de Procesados debe ser mayor o igual al total de Reactivos en el grupo de edad 45 - 49 años</v>
      </c>
      <c r="CS37" s="1865" t="str">
        <f t="shared" si="69"/>
        <v>* El total de Procesados debe ser mayor o igual al total de Reactivos en el grupo de edad 50 - 54 años</v>
      </c>
      <c r="CT37" s="1865" t="str">
        <f t="shared" si="70"/>
        <v>* El total de Procesados debe ser mayor o igual al total de Reactivos en el grupo de edad 55 - 59 años</v>
      </c>
      <c r="CU37" s="1865" t="str">
        <f t="shared" si="71"/>
        <v>* El total de Procesados debe ser mayor o igual al total de Reactivos en el grupo de edad 60 - 64 años</v>
      </c>
      <c r="CV37" s="1865" t="str">
        <f t="shared" si="72"/>
        <v>* El total de Procesados debe ser mayor o igual al total de Reactivos en el grupo de edad 65 - 69 años</v>
      </c>
      <c r="CW37" s="1865" t="str">
        <f t="shared" si="73"/>
        <v>* El total de Procesados debe ser mayor o igual al total de Reactivos en el grupo de edad 70 - 74 años</v>
      </c>
      <c r="CX37" s="1865" t="str">
        <f t="shared" si="74"/>
        <v>* El total de Procesados debe ser mayor o igual al total de Reactivos en el grupo de edad 75 - 79 años</v>
      </c>
      <c r="CY37" s="1865" t="str">
        <f t="shared" si="75"/>
        <v>* El total de Procesados debe ser mayor o igual al total de Reactivos en el grupo de edad 80 y más años</v>
      </c>
      <c r="DF37" s="1936"/>
      <c r="DG37" s="3922">
        <f>IF(C37&lt;&gt;(AT37),1,0)</f>
        <v>1</v>
      </c>
      <c r="DH37" s="3906" t="e">
        <f t="shared" si="76"/>
        <v>#VALUE!</v>
      </c>
      <c r="DI37" s="3906">
        <f t="shared" si="77"/>
        <v>1</v>
      </c>
      <c r="DJ37" s="3906">
        <f t="shared" si="78"/>
        <v>1</v>
      </c>
      <c r="DK37" s="1866"/>
      <c r="DL37" s="1866"/>
      <c r="DM37" s="1866"/>
      <c r="DN37" s="1866"/>
      <c r="DO37" s="1866"/>
      <c r="DP37" s="3906">
        <f t="shared" si="79"/>
        <v>1</v>
      </c>
      <c r="DQ37" s="3906">
        <f t="shared" si="80"/>
        <v>1</v>
      </c>
      <c r="DR37" s="3906">
        <f t="shared" si="81"/>
        <v>1</v>
      </c>
      <c r="DS37" s="3906">
        <f t="shared" si="82"/>
        <v>1</v>
      </c>
      <c r="DT37" s="3906">
        <f t="shared" si="83"/>
        <v>1</v>
      </c>
      <c r="DU37" s="3906">
        <f t="shared" si="84"/>
        <v>1</v>
      </c>
      <c r="DV37" s="3906">
        <f t="shared" si="85"/>
        <v>1</v>
      </c>
      <c r="DW37" s="3906">
        <f t="shared" si="86"/>
        <v>1</v>
      </c>
      <c r="DX37" s="3906">
        <f t="shared" si="87"/>
        <v>1</v>
      </c>
      <c r="DY37" s="3906">
        <f t="shared" si="88"/>
        <v>1</v>
      </c>
      <c r="DZ37" s="3906">
        <f t="shared" si="89"/>
        <v>1</v>
      </c>
      <c r="EA37" s="3906">
        <f t="shared" si="90"/>
        <v>1</v>
      </c>
      <c r="EB37" s="3906">
        <f t="shared" si="91"/>
        <v>1</v>
      </c>
      <c r="EC37" s="3906">
        <f t="shared" si="92"/>
        <v>1</v>
      </c>
      <c r="ED37" s="3906">
        <f t="shared" si="93"/>
        <v>1</v>
      </c>
    </row>
    <row r="38" spans="1:134" x14ac:dyDescent="0.25">
      <c r="A38" s="5601">
        <v>11054205</v>
      </c>
      <c r="B38" s="3923" t="s">
        <v>1869</v>
      </c>
      <c r="C38" s="3908" t="s">
        <v>4567</v>
      </c>
      <c r="D38" s="344" t="s">
        <v>4568</v>
      </c>
      <c r="E38" s="3918" t="s">
        <v>4569</v>
      </c>
      <c r="F38" s="3910" t="s">
        <v>4570</v>
      </c>
      <c r="G38" s="3909" t="s">
        <v>4571</v>
      </c>
      <c r="H38" s="3910" t="s">
        <v>4572</v>
      </c>
      <c r="I38" s="3909" t="s">
        <v>4573</v>
      </c>
      <c r="J38" s="3910" t="s">
        <v>4574</v>
      </c>
      <c r="K38" s="3909" t="s">
        <v>4575</v>
      </c>
      <c r="L38" s="3910" t="s">
        <v>4576</v>
      </c>
      <c r="M38" s="3909" t="s">
        <v>4577</v>
      </c>
      <c r="N38" s="3911" t="s">
        <v>4578</v>
      </c>
      <c r="O38" s="3904" t="s">
        <v>4579</v>
      </c>
      <c r="P38" s="3912" t="s">
        <v>4580</v>
      </c>
      <c r="Q38" s="3913" t="s">
        <v>4581</v>
      </c>
      <c r="R38" s="3912" t="s">
        <v>4582</v>
      </c>
      <c r="S38" s="3913" t="s">
        <v>4583</v>
      </c>
      <c r="T38" s="3912" t="s">
        <v>4584</v>
      </c>
      <c r="U38" s="3913" t="s">
        <v>4585</v>
      </c>
      <c r="V38" s="3912" t="s">
        <v>4586</v>
      </c>
      <c r="W38" s="3913" t="s">
        <v>4587</v>
      </c>
      <c r="X38" s="3912" t="s">
        <v>4588</v>
      </c>
      <c r="Y38" s="3913" t="s">
        <v>4589</v>
      </c>
      <c r="Z38" s="3912" t="s">
        <v>4590</v>
      </c>
      <c r="AA38" s="3913" t="s">
        <v>4591</v>
      </c>
      <c r="AB38" s="3912" t="s">
        <v>4592</v>
      </c>
      <c r="AC38" s="3913" t="s">
        <v>4593</v>
      </c>
      <c r="AD38" s="3912" t="s">
        <v>4594</v>
      </c>
      <c r="AE38" s="3913" t="s">
        <v>4595</v>
      </c>
      <c r="AF38" s="3912" t="s">
        <v>4596</v>
      </c>
      <c r="AG38" s="3913" t="s">
        <v>4597</v>
      </c>
      <c r="AH38" s="3912" t="s">
        <v>4598</v>
      </c>
      <c r="AI38" s="3913" t="s">
        <v>4599</v>
      </c>
      <c r="AJ38" s="3912" t="s">
        <v>4600</v>
      </c>
      <c r="AK38" s="3913" t="s">
        <v>4601</v>
      </c>
      <c r="AL38" s="3912" t="s">
        <v>4602</v>
      </c>
      <c r="AM38" s="3913" t="s">
        <v>4603</v>
      </c>
      <c r="AN38" s="3912" t="s">
        <v>4604</v>
      </c>
      <c r="AO38" s="3913" t="s">
        <v>4605</v>
      </c>
      <c r="AP38" s="3912" t="s">
        <v>4606</v>
      </c>
      <c r="AQ38" s="3913" t="s">
        <v>4934</v>
      </c>
      <c r="AR38" s="3902" t="s">
        <v>4935</v>
      </c>
      <c r="AS38" s="3901" t="s">
        <v>4936</v>
      </c>
      <c r="AT38" s="3902" t="s">
        <v>4937</v>
      </c>
      <c r="AU38" s="3903" t="s">
        <v>5234</v>
      </c>
      <c r="AV38" s="3902" t="s">
        <v>5235</v>
      </c>
      <c r="AW38" s="3904" t="s">
        <v>5236</v>
      </c>
      <c r="AX38" s="3905" t="s">
        <v>5237</v>
      </c>
      <c r="AY38" s="1864" t="e">
        <f t="shared" si="57"/>
        <v>#VALUE!</v>
      </c>
      <c r="CB38" s="1865" t="str">
        <f>IF(C38&lt;&gt;(AT38)," * La suma de las columnas "&amp;AS$10&amp;""&amp;" DEBE SER IGUAL a los Exámenes Procesados. ","")</f>
        <v xml:space="preserve"> * La suma de las columnas POR SEXO (Procesados) DEBE SER IGUAL a los Exámenes Procesados. </v>
      </c>
      <c r="CC38" s="1865" t="e">
        <f t="shared" si="58"/>
        <v>#VALUE!</v>
      </c>
      <c r="CD38" s="1865" t="str">
        <f t="shared" si="59"/>
        <v xml:space="preserve"> *El Número de Pueblos Originarios no puede superar el Total Procesados. </v>
      </c>
      <c r="CE38" s="1865" t="str">
        <f t="shared" si="60"/>
        <v xml:space="preserve"> *El Número de Migrantes no puede superar el Total Procesados. </v>
      </c>
      <c r="CF38" s="1866"/>
      <c r="CG38" s="1866"/>
      <c r="CH38" s="1866"/>
      <c r="CI38" s="1866"/>
      <c r="CJ38" s="1866"/>
      <c r="CK38" s="1865" t="str">
        <f t="shared" si="61"/>
        <v>* El total de Procesados debe ser mayor o igual al total de Reactivos en el grupo de edad 10 - 14 años</v>
      </c>
      <c r="CL38" s="1865" t="str">
        <f t="shared" si="62"/>
        <v>* El total de Procesados debe ser mayor o igual al total de Reactivos en el grupo de edad 15 - 19 años</v>
      </c>
      <c r="CM38" s="1865" t="str">
        <f t="shared" si="63"/>
        <v>* El total de Procesados debe ser mayor o igual al total de Reactivos en el grupo de edad 20 - 24 años</v>
      </c>
      <c r="CN38" s="1865" t="str">
        <f t="shared" si="64"/>
        <v>* El total de Procesados debe ser mayor o igual al total de Reactivos en el grupo de edad 25 - 29 años</v>
      </c>
      <c r="CO38" s="1865" t="str">
        <f t="shared" si="65"/>
        <v>* El total de Procesados debe ser mayor o igual al total de Reactivos en el grupo de edad 30 - 34 años</v>
      </c>
      <c r="CP38" s="1865" t="str">
        <f t="shared" si="66"/>
        <v>* El total de Procesados debe ser mayor o igual al total de Reactivos en el grupo de edad 35 - 39 años</v>
      </c>
      <c r="CQ38" s="1865" t="str">
        <f t="shared" si="67"/>
        <v>* El total de Procesados debe ser mayor o igual al total de Reactivos en el grupo de edad 40 - 44 años</v>
      </c>
      <c r="CR38" s="1865" t="str">
        <f t="shared" si="68"/>
        <v>* El total de Procesados debe ser mayor o igual al total de Reactivos en el grupo de edad 45 - 49 años</v>
      </c>
      <c r="CS38" s="1865" t="str">
        <f t="shared" si="69"/>
        <v>* El total de Procesados debe ser mayor o igual al total de Reactivos en el grupo de edad 50 - 54 años</v>
      </c>
      <c r="CT38" s="1865" t="str">
        <f t="shared" si="70"/>
        <v>* El total de Procesados debe ser mayor o igual al total de Reactivos en el grupo de edad 55 - 59 años</v>
      </c>
      <c r="CU38" s="1865" t="str">
        <f t="shared" si="71"/>
        <v>* El total de Procesados debe ser mayor o igual al total de Reactivos en el grupo de edad 60 - 64 años</v>
      </c>
      <c r="CV38" s="1865" t="str">
        <f t="shared" si="72"/>
        <v>* El total de Procesados debe ser mayor o igual al total de Reactivos en el grupo de edad 65 - 69 años</v>
      </c>
      <c r="CW38" s="1865" t="str">
        <f t="shared" si="73"/>
        <v>* El total de Procesados debe ser mayor o igual al total de Reactivos en el grupo de edad 70 - 74 años</v>
      </c>
      <c r="CX38" s="1865" t="str">
        <f t="shared" si="74"/>
        <v>* El total de Procesados debe ser mayor o igual al total de Reactivos en el grupo de edad 75 - 79 años</v>
      </c>
      <c r="CY38" s="1865" t="str">
        <f t="shared" si="75"/>
        <v>* El total de Procesados debe ser mayor o igual al total de Reactivos en el grupo de edad 80 y más años</v>
      </c>
      <c r="DF38" s="1936"/>
      <c r="DG38" s="3922">
        <f>IF(C38&lt;&gt;(AT38),1,0)</f>
        <v>1</v>
      </c>
      <c r="DH38" s="3906" t="e">
        <f t="shared" si="76"/>
        <v>#VALUE!</v>
      </c>
      <c r="DI38" s="3906">
        <f t="shared" si="77"/>
        <v>1</v>
      </c>
      <c r="DJ38" s="3906">
        <f t="shared" si="78"/>
        <v>1</v>
      </c>
      <c r="DK38" s="1866"/>
      <c r="DL38" s="1866"/>
      <c r="DM38" s="1866"/>
      <c r="DN38" s="1866"/>
      <c r="DO38" s="1866"/>
      <c r="DP38" s="3906">
        <f t="shared" si="79"/>
        <v>1</v>
      </c>
      <c r="DQ38" s="3906">
        <f t="shared" si="80"/>
        <v>1</v>
      </c>
      <c r="DR38" s="3906">
        <f t="shared" si="81"/>
        <v>1</v>
      </c>
      <c r="DS38" s="3906">
        <f t="shared" si="82"/>
        <v>1</v>
      </c>
      <c r="DT38" s="3906">
        <f t="shared" si="83"/>
        <v>1</v>
      </c>
      <c r="DU38" s="3906">
        <f t="shared" si="84"/>
        <v>1</v>
      </c>
      <c r="DV38" s="3906">
        <f t="shared" si="85"/>
        <v>1</v>
      </c>
      <c r="DW38" s="3906">
        <f t="shared" si="86"/>
        <v>1</v>
      </c>
      <c r="DX38" s="3906">
        <f t="shared" si="87"/>
        <v>1</v>
      </c>
      <c r="DY38" s="3906">
        <f t="shared" si="88"/>
        <v>1</v>
      </c>
      <c r="DZ38" s="3906">
        <f t="shared" si="89"/>
        <v>1</v>
      </c>
      <c r="EA38" s="3906">
        <f t="shared" si="90"/>
        <v>1</v>
      </c>
      <c r="EB38" s="3906">
        <f t="shared" si="91"/>
        <v>1</v>
      </c>
      <c r="EC38" s="3906">
        <f t="shared" si="92"/>
        <v>1</v>
      </c>
      <c r="ED38" s="3906">
        <f t="shared" si="93"/>
        <v>1</v>
      </c>
    </row>
    <row r="39" spans="1:134" x14ac:dyDescent="0.25">
      <c r="A39" s="5601">
        <v>11054206</v>
      </c>
      <c r="B39" s="3924" t="s">
        <v>1870</v>
      </c>
      <c r="C39" s="3908" t="s">
        <v>4567</v>
      </c>
      <c r="D39" s="344" t="s">
        <v>4568</v>
      </c>
      <c r="E39" s="3918" t="s">
        <v>4569</v>
      </c>
      <c r="F39" s="3910" t="s">
        <v>4570</v>
      </c>
      <c r="G39" s="3909" t="s">
        <v>4571</v>
      </c>
      <c r="H39" s="3910" t="s">
        <v>4572</v>
      </c>
      <c r="I39" s="3909" t="s">
        <v>4573</v>
      </c>
      <c r="J39" s="3910" t="s">
        <v>4574</v>
      </c>
      <c r="K39" s="3909" t="s">
        <v>4575</v>
      </c>
      <c r="L39" s="3910" t="s">
        <v>4576</v>
      </c>
      <c r="M39" s="3909" t="s">
        <v>4577</v>
      </c>
      <c r="N39" s="3911" t="s">
        <v>4578</v>
      </c>
      <c r="O39" s="3904" t="s">
        <v>4579</v>
      </c>
      <c r="P39" s="3912" t="s">
        <v>4580</v>
      </c>
      <c r="Q39" s="3913" t="s">
        <v>4581</v>
      </c>
      <c r="R39" s="3912" t="s">
        <v>4582</v>
      </c>
      <c r="S39" s="3913" t="s">
        <v>4583</v>
      </c>
      <c r="T39" s="3912" t="s">
        <v>4584</v>
      </c>
      <c r="U39" s="3913" t="s">
        <v>4585</v>
      </c>
      <c r="V39" s="3912" t="s">
        <v>4586</v>
      </c>
      <c r="W39" s="3913" t="s">
        <v>4587</v>
      </c>
      <c r="X39" s="3912" t="s">
        <v>4588</v>
      </c>
      <c r="Y39" s="3913" t="s">
        <v>4589</v>
      </c>
      <c r="Z39" s="3912" t="s">
        <v>4590</v>
      </c>
      <c r="AA39" s="3913" t="s">
        <v>4591</v>
      </c>
      <c r="AB39" s="3912" t="s">
        <v>4592</v>
      </c>
      <c r="AC39" s="3913" t="s">
        <v>4593</v>
      </c>
      <c r="AD39" s="3912" t="s">
        <v>4594</v>
      </c>
      <c r="AE39" s="3913" t="s">
        <v>4595</v>
      </c>
      <c r="AF39" s="3912" t="s">
        <v>4596</v>
      </c>
      <c r="AG39" s="3913" t="s">
        <v>4597</v>
      </c>
      <c r="AH39" s="3912" t="s">
        <v>4598</v>
      </c>
      <c r="AI39" s="3913" t="s">
        <v>4599</v>
      </c>
      <c r="AJ39" s="3912" t="s">
        <v>4600</v>
      </c>
      <c r="AK39" s="3913" t="s">
        <v>4601</v>
      </c>
      <c r="AL39" s="3912" t="s">
        <v>4602</v>
      </c>
      <c r="AM39" s="3913" t="s">
        <v>4603</v>
      </c>
      <c r="AN39" s="3912" t="s">
        <v>4604</v>
      </c>
      <c r="AO39" s="3913" t="s">
        <v>4605</v>
      </c>
      <c r="AP39" s="3912" t="s">
        <v>4606</v>
      </c>
      <c r="AQ39" s="3913" t="s">
        <v>4934</v>
      </c>
      <c r="AR39" s="3902" t="s">
        <v>4935</v>
      </c>
      <c r="AS39" s="3901" t="s">
        <v>4936</v>
      </c>
      <c r="AT39" s="3902" t="s">
        <v>4937</v>
      </c>
      <c r="AU39" s="3903" t="s">
        <v>5234</v>
      </c>
      <c r="AV39" s="3902" t="s">
        <v>5235</v>
      </c>
      <c r="AW39" s="3904" t="s">
        <v>5236</v>
      </c>
      <c r="AX39" s="3905" t="s">
        <v>5237</v>
      </c>
      <c r="AY39" s="1864" t="e">
        <f t="shared" si="57"/>
        <v>#VALUE!</v>
      </c>
      <c r="CB39" s="1865" t="str">
        <f>IF(C39&lt;&gt;(AT39)," * La suma de las columnas "&amp;AS$10&amp;""&amp;" DEBE SER IGUAL a los Exámenes Procesados. ","")</f>
        <v xml:space="preserve"> * La suma de las columnas POR SEXO (Procesados) DEBE SER IGUAL a los Exámenes Procesados. </v>
      </c>
      <c r="CC39" s="1865" t="e">
        <f t="shared" si="58"/>
        <v>#VALUE!</v>
      </c>
      <c r="CD39" s="1865" t="str">
        <f t="shared" si="59"/>
        <v xml:space="preserve"> *El Número de Pueblos Originarios no puede superar el Total Procesados. </v>
      </c>
      <c r="CE39" s="1865" t="str">
        <f t="shared" si="60"/>
        <v xml:space="preserve"> *El Número de Migrantes no puede superar el Total Procesados. </v>
      </c>
      <c r="CF39" s="1866"/>
      <c r="CG39" s="1866"/>
      <c r="CH39" s="1866"/>
      <c r="CI39" s="1866"/>
      <c r="CJ39" s="1866"/>
      <c r="CK39" s="1865" t="str">
        <f t="shared" si="61"/>
        <v>* El total de Procesados debe ser mayor o igual al total de Reactivos en el grupo de edad 10 - 14 años</v>
      </c>
      <c r="CL39" s="1865" t="str">
        <f t="shared" si="62"/>
        <v>* El total de Procesados debe ser mayor o igual al total de Reactivos en el grupo de edad 15 - 19 años</v>
      </c>
      <c r="CM39" s="1865" t="str">
        <f t="shared" si="63"/>
        <v>* El total de Procesados debe ser mayor o igual al total de Reactivos en el grupo de edad 20 - 24 años</v>
      </c>
      <c r="CN39" s="1865" t="str">
        <f t="shared" si="64"/>
        <v>* El total de Procesados debe ser mayor o igual al total de Reactivos en el grupo de edad 25 - 29 años</v>
      </c>
      <c r="CO39" s="1865" t="str">
        <f t="shared" si="65"/>
        <v>* El total de Procesados debe ser mayor o igual al total de Reactivos en el grupo de edad 30 - 34 años</v>
      </c>
      <c r="CP39" s="1865" t="str">
        <f t="shared" si="66"/>
        <v>* El total de Procesados debe ser mayor o igual al total de Reactivos en el grupo de edad 35 - 39 años</v>
      </c>
      <c r="CQ39" s="1865" t="str">
        <f t="shared" si="67"/>
        <v>* El total de Procesados debe ser mayor o igual al total de Reactivos en el grupo de edad 40 - 44 años</v>
      </c>
      <c r="CR39" s="1865" t="str">
        <f t="shared" si="68"/>
        <v>* El total de Procesados debe ser mayor o igual al total de Reactivos en el grupo de edad 45 - 49 años</v>
      </c>
      <c r="CS39" s="1865" t="str">
        <f t="shared" si="69"/>
        <v>* El total de Procesados debe ser mayor o igual al total de Reactivos en el grupo de edad 50 - 54 años</v>
      </c>
      <c r="CT39" s="1865" t="str">
        <f t="shared" si="70"/>
        <v>* El total de Procesados debe ser mayor o igual al total de Reactivos en el grupo de edad 55 - 59 años</v>
      </c>
      <c r="CU39" s="1865" t="str">
        <f t="shared" si="71"/>
        <v>* El total de Procesados debe ser mayor o igual al total de Reactivos en el grupo de edad 60 - 64 años</v>
      </c>
      <c r="CV39" s="1865" t="str">
        <f t="shared" si="72"/>
        <v>* El total de Procesados debe ser mayor o igual al total de Reactivos en el grupo de edad 65 - 69 años</v>
      </c>
      <c r="CW39" s="1865" t="str">
        <f t="shared" si="73"/>
        <v>* El total de Procesados debe ser mayor o igual al total de Reactivos en el grupo de edad 70 - 74 años</v>
      </c>
      <c r="CX39" s="1865" t="str">
        <f t="shared" si="74"/>
        <v>* El total de Procesados debe ser mayor o igual al total de Reactivos en el grupo de edad 75 - 79 años</v>
      </c>
      <c r="CY39" s="1865" t="str">
        <f t="shared" si="75"/>
        <v>* El total de Procesados debe ser mayor o igual al total de Reactivos en el grupo de edad 80 y más años</v>
      </c>
      <c r="DF39" s="1936"/>
      <c r="DG39" s="3922">
        <f>IF(C39&lt;&gt;(AT39),1,0)</f>
        <v>1</v>
      </c>
      <c r="DH39" s="3906" t="e">
        <f t="shared" si="76"/>
        <v>#VALUE!</v>
      </c>
      <c r="DI39" s="3906">
        <f t="shared" si="77"/>
        <v>1</v>
      </c>
      <c r="DJ39" s="3906">
        <f t="shared" si="78"/>
        <v>1</v>
      </c>
      <c r="DK39" s="1866"/>
      <c r="DL39" s="1866"/>
      <c r="DM39" s="1866"/>
      <c r="DN39" s="1866"/>
      <c r="DO39" s="1866"/>
      <c r="DP39" s="3906">
        <f t="shared" si="79"/>
        <v>1</v>
      </c>
      <c r="DQ39" s="3906">
        <f t="shared" si="80"/>
        <v>1</v>
      </c>
      <c r="DR39" s="3906">
        <f t="shared" si="81"/>
        <v>1</v>
      </c>
      <c r="DS39" s="3906">
        <f t="shared" si="82"/>
        <v>1</v>
      </c>
      <c r="DT39" s="3906">
        <f t="shared" si="83"/>
        <v>1</v>
      </c>
      <c r="DU39" s="3906">
        <f t="shared" si="84"/>
        <v>1</v>
      </c>
      <c r="DV39" s="3906">
        <f t="shared" si="85"/>
        <v>1</v>
      </c>
      <c r="DW39" s="3906">
        <f t="shared" si="86"/>
        <v>1</v>
      </c>
      <c r="DX39" s="3906">
        <f t="shared" si="87"/>
        <v>1</v>
      </c>
      <c r="DY39" s="3906">
        <f t="shared" si="88"/>
        <v>1</v>
      </c>
      <c r="DZ39" s="3906">
        <f t="shared" si="89"/>
        <v>1</v>
      </c>
      <c r="EA39" s="3906">
        <f t="shared" si="90"/>
        <v>1</v>
      </c>
      <c r="EB39" s="3906">
        <f t="shared" si="91"/>
        <v>1</v>
      </c>
      <c r="EC39" s="3906">
        <f t="shared" si="92"/>
        <v>1</v>
      </c>
      <c r="ED39" s="3906">
        <f t="shared" si="93"/>
        <v>1</v>
      </c>
    </row>
    <row r="40" spans="1:134" x14ac:dyDescent="0.25">
      <c r="A40" s="5601">
        <v>11054207</v>
      </c>
      <c r="B40" s="3924" t="s">
        <v>1871</v>
      </c>
      <c r="C40" s="3908" t="s">
        <v>4567</v>
      </c>
      <c r="D40" s="344" t="s">
        <v>4568</v>
      </c>
      <c r="E40" s="3918" t="s">
        <v>4569</v>
      </c>
      <c r="F40" s="3910" t="s">
        <v>4570</v>
      </c>
      <c r="G40" s="3909" t="s">
        <v>4571</v>
      </c>
      <c r="H40" s="3910" t="s">
        <v>4572</v>
      </c>
      <c r="I40" s="3909" t="s">
        <v>4573</v>
      </c>
      <c r="J40" s="3910" t="s">
        <v>4574</v>
      </c>
      <c r="K40" s="3909" t="s">
        <v>4575</v>
      </c>
      <c r="L40" s="3910" t="s">
        <v>4576</v>
      </c>
      <c r="M40" s="3909" t="s">
        <v>4577</v>
      </c>
      <c r="N40" s="3911" t="s">
        <v>4578</v>
      </c>
      <c r="O40" s="3904" t="s">
        <v>4579</v>
      </c>
      <c r="P40" s="3912" t="s">
        <v>4580</v>
      </c>
      <c r="Q40" s="3913" t="s">
        <v>4581</v>
      </c>
      <c r="R40" s="3912" t="s">
        <v>4582</v>
      </c>
      <c r="S40" s="3913" t="s">
        <v>4583</v>
      </c>
      <c r="T40" s="3912" t="s">
        <v>4584</v>
      </c>
      <c r="U40" s="3913" t="s">
        <v>4585</v>
      </c>
      <c r="V40" s="3912" t="s">
        <v>4586</v>
      </c>
      <c r="W40" s="3913" t="s">
        <v>4587</v>
      </c>
      <c r="X40" s="3912" t="s">
        <v>4588</v>
      </c>
      <c r="Y40" s="3913" t="s">
        <v>4589</v>
      </c>
      <c r="Z40" s="3912" t="s">
        <v>4590</v>
      </c>
      <c r="AA40" s="3913" t="s">
        <v>4591</v>
      </c>
      <c r="AB40" s="3912" t="s">
        <v>4592</v>
      </c>
      <c r="AC40" s="3913" t="s">
        <v>4593</v>
      </c>
      <c r="AD40" s="3912" t="s">
        <v>4594</v>
      </c>
      <c r="AE40" s="3913" t="s">
        <v>4595</v>
      </c>
      <c r="AF40" s="3912" t="s">
        <v>4596</v>
      </c>
      <c r="AG40" s="3913" t="s">
        <v>4597</v>
      </c>
      <c r="AH40" s="3912" t="s">
        <v>4598</v>
      </c>
      <c r="AI40" s="3913" t="s">
        <v>4599</v>
      </c>
      <c r="AJ40" s="3912" t="s">
        <v>4600</v>
      </c>
      <c r="AK40" s="3913" t="s">
        <v>4601</v>
      </c>
      <c r="AL40" s="3912" t="s">
        <v>4602</v>
      </c>
      <c r="AM40" s="3913" t="s">
        <v>4603</v>
      </c>
      <c r="AN40" s="3912" t="s">
        <v>4604</v>
      </c>
      <c r="AO40" s="3913" t="s">
        <v>4605</v>
      </c>
      <c r="AP40" s="3912" t="s">
        <v>4606</v>
      </c>
      <c r="AQ40" s="3913" t="s">
        <v>4934</v>
      </c>
      <c r="AR40" s="3902" t="s">
        <v>4935</v>
      </c>
      <c r="AS40" s="3904" t="s">
        <v>4936</v>
      </c>
      <c r="AT40" s="3902" t="s">
        <v>4937</v>
      </c>
      <c r="AU40" s="3903" t="s">
        <v>5234</v>
      </c>
      <c r="AV40" s="3902" t="s">
        <v>5235</v>
      </c>
      <c r="AW40" s="3904" t="s">
        <v>5236</v>
      </c>
      <c r="AX40" s="3905" t="s">
        <v>5237</v>
      </c>
      <c r="AY40" s="1864" t="e">
        <f t="shared" si="57"/>
        <v>#VALUE!</v>
      </c>
      <c r="CB40" s="1865" t="e">
        <f>IF(C40&lt;&gt;(AT40+AS40)," * La suma de las columnas "&amp;AS$10&amp;""&amp;" DEBE SER IGUAL a los Exámenes Procesados. ","")</f>
        <v>#VALUE!</v>
      </c>
      <c r="CC40" s="1865" t="e">
        <f t="shared" si="58"/>
        <v>#VALUE!</v>
      </c>
      <c r="CD40" s="1865" t="str">
        <f t="shared" si="59"/>
        <v xml:space="preserve"> *El Número de Pueblos Originarios no puede superar el Total Procesados. </v>
      </c>
      <c r="CE40" s="1865" t="str">
        <f t="shared" si="60"/>
        <v xml:space="preserve"> *El Número de Migrantes no puede superar el Total Procesados. </v>
      </c>
      <c r="CF40" s="1866"/>
      <c r="CG40" s="1866"/>
      <c r="CH40" s="1866"/>
      <c r="CI40" s="1866"/>
      <c r="CJ40" s="1866"/>
      <c r="CK40" s="1865" t="str">
        <f t="shared" si="61"/>
        <v>* El total de Procesados debe ser mayor o igual al total de Reactivos en el grupo de edad 10 - 14 años</v>
      </c>
      <c r="CL40" s="1865" t="str">
        <f t="shared" si="62"/>
        <v>* El total de Procesados debe ser mayor o igual al total de Reactivos en el grupo de edad 15 - 19 años</v>
      </c>
      <c r="CM40" s="1865" t="str">
        <f t="shared" si="63"/>
        <v>* El total de Procesados debe ser mayor o igual al total de Reactivos en el grupo de edad 20 - 24 años</v>
      </c>
      <c r="CN40" s="1865" t="str">
        <f t="shared" si="64"/>
        <v>* El total de Procesados debe ser mayor o igual al total de Reactivos en el grupo de edad 25 - 29 años</v>
      </c>
      <c r="CO40" s="1865" t="str">
        <f t="shared" si="65"/>
        <v>* El total de Procesados debe ser mayor o igual al total de Reactivos en el grupo de edad 30 - 34 años</v>
      </c>
      <c r="CP40" s="1865" t="str">
        <f t="shared" si="66"/>
        <v>* El total de Procesados debe ser mayor o igual al total de Reactivos en el grupo de edad 35 - 39 años</v>
      </c>
      <c r="CQ40" s="1865" t="str">
        <f t="shared" si="67"/>
        <v>* El total de Procesados debe ser mayor o igual al total de Reactivos en el grupo de edad 40 - 44 años</v>
      </c>
      <c r="CR40" s="1865" t="str">
        <f t="shared" si="68"/>
        <v>* El total de Procesados debe ser mayor o igual al total de Reactivos en el grupo de edad 45 - 49 años</v>
      </c>
      <c r="CS40" s="1865" t="str">
        <f t="shared" si="69"/>
        <v>* El total de Procesados debe ser mayor o igual al total de Reactivos en el grupo de edad 50 - 54 años</v>
      </c>
      <c r="CT40" s="1865" t="str">
        <f t="shared" si="70"/>
        <v>* El total de Procesados debe ser mayor o igual al total de Reactivos en el grupo de edad 55 - 59 años</v>
      </c>
      <c r="CU40" s="1865" t="str">
        <f t="shared" si="71"/>
        <v>* El total de Procesados debe ser mayor o igual al total de Reactivos en el grupo de edad 60 - 64 años</v>
      </c>
      <c r="CV40" s="1865" t="str">
        <f t="shared" si="72"/>
        <v>* El total de Procesados debe ser mayor o igual al total de Reactivos en el grupo de edad 65 - 69 años</v>
      </c>
      <c r="CW40" s="1865" t="str">
        <f t="shared" si="73"/>
        <v>* El total de Procesados debe ser mayor o igual al total de Reactivos en el grupo de edad 70 - 74 años</v>
      </c>
      <c r="CX40" s="1865" t="str">
        <f t="shared" si="74"/>
        <v>* El total de Procesados debe ser mayor o igual al total de Reactivos en el grupo de edad 75 - 79 años</v>
      </c>
      <c r="CY40" s="1865" t="str">
        <f t="shared" si="75"/>
        <v>* El total de Procesados debe ser mayor o igual al total de Reactivos en el grupo de edad 80 y más años</v>
      </c>
      <c r="DF40" s="1936"/>
      <c r="DG40" s="3922" t="e">
        <f>IF(C40&lt;&gt;(AT40+AS40),1,0)</f>
        <v>#VALUE!</v>
      </c>
      <c r="DH40" s="3906" t="e">
        <f t="shared" si="76"/>
        <v>#VALUE!</v>
      </c>
      <c r="DI40" s="3906">
        <f t="shared" si="77"/>
        <v>1</v>
      </c>
      <c r="DJ40" s="3906">
        <f t="shared" si="78"/>
        <v>1</v>
      </c>
      <c r="DK40" s="1866"/>
      <c r="DL40" s="1866"/>
      <c r="DM40" s="1866"/>
      <c r="DN40" s="1866"/>
      <c r="DO40" s="1866"/>
      <c r="DP40" s="3906">
        <f t="shared" si="79"/>
        <v>1</v>
      </c>
      <c r="DQ40" s="3906">
        <f t="shared" si="80"/>
        <v>1</v>
      </c>
      <c r="DR40" s="3906">
        <f t="shared" si="81"/>
        <v>1</v>
      </c>
      <c r="DS40" s="3906">
        <f t="shared" si="82"/>
        <v>1</v>
      </c>
      <c r="DT40" s="3906">
        <f t="shared" si="83"/>
        <v>1</v>
      </c>
      <c r="DU40" s="3906">
        <f t="shared" si="84"/>
        <v>1</v>
      </c>
      <c r="DV40" s="3906">
        <f t="shared" si="85"/>
        <v>1</v>
      </c>
      <c r="DW40" s="3906">
        <f t="shared" si="86"/>
        <v>1</v>
      </c>
      <c r="DX40" s="3906">
        <f t="shared" si="87"/>
        <v>1</v>
      </c>
      <c r="DY40" s="3906">
        <f t="shared" si="88"/>
        <v>1</v>
      </c>
      <c r="DZ40" s="3906">
        <f t="shared" si="89"/>
        <v>1</v>
      </c>
      <c r="EA40" s="3906">
        <f t="shared" si="90"/>
        <v>1</v>
      </c>
      <c r="EB40" s="3906">
        <f t="shared" si="91"/>
        <v>1</v>
      </c>
      <c r="EC40" s="3906">
        <f t="shared" si="92"/>
        <v>1</v>
      </c>
      <c r="ED40" s="3906">
        <f t="shared" si="93"/>
        <v>1</v>
      </c>
    </row>
    <row r="41" spans="1:134" x14ac:dyDescent="0.25">
      <c r="A41" s="5601">
        <v>11054208</v>
      </c>
      <c r="B41" s="3924" t="s">
        <v>1872</v>
      </c>
      <c r="C41" s="3908" t="s">
        <v>4567</v>
      </c>
      <c r="D41" s="344" t="s">
        <v>4568</v>
      </c>
      <c r="E41" s="3918" t="s">
        <v>4569</v>
      </c>
      <c r="F41" s="3910" t="s">
        <v>4570</v>
      </c>
      <c r="G41" s="3909" t="s">
        <v>4571</v>
      </c>
      <c r="H41" s="3910" t="s">
        <v>4572</v>
      </c>
      <c r="I41" s="3909" t="s">
        <v>4573</v>
      </c>
      <c r="J41" s="3910" t="s">
        <v>4574</v>
      </c>
      <c r="K41" s="3909" t="s">
        <v>4575</v>
      </c>
      <c r="L41" s="3910" t="s">
        <v>4576</v>
      </c>
      <c r="M41" s="3909" t="s">
        <v>4577</v>
      </c>
      <c r="N41" s="3911" t="s">
        <v>4578</v>
      </c>
      <c r="O41" s="3904" t="s">
        <v>4579</v>
      </c>
      <c r="P41" s="3912" t="s">
        <v>4580</v>
      </c>
      <c r="Q41" s="3913" t="s">
        <v>4581</v>
      </c>
      <c r="R41" s="3912" t="s">
        <v>4582</v>
      </c>
      <c r="S41" s="3913" t="s">
        <v>4583</v>
      </c>
      <c r="T41" s="3912" t="s">
        <v>4584</v>
      </c>
      <c r="U41" s="3913" t="s">
        <v>4585</v>
      </c>
      <c r="V41" s="3912" t="s">
        <v>4586</v>
      </c>
      <c r="W41" s="3913" t="s">
        <v>4587</v>
      </c>
      <c r="X41" s="3912" t="s">
        <v>4588</v>
      </c>
      <c r="Y41" s="3913" t="s">
        <v>4589</v>
      </c>
      <c r="Z41" s="3912" t="s">
        <v>4590</v>
      </c>
      <c r="AA41" s="3913" t="s">
        <v>4591</v>
      </c>
      <c r="AB41" s="3912" t="s">
        <v>4592</v>
      </c>
      <c r="AC41" s="3913" t="s">
        <v>4593</v>
      </c>
      <c r="AD41" s="3912" t="s">
        <v>4594</v>
      </c>
      <c r="AE41" s="3913" t="s">
        <v>4595</v>
      </c>
      <c r="AF41" s="3912" t="s">
        <v>4596</v>
      </c>
      <c r="AG41" s="3913" t="s">
        <v>4597</v>
      </c>
      <c r="AH41" s="3912" t="s">
        <v>4598</v>
      </c>
      <c r="AI41" s="3913" t="s">
        <v>4599</v>
      </c>
      <c r="AJ41" s="3912" t="s">
        <v>4600</v>
      </c>
      <c r="AK41" s="3913" t="s">
        <v>4601</v>
      </c>
      <c r="AL41" s="3912" t="s">
        <v>4602</v>
      </c>
      <c r="AM41" s="3913" t="s">
        <v>4603</v>
      </c>
      <c r="AN41" s="3912" t="s">
        <v>4604</v>
      </c>
      <c r="AO41" s="3913" t="s">
        <v>4605</v>
      </c>
      <c r="AP41" s="3912" t="s">
        <v>4606</v>
      </c>
      <c r="AQ41" s="3913" t="s">
        <v>4934</v>
      </c>
      <c r="AR41" s="3902" t="s">
        <v>4935</v>
      </c>
      <c r="AS41" s="3901" t="s">
        <v>4936</v>
      </c>
      <c r="AT41" s="3902" t="s">
        <v>4937</v>
      </c>
      <c r="AU41" s="3903" t="s">
        <v>5234</v>
      </c>
      <c r="AV41" s="3902" t="s">
        <v>5235</v>
      </c>
      <c r="AW41" s="3904" t="s">
        <v>5236</v>
      </c>
      <c r="AX41" s="3905" t="s">
        <v>5237</v>
      </c>
      <c r="AY41" s="1864" t="e">
        <f t="shared" si="57"/>
        <v>#VALUE!</v>
      </c>
      <c r="CB41" s="1865" t="str">
        <f>IF(C41&lt;&gt;(AT41)," * La suma de las columnas "&amp;AS$10&amp;""&amp;" DEBE SER IGUAL a los Exámenes Procesados. ","")</f>
        <v xml:space="preserve"> * La suma de las columnas POR SEXO (Procesados) DEBE SER IGUAL a los Exámenes Procesados. </v>
      </c>
      <c r="CC41" s="1865" t="e">
        <f t="shared" si="58"/>
        <v>#VALUE!</v>
      </c>
      <c r="CD41" s="1865" t="str">
        <f t="shared" si="59"/>
        <v xml:space="preserve"> *El Número de Pueblos Originarios no puede superar el Total Procesados. </v>
      </c>
      <c r="CE41" s="1865" t="str">
        <f t="shared" si="60"/>
        <v xml:space="preserve"> *El Número de Migrantes no puede superar el Total Procesados. </v>
      </c>
      <c r="CF41" s="1866"/>
      <c r="CG41" s="1866"/>
      <c r="CH41" s="1866"/>
      <c r="CI41" s="1866"/>
      <c r="CJ41" s="1866"/>
      <c r="CK41" s="1865" t="str">
        <f t="shared" si="61"/>
        <v>* El total de Procesados debe ser mayor o igual al total de Reactivos en el grupo de edad 10 - 14 años</v>
      </c>
      <c r="CL41" s="1865" t="str">
        <f t="shared" si="62"/>
        <v>* El total de Procesados debe ser mayor o igual al total de Reactivos en el grupo de edad 15 - 19 años</v>
      </c>
      <c r="CM41" s="1865" t="str">
        <f t="shared" si="63"/>
        <v>* El total de Procesados debe ser mayor o igual al total de Reactivos en el grupo de edad 20 - 24 años</v>
      </c>
      <c r="CN41" s="1865" t="str">
        <f t="shared" si="64"/>
        <v>* El total de Procesados debe ser mayor o igual al total de Reactivos en el grupo de edad 25 - 29 años</v>
      </c>
      <c r="CO41" s="1865" t="str">
        <f t="shared" si="65"/>
        <v>* El total de Procesados debe ser mayor o igual al total de Reactivos en el grupo de edad 30 - 34 años</v>
      </c>
      <c r="CP41" s="1865" t="str">
        <f t="shared" si="66"/>
        <v>* El total de Procesados debe ser mayor o igual al total de Reactivos en el grupo de edad 35 - 39 años</v>
      </c>
      <c r="CQ41" s="1865" t="str">
        <f t="shared" si="67"/>
        <v>* El total de Procesados debe ser mayor o igual al total de Reactivos en el grupo de edad 40 - 44 años</v>
      </c>
      <c r="CR41" s="1865" t="str">
        <f t="shared" si="68"/>
        <v>* El total de Procesados debe ser mayor o igual al total de Reactivos en el grupo de edad 45 - 49 años</v>
      </c>
      <c r="CS41" s="1865" t="str">
        <f t="shared" si="69"/>
        <v>* El total de Procesados debe ser mayor o igual al total de Reactivos en el grupo de edad 50 - 54 años</v>
      </c>
      <c r="CT41" s="1865" t="str">
        <f t="shared" si="70"/>
        <v>* El total de Procesados debe ser mayor o igual al total de Reactivos en el grupo de edad 55 - 59 años</v>
      </c>
      <c r="CU41" s="1865" t="str">
        <f t="shared" si="71"/>
        <v>* El total de Procesados debe ser mayor o igual al total de Reactivos en el grupo de edad 60 - 64 años</v>
      </c>
      <c r="CV41" s="1865" t="str">
        <f t="shared" si="72"/>
        <v>* El total de Procesados debe ser mayor o igual al total de Reactivos en el grupo de edad 65 - 69 años</v>
      </c>
      <c r="CW41" s="1865" t="str">
        <f t="shared" si="73"/>
        <v>* El total de Procesados debe ser mayor o igual al total de Reactivos en el grupo de edad 70 - 74 años</v>
      </c>
      <c r="CX41" s="1865" t="str">
        <f t="shared" si="74"/>
        <v>* El total de Procesados debe ser mayor o igual al total de Reactivos en el grupo de edad 75 - 79 años</v>
      </c>
      <c r="CY41" s="1865" t="str">
        <f t="shared" si="75"/>
        <v>* El total de Procesados debe ser mayor o igual al total de Reactivos en el grupo de edad 80 y más años</v>
      </c>
      <c r="DF41" s="1936"/>
      <c r="DG41" s="3922">
        <f>IF(C41&lt;&gt;(AT41),1,0)</f>
        <v>1</v>
      </c>
      <c r="DH41" s="3906" t="e">
        <f t="shared" si="76"/>
        <v>#VALUE!</v>
      </c>
      <c r="DI41" s="3906">
        <f t="shared" si="77"/>
        <v>1</v>
      </c>
      <c r="DJ41" s="3906">
        <f t="shared" si="78"/>
        <v>1</v>
      </c>
      <c r="DK41" s="1866"/>
      <c r="DL41" s="1866"/>
      <c r="DM41" s="1866"/>
      <c r="DN41" s="1866"/>
      <c r="DO41" s="1866"/>
      <c r="DP41" s="3906">
        <f t="shared" si="79"/>
        <v>1</v>
      </c>
      <c r="DQ41" s="3906">
        <f t="shared" si="80"/>
        <v>1</v>
      </c>
      <c r="DR41" s="3906">
        <f t="shared" si="81"/>
        <v>1</v>
      </c>
      <c r="DS41" s="3906">
        <f t="shared" si="82"/>
        <v>1</v>
      </c>
      <c r="DT41" s="3906">
        <f t="shared" si="83"/>
        <v>1</v>
      </c>
      <c r="DU41" s="3906">
        <f t="shared" si="84"/>
        <v>1</v>
      </c>
      <c r="DV41" s="3906">
        <f t="shared" si="85"/>
        <v>1</v>
      </c>
      <c r="DW41" s="3906">
        <f t="shared" si="86"/>
        <v>1</v>
      </c>
      <c r="DX41" s="3906">
        <f t="shared" si="87"/>
        <v>1</v>
      </c>
      <c r="DY41" s="3906">
        <f t="shared" si="88"/>
        <v>1</v>
      </c>
      <c r="DZ41" s="3906">
        <f t="shared" si="89"/>
        <v>1</v>
      </c>
      <c r="EA41" s="3906">
        <f t="shared" si="90"/>
        <v>1</v>
      </c>
      <c r="EB41" s="3906">
        <f t="shared" si="91"/>
        <v>1</v>
      </c>
      <c r="EC41" s="3906">
        <f t="shared" si="92"/>
        <v>1</v>
      </c>
      <c r="ED41" s="3906">
        <f t="shared" si="93"/>
        <v>1</v>
      </c>
    </row>
    <row r="42" spans="1:134" x14ac:dyDescent="0.25">
      <c r="A42" s="5601">
        <v>11054209</v>
      </c>
      <c r="B42" s="3923" t="s">
        <v>1873</v>
      </c>
      <c r="C42" s="3908" t="s">
        <v>4567</v>
      </c>
      <c r="D42" s="344" t="s">
        <v>4568</v>
      </c>
      <c r="E42" s="3918" t="s">
        <v>4569</v>
      </c>
      <c r="F42" s="3910" t="s">
        <v>4570</v>
      </c>
      <c r="G42" s="3909" t="s">
        <v>4571</v>
      </c>
      <c r="H42" s="3910" t="s">
        <v>4572</v>
      </c>
      <c r="I42" s="3909" t="s">
        <v>4573</v>
      </c>
      <c r="J42" s="3910" t="s">
        <v>4574</v>
      </c>
      <c r="K42" s="3909" t="s">
        <v>4575</v>
      </c>
      <c r="L42" s="3910" t="s">
        <v>4576</v>
      </c>
      <c r="M42" s="3909" t="s">
        <v>4577</v>
      </c>
      <c r="N42" s="3911" t="s">
        <v>4578</v>
      </c>
      <c r="O42" s="3904" t="s">
        <v>4579</v>
      </c>
      <c r="P42" s="3912" t="s">
        <v>4580</v>
      </c>
      <c r="Q42" s="3913" t="s">
        <v>4581</v>
      </c>
      <c r="R42" s="3912" t="s">
        <v>4582</v>
      </c>
      <c r="S42" s="3913" t="s">
        <v>4583</v>
      </c>
      <c r="T42" s="3912" t="s">
        <v>4584</v>
      </c>
      <c r="U42" s="3913" t="s">
        <v>4585</v>
      </c>
      <c r="V42" s="3912" t="s">
        <v>4586</v>
      </c>
      <c r="W42" s="3913" t="s">
        <v>4587</v>
      </c>
      <c r="X42" s="3912" t="s">
        <v>4588</v>
      </c>
      <c r="Y42" s="3913" t="s">
        <v>4589</v>
      </c>
      <c r="Z42" s="3912" t="s">
        <v>4590</v>
      </c>
      <c r="AA42" s="3913" t="s">
        <v>4591</v>
      </c>
      <c r="AB42" s="3912" t="s">
        <v>4592</v>
      </c>
      <c r="AC42" s="3913" t="s">
        <v>4593</v>
      </c>
      <c r="AD42" s="3912" t="s">
        <v>4594</v>
      </c>
      <c r="AE42" s="3913" t="s">
        <v>4595</v>
      </c>
      <c r="AF42" s="3912" t="s">
        <v>4596</v>
      </c>
      <c r="AG42" s="3913" t="s">
        <v>4597</v>
      </c>
      <c r="AH42" s="3912" t="s">
        <v>4598</v>
      </c>
      <c r="AI42" s="3913" t="s">
        <v>4599</v>
      </c>
      <c r="AJ42" s="3912" t="s">
        <v>4600</v>
      </c>
      <c r="AK42" s="3913" t="s">
        <v>4601</v>
      </c>
      <c r="AL42" s="3912" t="s">
        <v>4602</v>
      </c>
      <c r="AM42" s="3913" t="s">
        <v>4603</v>
      </c>
      <c r="AN42" s="3912" t="s">
        <v>4604</v>
      </c>
      <c r="AO42" s="3913" t="s">
        <v>4605</v>
      </c>
      <c r="AP42" s="3912" t="s">
        <v>4606</v>
      </c>
      <c r="AQ42" s="3913" t="s">
        <v>4934</v>
      </c>
      <c r="AR42" s="3902" t="s">
        <v>4935</v>
      </c>
      <c r="AS42" s="3901" t="s">
        <v>4936</v>
      </c>
      <c r="AT42" s="3902" t="s">
        <v>4937</v>
      </c>
      <c r="AU42" s="3903" t="s">
        <v>5234</v>
      </c>
      <c r="AV42" s="3902" t="s">
        <v>5235</v>
      </c>
      <c r="AW42" s="3904" t="s">
        <v>5236</v>
      </c>
      <c r="AX42" s="3905" t="s">
        <v>5237</v>
      </c>
      <c r="AY42" s="1864" t="e">
        <f t="shared" si="57"/>
        <v>#VALUE!</v>
      </c>
      <c r="CB42" s="1865" t="str">
        <f>IF(C42&lt;&gt;(AT42)," * La suma de las columnas "&amp;AS$10&amp;""&amp;" DEBE SER IGUAL a los Exámenes Procesados. ","")</f>
        <v xml:space="preserve"> * La suma de las columnas POR SEXO (Procesados) DEBE SER IGUAL a los Exámenes Procesados. </v>
      </c>
      <c r="CC42" s="1865" t="e">
        <f t="shared" si="58"/>
        <v>#VALUE!</v>
      </c>
      <c r="CD42" s="1865" t="str">
        <f t="shared" si="59"/>
        <v xml:space="preserve"> *El Número de Pueblos Originarios no puede superar el Total Procesados. </v>
      </c>
      <c r="CE42" s="1865" t="str">
        <f t="shared" si="60"/>
        <v xml:space="preserve"> *El Número de Migrantes no puede superar el Total Procesados. </v>
      </c>
      <c r="CF42" s="1866"/>
      <c r="CG42" s="1866"/>
      <c r="CH42" s="1866"/>
      <c r="CI42" s="1866"/>
      <c r="CJ42" s="1866"/>
      <c r="CK42" s="1865" t="str">
        <f t="shared" si="61"/>
        <v>* El total de Procesados debe ser mayor o igual al total de Reactivos en el grupo de edad 10 - 14 años</v>
      </c>
      <c r="CL42" s="1865" t="str">
        <f t="shared" si="62"/>
        <v>* El total de Procesados debe ser mayor o igual al total de Reactivos en el grupo de edad 15 - 19 años</v>
      </c>
      <c r="CM42" s="1865" t="str">
        <f t="shared" si="63"/>
        <v>* El total de Procesados debe ser mayor o igual al total de Reactivos en el grupo de edad 20 - 24 años</v>
      </c>
      <c r="CN42" s="1865" t="str">
        <f t="shared" si="64"/>
        <v>* El total de Procesados debe ser mayor o igual al total de Reactivos en el grupo de edad 25 - 29 años</v>
      </c>
      <c r="CO42" s="1865" t="str">
        <f t="shared" si="65"/>
        <v>* El total de Procesados debe ser mayor o igual al total de Reactivos en el grupo de edad 30 - 34 años</v>
      </c>
      <c r="CP42" s="1865" t="str">
        <f t="shared" si="66"/>
        <v>* El total de Procesados debe ser mayor o igual al total de Reactivos en el grupo de edad 35 - 39 años</v>
      </c>
      <c r="CQ42" s="1865" t="str">
        <f t="shared" si="67"/>
        <v>* El total de Procesados debe ser mayor o igual al total de Reactivos en el grupo de edad 40 - 44 años</v>
      </c>
      <c r="CR42" s="1865" t="str">
        <f t="shared" si="68"/>
        <v>* El total de Procesados debe ser mayor o igual al total de Reactivos en el grupo de edad 45 - 49 años</v>
      </c>
      <c r="CS42" s="1865" t="str">
        <f t="shared" si="69"/>
        <v>* El total de Procesados debe ser mayor o igual al total de Reactivos en el grupo de edad 50 - 54 años</v>
      </c>
      <c r="CT42" s="1865" t="str">
        <f t="shared" si="70"/>
        <v>* El total de Procesados debe ser mayor o igual al total de Reactivos en el grupo de edad 55 - 59 años</v>
      </c>
      <c r="CU42" s="1865" t="str">
        <f t="shared" si="71"/>
        <v>* El total de Procesados debe ser mayor o igual al total de Reactivos en el grupo de edad 60 - 64 años</v>
      </c>
      <c r="CV42" s="1865" t="str">
        <f t="shared" si="72"/>
        <v>* El total de Procesados debe ser mayor o igual al total de Reactivos en el grupo de edad 65 - 69 años</v>
      </c>
      <c r="CW42" s="1865" t="str">
        <f t="shared" si="73"/>
        <v>* El total de Procesados debe ser mayor o igual al total de Reactivos en el grupo de edad 70 - 74 años</v>
      </c>
      <c r="CX42" s="1865" t="str">
        <f t="shared" si="74"/>
        <v>* El total de Procesados debe ser mayor o igual al total de Reactivos en el grupo de edad 75 - 79 años</v>
      </c>
      <c r="CY42" s="1865" t="str">
        <f t="shared" si="75"/>
        <v>* El total de Procesados debe ser mayor o igual al total de Reactivos en el grupo de edad 80 y más años</v>
      </c>
      <c r="DF42" s="1936"/>
      <c r="DG42" s="3922">
        <f>IF(C42&lt;&gt;(AT42),1,0)</f>
        <v>1</v>
      </c>
      <c r="DH42" s="3906" t="e">
        <f t="shared" si="76"/>
        <v>#VALUE!</v>
      </c>
      <c r="DI42" s="3906">
        <f t="shared" si="77"/>
        <v>1</v>
      </c>
      <c r="DJ42" s="3906">
        <f t="shared" si="78"/>
        <v>1</v>
      </c>
      <c r="DK42" s="1866"/>
      <c r="DL42" s="1866"/>
      <c r="DM42" s="1866"/>
      <c r="DN42" s="1866"/>
      <c r="DO42" s="1866"/>
      <c r="DP42" s="3906">
        <f t="shared" si="79"/>
        <v>1</v>
      </c>
      <c r="DQ42" s="3906">
        <f t="shared" si="80"/>
        <v>1</v>
      </c>
      <c r="DR42" s="3906">
        <f t="shared" si="81"/>
        <v>1</v>
      </c>
      <c r="DS42" s="3906">
        <f t="shared" si="82"/>
        <v>1</v>
      </c>
      <c r="DT42" s="3906">
        <f t="shared" si="83"/>
        <v>1</v>
      </c>
      <c r="DU42" s="3906">
        <f t="shared" si="84"/>
        <v>1</v>
      </c>
      <c r="DV42" s="3906">
        <f t="shared" si="85"/>
        <v>1</v>
      </c>
      <c r="DW42" s="3906">
        <f t="shared" si="86"/>
        <v>1</v>
      </c>
      <c r="DX42" s="3906">
        <f t="shared" si="87"/>
        <v>1</v>
      </c>
      <c r="DY42" s="3906">
        <f t="shared" si="88"/>
        <v>1</v>
      </c>
      <c r="DZ42" s="3906">
        <f t="shared" si="89"/>
        <v>1</v>
      </c>
      <c r="EA42" s="3906">
        <f t="shared" si="90"/>
        <v>1</v>
      </c>
      <c r="EB42" s="3906">
        <f t="shared" si="91"/>
        <v>1</v>
      </c>
      <c r="EC42" s="3906">
        <f t="shared" si="92"/>
        <v>1</v>
      </c>
      <c r="ED42" s="3906">
        <f t="shared" si="93"/>
        <v>1</v>
      </c>
    </row>
    <row r="43" spans="1:134" x14ac:dyDescent="0.25">
      <c r="A43" s="5601">
        <v>11054210</v>
      </c>
      <c r="B43" s="3923" t="s">
        <v>1874</v>
      </c>
      <c r="C43" s="3908" t="s">
        <v>4567</v>
      </c>
      <c r="D43" s="344" t="s">
        <v>4568</v>
      </c>
      <c r="E43" s="3904" t="s">
        <v>4569</v>
      </c>
      <c r="F43" s="3912" t="s">
        <v>4570</v>
      </c>
      <c r="G43" s="3913" t="s">
        <v>4571</v>
      </c>
      <c r="H43" s="3912" t="s">
        <v>4572</v>
      </c>
      <c r="I43" s="3913" t="s">
        <v>4573</v>
      </c>
      <c r="J43" s="3905" t="s">
        <v>4574</v>
      </c>
      <c r="K43" s="3904" t="s">
        <v>4575</v>
      </c>
      <c r="L43" s="3904" t="s">
        <v>4576</v>
      </c>
      <c r="M43" s="3913" t="s">
        <v>4577</v>
      </c>
      <c r="N43" s="3905" t="s">
        <v>4578</v>
      </c>
      <c r="O43" s="3904" t="s">
        <v>4579</v>
      </c>
      <c r="P43" s="3912" t="s">
        <v>4580</v>
      </c>
      <c r="Q43" s="3913" t="s">
        <v>4581</v>
      </c>
      <c r="R43" s="3912" t="s">
        <v>4582</v>
      </c>
      <c r="S43" s="3913" t="s">
        <v>4583</v>
      </c>
      <c r="T43" s="3912" t="s">
        <v>4584</v>
      </c>
      <c r="U43" s="3913" t="s">
        <v>4585</v>
      </c>
      <c r="V43" s="3912" t="s">
        <v>4586</v>
      </c>
      <c r="W43" s="3913" t="s">
        <v>4587</v>
      </c>
      <c r="X43" s="3912" t="s">
        <v>4588</v>
      </c>
      <c r="Y43" s="3913" t="s">
        <v>4589</v>
      </c>
      <c r="Z43" s="3912" t="s">
        <v>4590</v>
      </c>
      <c r="AA43" s="3913" t="s">
        <v>4591</v>
      </c>
      <c r="AB43" s="3912" t="s">
        <v>4592</v>
      </c>
      <c r="AC43" s="3913" t="s">
        <v>4593</v>
      </c>
      <c r="AD43" s="3912" t="s">
        <v>4594</v>
      </c>
      <c r="AE43" s="3913" t="s">
        <v>4595</v>
      </c>
      <c r="AF43" s="3912" t="s">
        <v>4596</v>
      </c>
      <c r="AG43" s="3913" t="s">
        <v>4597</v>
      </c>
      <c r="AH43" s="3912" t="s">
        <v>4598</v>
      </c>
      <c r="AI43" s="3913" t="s">
        <v>4599</v>
      </c>
      <c r="AJ43" s="3912" t="s">
        <v>4600</v>
      </c>
      <c r="AK43" s="3913" t="s">
        <v>4601</v>
      </c>
      <c r="AL43" s="3912" t="s">
        <v>4602</v>
      </c>
      <c r="AM43" s="3913" t="s">
        <v>4603</v>
      </c>
      <c r="AN43" s="3912" t="s">
        <v>4604</v>
      </c>
      <c r="AO43" s="3913" t="s">
        <v>4605</v>
      </c>
      <c r="AP43" s="3912" t="s">
        <v>4606</v>
      </c>
      <c r="AQ43" s="3913" t="s">
        <v>4934</v>
      </c>
      <c r="AR43" s="3902" t="s">
        <v>4935</v>
      </c>
      <c r="AS43" s="3901" t="s">
        <v>4936</v>
      </c>
      <c r="AT43" s="3902" t="s">
        <v>4937</v>
      </c>
      <c r="AU43" s="3903" t="s">
        <v>5234</v>
      </c>
      <c r="AV43" s="3902" t="s">
        <v>5235</v>
      </c>
      <c r="AW43" s="3904" t="s">
        <v>5236</v>
      </c>
      <c r="AX43" s="3905" t="s">
        <v>5237</v>
      </c>
      <c r="AY43" s="1864" t="e">
        <f>$CB43&amp;CC43&amp;CD43&amp;$CE43&amp;CK43&amp;CF43&amp;CG43&amp;CH43&amp;CI43&amp;CJ43&amp;CL43&amp;CM43&amp;CN43&amp;CO43&amp;CP43&amp;CQ43&amp;CR43&amp;CS43&amp;CT43&amp;CU43&amp;CV43&amp;CW43&amp;CX43&amp;CY43</f>
        <v>#VALUE!</v>
      </c>
      <c r="CB43" s="1865" t="str">
        <f>IF(C43&lt;&gt;(AT43)," * La suma de las columnas "&amp;AS$10&amp;""&amp;" DEBE SER IGUAL a los Exámenes Procesados. ","")</f>
        <v xml:space="preserve"> * La suma de las columnas POR SEXO (Procesados) DEBE SER IGUAL a los Exámenes Procesados. </v>
      </c>
      <c r="CC43" s="1865" t="e">
        <f t="shared" si="58"/>
        <v>#VALUE!</v>
      </c>
      <c r="CD43" s="1865" t="str">
        <f t="shared" si="59"/>
        <v xml:space="preserve"> *El Número de Pueblos Originarios no puede superar el Total Procesados. </v>
      </c>
      <c r="CE43" s="1865" t="str">
        <f t="shared" si="60"/>
        <v xml:space="preserve"> *El Número de Migrantes no puede superar el Total Procesados. </v>
      </c>
      <c r="CF43" s="1865" t="str">
        <f>IF(E43&lt;F43,CONCATENATE("* El total de Procesados debe ser mayor o igual al total de Reactivos en el grupo de edad ",$E$11),"")</f>
        <v>* El total de Procesados debe ser mayor o igual al total de Reactivos en el grupo de edad Menos de 6 meses</v>
      </c>
      <c r="CG43" s="1865" t="str">
        <f>IF(G43&lt;H43,CONCATENATE("* El total de Procesados debe ser mayor o igual al total de Reactivos en el grupo de edad ",$G$11),"")</f>
        <v>* El total de Procesados debe ser mayor o igual al total de Reactivos en el grupo de edad 6 - 11 meses</v>
      </c>
      <c r="CH43" s="1865" t="str">
        <f>IF(I43&lt;J43,CONCATENATE("* El total de Procesados debe ser mayor o igual al total de Reactivos en el grupo de edad ",$I$11),"")</f>
        <v>* El total de Procesados debe ser mayor o igual al total de Reactivos en el grupo de edad 12-24 meses</v>
      </c>
      <c r="CI43" s="1865" t="str">
        <f>IF(K43&lt;L43,CONCATENATE("* El total de Procesados debe ser mayor o igual al total de Reactivos en el grupo de edad ",$K$11),"")</f>
        <v>* El total de Procesados debe ser mayor o igual al total de Reactivos en el grupo de edad 3 - 4 años</v>
      </c>
      <c r="CJ43" s="1865" t="str">
        <f>IF(M43&lt;N43,CONCATENATE("* El total de Procesados debe ser mayor o igual al total de Reactivos en el grupo de edad ",$M$11),"")</f>
        <v>* El total de Procesados debe ser mayor o igual al total de Reactivos en el grupo de edad 5 - 9 años</v>
      </c>
      <c r="CK43" s="1865" t="str">
        <f t="shared" si="61"/>
        <v>* El total de Procesados debe ser mayor o igual al total de Reactivos en el grupo de edad 10 - 14 años</v>
      </c>
      <c r="CL43" s="1865" t="str">
        <f t="shared" si="62"/>
        <v>* El total de Procesados debe ser mayor o igual al total de Reactivos en el grupo de edad 15 - 19 años</v>
      </c>
      <c r="CM43" s="1865" t="str">
        <f t="shared" si="63"/>
        <v>* El total de Procesados debe ser mayor o igual al total de Reactivos en el grupo de edad 20 - 24 años</v>
      </c>
      <c r="CN43" s="1865" t="str">
        <f t="shared" si="64"/>
        <v>* El total de Procesados debe ser mayor o igual al total de Reactivos en el grupo de edad 25 - 29 años</v>
      </c>
      <c r="CO43" s="1865" t="str">
        <f t="shared" si="65"/>
        <v>* El total de Procesados debe ser mayor o igual al total de Reactivos en el grupo de edad 30 - 34 años</v>
      </c>
      <c r="CP43" s="1865" t="str">
        <f t="shared" si="66"/>
        <v>* El total de Procesados debe ser mayor o igual al total de Reactivos en el grupo de edad 35 - 39 años</v>
      </c>
      <c r="CQ43" s="1865" t="str">
        <f t="shared" si="67"/>
        <v>* El total de Procesados debe ser mayor o igual al total de Reactivos en el grupo de edad 40 - 44 años</v>
      </c>
      <c r="CR43" s="1865" t="str">
        <f t="shared" si="68"/>
        <v>* El total de Procesados debe ser mayor o igual al total de Reactivos en el grupo de edad 45 - 49 años</v>
      </c>
      <c r="CS43" s="1865" t="str">
        <f t="shared" si="69"/>
        <v>* El total de Procesados debe ser mayor o igual al total de Reactivos en el grupo de edad 50 - 54 años</v>
      </c>
      <c r="CT43" s="1865" t="str">
        <f t="shared" si="70"/>
        <v>* El total de Procesados debe ser mayor o igual al total de Reactivos en el grupo de edad 55 - 59 años</v>
      </c>
      <c r="CU43" s="1865" t="str">
        <f t="shared" si="71"/>
        <v>* El total de Procesados debe ser mayor o igual al total de Reactivos en el grupo de edad 60 - 64 años</v>
      </c>
      <c r="CV43" s="1865" t="str">
        <f t="shared" si="72"/>
        <v>* El total de Procesados debe ser mayor o igual al total de Reactivos en el grupo de edad 65 - 69 años</v>
      </c>
      <c r="CW43" s="1865" t="str">
        <f t="shared" si="73"/>
        <v>* El total de Procesados debe ser mayor o igual al total de Reactivos en el grupo de edad 70 - 74 años</v>
      </c>
      <c r="CX43" s="1865" t="str">
        <f t="shared" si="74"/>
        <v>* El total de Procesados debe ser mayor o igual al total de Reactivos en el grupo de edad 75 - 79 años</v>
      </c>
      <c r="CY43" s="1865" t="str">
        <f t="shared" si="75"/>
        <v>* El total de Procesados debe ser mayor o igual al total de Reactivos en el grupo de edad 80 y más años</v>
      </c>
      <c r="DF43" s="1936"/>
      <c r="DG43" s="3922">
        <f>IF(C43&lt;&gt;(AT43),1,0)</f>
        <v>1</v>
      </c>
      <c r="DH43" s="3906" t="e">
        <f t="shared" si="76"/>
        <v>#VALUE!</v>
      </c>
      <c r="DI43" s="3906">
        <f t="shared" si="77"/>
        <v>1</v>
      </c>
      <c r="DJ43" s="3906">
        <f t="shared" si="78"/>
        <v>1</v>
      </c>
      <c r="DK43" s="3906">
        <f>IF(E43&lt;F43,1,0)</f>
        <v>1</v>
      </c>
      <c r="DL43" s="3906">
        <f>IF(G43&lt;H43,1,0)</f>
        <v>1</v>
      </c>
      <c r="DM43" s="3906">
        <f>IF(I43&lt;J43,1,0)</f>
        <v>1</v>
      </c>
      <c r="DN43" s="3906">
        <f>IF(K43&lt;L43,1,0)</f>
        <v>1</v>
      </c>
      <c r="DO43" s="3906">
        <f>IF(M43&lt;N43,1,0)</f>
        <v>1</v>
      </c>
      <c r="DP43" s="3906">
        <f t="shared" si="79"/>
        <v>1</v>
      </c>
      <c r="DQ43" s="3906">
        <f t="shared" si="80"/>
        <v>1</v>
      </c>
      <c r="DR43" s="3906">
        <f t="shared" si="81"/>
        <v>1</v>
      </c>
      <c r="DS43" s="3906">
        <f t="shared" si="82"/>
        <v>1</v>
      </c>
      <c r="DT43" s="3906">
        <f t="shared" si="83"/>
        <v>1</v>
      </c>
      <c r="DU43" s="3906">
        <f t="shared" si="84"/>
        <v>1</v>
      </c>
      <c r="DV43" s="3906">
        <f t="shared" si="85"/>
        <v>1</v>
      </c>
      <c r="DW43" s="3906">
        <f t="shared" si="86"/>
        <v>1</v>
      </c>
      <c r="DX43" s="3906">
        <f t="shared" si="87"/>
        <v>1</v>
      </c>
      <c r="DY43" s="3906">
        <f t="shared" si="88"/>
        <v>1</v>
      </c>
      <c r="DZ43" s="3906">
        <f t="shared" si="89"/>
        <v>1</v>
      </c>
      <c r="EA43" s="3906">
        <f t="shared" si="90"/>
        <v>1</v>
      </c>
      <c r="EB43" s="3906">
        <f t="shared" si="91"/>
        <v>1</v>
      </c>
      <c r="EC43" s="3906">
        <f t="shared" si="92"/>
        <v>1</v>
      </c>
      <c r="ED43" s="3906">
        <f t="shared" si="93"/>
        <v>1</v>
      </c>
    </row>
    <row r="44" spans="1:134" ht="21" x14ac:dyDescent="0.25">
      <c r="A44" s="5601">
        <v>11054211</v>
      </c>
      <c r="B44" s="3924" t="s">
        <v>1875</v>
      </c>
      <c r="C44" s="3908" t="s">
        <v>4567</v>
      </c>
      <c r="D44" s="344" t="s">
        <v>4568</v>
      </c>
      <c r="E44" s="3904" t="s">
        <v>4569</v>
      </c>
      <c r="F44" s="3912" t="s">
        <v>4570</v>
      </c>
      <c r="G44" s="3913" t="s">
        <v>4571</v>
      </c>
      <c r="H44" s="3912" t="s">
        <v>4572</v>
      </c>
      <c r="I44" s="3913" t="s">
        <v>4573</v>
      </c>
      <c r="J44" s="3905" t="s">
        <v>4574</v>
      </c>
      <c r="K44" s="3914" t="s">
        <v>4575</v>
      </c>
      <c r="L44" s="3915" t="s">
        <v>4576</v>
      </c>
      <c r="M44" s="3914" t="s">
        <v>4577</v>
      </c>
      <c r="N44" s="3915" t="s">
        <v>4578</v>
      </c>
      <c r="O44" s="3914" t="s">
        <v>4579</v>
      </c>
      <c r="P44" s="3915" t="s">
        <v>4580</v>
      </c>
      <c r="Q44" s="3914" t="s">
        <v>4581</v>
      </c>
      <c r="R44" s="3915" t="s">
        <v>4582</v>
      </c>
      <c r="S44" s="3914" t="s">
        <v>4583</v>
      </c>
      <c r="T44" s="3915" t="s">
        <v>4584</v>
      </c>
      <c r="U44" s="3914" t="s">
        <v>4585</v>
      </c>
      <c r="V44" s="3915" t="s">
        <v>4586</v>
      </c>
      <c r="W44" s="3914" t="s">
        <v>4587</v>
      </c>
      <c r="X44" s="3915" t="s">
        <v>4588</v>
      </c>
      <c r="Y44" s="3914" t="s">
        <v>4589</v>
      </c>
      <c r="Z44" s="3915" t="s">
        <v>4590</v>
      </c>
      <c r="AA44" s="3914" t="s">
        <v>4591</v>
      </c>
      <c r="AB44" s="3915" t="s">
        <v>4592</v>
      </c>
      <c r="AC44" s="3914" t="s">
        <v>4593</v>
      </c>
      <c r="AD44" s="3915" t="s">
        <v>4594</v>
      </c>
      <c r="AE44" s="3914" t="s">
        <v>4595</v>
      </c>
      <c r="AF44" s="3915" t="s">
        <v>4596</v>
      </c>
      <c r="AG44" s="3914" t="s">
        <v>4597</v>
      </c>
      <c r="AH44" s="3915" t="s">
        <v>4598</v>
      </c>
      <c r="AI44" s="3914" t="s">
        <v>4599</v>
      </c>
      <c r="AJ44" s="3915" t="s">
        <v>4600</v>
      </c>
      <c r="AK44" s="3914" t="s">
        <v>4601</v>
      </c>
      <c r="AL44" s="3915" t="s">
        <v>4602</v>
      </c>
      <c r="AM44" s="3914" t="s">
        <v>4603</v>
      </c>
      <c r="AN44" s="3915" t="s">
        <v>4604</v>
      </c>
      <c r="AO44" s="3914" t="s">
        <v>4605</v>
      </c>
      <c r="AP44" s="3915" t="s">
        <v>4606</v>
      </c>
      <c r="AQ44" s="3914" t="s">
        <v>4934</v>
      </c>
      <c r="AR44" s="3916" t="s">
        <v>4935</v>
      </c>
      <c r="AS44" s="3904" t="s">
        <v>4936</v>
      </c>
      <c r="AT44" s="3902" t="s">
        <v>4937</v>
      </c>
      <c r="AU44" s="3903" t="s">
        <v>5234</v>
      </c>
      <c r="AV44" s="3902" t="s">
        <v>5235</v>
      </c>
      <c r="AW44" s="3904" t="s">
        <v>5236</v>
      </c>
      <c r="AX44" s="3905" t="s">
        <v>5237</v>
      </c>
      <c r="AY44" s="1864" t="e">
        <f>$CB44&amp;CC44&amp;CD44&amp;$CE44&amp;CF44&amp;CG44&amp;CH44</f>
        <v>#VALUE!</v>
      </c>
      <c r="CB44" s="1865" t="e">
        <f t="shared" ref="CB44:CB51" si="94">IF(C44&lt;&gt;(AT44+AS44)," * La suma de las columnas "&amp;AS$10&amp;""&amp;" DEBE SER IGUAL a los Exámenes Procesados. ","")</f>
        <v>#VALUE!</v>
      </c>
      <c r="CC44" s="1865" t="e">
        <f t="shared" si="58"/>
        <v>#VALUE!</v>
      </c>
      <c r="CD44" s="1865" t="str">
        <f t="shared" si="59"/>
        <v xml:space="preserve"> *El Número de Pueblos Originarios no puede superar el Total Procesados. </v>
      </c>
      <c r="CE44" s="1865" t="str">
        <f t="shared" si="60"/>
        <v xml:space="preserve"> *El Número de Migrantes no puede superar el Total Procesados. </v>
      </c>
      <c r="CF44" s="1865" t="str">
        <f>IF(E44&lt;F44,CONCATENATE("* El total de Procesados debe ser mayor o igual al total de Reactivos en el grupo de edad ",$E$11),"")</f>
        <v>* El total de Procesados debe ser mayor o igual al total de Reactivos en el grupo de edad Menos de 6 meses</v>
      </c>
      <c r="CG44" s="1865" t="str">
        <f>IF(G44&lt;H44,CONCATENATE("* El total de Procesados debe ser mayor o igual al total de Reactivos en el grupo de edad ",$G$11),"")</f>
        <v>* El total de Procesados debe ser mayor o igual al total de Reactivos en el grupo de edad 6 - 11 meses</v>
      </c>
      <c r="CH44" s="1865" t="str">
        <f>IF(I44&lt;J44,CONCATENATE("* El total de Procesados debe ser mayor o igual al total de Reactivos en el grupo de edad ",$I$11),"")</f>
        <v>* El total de Procesados debe ser mayor o igual al total de Reactivos en el grupo de edad 12-24 meses</v>
      </c>
      <c r="CI44" s="1868"/>
      <c r="CJ44" s="1868"/>
      <c r="CK44" s="3917"/>
      <c r="CL44" s="1868"/>
      <c r="CM44" s="1868"/>
      <c r="CN44" s="1868"/>
      <c r="CO44" s="1868"/>
      <c r="CP44" s="1868"/>
      <c r="CQ44" s="1868"/>
      <c r="CR44" s="1868"/>
      <c r="CS44" s="1868"/>
      <c r="CT44" s="1868"/>
      <c r="CU44" s="1868"/>
      <c r="CV44" s="1868"/>
      <c r="CW44" s="1868"/>
      <c r="CX44" s="1868"/>
      <c r="CY44" s="1868"/>
      <c r="DF44" s="1936"/>
      <c r="DG44" s="3922" t="e">
        <f t="shared" ref="DG44:DG51" si="95">IF(C44&lt;&gt;(AT44+AS44),1,0)</f>
        <v>#VALUE!</v>
      </c>
      <c r="DH44" s="3906" t="e">
        <f t="shared" si="76"/>
        <v>#VALUE!</v>
      </c>
      <c r="DI44" s="3906">
        <f t="shared" si="77"/>
        <v>1</v>
      </c>
      <c r="DJ44" s="3906">
        <f t="shared" si="78"/>
        <v>1</v>
      </c>
      <c r="DK44" s="3906">
        <f>IF(E44&lt;F44,1,0)</f>
        <v>1</v>
      </c>
      <c r="DL44" s="3906">
        <f>IF(G44&lt;H44,1,0)</f>
        <v>1</v>
      </c>
      <c r="DM44" s="3906">
        <f>IF(I44&lt;J44,1,0)</f>
        <v>1</v>
      </c>
      <c r="DN44" s="1868"/>
      <c r="DO44" s="1868"/>
      <c r="DP44" s="1866"/>
      <c r="DQ44" s="1866"/>
      <c r="DR44" s="1866"/>
      <c r="DS44" s="1866"/>
      <c r="DT44" s="1866"/>
      <c r="DU44" s="1866"/>
      <c r="DV44" s="1866"/>
      <c r="DW44" s="1866"/>
      <c r="DX44" s="1866"/>
      <c r="DY44" s="1866"/>
      <c r="DZ44" s="1866"/>
      <c r="EA44" s="1866"/>
      <c r="EB44" s="1866"/>
      <c r="EC44" s="1866"/>
      <c r="ED44" s="1866"/>
    </row>
    <row r="45" spans="1:134" x14ac:dyDescent="0.25">
      <c r="A45" s="5601">
        <v>11054212</v>
      </c>
      <c r="B45" s="3924" t="s">
        <v>1876</v>
      </c>
      <c r="C45" s="3908" t="s">
        <v>4567</v>
      </c>
      <c r="D45" s="344" t="s">
        <v>4568</v>
      </c>
      <c r="E45" s="3918" t="s">
        <v>4569</v>
      </c>
      <c r="F45" s="3910" t="s">
        <v>4570</v>
      </c>
      <c r="G45" s="3909" t="s">
        <v>4571</v>
      </c>
      <c r="H45" s="3910" t="s">
        <v>4572</v>
      </c>
      <c r="I45" s="3909" t="s">
        <v>4573</v>
      </c>
      <c r="J45" s="3910" t="s">
        <v>4574</v>
      </c>
      <c r="K45" s="3909" t="s">
        <v>4575</v>
      </c>
      <c r="L45" s="3910" t="s">
        <v>4576</v>
      </c>
      <c r="M45" s="3909" t="s">
        <v>4577</v>
      </c>
      <c r="N45" s="3911" t="s">
        <v>4578</v>
      </c>
      <c r="O45" s="3918" t="s">
        <v>4579</v>
      </c>
      <c r="P45" s="3910" t="s">
        <v>4580</v>
      </c>
      <c r="Q45" s="3913" t="s">
        <v>4581</v>
      </c>
      <c r="R45" s="3912" t="s">
        <v>4582</v>
      </c>
      <c r="S45" s="3913" t="s">
        <v>4583</v>
      </c>
      <c r="T45" s="3912" t="s">
        <v>4584</v>
      </c>
      <c r="U45" s="3913" t="s">
        <v>4585</v>
      </c>
      <c r="V45" s="3912" t="s">
        <v>4586</v>
      </c>
      <c r="W45" s="3913" t="s">
        <v>4587</v>
      </c>
      <c r="X45" s="3912" t="s">
        <v>4588</v>
      </c>
      <c r="Y45" s="3913" t="s">
        <v>4589</v>
      </c>
      <c r="Z45" s="3912" t="s">
        <v>4590</v>
      </c>
      <c r="AA45" s="3913" t="s">
        <v>4591</v>
      </c>
      <c r="AB45" s="3912" t="s">
        <v>4592</v>
      </c>
      <c r="AC45" s="3913" t="s">
        <v>4593</v>
      </c>
      <c r="AD45" s="3912" t="s">
        <v>4594</v>
      </c>
      <c r="AE45" s="3913" t="s">
        <v>4595</v>
      </c>
      <c r="AF45" s="3912" t="s">
        <v>4596</v>
      </c>
      <c r="AG45" s="3913" t="s">
        <v>4597</v>
      </c>
      <c r="AH45" s="3912" t="s">
        <v>4598</v>
      </c>
      <c r="AI45" s="3913" t="s">
        <v>4599</v>
      </c>
      <c r="AJ45" s="3912" t="s">
        <v>4600</v>
      </c>
      <c r="AK45" s="3913" t="s">
        <v>4601</v>
      </c>
      <c r="AL45" s="3912" t="s">
        <v>4602</v>
      </c>
      <c r="AM45" s="3913" t="s">
        <v>4603</v>
      </c>
      <c r="AN45" s="3912" t="s">
        <v>4604</v>
      </c>
      <c r="AO45" s="3913" t="s">
        <v>4605</v>
      </c>
      <c r="AP45" s="3912" t="s">
        <v>4606</v>
      </c>
      <c r="AQ45" s="3913" t="s">
        <v>4934</v>
      </c>
      <c r="AR45" s="3902" t="s">
        <v>4935</v>
      </c>
      <c r="AS45" s="3904" t="s">
        <v>4936</v>
      </c>
      <c r="AT45" s="3902" t="s">
        <v>4937</v>
      </c>
      <c r="AU45" s="3903" t="s">
        <v>5234</v>
      </c>
      <c r="AV45" s="3902" t="s">
        <v>5235</v>
      </c>
      <c r="AW45" s="3904" t="s">
        <v>5236</v>
      </c>
      <c r="AX45" s="3905" t="s">
        <v>5237</v>
      </c>
      <c r="AY45" s="1864" t="e">
        <f>$CB45&amp;CC45&amp;CD45&amp;$CE45&amp;CL45&amp;CM45&amp;CN45&amp;CO45&amp;CP45&amp;CQ45&amp;CR45&amp;CS45&amp;CT45&amp;CU45&amp;CV45&amp;CW45&amp;CX45&amp;CY45</f>
        <v>#VALUE!</v>
      </c>
      <c r="CB45" s="1865" t="e">
        <f t="shared" si="94"/>
        <v>#VALUE!</v>
      </c>
      <c r="CC45" s="1865" t="e">
        <f t="shared" si="58"/>
        <v>#VALUE!</v>
      </c>
      <c r="CD45" s="1865" t="str">
        <f t="shared" si="59"/>
        <v xml:space="preserve"> *El Número de Pueblos Originarios no puede superar el Total Procesados. </v>
      </c>
      <c r="CE45" s="1865" t="str">
        <f t="shared" si="60"/>
        <v xml:space="preserve"> *El Número de Migrantes no puede superar el Total Procesados. </v>
      </c>
      <c r="CF45" s="3917"/>
      <c r="CG45" s="3917"/>
      <c r="CH45" s="1868"/>
      <c r="CI45" s="1868"/>
      <c r="CJ45" s="1868"/>
      <c r="CK45" s="3917"/>
      <c r="CL45" s="1865" t="str">
        <f t="shared" ref="CL45:CL51" si="96">IF(Q45&lt;R45,CONCATENATE("* El total de Procesados debe ser mayor o igual al total de Reactivos en el grupo de edad ",$Q$11),"")</f>
        <v>* El total de Procesados debe ser mayor o igual al total de Reactivos en el grupo de edad 15 - 19 años</v>
      </c>
      <c r="CM45" s="1865" t="str">
        <f t="shared" ref="CM45:CM51" si="97">IF(S45&lt;T45,CONCATENATE("* El total de Procesados debe ser mayor o igual al total de Reactivos en el grupo de edad ",$S$11),"")</f>
        <v>* El total de Procesados debe ser mayor o igual al total de Reactivos en el grupo de edad 20 - 24 años</v>
      </c>
      <c r="CN45" s="1865" t="str">
        <f t="shared" ref="CN45:CN51" si="98">IF($U45&lt;$V45,CONCATENATE("* El total de Procesados debe ser mayor o igual al total de Reactivos en el grupo de edad ",$U$11),"")</f>
        <v>* El total de Procesados debe ser mayor o igual al total de Reactivos en el grupo de edad 25 - 29 años</v>
      </c>
      <c r="CO45" s="1865" t="str">
        <f t="shared" ref="CO45:CO51" si="99">IF(W45&lt;X45,CONCATENATE("* El total de Procesados debe ser mayor o igual al total de Reactivos en el grupo de edad ",$W$11),"")</f>
        <v>* El total de Procesados debe ser mayor o igual al total de Reactivos en el grupo de edad 30 - 34 años</v>
      </c>
      <c r="CP45" s="1865" t="str">
        <f t="shared" ref="CP45:CP51" si="100">IF(Y45&lt;Z45,CONCATENATE("* El total de Procesados debe ser mayor o igual al total de Reactivos en el grupo de edad ",$Y$11),"")</f>
        <v>* El total de Procesados debe ser mayor o igual al total de Reactivos en el grupo de edad 35 - 39 años</v>
      </c>
      <c r="CQ45" s="1865" t="str">
        <f t="shared" ref="CQ45:CQ51" si="101">IF(AA45&lt;AB45,CONCATENATE("* El total de Procesados debe ser mayor o igual al total de Reactivos en el grupo de edad ",$AA$11),"")</f>
        <v>* El total de Procesados debe ser mayor o igual al total de Reactivos en el grupo de edad 40 - 44 años</v>
      </c>
      <c r="CR45" s="1865" t="str">
        <f t="shared" ref="CR45:CR51" si="102">IF(AC45&lt;AD45,CONCATENATE("* El total de Procesados debe ser mayor o igual al total de Reactivos en el grupo de edad ",$AC$11),"")</f>
        <v>* El total de Procesados debe ser mayor o igual al total de Reactivos en el grupo de edad 45 - 49 años</v>
      </c>
      <c r="CS45" s="1865" t="str">
        <f t="shared" ref="CS45:CS51" si="103">IF(AE45&lt;AF45,CONCATENATE("* El total de Procesados debe ser mayor o igual al total de Reactivos en el grupo de edad ",$AE$11),"")</f>
        <v>* El total de Procesados debe ser mayor o igual al total de Reactivos en el grupo de edad 50 - 54 años</v>
      </c>
      <c r="CT45" s="1865" t="str">
        <f t="shared" ref="CT45:CT51" si="104">IF(AG45&lt;AH45,CONCATENATE("* El total de Procesados debe ser mayor o igual al total de Reactivos en el grupo de edad ",$AG$11),"")</f>
        <v>* El total de Procesados debe ser mayor o igual al total de Reactivos en el grupo de edad 55 - 59 años</v>
      </c>
      <c r="CU45" s="1865" t="str">
        <f t="shared" ref="CU45:CU51" si="105">IF(AI45&lt;AJ45,CONCATENATE("* El total de Procesados debe ser mayor o igual al total de Reactivos en el grupo de edad ",$AI$11),"")</f>
        <v>* El total de Procesados debe ser mayor o igual al total de Reactivos en el grupo de edad 60 - 64 años</v>
      </c>
      <c r="CV45" s="1865" t="str">
        <f>IF(AK45&lt;AL45,CONCATENATE("* El total de Procesados debe ser mayor o igual al total de Reactivos en el grupo de edad ",$AK$11),"")</f>
        <v>* El total de Procesados debe ser mayor o igual al total de Reactivos en el grupo de edad 65 - 69 años</v>
      </c>
      <c r="CW45" s="1865" t="str">
        <f>IF(AM45&lt;AN45,CONCATENATE("* El total de Procesados debe ser mayor o igual al total de Reactivos en el grupo de edad ",$AM$11),"")</f>
        <v>* El total de Procesados debe ser mayor o igual al total de Reactivos en el grupo de edad 70 - 74 años</v>
      </c>
      <c r="CX45" s="1865" t="str">
        <f>IF(AO45&lt;AP45,CONCATENATE("* El total de Procesados debe ser mayor o igual al total de Reactivos en el grupo de edad ",$AO$11),"")</f>
        <v>* El total de Procesados debe ser mayor o igual al total de Reactivos en el grupo de edad 75 - 79 años</v>
      </c>
      <c r="CY45" s="1865" t="str">
        <f>IF(AQ45&lt;AR45,CONCATENATE("* El total de Procesados debe ser mayor o igual al total de Reactivos en el grupo de edad ",$AQ$11),"")</f>
        <v>* El total de Procesados debe ser mayor o igual al total de Reactivos en el grupo de edad 80 y más años</v>
      </c>
      <c r="DF45" s="1936"/>
      <c r="DG45" s="3922" t="e">
        <f t="shared" si="95"/>
        <v>#VALUE!</v>
      </c>
      <c r="DH45" s="3906" t="e">
        <f t="shared" si="76"/>
        <v>#VALUE!</v>
      </c>
      <c r="DI45" s="3906">
        <f t="shared" si="77"/>
        <v>1</v>
      </c>
      <c r="DJ45" s="3906">
        <f t="shared" si="78"/>
        <v>1</v>
      </c>
      <c r="DK45" s="1868"/>
      <c r="DL45" s="1868"/>
      <c r="DM45" s="1868"/>
      <c r="DN45" s="1868"/>
      <c r="DO45" s="1868"/>
      <c r="DP45" s="1866"/>
      <c r="DQ45" s="3906">
        <f t="shared" ref="DQ45:DQ51" si="106">IF(Q45&lt;R45,1,0)</f>
        <v>1</v>
      </c>
      <c r="DR45" s="3906">
        <f t="shared" ref="DR45:DR51" si="107">IF(S45&lt;T45,1,0)</f>
        <v>1</v>
      </c>
      <c r="DS45" s="3906">
        <f t="shared" ref="DS45:DS51" si="108">IF($U45&lt;$V45,1,0)</f>
        <v>1</v>
      </c>
      <c r="DT45" s="3906">
        <f t="shared" ref="DT45:DT51" si="109">IF(W45&lt;X45,1,0)</f>
        <v>1</v>
      </c>
      <c r="DU45" s="3906">
        <f t="shared" ref="DU45:DU51" si="110">IF(Y45&lt;Z45,1,0)</f>
        <v>1</v>
      </c>
      <c r="DV45" s="3906">
        <f t="shared" ref="DV45:DV51" si="111">IF(AA45&lt;AB45,1,0)</f>
        <v>1</v>
      </c>
      <c r="DW45" s="3906">
        <f t="shared" ref="DW45:DW51" si="112">IF(AC45&lt;AD45,1,0)</f>
        <v>1</v>
      </c>
      <c r="DX45" s="3906">
        <f t="shared" ref="DX45:DX51" si="113">IF(AE45&lt;AF45,1,0)</f>
        <v>1</v>
      </c>
      <c r="DY45" s="3906">
        <f t="shared" ref="DY45:DY51" si="114">IF(AG45&lt;AH45,1,0)</f>
        <v>1</v>
      </c>
      <c r="DZ45" s="3906">
        <f t="shared" ref="DZ45:DZ51" si="115">IF(AI45&lt;AJ45,1,0)</f>
        <v>1</v>
      </c>
      <c r="EA45" s="3906">
        <f>IF(AK45&lt;AL45,1,0)</f>
        <v>1</v>
      </c>
      <c r="EB45" s="3906">
        <f>IF(AM45&lt;AN45,1,0)</f>
        <v>1</v>
      </c>
      <c r="EC45" s="3906">
        <f>IF(AO45&lt;AP45,1,0)</f>
        <v>1</v>
      </c>
      <c r="ED45" s="3906">
        <f>IF(AQ45&lt;AR45,1,0)</f>
        <v>1</v>
      </c>
    </row>
    <row r="46" spans="1:134" x14ac:dyDescent="0.25">
      <c r="A46" s="5601">
        <v>11054213</v>
      </c>
      <c r="B46" s="3923" t="s">
        <v>1877</v>
      </c>
      <c r="C46" s="3908" t="s">
        <v>4567</v>
      </c>
      <c r="D46" s="344" t="s">
        <v>4568</v>
      </c>
      <c r="E46" s="3901" t="s">
        <v>4569</v>
      </c>
      <c r="F46" s="3915" t="s">
        <v>4570</v>
      </c>
      <c r="G46" s="3914" t="s">
        <v>4571</v>
      </c>
      <c r="H46" s="3915" t="s">
        <v>4572</v>
      </c>
      <c r="I46" s="3914" t="s">
        <v>4573</v>
      </c>
      <c r="J46" s="3919" t="s">
        <v>4574</v>
      </c>
      <c r="K46" s="3901" t="s">
        <v>4575</v>
      </c>
      <c r="L46" s="3901" t="s">
        <v>4576</v>
      </c>
      <c r="M46" s="3914" t="s">
        <v>4577</v>
      </c>
      <c r="N46" s="3919" t="s">
        <v>4578</v>
      </c>
      <c r="O46" s="3904" t="s">
        <v>4579</v>
      </c>
      <c r="P46" s="3912" t="s">
        <v>4580</v>
      </c>
      <c r="Q46" s="3913" t="s">
        <v>4581</v>
      </c>
      <c r="R46" s="3912" t="s">
        <v>4582</v>
      </c>
      <c r="S46" s="3913" t="s">
        <v>4583</v>
      </c>
      <c r="T46" s="3912" t="s">
        <v>4584</v>
      </c>
      <c r="U46" s="3913" t="s">
        <v>4585</v>
      </c>
      <c r="V46" s="3912" t="s">
        <v>4586</v>
      </c>
      <c r="W46" s="3913" t="s">
        <v>4587</v>
      </c>
      <c r="X46" s="3912" t="s">
        <v>4588</v>
      </c>
      <c r="Y46" s="3913" t="s">
        <v>4589</v>
      </c>
      <c r="Z46" s="3912" t="s">
        <v>4590</v>
      </c>
      <c r="AA46" s="3913" t="s">
        <v>4591</v>
      </c>
      <c r="AB46" s="3912" t="s">
        <v>4592</v>
      </c>
      <c r="AC46" s="3913" t="s">
        <v>4593</v>
      </c>
      <c r="AD46" s="3912" t="s">
        <v>4594</v>
      </c>
      <c r="AE46" s="3913" t="s">
        <v>4595</v>
      </c>
      <c r="AF46" s="3912" t="s">
        <v>4596</v>
      </c>
      <c r="AG46" s="3913" t="s">
        <v>4597</v>
      </c>
      <c r="AH46" s="3912" t="s">
        <v>4598</v>
      </c>
      <c r="AI46" s="3913" t="s">
        <v>4599</v>
      </c>
      <c r="AJ46" s="3912" t="s">
        <v>4600</v>
      </c>
      <c r="AK46" s="3913" t="s">
        <v>4601</v>
      </c>
      <c r="AL46" s="3912" t="s">
        <v>4602</v>
      </c>
      <c r="AM46" s="3913" t="s">
        <v>4603</v>
      </c>
      <c r="AN46" s="3912" t="s">
        <v>4604</v>
      </c>
      <c r="AO46" s="3913" t="s">
        <v>4605</v>
      </c>
      <c r="AP46" s="3912" t="s">
        <v>4606</v>
      </c>
      <c r="AQ46" s="3913" t="s">
        <v>4934</v>
      </c>
      <c r="AR46" s="3902" t="s">
        <v>4935</v>
      </c>
      <c r="AS46" s="3904" t="s">
        <v>4936</v>
      </c>
      <c r="AT46" s="3902" t="s">
        <v>4937</v>
      </c>
      <c r="AU46" s="3903" t="s">
        <v>5234</v>
      </c>
      <c r="AV46" s="3902" t="s">
        <v>5235</v>
      </c>
      <c r="AW46" s="3904" t="s">
        <v>5236</v>
      </c>
      <c r="AX46" s="3905" t="s">
        <v>5237</v>
      </c>
      <c r="AY46" s="1864" t="e">
        <f>$CB46&amp;CC46&amp;CD46&amp;$CE46&amp;CK46&amp;CL46&amp;CM46&amp;CN46&amp;CO46&amp;CP46&amp;CQ46&amp;CR46&amp;CS46&amp;CT46&amp;CU46&amp;CV46&amp;CW46&amp;CX46&amp;CY46</f>
        <v>#VALUE!</v>
      </c>
      <c r="CB46" s="1865" t="e">
        <f t="shared" si="94"/>
        <v>#VALUE!</v>
      </c>
      <c r="CC46" s="1865" t="e">
        <f t="shared" si="58"/>
        <v>#VALUE!</v>
      </c>
      <c r="CD46" s="1865" t="str">
        <f t="shared" si="59"/>
        <v xml:space="preserve"> *El Número de Pueblos Originarios no puede superar el Total Procesados. </v>
      </c>
      <c r="CE46" s="1865" t="str">
        <f t="shared" si="60"/>
        <v xml:space="preserve"> *El Número de Migrantes no puede superar el Total Procesados. </v>
      </c>
      <c r="CF46" s="3917"/>
      <c r="CG46" s="3917"/>
      <c r="CH46" s="1868"/>
      <c r="CI46" s="1868"/>
      <c r="CJ46" s="1868"/>
      <c r="CK46" s="1865" t="str">
        <f>IF(O46&lt;P46,CONCATENATE("* El total de Procesados debe ser mayor o igual al total de Reactivos en el grupo de edad ",$O$11),"")</f>
        <v>* El total de Procesados debe ser mayor o igual al total de Reactivos en el grupo de edad 10 - 14 años</v>
      </c>
      <c r="CL46" s="1865" t="str">
        <f t="shared" si="96"/>
        <v>* El total de Procesados debe ser mayor o igual al total de Reactivos en el grupo de edad 15 - 19 años</v>
      </c>
      <c r="CM46" s="1865" t="str">
        <f t="shared" si="97"/>
        <v>* El total de Procesados debe ser mayor o igual al total de Reactivos en el grupo de edad 20 - 24 años</v>
      </c>
      <c r="CN46" s="1865" t="str">
        <f t="shared" si="98"/>
        <v>* El total de Procesados debe ser mayor o igual al total de Reactivos en el grupo de edad 25 - 29 años</v>
      </c>
      <c r="CO46" s="1865" t="str">
        <f t="shared" si="99"/>
        <v>* El total de Procesados debe ser mayor o igual al total de Reactivos en el grupo de edad 30 - 34 años</v>
      </c>
      <c r="CP46" s="1865" t="str">
        <f t="shared" si="100"/>
        <v>* El total de Procesados debe ser mayor o igual al total de Reactivos en el grupo de edad 35 - 39 años</v>
      </c>
      <c r="CQ46" s="1865" t="str">
        <f t="shared" si="101"/>
        <v>* El total de Procesados debe ser mayor o igual al total de Reactivos en el grupo de edad 40 - 44 años</v>
      </c>
      <c r="CR46" s="1865" t="str">
        <f t="shared" si="102"/>
        <v>* El total de Procesados debe ser mayor o igual al total de Reactivos en el grupo de edad 45 - 49 años</v>
      </c>
      <c r="CS46" s="1865" t="str">
        <f t="shared" si="103"/>
        <v>* El total de Procesados debe ser mayor o igual al total de Reactivos en el grupo de edad 50 - 54 años</v>
      </c>
      <c r="CT46" s="1865" t="str">
        <f t="shared" si="104"/>
        <v>* El total de Procesados debe ser mayor o igual al total de Reactivos en el grupo de edad 55 - 59 años</v>
      </c>
      <c r="CU46" s="1865" t="str">
        <f t="shared" si="105"/>
        <v>* El total de Procesados debe ser mayor o igual al total de Reactivos en el grupo de edad 60 - 64 años</v>
      </c>
      <c r="CV46" s="1865" t="str">
        <f>IF(AK46&lt;AL46,CONCATENATE("* El total de Procesados debe ser mayor o igual al total de Reactivos en el grupo de edad ",$AK$11),"")</f>
        <v>* El total de Procesados debe ser mayor o igual al total de Reactivos en el grupo de edad 65 - 69 años</v>
      </c>
      <c r="CW46" s="1865" t="str">
        <f>IF(AM46&lt;AN46,CONCATENATE("* El total de Procesados debe ser mayor o igual al total de Reactivos en el grupo de edad ",$AM$11),"")</f>
        <v>* El total de Procesados debe ser mayor o igual al total de Reactivos en el grupo de edad 70 - 74 años</v>
      </c>
      <c r="CX46" s="1865" t="str">
        <f>IF(AO46&lt;AP46,CONCATENATE("* El total de Procesados debe ser mayor o igual al total de Reactivos en el grupo de edad ",$AO$11),"")</f>
        <v>* El total de Procesados debe ser mayor o igual al total de Reactivos en el grupo de edad 75 - 79 años</v>
      </c>
      <c r="CY46" s="1865" t="str">
        <f>IF(AQ46&lt;AR46,CONCATENATE("* El total de Procesados debe ser mayor o igual al total de Reactivos en el grupo de edad ",$AQ$11),"")</f>
        <v>* El total de Procesados debe ser mayor o igual al total de Reactivos en el grupo de edad 80 y más años</v>
      </c>
      <c r="DF46" s="1936"/>
      <c r="DG46" s="3922" t="e">
        <f t="shared" si="95"/>
        <v>#VALUE!</v>
      </c>
      <c r="DH46" s="3906" t="e">
        <f t="shared" si="76"/>
        <v>#VALUE!</v>
      </c>
      <c r="DI46" s="3906">
        <f t="shared" si="77"/>
        <v>1</v>
      </c>
      <c r="DJ46" s="3906">
        <f t="shared" si="78"/>
        <v>1</v>
      </c>
      <c r="DK46" s="1868"/>
      <c r="DL46" s="1868"/>
      <c r="DM46" s="1868"/>
      <c r="DN46" s="1868"/>
      <c r="DO46" s="1868"/>
      <c r="DP46" s="3906">
        <f>IF(O46&lt;P46,1,0)</f>
        <v>1</v>
      </c>
      <c r="DQ46" s="3906">
        <f t="shared" si="106"/>
        <v>1</v>
      </c>
      <c r="DR46" s="3906">
        <f t="shared" si="107"/>
        <v>1</v>
      </c>
      <c r="DS46" s="3906">
        <f t="shared" si="108"/>
        <v>1</v>
      </c>
      <c r="DT46" s="3906">
        <f t="shared" si="109"/>
        <v>1</v>
      </c>
      <c r="DU46" s="3906">
        <f t="shared" si="110"/>
        <v>1</v>
      </c>
      <c r="DV46" s="3906">
        <f t="shared" si="111"/>
        <v>1</v>
      </c>
      <c r="DW46" s="3906">
        <f t="shared" si="112"/>
        <v>1</v>
      </c>
      <c r="DX46" s="3906">
        <f t="shared" si="113"/>
        <v>1</v>
      </c>
      <c r="DY46" s="3906">
        <f t="shared" si="114"/>
        <v>1</v>
      </c>
      <c r="DZ46" s="3906">
        <f t="shared" si="115"/>
        <v>1</v>
      </c>
      <c r="EA46" s="3906">
        <f>IF(AK46&lt;AL46,1,0)</f>
        <v>1</v>
      </c>
      <c r="EB46" s="3906">
        <f>IF(AM46&lt;AN46,1,0)</f>
        <v>1</v>
      </c>
      <c r="EC46" s="3906">
        <f>IF(AO46&lt;AP46,1,0)</f>
        <v>1</v>
      </c>
      <c r="ED46" s="3906">
        <f>IF(AQ46&lt;AR46,1,0)</f>
        <v>1</v>
      </c>
    </row>
    <row r="47" spans="1:134" x14ac:dyDescent="0.25">
      <c r="A47" s="5601">
        <v>11054214</v>
      </c>
      <c r="B47" s="3923" t="s">
        <v>1878</v>
      </c>
      <c r="C47" s="3908" t="s">
        <v>4567</v>
      </c>
      <c r="D47" s="344" t="s">
        <v>4568</v>
      </c>
      <c r="E47" s="3904" t="s">
        <v>4569</v>
      </c>
      <c r="F47" s="3912" t="s">
        <v>4570</v>
      </c>
      <c r="G47" s="3913" t="s">
        <v>4571</v>
      </c>
      <c r="H47" s="3912" t="s">
        <v>4572</v>
      </c>
      <c r="I47" s="3913" t="s">
        <v>4573</v>
      </c>
      <c r="J47" s="3905" t="s">
        <v>4574</v>
      </c>
      <c r="K47" s="3904" t="s">
        <v>4575</v>
      </c>
      <c r="L47" s="3904" t="s">
        <v>4576</v>
      </c>
      <c r="M47" s="3913" t="s">
        <v>4577</v>
      </c>
      <c r="N47" s="3905" t="s">
        <v>4578</v>
      </c>
      <c r="O47" s="3904" t="s">
        <v>4579</v>
      </c>
      <c r="P47" s="3912" t="s">
        <v>4580</v>
      </c>
      <c r="Q47" s="3913" t="s">
        <v>4581</v>
      </c>
      <c r="R47" s="3912" t="s">
        <v>4582</v>
      </c>
      <c r="S47" s="3913" t="s">
        <v>4583</v>
      </c>
      <c r="T47" s="3912" t="s">
        <v>4584</v>
      </c>
      <c r="U47" s="3913" t="s">
        <v>4585</v>
      </c>
      <c r="V47" s="3912" t="s">
        <v>4586</v>
      </c>
      <c r="W47" s="3913" t="s">
        <v>4587</v>
      </c>
      <c r="X47" s="3912" t="s">
        <v>4588</v>
      </c>
      <c r="Y47" s="3913" t="s">
        <v>4589</v>
      </c>
      <c r="Z47" s="3912" t="s">
        <v>4590</v>
      </c>
      <c r="AA47" s="3913" t="s">
        <v>4591</v>
      </c>
      <c r="AB47" s="3912" t="s">
        <v>4592</v>
      </c>
      <c r="AC47" s="3913" t="s">
        <v>4593</v>
      </c>
      <c r="AD47" s="3912" t="s">
        <v>4594</v>
      </c>
      <c r="AE47" s="3913" t="s">
        <v>4595</v>
      </c>
      <c r="AF47" s="3912" t="s">
        <v>4596</v>
      </c>
      <c r="AG47" s="3913" t="s">
        <v>4597</v>
      </c>
      <c r="AH47" s="3912" t="s">
        <v>4598</v>
      </c>
      <c r="AI47" s="3913" t="s">
        <v>4599</v>
      </c>
      <c r="AJ47" s="3912" t="s">
        <v>4600</v>
      </c>
      <c r="AK47" s="3913" t="s">
        <v>4601</v>
      </c>
      <c r="AL47" s="3912" t="s">
        <v>4602</v>
      </c>
      <c r="AM47" s="3913" t="s">
        <v>4603</v>
      </c>
      <c r="AN47" s="3912" t="s">
        <v>4604</v>
      </c>
      <c r="AO47" s="3913" t="s">
        <v>4605</v>
      </c>
      <c r="AP47" s="3912" t="s">
        <v>4606</v>
      </c>
      <c r="AQ47" s="3913" t="s">
        <v>4934</v>
      </c>
      <c r="AR47" s="3902" t="s">
        <v>4935</v>
      </c>
      <c r="AS47" s="3904" t="s">
        <v>4936</v>
      </c>
      <c r="AT47" s="3902" t="s">
        <v>4937</v>
      </c>
      <c r="AU47" s="3903" t="s">
        <v>5234</v>
      </c>
      <c r="AV47" s="3902" t="s">
        <v>5235</v>
      </c>
      <c r="AW47" s="3904" t="s">
        <v>5236</v>
      </c>
      <c r="AX47" s="3905" t="s">
        <v>5237</v>
      </c>
      <c r="AY47" s="1864" t="e">
        <f>$CB47&amp;CC47&amp;CD47&amp;$CE47&amp;CF47&amp;CG47&amp;CH47&amp;CI47&amp;CJ47&amp;CK47&amp;CL47&amp;CM47&amp;CN47&amp;CO47&amp;CP47&amp;CQ47&amp;CR47&amp;CS47&amp;CT47&amp;CU47&amp;CV47&amp;CW47&amp;CX47&amp;CY47</f>
        <v>#VALUE!</v>
      </c>
      <c r="CB47" s="1865" t="e">
        <f t="shared" si="94"/>
        <v>#VALUE!</v>
      </c>
      <c r="CC47" s="1865" t="e">
        <f t="shared" si="58"/>
        <v>#VALUE!</v>
      </c>
      <c r="CD47" s="1865" t="str">
        <f t="shared" si="59"/>
        <v xml:space="preserve"> *El Número de Pueblos Originarios no puede superar el Total Procesados. </v>
      </c>
      <c r="CE47" s="1865" t="str">
        <f t="shared" si="60"/>
        <v xml:space="preserve"> *El Número de Migrantes no puede superar el Total Procesados. </v>
      </c>
      <c r="CF47" s="1865" t="str">
        <f>IF(E47&lt;F47,CONCATENATE("* El total de Procesados debe ser mayor o igual al total de Reactivos en el grupo de edad ",$E$11),"")</f>
        <v>* El total de Procesados debe ser mayor o igual al total de Reactivos en el grupo de edad Menos de 6 meses</v>
      </c>
      <c r="CG47" s="1865" t="str">
        <f>IF(G47&lt;H47,CONCATENATE("* El total de Procesados debe ser mayor o igual al total de Reactivos en el grupo de edad ",$G$11),"")</f>
        <v>* El total de Procesados debe ser mayor o igual al total de Reactivos en el grupo de edad 6 - 11 meses</v>
      </c>
      <c r="CH47" s="1865" t="str">
        <f>IF(I47&lt;J47,CONCATENATE("* El total de Procesados debe ser mayor o igual al total de Reactivos en el grupo de edad ",$I$11),"")</f>
        <v>* El total de Procesados debe ser mayor o igual al total de Reactivos en el grupo de edad 12-24 meses</v>
      </c>
      <c r="CI47" s="1865" t="str">
        <f>IF(K47&lt;L47,CONCATENATE("* El total de Procesados debe ser mayor o igual al total de Reactivos en el grupo de edad ",$K$11),"")</f>
        <v>* El total de Procesados debe ser mayor o igual al total de Reactivos en el grupo de edad 3 - 4 años</v>
      </c>
      <c r="CJ47" s="1865" t="str">
        <f>IF(M47&lt;N47,CONCATENATE("* El total de Procesados debe ser mayor o igual al total de Reactivos en el grupo de edad ",$M$11),"")</f>
        <v>* El total de Procesados debe ser mayor o igual al total de Reactivos en el grupo de edad 5 - 9 años</v>
      </c>
      <c r="CK47" s="1865" t="str">
        <f>IF(O47&lt;P47,CONCATENATE("* El total de Procesados debe ser mayor o igual al total de Reactivos en el grupo de edad ",$O$11),"")</f>
        <v>* El total de Procesados debe ser mayor o igual al total de Reactivos en el grupo de edad 10 - 14 años</v>
      </c>
      <c r="CL47" s="1865" t="str">
        <f t="shared" si="96"/>
        <v>* El total de Procesados debe ser mayor o igual al total de Reactivos en el grupo de edad 15 - 19 años</v>
      </c>
      <c r="CM47" s="1865" t="str">
        <f t="shared" si="97"/>
        <v>* El total de Procesados debe ser mayor o igual al total de Reactivos en el grupo de edad 20 - 24 años</v>
      </c>
      <c r="CN47" s="1865" t="str">
        <f t="shared" si="98"/>
        <v>* El total de Procesados debe ser mayor o igual al total de Reactivos en el grupo de edad 25 - 29 años</v>
      </c>
      <c r="CO47" s="1865" t="str">
        <f t="shared" si="99"/>
        <v>* El total de Procesados debe ser mayor o igual al total de Reactivos en el grupo de edad 30 - 34 años</v>
      </c>
      <c r="CP47" s="1865" t="str">
        <f t="shared" si="100"/>
        <v>* El total de Procesados debe ser mayor o igual al total de Reactivos en el grupo de edad 35 - 39 años</v>
      </c>
      <c r="CQ47" s="1865" t="str">
        <f t="shared" si="101"/>
        <v>* El total de Procesados debe ser mayor o igual al total de Reactivos en el grupo de edad 40 - 44 años</v>
      </c>
      <c r="CR47" s="1865" t="str">
        <f t="shared" si="102"/>
        <v>* El total de Procesados debe ser mayor o igual al total de Reactivos en el grupo de edad 45 - 49 años</v>
      </c>
      <c r="CS47" s="1865" t="str">
        <f t="shared" si="103"/>
        <v>* El total de Procesados debe ser mayor o igual al total de Reactivos en el grupo de edad 50 - 54 años</v>
      </c>
      <c r="CT47" s="1865" t="str">
        <f t="shared" si="104"/>
        <v>* El total de Procesados debe ser mayor o igual al total de Reactivos en el grupo de edad 55 - 59 años</v>
      </c>
      <c r="CU47" s="1865" t="str">
        <f t="shared" si="105"/>
        <v>* El total de Procesados debe ser mayor o igual al total de Reactivos en el grupo de edad 60 - 64 años</v>
      </c>
      <c r="CV47" s="1865" t="str">
        <f>IF(AK47&lt;AL47,CONCATENATE("* El total de Procesados debe ser mayor o igual al total de Reactivos en el grupo de edad ",$AK$11),"")</f>
        <v>* El total de Procesados debe ser mayor o igual al total de Reactivos en el grupo de edad 65 - 69 años</v>
      </c>
      <c r="CW47" s="1865" t="str">
        <f>IF(AM47&lt;AN47,CONCATENATE("* El total de Procesados debe ser mayor o igual al total de Reactivos en el grupo de edad ",$AM$11),"")</f>
        <v>* El total de Procesados debe ser mayor o igual al total de Reactivos en el grupo de edad 70 - 74 años</v>
      </c>
      <c r="CX47" s="1865" t="str">
        <f>IF(AO47&lt;AP47,CONCATENATE("* El total de Procesados debe ser mayor o igual al total de Reactivos en el grupo de edad ",$AO$11),"")</f>
        <v>* El total de Procesados debe ser mayor o igual al total de Reactivos en el grupo de edad 75 - 79 años</v>
      </c>
      <c r="CY47" s="1865" t="str">
        <f>IF(AQ47&lt;AR47,CONCATENATE("* El total de Procesados debe ser mayor o igual al total de Reactivos en el grupo de edad ",$AQ$11),"")</f>
        <v>* El total de Procesados debe ser mayor o igual al total de Reactivos en el grupo de edad 80 y más años</v>
      </c>
      <c r="DF47" s="1936"/>
      <c r="DG47" s="3922" t="e">
        <f t="shared" si="95"/>
        <v>#VALUE!</v>
      </c>
      <c r="DH47" s="3906" t="e">
        <f t="shared" si="76"/>
        <v>#VALUE!</v>
      </c>
      <c r="DI47" s="3906">
        <f t="shared" si="77"/>
        <v>1</v>
      </c>
      <c r="DJ47" s="3906">
        <f t="shared" si="78"/>
        <v>1</v>
      </c>
      <c r="DK47" s="3906">
        <f>IF(E47&lt;F47,1,0)</f>
        <v>1</v>
      </c>
      <c r="DL47" s="3906">
        <f>IF(G47&lt;H47,1,0)</f>
        <v>1</v>
      </c>
      <c r="DM47" s="3906">
        <f>IF(I47&lt;J47,1,0)</f>
        <v>1</v>
      </c>
      <c r="DN47" s="3906">
        <f>IF(K47&lt;L47,1,0)</f>
        <v>1</v>
      </c>
      <c r="DO47" s="3906">
        <f>IF(M47&lt;N47,1,0)</f>
        <v>1</v>
      </c>
      <c r="DP47" s="3906">
        <f>IF(O47&lt;P47,1,0)</f>
        <v>1</v>
      </c>
      <c r="DQ47" s="3906">
        <f t="shared" si="106"/>
        <v>1</v>
      </c>
      <c r="DR47" s="3906">
        <f t="shared" si="107"/>
        <v>1</v>
      </c>
      <c r="DS47" s="3906">
        <f t="shared" si="108"/>
        <v>1</v>
      </c>
      <c r="DT47" s="3906">
        <f t="shared" si="109"/>
        <v>1</v>
      </c>
      <c r="DU47" s="3906">
        <f t="shared" si="110"/>
        <v>1</v>
      </c>
      <c r="DV47" s="3906">
        <f t="shared" si="111"/>
        <v>1</v>
      </c>
      <c r="DW47" s="3906">
        <f t="shared" si="112"/>
        <v>1</v>
      </c>
      <c r="DX47" s="3906">
        <f t="shared" si="113"/>
        <v>1</v>
      </c>
      <c r="DY47" s="3906">
        <f t="shared" si="114"/>
        <v>1</v>
      </c>
      <c r="DZ47" s="3906">
        <f t="shared" si="115"/>
        <v>1</v>
      </c>
      <c r="EA47" s="3906">
        <f>IF(AK47&lt;AL47,1,0)</f>
        <v>1</v>
      </c>
      <c r="EB47" s="3906">
        <f>IF(AM47&lt;AN47,1,0)</f>
        <v>1</v>
      </c>
      <c r="EC47" s="3906">
        <f>IF(AO47&lt;AP47,1,0)</f>
        <v>1</v>
      </c>
      <c r="ED47" s="3906">
        <f>IF(AQ47&lt;AR47,1,0)</f>
        <v>1</v>
      </c>
    </row>
    <row r="48" spans="1:134" x14ac:dyDescent="0.25">
      <c r="A48" s="5601">
        <v>11054215</v>
      </c>
      <c r="B48" s="3907" t="s">
        <v>1879</v>
      </c>
      <c r="C48" s="3908" t="s">
        <v>4567</v>
      </c>
      <c r="D48" s="344" t="s">
        <v>4568</v>
      </c>
      <c r="E48" s="3918" t="s">
        <v>4569</v>
      </c>
      <c r="F48" s="3910" t="s">
        <v>4570</v>
      </c>
      <c r="G48" s="3909" t="s">
        <v>4571</v>
      </c>
      <c r="H48" s="3910" t="s">
        <v>4572</v>
      </c>
      <c r="I48" s="3909" t="s">
        <v>4573</v>
      </c>
      <c r="J48" s="3910" t="s">
        <v>4574</v>
      </c>
      <c r="K48" s="3909" t="s">
        <v>4575</v>
      </c>
      <c r="L48" s="3910" t="s">
        <v>4576</v>
      </c>
      <c r="M48" s="3909" t="s">
        <v>4577</v>
      </c>
      <c r="N48" s="3911" t="s">
        <v>4578</v>
      </c>
      <c r="O48" s="3918" t="s">
        <v>4579</v>
      </c>
      <c r="P48" s="3910" t="s">
        <v>4580</v>
      </c>
      <c r="Q48" s="3913" t="s">
        <v>4581</v>
      </c>
      <c r="R48" s="3912" t="s">
        <v>4582</v>
      </c>
      <c r="S48" s="3913" t="s">
        <v>4583</v>
      </c>
      <c r="T48" s="3912" t="s">
        <v>4584</v>
      </c>
      <c r="U48" s="3913" t="s">
        <v>4585</v>
      </c>
      <c r="V48" s="3912" t="s">
        <v>4586</v>
      </c>
      <c r="W48" s="3913" t="s">
        <v>4587</v>
      </c>
      <c r="X48" s="3912" t="s">
        <v>4588</v>
      </c>
      <c r="Y48" s="3913" t="s">
        <v>4589</v>
      </c>
      <c r="Z48" s="3912" t="s">
        <v>4590</v>
      </c>
      <c r="AA48" s="3913" t="s">
        <v>4591</v>
      </c>
      <c r="AB48" s="3912" t="s">
        <v>4592</v>
      </c>
      <c r="AC48" s="3913" t="s">
        <v>4593</v>
      </c>
      <c r="AD48" s="3912" t="s">
        <v>4594</v>
      </c>
      <c r="AE48" s="3913" t="s">
        <v>4595</v>
      </c>
      <c r="AF48" s="3912" t="s">
        <v>4596</v>
      </c>
      <c r="AG48" s="3913" t="s">
        <v>4597</v>
      </c>
      <c r="AH48" s="3912" t="s">
        <v>4598</v>
      </c>
      <c r="AI48" s="3913" t="s">
        <v>4599</v>
      </c>
      <c r="AJ48" s="3912" t="s">
        <v>4600</v>
      </c>
      <c r="AK48" s="3913" t="s">
        <v>4601</v>
      </c>
      <c r="AL48" s="3912" t="s">
        <v>4602</v>
      </c>
      <c r="AM48" s="3913" t="s">
        <v>4603</v>
      </c>
      <c r="AN48" s="3912" t="s">
        <v>4604</v>
      </c>
      <c r="AO48" s="3913" t="s">
        <v>4605</v>
      </c>
      <c r="AP48" s="3912" t="s">
        <v>4606</v>
      </c>
      <c r="AQ48" s="3913" t="s">
        <v>4934</v>
      </c>
      <c r="AR48" s="3902" t="s">
        <v>4935</v>
      </c>
      <c r="AS48" s="3904" t="s">
        <v>4936</v>
      </c>
      <c r="AT48" s="3902" t="s">
        <v>4937</v>
      </c>
      <c r="AU48" s="3903" t="s">
        <v>5234</v>
      </c>
      <c r="AV48" s="3902" t="s">
        <v>5235</v>
      </c>
      <c r="AW48" s="3904" t="s">
        <v>5236</v>
      </c>
      <c r="AX48" s="3905" t="s">
        <v>5237</v>
      </c>
      <c r="AY48" s="1864" t="e">
        <f>$CB48&amp;CC48&amp;CD48&amp;$CE48&amp;CK48&amp;CL48&amp;CM48&amp;CN48&amp;CO48&amp;CP48&amp;CQ48&amp;CR48&amp;CS48&amp;CT48&amp;CU48&amp;CV48&amp;CW48&amp;CX48&amp;CY48</f>
        <v>#VALUE!</v>
      </c>
      <c r="CB48" s="1865" t="e">
        <f t="shared" si="94"/>
        <v>#VALUE!</v>
      </c>
      <c r="CC48" s="1865" t="e">
        <f t="shared" si="58"/>
        <v>#VALUE!</v>
      </c>
      <c r="CD48" s="1865" t="str">
        <f t="shared" si="59"/>
        <v xml:space="preserve"> *El Número de Pueblos Originarios no puede superar el Total Procesados. </v>
      </c>
      <c r="CE48" s="1865" t="str">
        <f t="shared" si="60"/>
        <v xml:space="preserve"> *El Número de Migrantes no puede superar el Total Procesados. </v>
      </c>
      <c r="CF48" s="3917"/>
      <c r="CG48" s="3917"/>
      <c r="CH48" s="1868"/>
      <c r="CI48" s="1868"/>
      <c r="CJ48" s="1868"/>
      <c r="CK48" s="3917"/>
      <c r="CL48" s="1865" t="str">
        <f t="shared" si="96"/>
        <v>* El total de Procesados debe ser mayor o igual al total de Reactivos en el grupo de edad 15 - 19 años</v>
      </c>
      <c r="CM48" s="1865" t="str">
        <f t="shared" si="97"/>
        <v>* El total de Procesados debe ser mayor o igual al total de Reactivos en el grupo de edad 20 - 24 años</v>
      </c>
      <c r="CN48" s="1865" t="str">
        <f t="shared" si="98"/>
        <v>* El total de Procesados debe ser mayor o igual al total de Reactivos en el grupo de edad 25 - 29 años</v>
      </c>
      <c r="CO48" s="1865" t="str">
        <f t="shared" si="99"/>
        <v>* El total de Procesados debe ser mayor o igual al total de Reactivos en el grupo de edad 30 - 34 años</v>
      </c>
      <c r="CP48" s="1865" t="str">
        <f t="shared" si="100"/>
        <v>* El total de Procesados debe ser mayor o igual al total de Reactivos en el grupo de edad 35 - 39 años</v>
      </c>
      <c r="CQ48" s="1865" t="str">
        <f t="shared" si="101"/>
        <v>* El total de Procesados debe ser mayor o igual al total de Reactivos en el grupo de edad 40 - 44 años</v>
      </c>
      <c r="CR48" s="1865" t="str">
        <f t="shared" si="102"/>
        <v>* El total de Procesados debe ser mayor o igual al total de Reactivos en el grupo de edad 45 - 49 años</v>
      </c>
      <c r="CS48" s="1865" t="str">
        <f t="shared" si="103"/>
        <v>* El total de Procesados debe ser mayor o igual al total de Reactivos en el grupo de edad 50 - 54 años</v>
      </c>
      <c r="CT48" s="1865" t="str">
        <f t="shared" si="104"/>
        <v>* El total de Procesados debe ser mayor o igual al total de Reactivos en el grupo de edad 55 - 59 años</v>
      </c>
      <c r="CU48" s="1865" t="str">
        <f t="shared" si="105"/>
        <v>* El total de Procesados debe ser mayor o igual al total de Reactivos en el grupo de edad 60 - 64 años</v>
      </c>
      <c r="CV48" s="1865" t="str">
        <f>IF(AK48&lt;AL48,CONCATENATE("* El total de Procesados debe ser mayor o igual al total de Reactivos en el grupo de edad ",$AK$11),"")</f>
        <v>* El total de Procesados debe ser mayor o igual al total de Reactivos en el grupo de edad 65 - 69 años</v>
      </c>
      <c r="CW48" s="1865" t="str">
        <f>IF(AM48&lt;AN48,CONCATENATE("* El total de Procesados debe ser mayor o igual al total de Reactivos en el grupo de edad ",$AM$11),"")</f>
        <v>* El total de Procesados debe ser mayor o igual al total de Reactivos en el grupo de edad 70 - 74 años</v>
      </c>
      <c r="CX48" s="1865" t="str">
        <f>IF(AO48&lt;AP48,CONCATENATE("* El total de Procesados debe ser mayor o igual al total de Reactivos en el grupo de edad ",$AO$11),"")</f>
        <v>* El total de Procesados debe ser mayor o igual al total de Reactivos en el grupo de edad 75 - 79 años</v>
      </c>
      <c r="CY48" s="1865" t="str">
        <f>IF(AQ48&lt;AR48,CONCATENATE("* El total de Procesados debe ser mayor o igual al total de Reactivos en el grupo de edad ",$AQ$11),"")</f>
        <v>* El total de Procesados debe ser mayor o igual al total de Reactivos en el grupo de edad 80 y más años</v>
      </c>
      <c r="DF48" s="1936"/>
      <c r="DG48" s="3922" t="e">
        <f t="shared" si="95"/>
        <v>#VALUE!</v>
      </c>
      <c r="DH48" s="3906" t="e">
        <f t="shared" si="76"/>
        <v>#VALUE!</v>
      </c>
      <c r="DI48" s="3906">
        <f t="shared" si="77"/>
        <v>1</v>
      </c>
      <c r="DJ48" s="3906">
        <f t="shared" si="78"/>
        <v>1</v>
      </c>
      <c r="DK48" s="1868"/>
      <c r="DL48" s="1868"/>
      <c r="DM48" s="1868"/>
      <c r="DN48" s="1868"/>
      <c r="DO48" s="1868"/>
      <c r="DP48" s="1866"/>
      <c r="DQ48" s="3906">
        <f t="shared" si="106"/>
        <v>1</v>
      </c>
      <c r="DR48" s="3906">
        <f t="shared" si="107"/>
        <v>1</v>
      </c>
      <c r="DS48" s="3906">
        <f t="shared" si="108"/>
        <v>1</v>
      </c>
      <c r="DT48" s="3906">
        <f t="shared" si="109"/>
        <v>1</v>
      </c>
      <c r="DU48" s="3906">
        <f t="shared" si="110"/>
        <v>1</v>
      </c>
      <c r="DV48" s="3906">
        <f t="shared" si="111"/>
        <v>1</v>
      </c>
      <c r="DW48" s="3906">
        <f t="shared" si="112"/>
        <v>1</v>
      </c>
      <c r="DX48" s="3906">
        <f t="shared" si="113"/>
        <v>1</v>
      </c>
      <c r="DY48" s="3906">
        <f t="shared" si="114"/>
        <v>1</v>
      </c>
      <c r="DZ48" s="3906">
        <f t="shared" si="115"/>
        <v>1</v>
      </c>
      <c r="EA48" s="3906">
        <f>IF(AK48&lt;AL48,1,0)</f>
        <v>1</v>
      </c>
      <c r="EB48" s="3906">
        <f>IF(AM48&lt;AN48,1,0)</f>
        <v>1</v>
      </c>
      <c r="EC48" s="3906">
        <f>IF(AO48&lt;AP48,1,0)</f>
        <v>1</v>
      </c>
      <c r="ED48" s="3906">
        <f>IF(AQ48&lt;AR48,1,0)</f>
        <v>1</v>
      </c>
    </row>
    <row r="49" spans="1:134" x14ac:dyDescent="0.25">
      <c r="A49" s="5601">
        <v>11054216</v>
      </c>
      <c r="B49" s="3923" t="s">
        <v>1880</v>
      </c>
      <c r="C49" s="3908" t="s">
        <v>4567</v>
      </c>
      <c r="D49" s="344" t="s">
        <v>4568</v>
      </c>
      <c r="E49" s="3918" t="s">
        <v>4569</v>
      </c>
      <c r="F49" s="3910" t="s">
        <v>4570</v>
      </c>
      <c r="G49" s="3909" t="s">
        <v>4571</v>
      </c>
      <c r="H49" s="3910" t="s">
        <v>4572</v>
      </c>
      <c r="I49" s="3909" t="s">
        <v>4573</v>
      </c>
      <c r="J49" s="3910" t="s">
        <v>4574</v>
      </c>
      <c r="K49" s="3909" t="s">
        <v>4575</v>
      </c>
      <c r="L49" s="3910" t="s">
        <v>4576</v>
      </c>
      <c r="M49" s="3909" t="s">
        <v>4577</v>
      </c>
      <c r="N49" s="3911" t="s">
        <v>4578</v>
      </c>
      <c r="O49" s="3918" t="s">
        <v>4579</v>
      </c>
      <c r="P49" s="3910" t="s">
        <v>4580</v>
      </c>
      <c r="Q49" s="3913" t="s">
        <v>4581</v>
      </c>
      <c r="R49" s="3912" t="s">
        <v>4582</v>
      </c>
      <c r="S49" s="3913" t="s">
        <v>4583</v>
      </c>
      <c r="T49" s="3912" t="s">
        <v>4584</v>
      </c>
      <c r="U49" s="3913" t="s">
        <v>4585</v>
      </c>
      <c r="V49" s="3912" t="s">
        <v>4586</v>
      </c>
      <c r="W49" s="3913" t="s">
        <v>4587</v>
      </c>
      <c r="X49" s="3912" t="s">
        <v>4588</v>
      </c>
      <c r="Y49" s="3913" t="s">
        <v>4589</v>
      </c>
      <c r="Z49" s="3912" t="s">
        <v>4590</v>
      </c>
      <c r="AA49" s="3913" t="s">
        <v>4591</v>
      </c>
      <c r="AB49" s="3912" t="s">
        <v>4592</v>
      </c>
      <c r="AC49" s="3913" t="s">
        <v>4593</v>
      </c>
      <c r="AD49" s="3912" t="s">
        <v>4594</v>
      </c>
      <c r="AE49" s="3913" t="s">
        <v>4595</v>
      </c>
      <c r="AF49" s="3912" t="s">
        <v>4596</v>
      </c>
      <c r="AG49" s="3913" t="s">
        <v>4597</v>
      </c>
      <c r="AH49" s="3912" t="s">
        <v>4598</v>
      </c>
      <c r="AI49" s="3913" t="s">
        <v>4599</v>
      </c>
      <c r="AJ49" s="3912" t="s">
        <v>4600</v>
      </c>
      <c r="AK49" s="3909" t="s">
        <v>4601</v>
      </c>
      <c r="AL49" s="3910" t="s">
        <v>4602</v>
      </c>
      <c r="AM49" s="3909" t="s">
        <v>4603</v>
      </c>
      <c r="AN49" s="3910" t="s">
        <v>4604</v>
      </c>
      <c r="AO49" s="3909" t="s">
        <v>4605</v>
      </c>
      <c r="AP49" s="3910" t="s">
        <v>4606</v>
      </c>
      <c r="AQ49" s="3909" t="s">
        <v>4934</v>
      </c>
      <c r="AR49" s="3920" t="s">
        <v>4935</v>
      </c>
      <c r="AS49" s="3904" t="s">
        <v>4936</v>
      </c>
      <c r="AT49" s="3902" t="s">
        <v>4937</v>
      </c>
      <c r="AU49" s="3903" t="s">
        <v>5234</v>
      </c>
      <c r="AV49" s="3902" t="s">
        <v>5235</v>
      </c>
      <c r="AW49" s="3904" t="s">
        <v>5236</v>
      </c>
      <c r="AX49" s="3905" t="s">
        <v>5237</v>
      </c>
      <c r="AY49" s="1864" t="e">
        <f>$CB49&amp;CC49&amp;CD49&amp;$CE49&amp;CL49&amp;CM49&amp;CN49&amp;CO49&amp;CP49&amp;CQ49&amp;CR49&amp;CS49&amp;CT49&amp;CU49</f>
        <v>#VALUE!</v>
      </c>
      <c r="CB49" s="1865" t="e">
        <f t="shared" si="94"/>
        <v>#VALUE!</v>
      </c>
      <c r="CC49" s="1865" t="e">
        <f t="shared" si="58"/>
        <v>#VALUE!</v>
      </c>
      <c r="CD49" s="1865" t="str">
        <f t="shared" si="59"/>
        <v xml:space="preserve"> *El Número de Pueblos Originarios no puede superar el Total Procesados. </v>
      </c>
      <c r="CE49" s="1865" t="str">
        <f t="shared" si="60"/>
        <v xml:space="preserve"> *El Número de Migrantes no puede superar el Total Procesados. </v>
      </c>
      <c r="CF49" s="3917"/>
      <c r="CG49" s="3917"/>
      <c r="CH49" s="1868"/>
      <c r="CI49" s="1868"/>
      <c r="CJ49" s="1868"/>
      <c r="CK49" s="3917"/>
      <c r="CL49" s="1865" t="str">
        <f t="shared" si="96"/>
        <v>* El total de Procesados debe ser mayor o igual al total de Reactivos en el grupo de edad 15 - 19 años</v>
      </c>
      <c r="CM49" s="1865" t="str">
        <f t="shared" si="97"/>
        <v>* El total de Procesados debe ser mayor o igual al total de Reactivos en el grupo de edad 20 - 24 años</v>
      </c>
      <c r="CN49" s="1865" t="str">
        <f t="shared" si="98"/>
        <v>* El total de Procesados debe ser mayor o igual al total de Reactivos en el grupo de edad 25 - 29 años</v>
      </c>
      <c r="CO49" s="1865" t="str">
        <f t="shared" si="99"/>
        <v>* El total de Procesados debe ser mayor o igual al total de Reactivos en el grupo de edad 30 - 34 años</v>
      </c>
      <c r="CP49" s="1865" t="str">
        <f t="shared" si="100"/>
        <v>* El total de Procesados debe ser mayor o igual al total de Reactivos en el grupo de edad 35 - 39 años</v>
      </c>
      <c r="CQ49" s="1865" t="str">
        <f t="shared" si="101"/>
        <v>* El total de Procesados debe ser mayor o igual al total de Reactivos en el grupo de edad 40 - 44 años</v>
      </c>
      <c r="CR49" s="1865" t="str">
        <f t="shared" si="102"/>
        <v>* El total de Procesados debe ser mayor o igual al total de Reactivos en el grupo de edad 45 - 49 años</v>
      </c>
      <c r="CS49" s="1865" t="str">
        <f t="shared" si="103"/>
        <v>* El total de Procesados debe ser mayor o igual al total de Reactivos en el grupo de edad 50 - 54 años</v>
      </c>
      <c r="CT49" s="1865" t="str">
        <f t="shared" si="104"/>
        <v>* El total de Procesados debe ser mayor o igual al total de Reactivos en el grupo de edad 55 - 59 años</v>
      </c>
      <c r="CU49" s="1865" t="str">
        <f t="shared" si="105"/>
        <v>* El total de Procesados debe ser mayor o igual al total de Reactivos en el grupo de edad 60 - 64 años</v>
      </c>
      <c r="CV49" s="1866"/>
      <c r="CW49" s="1866"/>
      <c r="CX49" s="1866"/>
      <c r="CY49" s="1866"/>
      <c r="DF49" s="1936"/>
      <c r="DG49" s="3922" t="e">
        <f t="shared" si="95"/>
        <v>#VALUE!</v>
      </c>
      <c r="DH49" s="3906" t="e">
        <f t="shared" si="76"/>
        <v>#VALUE!</v>
      </c>
      <c r="DI49" s="3906">
        <f t="shared" si="77"/>
        <v>1</v>
      </c>
      <c r="DJ49" s="3906">
        <f t="shared" si="78"/>
        <v>1</v>
      </c>
      <c r="DK49" s="1868"/>
      <c r="DL49" s="1868"/>
      <c r="DM49" s="1868"/>
      <c r="DN49" s="1868"/>
      <c r="DO49" s="1868"/>
      <c r="DP49" s="1866"/>
      <c r="DQ49" s="3906">
        <f t="shared" si="106"/>
        <v>1</v>
      </c>
      <c r="DR49" s="3906">
        <f t="shared" si="107"/>
        <v>1</v>
      </c>
      <c r="DS49" s="3906">
        <f t="shared" si="108"/>
        <v>1</v>
      </c>
      <c r="DT49" s="3906">
        <f t="shared" si="109"/>
        <v>1</v>
      </c>
      <c r="DU49" s="3906">
        <f t="shared" si="110"/>
        <v>1</v>
      </c>
      <c r="DV49" s="3906">
        <f t="shared" si="111"/>
        <v>1</v>
      </c>
      <c r="DW49" s="3906">
        <f t="shared" si="112"/>
        <v>1</v>
      </c>
      <c r="DX49" s="3906">
        <f t="shared" si="113"/>
        <v>1</v>
      </c>
      <c r="DY49" s="3906">
        <f t="shared" si="114"/>
        <v>1</v>
      </c>
      <c r="DZ49" s="3906">
        <f t="shared" si="115"/>
        <v>1</v>
      </c>
      <c r="EA49" s="1866"/>
      <c r="EB49" s="1866"/>
      <c r="EC49" s="1866"/>
      <c r="ED49" s="1866"/>
    </row>
    <row r="50" spans="1:134" x14ac:dyDescent="0.25">
      <c r="A50" s="5601">
        <v>11054217</v>
      </c>
      <c r="B50" s="3923" t="s">
        <v>1881</v>
      </c>
      <c r="C50" s="3908" t="s">
        <v>4567</v>
      </c>
      <c r="D50" s="344" t="s">
        <v>4568</v>
      </c>
      <c r="E50" s="3904" t="s">
        <v>4569</v>
      </c>
      <c r="F50" s="3912" t="s">
        <v>4570</v>
      </c>
      <c r="G50" s="3913" t="s">
        <v>4571</v>
      </c>
      <c r="H50" s="3912" t="s">
        <v>4572</v>
      </c>
      <c r="I50" s="3913" t="s">
        <v>4573</v>
      </c>
      <c r="J50" s="3905" t="s">
        <v>4574</v>
      </c>
      <c r="K50" s="3904" t="s">
        <v>4575</v>
      </c>
      <c r="L50" s="3904" t="s">
        <v>4576</v>
      </c>
      <c r="M50" s="3913" t="s">
        <v>4577</v>
      </c>
      <c r="N50" s="3905" t="s">
        <v>4578</v>
      </c>
      <c r="O50" s="3904" t="s">
        <v>4579</v>
      </c>
      <c r="P50" s="3912" t="s">
        <v>4580</v>
      </c>
      <c r="Q50" s="3913" t="s">
        <v>4581</v>
      </c>
      <c r="R50" s="3912" t="s">
        <v>4582</v>
      </c>
      <c r="S50" s="3913" t="s">
        <v>4583</v>
      </c>
      <c r="T50" s="3912" t="s">
        <v>4584</v>
      </c>
      <c r="U50" s="3913" t="s">
        <v>4585</v>
      </c>
      <c r="V50" s="3912" t="s">
        <v>4586</v>
      </c>
      <c r="W50" s="3913" t="s">
        <v>4587</v>
      </c>
      <c r="X50" s="3912" t="s">
        <v>4588</v>
      </c>
      <c r="Y50" s="3913" t="s">
        <v>4589</v>
      </c>
      <c r="Z50" s="3912" t="s">
        <v>4590</v>
      </c>
      <c r="AA50" s="3913" t="s">
        <v>4591</v>
      </c>
      <c r="AB50" s="3912" t="s">
        <v>4592</v>
      </c>
      <c r="AC50" s="3913" t="s">
        <v>4593</v>
      </c>
      <c r="AD50" s="3912" t="s">
        <v>4594</v>
      </c>
      <c r="AE50" s="3913" t="s">
        <v>4595</v>
      </c>
      <c r="AF50" s="3912" t="s">
        <v>4596</v>
      </c>
      <c r="AG50" s="3913" t="s">
        <v>4597</v>
      </c>
      <c r="AH50" s="3912" t="s">
        <v>4598</v>
      </c>
      <c r="AI50" s="3913" t="s">
        <v>4599</v>
      </c>
      <c r="AJ50" s="3912" t="s">
        <v>4600</v>
      </c>
      <c r="AK50" s="3913" t="s">
        <v>4601</v>
      </c>
      <c r="AL50" s="3912" t="s">
        <v>4602</v>
      </c>
      <c r="AM50" s="3913" t="s">
        <v>4603</v>
      </c>
      <c r="AN50" s="3912" t="s">
        <v>4604</v>
      </c>
      <c r="AO50" s="3913" t="s">
        <v>4605</v>
      </c>
      <c r="AP50" s="3912" t="s">
        <v>4606</v>
      </c>
      <c r="AQ50" s="3913" t="s">
        <v>4934</v>
      </c>
      <c r="AR50" s="3902" t="s">
        <v>4935</v>
      </c>
      <c r="AS50" s="3904" t="s">
        <v>4936</v>
      </c>
      <c r="AT50" s="3902" t="s">
        <v>4937</v>
      </c>
      <c r="AU50" s="3903" t="s">
        <v>5234</v>
      </c>
      <c r="AV50" s="3902" t="s">
        <v>5235</v>
      </c>
      <c r="AW50" s="3904" t="s">
        <v>5236</v>
      </c>
      <c r="AX50" s="3905" t="s">
        <v>5237</v>
      </c>
      <c r="AY50" s="1864" t="e">
        <f>$CB50&amp;CC50&amp;CD50&amp;$CE50&amp;CK50&amp;CL50&amp;CM50&amp;CN50&amp;CO50&amp;CP50&amp;CQ50&amp;CR50&amp;CS50&amp;CT50&amp;CU50&amp;CV50&amp;CW50&amp;CX50&amp;CY50&amp;CF50&amp;CG50&amp;CH50&amp;CI50&amp;CJ50</f>
        <v>#VALUE!</v>
      </c>
      <c r="CB50" s="1865" t="e">
        <f t="shared" si="94"/>
        <v>#VALUE!</v>
      </c>
      <c r="CC50" s="1865" t="e">
        <f t="shared" si="58"/>
        <v>#VALUE!</v>
      </c>
      <c r="CD50" s="1865" t="str">
        <f t="shared" si="59"/>
        <v xml:space="preserve"> *El Número de Pueblos Originarios no puede superar el Total Procesados. </v>
      </c>
      <c r="CE50" s="1865" t="str">
        <f t="shared" si="60"/>
        <v xml:space="preserve"> *El Número de Migrantes no puede superar el Total Procesados. </v>
      </c>
      <c r="CF50" s="1865" t="str">
        <f>IF(E50&lt;F50,CONCATENATE("* El total de Procesados debe ser mayor o igual al total de Reactivos en el grupo de edad ",$E$11),"")</f>
        <v>* El total de Procesados debe ser mayor o igual al total de Reactivos en el grupo de edad Menos de 6 meses</v>
      </c>
      <c r="CG50" s="1865" t="str">
        <f>IF(G50&lt;H50,CONCATENATE("* El total de Procesados debe ser mayor o igual al total de Reactivos en el grupo de edad ",$G$11),"")</f>
        <v>* El total de Procesados debe ser mayor o igual al total de Reactivos en el grupo de edad 6 - 11 meses</v>
      </c>
      <c r="CH50" s="1865" t="str">
        <f>IF(I50&lt;J50,CONCATENATE("* El total de Procesados debe ser mayor o igual al total de Reactivos en el grupo de edad ",$I$11),"")</f>
        <v>* El total de Procesados debe ser mayor o igual al total de Reactivos en el grupo de edad 12-24 meses</v>
      </c>
      <c r="CI50" s="1865" t="str">
        <f>IF(K50&lt;L50,CONCATENATE("* El total de Procesados debe ser mayor o igual al total de Reactivos en el grupo de edad ",$K$11),"")</f>
        <v>* El total de Procesados debe ser mayor o igual al total de Reactivos en el grupo de edad 3 - 4 años</v>
      </c>
      <c r="CJ50" s="1865" t="str">
        <f>IF(M50&lt;N50,CONCATENATE("* El total de Procesados debe ser mayor o igual al total de Reactivos en el grupo de edad ",$M$11),"")</f>
        <v>* El total de Procesados debe ser mayor o igual al total de Reactivos en el grupo de edad 5 - 9 años</v>
      </c>
      <c r="CK50" s="1865" t="str">
        <f>IF(O50&lt;P50,CONCATENATE("* El total de Procesados debe ser mayor o igual al total de Reactivos en el grupo de edad ",$O$11),"")</f>
        <v>* El total de Procesados debe ser mayor o igual al total de Reactivos en el grupo de edad 10 - 14 años</v>
      </c>
      <c r="CL50" s="1865" t="str">
        <f t="shared" si="96"/>
        <v>* El total de Procesados debe ser mayor o igual al total de Reactivos en el grupo de edad 15 - 19 años</v>
      </c>
      <c r="CM50" s="1865" t="str">
        <f t="shared" si="97"/>
        <v>* El total de Procesados debe ser mayor o igual al total de Reactivos en el grupo de edad 20 - 24 años</v>
      </c>
      <c r="CN50" s="1865" t="str">
        <f t="shared" si="98"/>
        <v>* El total de Procesados debe ser mayor o igual al total de Reactivos en el grupo de edad 25 - 29 años</v>
      </c>
      <c r="CO50" s="1865" t="str">
        <f t="shared" si="99"/>
        <v>* El total de Procesados debe ser mayor o igual al total de Reactivos en el grupo de edad 30 - 34 años</v>
      </c>
      <c r="CP50" s="1865" t="str">
        <f t="shared" si="100"/>
        <v>* El total de Procesados debe ser mayor o igual al total de Reactivos en el grupo de edad 35 - 39 años</v>
      </c>
      <c r="CQ50" s="1865" t="str">
        <f t="shared" si="101"/>
        <v>* El total de Procesados debe ser mayor o igual al total de Reactivos en el grupo de edad 40 - 44 años</v>
      </c>
      <c r="CR50" s="1865" t="str">
        <f t="shared" si="102"/>
        <v>* El total de Procesados debe ser mayor o igual al total de Reactivos en el grupo de edad 45 - 49 años</v>
      </c>
      <c r="CS50" s="1865" t="str">
        <f t="shared" si="103"/>
        <v>* El total de Procesados debe ser mayor o igual al total de Reactivos en el grupo de edad 50 - 54 años</v>
      </c>
      <c r="CT50" s="1865" t="str">
        <f t="shared" si="104"/>
        <v>* El total de Procesados debe ser mayor o igual al total de Reactivos en el grupo de edad 55 - 59 años</v>
      </c>
      <c r="CU50" s="1865" t="str">
        <f t="shared" si="105"/>
        <v>* El total de Procesados debe ser mayor o igual al total de Reactivos en el grupo de edad 60 - 64 años</v>
      </c>
      <c r="CV50" s="1865" t="str">
        <f>IF(AK50&lt;AL50,CONCATENATE("* El total de Procesados debe ser mayor o igual al total de Reactivos en el grupo de edad ",$AK$11),"")</f>
        <v>* El total de Procesados debe ser mayor o igual al total de Reactivos en el grupo de edad 65 - 69 años</v>
      </c>
      <c r="CW50" s="1865" t="str">
        <f>IF(AM50&lt;AN50,CONCATENATE("* El total de Procesados debe ser mayor o igual al total de Reactivos en el grupo de edad ",$AM$11),"")</f>
        <v>* El total de Procesados debe ser mayor o igual al total de Reactivos en el grupo de edad 70 - 74 años</v>
      </c>
      <c r="CX50" s="1865" t="str">
        <f>IF(AO50&lt;AP50,CONCATENATE("* El total de Procesados debe ser mayor o igual al total de Reactivos en el grupo de edad ",$AO$11),"")</f>
        <v>* El total de Procesados debe ser mayor o igual al total de Reactivos en el grupo de edad 75 - 79 años</v>
      </c>
      <c r="CY50" s="1865" t="str">
        <f>IF(AQ50&lt;AR50,CONCATENATE("* El total de Procesados debe ser mayor o igual al total de Reactivos en el grupo de edad ",$AQ$11),"")</f>
        <v>* El total de Procesados debe ser mayor o igual al total de Reactivos en el grupo de edad 80 y más años</v>
      </c>
      <c r="DF50" s="1936"/>
      <c r="DG50" s="3922" t="e">
        <f t="shared" si="95"/>
        <v>#VALUE!</v>
      </c>
      <c r="DH50" s="3906" t="e">
        <f t="shared" si="76"/>
        <v>#VALUE!</v>
      </c>
      <c r="DI50" s="3906">
        <f t="shared" si="77"/>
        <v>1</v>
      </c>
      <c r="DJ50" s="3906">
        <f t="shared" si="78"/>
        <v>1</v>
      </c>
      <c r="DK50" s="3906">
        <f>IF(E50&lt;F50,1,0)</f>
        <v>1</v>
      </c>
      <c r="DL50" s="3906">
        <f>IF(G50&lt;H50,1,0)</f>
        <v>1</v>
      </c>
      <c r="DM50" s="3906">
        <f>IF(I50&lt;J50,1,0)</f>
        <v>1</v>
      </c>
      <c r="DN50" s="3906">
        <f>IF(K50&lt;L50,1,0)</f>
        <v>1</v>
      </c>
      <c r="DO50" s="3906">
        <f>IF(M50&lt;N50,1,0)</f>
        <v>1</v>
      </c>
      <c r="DP50" s="3906">
        <f>IF(O50&lt;P50,1,0)</f>
        <v>1</v>
      </c>
      <c r="DQ50" s="3906">
        <f t="shared" si="106"/>
        <v>1</v>
      </c>
      <c r="DR50" s="3906">
        <f t="shared" si="107"/>
        <v>1</v>
      </c>
      <c r="DS50" s="3906">
        <f t="shared" si="108"/>
        <v>1</v>
      </c>
      <c r="DT50" s="3906">
        <f t="shared" si="109"/>
        <v>1</v>
      </c>
      <c r="DU50" s="3906">
        <f t="shared" si="110"/>
        <v>1</v>
      </c>
      <c r="DV50" s="3906">
        <f t="shared" si="111"/>
        <v>1</v>
      </c>
      <c r="DW50" s="3906">
        <f t="shared" si="112"/>
        <v>1</v>
      </c>
      <c r="DX50" s="3906">
        <f t="shared" si="113"/>
        <v>1</v>
      </c>
      <c r="DY50" s="3906">
        <f t="shared" si="114"/>
        <v>1</v>
      </c>
      <c r="DZ50" s="3906">
        <f t="shared" si="115"/>
        <v>1</v>
      </c>
      <c r="EA50" s="3906">
        <f>IF(AK50&lt;AL50,1,0)</f>
        <v>1</v>
      </c>
      <c r="EB50" s="3906">
        <f>IF(AM50&lt;AN50,1,0)</f>
        <v>1</v>
      </c>
      <c r="EC50" s="3906">
        <f>IF(AO50&lt;AP50,1,0)</f>
        <v>1</v>
      </c>
      <c r="ED50" s="3906">
        <f>IF(AQ50&lt;AR50,1,0)</f>
        <v>1</v>
      </c>
    </row>
    <row r="51" spans="1:134" x14ac:dyDescent="0.25">
      <c r="A51" s="5601">
        <v>11054218</v>
      </c>
      <c r="B51" s="3923" t="s">
        <v>1882</v>
      </c>
      <c r="C51" s="3908" t="s">
        <v>4567</v>
      </c>
      <c r="D51" s="344" t="s">
        <v>4568</v>
      </c>
      <c r="E51" s="3904" t="s">
        <v>4569</v>
      </c>
      <c r="F51" s="3912" t="s">
        <v>4570</v>
      </c>
      <c r="G51" s="3913" t="s">
        <v>4571</v>
      </c>
      <c r="H51" s="3912" t="s">
        <v>4572</v>
      </c>
      <c r="I51" s="3913" t="s">
        <v>4573</v>
      </c>
      <c r="J51" s="3905" t="s">
        <v>4574</v>
      </c>
      <c r="K51" s="3904" t="s">
        <v>4575</v>
      </c>
      <c r="L51" s="3904" t="s">
        <v>4576</v>
      </c>
      <c r="M51" s="3913" t="s">
        <v>4577</v>
      </c>
      <c r="N51" s="3905" t="s">
        <v>4578</v>
      </c>
      <c r="O51" s="3904" t="s">
        <v>4579</v>
      </c>
      <c r="P51" s="3912" t="s">
        <v>4580</v>
      </c>
      <c r="Q51" s="3913" t="s">
        <v>4581</v>
      </c>
      <c r="R51" s="3912" t="s">
        <v>4582</v>
      </c>
      <c r="S51" s="3913" t="s">
        <v>4583</v>
      </c>
      <c r="T51" s="3912" t="s">
        <v>4584</v>
      </c>
      <c r="U51" s="3913" t="s">
        <v>4585</v>
      </c>
      <c r="V51" s="3912" t="s">
        <v>4586</v>
      </c>
      <c r="W51" s="3913" t="s">
        <v>4587</v>
      </c>
      <c r="X51" s="3912" t="s">
        <v>4588</v>
      </c>
      <c r="Y51" s="3913" t="s">
        <v>4589</v>
      </c>
      <c r="Z51" s="3912" t="s">
        <v>4590</v>
      </c>
      <c r="AA51" s="3913" t="s">
        <v>4591</v>
      </c>
      <c r="AB51" s="3912" t="s">
        <v>4592</v>
      </c>
      <c r="AC51" s="3913" t="s">
        <v>4593</v>
      </c>
      <c r="AD51" s="3912" t="s">
        <v>4594</v>
      </c>
      <c r="AE51" s="3913" t="s">
        <v>4595</v>
      </c>
      <c r="AF51" s="3912" t="s">
        <v>4596</v>
      </c>
      <c r="AG51" s="3913" t="s">
        <v>4597</v>
      </c>
      <c r="AH51" s="3912" t="s">
        <v>4598</v>
      </c>
      <c r="AI51" s="3913" t="s">
        <v>4599</v>
      </c>
      <c r="AJ51" s="3912" t="s">
        <v>4600</v>
      </c>
      <c r="AK51" s="3913" t="s">
        <v>4601</v>
      </c>
      <c r="AL51" s="3912" t="s">
        <v>4602</v>
      </c>
      <c r="AM51" s="3913" t="s">
        <v>4603</v>
      </c>
      <c r="AN51" s="3912" t="s">
        <v>4604</v>
      </c>
      <c r="AO51" s="3913" t="s">
        <v>4605</v>
      </c>
      <c r="AP51" s="3912" t="s">
        <v>4606</v>
      </c>
      <c r="AQ51" s="3913" t="s">
        <v>4934</v>
      </c>
      <c r="AR51" s="3902" t="s">
        <v>4935</v>
      </c>
      <c r="AS51" s="3904" t="s">
        <v>4936</v>
      </c>
      <c r="AT51" s="3902" t="s">
        <v>4937</v>
      </c>
      <c r="AU51" s="3903" t="s">
        <v>5234</v>
      </c>
      <c r="AV51" s="3902" t="s">
        <v>5235</v>
      </c>
      <c r="AW51" s="3904" t="s">
        <v>5236</v>
      </c>
      <c r="AX51" s="3905" t="s">
        <v>5237</v>
      </c>
      <c r="AY51" s="1864" t="e">
        <f>$CB51&amp;CC51&amp;CD51&amp;$CE51&amp;CK51&amp;CL51&amp;CM51&amp;CN51&amp;CO51&amp;CP51&amp;CQ51&amp;CR51&amp;CS51&amp;CT51&amp;CU51&amp;CV51&amp;CW51&amp;CX51&amp;CY51&amp;CF51&amp;CG51&amp;CH51&amp;CI51&amp;CJ51</f>
        <v>#VALUE!</v>
      </c>
      <c r="CB51" s="1865" t="e">
        <f t="shared" si="94"/>
        <v>#VALUE!</v>
      </c>
      <c r="CC51" s="1865" t="e">
        <f t="shared" si="58"/>
        <v>#VALUE!</v>
      </c>
      <c r="CD51" s="1865" t="str">
        <f t="shared" si="59"/>
        <v xml:space="preserve"> *El Número de Pueblos Originarios no puede superar el Total Procesados. </v>
      </c>
      <c r="CE51" s="1865" t="str">
        <f t="shared" si="60"/>
        <v xml:space="preserve"> *El Número de Migrantes no puede superar el Total Procesados. </v>
      </c>
      <c r="CF51" s="1865" t="str">
        <f>IF(E51&lt;F51,CONCATENATE("* El total de Procesados debe ser mayor o igual al total de Reactivos en el grupo de edad ",$E$11),"")</f>
        <v>* El total de Procesados debe ser mayor o igual al total de Reactivos en el grupo de edad Menos de 6 meses</v>
      </c>
      <c r="CG51" s="1865" t="str">
        <f>IF(G51&lt;H51,CONCATENATE("* El total de Procesados debe ser mayor o igual al total de Reactivos en el grupo de edad ",$G$11),"")</f>
        <v>* El total de Procesados debe ser mayor o igual al total de Reactivos en el grupo de edad 6 - 11 meses</v>
      </c>
      <c r="CH51" s="1865" t="str">
        <f>IF(I51&lt;J51,CONCATENATE("* El total de Procesados debe ser mayor o igual al total de Reactivos en el grupo de edad ",$I$11),"")</f>
        <v>* El total de Procesados debe ser mayor o igual al total de Reactivos en el grupo de edad 12-24 meses</v>
      </c>
      <c r="CI51" s="1865" t="str">
        <f>IF(K51&lt;L51,CONCATENATE("* El total de Procesados debe ser mayor o igual al total de Reactivos en el grupo de edad ",$K$11),"")</f>
        <v>* El total de Procesados debe ser mayor o igual al total de Reactivos en el grupo de edad 3 - 4 años</v>
      </c>
      <c r="CJ51" s="1865" t="str">
        <f>IF(M51&lt;N51,CONCATENATE("* El total de Procesados debe ser mayor o igual al total de Reactivos en el grupo de edad ",$M$11),"")</f>
        <v>* El total de Procesados debe ser mayor o igual al total de Reactivos en el grupo de edad 5 - 9 años</v>
      </c>
      <c r="CK51" s="1865" t="str">
        <f>IF(O51&lt;P51,CONCATENATE("* El total de Procesados debe ser mayor o igual al total de Reactivos en el grupo de edad ",$O$11),"")</f>
        <v>* El total de Procesados debe ser mayor o igual al total de Reactivos en el grupo de edad 10 - 14 años</v>
      </c>
      <c r="CL51" s="1865" t="str">
        <f t="shared" si="96"/>
        <v>* El total de Procesados debe ser mayor o igual al total de Reactivos en el grupo de edad 15 - 19 años</v>
      </c>
      <c r="CM51" s="1865" t="str">
        <f t="shared" si="97"/>
        <v>* El total de Procesados debe ser mayor o igual al total de Reactivos en el grupo de edad 20 - 24 años</v>
      </c>
      <c r="CN51" s="1865" t="str">
        <f t="shared" si="98"/>
        <v>* El total de Procesados debe ser mayor o igual al total de Reactivos en el grupo de edad 25 - 29 años</v>
      </c>
      <c r="CO51" s="1865" t="str">
        <f t="shared" si="99"/>
        <v>* El total de Procesados debe ser mayor o igual al total de Reactivos en el grupo de edad 30 - 34 años</v>
      </c>
      <c r="CP51" s="1865" t="str">
        <f t="shared" si="100"/>
        <v>* El total de Procesados debe ser mayor o igual al total de Reactivos en el grupo de edad 35 - 39 años</v>
      </c>
      <c r="CQ51" s="1865" t="str">
        <f t="shared" si="101"/>
        <v>* El total de Procesados debe ser mayor o igual al total de Reactivos en el grupo de edad 40 - 44 años</v>
      </c>
      <c r="CR51" s="1865" t="str">
        <f t="shared" si="102"/>
        <v>* El total de Procesados debe ser mayor o igual al total de Reactivos en el grupo de edad 45 - 49 años</v>
      </c>
      <c r="CS51" s="1865" t="str">
        <f t="shared" si="103"/>
        <v>* El total de Procesados debe ser mayor o igual al total de Reactivos en el grupo de edad 50 - 54 años</v>
      </c>
      <c r="CT51" s="1865" t="str">
        <f t="shared" si="104"/>
        <v>* El total de Procesados debe ser mayor o igual al total de Reactivos en el grupo de edad 55 - 59 años</v>
      </c>
      <c r="CU51" s="1865" t="str">
        <f t="shared" si="105"/>
        <v>* El total de Procesados debe ser mayor o igual al total de Reactivos en el grupo de edad 60 - 64 años</v>
      </c>
      <c r="CV51" s="1865" t="str">
        <f>IF(AK51&lt;AL51,CONCATENATE("* El total de Procesados debe ser mayor o igual al total de Reactivos en el grupo de edad ",$AK$11),"")</f>
        <v>* El total de Procesados debe ser mayor o igual al total de Reactivos en el grupo de edad 65 - 69 años</v>
      </c>
      <c r="CW51" s="1865" t="str">
        <f>IF(AM51&lt;AN51,CONCATENATE("* El total de Procesados debe ser mayor o igual al total de Reactivos en el grupo de edad ",$AM$11),"")</f>
        <v>* El total de Procesados debe ser mayor o igual al total de Reactivos en el grupo de edad 70 - 74 años</v>
      </c>
      <c r="CX51" s="1865" t="str">
        <f>IF(AO51&lt;AP51,CONCATENATE("* El total de Procesados debe ser mayor o igual al total de Reactivos en el grupo de edad ",$AO$11),"")</f>
        <v>* El total de Procesados debe ser mayor o igual al total de Reactivos en el grupo de edad 75 - 79 años</v>
      </c>
      <c r="CY51" s="1865" t="str">
        <f>IF(AQ51&lt;AR51,CONCATENATE("* El total de Procesados debe ser mayor o igual al total de Reactivos en el grupo de edad ",$AQ$11),"")</f>
        <v>* El total de Procesados debe ser mayor o igual al total de Reactivos en el grupo de edad 80 y más años</v>
      </c>
      <c r="DF51" s="1936"/>
      <c r="DG51" s="3922" t="e">
        <f t="shared" si="95"/>
        <v>#VALUE!</v>
      </c>
      <c r="DH51" s="3906" t="e">
        <f t="shared" si="76"/>
        <v>#VALUE!</v>
      </c>
      <c r="DI51" s="3906">
        <f t="shared" si="77"/>
        <v>1</v>
      </c>
      <c r="DJ51" s="3906">
        <f t="shared" si="78"/>
        <v>1</v>
      </c>
      <c r="DK51" s="3906">
        <f>IF(E51&lt;F51,1,0)</f>
        <v>1</v>
      </c>
      <c r="DL51" s="3906">
        <f>IF(G51&lt;H51,1,0)</f>
        <v>1</v>
      </c>
      <c r="DM51" s="3906">
        <f>IF(I51&lt;J51,1,0)</f>
        <v>1</v>
      </c>
      <c r="DN51" s="3906">
        <f>IF(K51&lt;L51,1,0)</f>
        <v>1</v>
      </c>
      <c r="DO51" s="3906">
        <f>IF(M51&lt;N51,1,0)</f>
        <v>1</v>
      </c>
      <c r="DP51" s="3906">
        <f>IF(O51&lt;P51,1,0)</f>
        <v>1</v>
      </c>
      <c r="DQ51" s="3906">
        <f t="shared" si="106"/>
        <v>1</v>
      </c>
      <c r="DR51" s="3906">
        <f t="shared" si="107"/>
        <v>1</v>
      </c>
      <c r="DS51" s="3906">
        <f t="shared" si="108"/>
        <v>1</v>
      </c>
      <c r="DT51" s="3906">
        <f t="shared" si="109"/>
        <v>1</v>
      </c>
      <c r="DU51" s="3906">
        <f t="shared" si="110"/>
        <v>1</v>
      </c>
      <c r="DV51" s="3906">
        <f t="shared" si="111"/>
        <v>1</v>
      </c>
      <c r="DW51" s="3906">
        <f t="shared" si="112"/>
        <v>1</v>
      </c>
      <c r="DX51" s="3906">
        <f t="shared" si="113"/>
        <v>1</v>
      </c>
      <c r="DY51" s="3906">
        <f t="shared" si="114"/>
        <v>1</v>
      </c>
      <c r="DZ51" s="3906">
        <f t="shared" si="115"/>
        <v>1</v>
      </c>
      <c r="EA51" s="3906">
        <f>IF(AK51&lt;AL51,1,0)</f>
        <v>1</v>
      </c>
      <c r="EB51" s="3906">
        <f>IF(AM51&lt;AN51,1,0)</f>
        <v>1</v>
      </c>
      <c r="EC51" s="3906">
        <f>IF(AO51&lt;AP51,1,0)</f>
        <v>1</v>
      </c>
      <c r="ED51" s="3906">
        <f>IF(AQ51&lt;AR51,1,0)</f>
        <v>1</v>
      </c>
    </row>
    <row r="52" spans="1:134" x14ac:dyDescent="0.25">
      <c r="A52" s="5609">
        <v>11054219</v>
      </c>
      <c r="B52" s="1002" t="s">
        <v>1883</v>
      </c>
      <c r="C52" s="1058" t="s">
        <v>4567</v>
      </c>
      <c r="D52" s="3346" t="s">
        <v>4568</v>
      </c>
      <c r="E52" s="1877" t="s">
        <v>4569</v>
      </c>
      <c r="F52" s="1873" t="s">
        <v>4570</v>
      </c>
      <c r="G52" s="853" t="s">
        <v>4571</v>
      </c>
      <c r="H52" s="1873" t="s">
        <v>4572</v>
      </c>
      <c r="I52" s="853" t="s">
        <v>4573</v>
      </c>
      <c r="J52" s="1975" t="s">
        <v>4574</v>
      </c>
      <c r="K52" s="1877" t="s">
        <v>4575</v>
      </c>
      <c r="L52" s="1877" t="s">
        <v>4576</v>
      </c>
      <c r="M52" s="853" t="s">
        <v>4577</v>
      </c>
      <c r="N52" s="1975" t="s">
        <v>4578</v>
      </c>
      <c r="O52" s="1877" t="s">
        <v>4579</v>
      </c>
      <c r="P52" s="1873" t="s">
        <v>4580</v>
      </c>
      <c r="Q52" s="853" t="s">
        <v>4581</v>
      </c>
      <c r="R52" s="1873" t="s">
        <v>4582</v>
      </c>
      <c r="S52" s="853" t="s">
        <v>4583</v>
      </c>
      <c r="T52" s="1873" t="s">
        <v>4584</v>
      </c>
      <c r="U52" s="853" t="s">
        <v>4585</v>
      </c>
      <c r="V52" s="1873" t="s">
        <v>4586</v>
      </c>
      <c r="W52" s="853" t="s">
        <v>4587</v>
      </c>
      <c r="X52" s="1873" t="s">
        <v>4588</v>
      </c>
      <c r="Y52" s="853" t="s">
        <v>4589</v>
      </c>
      <c r="Z52" s="1873" t="s">
        <v>4590</v>
      </c>
      <c r="AA52" s="853" t="s">
        <v>4591</v>
      </c>
      <c r="AB52" s="1873" t="s">
        <v>4592</v>
      </c>
      <c r="AC52" s="853" t="s">
        <v>4593</v>
      </c>
      <c r="AD52" s="1873" t="s">
        <v>4594</v>
      </c>
      <c r="AE52" s="853" t="s">
        <v>4595</v>
      </c>
      <c r="AF52" s="1873" t="s">
        <v>4596</v>
      </c>
      <c r="AG52" s="853" t="s">
        <v>4597</v>
      </c>
      <c r="AH52" s="1873" t="s">
        <v>4598</v>
      </c>
      <c r="AI52" s="853" t="s">
        <v>4599</v>
      </c>
      <c r="AJ52" s="1873" t="s">
        <v>4600</v>
      </c>
      <c r="AK52" s="853" t="s">
        <v>4601</v>
      </c>
      <c r="AL52" s="1873" t="s">
        <v>4602</v>
      </c>
      <c r="AM52" s="853" t="s">
        <v>4603</v>
      </c>
      <c r="AN52" s="1873" t="s">
        <v>4604</v>
      </c>
      <c r="AO52" s="853" t="s">
        <v>4605</v>
      </c>
      <c r="AP52" s="1873" t="s">
        <v>4606</v>
      </c>
      <c r="AQ52" s="853" t="s">
        <v>4934</v>
      </c>
      <c r="AR52" s="1919" t="s">
        <v>4935</v>
      </c>
      <c r="AS52" s="1877" t="s">
        <v>4936</v>
      </c>
      <c r="AT52" s="1919" t="s">
        <v>4937</v>
      </c>
      <c r="AU52" s="1879" t="s">
        <v>5234</v>
      </c>
      <c r="AV52" s="1919" t="s">
        <v>5235</v>
      </c>
      <c r="AW52" s="1877" t="s">
        <v>5236</v>
      </c>
      <c r="AX52" s="1975" t="s">
        <v>5237</v>
      </c>
      <c r="AY52" s="1864" t="e">
        <f>$CB52&amp;CC52&amp;CD52&amp;$CE52&amp;CK52&amp;CL52&amp;CM52&amp;CN52&amp;CO52&amp;CP52&amp;CQ52&amp;CR52&amp;CS52&amp;CT52&amp;CU52&amp;CV52&amp;CW52&amp;CX52&amp;CY52&amp;CF52&amp;CG52&amp;CH52&amp;CI52&amp;CJ52</f>
        <v>#VALUE!</v>
      </c>
      <c r="CB52" s="1865" t="e">
        <f t="shared" ref="CB52" si="116">IF(C52&lt;&gt;(AT52+AS52)," * La suma de las columnas "&amp;AS$10&amp;""&amp;" DEBE SER IGUAL a los Exámenes Procesados. ","")</f>
        <v>#VALUE!</v>
      </c>
      <c r="CC52" s="1865" t="e">
        <f t="shared" ref="CC52" si="117">IF(AND($C52&gt;0,AND(AU52="",AV52="")),"* No olvide ingresar las columnas Trans Masculino o Femenino (*Digite CERO si no tiene). ",IF((AU52+AV52)&gt;$C52,"* El Número de Trans Masculino o Femenino no puede superar el Total Procesados. ",""))</f>
        <v>#VALUE!</v>
      </c>
      <c r="CD52" s="1865" t="str">
        <f t="shared" ref="CD52" si="118">IF(AND($C52&gt;0,AW52=""),"* No olvide ingresar la columna "&amp;AW$10&amp;""&amp;" *(Digite CERO si no tiene). ",IF(AW52&gt;$C52," *El Número de "&amp;AW$10&amp;""&amp;" no puede superar el Total Procesados. ",""))</f>
        <v xml:space="preserve"> *El Número de Pueblos Originarios no puede superar el Total Procesados. </v>
      </c>
      <c r="CE52" s="1865" t="str">
        <f t="shared" ref="CE52" si="119">IF(AND($C52&gt;0,AX52=""),"* No olvide ingresar la columna "&amp;AX$10&amp;""&amp;" *(Digite CERO si no tiene). ",IF(AX52&gt;$C52," *El Número de "&amp;AX$10&amp;""&amp;" no puede superar el Total Procesados. ",""))</f>
        <v xml:space="preserve"> *El Número de Migrantes no puede superar el Total Procesados. </v>
      </c>
      <c r="CF52" s="1865" t="str">
        <f>IF(E52&lt;F52,CONCATENATE("* El total de Procesados debe ser mayor o igual al total de Reactivos en el grupo de edad ",$E$11),"")</f>
        <v>* El total de Procesados debe ser mayor o igual al total de Reactivos en el grupo de edad Menos de 6 meses</v>
      </c>
      <c r="CG52" s="1865" t="str">
        <f>IF(G52&lt;H52,CONCATENATE("* El total de Procesados debe ser mayor o igual al total de Reactivos en el grupo de edad ",$G$11),"")</f>
        <v>* El total de Procesados debe ser mayor o igual al total de Reactivos en el grupo de edad 6 - 11 meses</v>
      </c>
      <c r="CH52" s="1865" t="str">
        <f>IF(I52&lt;J52,CONCATENATE("* El total de Procesados debe ser mayor o igual al total de Reactivos en el grupo de edad ",$I$11),"")</f>
        <v>* El total de Procesados debe ser mayor o igual al total de Reactivos en el grupo de edad 12-24 meses</v>
      </c>
      <c r="CI52" s="1865" t="str">
        <f>IF(K52&lt;L52,CONCATENATE("* El total de Procesados debe ser mayor o igual al total de Reactivos en el grupo de edad ",$K$11),"")</f>
        <v>* El total de Procesados debe ser mayor o igual al total de Reactivos en el grupo de edad 3 - 4 años</v>
      </c>
      <c r="CJ52" s="1865" t="str">
        <f>IF(M52&lt;N52,CONCATENATE("* El total de Procesados debe ser mayor o igual al total de Reactivos en el grupo de edad ",$M$11),"")</f>
        <v>* El total de Procesados debe ser mayor o igual al total de Reactivos en el grupo de edad 5 - 9 años</v>
      </c>
      <c r="CK52" s="1865" t="str">
        <f>IF(O52&lt;P52,CONCATENATE("* El total de Procesados debe ser mayor o igual al total de Reactivos en el grupo de edad ",$O$11),"")</f>
        <v>* El total de Procesados debe ser mayor o igual al total de Reactivos en el grupo de edad 10 - 14 años</v>
      </c>
      <c r="CL52" s="1865" t="str">
        <f t="shared" ref="CL52" si="120">IF(Q52&lt;R52,CONCATENATE("* El total de Procesados debe ser mayor o igual al total de Reactivos en el grupo de edad ",$Q$11),"")</f>
        <v>* El total de Procesados debe ser mayor o igual al total de Reactivos en el grupo de edad 15 - 19 años</v>
      </c>
      <c r="CM52" s="1865" t="str">
        <f t="shared" ref="CM52" si="121">IF(S52&lt;T52,CONCATENATE("* El total de Procesados debe ser mayor o igual al total de Reactivos en el grupo de edad ",$S$11),"")</f>
        <v>* El total de Procesados debe ser mayor o igual al total de Reactivos en el grupo de edad 20 - 24 años</v>
      </c>
      <c r="CN52" s="1865" t="str">
        <f t="shared" ref="CN52" si="122">IF($U52&lt;$V52,CONCATENATE("* El total de Procesados debe ser mayor o igual al total de Reactivos en el grupo de edad ",$U$11),"")</f>
        <v>* El total de Procesados debe ser mayor o igual al total de Reactivos en el grupo de edad 25 - 29 años</v>
      </c>
      <c r="CO52" s="1865" t="str">
        <f t="shared" ref="CO52" si="123">IF(W52&lt;X52,CONCATENATE("* El total de Procesados debe ser mayor o igual al total de Reactivos en el grupo de edad ",$W$11),"")</f>
        <v>* El total de Procesados debe ser mayor o igual al total de Reactivos en el grupo de edad 30 - 34 años</v>
      </c>
      <c r="CP52" s="1865" t="str">
        <f t="shared" ref="CP52" si="124">IF(Y52&lt;Z52,CONCATENATE("* El total de Procesados debe ser mayor o igual al total de Reactivos en el grupo de edad ",$Y$11),"")</f>
        <v>* El total de Procesados debe ser mayor o igual al total de Reactivos en el grupo de edad 35 - 39 años</v>
      </c>
      <c r="CQ52" s="1865" t="str">
        <f t="shared" ref="CQ52" si="125">IF(AA52&lt;AB52,CONCATENATE("* El total de Procesados debe ser mayor o igual al total de Reactivos en el grupo de edad ",$AA$11),"")</f>
        <v>* El total de Procesados debe ser mayor o igual al total de Reactivos en el grupo de edad 40 - 44 años</v>
      </c>
      <c r="CR52" s="1865" t="str">
        <f t="shared" ref="CR52" si="126">IF(AC52&lt;AD52,CONCATENATE("* El total de Procesados debe ser mayor o igual al total de Reactivos en el grupo de edad ",$AC$11),"")</f>
        <v>* El total de Procesados debe ser mayor o igual al total de Reactivos en el grupo de edad 45 - 49 años</v>
      </c>
      <c r="CS52" s="1865" t="str">
        <f t="shared" ref="CS52" si="127">IF(AE52&lt;AF52,CONCATENATE("* El total de Procesados debe ser mayor o igual al total de Reactivos en el grupo de edad ",$AE$11),"")</f>
        <v>* El total de Procesados debe ser mayor o igual al total de Reactivos en el grupo de edad 50 - 54 años</v>
      </c>
      <c r="CT52" s="1865" t="str">
        <f t="shared" ref="CT52" si="128">IF(AG52&lt;AH52,CONCATENATE("* El total de Procesados debe ser mayor o igual al total de Reactivos en el grupo de edad ",$AG$11),"")</f>
        <v>* El total de Procesados debe ser mayor o igual al total de Reactivos en el grupo de edad 55 - 59 años</v>
      </c>
      <c r="CU52" s="1865" t="str">
        <f t="shared" ref="CU52" si="129">IF(AI52&lt;AJ52,CONCATENATE("* El total de Procesados debe ser mayor o igual al total de Reactivos en el grupo de edad ",$AI$11),"")</f>
        <v>* El total de Procesados debe ser mayor o igual al total de Reactivos en el grupo de edad 60 - 64 años</v>
      </c>
      <c r="CV52" s="1865" t="str">
        <f>IF(AK52&lt;AL52,CONCATENATE("* El total de Procesados debe ser mayor o igual al total de Reactivos en el grupo de edad ",$AK$11),"")</f>
        <v>* El total de Procesados debe ser mayor o igual al total de Reactivos en el grupo de edad 65 - 69 años</v>
      </c>
      <c r="CW52" s="1865" t="str">
        <f>IF(AM52&lt;AN52,CONCATENATE("* El total de Procesados debe ser mayor o igual al total de Reactivos en el grupo de edad ",$AM$11),"")</f>
        <v>* El total de Procesados debe ser mayor o igual al total de Reactivos en el grupo de edad 70 - 74 años</v>
      </c>
      <c r="CX52" s="1865" t="str">
        <f>IF(AO52&lt;AP52,CONCATENATE("* El total de Procesados debe ser mayor o igual al total de Reactivos en el grupo de edad ",$AO$11),"")</f>
        <v>* El total de Procesados debe ser mayor o igual al total de Reactivos en el grupo de edad 75 - 79 años</v>
      </c>
      <c r="CY52" s="1865" t="str">
        <f>IF(AQ52&lt;AR52,CONCATENATE("* El total de Procesados debe ser mayor o igual al total de Reactivos en el grupo de edad ",$AQ$11),"")</f>
        <v>* El total de Procesados debe ser mayor o igual al total de Reactivos en el grupo de edad 80 y más años</v>
      </c>
      <c r="DF52" s="1936"/>
      <c r="DG52" s="3922" t="e">
        <f t="shared" ref="DG52" si="130">IF(C52&lt;&gt;(AT52+AS52),1,0)</f>
        <v>#VALUE!</v>
      </c>
      <c r="DH52" s="3906" t="e">
        <f t="shared" ref="DH52" si="131">IF(AND($C52&gt;0,AND(AU52="",AV52="")),1,IF((AU52+AV52)&gt;$C52,1,0))</f>
        <v>#VALUE!</v>
      </c>
      <c r="DI52" s="3906">
        <f t="shared" ref="DI52" si="132">IF(AND($C52&gt;0,AW52=""),1,IF(AW52&gt;$C52,1,0))</f>
        <v>1</v>
      </c>
      <c r="DJ52" s="3906">
        <f t="shared" ref="DJ52" si="133">IF(AND($C52&gt;0,AX52=""),1,IF(AX52&gt;$C52,1,0))</f>
        <v>1</v>
      </c>
      <c r="DK52" s="3906">
        <f>IF(E52&lt;F52,1,0)</f>
        <v>1</v>
      </c>
      <c r="DL52" s="3906">
        <f>IF(G52&lt;H52,1,0)</f>
        <v>1</v>
      </c>
      <c r="DM52" s="3906">
        <f>IF(I52&lt;J52,1,0)</f>
        <v>1</v>
      </c>
      <c r="DN52" s="3906">
        <f>IF(K52&lt;L52,1,0)</f>
        <v>1</v>
      </c>
      <c r="DO52" s="3906">
        <f>IF(M52&lt;N52,1,0)</f>
        <v>1</v>
      </c>
      <c r="DP52" s="3906">
        <f>IF(O52&lt;P52,1,0)</f>
        <v>1</v>
      </c>
      <c r="DQ52" s="3906">
        <f t="shared" ref="DQ52" si="134">IF(Q52&lt;R52,1,0)</f>
        <v>1</v>
      </c>
      <c r="DR52" s="3906">
        <f t="shared" ref="DR52" si="135">IF(S52&lt;T52,1,0)</f>
        <v>1</v>
      </c>
      <c r="DS52" s="3906">
        <f t="shared" ref="DS52" si="136">IF($U52&lt;$V52,1,0)</f>
        <v>1</v>
      </c>
      <c r="DT52" s="3906">
        <f t="shared" ref="DT52" si="137">IF(W52&lt;X52,1,0)</f>
        <v>1</v>
      </c>
      <c r="DU52" s="3906">
        <f t="shared" ref="DU52" si="138">IF(Y52&lt;Z52,1,0)</f>
        <v>1</v>
      </c>
      <c r="DV52" s="3906">
        <f t="shared" ref="DV52" si="139">IF(AA52&lt;AB52,1,0)</f>
        <v>1</v>
      </c>
      <c r="DW52" s="3906">
        <f t="shared" ref="DW52" si="140">IF(AC52&lt;AD52,1,0)</f>
        <v>1</v>
      </c>
      <c r="DX52" s="3906">
        <f t="shared" ref="DX52" si="141">IF(AE52&lt;AF52,1,0)</f>
        <v>1</v>
      </c>
      <c r="DY52" s="3906">
        <f t="shared" ref="DY52" si="142">IF(AG52&lt;AH52,1,0)</f>
        <v>1</v>
      </c>
      <c r="DZ52" s="3906">
        <f t="shared" ref="DZ52" si="143">IF(AI52&lt;AJ52,1,0)</f>
        <v>1</v>
      </c>
      <c r="EA52" s="3906">
        <f>IF(AK52&lt;AL52,1,0)</f>
        <v>1</v>
      </c>
      <c r="EB52" s="3906">
        <f>IF(AM52&lt;AN52,1,0)</f>
        <v>1</v>
      </c>
      <c r="EC52" s="3906">
        <f>IF(AO52&lt;AP52,1,0)</f>
        <v>1</v>
      </c>
      <c r="ED52" s="3906">
        <f>IF(AQ52&lt;AR52,1,0)</f>
        <v>1</v>
      </c>
    </row>
    <row r="53" spans="1:134" ht="18" customHeight="1" x14ac:dyDescent="0.25">
      <c r="A53" s="5797"/>
      <c r="B53" s="3921" t="s">
        <v>1885</v>
      </c>
      <c r="C53" s="3921"/>
      <c r="D53" s="3921"/>
      <c r="E53" s="3921"/>
      <c r="F53" s="3921"/>
      <c r="G53" s="3921"/>
      <c r="H53" s="3921"/>
      <c r="I53" s="3921"/>
      <c r="J53" s="3921"/>
      <c r="K53" s="3921"/>
      <c r="L53" s="3921"/>
      <c r="M53" s="3921"/>
      <c r="N53" s="3921"/>
      <c r="O53" s="3921"/>
      <c r="P53" s="3921"/>
      <c r="Q53" s="3921"/>
      <c r="R53" s="3921"/>
      <c r="S53" s="3921"/>
      <c r="T53" s="3921"/>
      <c r="U53" s="3921"/>
      <c r="V53" s="3921"/>
      <c r="W53" s="3921"/>
      <c r="X53" s="3921"/>
      <c r="Y53" s="3921"/>
      <c r="Z53" s="3921"/>
      <c r="AA53" s="3921"/>
      <c r="AB53" s="3921"/>
      <c r="AC53" s="3921"/>
      <c r="AD53" s="3921"/>
      <c r="AE53" s="3921"/>
      <c r="AF53" s="3921"/>
      <c r="AG53" s="3921"/>
      <c r="AH53" s="3921"/>
      <c r="AI53" s="3921"/>
      <c r="AJ53" s="3921"/>
      <c r="AK53" s="3921"/>
      <c r="AL53" s="3921"/>
      <c r="AM53" s="3921"/>
      <c r="AN53" s="3921"/>
      <c r="AO53" s="3921"/>
      <c r="AP53" s="3921"/>
      <c r="AQ53" s="3921"/>
      <c r="AR53" s="3921"/>
      <c r="AS53" s="1937"/>
      <c r="AT53" s="1937"/>
      <c r="AU53" s="1937"/>
      <c r="AV53" s="1937"/>
      <c r="AW53" s="1937"/>
      <c r="AX53" s="1937"/>
    </row>
    <row r="54" spans="1:134" x14ac:dyDescent="0.25">
      <c r="A54" s="5797"/>
      <c r="B54" s="7105" t="s">
        <v>1860</v>
      </c>
      <c r="C54" s="6491" t="s">
        <v>77</v>
      </c>
      <c r="D54" s="6576"/>
      <c r="E54" s="7107" t="s">
        <v>29</v>
      </c>
      <c r="F54" s="7108"/>
      <c r="G54" s="7108"/>
      <c r="H54" s="7108"/>
      <c r="I54" s="7108"/>
      <c r="J54" s="7108"/>
      <c r="K54" s="7108"/>
      <c r="L54" s="7108"/>
      <c r="M54" s="7108"/>
      <c r="N54" s="7108"/>
      <c r="O54" s="7108"/>
      <c r="P54" s="7108"/>
      <c r="Q54" s="7108"/>
      <c r="R54" s="7108"/>
      <c r="S54" s="7108"/>
      <c r="T54" s="7108"/>
      <c r="U54" s="7108"/>
      <c r="V54" s="7108"/>
      <c r="W54" s="7108"/>
      <c r="X54" s="7108"/>
      <c r="Y54" s="7108"/>
      <c r="Z54" s="7108"/>
      <c r="AA54" s="7108"/>
      <c r="AB54" s="7108"/>
      <c r="AC54" s="7108"/>
      <c r="AD54" s="7108"/>
      <c r="AE54" s="7108"/>
      <c r="AF54" s="7108"/>
      <c r="AG54" s="7108"/>
      <c r="AH54" s="7108"/>
      <c r="AI54" s="7108"/>
      <c r="AJ54" s="7108"/>
      <c r="AK54" s="7108"/>
      <c r="AL54" s="7108"/>
      <c r="AM54" s="7108"/>
      <c r="AN54" s="7108"/>
      <c r="AO54" s="7108"/>
      <c r="AP54" s="7108"/>
      <c r="AQ54" s="7108"/>
      <c r="AR54" s="7109"/>
      <c r="AS54" s="7110" t="s">
        <v>1861</v>
      </c>
      <c r="AT54" s="7111"/>
      <c r="AU54" s="7112" t="s">
        <v>457</v>
      </c>
      <c r="AV54" s="7113"/>
      <c r="AW54" s="6492" t="s">
        <v>36</v>
      </c>
      <c r="AX54" s="6511" t="s">
        <v>37</v>
      </c>
    </row>
    <row r="55" spans="1:134" x14ac:dyDescent="0.25">
      <c r="A55" s="5797"/>
      <c r="B55" s="6023"/>
      <c r="C55" s="6749"/>
      <c r="D55" s="6913"/>
      <c r="E55" s="7116" t="s">
        <v>1862</v>
      </c>
      <c r="F55" s="7110"/>
      <c r="G55" s="7116" t="s">
        <v>935</v>
      </c>
      <c r="H55" s="7110"/>
      <c r="I55" s="7116" t="s">
        <v>1863</v>
      </c>
      <c r="J55" s="7117"/>
      <c r="K55" s="7110" t="s">
        <v>937</v>
      </c>
      <c r="L55" s="7110"/>
      <c r="M55" s="7116" t="s">
        <v>326</v>
      </c>
      <c r="N55" s="7110"/>
      <c r="O55" s="7116" t="s">
        <v>94</v>
      </c>
      <c r="P55" s="7110"/>
      <c r="Q55" s="7116" t="s">
        <v>44</v>
      </c>
      <c r="R55" s="7110"/>
      <c r="S55" s="7116" t="s">
        <v>45</v>
      </c>
      <c r="T55" s="7110"/>
      <c r="U55" s="7116" t="s">
        <v>46</v>
      </c>
      <c r="V55" s="7117"/>
      <c r="W55" s="7116" t="s">
        <v>47</v>
      </c>
      <c r="X55" s="7117"/>
      <c r="Y55" s="7116" t="s">
        <v>48</v>
      </c>
      <c r="Z55" s="7117"/>
      <c r="AA55" s="7116" t="s">
        <v>49</v>
      </c>
      <c r="AB55" s="7117"/>
      <c r="AC55" s="7116" t="s">
        <v>50</v>
      </c>
      <c r="AD55" s="7117"/>
      <c r="AE55" s="7116" t="s">
        <v>51</v>
      </c>
      <c r="AF55" s="7117"/>
      <c r="AG55" s="7116" t="s">
        <v>52</v>
      </c>
      <c r="AH55" s="7117"/>
      <c r="AI55" s="7116" t="s">
        <v>53</v>
      </c>
      <c r="AJ55" s="7117"/>
      <c r="AK55" s="7116" t="s">
        <v>54</v>
      </c>
      <c r="AL55" s="7117"/>
      <c r="AM55" s="7116" t="s">
        <v>55</v>
      </c>
      <c r="AN55" s="7117"/>
      <c r="AO55" s="7116" t="s">
        <v>56</v>
      </c>
      <c r="AP55" s="7117"/>
      <c r="AQ55" s="7116" t="s">
        <v>57</v>
      </c>
      <c r="AR55" s="7111"/>
      <c r="AS55" s="6492" t="s">
        <v>58</v>
      </c>
      <c r="AT55" s="7119" t="s">
        <v>59</v>
      </c>
      <c r="AU55" s="7114"/>
      <c r="AV55" s="7115"/>
      <c r="AW55" s="7118"/>
      <c r="AX55" s="6027"/>
    </row>
    <row r="56" spans="1:134" x14ac:dyDescent="0.25">
      <c r="A56" s="5797"/>
      <c r="B56" s="6739"/>
      <c r="C56" s="3897" t="s">
        <v>1864</v>
      </c>
      <c r="D56" s="3896" t="s">
        <v>1865</v>
      </c>
      <c r="E56" s="3894" t="s">
        <v>1864</v>
      </c>
      <c r="F56" s="3895" t="s">
        <v>1865</v>
      </c>
      <c r="G56" s="3894" t="s">
        <v>1864</v>
      </c>
      <c r="H56" s="3895" t="s">
        <v>1865</v>
      </c>
      <c r="I56" s="3894" t="s">
        <v>1864</v>
      </c>
      <c r="J56" s="3896" t="s">
        <v>1865</v>
      </c>
      <c r="K56" s="3897" t="s">
        <v>1864</v>
      </c>
      <c r="L56" s="3895" t="s">
        <v>1865</v>
      </c>
      <c r="M56" s="3894" t="s">
        <v>1864</v>
      </c>
      <c r="N56" s="3895" t="s">
        <v>1865</v>
      </c>
      <c r="O56" s="3894" t="s">
        <v>1864</v>
      </c>
      <c r="P56" s="3895" t="s">
        <v>1865</v>
      </c>
      <c r="Q56" s="3894" t="s">
        <v>1864</v>
      </c>
      <c r="R56" s="3895" t="s">
        <v>1865</v>
      </c>
      <c r="S56" s="3894" t="s">
        <v>1864</v>
      </c>
      <c r="T56" s="3895" t="s">
        <v>1865</v>
      </c>
      <c r="U56" s="3894" t="s">
        <v>1864</v>
      </c>
      <c r="V56" s="3895" t="s">
        <v>1865</v>
      </c>
      <c r="W56" s="3894" t="s">
        <v>1864</v>
      </c>
      <c r="X56" s="3895" t="s">
        <v>1865</v>
      </c>
      <c r="Y56" s="3894" t="s">
        <v>1864</v>
      </c>
      <c r="Z56" s="3895" t="s">
        <v>1865</v>
      </c>
      <c r="AA56" s="3894" t="s">
        <v>1864</v>
      </c>
      <c r="AB56" s="3895" t="s">
        <v>1865</v>
      </c>
      <c r="AC56" s="3894" t="s">
        <v>1864</v>
      </c>
      <c r="AD56" s="3895" t="s">
        <v>1865</v>
      </c>
      <c r="AE56" s="3894" t="s">
        <v>1864</v>
      </c>
      <c r="AF56" s="3895" t="s">
        <v>1865</v>
      </c>
      <c r="AG56" s="3894" t="s">
        <v>1864</v>
      </c>
      <c r="AH56" s="3895" t="s">
        <v>1865</v>
      </c>
      <c r="AI56" s="3894" t="s">
        <v>1864</v>
      </c>
      <c r="AJ56" s="3895" t="s">
        <v>1865</v>
      </c>
      <c r="AK56" s="3894" t="s">
        <v>1864</v>
      </c>
      <c r="AL56" s="3895" t="s">
        <v>1865</v>
      </c>
      <c r="AM56" s="3894" t="s">
        <v>1864</v>
      </c>
      <c r="AN56" s="3895" t="s">
        <v>1865</v>
      </c>
      <c r="AO56" s="3894" t="s">
        <v>1864</v>
      </c>
      <c r="AP56" s="3895" t="s">
        <v>1865</v>
      </c>
      <c r="AQ56" s="3894" t="s">
        <v>1864</v>
      </c>
      <c r="AR56" s="3898" t="s">
        <v>1865</v>
      </c>
      <c r="AS56" s="6894"/>
      <c r="AT56" s="6224"/>
      <c r="AU56" s="1750" t="s">
        <v>462</v>
      </c>
      <c r="AV56" s="1797" t="s">
        <v>463</v>
      </c>
      <c r="AW56" s="6894"/>
      <c r="AX56" s="6955"/>
    </row>
    <row r="57" spans="1:134" x14ac:dyDescent="0.25">
      <c r="A57" s="5601">
        <v>11056400</v>
      </c>
      <c r="B57" s="909" t="s">
        <v>1866</v>
      </c>
      <c r="C57" s="3225" t="s">
        <v>4567</v>
      </c>
      <c r="D57" s="3900" t="s">
        <v>4568</v>
      </c>
      <c r="E57" s="3918" t="s">
        <v>4569</v>
      </c>
      <c r="F57" s="3910" t="s">
        <v>4570</v>
      </c>
      <c r="G57" s="3909" t="s">
        <v>4571</v>
      </c>
      <c r="H57" s="3910" t="s">
        <v>4572</v>
      </c>
      <c r="I57" s="3909" t="s">
        <v>4573</v>
      </c>
      <c r="J57" s="3910" t="s">
        <v>4574</v>
      </c>
      <c r="K57" s="3909" t="s">
        <v>4575</v>
      </c>
      <c r="L57" s="3910" t="s">
        <v>4576</v>
      </c>
      <c r="M57" s="3909" t="s">
        <v>4577</v>
      </c>
      <c r="N57" s="3911" t="s">
        <v>4578</v>
      </c>
      <c r="O57" s="3904" t="s">
        <v>4579</v>
      </c>
      <c r="P57" s="3912" t="s">
        <v>4580</v>
      </c>
      <c r="Q57" s="3913" t="s">
        <v>4581</v>
      </c>
      <c r="R57" s="3912" t="s">
        <v>4582</v>
      </c>
      <c r="S57" s="3913" t="s">
        <v>4583</v>
      </c>
      <c r="T57" s="3912" t="s">
        <v>4584</v>
      </c>
      <c r="U57" s="3913" t="s">
        <v>4585</v>
      </c>
      <c r="V57" s="3912" t="s">
        <v>4586</v>
      </c>
      <c r="W57" s="3913" t="s">
        <v>4587</v>
      </c>
      <c r="X57" s="3912" t="s">
        <v>4588</v>
      </c>
      <c r="Y57" s="3913" t="s">
        <v>4589</v>
      </c>
      <c r="Z57" s="3912" t="s">
        <v>4590</v>
      </c>
      <c r="AA57" s="3913" t="s">
        <v>4591</v>
      </c>
      <c r="AB57" s="3912" t="s">
        <v>4592</v>
      </c>
      <c r="AC57" s="3913" t="s">
        <v>4593</v>
      </c>
      <c r="AD57" s="3912" t="s">
        <v>4594</v>
      </c>
      <c r="AE57" s="3913" t="s">
        <v>4595</v>
      </c>
      <c r="AF57" s="3912" t="s">
        <v>4596</v>
      </c>
      <c r="AG57" s="3913" t="s">
        <v>4597</v>
      </c>
      <c r="AH57" s="3912" t="s">
        <v>4598</v>
      </c>
      <c r="AI57" s="3913" t="s">
        <v>4599</v>
      </c>
      <c r="AJ57" s="3912" t="s">
        <v>4600</v>
      </c>
      <c r="AK57" s="3913" t="s">
        <v>4601</v>
      </c>
      <c r="AL57" s="3912" t="s">
        <v>4602</v>
      </c>
      <c r="AM57" s="3913" t="s">
        <v>4603</v>
      </c>
      <c r="AN57" s="3912" t="s">
        <v>4604</v>
      </c>
      <c r="AO57" s="3913" t="s">
        <v>4605</v>
      </c>
      <c r="AP57" s="3912" t="s">
        <v>4606</v>
      </c>
      <c r="AQ57" s="3913" t="s">
        <v>4934</v>
      </c>
      <c r="AR57" s="3902" t="s">
        <v>4935</v>
      </c>
      <c r="AS57" s="3901" t="s">
        <v>4936</v>
      </c>
      <c r="AT57" s="3902" t="s">
        <v>4937</v>
      </c>
      <c r="AU57" s="3903" t="s">
        <v>5234</v>
      </c>
      <c r="AV57" s="3902" t="s">
        <v>5235</v>
      </c>
      <c r="AW57" s="3904" t="s">
        <v>5236</v>
      </c>
      <c r="AX57" s="3905" t="s">
        <v>5237</v>
      </c>
      <c r="AY57" s="1864" t="e">
        <f t="shared" ref="AY57:AY64" si="144">$CB57&amp;CC57&amp;CD57&amp;$CE57&amp;CK57&amp;CL57&amp;CM57&amp;CN57&amp;CO57&amp;CP57&amp;CQ57&amp;CR57&amp;CS57&amp;CT57&amp;CU57&amp;CV57&amp;CW57&amp;CX57&amp;CY57</f>
        <v>#VALUE!</v>
      </c>
      <c r="CB57" s="1865" t="str">
        <f>IF(C57&lt;&gt;(AT57)," * La suma de las columnas "&amp;AS$10&amp;""&amp;" DEBE SER IGUAL a los Exámenes Procesados. ","")</f>
        <v xml:space="preserve"> * La suma de las columnas POR SEXO (Procesados) DEBE SER IGUAL a los Exámenes Procesados. </v>
      </c>
      <c r="CC57" s="1865" t="e">
        <f t="shared" ref="CC57:CC74" si="145">IF(AND($C57&gt;0,AND(AU57="",AV57="")),"* No olvide ingresar las columnas Trans Masculino o Femenino (*Digite CERO si no tiene). ",IF((AU57+AV57)&gt;$C57,"* El Número de Trans Masculino o Femenino no puede superar el Total Procesados. ",""))</f>
        <v>#VALUE!</v>
      </c>
      <c r="CD57" s="1865" t="str">
        <f t="shared" ref="CD57:CD74" si="146">IF(AND($C57&gt;0,AW57=""),"* No olvide ingresar la columna "&amp;AW$10&amp;""&amp;" *(Digite CERO si no tiene). ",IF(AW57&gt;$C57," *El Número de "&amp;AW$10&amp;""&amp;" no puede superar el Total Procesados. ",""))</f>
        <v xml:space="preserve"> *El Número de Pueblos Originarios no puede superar el Total Procesados. </v>
      </c>
      <c r="CE57" s="1865" t="str">
        <f t="shared" ref="CE57:CE74" si="147">IF(AND($C57&gt;0,AX57=""),"* No olvide ingresar la columna "&amp;AX$10&amp;""&amp;" *(Digite CERO si no tiene). ",IF(AX57&gt;$C57," *El Número de "&amp;AX$10&amp;""&amp;" no puede superar el Total Procesados. ",""))</f>
        <v xml:space="preserve"> *El Número de Migrantes no puede superar el Total Procesados. </v>
      </c>
      <c r="CF57" s="1866"/>
      <c r="CG57" s="1866"/>
      <c r="CH57" s="1866"/>
      <c r="CI57" s="1866"/>
      <c r="CJ57" s="1866"/>
      <c r="CK57" s="1865" t="str">
        <f t="shared" ref="CK57:CK65" si="148">IF(O57&lt;P57,CONCATENATE("* El total de Procesados debe ser mayor o igual al total de Reactivos en el grupo de edad ",$O$11),"")</f>
        <v>* El total de Procesados debe ser mayor o igual al total de Reactivos en el grupo de edad 10 - 14 años</v>
      </c>
      <c r="CL57" s="1865" t="str">
        <f t="shared" ref="CL57:CL65" si="149">IF(Q57&lt;R57,CONCATENATE("* El total de Procesados debe ser mayor o igual al total de Reactivos en el grupo de edad ",$Q$11),"")</f>
        <v>* El total de Procesados debe ser mayor o igual al total de Reactivos en el grupo de edad 15 - 19 años</v>
      </c>
      <c r="CM57" s="1865" t="str">
        <f t="shared" ref="CM57:CM65" si="150">IF(S57&lt;T57,CONCATENATE("* El total de Procesados debe ser mayor o igual al total de Reactivos en el grupo de edad ",$S$11),"")</f>
        <v>* El total de Procesados debe ser mayor o igual al total de Reactivos en el grupo de edad 20 - 24 años</v>
      </c>
      <c r="CN57" s="1865" t="str">
        <f>IF($U57&lt;$V57,CONCATENATE("* El total de Procesados debe ser mayor o igual al total de Reactivos en el grupo de edad ",$U$11),"")</f>
        <v>* El total de Procesados debe ser mayor o igual al total de Reactivos en el grupo de edad 25 - 29 años</v>
      </c>
      <c r="CO57" s="1865" t="str">
        <f t="shared" ref="CO57:CO65" si="151">IF(W57&lt;X57,CONCATENATE("* El total de Procesados debe ser mayor o igual al total de Reactivos en el grupo de edad ",$W$11),"")</f>
        <v>* El total de Procesados debe ser mayor o igual al total de Reactivos en el grupo de edad 30 - 34 años</v>
      </c>
      <c r="CP57" s="1865" t="str">
        <f t="shared" ref="CP57:CP65" si="152">IF(Y57&lt;Z57,CONCATENATE("* El total de Procesados debe ser mayor o igual al total de Reactivos en el grupo de edad ",$Y$11),"")</f>
        <v>* El total de Procesados debe ser mayor o igual al total de Reactivos en el grupo de edad 35 - 39 años</v>
      </c>
      <c r="CQ57" s="1865" t="str">
        <f t="shared" ref="CQ57:CQ65" si="153">IF(AA57&lt;AB57,CONCATENATE("* El total de Procesados debe ser mayor o igual al total de Reactivos en el grupo de edad ",$AA$11),"")</f>
        <v>* El total de Procesados debe ser mayor o igual al total de Reactivos en el grupo de edad 40 - 44 años</v>
      </c>
      <c r="CR57" s="1865" t="str">
        <f t="shared" ref="CR57:CR65" si="154">IF(AC57&lt;AD57,CONCATENATE("* El total de Procesados debe ser mayor o igual al total de Reactivos en el grupo de edad ",$AC$11),"")</f>
        <v>* El total de Procesados debe ser mayor o igual al total de Reactivos en el grupo de edad 45 - 49 años</v>
      </c>
      <c r="CS57" s="1865" t="str">
        <f t="shared" ref="CS57:CS65" si="155">IF(AE57&lt;AF57,CONCATENATE("* El total de Procesados debe ser mayor o igual al total de Reactivos en el grupo de edad ",$AE$11),"")</f>
        <v>* El total de Procesados debe ser mayor o igual al total de Reactivos en el grupo de edad 50 - 54 años</v>
      </c>
      <c r="CT57" s="1865" t="str">
        <f t="shared" ref="CT57:CT65" si="156">IF(AG57&lt;AH57,CONCATENATE("* El total de Procesados debe ser mayor o igual al total de Reactivos en el grupo de edad ",$AG$11),"")</f>
        <v>* El total de Procesados debe ser mayor o igual al total de Reactivos en el grupo de edad 55 - 59 años</v>
      </c>
      <c r="CU57" s="1865" t="str">
        <f t="shared" ref="CU57:CU65" si="157">IF(AI57&lt;AJ57,CONCATENATE("* El total de Procesados debe ser mayor o igual al total de Reactivos en el grupo de edad ",$AI$11),"")</f>
        <v>* El total de Procesados debe ser mayor o igual al total de Reactivos en el grupo de edad 60 - 64 años</v>
      </c>
      <c r="CV57" s="1865" t="str">
        <f t="shared" ref="CV57:CV65" si="158">IF(AK57&lt;AL57,CONCATENATE("* El total de Procesados debe ser mayor o igual al total de Reactivos en el grupo de edad ",$AK$11),"")</f>
        <v>* El total de Procesados debe ser mayor o igual al total de Reactivos en el grupo de edad 65 - 69 años</v>
      </c>
      <c r="CW57" s="1865" t="str">
        <f t="shared" ref="CW57:CW65" si="159">IF(AM57&lt;AN57,CONCATENATE("* El total de Procesados debe ser mayor o igual al total de Reactivos en el grupo de edad ",$AM$11),"")</f>
        <v>* El total de Procesados debe ser mayor o igual al total de Reactivos en el grupo de edad 70 - 74 años</v>
      </c>
      <c r="CX57" s="1865" t="str">
        <f t="shared" ref="CX57:CX65" si="160">IF(AO57&lt;AP57,CONCATENATE("* El total de Procesados debe ser mayor o igual al total de Reactivos en el grupo de edad ",$AO$11),"")</f>
        <v>* El total de Procesados debe ser mayor o igual al total de Reactivos en el grupo de edad 75 - 79 años</v>
      </c>
      <c r="CY57" s="1865" t="str">
        <f t="shared" ref="CY57:CY65" si="161">IF(AQ57&lt;AR57,CONCATENATE("* El total de Procesados debe ser mayor o igual al total de Reactivos en el grupo de edad ",$AQ$11),"")</f>
        <v>* El total de Procesados debe ser mayor o igual al total de Reactivos en el grupo de edad 80 y más años</v>
      </c>
      <c r="DF57" s="1936"/>
      <c r="DG57" s="3922">
        <f>IF(C57&lt;&gt;(AT57),1,0)</f>
        <v>1</v>
      </c>
      <c r="DH57" s="3906" t="e">
        <f t="shared" ref="DH57:DH74" si="162">IF(AND($C57&gt;0,AND(AU57="",AV57="")),1,IF((AU57+AV57)&gt;$C57,1,0))</f>
        <v>#VALUE!</v>
      </c>
      <c r="DI57" s="3906">
        <f t="shared" ref="DI57:DI74" si="163">IF(AND($C57&gt;0,AW57=""),1,IF(AW57&gt;$C57,1,0))</f>
        <v>1</v>
      </c>
      <c r="DJ57" s="3906">
        <f t="shared" ref="DJ57:DJ74" si="164">IF(AND($C57&gt;0,AX57=""),1,IF(AX57&gt;$C57,1,0))</f>
        <v>1</v>
      </c>
      <c r="DK57" s="1866"/>
      <c r="DL57" s="1866"/>
      <c r="DM57" s="1866"/>
      <c r="DN57" s="1866"/>
      <c r="DO57" s="1866"/>
      <c r="DP57" s="3906">
        <f t="shared" ref="DP57:DP65" si="165">IF(O57&lt;P57,1,0)</f>
        <v>1</v>
      </c>
      <c r="DQ57" s="3906">
        <f t="shared" ref="DQ57:DQ65" si="166">IF(Q57&lt;R57,1,0)</f>
        <v>1</v>
      </c>
      <c r="DR57" s="3906">
        <f t="shared" ref="DR57:DR65" si="167">IF(S57&lt;T57,1,0)</f>
        <v>1</v>
      </c>
      <c r="DS57" s="3906">
        <f>IF($U57&lt;$V57,1,0)</f>
        <v>1</v>
      </c>
      <c r="DT57" s="3906">
        <f t="shared" ref="DT57:DT65" si="168">IF(W57&lt;X57,1,0)</f>
        <v>1</v>
      </c>
      <c r="DU57" s="3906">
        <f t="shared" ref="DU57:DU65" si="169">IF(Y57&lt;Z57,1,0)</f>
        <v>1</v>
      </c>
      <c r="DV57" s="3906">
        <f t="shared" ref="DV57:DV65" si="170">IF(AA57&lt;AB57,1,0)</f>
        <v>1</v>
      </c>
      <c r="DW57" s="3906">
        <f>IF(AC57&lt;AD57,1,0)</f>
        <v>1</v>
      </c>
      <c r="DX57" s="3906">
        <f t="shared" ref="DX57:DX65" si="171">IF(AE57&lt;AF57,1,0)</f>
        <v>1</v>
      </c>
      <c r="DY57" s="3906">
        <f t="shared" ref="DY57:DY65" si="172">IF(AG57&lt;AH57,1,0)</f>
        <v>1</v>
      </c>
      <c r="DZ57" s="3906">
        <f t="shared" ref="DZ57:DZ65" si="173">IF(AI57&lt;AJ57,1,0)</f>
        <v>1</v>
      </c>
      <c r="EA57" s="3906">
        <f t="shared" ref="EA57:EA65" si="174">IF(AK57&lt;AL57,1,0)</f>
        <v>1</v>
      </c>
      <c r="EB57" s="3906">
        <f t="shared" ref="EB57:EB65" si="175">IF(AM57&lt;AN57,1,0)</f>
        <v>1</v>
      </c>
      <c r="EC57" s="3906">
        <f t="shared" ref="EC57:EC65" si="176">IF(AO57&lt;AP57,1,0)</f>
        <v>1</v>
      </c>
      <c r="ED57" s="3906">
        <f t="shared" ref="ED57:ED65" si="177">IF(AQ57&lt;AR57,1,0)</f>
        <v>1</v>
      </c>
    </row>
    <row r="58" spans="1:134" x14ac:dyDescent="0.25">
      <c r="A58" s="5601">
        <v>11056401</v>
      </c>
      <c r="B58" s="3923" t="s">
        <v>1867</v>
      </c>
      <c r="C58" s="3908" t="s">
        <v>4567</v>
      </c>
      <c r="D58" s="344" t="s">
        <v>4568</v>
      </c>
      <c r="E58" s="3918" t="s">
        <v>4569</v>
      </c>
      <c r="F58" s="3910" t="s">
        <v>4570</v>
      </c>
      <c r="G58" s="3909" t="s">
        <v>4571</v>
      </c>
      <c r="H58" s="3910" t="s">
        <v>4572</v>
      </c>
      <c r="I58" s="3909" t="s">
        <v>4573</v>
      </c>
      <c r="J58" s="3910" t="s">
        <v>4574</v>
      </c>
      <c r="K58" s="3909" t="s">
        <v>4575</v>
      </c>
      <c r="L58" s="3910" t="s">
        <v>4576</v>
      </c>
      <c r="M58" s="3909" t="s">
        <v>4577</v>
      </c>
      <c r="N58" s="3911" t="s">
        <v>4578</v>
      </c>
      <c r="O58" s="3904" t="s">
        <v>4579</v>
      </c>
      <c r="P58" s="3912" t="s">
        <v>4580</v>
      </c>
      <c r="Q58" s="3913" t="s">
        <v>4581</v>
      </c>
      <c r="R58" s="3912" t="s">
        <v>4582</v>
      </c>
      <c r="S58" s="3913" t="s">
        <v>4583</v>
      </c>
      <c r="T58" s="3912" t="s">
        <v>4584</v>
      </c>
      <c r="U58" s="3913" t="s">
        <v>4585</v>
      </c>
      <c r="V58" s="3912" t="s">
        <v>4586</v>
      </c>
      <c r="W58" s="3913" t="s">
        <v>4587</v>
      </c>
      <c r="X58" s="3912" t="s">
        <v>4588</v>
      </c>
      <c r="Y58" s="3913" t="s">
        <v>4589</v>
      </c>
      <c r="Z58" s="3912" t="s">
        <v>4590</v>
      </c>
      <c r="AA58" s="3913" t="s">
        <v>4591</v>
      </c>
      <c r="AB58" s="3912" t="s">
        <v>4592</v>
      </c>
      <c r="AC58" s="3913" t="s">
        <v>4593</v>
      </c>
      <c r="AD58" s="3912" t="s">
        <v>4594</v>
      </c>
      <c r="AE58" s="3913" t="s">
        <v>4595</v>
      </c>
      <c r="AF58" s="3912" t="s">
        <v>4596</v>
      </c>
      <c r="AG58" s="3913" t="s">
        <v>4597</v>
      </c>
      <c r="AH58" s="3912" t="s">
        <v>4598</v>
      </c>
      <c r="AI58" s="3913" t="s">
        <v>4599</v>
      </c>
      <c r="AJ58" s="3912" t="s">
        <v>4600</v>
      </c>
      <c r="AK58" s="3913" t="s">
        <v>4601</v>
      </c>
      <c r="AL58" s="3912" t="s">
        <v>4602</v>
      </c>
      <c r="AM58" s="3913" t="s">
        <v>4603</v>
      </c>
      <c r="AN58" s="3912" t="s">
        <v>4604</v>
      </c>
      <c r="AO58" s="3913" t="s">
        <v>4605</v>
      </c>
      <c r="AP58" s="3912" t="s">
        <v>4606</v>
      </c>
      <c r="AQ58" s="3913" t="s">
        <v>4934</v>
      </c>
      <c r="AR58" s="3902" t="s">
        <v>4935</v>
      </c>
      <c r="AS58" s="3901" t="s">
        <v>4936</v>
      </c>
      <c r="AT58" s="3902" t="s">
        <v>4937</v>
      </c>
      <c r="AU58" s="3903" t="s">
        <v>5234</v>
      </c>
      <c r="AV58" s="3902" t="s">
        <v>5235</v>
      </c>
      <c r="AW58" s="3904" t="s">
        <v>5236</v>
      </c>
      <c r="AX58" s="3905" t="s">
        <v>5237</v>
      </c>
      <c r="AY58" s="1864" t="e">
        <f t="shared" si="144"/>
        <v>#VALUE!</v>
      </c>
      <c r="CB58" s="1865" t="str">
        <f>IF(C58&lt;&gt;(AT58)," * La suma de las columnas "&amp;AS$10&amp;""&amp;" DEBE SER IGUAL a los Exámenes Procesados. ","")</f>
        <v xml:space="preserve"> * La suma de las columnas POR SEXO (Procesados) DEBE SER IGUAL a los Exámenes Procesados. </v>
      </c>
      <c r="CC58" s="1865" t="e">
        <f t="shared" si="145"/>
        <v>#VALUE!</v>
      </c>
      <c r="CD58" s="1865" t="str">
        <f t="shared" si="146"/>
        <v xml:space="preserve"> *El Número de Pueblos Originarios no puede superar el Total Procesados. </v>
      </c>
      <c r="CE58" s="1865" t="str">
        <f t="shared" si="147"/>
        <v xml:space="preserve"> *El Número de Migrantes no puede superar el Total Procesados. </v>
      </c>
      <c r="CF58" s="1866"/>
      <c r="CG58" s="1866"/>
      <c r="CH58" s="1866"/>
      <c r="CI58" s="1866"/>
      <c r="CJ58" s="1866"/>
      <c r="CK58" s="1865" t="str">
        <f t="shared" si="148"/>
        <v>* El total de Procesados debe ser mayor o igual al total de Reactivos en el grupo de edad 10 - 14 años</v>
      </c>
      <c r="CL58" s="1865" t="str">
        <f t="shared" si="149"/>
        <v>* El total de Procesados debe ser mayor o igual al total de Reactivos en el grupo de edad 15 - 19 años</v>
      </c>
      <c r="CM58" s="1865" t="str">
        <f t="shared" si="150"/>
        <v>* El total de Procesados debe ser mayor o igual al total de Reactivos en el grupo de edad 20 - 24 años</v>
      </c>
      <c r="CN58" s="1865" t="str">
        <f t="shared" ref="CN58:CN74" si="178">IF($U58&lt;$V58,CONCATENATE("* El total de Procesados debe ser mayor o igual al total de Reactivos en el grupo de edad ",$U$11),"")</f>
        <v>* El total de Procesados debe ser mayor o igual al total de Reactivos en el grupo de edad 25 - 29 años</v>
      </c>
      <c r="CO58" s="1865" t="str">
        <f t="shared" si="151"/>
        <v>* El total de Procesados debe ser mayor o igual al total de Reactivos en el grupo de edad 30 - 34 años</v>
      </c>
      <c r="CP58" s="1865" t="str">
        <f t="shared" si="152"/>
        <v>* El total de Procesados debe ser mayor o igual al total de Reactivos en el grupo de edad 35 - 39 años</v>
      </c>
      <c r="CQ58" s="1865" t="str">
        <f t="shared" si="153"/>
        <v>* El total de Procesados debe ser mayor o igual al total de Reactivos en el grupo de edad 40 - 44 años</v>
      </c>
      <c r="CR58" s="1865" t="str">
        <f t="shared" si="154"/>
        <v>* El total de Procesados debe ser mayor o igual al total de Reactivos en el grupo de edad 45 - 49 años</v>
      </c>
      <c r="CS58" s="1865" t="str">
        <f t="shared" si="155"/>
        <v>* El total de Procesados debe ser mayor o igual al total de Reactivos en el grupo de edad 50 - 54 años</v>
      </c>
      <c r="CT58" s="1865" t="str">
        <f t="shared" si="156"/>
        <v>* El total de Procesados debe ser mayor o igual al total de Reactivos en el grupo de edad 55 - 59 años</v>
      </c>
      <c r="CU58" s="1865" t="str">
        <f t="shared" si="157"/>
        <v>* El total de Procesados debe ser mayor o igual al total de Reactivos en el grupo de edad 60 - 64 años</v>
      </c>
      <c r="CV58" s="1865" t="str">
        <f t="shared" si="158"/>
        <v>* El total de Procesados debe ser mayor o igual al total de Reactivos en el grupo de edad 65 - 69 años</v>
      </c>
      <c r="CW58" s="1865" t="str">
        <f t="shared" si="159"/>
        <v>* El total de Procesados debe ser mayor o igual al total de Reactivos en el grupo de edad 70 - 74 años</v>
      </c>
      <c r="CX58" s="1865" t="str">
        <f t="shared" si="160"/>
        <v>* El total de Procesados debe ser mayor o igual al total de Reactivos en el grupo de edad 75 - 79 años</v>
      </c>
      <c r="CY58" s="1865" t="str">
        <f t="shared" si="161"/>
        <v>* El total de Procesados debe ser mayor o igual al total de Reactivos en el grupo de edad 80 y más años</v>
      </c>
      <c r="DF58" s="1936"/>
      <c r="DG58" s="3922">
        <f>IF(C58&lt;&gt;(AT58),1,0)</f>
        <v>1</v>
      </c>
      <c r="DH58" s="3906" t="e">
        <f t="shared" si="162"/>
        <v>#VALUE!</v>
      </c>
      <c r="DI58" s="3906">
        <f t="shared" si="163"/>
        <v>1</v>
      </c>
      <c r="DJ58" s="3906">
        <f t="shared" si="164"/>
        <v>1</v>
      </c>
      <c r="DK58" s="1866"/>
      <c r="DL58" s="1866"/>
      <c r="DM58" s="1866"/>
      <c r="DN58" s="1866"/>
      <c r="DO58" s="1866"/>
      <c r="DP58" s="3906">
        <f t="shared" si="165"/>
        <v>1</v>
      </c>
      <c r="DQ58" s="3906">
        <f t="shared" si="166"/>
        <v>1</v>
      </c>
      <c r="DR58" s="3906">
        <f t="shared" si="167"/>
        <v>1</v>
      </c>
      <c r="DS58" s="3906">
        <f t="shared" ref="DS58:DS74" si="179">IF($U58&lt;$V58,1,0)</f>
        <v>1</v>
      </c>
      <c r="DT58" s="3906">
        <f t="shared" si="168"/>
        <v>1</v>
      </c>
      <c r="DU58" s="3906">
        <f t="shared" si="169"/>
        <v>1</v>
      </c>
      <c r="DV58" s="3906">
        <f t="shared" si="170"/>
        <v>1</v>
      </c>
      <c r="DW58" s="3906">
        <f t="shared" ref="DW58:DW74" si="180">IF(AC58&lt;AD58,1,0)</f>
        <v>1</v>
      </c>
      <c r="DX58" s="3906">
        <f t="shared" si="171"/>
        <v>1</v>
      </c>
      <c r="DY58" s="3906">
        <f t="shared" si="172"/>
        <v>1</v>
      </c>
      <c r="DZ58" s="3906">
        <f t="shared" si="173"/>
        <v>1</v>
      </c>
      <c r="EA58" s="3906">
        <f t="shared" si="174"/>
        <v>1</v>
      </c>
      <c r="EB58" s="3906">
        <f t="shared" si="175"/>
        <v>1</v>
      </c>
      <c r="EC58" s="3906">
        <f t="shared" si="176"/>
        <v>1</v>
      </c>
      <c r="ED58" s="3906">
        <f t="shared" si="177"/>
        <v>1</v>
      </c>
    </row>
    <row r="59" spans="1:134" x14ac:dyDescent="0.25">
      <c r="A59" s="5601">
        <v>11056402</v>
      </c>
      <c r="B59" s="3923" t="s">
        <v>1868</v>
      </c>
      <c r="C59" s="3908" t="s">
        <v>4567</v>
      </c>
      <c r="D59" s="344" t="s">
        <v>4568</v>
      </c>
      <c r="E59" s="3918" t="s">
        <v>4569</v>
      </c>
      <c r="F59" s="3910" t="s">
        <v>4570</v>
      </c>
      <c r="G59" s="3909" t="s">
        <v>4571</v>
      </c>
      <c r="H59" s="3910" t="s">
        <v>4572</v>
      </c>
      <c r="I59" s="3909" t="s">
        <v>4573</v>
      </c>
      <c r="J59" s="3910" t="s">
        <v>4574</v>
      </c>
      <c r="K59" s="3909" t="s">
        <v>4575</v>
      </c>
      <c r="L59" s="3910" t="s">
        <v>4576</v>
      </c>
      <c r="M59" s="3909" t="s">
        <v>4577</v>
      </c>
      <c r="N59" s="3911" t="s">
        <v>4578</v>
      </c>
      <c r="O59" s="3904" t="s">
        <v>4579</v>
      </c>
      <c r="P59" s="3912" t="s">
        <v>4580</v>
      </c>
      <c r="Q59" s="3913" t="s">
        <v>4581</v>
      </c>
      <c r="R59" s="3912" t="s">
        <v>4582</v>
      </c>
      <c r="S59" s="3913" t="s">
        <v>4583</v>
      </c>
      <c r="T59" s="3912" t="s">
        <v>4584</v>
      </c>
      <c r="U59" s="3913" t="s">
        <v>4585</v>
      </c>
      <c r="V59" s="3912" t="s">
        <v>4586</v>
      </c>
      <c r="W59" s="3913" t="s">
        <v>4587</v>
      </c>
      <c r="X59" s="3912" t="s">
        <v>4588</v>
      </c>
      <c r="Y59" s="3913" t="s">
        <v>4589</v>
      </c>
      <c r="Z59" s="3912" t="s">
        <v>4590</v>
      </c>
      <c r="AA59" s="3913" t="s">
        <v>4591</v>
      </c>
      <c r="AB59" s="3912" t="s">
        <v>4592</v>
      </c>
      <c r="AC59" s="3913" t="s">
        <v>4593</v>
      </c>
      <c r="AD59" s="3912" t="s">
        <v>4594</v>
      </c>
      <c r="AE59" s="3913" t="s">
        <v>4595</v>
      </c>
      <c r="AF59" s="3912" t="s">
        <v>4596</v>
      </c>
      <c r="AG59" s="3913" t="s">
        <v>4597</v>
      </c>
      <c r="AH59" s="3912" t="s">
        <v>4598</v>
      </c>
      <c r="AI59" s="3913" t="s">
        <v>4599</v>
      </c>
      <c r="AJ59" s="3912" t="s">
        <v>4600</v>
      </c>
      <c r="AK59" s="3913" t="s">
        <v>4601</v>
      </c>
      <c r="AL59" s="3912" t="s">
        <v>4602</v>
      </c>
      <c r="AM59" s="3913" t="s">
        <v>4603</v>
      </c>
      <c r="AN59" s="3912" t="s">
        <v>4604</v>
      </c>
      <c r="AO59" s="3913" t="s">
        <v>4605</v>
      </c>
      <c r="AP59" s="3912" t="s">
        <v>4606</v>
      </c>
      <c r="AQ59" s="3913" t="s">
        <v>4934</v>
      </c>
      <c r="AR59" s="3902" t="s">
        <v>4935</v>
      </c>
      <c r="AS59" s="3901" t="s">
        <v>4936</v>
      </c>
      <c r="AT59" s="3902" t="s">
        <v>4937</v>
      </c>
      <c r="AU59" s="3903" t="s">
        <v>5234</v>
      </c>
      <c r="AV59" s="3902" t="s">
        <v>5235</v>
      </c>
      <c r="AW59" s="3904" t="s">
        <v>5236</v>
      </c>
      <c r="AX59" s="3905" t="s">
        <v>5237</v>
      </c>
      <c r="AY59" s="1864" t="e">
        <f t="shared" si="144"/>
        <v>#VALUE!</v>
      </c>
      <c r="CB59" s="1865" t="str">
        <f>IF(C59&lt;&gt;(AT59)," * La suma de las columnas "&amp;AS$10&amp;""&amp;" DEBE SER IGUAL a los Exámenes Procesados. ","")</f>
        <v xml:space="preserve"> * La suma de las columnas POR SEXO (Procesados) DEBE SER IGUAL a los Exámenes Procesados. </v>
      </c>
      <c r="CC59" s="1865" t="e">
        <f t="shared" si="145"/>
        <v>#VALUE!</v>
      </c>
      <c r="CD59" s="1865" t="str">
        <f t="shared" si="146"/>
        <v xml:space="preserve"> *El Número de Pueblos Originarios no puede superar el Total Procesados. </v>
      </c>
      <c r="CE59" s="1865" t="str">
        <f t="shared" si="147"/>
        <v xml:space="preserve"> *El Número de Migrantes no puede superar el Total Procesados. </v>
      </c>
      <c r="CF59" s="1866"/>
      <c r="CG59" s="1866"/>
      <c r="CH59" s="1866"/>
      <c r="CI59" s="1866"/>
      <c r="CJ59" s="1866"/>
      <c r="CK59" s="1865" t="str">
        <f t="shared" si="148"/>
        <v>* El total de Procesados debe ser mayor o igual al total de Reactivos en el grupo de edad 10 - 14 años</v>
      </c>
      <c r="CL59" s="1865" t="str">
        <f t="shared" si="149"/>
        <v>* El total de Procesados debe ser mayor o igual al total de Reactivos en el grupo de edad 15 - 19 años</v>
      </c>
      <c r="CM59" s="1865" t="str">
        <f t="shared" si="150"/>
        <v>* El total de Procesados debe ser mayor o igual al total de Reactivos en el grupo de edad 20 - 24 años</v>
      </c>
      <c r="CN59" s="1865" t="str">
        <f t="shared" si="178"/>
        <v>* El total de Procesados debe ser mayor o igual al total de Reactivos en el grupo de edad 25 - 29 años</v>
      </c>
      <c r="CO59" s="1865" t="str">
        <f t="shared" si="151"/>
        <v>* El total de Procesados debe ser mayor o igual al total de Reactivos en el grupo de edad 30 - 34 años</v>
      </c>
      <c r="CP59" s="1865" t="str">
        <f t="shared" si="152"/>
        <v>* El total de Procesados debe ser mayor o igual al total de Reactivos en el grupo de edad 35 - 39 años</v>
      </c>
      <c r="CQ59" s="1865" t="str">
        <f t="shared" si="153"/>
        <v>* El total de Procesados debe ser mayor o igual al total de Reactivos en el grupo de edad 40 - 44 años</v>
      </c>
      <c r="CR59" s="1865" t="str">
        <f t="shared" si="154"/>
        <v>* El total de Procesados debe ser mayor o igual al total de Reactivos en el grupo de edad 45 - 49 años</v>
      </c>
      <c r="CS59" s="1865" t="str">
        <f t="shared" si="155"/>
        <v>* El total de Procesados debe ser mayor o igual al total de Reactivos en el grupo de edad 50 - 54 años</v>
      </c>
      <c r="CT59" s="1865" t="str">
        <f t="shared" si="156"/>
        <v>* El total de Procesados debe ser mayor o igual al total de Reactivos en el grupo de edad 55 - 59 años</v>
      </c>
      <c r="CU59" s="1865" t="str">
        <f t="shared" si="157"/>
        <v>* El total de Procesados debe ser mayor o igual al total de Reactivos en el grupo de edad 60 - 64 años</v>
      </c>
      <c r="CV59" s="1865" t="str">
        <f t="shared" si="158"/>
        <v>* El total de Procesados debe ser mayor o igual al total de Reactivos en el grupo de edad 65 - 69 años</v>
      </c>
      <c r="CW59" s="1865" t="str">
        <f t="shared" si="159"/>
        <v>* El total de Procesados debe ser mayor o igual al total de Reactivos en el grupo de edad 70 - 74 años</v>
      </c>
      <c r="CX59" s="1865" t="str">
        <f t="shared" si="160"/>
        <v>* El total de Procesados debe ser mayor o igual al total de Reactivos en el grupo de edad 75 - 79 años</v>
      </c>
      <c r="CY59" s="1865" t="str">
        <f t="shared" si="161"/>
        <v>* El total de Procesados debe ser mayor o igual al total de Reactivos en el grupo de edad 80 y más años</v>
      </c>
      <c r="DF59" s="1936"/>
      <c r="DG59" s="3922">
        <f>IF(C59&lt;&gt;(AT59),1,0)</f>
        <v>1</v>
      </c>
      <c r="DH59" s="3906" t="e">
        <f t="shared" si="162"/>
        <v>#VALUE!</v>
      </c>
      <c r="DI59" s="3906">
        <f t="shared" si="163"/>
        <v>1</v>
      </c>
      <c r="DJ59" s="3906">
        <f t="shared" si="164"/>
        <v>1</v>
      </c>
      <c r="DK59" s="1866"/>
      <c r="DL59" s="1866"/>
      <c r="DM59" s="1866"/>
      <c r="DN59" s="1866"/>
      <c r="DO59" s="1866"/>
      <c r="DP59" s="3906">
        <f t="shared" si="165"/>
        <v>1</v>
      </c>
      <c r="DQ59" s="3906">
        <f t="shared" si="166"/>
        <v>1</v>
      </c>
      <c r="DR59" s="3906">
        <f t="shared" si="167"/>
        <v>1</v>
      </c>
      <c r="DS59" s="3906">
        <f t="shared" si="179"/>
        <v>1</v>
      </c>
      <c r="DT59" s="3906">
        <f t="shared" si="168"/>
        <v>1</v>
      </c>
      <c r="DU59" s="3906">
        <f t="shared" si="169"/>
        <v>1</v>
      </c>
      <c r="DV59" s="3906">
        <f t="shared" si="170"/>
        <v>1</v>
      </c>
      <c r="DW59" s="3906">
        <f t="shared" si="180"/>
        <v>1</v>
      </c>
      <c r="DX59" s="3906">
        <f t="shared" si="171"/>
        <v>1</v>
      </c>
      <c r="DY59" s="3906">
        <f t="shared" si="172"/>
        <v>1</v>
      </c>
      <c r="DZ59" s="3906">
        <f t="shared" si="173"/>
        <v>1</v>
      </c>
      <c r="EA59" s="3906">
        <f t="shared" si="174"/>
        <v>1</v>
      </c>
      <c r="EB59" s="3906">
        <f t="shared" si="175"/>
        <v>1</v>
      </c>
      <c r="EC59" s="3906">
        <f t="shared" si="176"/>
        <v>1</v>
      </c>
      <c r="ED59" s="3906">
        <f t="shared" si="177"/>
        <v>1</v>
      </c>
    </row>
    <row r="60" spans="1:134" x14ac:dyDescent="0.25">
      <c r="A60" s="5601">
        <v>11056403</v>
      </c>
      <c r="B60" s="3923" t="s">
        <v>1869</v>
      </c>
      <c r="C60" s="3908" t="s">
        <v>4567</v>
      </c>
      <c r="D60" s="344" t="s">
        <v>4568</v>
      </c>
      <c r="E60" s="3918" t="s">
        <v>4569</v>
      </c>
      <c r="F60" s="3910" t="s">
        <v>4570</v>
      </c>
      <c r="G60" s="3909" t="s">
        <v>4571</v>
      </c>
      <c r="H60" s="3910" t="s">
        <v>4572</v>
      </c>
      <c r="I60" s="3909" t="s">
        <v>4573</v>
      </c>
      <c r="J60" s="3910" t="s">
        <v>4574</v>
      </c>
      <c r="K60" s="3909" t="s">
        <v>4575</v>
      </c>
      <c r="L60" s="3910" t="s">
        <v>4576</v>
      </c>
      <c r="M60" s="3909" t="s">
        <v>4577</v>
      </c>
      <c r="N60" s="3911" t="s">
        <v>4578</v>
      </c>
      <c r="O60" s="3904" t="s">
        <v>4579</v>
      </c>
      <c r="P60" s="3912" t="s">
        <v>4580</v>
      </c>
      <c r="Q60" s="3913" t="s">
        <v>4581</v>
      </c>
      <c r="R60" s="3912" t="s">
        <v>4582</v>
      </c>
      <c r="S60" s="3913" t="s">
        <v>4583</v>
      </c>
      <c r="T60" s="3912" t="s">
        <v>4584</v>
      </c>
      <c r="U60" s="3913" t="s">
        <v>4585</v>
      </c>
      <c r="V60" s="3912" t="s">
        <v>4586</v>
      </c>
      <c r="W60" s="3913" t="s">
        <v>4587</v>
      </c>
      <c r="X60" s="3912" t="s">
        <v>4588</v>
      </c>
      <c r="Y60" s="3913" t="s">
        <v>4589</v>
      </c>
      <c r="Z60" s="3912" t="s">
        <v>4590</v>
      </c>
      <c r="AA60" s="3913" t="s">
        <v>4591</v>
      </c>
      <c r="AB60" s="3912" t="s">
        <v>4592</v>
      </c>
      <c r="AC60" s="3913" t="s">
        <v>4593</v>
      </c>
      <c r="AD60" s="3912" t="s">
        <v>4594</v>
      </c>
      <c r="AE60" s="3913" t="s">
        <v>4595</v>
      </c>
      <c r="AF60" s="3912" t="s">
        <v>4596</v>
      </c>
      <c r="AG60" s="3913" t="s">
        <v>4597</v>
      </c>
      <c r="AH60" s="3912" t="s">
        <v>4598</v>
      </c>
      <c r="AI60" s="3913" t="s">
        <v>4599</v>
      </c>
      <c r="AJ60" s="3912" t="s">
        <v>4600</v>
      </c>
      <c r="AK60" s="3913" t="s">
        <v>4601</v>
      </c>
      <c r="AL60" s="3912" t="s">
        <v>4602</v>
      </c>
      <c r="AM60" s="3913" t="s">
        <v>4603</v>
      </c>
      <c r="AN60" s="3912" t="s">
        <v>4604</v>
      </c>
      <c r="AO60" s="3913" t="s">
        <v>4605</v>
      </c>
      <c r="AP60" s="3912" t="s">
        <v>4606</v>
      </c>
      <c r="AQ60" s="3913" t="s">
        <v>4934</v>
      </c>
      <c r="AR60" s="3902" t="s">
        <v>4935</v>
      </c>
      <c r="AS60" s="3901" t="s">
        <v>4936</v>
      </c>
      <c r="AT60" s="3902" t="s">
        <v>4937</v>
      </c>
      <c r="AU60" s="3903" t="s">
        <v>5234</v>
      </c>
      <c r="AV60" s="3902" t="s">
        <v>5235</v>
      </c>
      <c r="AW60" s="3904" t="s">
        <v>5236</v>
      </c>
      <c r="AX60" s="3905" t="s">
        <v>5237</v>
      </c>
      <c r="AY60" s="1864" t="e">
        <f t="shared" si="144"/>
        <v>#VALUE!</v>
      </c>
      <c r="CB60" s="1865" t="str">
        <f>IF(C60&lt;&gt;(AT60)," * La suma de las columnas "&amp;AS$10&amp;""&amp;" DEBE SER IGUAL a los Exámenes Procesados. ","")</f>
        <v xml:space="preserve"> * La suma de las columnas POR SEXO (Procesados) DEBE SER IGUAL a los Exámenes Procesados. </v>
      </c>
      <c r="CC60" s="1865" t="e">
        <f t="shared" si="145"/>
        <v>#VALUE!</v>
      </c>
      <c r="CD60" s="1865" t="str">
        <f t="shared" si="146"/>
        <v xml:space="preserve"> *El Número de Pueblos Originarios no puede superar el Total Procesados. </v>
      </c>
      <c r="CE60" s="1865" t="str">
        <f t="shared" si="147"/>
        <v xml:space="preserve"> *El Número de Migrantes no puede superar el Total Procesados. </v>
      </c>
      <c r="CF60" s="1866"/>
      <c r="CG60" s="1866"/>
      <c r="CH60" s="1866"/>
      <c r="CI60" s="1866"/>
      <c r="CJ60" s="1866"/>
      <c r="CK60" s="1865" t="str">
        <f t="shared" si="148"/>
        <v>* El total de Procesados debe ser mayor o igual al total de Reactivos en el grupo de edad 10 - 14 años</v>
      </c>
      <c r="CL60" s="1865" t="str">
        <f t="shared" si="149"/>
        <v>* El total de Procesados debe ser mayor o igual al total de Reactivos en el grupo de edad 15 - 19 años</v>
      </c>
      <c r="CM60" s="1865" t="str">
        <f t="shared" si="150"/>
        <v>* El total de Procesados debe ser mayor o igual al total de Reactivos en el grupo de edad 20 - 24 años</v>
      </c>
      <c r="CN60" s="1865" t="str">
        <f t="shared" si="178"/>
        <v>* El total de Procesados debe ser mayor o igual al total de Reactivos en el grupo de edad 25 - 29 años</v>
      </c>
      <c r="CO60" s="1865" t="str">
        <f t="shared" si="151"/>
        <v>* El total de Procesados debe ser mayor o igual al total de Reactivos en el grupo de edad 30 - 34 años</v>
      </c>
      <c r="CP60" s="1865" t="str">
        <f t="shared" si="152"/>
        <v>* El total de Procesados debe ser mayor o igual al total de Reactivos en el grupo de edad 35 - 39 años</v>
      </c>
      <c r="CQ60" s="1865" t="str">
        <f t="shared" si="153"/>
        <v>* El total de Procesados debe ser mayor o igual al total de Reactivos en el grupo de edad 40 - 44 años</v>
      </c>
      <c r="CR60" s="1865" t="str">
        <f t="shared" si="154"/>
        <v>* El total de Procesados debe ser mayor o igual al total de Reactivos en el grupo de edad 45 - 49 años</v>
      </c>
      <c r="CS60" s="1865" t="str">
        <f t="shared" si="155"/>
        <v>* El total de Procesados debe ser mayor o igual al total de Reactivos en el grupo de edad 50 - 54 años</v>
      </c>
      <c r="CT60" s="1865" t="str">
        <f t="shared" si="156"/>
        <v>* El total de Procesados debe ser mayor o igual al total de Reactivos en el grupo de edad 55 - 59 años</v>
      </c>
      <c r="CU60" s="1865" t="str">
        <f t="shared" si="157"/>
        <v>* El total de Procesados debe ser mayor o igual al total de Reactivos en el grupo de edad 60 - 64 años</v>
      </c>
      <c r="CV60" s="1865" t="str">
        <f t="shared" si="158"/>
        <v>* El total de Procesados debe ser mayor o igual al total de Reactivos en el grupo de edad 65 - 69 años</v>
      </c>
      <c r="CW60" s="1865" t="str">
        <f t="shared" si="159"/>
        <v>* El total de Procesados debe ser mayor o igual al total de Reactivos en el grupo de edad 70 - 74 años</v>
      </c>
      <c r="CX60" s="1865" t="str">
        <f t="shared" si="160"/>
        <v>* El total de Procesados debe ser mayor o igual al total de Reactivos en el grupo de edad 75 - 79 años</v>
      </c>
      <c r="CY60" s="1865" t="str">
        <f t="shared" si="161"/>
        <v>* El total de Procesados debe ser mayor o igual al total de Reactivos en el grupo de edad 80 y más años</v>
      </c>
      <c r="DF60" s="1936"/>
      <c r="DG60" s="3922">
        <f>IF(C60&lt;&gt;(AT60),1,0)</f>
        <v>1</v>
      </c>
      <c r="DH60" s="3906" t="e">
        <f t="shared" si="162"/>
        <v>#VALUE!</v>
      </c>
      <c r="DI60" s="3906">
        <f t="shared" si="163"/>
        <v>1</v>
      </c>
      <c r="DJ60" s="3906">
        <f t="shared" si="164"/>
        <v>1</v>
      </c>
      <c r="DK60" s="1866"/>
      <c r="DL60" s="1866"/>
      <c r="DM60" s="1866"/>
      <c r="DN60" s="1866"/>
      <c r="DO60" s="1866"/>
      <c r="DP60" s="3906">
        <f t="shared" si="165"/>
        <v>1</v>
      </c>
      <c r="DQ60" s="3906">
        <f t="shared" si="166"/>
        <v>1</v>
      </c>
      <c r="DR60" s="3906">
        <f t="shared" si="167"/>
        <v>1</v>
      </c>
      <c r="DS60" s="3906">
        <f t="shared" si="179"/>
        <v>1</v>
      </c>
      <c r="DT60" s="3906">
        <f t="shared" si="168"/>
        <v>1</v>
      </c>
      <c r="DU60" s="3906">
        <f t="shared" si="169"/>
        <v>1</v>
      </c>
      <c r="DV60" s="3906">
        <f t="shared" si="170"/>
        <v>1</v>
      </c>
      <c r="DW60" s="3906">
        <f t="shared" si="180"/>
        <v>1</v>
      </c>
      <c r="DX60" s="3906">
        <f t="shared" si="171"/>
        <v>1</v>
      </c>
      <c r="DY60" s="3906">
        <f t="shared" si="172"/>
        <v>1</v>
      </c>
      <c r="DZ60" s="3906">
        <f t="shared" si="173"/>
        <v>1</v>
      </c>
      <c r="EA60" s="3906">
        <f t="shared" si="174"/>
        <v>1</v>
      </c>
      <c r="EB60" s="3906">
        <f t="shared" si="175"/>
        <v>1</v>
      </c>
      <c r="EC60" s="3906">
        <f t="shared" si="176"/>
        <v>1</v>
      </c>
      <c r="ED60" s="3906">
        <f t="shared" si="177"/>
        <v>1</v>
      </c>
    </row>
    <row r="61" spans="1:134" x14ac:dyDescent="0.25">
      <c r="A61" s="5601">
        <v>11056404</v>
      </c>
      <c r="B61" s="3924" t="s">
        <v>1870</v>
      </c>
      <c r="C61" s="3908" t="s">
        <v>4567</v>
      </c>
      <c r="D61" s="344" t="s">
        <v>4568</v>
      </c>
      <c r="E61" s="3918" t="s">
        <v>4569</v>
      </c>
      <c r="F61" s="3910" t="s">
        <v>4570</v>
      </c>
      <c r="G61" s="3909" t="s">
        <v>4571</v>
      </c>
      <c r="H61" s="3910" t="s">
        <v>4572</v>
      </c>
      <c r="I61" s="3909" t="s">
        <v>4573</v>
      </c>
      <c r="J61" s="3910" t="s">
        <v>4574</v>
      </c>
      <c r="K61" s="3909" t="s">
        <v>4575</v>
      </c>
      <c r="L61" s="3910" t="s">
        <v>4576</v>
      </c>
      <c r="M61" s="3909" t="s">
        <v>4577</v>
      </c>
      <c r="N61" s="3911" t="s">
        <v>4578</v>
      </c>
      <c r="O61" s="3904" t="s">
        <v>4579</v>
      </c>
      <c r="P61" s="3912" t="s">
        <v>4580</v>
      </c>
      <c r="Q61" s="3913" t="s">
        <v>4581</v>
      </c>
      <c r="R61" s="3912" t="s">
        <v>4582</v>
      </c>
      <c r="S61" s="3913" t="s">
        <v>4583</v>
      </c>
      <c r="T61" s="3912" t="s">
        <v>4584</v>
      </c>
      <c r="U61" s="3913" t="s">
        <v>4585</v>
      </c>
      <c r="V61" s="3912" t="s">
        <v>4586</v>
      </c>
      <c r="W61" s="3913" t="s">
        <v>4587</v>
      </c>
      <c r="X61" s="3912" t="s">
        <v>4588</v>
      </c>
      <c r="Y61" s="3913" t="s">
        <v>4589</v>
      </c>
      <c r="Z61" s="3912" t="s">
        <v>4590</v>
      </c>
      <c r="AA61" s="3913" t="s">
        <v>4591</v>
      </c>
      <c r="AB61" s="3912" t="s">
        <v>4592</v>
      </c>
      <c r="AC61" s="3913" t="s">
        <v>4593</v>
      </c>
      <c r="AD61" s="3912" t="s">
        <v>4594</v>
      </c>
      <c r="AE61" s="3913" t="s">
        <v>4595</v>
      </c>
      <c r="AF61" s="3912" t="s">
        <v>4596</v>
      </c>
      <c r="AG61" s="3913" t="s">
        <v>4597</v>
      </c>
      <c r="AH61" s="3912" t="s">
        <v>4598</v>
      </c>
      <c r="AI61" s="3913" t="s">
        <v>4599</v>
      </c>
      <c r="AJ61" s="3912" t="s">
        <v>4600</v>
      </c>
      <c r="AK61" s="3913" t="s">
        <v>4601</v>
      </c>
      <c r="AL61" s="3912" t="s">
        <v>4602</v>
      </c>
      <c r="AM61" s="3913" t="s">
        <v>4603</v>
      </c>
      <c r="AN61" s="3912" t="s">
        <v>4604</v>
      </c>
      <c r="AO61" s="3913" t="s">
        <v>4605</v>
      </c>
      <c r="AP61" s="3912" t="s">
        <v>4606</v>
      </c>
      <c r="AQ61" s="3913" t="s">
        <v>4934</v>
      </c>
      <c r="AR61" s="3902" t="s">
        <v>4935</v>
      </c>
      <c r="AS61" s="3901" t="s">
        <v>4936</v>
      </c>
      <c r="AT61" s="3902" t="s">
        <v>4937</v>
      </c>
      <c r="AU61" s="3903" t="s">
        <v>5234</v>
      </c>
      <c r="AV61" s="3902" t="s">
        <v>5235</v>
      </c>
      <c r="AW61" s="3904" t="s">
        <v>5236</v>
      </c>
      <c r="AX61" s="3905" t="s">
        <v>5237</v>
      </c>
      <c r="AY61" s="1864" t="e">
        <f t="shared" si="144"/>
        <v>#VALUE!</v>
      </c>
      <c r="CB61" s="1865" t="str">
        <f>IF(C61&lt;&gt;(AT61)," * La suma de las columnas "&amp;AS$10&amp;""&amp;" DEBE SER IGUAL a los Exámenes Procesados. ","")</f>
        <v xml:space="preserve"> * La suma de las columnas POR SEXO (Procesados) DEBE SER IGUAL a los Exámenes Procesados. </v>
      </c>
      <c r="CC61" s="1865" t="e">
        <f t="shared" si="145"/>
        <v>#VALUE!</v>
      </c>
      <c r="CD61" s="1865" t="str">
        <f t="shared" si="146"/>
        <v xml:space="preserve"> *El Número de Pueblos Originarios no puede superar el Total Procesados. </v>
      </c>
      <c r="CE61" s="1865" t="str">
        <f t="shared" si="147"/>
        <v xml:space="preserve"> *El Número de Migrantes no puede superar el Total Procesados. </v>
      </c>
      <c r="CF61" s="1866"/>
      <c r="CG61" s="1866"/>
      <c r="CH61" s="1866"/>
      <c r="CI61" s="1866"/>
      <c r="CJ61" s="1866"/>
      <c r="CK61" s="1865" t="str">
        <f t="shared" si="148"/>
        <v>* El total de Procesados debe ser mayor o igual al total de Reactivos en el grupo de edad 10 - 14 años</v>
      </c>
      <c r="CL61" s="1865" t="str">
        <f t="shared" si="149"/>
        <v>* El total de Procesados debe ser mayor o igual al total de Reactivos en el grupo de edad 15 - 19 años</v>
      </c>
      <c r="CM61" s="1865" t="str">
        <f t="shared" si="150"/>
        <v>* El total de Procesados debe ser mayor o igual al total de Reactivos en el grupo de edad 20 - 24 años</v>
      </c>
      <c r="CN61" s="1865" t="str">
        <f t="shared" si="178"/>
        <v>* El total de Procesados debe ser mayor o igual al total de Reactivos en el grupo de edad 25 - 29 años</v>
      </c>
      <c r="CO61" s="1865" t="str">
        <f t="shared" si="151"/>
        <v>* El total de Procesados debe ser mayor o igual al total de Reactivos en el grupo de edad 30 - 34 años</v>
      </c>
      <c r="CP61" s="1865" t="str">
        <f t="shared" si="152"/>
        <v>* El total de Procesados debe ser mayor o igual al total de Reactivos en el grupo de edad 35 - 39 años</v>
      </c>
      <c r="CQ61" s="1865" t="str">
        <f t="shared" si="153"/>
        <v>* El total de Procesados debe ser mayor o igual al total de Reactivos en el grupo de edad 40 - 44 años</v>
      </c>
      <c r="CR61" s="1865" t="str">
        <f t="shared" si="154"/>
        <v>* El total de Procesados debe ser mayor o igual al total de Reactivos en el grupo de edad 45 - 49 años</v>
      </c>
      <c r="CS61" s="1865" t="str">
        <f t="shared" si="155"/>
        <v>* El total de Procesados debe ser mayor o igual al total de Reactivos en el grupo de edad 50 - 54 años</v>
      </c>
      <c r="CT61" s="1865" t="str">
        <f t="shared" si="156"/>
        <v>* El total de Procesados debe ser mayor o igual al total de Reactivos en el grupo de edad 55 - 59 años</v>
      </c>
      <c r="CU61" s="1865" t="str">
        <f t="shared" si="157"/>
        <v>* El total de Procesados debe ser mayor o igual al total de Reactivos en el grupo de edad 60 - 64 años</v>
      </c>
      <c r="CV61" s="1865" t="str">
        <f t="shared" si="158"/>
        <v>* El total de Procesados debe ser mayor o igual al total de Reactivos en el grupo de edad 65 - 69 años</v>
      </c>
      <c r="CW61" s="1865" t="str">
        <f t="shared" si="159"/>
        <v>* El total de Procesados debe ser mayor o igual al total de Reactivos en el grupo de edad 70 - 74 años</v>
      </c>
      <c r="CX61" s="1865" t="str">
        <f t="shared" si="160"/>
        <v>* El total de Procesados debe ser mayor o igual al total de Reactivos en el grupo de edad 75 - 79 años</v>
      </c>
      <c r="CY61" s="1865" t="str">
        <f t="shared" si="161"/>
        <v>* El total de Procesados debe ser mayor o igual al total de Reactivos en el grupo de edad 80 y más años</v>
      </c>
      <c r="DF61" s="1936"/>
      <c r="DG61" s="3922">
        <f>IF(C61&lt;&gt;(AT61),1,0)</f>
        <v>1</v>
      </c>
      <c r="DH61" s="3906" t="e">
        <f t="shared" si="162"/>
        <v>#VALUE!</v>
      </c>
      <c r="DI61" s="3906">
        <f t="shared" si="163"/>
        <v>1</v>
      </c>
      <c r="DJ61" s="3906">
        <f t="shared" si="164"/>
        <v>1</v>
      </c>
      <c r="DK61" s="1866"/>
      <c r="DL61" s="1866"/>
      <c r="DM61" s="1866"/>
      <c r="DN61" s="1866"/>
      <c r="DO61" s="1866"/>
      <c r="DP61" s="3906">
        <f t="shared" si="165"/>
        <v>1</v>
      </c>
      <c r="DQ61" s="3906">
        <f t="shared" si="166"/>
        <v>1</v>
      </c>
      <c r="DR61" s="3906">
        <f t="shared" si="167"/>
        <v>1</v>
      </c>
      <c r="DS61" s="3906">
        <f t="shared" si="179"/>
        <v>1</v>
      </c>
      <c r="DT61" s="3906">
        <f t="shared" si="168"/>
        <v>1</v>
      </c>
      <c r="DU61" s="3906">
        <f t="shared" si="169"/>
        <v>1</v>
      </c>
      <c r="DV61" s="3906">
        <f t="shared" si="170"/>
        <v>1</v>
      </c>
      <c r="DW61" s="3906">
        <f t="shared" si="180"/>
        <v>1</v>
      </c>
      <c r="DX61" s="3906">
        <f t="shared" si="171"/>
        <v>1</v>
      </c>
      <c r="DY61" s="3906">
        <f t="shared" si="172"/>
        <v>1</v>
      </c>
      <c r="DZ61" s="3906">
        <f t="shared" si="173"/>
        <v>1</v>
      </c>
      <c r="EA61" s="3906">
        <f t="shared" si="174"/>
        <v>1</v>
      </c>
      <c r="EB61" s="3906">
        <f t="shared" si="175"/>
        <v>1</v>
      </c>
      <c r="EC61" s="3906">
        <f t="shared" si="176"/>
        <v>1</v>
      </c>
      <c r="ED61" s="3906">
        <f t="shared" si="177"/>
        <v>1</v>
      </c>
    </row>
    <row r="62" spans="1:134" x14ac:dyDescent="0.25">
      <c r="A62" s="5601">
        <v>11056405</v>
      </c>
      <c r="B62" s="3924" t="s">
        <v>1871</v>
      </c>
      <c r="C62" s="3908" t="s">
        <v>4567</v>
      </c>
      <c r="D62" s="344" t="s">
        <v>4568</v>
      </c>
      <c r="E62" s="3918" t="s">
        <v>4569</v>
      </c>
      <c r="F62" s="3910" t="s">
        <v>4570</v>
      </c>
      <c r="G62" s="3909" t="s">
        <v>4571</v>
      </c>
      <c r="H62" s="3910" t="s">
        <v>4572</v>
      </c>
      <c r="I62" s="3909" t="s">
        <v>4573</v>
      </c>
      <c r="J62" s="3910" t="s">
        <v>4574</v>
      </c>
      <c r="K62" s="3909" t="s">
        <v>4575</v>
      </c>
      <c r="L62" s="3910" t="s">
        <v>4576</v>
      </c>
      <c r="M62" s="3909" t="s">
        <v>4577</v>
      </c>
      <c r="N62" s="3911" t="s">
        <v>4578</v>
      </c>
      <c r="O62" s="3904" t="s">
        <v>4579</v>
      </c>
      <c r="P62" s="3912" t="s">
        <v>4580</v>
      </c>
      <c r="Q62" s="3913" t="s">
        <v>4581</v>
      </c>
      <c r="R62" s="3912" t="s">
        <v>4582</v>
      </c>
      <c r="S62" s="3913" t="s">
        <v>4583</v>
      </c>
      <c r="T62" s="3912" t="s">
        <v>4584</v>
      </c>
      <c r="U62" s="3913" t="s">
        <v>4585</v>
      </c>
      <c r="V62" s="3912" t="s">
        <v>4586</v>
      </c>
      <c r="W62" s="3913" t="s">
        <v>4587</v>
      </c>
      <c r="X62" s="3912" t="s">
        <v>4588</v>
      </c>
      <c r="Y62" s="3913" t="s">
        <v>4589</v>
      </c>
      <c r="Z62" s="3912" t="s">
        <v>4590</v>
      </c>
      <c r="AA62" s="3913" t="s">
        <v>4591</v>
      </c>
      <c r="AB62" s="3912" t="s">
        <v>4592</v>
      </c>
      <c r="AC62" s="3913" t="s">
        <v>4593</v>
      </c>
      <c r="AD62" s="3912" t="s">
        <v>4594</v>
      </c>
      <c r="AE62" s="3913" t="s">
        <v>4595</v>
      </c>
      <c r="AF62" s="3912" t="s">
        <v>4596</v>
      </c>
      <c r="AG62" s="3913" t="s">
        <v>4597</v>
      </c>
      <c r="AH62" s="3912" t="s">
        <v>4598</v>
      </c>
      <c r="AI62" s="3913" t="s">
        <v>4599</v>
      </c>
      <c r="AJ62" s="3912" t="s">
        <v>4600</v>
      </c>
      <c r="AK62" s="3913" t="s">
        <v>4601</v>
      </c>
      <c r="AL62" s="3912" t="s">
        <v>4602</v>
      </c>
      <c r="AM62" s="3913" t="s">
        <v>4603</v>
      </c>
      <c r="AN62" s="3912" t="s">
        <v>4604</v>
      </c>
      <c r="AO62" s="3913" t="s">
        <v>4605</v>
      </c>
      <c r="AP62" s="3912" t="s">
        <v>4606</v>
      </c>
      <c r="AQ62" s="3913" t="s">
        <v>4934</v>
      </c>
      <c r="AR62" s="3902" t="s">
        <v>4935</v>
      </c>
      <c r="AS62" s="3904" t="s">
        <v>4936</v>
      </c>
      <c r="AT62" s="3902" t="s">
        <v>4937</v>
      </c>
      <c r="AU62" s="3903" t="s">
        <v>5234</v>
      </c>
      <c r="AV62" s="3902" t="s">
        <v>5235</v>
      </c>
      <c r="AW62" s="3904" t="s">
        <v>5236</v>
      </c>
      <c r="AX62" s="3905" t="s">
        <v>5237</v>
      </c>
      <c r="AY62" s="1864" t="e">
        <f t="shared" si="144"/>
        <v>#VALUE!</v>
      </c>
      <c r="CB62" s="1865" t="e">
        <f>IF(C62&lt;&gt;(AT62+AS62)," * La suma de las columnas "&amp;AS$10&amp;""&amp;" DEBE SER IGUAL a los Exámenes Procesados. ","")</f>
        <v>#VALUE!</v>
      </c>
      <c r="CC62" s="1865" t="e">
        <f t="shared" si="145"/>
        <v>#VALUE!</v>
      </c>
      <c r="CD62" s="1865" t="str">
        <f t="shared" si="146"/>
        <v xml:space="preserve"> *El Número de Pueblos Originarios no puede superar el Total Procesados. </v>
      </c>
      <c r="CE62" s="1865" t="str">
        <f t="shared" si="147"/>
        <v xml:space="preserve"> *El Número de Migrantes no puede superar el Total Procesados. </v>
      </c>
      <c r="CF62" s="1866"/>
      <c r="CG62" s="1866"/>
      <c r="CH62" s="1866"/>
      <c r="CI62" s="1866"/>
      <c r="CJ62" s="1866"/>
      <c r="CK62" s="1865" t="str">
        <f t="shared" si="148"/>
        <v>* El total de Procesados debe ser mayor o igual al total de Reactivos en el grupo de edad 10 - 14 años</v>
      </c>
      <c r="CL62" s="1865" t="str">
        <f t="shared" si="149"/>
        <v>* El total de Procesados debe ser mayor o igual al total de Reactivos en el grupo de edad 15 - 19 años</v>
      </c>
      <c r="CM62" s="1865" t="str">
        <f t="shared" si="150"/>
        <v>* El total de Procesados debe ser mayor o igual al total de Reactivos en el grupo de edad 20 - 24 años</v>
      </c>
      <c r="CN62" s="1865" t="str">
        <f t="shared" si="178"/>
        <v>* El total de Procesados debe ser mayor o igual al total de Reactivos en el grupo de edad 25 - 29 años</v>
      </c>
      <c r="CO62" s="1865" t="str">
        <f t="shared" si="151"/>
        <v>* El total de Procesados debe ser mayor o igual al total de Reactivos en el grupo de edad 30 - 34 años</v>
      </c>
      <c r="CP62" s="1865" t="str">
        <f t="shared" si="152"/>
        <v>* El total de Procesados debe ser mayor o igual al total de Reactivos en el grupo de edad 35 - 39 años</v>
      </c>
      <c r="CQ62" s="1865" t="str">
        <f t="shared" si="153"/>
        <v>* El total de Procesados debe ser mayor o igual al total de Reactivos en el grupo de edad 40 - 44 años</v>
      </c>
      <c r="CR62" s="1865" t="str">
        <f t="shared" si="154"/>
        <v>* El total de Procesados debe ser mayor o igual al total de Reactivos en el grupo de edad 45 - 49 años</v>
      </c>
      <c r="CS62" s="1865" t="str">
        <f t="shared" si="155"/>
        <v>* El total de Procesados debe ser mayor o igual al total de Reactivos en el grupo de edad 50 - 54 años</v>
      </c>
      <c r="CT62" s="1865" t="str">
        <f t="shared" si="156"/>
        <v>* El total de Procesados debe ser mayor o igual al total de Reactivos en el grupo de edad 55 - 59 años</v>
      </c>
      <c r="CU62" s="1865" t="str">
        <f t="shared" si="157"/>
        <v>* El total de Procesados debe ser mayor o igual al total de Reactivos en el grupo de edad 60 - 64 años</v>
      </c>
      <c r="CV62" s="1865" t="str">
        <f t="shared" si="158"/>
        <v>* El total de Procesados debe ser mayor o igual al total de Reactivos en el grupo de edad 65 - 69 años</v>
      </c>
      <c r="CW62" s="1865" t="str">
        <f t="shared" si="159"/>
        <v>* El total de Procesados debe ser mayor o igual al total de Reactivos en el grupo de edad 70 - 74 años</v>
      </c>
      <c r="CX62" s="1865" t="str">
        <f t="shared" si="160"/>
        <v>* El total de Procesados debe ser mayor o igual al total de Reactivos en el grupo de edad 75 - 79 años</v>
      </c>
      <c r="CY62" s="1865" t="str">
        <f t="shared" si="161"/>
        <v>* El total de Procesados debe ser mayor o igual al total de Reactivos en el grupo de edad 80 y más años</v>
      </c>
      <c r="DF62" s="1936"/>
      <c r="DG62" s="3922" t="e">
        <f>IF(C62&lt;&gt;(AT62+AS62),1,0)</f>
        <v>#VALUE!</v>
      </c>
      <c r="DH62" s="3906" t="e">
        <f t="shared" si="162"/>
        <v>#VALUE!</v>
      </c>
      <c r="DI62" s="3906">
        <f t="shared" si="163"/>
        <v>1</v>
      </c>
      <c r="DJ62" s="3906">
        <f t="shared" si="164"/>
        <v>1</v>
      </c>
      <c r="DK62" s="1866"/>
      <c r="DL62" s="1866"/>
      <c r="DM62" s="1866"/>
      <c r="DN62" s="1866"/>
      <c r="DO62" s="1866"/>
      <c r="DP62" s="3906">
        <f t="shared" si="165"/>
        <v>1</v>
      </c>
      <c r="DQ62" s="3906">
        <f t="shared" si="166"/>
        <v>1</v>
      </c>
      <c r="DR62" s="3906">
        <f t="shared" si="167"/>
        <v>1</v>
      </c>
      <c r="DS62" s="3906">
        <f t="shared" si="179"/>
        <v>1</v>
      </c>
      <c r="DT62" s="3906">
        <f t="shared" si="168"/>
        <v>1</v>
      </c>
      <c r="DU62" s="3906">
        <f t="shared" si="169"/>
        <v>1</v>
      </c>
      <c r="DV62" s="3906">
        <f t="shared" si="170"/>
        <v>1</v>
      </c>
      <c r="DW62" s="3906">
        <f t="shared" si="180"/>
        <v>1</v>
      </c>
      <c r="DX62" s="3906">
        <f t="shared" si="171"/>
        <v>1</v>
      </c>
      <c r="DY62" s="3906">
        <f t="shared" si="172"/>
        <v>1</v>
      </c>
      <c r="DZ62" s="3906">
        <f t="shared" si="173"/>
        <v>1</v>
      </c>
      <c r="EA62" s="3906">
        <f t="shared" si="174"/>
        <v>1</v>
      </c>
      <c r="EB62" s="3906">
        <f t="shared" si="175"/>
        <v>1</v>
      </c>
      <c r="EC62" s="3906">
        <f t="shared" si="176"/>
        <v>1</v>
      </c>
      <c r="ED62" s="3906">
        <f t="shared" si="177"/>
        <v>1</v>
      </c>
    </row>
    <row r="63" spans="1:134" x14ac:dyDescent="0.25">
      <c r="A63" s="5601">
        <v>11056406</v>
      </c>
      <c r="B63" s="3924" t="s">
        <v>1872</v>
      </c>
      <c r="C63" s="3908" t="s">
        <v>4567</v>
      </c>
      <c r="D63" s="344" t="s">
        <v>4568</v>
      </c>
      <c r="E63" s="3918" t="s">
        <v>4569</v>
      </c>
      <c r="F63" s="3910" t="s">
        <v>4570</v>
      </c>
      <c r="G63" s="3909" t="s">
        <v>4571</v>
      </c>
      <c r="H63" s="3910" t="s">
        <v>4572</v>
      </c>
      <c r="I63" s="3909" t="s">
        <v>4573</v>
      </c>
      <c r="J63" s="3910" t="s">
        <v>4574</v>
      </c>
      <c r="K63" s="3909" t="s">
        <v>4575</v>
      </c>
      <c r="L63" s="3910" t="s">
        <v>4576</v>
      </c>
      <c r="M63" s="3909" t="s">
        <v>4577</v>
      </c>
      <c r="N63" s="3911" t="s">
        <v>4578</v>
      </c>
      <c r="O63" s="3904" t="s">
        <v>4579</v>
      </c>
      <c r="P63" s="3912" t="s">
        <v>4580</v>
      </c>
      <c r="Q63" s="3913" t="s">
        <v>4581</v>
      </c>
      <c r="R63" s="3912" t="s">
        <v>4582</v>
      </c>
      <c r="S63" s="3913" t="s">
        <v>4583</v>
      </c>
      <c r="T63" s="3912" t="s">
        <v>4584</v>
      </c>
      <c r="U63" s="3913" t="s">
        <v>4585</v>
      </c>
      <c r="V63" s="3912" t="s">
        <v>4586</v>
      </c>
      <c r="W63" s="3913" t="s">
        <v>4587</v>
      </c>
      <c r="X63" s="3912" t="s">
        <v>4588</v>
      </c>
      <c r="Y63" s="3913" t="s">
        <v>4589</v>
      </c>
      <c r="Z63" s="3912" t="s">
        <v>4590</v>
      </c>
      <c r="AA63" s="3913" t="s">
        <v>4591</v>
      </c>
      <c r="AB63" s="3912" t="s">
        <v>4592</v>
      </c>
      <c r="AC63" s="3913" t="s">
        <v>4593</v>
      </c>
      <c r="AD63" s="3912" t="s">
        <v>4594</v>
      </c>
      <c r="AE63" s="3913" t="s">
        <v>4595</v>
      </c>
      <c r="AF63" s="3912" t="s">
        <v>4596</v>
      </c>
      <c r="AG63" s="3913" t="s">
        <v>4597</v>
      </c>
      <c r="AH63" s="3912" t="s">
        <v>4598</v>
      </c>
      <c r="AI63" s="3913" t="s">
        <v>4599</v>
      </c>
      <c r="AJ63" s="3912" t="s">
        <v>4600</v>
      </c>
      <c r="AK63" s="3913" t="s">
        <v>4601</v>
      </c>
      <c r="AL63" s="3912" t="s">
        <v>4602</v>
      </c>
      <c r="AM63" s="3913" t="s">
        <v>4603</v>
      </c>
      <c r="AN63" s="3912" t="s">
        <v>4604</v>
      </c>
      <c r="AO63" s="3913" t="s">
        <v>4605</v>
      </c>
      <c r="AP63" s="3912" t="s">
        <v>4606</v>
      </c>
      <c r="AQ63" s="3913" t="s">
        <v>4934</v>
      </c>
      <c r="AR63" s="3902" t="s">
        <v>4935</v>
      </c>
      <c r="AS63" s="3901" t="s">
        <v>4936</v>
      </c>
      <c r="AT63" s="3902" t="s">
        <v>4937</v>
      </c>
      <c r="AU63" s="3903" t="s">
        <v>5234</v>
      </c>
      <c r="AV63" s="3902" t="s">
        <v>5235</v>
      </c>
      <c r="AW63" s="3904" t="s">
        <v>5236</v>
      </c>
      <c r="AX63" s="3905" t="s">
        <v>5237</v>
      </c>
      <c r="AY63" s="1864" t="e">
        <f t="shared" si="144"/>
        <v>#VALUE!</v>
      </c>
      <c r="CB63" s="1865" t="str">
        <f>IF(C63&lt;&gt;(AT63)," * La suma de las columnas "&amp;AS$10&amp;""&amp;" DEBE SER IGUAL a los Exámenes Procesados. ","")</f>
        <v xml:space="preserve"> * La suma de las columnas POR SEXO (Procesados) DEBE SER IGUAL a los Exámenes Procesados. </v>
      </c>
      <c r="CC63" s="1865" t="e">
        <f t="shared" si="145"/>
        <v>#VALUE!</v>
      </c>
      <c r="CD63" s="1865" t="str">
        <f t="shared" si="146"/>
        <v xml:space="preserve"> *El Número de Pueblos Originarios no puede superar el Total Procesados. </v>
      </c>
      <c r="CE63" s="1865" t="str">
        <f t="shared" si="147"/>
        <v xml:space="preserve"> *El Número de Migrantes no puede superar el Total Procesados. </v>
      </c>
      <c r="CF63" s="1866"/>
      <c r="CG63" s="1866"/>
      <c r="CH63" s="1866"/>
      <c r="CI63" s="1866"/>
      <c r="CJ63" s="1866"/>
      <c r="CK63" s="1865" t="str">
        <f t="shared" si="148"/>
        <v>* El total de Procesados debe ser mayor o igual al total de Reactivos en el grupo de edad 10 - 14 años</v>
      </c>
      <c r="CL63" s="1865" t="str">
        <f t="shared" si="149"/>
        <v>* El total de Procesados debe ser mayor o igual al total de Reactivos en el grupo de edad 15 - 19 años</v>
      </c>
      <c r="CM63" s="1865" t="str">
        <f t="shared" si="150"/>
        <v>* El total de Procesados debe ser mayor o igual al total de Reactivos en el grupo de edad 20 - 24 años</v>
      </c>
      <c r="CN63" s="1865" t="str">
        <f t="shared" si="178"/>
        <v>* El total de Procesados debe ser mayor o igual al total de Reactivos en el grupo de edad 25 - 29 años</v>
      </c>
      <c r="CO63" s="1865" t="str">
        <f t="shared" si="151"/>
        <v>* El total de Procesados debe ser mayor o igual al total de Reactivos en el grupo de edad 30 - 34 años</v>
      </c>
      <c r="CP63" s="1865" t="str">
        <f t="shared" si="152"/>
        <v>* El total de Procesados debe ser mayor o igual al total de Reactivos en el grupo de edad 35 - 39 años</v>
      </c>
      <c r="CQ63" s="1865" t="str">
        <f t="shared" si="153"/>
        <v>* El total de Procesados debe ser mayor o igual al total de Reactivos en el grupo de edad 40 - 44 años</v>
      </c>
      <c r="CR63" s="1865" t="str">
        <f t="shared" si="154"/>
        <v>* El total de Procesados debe ser mayor o igual al total de Reactivos en el grupo de edad 45 - 49 años</v>
      </c>
      <c r="CS63" s="1865" t="str">
        <f t="shared" si="155"/>
        <v>* El total de Procesados debe ser mayor o igual al total de Reactivos en el grupo de edad 50 - 54 años</v>
      </c>
      <c r="CT63" s="1865" t="str">
        <f t="shared" si="156"/>
        <v>* El total de Procesados debe ser mayor o igual al total de Reactivos en el grupo de edad 55 - 59 años</v>
      </c>
      <c r="CU63" s="1865" t="str">
        <f t="shared" si="157"/>
        <v>* El total de Procesados debe ser mayor o igual al total de Reactivos en el grupo de edad 60 - 64 años</v>
      </c>
      <c r="CV63" s="1865" t="str">
        <f t="shared" si="158"/>
        <v>* El total de Procesados debe ser mayor o igual al total de Reactivos en el grupo de edad 65 - 69 años</v>
      </c>
      <c r="CW63" s="1865" t="str">
        <f t="shared" si="159"/>
        <v>* El total de Procesados debe ser mayor o igual al total de Reactivos en el grupo de edad 70 - 74 años</v>
      </c>
      <c r="CX63" s="1865" t="str">
        <f t="shared" si="160"/>
        <v>* El total de Procesados debe ser mayor o igual al total de Reactivos en el grupo de edad 75 - 79 años</v>
      </c>
      <c r="CY63" s="1865" t="str">
        <f t="shared" si="161"/>
        <v>* El total de Procesados debe ser mayor o igual al total de Reactivos en el grupo de edad 80 y más años</v>
      </c>
      <c r="DF63" s="1936"/>
      <c r="DG63" s="3922">
        <f>IF(C63&lt;&gt;(AT63),1,0)</f>
        <v>1</v>
      </c>
      <c r="DH63" s="3906" t="e">
        <f t="shared" si="162"/>
        <v>#VALUE!</v>
      </c>
      <c r="DI63" s="3906">
        <f t="shared" si="163"/>
        <v>1</v>
      </c>
      <c r="DJ63" s="3906">
        <f t="shared" si="164"/>
        <v>1</v>
      </c>
      <c r="DK63" s="1866"/>
      <c r="DL63" s="1866"/>
      <c r="DM63" s="1866"/>
      <c r="DN63" s="1866"/>
      <c r="DO63" s="1866"/>
      <c r="DP63" s="3906">
        <f t="shared" si="165"/>
        <v>1</v>
      </c>
      <c r="DQ63" s="3906">
        <f t="shared" si="166"/>
        <v>1</v>
      </c>
      <c r="DR63" s="3906">
        <f t="shared" si="167"/>
        <v>1</v>
      </c>
      <c r="DS63" s="3906">
        <f t="shared" si="179"/>
        <v>1</v>
      </c>
      <c r="DT63" s="3906">
        <f t="shared" si="168"/>
        <v>1</v>
      </c>
      <c r="DU63" s="3906">
        <f t="shared" si="169"/>
        <v>1</v>
      </c>
      <c r="DV63" s="3906">
        <f t="shared" si="170"/>
        <v>1</v>
      </c>
      <c r="DW63" s="3906">
        <f t="shared" si="180"/>
        <v>1</v>
      </c>
      <c r="DX63" s="3906">
        <f t="shared" si="171"/>
        <v>1</v>
      </c>
      <c r="DY63" s="3906">
        <f t="shared" si="172"/>
        <v>1</v>
      </c>
      <c r="DZ63" s="3906">
        <f t="shared" si="173"/>
        <v>1</v>
      </c>
      <c r="EA63" s="3906">
        <f t="shared" si="174"/>
        <v>1</v>
      </c>
      <c r="EB63" s="3906">
        <f t="shared" si="175"/>
        <v>1</v>
      </c>
      <c r="EC63" s="3906">
        <f t="shared" si="176"/>
        <v>1</v>
      </c>
      <c r="ED63" s="3906">
        <f t="shared" si="177"/>
        <v>1</v>
      </c>
    </row>
    <row r="64" spans="1:134" x14ac:dyDescent="0.25">
      <c r="A64" s="5601">
        <v>11056407</v>
      </c>
      <c r="B64" s="3923" t="s">
        <v>1873</v>
      </c>
      <c r="C64" s="3908" t="s">
        <v>4567</v>
      </c>
      <c r="D64" s="344" t="s">
        <v>4568</v>
      </c>
      <c r="E64" s="3918" t="s">
        <v>4569</v>
      </c>
      <c r="F64" s="3910" t="s">
        <v>4570</v>
      </c>
      <c r="G64" s="3909" t="s">
        <v>4571</v>
      </c>
      <c r="H64" s="3910" t="s">
        <v>4572</v>
      </c>
      <c r="I64" s="3909" t="s">
        <v>4573</v>
      </c>
      <c r="J64" s="3910" t="s">
        <v>4574</v>
      </c>
      <c r="K64" s="3909" t="s">
        <v>4575</v>
      </c>
      <c r="L64" s="3910" t="s">
        <v>4576</v>
      </c>
      <c r="M64" s="3909" t="s">
        <v>4577</v>
      </c>
      <c r="N64" s="3911" t="s">
        <v>4578</v>
      </c>
      <c r="O64" s="3904" t="s">
        <v>4579</v>
      </c>
      <c r="P64" s="3912" t="s">
        <v>4580</v>
      </c>
      <c r="Q64" s="3913" t="s">
        <v>4581</v>
      </c>
      <c r="R64" s="3912" t="s">
        <v>4582</v>
      </c>
      <c r="S64" s="3913" t="s">
        <v>4583</v>
      </c>
      <c r="T64" s="3912" t="s">
        <v>4584</v>
      </c>
      <c r="U64" s="3913" t="s">
        <v>4585</v>
      </c>
      <c r="V64" s="3912" t="s">
        <v>4586</v>
      </c>
      <c r="W64" s="3913" t="s">
        <v>4587</v>
      </c>
      <c r="X64" s="3912" t="s">
        <v>4588</v>
      </c>
      <c r="Y64" s="3913" t="s">
        <v>4589</v>
      </c>
      <c r="Z64" s="3912" t="s">
        <v>4590</v>
      </c>
      <c r="AA64" s="3913" t="s">
        <v>4591</v>
      </c>
      <c r="AB64" s="3912" t="s">
        <v>4592</v>
      </c>
      <c r="AC64" s="3913" t="s">
        <v>4593</v>
      </c>
      <c r="AD64" s="3912" t="s">
        <v>4594</v>
      </c>
      <c r="AE64" s="3913" t="s">
        <v>4595</v>
      </c>
      <c r="AF64" s="3912" t="s">
        <v>4596</v>
      </c>
      <c r="AG64" s="3913" t="s">
        <v>4597</v>
      </c>
      <c r="AH64" s="3912" t="s">
        <v>4598</v>
      </c>
      <c r="AI64" s="3913" t="s">
        <v>4599</v>
      </c>
      <c r="AJ64" s="3912" t="s">
        <v>4600</v>
      </c>
      <c r="AK64" s="3913" t="s">
        <v>4601</v>
      </c>
      <c r="AL64" s="3912" t="s">
        <v>4602</v>
      </c>
      <c r="AM64" s="3913" t="s">
        <v>4603</v>
      </c>
      <c r="AN64" s="3912" t="s">
        <v>4604</v>
      </c>
      <c r="AO64" s="3913" t="s">
        <v>4605</v>
      </c>
      <c r="AP64" s="3912" t="s">
        <v>4606</v>
      </c>
      <c r="AQ64" s="3913" t="s">
        <v>4934</v>
      </c>
      <c r="AR64" s="3902" t="s">
        <v>4935</v>
      </c>
      <c r="AS64" s="3901" t="s">
        <v>4936</v>
      </c>
      <c r="AT64" s="3902" t="s">
        <v>4937</v>
      </c>
      <c r="AU64" s="3903" t="s">
        <v>5234</v>
      </c>
      <c r="AV64" s="3902" t="s">
        <v>5235</v>
      </c>
      <c r="AW64" s="3904" t="s">
        <v>5236</v>
      </c>
      <c r="AX64" s="3905" t="s">
        <v>5237</v>
      </c>
      <c r="AY64" s="1864" t="e">
        <f t="shared" si="144"/>
        <v>#VALUE!</v>
      </c>
      <c r="CB64" s="1865" t="str">
        <f>IF(C64&lt;&gt;(AT64)," * La suma de las columnas "&amp;AS$10&amp;""&amp;" DEBE SER IGUAL a los Exámenes Procesados. ","")</f>
        <v xml:space="preserve"> * La suma de las columnas POR SEXO (Procesados) DEBE SER IGUAL a los Exámenes Procesados. </v>
      </c>
      <c r="CC64" s="1865" t="e">
        <f t="shared" si="145"/>
        <v>#VALUE!</v>
      </c>
      <c r="CD64" s="1865" t="str">
        <f t="shared" si="146"/>
        <v xml:space="preserve"> *El Número de Pueblos Originarios no puede superar el Total Procesados. </v>
      </c>
      <c r="CE64" s="1865" t="str">
        <f t="shared" si="147"/>
        <v xml:space="preserve"> *El Número de Migrantes no puede superar el Total Procesados. </v>
      </c>
      <c r="CF64" s="1866"/>
      <c r="CG64" s="1866"/>
      <c r="CH64" s="1866"/>
      <c r="CI64" s="1866"/>
      <c r="CJ64" s="1866"/>
      <c r="CK64" s="1865" t="str">
        <f t="shared" si="148"/>
        <v>* El total de Procesados debe ser mayor o igual al total de Reactivos en el grupo de edad 10 - 14 años</v>
      </c>
      <c r="CL64" s="1865" t="str">
        <f t="shared" si="149"/>
        <v>* El total de Procesados debe ser mayor o igual al total de Reactivos en el grupo de edad 15 - 19 años</v>
      </c>
      <c r="CM64" s="1865" t="str">
        <f t="shared" si="150"/>
        <v>* El total de Procesados debe ser mayor o igual al total de Reactivos en el grupo de edad 20 - 24 años</v>
      </c>
      <c r="CN64" s="1865" t="str">
        <f t="shared" si="178"/>
        <v>* El total de Procesados debe ser mayor o igual al total de Reactivos en el grupo de edad 25 - 29 años</v>
      </c>
      <c r="CO64" s="1865" t="str">
        <f t="shared" si="151"/>
        <v>* El total de Procesados debe ser mayor o igual al total de Reactivos en el grupo de edad 30 - 34 años</v>
      </c>
      <c r="CP64" s="1865" t="str">
        <f t="shared" si="152"/>
        <v>* El total de Procesados debe ser mayor o igual al total de Reactivos en el grupo de edad 35 - 39 años</v>
      </c>
      <c r="CQ64" s="1865" t="str">
        <f t="shared" si="153"/>
        <v>* El total de Procesados debe ser mayor o igual al total de Reactivos en el grupo de edad 40 - 44 años</v>
      </c>
      <c r="CR64" s="1865" t="str">
        <f t="shared" si="154"/>
        <v>* El total de Procesados debe ser mayor o igual al total de Reactivos en el grupo de edad 45 - 49 años</v>
      </c>
      <c r="CS64" s="1865" t="str">
        <f t="shared" si="155"/>
        <v>* El total de Procesados debe ser mayor o igual al total de Reactivos en el grupo de edad 50 - 54 años</v>
      </c>
      <c r="CT64" s="1865" t="str">
        <f t="shared" si="156"/>
        <v>* El total de Procesados debe ser mayor o igual al total de Reactivos en el grupo de edad 55 - 59 años</v>
      </c>
      <c r="CU64" s="1865" t="str">
        <f t="shared" si="157"/>
        <v>* El total de Procesados debe ser mayor o igual al total de Reactivos en el grupo de edad 60 - 64 años</v>
      </c>
      <c r="CV64" s="1865" t="str">
        <f t="shared" si="158"/>
        <v>* El total de Procesados debe ser mayor o igual al total de Reactivos en el grupo de edad 65 - 69 años</v>
      </c>
      <c r="CW64" s="1865" t="str">
        <f t="shared" si="159"/>
        <v>* El total de Procesados debe ser mayor o igual al total de Reactivos en el grupo de edad 70 - 74 años</v>
      </c>
      <c r="CX64" s="1865" t="str">
        <f t="shared" si="160"/>
        <v>* El total de Procesados debe ser mayor o igual al total de Reactivos en el grupo de edad 75 - 79 años</v>
      </c>
      <c r="CY64" s="1865" t="str">
        <f t="shared" si="161"/>
        <v>* El total de Procesados debe ser mayor o igual al total de Reactivos en el grupo de edad 80 y más años</v>
      </c>
      <c r="DF64" s="1936"/>
      <c r="DG64" s="3922">
        <f>IF(C64&lt;&gt;(AT64),1,0)</f>
        <v>1</v>
      </c>
      <c r="DH64" s="3906" t="e">
        <f t="shared" si="162"/>
        <v>#VALUE!</v>
      </c>
      <c r="DI64" s="3906">
        <f t="shared" si="163"/>
        <v>1</v>
      </c>
      <c r="DJ64" s="3906">
        <f t="shared" si="164"/>
        <v>1</v>
      </c>
      <c r="DK64" s="1866"/>
      <c r="DL64" s="1866"/>
      <c r="DM64" s="1866"/>
      <c r="DN64" s="1866"/>
      <c r="DO64" s="1866"/>
      <c r="DP64" s="3906">
        <f t="shared" si="165"/>
        <v>1</v>
      </c>
      <c r="DQ64" s="3906">
        <f t="shared" si="166"/>
        <v>1</v>
      </c>
      <c r="DR64" s="3906">
        <f t="shared" si="167"/>
        <v>1</v>
      </c>
      <c r="DS64" s="3906">
        <f t="shared" si="179"/>
        <v>1</v>
      </c>
      <c r="DT64" s="3906">
        <f t="shared" si="168"/>
        <v>1</v>
      </c>
      <c r="DU64" s="3906">
        <f t="shared" si="169"/>
        <v>1</v>
      </c>
      <c r="DV64" s="3906">
        <f t="shared" si="170"/>
        <v>1</v>
      </c>
      <c r="DW64" s="3906">
        <f t="shared" si="180"/>
        <v>1</v>
      </c>
      <c r="DX64" s="3906">
        <f t="shared" si="171"/>
        <v>1</v>
      </c>
      <c r="DY64" s="3906">
        <f t="shared" si="172"/>
        <v>1</v>
      </c>
      <c r="DZ64" s="3906">
        <f t="shared" si="173"/>
        <v>1</v>
      </c>
      <c r="EA64" s="3906">
        <f t="shared" si="174"/>
        <v>1</v>
      </c>
      <c r="EB64" s="3906">
        <f t="shared" si="175"/>
        <v>1</v>
      </c>
      <c r="EC64" s="3906">
        <f t="shared" si="176"/>
        <v>1</v>
      </c>
      <c r="ED64" s="3906">
        <f t="shared" si="177"/>
        <v>1</v>
      </c>
    </row>
    <row r="65" spans="1:134" x14ac:dyDescent="0.25">
      <c r="A65" s="5601">
        <v>11056408</v>
      </c>
      <c r="B65" s="3923" t="s">
        <v>1874</v>
      </c>
      <c r="C65" s="3908" t="s">
        <v>4567</v>
      </c>
      <c r="D65" s="344" t="s">
        <v>4568</v>
      </c>
      <c r="E65" s="3904" t="s">
        <v>4569</v>
      </c>
      <c r="F65" s="3912" t="s">
        <v>4570</v>
      </c>
      <c r="G65" s="3913" t="s">
        <v>4571</v>
      </c>
      <c r="H65" s="3912" t="s">
        <v>4572</v>
      </c>
      <c r="I65" s="3913" t="s">
        <v>4573</v>
      </c>
      <c r="J65" s="3905" t="s">
        <v>4574</v>
      </c>
      <c r="K65" s="3904" t="s">
        <v>4575</v>
      </c>
      <c r="L65" s="3904" t="s">
        <v>4576</v>
      </c>
      <c r="M65" s="3913" t="s">
        <v>4577</v>
      </c>
      <c r="N65" s="3905" t="s">
        <v>4578</v>
      </c>
      <c r="O65" s="3904" t="s">
        <v>4579</v>
      </c>
      <c r="P65" s="3912" t="s">
        <v>4580</v>
      </c>
      <c r="Q65" s="3913" t="s">
        <v>4581</v>
      </c>
      <c r="R65" s="3912" t="s">
        <v>4582</v>
      </c>
      <c r="S65" s="3913" t="s">
        <v>4583</v>
      </c>
      <c r="T65" s="3912" t="s">
        <v>4584</v>
      </c>
      <c r="U65" s="3913" t="s">
        <v>4585</v>
      </c>
      <c r="V65" s="3912" t="s">
        <v>4586</v>
      </c>
      <c r="W65" s="3913" t="s">
        <v>4587</v>
      </c>
      <c r="X65" s="3912" t="s">
        <v>4588</v>
      </c>
      <c r="Y65" s="3913" t="s">
        <v>4589</v>
      </c>
      <c r="Z65" s="3912" t="s">
        <v>4590</v>
      </c>
      <c r="AA65" s="3913" t="s">
        <v>4591</v>
      </c>
      <c r="AB65" s="3912" t="s">
        <v>4592</v>
      </c>
      <c r="AC65" s="3913" t="s">
        <v>4593</v>
      </c>
      <c r="AD65" s="3912" t="s">
        <v>4594</v>
      </c>
      <c r="AE65" s="3913" t="s">
        <v>4595</v>
      </c>
      <c r="AF65" s="3912" t="s">
        <v>4596</v>
      </c>
      <c r="AG65" s="3913" t="s">
        <v>4597</v>
      </c>
      <c r="AH65" s="3912" t="s">
        <v>4598</v>
      </c>
      <c r="AI65" s="3913" t="s">
        <v>4599</v>
      </c>
      <c r="AJ65" s="3912" t="s">
        <v>4600</v>
      </c>
      <c r="AK65" s="3913" t="s">
        <v>4601</v>
      </c>
      <c r="AL65" s="3912" t="s">
        <v>4602</v>
      </c>
      <c r="AM65" s="3913" t="s">
        <v>4603</v>
      </c>
      <c r="AN65" s="3912" t="s">
        <v>4604</v>
      </c>
      <c r="AO65" s="3913" t="s">
        <v>4605</v>
      </c>
      <c r="AP65" s="3912" t="s">
        <v>4606</v>
      </c>
      <c r="AQ65" s="3913" t="s">
        <v>4934</v>
      </c>
      <c r="AR65" s="3902" t="s">
        <v>4935</v>
      </c>
      <c r="AS65" s="3901" t="s">
        <v>4936</v>
      </c>
      <c r="AT65" s="3902" t="s">
        <v>4937</v>
      </c>
      <c r="AU65" s="3903" t="s">
        <v>5234</v>
      </c>
      <c r="AV65" s="3902" t="s">
        <v>5235</v>
      </c>
      <c r="AW65" s="3904" t="s">
        <v>5236</v>
      </c>
      <c r="AX65" s="3905" t="s">
        <v>5237</v>
      </c>
      <c r="AY65" s="1864" t="e">
        <f>$CB65&amp;CC65&amp;CD65&amp;$CE65&amp;CK65&amp;CF65&amp;CG65&amp;CH65&amp;CI65&amp;CJ65&amp;CL65&amp;CM65&amp;CN65&amp;CO65&amp;CP65&amp;CQ65&amp;CR65&amp;CS65&amp;CT65&amp;CU65&amp;CV65&amp;CW65&amp;CX65&amp;CY65</f>
        <v>#VALUE!</v>
      </c>
      <c r="CB65" s="1865" t="str">
        <f>IF(C65&lt;&gt;(AT65)," * La suma de las columnas "&amp;AS$10&amp;""&amp;" DEBE SER IGUAL a los Exámenes Procesados. ","")</f>
        <v xml:space="preserve"> * La suma de las columnas POR SEXO (Procesados) DEBE SER IGUAL a los Exámenes Procesados. </v>
      </c>
      <c r="CC65" s="1865" t="e">
        <f t="shared" si="145"/>
        <v>#VALUE!</v>
      </c>
      <c r="CD65" s="1865" t="str">
        <f t="shared" si="146"/>
        <v xml:space="preserve"> *El Número de Pueblos Originarios no puede superar el Total Procesados. </v>
      </c>
      <c r="CE65" s="1865" t="str">
        <f t="shared" si="147"/>
        <v xml:space="preserve"> *El Número de Migrantes no puede superar el Total Procesados. </v>
      </c>
      <c r="CF65" s="1865" t="str">
        <f>IF(E65&lt;F65,CONCATENATE("* El total de Procesados debe ser mayor o igual al total de Reactivos en el grupo de edad ",$E$11),"")</f>
        <v>* El total de Procesados debe ser mayor o igual al total de Reactivos en el grupo de edad Menos de 6 meses</v>
      </c>
      <c r="CG65" s="1865" t="str">
        <f>IF(G65&lt;H65,CONCATENATE("* El total de Procesados debe ser mayor o igual al total de Reactivos en el grupo de edad ",$G$11),"")</f>
        <v>* El total de Procesados debe ser mayor o igual al total de Reactivos en el grupo de edad 6 - 11 meses</v>
      </c>
      <c r="CH65" s="1865" t="str">
        <f>IF(I65&lt;J65,CONCATENATE("* El total de Procesados debe ser mayor o igual al total de Reactivos en el grupo de edad ",$I$11),"")</f>
        <v>* El total de Procesados debe ser mayor o igual al total de Reactivos en el grupo de edad 12-24 meses</v>
      </c>
      <c r="CI65" s="1865" t="str">
        <f>IF(K65&lt;L65,CONCATENATE("* El total de Procesados debe ser mayor o igual al total de Reactivos en el grupo de edad ",$K$11),"")</f>
        <v>* El total de Procesados debe ser mayor o igual al total de Reactivos en el grupo de edad 3 - 4 años</v>
      </c>
      <c r="CJ65" s="1865" t="str">
        <f>IF(M65&lt;N65,CONCATENATE("* El total de Procesados debe ser mayor o igual al total de Reactivos en el grupo de edad ",$M$11),"")</f>
        <v>* El total de Procesados debe ser mayor o igual al total de Reactivos en el grupo de edad 5 - 9 años</v>
      </c>
      <c r="CK65" s="1865" t="str">
        <f t="shared" si="148"/>
        <v>* El total de Procesados debe ser mayor o igual al total de Reactivos en el grupo de edad 10 - 14 años</v>
      </c>
      <c r="CL65" s="1865" t="str">
        <f t="shared" si="149"/>
        <v>* El total de Procesados debe ser mayor o igual al total de Reactivos en el grupo de edad 15 - 19 años</v>
      </c>
      <c r="CM65" s="1865" t="str">
        <f t="shared" si="150"/>
        <v>* El total de Procesados debe ser mayor o igual al total de Reactivos en el grupo de edad 20 - 24 años</v>
      </c>
      <c r="CN65" s="1865" t="str">
        <f t="shared" si="178"/>
        <v>* El total de Procesados debe ser mayor o igual al total de Reactivos en el grupo de edad 25 - 29 años</v>
      </c>
      <c r="CO65" s="1865" t="str">
        <f t="shared" si="151"/>
        <v>* El total de Procesados debe ser mayor o igual al total de Reactivos en el grupo de edad 30 - 34 años</v>
      </c>
      <c r="CP65" s="1865" t="str">
        <f t="shared" si="152"/>
        <v>* El total de Procesados debe ser mayor o igual al total de Reactivos en el grupo de edad 35 - 39 años</v>
      </c>
      <c r="CQ65" s="1865" t="str">
        <f t="shared" si="153"/>
        <v>* El total de Procesados debe ser mayor o igual al total de Reactivos en el grupo de edad 40 - 44 años</v>
      </c>
      <c r="CR65" s="1865" t="str">
        <f t="shared" si="154"/>
        <v>* El total de Procesados debe ser mayor o igual al total de Reactivos en el grupo de edad 45 - 49 años</v>
      </c>
      <c r="CS65" s="1865" t="str">
        <f t="shared" si="155"/>
        <v>* El total de Procesados debe ser mayor o igual al total de Reactivos en el grupo de edad 50 - 54 años</v>
      </c>
      <c r="CT65" s="1865" t="str">
        <f t="shared" si="156"/>
        <v>* El total de Procesados debe ser mayor o igual al total de Reactivos en el grupo de edad 55 - 59 años</v>
      </c>
      <c r="CU65" s="1865" t="str">
        <f t="shared" si="157"/>
        <v>* El total de Procesados debe ser mayor o igual al total de Reactivos en el grupo de edad 60 - 64 años</v>
      </c>
      <c r="CV65" s="1865" t="str">
        <f t="shared" si="158"/>
        <v>* El total de Procesados debe ser mayor o igual al total de Reactivos en el grupo de edad 65 - 69 años</v>
      </c>
      <c r="CW65" s="1865" t="str">
        <f t="shared" si="159"/>
        <v>* El total de Procesados debe ser mayor o igual al total de Reactivos en el grupo de edad 70 - 74 años</v>
      </c>
      <c r="CX65" s="1865" t="str">
        <f t="shared" si="160"/>
        <v>* El total de Procesados debe ser mayor o igual al total de Reactivos en el grupo de edad 75 - 79 años</v>
      </c>
      <c r="CY65" s="1865" t="str">
        <f t="shared" si="161"/>
        <v>* El total de Procesados debe ser mayor o igual al total de Reactivos en el grupo de edad 80 y más años</v>
      </c>
      <c r="DF65" s="1936"/>
      <c r="DG65" s="3922">
        <f>IF(C65&lt;&gt;(AT65),1,0)</f>
        <v>1</v>
      </c>
      <c r="DH65" s="3906" t="e">
        <f t="shared" si="162"/>
        <v>#VALUE!</v>
      </c>
      <c r="DI65" s="3906">
        <f t="shared" si="163"/>
        <v>1</v>
      </c>
      <c r="DJ65" s="3906">
        <f t="shared" si="164"/>
        <v>1</v>
      </c>
      <c r="DK65" s="3906">
        <f>IF(E65&lt;F65,1,0)</f>
        <v>1</v>
      </c>
      <c r="DL65" s="3906">
        <f>IF(G65&lt;H65,1,0)</f>
        <v>1</v>
      </c>
      <c r="DM65" s="3906">
        <f>IF(I65&lt;J65,1,0)</f>
        <v>1</v>
      </c>
      <c r="DN65" s="3906">
        <f>IF(K65&lt;L65,1,0)</f>
        <v>1</v>
      </c>
      <c r="DO65" s="3906">
        <f>IF(M65&lt;N65,1,0)</f>
        <v>1</v>
      </c>
      <c r="DP65" s="3906">
        <f t="shared" si="165"/>
        <v>1</v>
      </c>
      <c r="DQ65" s="3906">
        <f t="shared" si="166"/>
        <v>1</v>
      </c>
      <c r="DR65" s="3906">
        <f t="shared" si="167"/>
        <v>1</v>
      </c>
      <c r="DS65" s="3906">
        <f t="shared" si="179"/>
        <v>1</v>
      </c>
      <c r="DT65" s="3906">
        <f t="shared" si="168"/>
        <v>1</v>
      </c>
      <c r="DU65" s="3906">
        <f t="shared" si="169"/>
        <v>1</v>
      </c>
      <c r="DV65" s="3906">
        <f t="shared" si="170"/>
        <v>1</v>
      </c>
      <c r="DW65" s="3906">
        <f t="shared" si="180"/>
        <v>1</v>
      </c>
      <c r="DX65" s="3906">
        <f t="shared" si="171"/>
        <v>1</v>
      </c>
      <c r="DY65" s="3906">
        <f t="shared" si="172"/>
        <v>1</v>
      </c>
      <c r="DZ65" s="3906">
        <f t="shared" si="173"/>
        <v>1</v>
      </c>
      <c r="EA65" s="3906">
        <f t="shared" si="174"/>
        <v>1</v>
      </c>
      <c r="EB65" s="3906">
        <f t="shared" si="175"/>
        <v>1</v>
      </c>
      <c r="EC65" s="3906">
        <f t="shared" si="176"/>
        <v>1</v>
      </c>
      <c r="ED65" s="3906">
        <f t="shared" si="177"/>
        <v>1</v>
      </c>
    </row>
    <row r="66" spans="1:134" ht="21" x14ac:dyDescent="0.25">
      <c r="A66" s="5601">
        <v>11056409</v>
      </c>
      <c r="B66" s="3924" t="s">
        <v>1875</v>
      </c>
      <c r="C66" s="3908" t="s">
        <v>4567</v>
      </c>
      <c r="D66" s="344" t="s">
        <v>4568</v>
      </c>
      <c r="E66" s="3904" t="s">
        <v>4569</v>
      </c>
      <c r="F66" s="3912" t="s">
        <v>4570</v>
      </c>
      <c r="G66" s="3913" t="s">
        <v>4571</v>
      </c>
      <c r="H66" s="3912" t="s">
        <v>4572</v>
      </c>
      <c r="I66" s="3913" t="s">
        <v>4573</v>
      </c>
      <c r="J66" s="3905" t="s">
        <v>4574</v>
      </c>
      <c r="K66" s="3914" t="s">
        <v>4575</v>
      </c>
      <c r="L66" s="3915" t="s">
        <v>4576</v>
      </c>
      <c r="M66" s="3914" t="s">
        <v>4577</v>
      </c>
      <c r="N66" s="3915" t="s">
        <v>4578</v>
      </c>
      <c r="O66" s="3914" t="s">
        <v>4579</v>
      </c>
      <c r="P66" s="3915" t="s">
        <v>4580</v>
      </c>
      <c r="Q66" s="3914" t="s">
        <v>4581</v>
      </c>
      <c r="R66" s="3915" t="s">
        <v>4582</v>
      </c>
      <c r="S66" s="3914" t="s">
        <v>4583</v>
      </c>
      <c r="T66" s="3915" t="s">
        <v>4584</v>
      </c>
      <c r="U66" s="3914" t="s">
        <v>4585</v>
      </c>
      <c r="V66" s="3915" t="s">
        <v>4586</v>
      </c>
      <c r="W66" s="3914" t="s">
        <v>4587</v>
      </c>
      <c r="X66" s="3915" t="s">
        <v>4588</v>
      </c>
      <c r="Y66" s="3914" t="s">
        <v>4589</v>
      </c>
      <c r="Z66" s="3915" t="s">
        <v>4590</v>
      </c>
      <c r="AA66" s="3914" t="s">
        <v>4591</v>
      </c>
      <c r="AB66" s="3915" t="s">
        <v>4592</v>
      </c>
      <c r="AC66" s="3914" t="s">
        <v>4593</v>
      </c>
      <c r="AD66" s="3915" t="s">
        <v>4594</v>
      </c>
      <c r="AE66" s="3914" t="s">
        <v>4595</v>
      </c>
      <c r="AF66" s="3915" t="s">
        <v>4596</v>
      </c>
      <c r="AG66" s="3914" t="s">
        <v>4597</v>
      </c>
      <c r="AH66" s="3915" t="s">
        <v>4598</v>
      </c>
      <c r="AI66" s="3914" t="s">
        <v>4599</v>
      </c>
      <c r="AJ66" s="3915" t="s">
        <v>4600</v>
      </c>
      <c r="AK66" s="3914" t="s">
        <v>4601</v>
      </c>
      <c r="AL66" s="3915" t="s">
        <v>4602</v>
      </c>
      <c r="AM66" s="3914" t="s">
        <v>4603</v>
      </c>
      <c r="AN66" s="3915" t="s">
        <v>4604</v>
      </c>
      <c r="AO66" s="3914" t="s">
        <v>4605</v>
      </c>
      <c r="AP66" s="3915" t="s">
        <v>4606</v>
      </c>
      <c r="AQ66" s="3914" t="s">
        <v>4934</v>
      </c>
      <c r="AR66" s="3916" t="s">
        <v>4935</v>
      </c>
      <c r="AS66" s="3904" t="s">
        <v>4936</v>
      </c>
      <c r="AT66" s="3902" t="s">
        <v>4937</v>
      </c>
      <c r="AU66" s="3903" t="s">
        <v>5234</v>
      </c>
      <c r="AV66" s="3902" t="s">
        <v>5235</v>
      </c>
      <c r="AW66" s="3904" t="s">
        <v>5236</v>
      </c>
      <c r="AX66" s="3905" t="s">
        <v>5237</v>
      </c>
      <c r="AY66" s="1864" t="e">
        <f>$CB66&amp;CC66&amp;CD66&amp;$CE66&amp;CF66&amp;CG66&amp;CH66</f>
        <v>#VALUE!</v>
      </c>
      <c r="CB66" s="1865" t="e">
        <f t="shared" ref="CB66:CB74" si="181">IF(C66&lt;&gt;(AT66+AS66)," * La suma de las columnas "&amp;AS$10&amp;""&amp;" DEBE SER IGUAL a los Exámenes Procesados. ","")</f>
        <v>#VALUE!</v>
      </c>
      <c r="CC66" s="1865" t="e">
        <f t="shared" si="145"/>
        <v>#VALUE!</v>
      </c>
      <c r="CD66" s="1865" t="str">
        <f t="shared" si="146"/>
        <v xml:space="preserve"> *El Número de Pueblos Originarios no puede superar el Total Procesados. </v>
      </c>
      <c r="CE66" s="1865" t="str">
        <f t="shared" si="147"/>
        <v xml:space="preserve"> *El Número de Migrantes no puede superar el Total Procesados. </v>
      </c>
      <c r="CF66" s="1865" t="str">
        <f>IF(E66&lt;F66,CONCATENATE("* El total de Procesados debe ser mayor o igual al total de Reactivos en el grupo de edad ",$E$11),"")</f>
        <v>* El total de Procesados debe ser mayor o igual al total de Reactivos en el grupo de edad Menos de 6 meses</v>
      </c>
      <c r="CG66" s="1865" t="str">
        <f>IF(G66&lt;H66,CONCATENATE("* El total de Procesados debe ser mayor o igual al total de Reactivos en el grupo de edad ",$G$11),"")</f>
        <v>* El total de Procesados debe ser mayor o igual al total de Reactivos en el grupo de edad 6 - 11 meses</v>
      </c>
      <c r="CH66" s="1865" t="str">
        <f>IF(I66&lt;J66,CONCATENATE("* El total de Procesados debe ser mayor o igual al total de Reactivos en el grupo de edad ",$I$11),"")</f>
        <v>* El total de Procesados debe ser mayor o igual al total de Reactivos en el grupo de edad 12-24 meses</v>
      </c>
      <c r="CI66" s="1868"/>
      <c r="CJ66" s="1868"/>
      <c r="CK66" s="3917"/>
      <c r="CL66" s="1868"/>
      <c r="CM66" s="1868"/>
      <c r="CN66" s="1868"/>
      <c r="CO66" s="1868"/>
      <c r="CP66" s="1868"/>
      <c r="CQ66" s="1868"/>
      <c r="CR66" s="1868"/>
      <c r="CS66" s="1868"/>
      <c r="CT66" s="1868"/>
      <c r="CU66" s="1868"/>
      <c r="CV66" s="1868"/>
      <c r="CW66" s="1868"/>
      <c r="CX66" s="1868"/>
      <c r="CY66" s="1868"/>
      <c r="DF66" s="1936"/>
      <c r="DG66" s="3922" t="e">
        <f t="shared" ref="DG66:DG74" si="182">IF(C66&lt;&gt;(AT66+AS66),1,0)</f>
        <v>#VALUE!</v>
      </c>
      <c r="DH66" s="3906" t="e">
        <f t="shared" si="162"/>
        <v>#VALUE!</v>
      </c>
      <c r="DI66" s="3906">
        <f t="shared" si="163"/>
        <v>1</v>
      </c>
      <c r="DJ66" s="3906">
        <f t="shared" si="164"/>
        <v>1</v>
      </c>
      <c r="DK66" s="3906">
        <f>IF(E66&lt;F66,1,0)</f>
        <v>1</v>
      </c>
      <c r="DL66" s="3906">
        <f>IF(G66&lt;H66,1,0)</f>
        <v>1</v>
      </c>
      <c r="DM66" s="3906">
        <f>IF(I66&lt;J66,1,0)</f>
        <v>1</v>
      </c>
      <c r="DN66" s="1868"/>
      <c r="DO66" s="1868"/>
      <c r="DP66" s="1866"/>
      <c r="DQ66" s="1866"/>
      <c r="DR66" s="1866"/>
      <c r="DS66" s="1866"/>
      <c r="DT66" s="1866"/>
      <c r="DU66" s="1866"/>
      <c r="DV66" s="1866"/>
      <c r="DW66" s="1866"/>
      <c r="DX66" s="1866"/>
      <c r="DY66" s="1866"/>
      <c r="DZ66" s="1866"/>
      <c r="EA66" s="1866"/>
      <c r="EB66" s="1866"/>
      <c r="EC66" s="1866"/>
      <c r="ED66" s="1866"/>
    </row>
    <row r="67" spans="1:134" x14ac:dyDescent="0.25">
      <c r="A67" s="5601">
        <v>11056410</v>
      </c>
      <c r="B67" s="3924" t="s">
        <v>1876</v>
      </c>
      <c r="C67" s="3908" t="s">
        <v>4567</v>
      </c>
      <c r="D67" s="344" t="s">
        <v>4568</v>
      </c>
      <c r="E67" s="3918" t="s">
        <v>4569</v>
      </c>
      <c r="F67" s="3910" t="s">
        <v>4570</v>
      </c>
      <c r="G67" s="3909" t="s">
        <v>4571</v>
      </c>
      <c r="H67" s="3910" t="s">
        <v>4572</v>
      </c>
      <c r="I67" s="3909" t="s">
        <v>4573</v>
      </c>
      <c r="J67" s="3910" t="s">
        <v>4574</v>
      </c>
      <c r="K67" s="3909" t="s">
        <v>4575</v>
      </c>
      <c r="L67" s="3910" t="s">
        <v>4576</v>
      </c>
      <c r="M67" s="3909" t="s">
        <v>4577</v>
      </c>
      <c r="N67" s="3911" t="s">
        <v>4578</v>
      </c>
      <c r="O67" s="3918" t="s">
        <v>4579</v>
      </c>
      <c r="P67" s="3910" t="s">
        <v>4580</v>
      </c>
      <c r="Q67" s="3913" t="s">
        <v>4581</v>
      </c>
      <c r="R67" s="3912" t="s">
        <v>4582</v>
      </c>
      <c r="S67" s="3913" t="s">
        <v>4583</v>
      </c>
      <c r="T67" s="3912" t="s">
        <v>4584</v>
      </c>
      <c r="U67" s="3913" t="s">
        <v>4585</v>
      </c>
      <c r="V67" s="3912" t="s">
        <v>4586</v>
      </c>
      <c r="W67" s="3913" t="s">
        <v>4587</v>
      </c>
      <c r="X67" s="3912" t="s">
        <v>4588</v>
      </c>
      <c r="Y67" s="3913" t="s">
        <v>4589</v>
      </c>
      <c r="Z67" s="3912" t="s">
        <v>4590</v>
      </c>
      <c r="AA67" s="3913" t="s">
        <v>4591</v>
      </c>
      <c r="AB67" s="3912" t="s">
        <v>4592</v>
      </c>
      <c r="AC67" s="3913" t="s">
        <v>4593</v>
      </c>
      <c r="AD67" s="3912" t="s">
        <v>4594</v>
      </c>
      <c r="AE67" s="3913" t="s">
        <v>4595</v>
      </c>
      <c r="AF67" s="3912" t="s">
        <v>4596</v>
      </c>
      <c r="AG67" s="3913" t="s">
        <v>4597</v>
      </c>
      <c r="AH67" s="3912" t="s">
        <v>4598</v>
      </c>
      <c r="AI67" s="3913" t="s">
        <v>4599</v>
      </c>
      <c r="AJ67" s="3912" t="s">
        <v>4600</v>
      </c>
      <c r="AK67" s="3913" t="s">
        <v>4601</v>
      </c>
      <c r="AL67" s="3912" t="s">
        <v>4602</v>
      </c>
      <c r="AM67" s="3913" t="s">
        <v>4603</v>
      </c>
      <c r="AN67" s="3912" t="s">
        <v>4604</v>
      </c>
      <c r="AO67" s="3913" t="s">
        <v>4605</v>
      </c>
      <c r="AP67" s="3912" t="s">
        <v>4606</v>
      </c>
      <c r="AQ67" s="3913" t="s">
        <v>4934</v>
      </c>
      <c r="AR67" s="3902" t="s">
        <v>4935</v>
      </c>
      <c r="AS67" s="3904" t="s">
        <v>4936</v>
      </c>
      <c r="AT67" s="3902" t="s">
        <v>4937</v>
      </c>
      <c r="AU67" s="3903" t="s">
        <v>5234</v>
      </c>
      <c r="AV67" s="3902" t="s">
        <v>5235</v>
      </c>
      <c r="AW67" s="3904" t="s">
        <v>5236</v>
      </c>
      <c r="AX67" s="3905" t="s">
        <v>5237</v>
      </c>
      <c r="AY67" s="1864" t="e">
        <f>$CB67&amp;CC67&amp;CD67&amp;$CE67&amp;CL67&amp;CM67&amp;CN67&amp;CO67&amp;CP67&amp;CQ67&amp;CR67&amp;CS67&amp;CT67&amp;CU67&amp;CV67&amp;CW67&amp;CX67&amp;CY67</f>
        <v>#VALUE!</v>
      </c>
      <c r="CB67" s="1865" t="e">
        <f t="shared" si="181"/>
        <v>#VALUE!</v>
      </c>
      <c r="CC67" s="1865" t="e">
        <f t="shared" si="145"/>
        <v>#VALUE!</v>
      </c>
      <c r="CD67" s="1865" t="str">
        <f t="shared" si="146"/>
        <v xml:space="preserve"> *El Número de Pueblos Originarios no puede superar el Total Procesados. </v>
      </c>
      <c r="CE67" s="1865" t="str">
        <f t="shared" si="147"/>
        <v xml:space="preserve"> *El Número de Migrantes no puede superar el Total Procesados. </v>
      </c>
      <c r="CF67" s="3917"/>
      <c r="CG67" s="3917"/>
      <c r="CH67" s="1868"/>
      <c r="CI67" s="1868"/>
      <c r="CJ67" s="1868"/>
      <c r="CK67" s="3917"/>
      <c r="CL67" s="1865" t="str">
        <f t="shared" ref="CL67:CL74" si="183">IF(Q67&lt;R67,CONCATENATE("* El total de Procesados debe ser mayor o igual al total de Reactivos en el grupo de edad ",$Q$11),"")</f>
        <v>* El total de Procesados debe ser mayor o igual al total de Reactivos en el grupo de edad 15 - 19 años</v>
      </c>
      <c r="CM67" s="1865" t="str">
        <f t="shared" ref="CM67:CM74" si="184">IF(S67&lt;T67,CONCATENATE("* El total de Procesados debe ser mayor o igual al total de Reactivos en el grupo de edad ",$S$11),"")</f>
        <v>* El total de Procesados debe ser mayor o igual al total de Reactivos en el grupo de edad 20 - 24 años</v>
      </c>
      <c r="CN67" s="1865" t="str">
        <f t="shared" si="178"/>
        <v>* El total de Procesados debe ser mayor o igual al total de Reactivos en el grupo de edad 25 - 29 años</v>
      </c>
      <c r="CO67" s="1865" t="str">
        <f t="shared" ref="CO67:CO74" si="185">IF(W67&lt;X67,CONCATENATE("* El total de Procesados debe ser mayor o igual al total de Reactivos en el grupo de edad ",$W$11),"")</f>
        <v>* El total de Procesados debe ser mayor o igual al total de Reactivos en el grupo de edad 30 - 34 años</v>
      </c>
      <c r="CP67" s="1865" t="str">
        <f t="shared" ref="CP67:CP74" si="186">IF(Y67&lt;Z67,CONCATENATE("* El total de Procesados debe ser mayor o igual al total de Reactivos en el grupo de edad ",$Y$11),"")</f>
        <v>* El total de Procesados debe ser mayor o igual al total de Reactivos en el grupo de edad 35 - 39 años</v>
      </c>
      <c r="CQ67" s="1865" t="str">
        <f t="shared" ref="CQ67:CQ74" si="187">IF(AA67&lt;AB67,CONCATENATE("* El total de Procesados debe ser mayor o igual al total de Reactivos en el grupo de edad ",$AA$11),"")</f>
        <v>* El total de Procesados debe ser mayor o igual al total de Reactivos en el grupo de edad 40 - 44 años</v>
      </c>
      <c r="CR67" s="1865" t="str">
        <f t="shared" ref="CR67:CR74" si="188">IF(AC67&lt;AD67,CONCATENATE("* El total de Procesados debe ser mayor o igual al total de Reactivos en el grupo de edad ",$AC$11),"")</f>
        <v>* El total de Procesados debe ser mayor o igual al total de Reactivos en el grupo de edad 45 - 49 años</v>
      </c>
      <c r="CS67" s="1865" t="str">
        <f t="shared" ref="CS67:CS74" si="189">IF(AE67&lt;AF67,CONCATENATE("* El total de Procesados debe ser mayor o igual al total de Reactivos en el grupo de edad ",$AE$11),"")</f>
        <v>* El total de Procesados debe ser mayor o igual al total de Reactivos en el grupo de edad 50 - 54 años</v>
      </c>
      <c r="CT67" s="1865" t="str">
        <f t="shared" ref="CT67:CT74" si="190">IF(AG67&lt;AH67,CONCATENATE("* El total de Procesados debe ser mayor o igual al total de Reactivos en el grupo de edad ",$AG$11),"")</f>
        <v>* El total de Procesados debe ser mayor o igual al total de Reactivos en el grupo de edad 55 - 59 años</v>
      </c>
      <c r="CU67" s="1865" t="str">
        <f t="shared" ref="CU67:CU74" si="191">IF(AI67&lt;AJ67,CONCATENATE("* El total de Procesados debe ser mayor o igual al total de Reactivos en el grupo de edad ",$AI$11),"")</f>
        <v>* El total de Procesados debe ser mayor o igual al total de Reactivos en el grupo de edad 60 - 64 años</v>
      </c>
      <c r="CV67" s="1865" t="str">
        <f>IF(AK67&lt;AL67,CONCATENATE("* El total de Procesados debe ser mayor o igual al total de Reactivos en el grupo de edad ",$AK$11),"")</f>
        <v>* El total de Procesados debe ser mayor o igual al total de Reactivos en el grupo de edad 65 - 69 años</v>
      </c>
      <c r="CW67" s="1865" t="str">
        <f>IF(AM67&lt;AN67,CONCATENATE("* El total de Procesados debe ser mayor o igual al total de Reactivos en el grupo de edad ",$AM$11),"")</f>
        <v>* El total de Procesados debe ser mayor o igual al total de Reactivos en el grupo de edad 70 - 74 años</v>
      </c>
      <c r="CX67" s="1865" t="str">
        <f>IF(AO67&lt;AP67,CONCATENATE("* El total de Procesados debe ser mayor o igual al total de Reactivos en el grupo de edad ",$AO$11),"")</f>
        <v>* El total de Procesados debe ser mayor o igual al total de Reactivos en el grupo de edad 75 - 79 años</v>
      </c>
      <c r="CY67" s="1865" t="str">
        <f>IF(AQ67&lt;AR67,CONCATENATE("* El total de Procesados debe ser mayor o igual al total de Reactivos en el grupo de edad ",$AQ$11),"")</f>
        <v>* El total de Procesados debe ser mayor o igual al total de Reactivos en el grupo de edad 80 y más años</v>
      </c>
      <c r="DF67" s="1936"/>
      <c r="DG67" s="3922" t="e">
        <f t="shared" si="182"/>
        <v>#VALUE!</v>
      </c>
      <c r="DH67" s="3906" t="e">
        <f t="shared" si="162"/>
        <v>#VALUE!</v>
      </c>
      <c r="DI67" s="3906">
        <f t="shared" si="163"/>
        <v>1</v>
      </c>
      <c r="DJ67" s="3906">
        <f t="shared" si="164"/>
        <v>1</v>
      </c>
      <c r="DK67" s="1868"/>
      <c r="DL67" s="1868"/>
      <c r="DM67" s="1868"/>
      <c r="DN67" s="1868"/>
      <c r="DO67" s="1868"/>
      <c r="DP67" s="1866"/>
      <c r="DQ67" s="3906">
        <f t="shared" ref="DQ67:DQ74" si="192">IF(Q67&lt;R67,1,0)</f>
        <v>1</v>
      </c>
      <c r="DR67" s="3906">
        <f t="shared" ref="DR67:DR74" si="193">IF(S67&lt;T67,1,0)</f>
        <v>1</v>
      </c>
      <c r="DS67" s="3906">
        <f t="shared" si="179"/>
        <v>1</v>
      </c>
      <c r="DT67" s="3906">
        <f t="shared" ref="DT67:DT74" si="194">IF(W67&lt;X67,1,0)</f>
        <v>1</v>
      </c>
      <c r="DU67" s="3906">
        <f t="shared" ref="DU67:DU74" si="195">IF(Y67&lt;Z67,1,0)</f>
        <v>1</v>
      </c>
      <c r="DV67" s="3906">
        <f t="shared" ref="DV67:DV74" si="196">IF(AA67&lt;AB67,1,0)</f>
        <v>1</v>
      </c>
      <c r="DW67" s="3906">
        <f t="shared" si="180"/>
        <v>1</v>
      </c>
      <c r="DX67" s="3906">
        <f t="shared" ref="DX67:DX74" si="197">IF(AE67&lt;AF67,1,0)</f>
        <v>1</v>
      </c>
      <c r="DY67" s="3906">
        <f t="shared" ref="DY67:DY74" si="198">IF(AG67&lt;AH67,1,0)</f>
        <v>1</v>
      </c>
      <c r="DZ67" s="3906">
        <f t="shared" ref="DZ67:DZ74" si="199">IF(AI67&lt;AJ67,1,0)</f>
        <v>1</v>
      </c>
      <c r="EA67" s="3906">
        <f>IF(AK67&lt;AL67,1,0)</f>
        <v>1</v>
      </c>
      <c r="EB67" s="3906">
        <f>IF(AM67&lt;AN67,1,0)</f>
        <v>1</v>
      </c>
      <c r="EC67" s="3906">
        <f>IF(AO67&lt;AP67,1,0)</f>
        <v>1</v>
      </c>
      <c r="ED67" s="3906">
        <f>IF(AQ67&lt;AR67,1,0)</f>
        <v>1</v>
      </c>
    </row>
    <row r="68" spans="1:134" x14ac:dyDescent="0.25">
      <c r="A68" s="5601">
        <v>11056411</v>
      </c>
      <c r="B68" s="3923" t="s">
        <v>1877</v>
      </c>
      <c r="C68" s="3908" t="s">
        <v>4567</v>
      </c>
      <c r="D68" s="344" t="s">
        <v>4568</v>
      </c>
      <c r="E68" s="3901" t="s">
        <v>4569</v>
      </c>
      <c r="F68" s="3915" t="s">
        <v>4570</v>
      </c>
      <c r="G68" s="3914" t="s">
        <v>4571</v>
      </c>
      <c r="H68" s="3915" t="s">
        <v>4572</v>
      </c>
      <c r="I68" s="3914" t="s">
        <v>4573</v>
      </c>
      <c r="J68" s="3919" t="s">
        <v>4574</v>
      </c>
      <c r="K68" s="3901" t="s">
        <v>4575</v>
      </c>
      <c r="L68" s="3901" t="s">
        <v>4576</v>
      </c>
      <c r="M68" s="3914" t="s">
        <v>4577</v>
      </c>
      <c r="N68" s="3919" t="s">
        <v>4578</v>
      </c>
      <c r="O68" s="3904" t="s">
        <v>4579</v>
      </c>
      <c r="P68" s="3912" t="s">
        <v>4580</v>
      </c>
      <c r="Q68" s="3913" t="s">
        <v>4581</v>
      </c>
      <c r="R68" s="3912" t="s">
        <v>4582</v>
      </c>
      <c r="S68" s="3913" t="s">
        <v>4583</v>
      </c>
      <c r="T68" s="3912" t="s">
        <v>4584</v>
      </c>
      <c r="U68" s="3913" t="s">
        <v>4585</v>
      </c>
      <c r="V68" s="3912" t="s">
        <v>4586</v>
      </c>
      <c r="W68" s="3913" t="s">
        <v>4587</v>
      </c>
      <c r="X68" s="3912" t="s">
        <v>4588</v>
      </c>
      <c r="Y68" s="3913" t="s">
        <v>4589</v>
      </c>
      <c r="Z68" s="3912" t="s">
        <v>4590</v>
      </c>
      <c r="AA68" s="3913" t="s">
        <v>4591</v>
      </c>
      <c r="AB68" s="3912" t="s">
        <v>4592</v>
      </c>
      <c r="AC68" s="3913" t="s">
        <v>4593</v>
      </c>
      <c r="AD68" s="3912" t="s">
        <v>4594</v>
      </c>
      <c r="AE68" s="3913" t="s">
        <v>4595</v>
      </c>
      <c r="AF68" s="3912" t="s">
        <v>4596</v>
      </c>
      <c r="AG68" s="3913" t="s">
        <v>4597</v>
      </c>
      <c r="AH68" s="3912" t="s">
        <v>4598</v>
      </c>
      <c r="AI68" s="3913" t="s">
        <v>4599</v>
      </c>
      <c r="AJ68" s="3912" t="s">
        <v>4600</v>
      </c>
      <c r="AK68" s="3913" t="s">
        <v>4601</v>
      </c>
      <c r="AL68" s="3912" t="s">
        <v>4602</v>
      </c>
      <c r="AM68" s="3913" t="s">
        <v>4603</v>
      </c>
      <c r="AN68" s="3912" t="s">
        <v>4604</v>
      </c>
      <c r="AO68" s="3913" t="s">
        <v>4605</v>
      </c>
      <c r="AP68" s="3912" t="s">
        <v>4606</v>
      </c>
      <c r="AQ68" s="3913" t="s">
        <v>4934</v>
      </c>
      <c r="AR68" s="3902" t="s">
        <v>4935</v>
      </c>
      <c r="AS68" s="3904" t="s">
        <v>4936</v>
      </c>
      <c r="AT68" s="3902" t="s">
        <v>4937</v>
      </c>
      <c r="AU68" s="3903" t="s">
        <v>5234</v>
      </c>
      <c r="AV68" s="3902" t="s">
        <v>5235</v>
      </c>
      <c r="AW68" s="3904" t="s">
        <v>5236</v>
      </c>
      <c r="AX68" s="3905" t="s">
        <v>5237</v>
      </c>
      <c r="AY68" s="1864" t="e">
        <f>$CB68&amp;CC68&amp;CD68&amp;$CE68&amp;CK68&amp;CL68&amp;CM68&amp;CN68&amp;CO68&amp;CP68&amp;CQ68&amp;CR68&amp;CS68&amp;CT68&amp;CU68&amp;CV68&amp;CW68&amp;CX68&amp;CY68</f>
        <v>#VALUE!</v>
      </c>
      <c r="CB68" s="1865" t="e">
        <f t="shared" si="181"/>
        <v>#VALUE!</v>
      </c>
      <c r="CC68" s="1865" t="e">
        <f t="shared" si="145"/>
        <v>#VALUE!</v>
      </c>
      <c r="CD68" s="1865" t="str">
        <f t="shared" si="146"/>
        <v xml:space="preserve"> *El Número de Pueblos Originarios no puede superar el Total Procesados. </v>
      </c>
      <c r="CE68" s="1865" t="str">
        <f t="shared" si="147"/>
        <v xml:space="preserve"> *El Número de Migrantes no puede superar el Total Procesados. </v>
      </c>
      <c r="CF68" s="3917"/>
      <c r="CG68" s="3917"/>
      <c r="CH68" s="1868"/>
      <c r="CI68" s="1868"/>
      <c r="CJ68" s="1868"/>
      <c r="CK68" s="1865" t="str">
        <f>IF(O68&lt;P68,CONCATENATE("* El total de Procesados debe ser mayor o igual al total de Reactivos en el grupo de edad ",$O$11),"")</f>
        <v>* El total de Procesados debe ser mayor o igual al total de Reactivos en el grupo de edad 10 - 14 años</v>
      </c>
      <c r="CL68" s="1865" t="str">
        <f t="shared" si="183"/>
        <v>* El total de Procesados debe ser mayor o igual al total de Reactivos en el grupo de edad 15 - 19 años</v>
      </c>
      <c r="CM68" s="1865" t="str">
        <f t="shared" si="184"/>
        <v>* El total de Procesados debe ser mayor o igual al total de Reactivos en el grupo de edad 20 - 24 años</v>
      </c>
      <c r="CN68" s="1865" t="str">
        <f t="shared" si="178"/>
        <v>* El total de Procesados debe ser mayor o igual al total de Reactivos en el grupo de edad 25 - 29 años</v>
      </c>
      <c r="CO68" s="1865" t="str">
        <f t="shared" si="185"/>
        <v>* El total de Procesados debe ser mayor o igual al total de Reactivos en el grupo de edad 30 - 34 años</v>
      </c>
      <c r="CP68" s="1865" t="str">
        <f t="shared" si="186"/>
        <v>* El total de Procesados debe ser mayor o igual al total de Reactivos en el grupo de edad 35 - 39 años</v>
      </c>
      <c r="CQ68" s="1865" t="str">
        <f t="shared" si="187"/>
        <v>* El total de Procesados debe ser mayor o igual al total de Reactivos en el grupo de edad 40 - 44 años</v>
      </c>
      <c r="CR68" s="1865" t="str">
        <f t="shared" si="188"/>
        <v>* El total de Procesados debe ser mayor o igual al total de Reactivos en el grupo de edad 45 - 49 años</v>
      </c>
      <c r="CS68" s="1865" t="str">
        <f t="shared" si="189"/>
        <v>* El total de Procesados debe ser mayor o igual al total de Reactivos en el grupo de edad 50 - 54 años</v>
      </c>
      <c r="CT68" s="1865" t="str">
        <f t="shared" si="190"/>
        <v>* El total de Procesados debe ser mayor o igual al total de Reactivos en el grupo de edad 55 - 59 años</v>
      </c>
      <c r="CU68" s="1865" t="str">
        <f t="shared" si="191"/>
        <v>* El total de Procesados debe ser mayor o igual al total de Reactivos en el grupo de edad 60 - 64 años</v>
      </c>
      <c r="CV68" s="1865" t="str">
        <f>IF(AK68&lt;AL68,CONCATENATE("* El total de Procesados debe ser mayor o igual al total de Reactivos en el grupo de edad ",$AK$11),"")</f>
        <v>* El total de Procesados debe ser mayor o igual al total de Reactivos en el grupo de edad 65 - 69 años</v>
      </c>
      <c r="CW68" s="1865" t="str">
        <f>IF(AM68&lt;AN68,CONCATENATE("* El total de Procesados debe ser mayor o igual al total de Reactivos en el grupo de edad ",$AM$11),"")</f>
        <v>* El total de Procesados debe ser mayor o igual al total de Reactivos en el grupo de edad 70 - 74 años</v>
      </c>
      <c r="CX68" s="1865" t="str">
        <f>IF(AO68&lt;AP68,CONCATENATE("* El total de Procesados debe ser mayor o igual al total de Reactivos en el grupo de edad ",$AO$11),"")</f>
        <v>* El total de Procesados debe ser mayor o igual al total de Reactivos en el grupo de edad 75 - 79 años</v>
      </c>
      <c r="CY68" s="1865" t="str">
        <f>IF(AQ68&lt;AR68,CONCATENATE("* El total de Procesados debe ser mayor o igual al total de Reactivos en el grupo de edad ",$AQ$11),"")</f>
        <v>* El total de Procesados debe ser mayor o igual al total de Reactivos en el grupo de edad 80 y más años</v>
      </c>
      <c r="DF68" s="1936"/>
      <c r="DG68" s="3922" t="e">
        <f t="shared" si="182"/>
        <v>#VALUE!</v>
      </c>
      <c r="DH68" s="3906" t="e">
        <f t="shared" si="162"/>
        <v>#VALUE!</v>
      </c>
      <c r="DI68" s="3906">
        <f t="shared" si="163"/>
        <v>1</v>
      </c>
      <c r="DJ68" s="3906">
        <f t="shared" si="164"/>
        <v>1</v>
      </c>
      <c r="DK68" s="1868"/>
      <c r="DL68" s="1868"/>
      <c r="DM68" s="1868"/>
      <c r="DN68" s="1868"/>
      <c r="DO68" s="1868"/>
      <c r="DP68" s="3906">
        <f>IF(O68&lt;P68,1,0)</f>
        <v>1</v>
      </c>
      <c r="DQ68" s="3906">
        <f t="shared" si="192"/>
        <v>1</v>
      </c>
      <c r="DR68" s="3906">
        <f t="shared" si="193"/>
        <v>1</v>
      </c>
      <c r="DS68" s="3906">
        <f t="shared" si="179"/>
        <v>1</v>
      </c>
      <c r="DT68" s="3906">
        <f t="shared" si="194"/>
        <v>1</v>
      </c>
      <c r="DU68" s="3906">
        <f t="shared" si="195"/>
        <v>1</v>
      </c>
      <c r="DV68" s="3906">
        <f t="shared" si="196"/>
        <v>1</v>
      </c>
      <c r="DW68" s="3906">
        <f t="shared" si="180"/>
        <v>1</v>
      </c>
      <c r="DX68" s="3906">
        <f t="shared" si="197"/>
        <v>1</v>
      </c>
      <c r="DY68" s="3906">
        <f t="shared" si="198"/>
        <v>1</v>
      </c>
      <c r="DZ68" s="3906">
        <f t="shared" si="199"/>
        <v>1</v>
      </c>
      <c r="EA68" s="3906">
        <f>IF(AK68&lt;AL68,1,0)</f>
        <v>1</v>
      </c>
      <c r="EB68" s="3906">
        <f>IF(AM68&lt;AN68,1,0)</f>
        <v>1</v>
      </c>
      <c r="EC68" s="3906">
        <f>IF(AO68&lt;AP68,1,0)</f>
        <v>1</v>
      </c>
      <c r="ED68" s="3906">
        <f>IF(AQ68&lt;AR68,1,0)</f>
        <v>1</v>
      </c>
    </row>
    <row r="69" spans="1:134" x14ac:dyDescent="0.25">
      <c r="A69" s="5601">
        <v>11056412</v>
      </c>
      <c r="B69" s="3923" t="s">
        <v>1878</v>
      </c>
      <c r="C69" s="3908" t="s">
        <v>4567</v>
      </c>
      <c r="D69" s="344" t="s">
        <v>4568</v>
      </c>
      <c r="E69" s="3904" t="s">
        <v>4569</v>
      </c>
      <c r="F69" s="3912" t="s">
        <v>4570</v>
      </c>
      <c r="G69" s="3913" t="s">
        <v>4571</v>
      </c>
      <c r="H69" s="3912" t="s">
        <v>4572</v>
      </c>
      <c r="I69" s="3913" t="s">
        <v>4573</v>
      </c>
      <c r="J69" s="3905" t="s">
        <v>4574</v>
      </c>
      <c r="K69" s="3904" t="s">
        <v>4575</v>
      </c>
      <c r="L69" s="3904" t="s">
        <v>4576</v>
      </c>
      <c r="M69" s="3913" t="s">
        <v>4577</v>
      </c>
      <c r="N69" s="3905" t="s">
        <v>4578</v>
      </c>
      <c r="O69" s="3904" t="s">
        <v>4579</v>
      </c>
      <c r="P69" s="3912" t="s">
        <v>4580</v>
      </c>
      <c r="Q69" s="3913" t="s">
        <v>4581</v>
      </c>
      <c r="R69" s="3912" t="s">
        <v>4582</v>
      </c>
      <c r="S69" s="3913" t="s">
        <v>4583</v>
      </c>
      <c r="T69" s="3912" t="s">
        <v>4584</v>
      </c>
      <c r="U69" s="3913" t="s">
        <v>4585</v>
      </c>
      <c r="V69" s="3912" t="s">
        <v>4586</v>
      </c>
      <c r="W69" s="3913" t="s">
        <v>4587</v>
      </c>
      <c r="X69" s="3912" t="s">
        <v>4588</v>
      </c>
      <c r="Y69" s="3913" t="s">
        <v>4589</v>
      </c>
      <c r="Z69" s="3912" t="s">
        <v>4590</v>
      </c>
      <c r="AA69" s="3913" t="s">
        <v>4591</v>
      </c>
      <c r="AB69" s="3912" t="s">
        <v>4592</v>
      </c>
      <c r="AC69" s="3913" t="s">
        <v>4593</v>
      </c>
      <c r="AD69" s="3912" t="s">
        <v>4594</v>
      </c>
      <c r="AE69" s="3913" t="s">
        <v>4595</v>
      </c>
      <c r="AF69" s="3912" t="s">
        <v>4596</v>
      </c>
      <c r="AG69" s="3913" t="s">
        <v>4597</v>
      </c>
      <c r="AH69" s="3912" t="s">
        <v>4598</v>
      </c>
      <c r="AI69" s="3913" t="s">
        <v>4599</v>
      </c>
      <c r="AJ69" s="3912" t="s">
        <v>4600</v>
      </c>
      <c r="AK69" s="3913" t="s">
        <v>4601</v>
      </c>
      <c r="AL69" s="3912" t="s">
        <v>4602</v>
      </c>
      <c r="AM69" s="3913" t="s">
        <v>4603</v>
      </c>
      <c r="AN69" s="3912" t="s">
        <v>4604</v>
      </c>
      <c r="AO69" s="3913" t="s">
        <v>4605</v>
      </c>
      <c r="AP69" s="3912" t="s">
        <v>4606</v>
      </c>
      <c r="AQ69" s="3913" t="s">
        <v>4934</v>
      </c>
      <c r="AR69" s="3902" t="s">
        <v>4935</v>
      </c>
      <c r="AS69" s="3904" t="s">
        <v>4936</v>
      </c>
      <c r="AT69" s="3902" t="s">
        <v>4937</v>
      </c>
      <c r="AU69" s="3903" t="s">
        <v>5234</v>
      </c>
      <c r="AV69" s="3902" t="s">
        <v>5235</v>
      </c>
      <c r="AW69" s="3904" t="s">
        <v>5236</v>
      </c>
      <c r="AX69" s="3905" t="s">
        <v>5237</v>
      </c>
      <c r="AY69" s="1864" t="e">
        <f>$CB69&amp;CC69&amp;CD69&amp;$CE69&amp;CF69&amp;CG69&amp;CH69&amp;CI69&amp;CJ69&amp;CK69&amp;CL69&amp;CM69&amp;CN69&amp;CO69&amp;CP69&amp;CQ69&amp;CR69&amp;CS69&amp;CT69&amp;CU69&amp;CV69&amp;CW69&amp;CX69&amp;CY69</f>
        <v>#VALUE!</v>
      </c>
      <c r="CB69" s="1865" t="e">
        <f t="shared" si="181"/>
        <v>#VALUE!</v>
      </c>
      <c r="CC69" s="1865" t="e">
        <f t="shared" si="145"/>
        <v>#VALUE!</v>
      </c>
      <c r="CD69" s="1865" t="str">
        <f t="shared" si="146"/>
        <v xml:space="preserve"> *El Número de Pueblos Originarios no puede superar el Total Procesados. </v>
      </c>
      <c r="CE69" s="1865" t="str">
        <f t="shared" si="147"/>
        <v xml:space="preserve"> *El Número de Migrantes no puede superar el Total Procesados. </v>
      </c>
      <c r="CF69" s="1865" t="str">
        <f>IF(E69&lt;F69,CONCATENATE("* El total de Procesados debe ser mayor o igual al total de Reactivos en el grupo de edad ",$E$11),"")</f>
        <v>* El total de Procesados debe ser mayor o igual al total de Reactivos en el grupo de edad Menos de 6 meses</v>
      </c>
      <c r="CG69" s="1865" t="str">
        <f>IF(G69&lt;H69,CONCATENATE("* El total de Procesados debe ser mayor o igual al total de Reactivos en el grupo de edad ",$G$11),"")</f>
        <v>* El total de Procesados debe ser mayor o igual al total de Reactivos en el grupo de edad 6 - 11 meses</v>
      </c>
      <c r="CH69" s="1865" t="str">
        <f>IF(I69&lt;J69,CONCATENATE("* El total de Procesados debe ser mayor o igual al total de Reactivos en el grupo de edad ",$I$11),"")</f>
        <v>* El total de Procesados debe ser mayor o igual al total de Reactivos en el grupo de edad 12-24 meses</v>
      </c>
      <c r="CI69" s="1865" t="str">
        <f>IF(K69&lt;L69,CONCATENATE("* El total de Procesados debe ser mayor o igual al total de Reactivos en el grupo de edad ",$K$11),"")</f>
        <v>* El total de Procesados debe ser mayor o igual al total de Reactivos en el grupo de edad 3 - 4 años</v>
      </c>
      <c r="CJ69" s="1865" t="str">
        <f>IF(M69&lt;N69,CONCATENATE("* El total de Procesados debe ser mayor o igual al total de Reactivos en el grupo de edad ",$M$11),"")</f>
        <v>* El total de Procesados debe ser mayor o igual al total de Reactivos en el grupo de edad 5 - 9 años</v>
      </c>
      <c r="CK69" s="1865" t="str">
        <f>IF(O69&lt;P69,CONCATENATE("* El total de Procesados debe ser mayor o igual al total de Reactivos en el grupo de edad ",$O$11),"")</f>
        <v>* El total de Procesados debe ser mayor o igual al total de Reactivos en el grupo de edad 10 - 14 años</v>
      </c>
      <c r="CL69" s="1865" t="str">
        <f t="shared" si="183"/>
        <v>* El total de Procesados debe ser mayor o igual al total de Reactivos en el grupo de edad 15 - 19 años</v>
      </c>
      <c r="CM69" s="1865" t="str">
        <f t="shared" si="184"/>
        <v>* El total de Procesados debe ser mayor o igual al total de Reactivos en el grupo de edad 20 - 24 años</v>
      </c>
      <c r="CN69" s="1865" t="str">
        <f t="shared" si="178"/>
        <v>* El total de Procesados debe ser mayor o igual al total de Reactivos en el grupo de edad 25 - 29 años</v>
      </c>
      <c r="CO69" s="1865" t="str">
        <f t="shared" si="185"/>
        <v>* El total de Procesados debe ser mayor o igual al total de Reactivos en el grupo de edad 30 - 34 años</v>
      </c>
      <c r="CP69" s="1865" t="str">
        <f t="shared" si="186"/>
        <v>* El total de Procesados debe ser mayor o igual al total de Reactivos en el grupo de edad 35 - 39 años</v>
      </c>
      <c r="CQ69" s="1865" t="str">
        <f t="shared" si="187"/>
        <v>* El total de Procesados debe ser mayor o igual al total de Reactivos en el grupo de edad 40 - 44 años</v>
      </c>
      <c r="CR69" s="1865" t="str">
        <f t="shared" si="188"/>
        <v>* El total de Procesados debe ser mayor o igual al total de Reactivos en el grupo de edad 45 - 49 años</v>
      </c>
      <c r="CS69" s="1865" t="str">
        <f t="shared" si="189"/>
        <v>* El total de Procesados debe ser mayor o igual al total de Reactivos en el grupo de edad 50 - 54 años</v>
      </c>
      <c r="CT69" s="1865" t="str">
        <f t="shared" si="190"/>
        <v>* El total de Procesados debe ser mayor o igual al total de Reactivos en el grupo de edad 55 - 59 años</v>
      </c>
      <c r="CU69" s="1865" t="str">
        <f t="shared" si="191"/>
        <v>* El total de Procesados debe ser mayor o igual al total de Reactivos en el grupo de edad 60 - 64 años</v>
      </c>
      <c r="CV69" s="1865" t="str">
        <f>IF(AK69&lt;AL69,CONCATENATE("* El total de Procesados debe ser mayor o igual al total de Reactivos en el grupo de edad ",$AK$11),"")</f>
        <v>* El total de Procesados debe ser mayor o igual al total de Reactivos en el grupo de edad 65 - 69 años</v>
      </c>
      <c r="CW69" s="1865" t="str">
        <f>IF(AM69&lt;AN69,CONCATENATE("* El total de Procesados debe ser mayor o igual al total de Reactivos en el grupo de edad ",$AM$11),"")</f>
        <v>* El total de Procesados debe ser mayor o igual al total de Reactivos en el grupo de edad 70 - 74 años</v>
      </c>
      <c r="CX69" s="1865" t="str">
        <f>IF(AO69&lt;AP69,CONCATENATE("* El total de Procesados debe ser mayor o igual al total de Reactivos en el grupo de edad ",$AO$11),"")</f>
        <v>* El total de Procesados debe ser mayor o igual al total de Reactivos en el grupo de edad 75 - 79 años</v>
      </c>
      <c r="CY69" s="1865" t="str">
        <f>IF(AQ69&lt;AR69,CONCATENATE("* El total de Procesados debe ser mayor o igual al total de Reactivos en el grupo de edad ",$AQ$11),"")</f>
        <v>* El total de Procesados debe ser mayor o igual al total de Reactivos en el grupo de edad 80 y más años</v>
      </c>
      <c r="DF69" s="1936"/>
      <c r="DG69" s="3922" t="e">
        <f t="shared" si="182"/>
        <v>#VALUE!</v>
      </c>
      <c r="DH69" s="3906" t="e">
        <f t="shared" si="162"/>
        <v>#VALUE!</v>
      </c>
      <c r="DI69" s="3906">
        <f t="shared" si="163"/>
        <v>1</v>
      </c>
      <c r="DJ69" s="3906">
        <f t="shared" si="164"/>
        <v>1</v>
      </c>
      <c r="DK69" s="3906">
        <f>IF(E69&lt;F69,1,0)</f>
        <v>1</v>
      </c>
      <c r="DL69" s="3906">
        <f>IF(G69&lt;H69,1,0)</f>
        <v>1</v>
      </c>
      <c r="DM69" s="3906">
        <f>IF(I69&lt;J69,1,0)</f>
        <v>1</v>
      </c>
      <c r="DN69" s="3906">
        <f>IF(K69&lt;L69,1,0)</f>
        <v>1</v>
      </c>
      <c r="DO69" s="3906">
        <f>IF(M69&lt;N69,1,0)</f>
        <v>1</v>
      </c>
      <c r="DP69" s="3906">
        <f>IF(O69&lt;P69,1,0)</f>
        <v>1</v>
      </c>
      <c r="DQ69" s="3906">
        <f t="shared" si="192"/>
        <v>1</v>
      </c>
      <c r="DR69" s="3906">
        <f t="shared" si="193"/>
        <v>1</v>
      </c>
      <c r="DS69" s="3906">
        <f t="shared" si="179"/>
        <v>1</v>
      </c>
      <c r="DT69" s="3906">
        <f t="shared" si="194"/>
        <v>1</v>
      </c>
      <c r="DU69" s="3906">
        <f t="shared" si="195"/>
        <v>1</v>
      </c>
      <c r="DV69" s="3906">
        <f t="shared" si="196"/>
        <v>1</v>
      </c>
      <c r="DW69" s="3906">
        <f t="shared" si="180"/>
        <v>1</v>
      </c>
      <c r="DX69" s="3906">
        <f t="shared" si="197"/>
        <v>1</v>
      </c>
      <c r="DY69" s="3906">
        <f t="shared" si="198"/>
        <v>1</v>
      </c>
      <c r="DZ69" s="3906">
        <f t="shared" si="199"/>
        <v>1</v>
      </c>
      <c r="EA69" s="3906">
        <f>IF(AK69&lt;AL69,1,0)</f>
        <v>1</v>
      </c>
      <c r="EB69" s="3906">
        <f>IF(AM69&lt;AN69,1,0)</f>
        <v>1</v>
      </c>
      <c r="EC69" s="3906">
        <f>IF(AO69&lt;AP69,1,0)</f>
        <v>1</v>
      </c>
      <c r="ED69" s="3906">
        <f>IF(AQ69&lt;AR69,1,0)</f>
        <v>1</v>
      </c>
    </row>
    <row r="70" spans="1:134" x14ac:dyDescent="0.25">
      <c r="A70" s="5601">
        <v>11056413</v>
      </c>
      <c r="B70" s="3907" t="s">
        <v>1879</v>
      </c>
      <c r="C70" s="3908" t="s">
        <v>4567</v>
      </c>
      <c r="D70" s="344" t="s">
        <v>4568</v>
      </c>
      <c r="E70" s="3918" t="s">
        <v>4569</v>
      </c>
      <c r="F70" s="3910" t="s">
        <v>4570</v>
      </c>
      <c r="G70" s="3909" t="s">
        <v>4571</v>
      </c>
      <c r="H70" s="3910" t="s">
        <v>4572</v>
      </c>
      <c r="I70" s="3909" t="s">
        <v>4573</v>
      </c>
      <c r="J70" s="3910" t="s">
        <v>4574</v>
      </c>
      <c r="K70" s="3909" t="s">
        <v>4575</v>
      </c>
      <c r="L70" s="3910" t="s">
        <v>4576</v>
      </c>
      <c r="M70" s="3909" t="s">
        <v>4577</v>
      </c>
      <c r="N70" s="3911" t="s">
        <v>4578</v>
      </c>
      <c r="O70" s="3918" t="s">
        <v>4579</v>
      </c>
      <c r="P70" s="3910" t="s">
        <v>4580</v>
      </c>
      <c r="Q70" s="3913" t="s">
        <v>4581</v>
      </c>
      <c r="R70" s="3912" t="s">
        <v>4582</v>
      </c>
      <c r="S70" s="3913" t="s">
        <v>4583</v>
      </c>
      <c r="T70" s="3912" t="s">
        <v>4584</v>
      </c>
      <c r="U70" s="3913" t="s">
        <v>4585</v>
      </c>
      <c r="V70" s="3912" t="s">
        <v>4586</v>
      </c>
      <c r="W70" s="3913" t="s">
        <v>4587</v>
      </c>
      <c r="X70" s="3912" t="s">
        <v>4588</v>
      </c>
      <c r="Y70" s="3913" t="s">
        <v>4589</v>
      </c>
      <c r="Z70" s="3912" t="s">
        <v>4590</v>
      </c>
      <c r="AA70" s="3913" t="s">
        <v>4591</v>
      </c>
      <c r="AB70" s="3912" t="s">
        <v>4592</v>
      </c>
      <c r="AC70" s="3913" t="s">
        <v>4593</v>
      </c>
      <c r="AD70" s="3912" t="s">
        <v>4594</v>
      </c>
      <c r="AE70" s="3913" t="s">
        <v>4595</v>
      </c>
      <c r="AF70" s="3912" t="s">
        <v>4596</v>
      </c>
      <c r="AG70" s="3913" t="s">
        <v>4597</v>
      </c>
      <c r="AH70" s="3912" t="s">
        <v>4598</v>
      </c>
      <c r="AI70" s="3913" t="s">
        <v>4599</v>
      </c>
      <c r="AJ70" s="3912" t="s">
        <v>4600</v>
      </c>
      <c r="AK70" s="3913" t="s">
        <v>4601</v>
      </c>
      <c r="AL70" s="3912" t="s">
        <v>4602</v>
      </c>
      <c r="AM70" s="3913" t="s">
        <v>4603</v>
      </c>
      <c r="AN70" s="3912" t="s">
        <v>4604</v>
      </c>
      <c r="AO70" s="3913" t="s">
        <v>4605</v>
      </c>
      <c r="AP70" s="3912" t="s">
        <v>4606</v>
      </c>
      <c r="AQ70" s="3913" t="s">
        <v>4934</v>
      </c>
      <c r="AR70" s="3902" t="s">
        <v>4935</v>
      </c>
      <c r="AS70" s="3904" t="s">
        <v>4936</v>
      </c>
      <c r="AT70" s="3902" t="s">
        <v>4937</v>
      </c>
      <c r="AU70" s="3903" t="s">
        <v>5234</v>
      </c>
      <c r="AV70" s="3902" t="s">
        <v>5235</v>
      </c>
      <c r="AW70" s="3904" t="s">
        <v>5236</v>
      </c>
      <c r="AX70" s="3905" t="s">
        <v>5237</v>
      </c>
      <c r="AY70" s="1864" t="e">
        <f>$CB70&amp;CC70&amp;CD70&amp;$CE70&amp;CK70&amp;CL70&amp;CM70&amp;CN70&amp;CO70&amp;CP70&amp;CQ70&amp;CR70&amp;CS70&amp;CT70&amp;CU70&amp;CV70&amp;CW70&amp;CX70&amp;CY70</f>
        <v>#VALUE!</v>
      </c>
      <c r="CB70" s="1865" t="e">
        <f t="shared" si="181"/>
        <v>#VALUE!</v>
      </c>
      <c r="CC70" s="1865" t="e">
        <f t="shared" si="145"/>
        <v>#VALUE!</v>
      </c>
      <c r="CD70" s="1865" t="str">
        <f t="shared" si="146"/>
        <v xml:space="preserve"> *El Número de Pueblos Originarios no puede superar el Total Procesados. </v>
      </c>
      <c r="CE70" s="1865" t="str">
        <f t="shared" si="147"/>
        <v xml:space="preserve"> *El Número de Migrantes no puede superar el Total Procesados. </v>
      </c>
      <c r="CF70" s="3917"/>
      <c r="CG70" s="3917"/>
      <c r="CH70" s="1868"/>
      <c r="CI70" s="1868"/>
      <c r="CJ70" s="1868"/>
      <c r="CK70" s="3917"/>
      <c r="CL70" s="1865" t="str">
        <f t="shared" si="183"/>
        <v>* El total de Procesados debe ser mayor o igual al total de Reactivos en el grupo de edad 15 - 19 años</v>
      </c>
      <c r="CM70" s="1865" t="str">
        <f t="shared" si="184"/>
        <v>* El total de Procesados debe ser mayor o igual al total de Reactivos en el grupo de edad 20 - 24 años</v>
      </c>
      <c r="CN70" s="1865" t="str">
        <f t="shared" si="178"/>
        <v>* El total de Procesados debe ser mayor o igual al total de Reactivos en el grupo de edad 25 - 29 años</v>
      </c>
      <c r="CO70" s="1865" t="str">
        <f t="shared" si="185"/>
        <v>* El total de Procesados debe ser mayor o igual al total de Reactivos en el grupo de edad 30 - 34 años</v>
      </c>
      <c r="CP70" s="1865" t="str">
        <f t="shared" si="186"/>
        <v>* El total de Procesados debe ser mayor o igual al total de Reactivos en el grupo de edad 35 - 39 años</v>
      </c>
      <c r="CQ70" s="1865" t="str">
        <f t="shared" si="187"/>
        <v>* El total de Procesados debe ser mayor o igual al total de Reactivos en el grupo de edad 40 - 44 años</v>
      </c>
      <c r="CR70" s="1865" t="str">
        <f t="shared" si="188"/>
        <v>* El total de Procesados debe ser mayor o igual al total de Reactivos en el grupo de edad 45 - 49 años</v>
      </c>
      <c r="CS70" s="1865" t="str">
        <f t="shared" si="189"/>
        <v>* El total de Procesados debe ser mayor o igual al total de Reactivos en el grupo de edad 50 - 54 años</v>
      </c>
      <c r="CT70" s="1865" t="str">
        <f t="shared" si="190"/>
        <v>* El total de Procesados debe ser mayor o igual al total de Reactivos en el grupo de edad 55 - 59 años</v>
      </c>
      <c r="CU70" s="1865" t="str">
        <f t="shared" si="191"/>
        <v>* El total de Procesados debe ser mayor o igual al total de Reactivos en el grupo de edad 60 - 64 años</v>
      </c>
      <c r="CV70" s="1865" t="str">
        <f>IF(AK70&lt;AL70,CONCATENATE("* El total de Procesados debe ser mayor o igual al total de Reactivos en el grupo de edad ",$AK$11),"")</f>
        <v>* El total de Procesados debe ser mayor o igual al total de Reactivos en el grupo de edad 65 - 69 años</v>
      </c>
      <c r="CW70" s="1865" t="str">
        <f>IF(AM70&lt;AN70,CONCATENATE("* El total de Procesados debe ser mayor o igual al total de Reactivos en el grupo de edad ",$AM$11),"")</f>
        <v>* El total de Procesados debe ser mayor o igual al total de Reactivos en el grupo de edad 70 - 74 años</v>
      </c>
      <c r="CX70" s="1865" t="str">
        <f>IF(AO70&lt;AP70,CONCATENATE("* El total de Procesados debe ser mayor o igual al total de Reactivos en el grupo de edad ",$AO$11),"")</f>
        <v>* El total de Procesados debe ser mayor o igual al total de Reactivos en el grupo de edad 75 - 79 años</v>
      </c>
      <c r="CY70" s="1865" t="str">
        <f>IF(AQ70&lt;AR70,CONCATENATE("* El total de Procesados debe ser mayor o igual al total de Reactivos en el grupo de edad ",$AQ$11),"")</f>
        <v>* El total de Procesados debe ser mayor o igual al total de Reactivos en el grupo de edad 80 y más años</v>
      </c>
      <c r="DF70" s="1936"/>
      <c r="DG70" s="3922" t="e">
        <f t="shared" si="182"/>
        <v>#VALUE!</v>
      </c>
      <c r="DH70" s="3906" t="e">
        <f t="shared" si="162"/>
        <v>#VALUE!</v>
      </c>
      <c r="DI70" s="3906">
        <f t="shared" si="163"/>
        <v>1</v>
      </c>
      <c r="DJ70" s="3906">
        <f t="shared" si="164"/>
        <v>1</v>
      </c>
      <c r="DK70" s="1868"/>
      <c r="DL70" s="1868"/>
      <c r="DM70" s="1868"/>
      <c r="DN70" s="1868"/>
      <c r="DO70" s="1868"/>
      <c r="DP70" s="1866"/>
      <c r="DQ70" s="3906">
        <f t="shared" si="192"/>
        <v>1</v>
      </c>
      <c r="DR70" s="3906">
        <f t="shared" si="193"/>
        <v>1</v>
      </c>
      <c r="DS70" s="3906">
        <f t="shared" si="179"/>
        <v>1</v>
      </c>
      <c r="DT70" s="3906">
        <f t="shared" si="194"/>
        <v>1</v>
      </c>
      <c r="DU70" s="3906">
        <f t="shared" si="195"/>
        <v>1</v>
      </c>
      <c r="DV70" s="3906">
        <f t="shared" si="196"/>
        <v>1</v>
      </c>
      <c r="DW70" s="3906">
        <f t="shared" si="180"/>
        <v>1</v>
      </c>
      <c r="DX70" s="3906">
        <f t="shared" si="197"/>
        <v>1</v>
      </c>
      <c r="DY70" s="3906">
        <f t="shared" si="198"/>
        <v>1</v>
      </c>
      <c r="DZ70" s="3906">
        <f t="shared" si="199"/>
        <v>1</v>
      </c>
      <c r="EA70" s="3906">
        <f>IF(AK70&lt;AL70,1,0)</f>
        <v>1</v>
      </c>
      <c r="EB70" s="3906">
        <f>IF(AM70&lt;AN70,1,0)</f>
        <v>1</v>
      </c>
      <c r="EC70" s="3906">
        <f>IF(AO70&lt;AP70,1,0)</f>
        <v>1</v>
      </c>
      <c r="ED70" s="3906">
        <f>IF(AQ70&lt;AR70,1,0)</f>
        <v>1</v>
      </c>
    </row>
    <row r="71" spans="1:134" x14ac:dyDescent="0.25">
      <c r="A71" s="5601">
        <v>11056414</v>
      </c>
      <c r="B71" s="3923" t="s">
        <v>1880</v>
      </c>
      <c r="C71" s="3908" t="s">
        <v>4567</v>
      </c>
      <c r="D71" s="344" t="s">
        <v>4568</v>
      </c>
      <c r="E71" s="3918" t="s">
        <v>4569</v>
      </c>
      <c r="F71" s="3910" t="s">
        <v>4570</v>
      </c>
      <c r="G71" s="3909" t="s">
        <v>4571</v>
      </c>
      <c r="H71" s="3910" t="s">
        <v>4572</v>
      </c>
      <c r="I71" s="3909" t="s">
        <v>4573</v>
      </c>
      <c r="J71" s="3910" t="s">
        <v>4574</v>
      </c>
      <c r="K71" s="3909" t="s">
        <v>4575</v>
      </c>
      <c r="L71" s="3910" t="s">
        <v>4576</v>
      </c>
      <c r="M71" s="3909" t="s">
        <v>4577</v>
      </c>
      <c r="N71" s="3911" t="s">
        <v>4578</v>
      </c>
      <c r="O71" s="3918" t="s">
        <v>4579</v>
      </c>
      <c r="P71" s="3910" t="s">
        <v>4580</v>
      </c>
      <c r="Q71" s="3913" t="s">
        <v>4581</v>
      </c>
      <c r="R71" s="3912" t="s">
        <v>4582</v>
      </c>
      <c r="S71" s="3913" t="s">
        <v>4583</v>
      </c>
      <c r="T71" s="3912" t="s">
        <v>4584</v>
      </c>
      <c r="U71" s="3913" t="s">
        <v>4585</v>
      </c>
      <c r="V71" s="3912" t="s">
        <v>4586</v>
      </c>
      <c r="W71" s="3913" t="s">
        <v>4587</v>
      </c>
      <c r="X71" s="3912" t="s">
        <v>4588</v>
      </c>
      <c r="Y71" s="3913" t="s">
        <v>4589</v>
      </c>
      <c r="Z71" s="3912" t="s">
        <v>4590</v>
      </c>
      <c r="AA71" s="3913" t="s">
        <v>4591</v>
      </c>
      <c r="AB71" s="3912" t="s">
        <v>4592</v>
      </c>
      <c r="AC71" s="3913" t="s">
        <v>4593</v>
      </c>
      <c r="AD71" s="3912" t="s">
        <v>4594</v>
      </c>
      <c r="AE71" s="3913" t="s">
        <v>4595</v>
      </c>
      <c r="AF71" s="3912" t="s">
        <v>4596</v>
      </c>
      <c r="AG71" s="3913" t="s">
        <v>4597</v>
      </c>
      <c r="AH71" s="3912" t="s">
        <v>4598</v>
      </c>
      <c r="AI71" s="3913" t="s">
        <v>4599</v>
      </c>
      <c r="AJ71" s="3912" t="s">
        <v>4600</v>
      </c>
      <c r="AK71" s="3909" t="s">
        <v>4601</v>
      </c>
      <c r="AL71" s="3910" t="s">
        <v>4602</v>
      </c>
      <c r="AM71" s="3909" t="s">
        <v>4603</v>
      </c>
      <c r="AN71" s="3910" t="s">
        <v>4604</v>
      </c>
      <c r="AO71" s="3909" t="s">
        <v>4605</v>
      </c>
      <c r="AP71" s="3910" t="s">
        <v>4606</v>
      </c>
      <c r="AQ71" s="3909" t="s">
        <v>4934</v>
      </c>
      <c r="AR71" s="3920" t="s">
        <v>4935</v>
      </c>
      <c r="AS71" s="3904" t="s">
        <v>4936</v>
      </c>
      <c r="AT71" s="3902" t="s">
        <v>4937</v>
      </c>
      <c r="AU71" s="3903" t="s">
        <v>5234</v>
      </c>
      <c r="AV71" s="3902" t="s">
        <v>5235</v>
      </c>
      <c r="AW71" s="3904" t="s">
        <v>5236</v>
      </c>
      <c r="AX71" s="3905" t="s">
        <v>5237</v>
      </c>
      <c r="AY71" s="1864" t="e">
        <f>$CB71&amp;CC71&amp;CD71&amp;$CE71&amp;CL71&amp;CM71&amp;CN71&amp;CO71&amp;CP71&amp;CQ71&amp;CR71&amp;CS71&amp;CT71&amp;CU71</f>
        <v>#VALUE!</v>
      </c>
      <c r="CB71" s="1865" t="e">
        <f t="shared" si="181"/>
        <v>#VALUE!</v>
      </c>
      <c r="CC71" s="1865" t="e">
        <f t="shared" si="145"/>
        <v>#VALUE!</v>
      </c>
      <c r="CD71" s="1865" t="str">
        <f t="shared" si="146"/>
        <v xml:space="preserve"> *El Número de Pueblos Originarios no puede superar el Total Procesados. </v>
      </c>
      <c r="CE71" s="1865" t="str">
        <f t="shared" si="147"/>
        <v xml:space="preserve"> *El Número de Migrantes no puede superar el Total Procesados. </v>
      </c>
      <c r="CF71" s="3917"/>
      <c r="CG71" s="3917"/>
      <c r="CH71" s="1868"/>
      <c r="CI71" s="1868"/>
      <c r="CJ71" s="1868"/>
      <c r="CK71" s="3917"/>
      <c r="CL71" s="1865" t="str">
        <f t="shared" si="183"/>
        <v>* El total de Procesados debe ser mayor o igual al total de Reactivos en el grupo de edad 15 - 19 años</v>
      </c>
      <c r="CM71" s="1865" t="str">
        <f t="shared" si="184"/>
        <v>* El total de Procesados debe ser mayor o igual al total de Reactivos en el grupo de edad 20 - 24 años</v>
      </c>
      <c r="CN71" s="1865" t="str">
        <f t="shared" si="178"/>
        <v>* El total de Procesados debe ser mayor o igual al total de Reactivos en el grupo de edad 25 - 29 años</v>
      </c>
      <c r="CO71" s="1865" t="str">
        <f t="shared" si="185"/>
        <v>* El total de Procesados debe ser mayor o igual al total de Reactivos en el grupo de edad 30 - 34 años</v>
      </c>
      <c r="CP71" s="1865" t="str">
        <f t="shared" si="186"/>
        <v>* El total de Procesados debe ser mayor o igual al total de Reactivos en el grupo de edad 35 - 39 años</v>
      </c>
      <c r="CQ71" s="1865" t="str">
        <f t="shared" si="187"/>
        <v>* El total de Procesados debe ser mayor o igual al total de Reactivos en el grupo de edad 40 - 44 años</v>
      </c>
      <c r="CR71" s="1865" t="str">
        <f t="shared" si="188"/>
        <v>* El total de Procesados debe ser mayor o igual al total de Reactivos en el grupo de edad 45 - 49 años</v>
      </c>
      <c r="CS71" s="1865" t="str">
        <f t="shared" si="189"/>
        <v>* El total de Procesados debe ser mayor o igual al total de Reactivos en el grupo de edad 50 - 54 años</v>
      </c>
      <c r="CT71" s="1865" t="str">
        <f t="shared" si="190"/>
        <v>* El total de Procesados debe ser mayor o igual al total de Reactivos en el grupo de edad 55 - 59 años</v>
      </c>
      <c r="CU71" s="1865" t="str">
        <f t="shared" si="191"/>
        <v>* El total de Procesados debe ser mayor o igual al total de Reactivos en el grupo de edad 60 - 64 años</v>
      </c>
      <c r="CV71" s="1866"/>
      <c r="CW71" s="1866"/>
      <c r="CX71" s="1866"/>
      <c r="CY71" s="1866"/>
      <c r="DF71" s="1936"/>
      <c r="DG71" s="3922" t="e">
        <f t="shared" si="182"/>
        <v>#VALUE!</v>
      </c>
      <c r="DH71" s="3906" t="e">
        <f t="shared" si="162"/>
        <v>#VALUE!</v>
      </c>
      <c r="DI71" s="3906">
        <f t="shared" si="163"/>
        <v>1</v>
      </c>
      <c r="DJ71" s="3906">
        <f t="shared" si="164"/>
        <v>1</v>
      </c>
      <c r="DK71" s="1868"/>
      <c r="DL71" s="1868"/>
      <c r="DM71" s="1868"/>
      <c r="DN71" s="1868"/>
      <c r="DO71" s="1868"/>
      <c r="DP71" s="1866"/>
      <c r="DQ71" s="3906">
        <f t="shared" si="192"/>
        <v>1</v>
      </c>
      <c r="DR71" s="3906">
        <f t="shared" si="193"/>
        <v>1</v>
      </c>
      <c r="DS71" s="3906">
        <f t="shared" si="179"/>
        <v>1</v>
      </c>
      <c r="DT71" s="3906">
        <f t="shared" si="194"/>
        <v>1</v>
      </c>
      <c r="DU71" s="3906">
        <f t="shared" si="195"/>
        <v>1</v>
      </c>
      <c r="DV71" s="3906">
        <f t="shared" si="196"/>
        <v>1</v>
      </c>
      <c r="DW71" s="3906">
        <f t="shared" si="180"/>
        <v>1</v>
      </c>
      <c r="DX71" s="3906">
        <f t="shared" si="197"/>
        <v>1</v>
      </c>
      <c r="DY71" s="3906">
        <f t="shared" si="198"/>
        <v>1</v>
      </c>
      <c r="DZ71" s="3906">
        <f t="shared" si="199"/>
        <v>1</v>
      </c>
      <c r="EA71" s="1866"/>
      <c r="EB71" s="1866"/>
      <c r="EC71" s="1866"/>
      <c r="ED71" s="1866"/>
    </row>
    <row r="72" spans="1:134" x14ac:dyDescent="0.25">
      <c r="A72" s="5601">
        <v>11056415</v>
      </c>
      <c r="B72" s="3923" t="s">
        <v>1881</v>
      </c>
      <c r="C72" s="3908" t="s">
        <v>4567</v>
      </c>
      <c r="D72" s="344" t="s">
        <v>4568</v>
      </c>
      <c r="E72" s="3904" t="s">
        <v>4569</v>
      </c>
      <c r="F72" s="3912" t="s">
        <v>4570</v>
      </c>
      <c r="G72" s="3913" t="s">
        <v>4571</v>
      </c>
      <c r="H72" s="3912" t="s">
        <v>4572</v>
      </c>
      <c r="I72" s="3913" t="s">
        <v>4573</v>
      </c>
      <c r="J72" s="3905" t="s">
        <v>4574</v>
      </c>
      <c r="K72" s="3904" t="s">
        <v>4575</v>
      </c>
      <c r="L72" s="3904" t="s">
        <v>4576</v>
      </c>
      <c r="M72" s="3913" t="s">
        <v>4577</v>
      </c>
      <c r="N72" s="3905" t="s">
        <v>4578</v>
      </c>
      <c r="O72" s="3904" t="s">
        <v>4579</v>
      </c>
      <c r="P72" s="3912" t="s">
        <v>4580</v>
      </c>
      <c r="Q72" s="3913" t="s">
        <v>4581</v>
      </c>
      <c r="R72" s="3912" t="s">
        <v>4582</v>
      </c>
      <c r="S72" s="3913" t="s">
        <v>4583</v>
      </c>
      <c r="T72" s="3912" t="s">
        <v>4584</v>
      </c>
      <c r="U72" s="3913" t="s">
        <v>4585</v>
      </c>
      <c r="V72" s="3912" t="s">
        <v>4586</v>
      </c>
      <c r="W72" s="3913" t="s">
        <v>4587</v>
      </c>
      <c r="X72" s="3912" t="s">
        <v>4588</v>
      </c>
      <c r="Y72" s="3913" t="s">
        <v>4589</v>
      </c>
      <c r="Z72" s="3912" t="s">
        <v>4590</v>
      </c>
      <c r="AA72" s="3913" t="s">
        <v>4591</v>
      </c>
      <c r="AB72" s="3912" t="s">
        <v>4592</v>
      </c>
      <c r="AC72" s="3913" t="s">
        <v>4593</v>
      </c>
      <c r="AD72" s="3912" t="s">
        <v>4594</v>
      </c>
      <c r="AE72" s="3913" t="s">
        <v>4595</v>
      </c>
      <c r="AF72" s="3912" t="s">
        <v>4596</v>
      </c>
      <c r="AG72" s="3913" t="s">
        <v>4597</v>
      </c>
      <c r="AH72" s="3912" t="s">
        <v>4598</v>
      </c>
      <c r="AI72" s="3913" t="s">
        <v>4599</v>
      </c>
      <c r="AJ72" s="3912" t="s">
        <v>4600</v>
      </c>
      <c r="AK72" s="3913" t="s">
        <v>4601</v>
      </c>
      <c r="AL72" s="3912" t="s">
        <v>4602</v>
      </c>
      <c r="AM72" s="3913" t="s">
        <v>4603</v>
      </c>
      <c r="AN72" s="3912" t="s">
        <v>4604</v>
      </c>
      <c r="AO72" s="3913" t="s">
        <v>4605</v>
      </c>
      <c r="AP72" s="3912" t="s">
        <v>4606</v>
      </c>
      <c r="AQ72" s="3913" t="s">
        <v>4934</v>
      </c>
      <c r="AR72" s="3902" t="s">
        <v>4935</v>
      </c>
      <c r="AS72" s="3904" t="s">
        <v>4936</v>
      </c>
      <c r="AT72" s="3902" t="s">
        <v>4937</v>
      </c>
      <c r="AU72" s="3903" t="s">
        <v>5234</v>
      </c>
      <c r="AV72" s="3902" t="s">
        <v>5235</v>
      </c>
      <c r="AW72" s="3904" t="s">
        <v>5236</v>
      </c>
      <c r="AX72" s="3905" t="s">
        <v>5237</v>
      </c>
      <c r="AY72" s="1864" t="e">
        <f>$CB72&amp;CC72&amp;CD72&amp;$CE72&amp;CK72&amp;CL72&amp;CM72&amp;CN72&amp;CO72&amp;CP72&amp;CQ72&amp;CR72&amp;CS72&amp;CT72&amp;CU72&amp;CV72&amp;CW72&amp;CX72&amp;CY72&amp;CF72&amp;CG72&amp;CH72&amp;CI72&amp;CJ72</f>
        <v>#VALUE!</v>
      </c>
      <c r="CB72" s="1865" t="e">
        <f t="shared" si="181"/>
        <v>#VALUE!</v>
      </c>
      <c r="CC72" s="1865" t="e">
        <f t="shared" si="145"/>
        <v>#VALUE!</v>
      </c>
      <c r="CD72" s="1865" t="str">
        <f t="shared" si="146"/>
        <v xml:space="preserve"> *El Número de Pueblos Originarios no puede superar el Total Procesados. </v>
      </c>
      <c r="CE72" s="1865" t="str">
        <f t="shared" si="147"/>
        <v xml:space="preserve"> *El Número de Migrantes no puede superar el Total Procesados. </v>
      </c>
      <c r="CF72" s="1865" t="str">
        <f>IF(E72&lt;F72,CONCATENATE("* El total de Procesados debe ser mayor o igual al total de Reactivos en el grupo de edad ",$E$11),"")</f>
        <v>* El total de Procesados debe ser mayor o igual al total de Reactivos en el grupo de edad Menos de 6 meses</v>
      </c>
      <c r="CG72" s="1865" t="str">
        <f>IF(G72&lt;H72,CONCATENATE("* El total de Procesados debe ser mayor o igual al total de Reactivos en el grupo de edad ",$G$11),"")</f>
        <v>* El total de Procesados debe ser mayor o igual al total de Reactivos en el grupo de edad 6 - 11 meses</v>
      </c>
      <c r="CH72" s="1865" t="str">
        <f>IF(I72&lt;J72,CONCATENATE("* El total de Procesados debe ser mayor o igual al total de Reactivos en el grupo de edad ",$I$11),"")</f>
        <v>* El total de Procesados debe ser mayor o igual al total de Reactivos en el grupo de edad 12-24 meses</v>
      </c>
      <c r="CI72" s="1865" t="str">
        <f>IF(K72&lt;L72,CONCATENATE("* El total de Procesados debe ser mayor o igual al total de Reactivos en el grupo de edad ",$K$11),"")</f>
        <v>* El total de Procesados debe ser mayor o igual al total de Reactivos en el grupo de edad 3 - 4 años</v>
      </c>
      <c r="CJ72" s="1865" t="str">
        <f>IF(M72&lt;N72,CONCATENATE("* El total de Procesados debe ser mayor o igual al total de Reactivos en el grupo de edad ",$M$11),"")</f>
        <v>* El total de Procesados debe ser mayor o igual al total de Reactivos en el grupo de edad 5 - 9 años</v>
      </c>
      <c r="CK72" s="1865" t="str">
        <f>IF(O72&lt;P72,CONCATENATE("* El total de Procesados debe ser mayor o igual al total de Reactivos en el grupo de edad ",$O$11),"")</f>
        <v>* El total de Procesados debe ser mayor o igual al total de Reactivos en el grupo de edad 10 - 14 años</v>
      </c>
      <c r="CL72" s="1865" t="str">
        <f t="shared" si="183"/>
        <v>* El total de Procesados debe ser mayor o igual al total de Reactivos en el grupo de edad 15 - 19 años</v>
      </c>
      <c r="CM72" s="1865" t="str">
        <f t="shared" si="184"/>
        <v>* El total de Procesados debe ser mayor o igual al total de Reactivos en el grupo de edad 20 - 24 años</v>
      </c>
      <c r="CN72" s="1865" t="str">
        <f t="shared" si="178"/>
        <v>* El total de Procesados debe ser mayor o igual al total de Reactivos en el grupo de edad 25 - 29 años</v>
      </c>
      <c r="CO72" s="1865" t="str">
        <f t="shared" si="185"/>
        <v>* El total de Procesados debe ser mayor o igual al total de Reactivos en el grupo de edad 30 - 34 años</v>
      </c>
      <c r="CP72" s="1865" t="str">
        <f t="shared" si="186"/>
        <v>* El total de Procesados debe ser mayor o igual al total de Reactivos en el grupo de edad 35 - 39 años</v>
      </c>
      <c r="CQ72" s="1865" t="str">
        <f t="shared" si="187"/>
        <v>* El total de Procesados debe ser mayor o igual al total de Reactivos en el grupo de edad 40 - 44 años</v>
      </c>
      <c r="CR72" s="1865" t="str">
        <f t="shared" si="188"/>
        <v>* El total de Procesados debe ser mayor o igual al total de Reactivos en el grupo de edad 45 - 49 años</v>
      </c>
      <c r="CS72" s="1865" t="str">
        <f t="shared" si="189"/>
        <v>* El total de Procesados debe ser mayor o igual al total de Reactivos en el grupo de edad 50 - 54 años</v>
      </c>
      <c r="CT72" s="1865" t="str">
        <f t="shared" si="190"/>
        <v>* El total de Procesados debe ser mayor o igual al total de Reactivos en el grupo de edad 55 - 59 años</v>
      </c>
      <c r="CU72" s="1865" t="str">
        <f t="shared" si="191"/>
        <v>* El total de Procesados debe ser mayor o igual al total de Reactivos en el grupo de edad 60 - 64 años</v>
      </c>
      <c r="CV72" s="1865" t="str">
        <f>IF(AK72&lt;AL72,CONCATENATE("* El total de Procesados debe ser mayor o igual al total de Reactivos en el grupo de edad ",$AK$11),"")</f>
        <v>* El total de Procesados debe ser mayor o igual al total de Reactivos en el grupo de edad 65 - 69 años</v>
      </c>
      <c r="CW72" s="1865" t="str">
        <f>IF(AM72&lt;AN72,CONCATENATE("* El total de Procesados debe ser mayor o igual al total de Reactivos en el grupo de edad ",$AM$11),"")</f>
        <v>* El total de Procesados debe ser mayor o igual al total de Reactivos en el grupo de edad 70 - 74 años</v>
      </c>
      <c r="CX72" s="1865" t="str">
        <f>IF(AO72&lt;AP72,CONCATENATE("* El total de Procesados debe ser mayor o igual al total de Reactivos en el grupo de edad ",$AO$11),"")</f>
        <v>* El total de Procesados debe ser mayor o igual al total de Reactivos en el grupo de edad 75 - 79 años</v>
      </c>
      <c r="CY72" s="1865" t="str">
        <f>IF(AQ72&lt;AR72,CONCATENATE("* El total de Procesados debe ser mayor o igual al total de Reactivos en el grupo de edad ",$AQ$11),"")</f>
        <v>* El total de Procesados debe ser mayor o igual al total de Reactivos en el grupo de edad 80 y más años</v>
      </c>
      <c r="DF72" s="1936"/>
      <c r="DG72" s="3922" t="e">
        <f t="shared" si="182"/>
        <v>#VALUE!</v>
      </c>
      <c r="DH72" s="3906" t="e">
        <f t="shared" si="162"/>
        <v>#VALUE!</v>
      </c>
      <c r="DI72" s="3906">
        <f t="shared" si="163"/>
        <v>1</v>
      </c>
      <c r="DJ72" s="3906">
        <f t="shared" si="164"/>
        <v>1</v>
      </c>
      <c r="DK72" s="3906">
        <f>IF(E72&lt;F72,1,0)</f>
        <v>1</v>
      </c>
      <c r="DL72" s="3906">
        <f>IF(G72&lt;H72,1,0)</f>
        <v>1</v>
      </c>
      <c r="DM72" s="3906">
        <f>IF(I72&lt;J72,1,0)</f>
        <v>1</v>
      </c>
      <c r="DN72" s="3906">
        <f>IF(K72&lt;L72,1,0)</f>
        <v>1</v>
      </c>
      <c r="DO72" s="3906">
        <f>IF(M72&lt;N72,1,0)</f>
        <v>1</v>
      </c>
      <c r="DP72" s="3906">
        <f>IF(O72&lt;P72,1,0)</f>
        <v>1</v>
      </c>
      <c r="DQ72" s="3906">
        <f t="shared" si="192"/>
        <v>1</v>
      </c>
      <c r="DR72" s="3906">
        <f t="shared" si="193"/>
        <v>1</v>
      </c>
      <c r="DS72" s="3906">
        <f t="shared" si="179"/>
        <v>1</v>
      </c>
      <c r="DT72" s="3906">
        <f t="shared" si="194"/>
        <v>1</v>
      </c>
      <c r="DU72" s="3906">
        <f t="shared" si="195"/>
        <v>1</v>
      </c>
      <c r="DV72" s="3906">
        <f t="shared" si="196"/>
        <v>1</v>
      </c>
      <c r="DW72" s="3906">
        <f t="shared" si="180"/>
        <v>1</v>
      </c>
      <c r="DX72" s="3906">
        <f t="shared" si="197"/>
        <v>1</v>
      </c>
      <c r="DY72" s="3906">
        <f t="shared" si="198"/>
        <v>1</v>
      </c>
      <c r="DZ72" s="3906">
        <f t="shared" si="199"/>
        <v>1</v>
      </c>
      <c r="EA72" s="3906">
        <f>IF(AK72&lt;AL72,1,0)</f>
        <v>1</v>
      </c>
      <c r="EB72" s="3906">
        <f>IF(AM72&lt;AN72,1,0)</f>
        <v>1</v>
      </c>
      <c r="EC72" s="3906">
        <f>IF(AO72&lt;AP72,1,0)</f>
        <v>1</v>
      </c>
      <c r="ED72" s="3906">
        <f>IF(AQ72&lt;AR72,1,0)</f>
        <v>1</v>
      </c>
    </row>
    <row r="73" spans="1:134" x14ac:dyDescent="0.25">
      <c r="A73" s="5601">
        <v>11056416</v>
      </c>
      <c r="B73" s="3923" t="s">
        <v>1882</v>
      </c>
      <c r="C73" s="3908" t="s">
        <v>4567</v>
      </c>
      <c r="D73" s="344" t="s">
        <v>4568</v>
      </c>
      <c r="E73" s="3904" t="s">
        <v>4569</v>
      </c>
      <c r="F73" s="3912" t="s">
        <v>4570</v>
      </c>
      <c r="G73" s="3913" t="s">
        <v>4571</v>
      </c>
      <c r="H73" s="3912" t="s">
        <v>4572</v>
      </c>
      <c r="I73" s="3913" t="s">
        <v>4573</v>
      </c>
      <c r="J73" s="3905" t="s">
        <v>4574</v>
      </c>
      <c r="K73" s="3904" t="s">
        <v>4575</v>
      </c>
      <c r="L73" s="3904" t="s">
        <v>4576</v>
      </c>
      <c r="M73" s="3913" t="s">
        <v>4577</v>
      </c>
      <c r="N73" s="3905" t="s">
        <v>4578</v>
      </c>
      <c r="O73" s="3904" t="s">
        <v>4579</v>
      </c>
      <c r="P73" s="3912" t="s">
        <v>4580</v>
      </c>
      <c r="Q73" s="3913" t="s">
        <v>4581</v>
      </c>
      <c r="R73" s="3912" t="s">
        <v>4582</v>
      </c>
      <c r="S73" s="3913" t="s">
        <v>4583</v>
      </c>
      <c r="T73" s="3912" t="s">
        <v>4584</v>
      </c>
      <c r="U73" s="3913" t="s">
        <v>4585</v>
      </c>
      <c r="V73" s="3912" t="s">
        <v>4586</v>
      </c>
      <c r="W73" s="3913" t="s">
        <v>4587</v>
      </c>
      <c r="X73" s="3912" t="s">
        <v>4588</v>
      </c>
      <c r="Y73" s="3913" t="s">
        <v>4589</v>
      </c>
      <c r="Z73" s="3912" t="s">
        <v>4590</v>
      </c>
      <c r="AA73" s="3913" t="s">
        <v>4591</v>
      </c>
      <c r="AB73" s="3912" t="s">
        <v>4592</v>
      </c>
      <c r="AC73" s="3913" t="s">
        <v>4593</v>
      </c>
      <c r="AD73" s="3912" t="s">
        <v>4594</v>
      </c>
      <c r="AE73" s="3913" t="s">
        <v>4595</v>
      </c>
      <c r="AF73" s="3912" t="s">
        <v>4596</v>
      </c>
      <c r="AG73" s="3913" t="s">
        <v>4597</v>
      </c>
      <c r="AH73" s="3912" t="s">
        <v>4598</v>
      </c>
      <c r="AI73" s="3913" t="s">
        <v>4599</v>
      </c>
      <c r="AJ73" s="3912" t="s">
        <v>4600</v>
      </c>
      <c r="AK73" s="3913" t="s">
        <v>4601</v>
      </c>
      <c r="AL73" s="3912" t="s">
        <v>4602</v>
      </c>
      <c r="AM73" s="3913" t="s">
        <v>4603</v>
      </c>
      <c r="AN73" s="3912" t="s">
        <v>4604</v>
      </c>
      <c r="AO73" s="3913" t="s">
        <v>4605</v>
      </c>
      <c r="AP73" s="3912" t="s">
        <v>4606</v>
      </c>
      <c r="AQ73" s="3913" t="s">
        <v>4934</v>
      </c>
      <c r="AR73" s="3902" t="s">
        <v>4935</v>
      </c>
      <c r="AS73" s="3904" t="s">
        <v>4936</v>
      </c>
      <c r="AT73" s="3902" t="s">
        <v>4937</v>
      </c>
      <c r="AU73" s="3903" t="s">
        <v>5234</v>
      </c>
      <c r="AV73" s="3902" t="s">
        <v>5235</v>
      </c>
      <c r="AW73" s="3904" t="s">
        <v>5236</v>
      </c>
      <c r="AX73" s="3905" t="s">
        <v>5237</v>
      </c>
      <c r="AY73" s="1864" t="e">
        <f>$CB73&amp;CC73&amp;CD73&amp;$CE73&amp;CK73&amp;CL73&amp;CM73&amp;CN73&amp;CO73&amp;CP73&amp;CQ73&amp;CR73&amp;CS73&amp;CT73&amp;CU73&amp;CV73&amp;CW73&amp;CX73&amp;CY73&amp;CF73&amp;CG73&amp;CH73&amp;CI73&amp;CJ73</f>
        <v>#VALUE!</v>
      </c>
      <c r="CB73" s="1865" t="e">
        <f t="shared" si="181"/>
        <v>#VALUE!</v>
      </c>
      <c r="CC73" s="1865" t="e">
        <f t="shared" si="145"/>
        <v>#VALUE!</v>
      </c>
      <c r="CD73" s="1865" t="str">
        <f t="shared" si="146"/>
        <v xml:space="preserve"> *El Número de Pueblos Originarios no puede superar el Total Procesados. </v>
      </c>
      <c r="CE73" s="1865" t="str">
        <f t="shared" si="147"/>
        <v xml:space="preserve"> *El Número de Migrantes no puede superar el Total Procesados. </v>
      </c>
      <c r="CF73" s="1865" t="str">
        <f>IF(E73&lt;F73,CONCATENATE("* El total de Procesados debe ser mayor o igual al total de Reactivos en el grupo de edad ",$E$11),"")</f>
        <v>* El total de Procesados debe ser mayor o igual al total de Reactivos en el grupo de edad Menos de 6 meses</v>
      </c>
      <c r="CG73" s="1865" t="str">
        <f>IF(G73&lt;H73,CONCATENATE("* El total de Procesados debe ser mayor o igual al total de Reactivos en el grupo de edad ",$G$11),"")</f>
        <v>* El total de Procesados debe ser mayor o igual al total de Reactivos en el grupo de edad 6 - 11 meses</v>
      </c>
      <c r="CH73" s="1865" t="str">
        <f>IF(I73&lt;J73,CONCATENATE("* El total de Procesados debe ser mayor o igual al total de Reactivos en el grupo de edad ",$I$11),"")</f>
        <v>* El total de Procesados debe ser mayor o igual al total de Reactivos en el grupo de edad 12-24 meses</v>
      </c>
      <c r="CI73" s="1865" t="str">
        <f>IF(K73&lt;L73,CONCATENATE("* El total de Procesados debe ser mayor o igual al total de Reactivos en el grupo de edad ",$K$11),"")</f>
        <v>* El total de Procesados debe ser mayor o igual al total de Reactivos en el grupo de edad 3 - 4 años</v>
      </c>
      <c r="CJ73" s="1865" t="str">
        <f>IF(M73&lt;N73,CONCATENATE("* El total de Procesados debe ser mayor o igual al total de Reactivos en el grupo de edad ",$M$11),"")</f>
        <v>* El total de Procesados debe ser mayor o igual al total de Reactivos en el grupo de edad 5 - 9 años</v>
      </c>
      <c r="CK73" s="1865" t="str">
        <f>IF(O73&lt;P73,CONCATENATE("* El total de Procesados debe ser mayor o igual al total de Reactivos en el grupo de edad ",$O$11),"")</f>
        <v>* El total de Procesados debe ser mayor o igual al total de Reactivos en el grupo de edad 10 - 14 años</v>
      </c>
      <c r="CL73" s="1865" t="str">
        <f t="shared" si="183"/>
        <v>* El total de Procesados debe ser mayor o igual al total de Reactivos en el grupo de edad 15 - 19 años</v>
      </c>
      <c r="CM73" s="1865" t="str">
        <f t="shared" si="184"/>
        <v>* El total de Procesados debe ser mayor o igual al total de Reactivos en el grupo de edad 20 - 24 años</v>
      </c>
      <c r="CN73" s="1865" t="str">
        <f t="shared" si="178"/>
        <v>* El total de Procesados debe ser mayor o igual al total de Reactivos en el grupo de edad 25 - 29 años</v>
      </c>
      <c r="CO73" s="1865" t="str">
        <f t="shared" si="185"/>
        <v>* El total de Procesados debe ser mayor o igual al total de Reactivos en el grupo de edad 30 - 34 años</v>
      </c>
      <c r="CP73" s="1865" t="str">
        <f t="shared" si="186"/>
        <v>* El total de Procesados debe ser mayor o igual al total de Reactivos en el grupo de edad 35 - 39 años</v>
      </c>
      <c r="CQ73" s="1865" t="str">
        <f t="shared" si="187"/>
        <v>* El total de Procesados debe ser mayor o igual al total de Reactivos en el grupo de edad 40 - 44 años</v>
      </c>
      <c r="CR73" s="1865" t="str">
        <f t="shared" si="188"/>
        <v>* El total de Procesados debe ser mayor o igual al total de Reactivos en el grupo de edad 45 - 49 años</v>
      </c>
      <c r="CS73" s="1865" t="str">
        <f t="shared" si="189"/>
        <v>* El total de Procesados debe ser mayor o igual al total de Reactivos en el grupo de edad 50 - 54 años</v>
      </c>
      <c r="CT73" s="1865" t="str">
        <f t="shared" si="190"/>
        <v>* El total de Procesados debe ser mayor o igual al total de Reactivos en el grupo de edad 55 - 59 años</v>
      </c>
      <c r="CU73" s="1865" t="str">
        <f t="shared" si="191"/>
        <v>* El total de Procesados debe ser mayor o igual al total de Reactivos en el grupo de edad 60 - 64 años</v>
      </c>
      <c r="CV73" s="1865" t="str">
        <f>IF(AK73&lt;AL73,CONCATENATE("* El total de Procesados debe ser mayor o igual al total de Reactivos en el grupo de edad ",$AK$11),"")</f>
        <v>* El total de Procesados debe ser mayor o igual al total de Reactivos en el grupo de edad 65 - 69 años</v>
      </c>
      <c r="CW73" s="1865" t="str">
        <f>IF(AM73&lt;AN73,CONCATENATE("* El total de Procesados debe ser mayor o igual al total de Reactivos en el grupo de edad ",$AM$11),"")</f>
        <v>* El total de Procesados debe ser mayor o igual al total de Reactivos en el grupo de edad 70 - 74 años</v>
      </c>
      <c r="CX73" s="1865" t="str">
        <f>IF(AO73&lt;AP73,CONCATENATE("* El total de Procesados debe ser mayor o igual al total de Reactivos en el grupo de edad ",$AO$11),"")</f>
        <v>* El total de Procesados debe ser mayor o igual al total de Reactivos en el grupo de edad 75 - 79 años</v>
      </c>
      <c r="CY73" s="1865" t="str">
        <f>IF(AQ73&lt;AR73,CONCATENATE("* El total de Procesados debe ser mayor o igual al total de Reactivos en el grupo de edad ",$AQ$11),"")</f>
        <v>* El total de Procesados debe ser mayor o igual al total de Reactivos en el grupo de edad 80 y más años</v>
      </c>
      <c r="DF73" s="1936"/>
      <c r="DG73" s="3922" t="e">
        <f t="shared" si="182"/>
        <v>#VALUE!</v>
      </c>
      <c r="DH73" s="3906" t="e">
        <f t="shared" si="162"/>
        <v>#VALUE!</v>
      </c>
      <c r="DI73" s="3906">
        <f t="shared" si="163"/>
        <v>1</v>
      </c>
      <c r="DJ73" s="3906">
        <f t="shared" si="164"/>
        <v>1</v>
      </c>
      <c r="DK73" s="3906">
        <f>IF(E73&lt;F73,1,0)</f>
        <v>1</v>
      </c>
      <c r="DL73" s="3906">
        <f>IF(G73&lt;H73,1,0)</f>
        <v>1</v>
      </c>
      <c r="DM73" s="3906">
        <f>IF(I73&lt;J73,1,0)</f>
        <v>1</v>
      </c>
      <c r="DN73" s="3906">
        <f>IF(K73&lt;L73,1,0)</f>
        <v>1</v>
      </c>
      <c r="DO73" s="3906">
        <f>IF(M73&lt;N73,1,0)</f>
        <v>1</v>
      </c>
      <c r="DP73" s="3906">
        <f>IF(O73&lt;P73,1,0)</f>
        <v>1</v>
      </c>
      <c r="DQ73" s="3906">
        <f t="shared" si="192"/>
        <v>1</v>
      </c>
      <c r="DR73" s="3906">
        <f t="shared" si="193"/>
        <v>1</v>
      </c>
      <c r="DS73" s="3906">
        <f t="shared" si="179"/>
        <v>1</v>
      </c>
      <c r="DT73" s="3906">
        <f t="shared" si="194"/>
        <v>1</v>
      </c>
      <c r="DU73" s="3906">
        <f t="shared" si="195"/>
        <v>1</v>
      </c>
      <c r="DV73" s="3906">
        <f t="shared" si="196"/>
        <v>1</v>
      </c>
      <c r="DW73" s="3906">
        <f t="shared" si="180"/>
        <v>1</v>
      </c>
      <c r="DX73" s="3906">
        <f t="shared" si="197"/>
        <v>1</v>
      </c>
      <c r="DY73" s="3906">
        <f t="shared" si="198"/>
        <v>1</v>
      </c>
      <c r="DZ73" s="3906">
        <f t="shared" si="199"/>
        <v>1</v>
      </c>
      <c r="EA73" s="3906">
        <f>IF(AK73&lt;AL73,1,0)</f>
        <v>1</v>
      </c>
      <c r="EB73" s="3906">
        <f>IF(AM73&lt;AN73,1,0)</f>
        <v>1</v>
      </c>
      <c r="EC73" s="3906">
        <f>IF(AO73&lt;AP73,1,0)</f>
        <v>1</v>
      </c>
      <c r="ED73" s="3906">
        <f>IF(AQ73&lt;AR73,1,0)</f>
        <v>1</v>
      </c>
    </row>
    <row r="74" spans="1:134" x14ac:dyDescent="0.25">
      <c r="A74" s="5609">
        <v>11056417</v>
      </c>
      <c r="B74" s="1002" t="s">
        <v>1883</v>
      </c>
      <c r="C74" s="1058" t="s">
        <v>4567</v>
      </c>
      <c r="D74" s="3346" t="s">
        <v>4568</v>
      </c>
      <c r="E74" s="1877" t="s">
        <v>4569</v>
      </c>
      <c r="F74" s="1873" t="s">
        <v>4570</v>
      </c>
      <c r="G74" s="853" t="s">
        <v>4571</v>
      </c>
      <c r="H74" s="1873" t="s">
        <v>4572</v>
      </c>
      <c r="I74" s="853" t="s">
        <v>4573</v>
      </c>
      <c r="J74" s="1975" t="s">
        <v>4574</v>
      </c>
      <c r="K74" s="1877" t="s">
        <v>4575</v>
      </c>
      <c r="L74" s="1877" t="s">
        <v>4576</v>
      </c>
      <c r="M74" s="853" t="s">
        <v>4577</v>
      </c>
      <c r="N74" s="1975" t="s">
        <v>4578</v>
      </c>
      <c r="O74" s="1877" t="s">
        <v>4579</v>
      </c>
      <c r="P74" s="1873" t="s">
        <v>4580</v>
      </c>
      <c r="Q74" s="853" t="s">
        <v>4581</v>
      </c>
      <c r="R74" s="1873" t="s">
        <v>4582</v>
      </c>
      <c r="S74" s="853" t="s">
        <v>4583</v>
      </c>
      <c r="T74" s="1873" t="s">
        <v>4584</v>
      </c>
      <c r="U74" s="853" t="s">
        <v>4585</v>
      </c>
      <c r="V74" s="1873" t="s">
        <v>4586</v>
      </c>
      <c r="W74" s="853" t="s">
        <v>4587</v>
      </c>
      <c r="X74" s="1873" t="s">
        <v>4588</v>
      </c>
      <c r="Y74" s="853" t="s">
        <v>4589</v>
      </c>
      <c r="Z74" s="1873" t="s">
        <v>4590</v>
      </c>
      <c r="AA74" s="853" t="s">
        <v>4591</v>
      </c>
      <c r="AB74" s="1873" t="s">
        <v>4592</v>
      </c>
      <c r="AC74" s="853" t="s">
        <v>4593</v>
      </c>
      <c r="AD74" s="1873" t="s">
        <v>4594</v>
      </c>
      <c r="AE74" s="853" t="s">
        <v>4595</v>
      </c>
      <c r="AF74" s="1873" t="s">
        <v>4596</v>
      </c>
      <c r="AG74" s="853" t="s">
        <v>4597</v>
      </c>
      <c r="AH74" s="1873" t="s">
        <v>4598</v>
      </c>
      <c r="AI74" s="853" t="s">
        <v>4599</v>
      </c>
      <c r="AJ74" s="1873" t="s">
        <v>4600</v>
      </c>
      <c r="AK74" s="853" t="s">
        <v>4601</v>
      </c>
      <c r="AL74" s="1873" t="s">
        <v>4602</v>
      </c>
      <c r="AM74" s="853" t="s">
        <v>4603</v>
      </c>
      <c r="AN74" s="1873" t="s">
        <v>4604</v>
      </c>
      <c r="AO74" s="853" t="s">
        <v>4605</v>
      </c>
      <c r="AP74" s="1873" t="s">
        <v>4606</v>
      </c>
      <c r="AQ74" s="853" t="s">
        <v>4934</v>
      </c>
      <c r="AR74" s="1919" t="s">
        <v>4935</v>
      </c>
      <c r="AS74" s="1877" t="s">
        <v>4936</v>
      </c>
      <c r="AT74" s="1919" t="s">
        <v>4937</v>
      </c>
      <c r="AU74" s="1879" t="s">
        <v>5234</v>
      </c>
      <c r="AV74" s="1919" t="s">
        <v>5235</v>
      </c>
      <c r="AW74" s="1877" t="s">
        <v>5236</v>
      </c>
      <c r="AX74" s="1975" t="s">
        <v>5237</v>
      </c>
      <c r="AY74" s="1864" t="e">
        <f>$CB74&amp;CC74&amp;CD74&amp;$CE74&amp;CK74&amp;CL74&amp;CM74&amp;CN74&amp;CO74&amp;CP74&amp;CQ74&amp;CR74&amp;CS74&amp;CT74&amp;CU74&amp;CV74&amp;CW74&amp;CX74&amp;CY74&amp;CF74&amp;CG74&amp;CH74&amp;CI74&amp;CJ74</f>
        <v>#VALUE!</v>
      </c>
      <c r="CB74" s="1865" t="e">
        <f t="shared" si="181"/>
        <v>#VALUE!</v>
      </c>
      <c r="CC74" s="1865" t="e">
        <f t="shared" si="145"/>
        <v>#VALUE!</v>
      </c>
      <c r="CD74" s="1865" t="str">
        <f t="shared" si="146"/>
        <v xml:space="preserve"> *El Número de Pueblos Originarios no puede superar el Total Procesados. </v>
      </c>
      <c r="CE74" s="1865" t="str">
        <f t="shared" si="147"/>
        <v xml:space="preserve"> *El Número de Migrantes no puede superar el Total Procesados. </v>
      </c>
      <c r="CF74" s="1865" t="str">
        <f>IF(E74&lt;F74,CONCATENATE("* El total de Procesados debe ser mayor o igual al total de Reactivos en el grupo de edad ",$E$11),"")</f>
        <v>* El total de Procesados debe ser mayor o igual al total de Reactivos en el grupo de edad Menos de 6 meses</v>
      </c>
      <c r="CG74" s="1865" t="str">
        <f>IF(G74&lt;H74,CONCATENATE("* El total de Procesados debe ser mayor o igual al total de Reactivos en el grupo de edad ",$G$11),"")</f>
        <v>* El total de Procesados debe ser mayor o igual al total de Reactivos en el grupo de edad 6 - 11 meses</v>
      </c>
      <c r="CH74" s="1865" t="str">
        <f>IF(I74&lt;J74,CONCATENATE("* El total de Procesados debe ser mayor o igual al total de Reactivos en el grupo de edad ",$I$11),"")</f>
        <v>* El total de Procesados debe ser mayor o igual al total de Reactivos en el grupo de edad 12-24 meses</v>
      </c>
      <c r="CI74" s="1865" t="str">
        <f>IF(K74&lt;L74,CONCATENATE("* El total de Procesados debe ser mayor o igual al total de Reactivos en el grupo de edad ",$K$11),"")</f>
        <v>* El total de Procesados debe ser mayor o igual al total de Reactivos en el grupo de edad 3 - 4 años</v>
      </c>
      <c r="CJ74" s="1865" t="str">
        <f>IF(M74&lt;N74,CONCATENATE("* El total de Procesados debe ser mayor o igual al total de Reactivos en el grupo de edad ",$M$11),"")</f>
        <v>* El total de Procesados debe ser mayor o igual al total de Reactivos en el grupo de edad 5 - 9 años</v>
      </c>
      <c r="CK74" s="1865" t="str">
        <f>IF(O74&lt;P74,CONCATENATE("* El total de Procesados debe ser mayor o igual al total de Reactivos en el grupo de edad ",$O$11),"")</f>
        <v>* El total de Procesados debe ser mayor o igual al total de Reactivos en el grupo de edad 10 - 14 años</v>
      </c>
      <c r="CL74" s="1865" t="str">
        <f t="shared" si="183"/>
        <v>* El total de Procesados debe ser mayor o igual al total de Reactivos en el grupo de edad 15 - 19 años</v>
      </c>
      <c r="CM74" s="1865" t="str">
        <f t="shared" si="184"/>
        <v>* El total de Procesados debe ser mayor o igual al total de Reactivos en el grupo de edad 20 - 24 años</v>
      </c>
      <c r="CN74" s="1865" t="str">
        <f t="shared" si="178"/>
        <v>* El total de Procesados debe ser mayor o igual al total de Reactivos en el grupo de edad 25 - 29 años</v>
      </c>
      <c r="CO74" s="1865" t="str">
        <f t="shared" si="185"/>
        <v>* El total de Procesados debe ser mayor o igual al total de Reactivos en el grupo de edad 30 - 34 años</v>
      </c>
      <c r="CP74" s="1865" t="str">
        <f t="shared" si="186"/>
        <v>* El total de Procesados debe ser mayor o igual al total de Reactivos en el grupo de edad 35 - 39 años</v>
      </c>
      <c r="CQ74" s="1865" t="str">
        <f t="shared" si="187"/>
        <v>* El total de Procesados debe ser mayor o igual al total de Reactivos en el grupo de edad 40 - 44 años</v>
      </c>
      <c r="CR74" s="1865" t="str">
        <f t="shared" si="188"/>
        <v>* El total de Procesados debe ser mayor o igual al total de Reactivos en el grupo de edad 45 - 49 años</v>
      </c>
      <c r="CS74" s="1865" t="str">
        <f t="shared" si="189"/>
        <v>* El total de Procesados debe ser mayor o igual al total de Reactivos en el grupo de edad 50 - 54 años</v>
      </c>
      <c r="CT74" s="1865" t="str">
        <f t="shared" si="190"/>
        <v>* El total de Procesados debe ser mayor o igual al total de Reactivos en el grupo de edad 55 - 59 años</v>
      </c>
      <c r="CU74" s="1865" t="str">
        <f t="shared" si="191"/>
        <v>* El total de Procesados debe ser mayor o igual al total de Reactivos en el grupo de edad 60 - 64 años</v>
      </c>
      <c r="CV74" s="1865" t="str">
        <f>IF(AK74&lt;AL74,CONCATENATE("* El total de Procesados debe ser mayor o igual al total de Reactivos en el grupo de edad ",$AK$11),"")</f>
        <v>* El total de Procesados debe ser mayor o igual al total de Reactivos en el grupo de edad 65 - 69 años</v>
      </c>
      <c r="CW74" s="1865" t="str">
        <f>IF(AM74&lt;AN74,CONCATENATE("* El total de Procesados debe ser mayor o igual al total de Reactivos en el grupo de edad ",$AM$11),"")</f>
        <v>* El total de Procesados debe ser mayor o igual al total de Reactivos en el grupo de edad 70 - 74 años</v>
      </c>
      <c r="CX74" s="1865" t="str">
        <f>IF(AO74&lt;AP74,CONCATENATE("* El total de Procesados debe ser mayor o igual al total de Reactivos en el grupo de edad ",$AO$11),"")</f>
        <v>* El total de Procesados debe ser mayor o igual al total de Reactivos en el grupo de edad 75 - 79 años</v>
      </c>
      <c r="CY74" s="1865" t="str">
        <f>IF(AQ74&lt;AR74,CONCATENATE("* El total de Procesados debe ser mayor o igual al total de Reactivos en el grupo de edad ",$AQ$11),"")</f>
        <v>* El total de Procesados debe ser mayor o igual al total de Reactivos en el grupo de edad 80 y más años</v>
      </c>
      <c r="DF74" s="1936"/>
      <c r="DG74" s="3922" t="e">
        <f t="shared" si="182"/>
        <v>#VALUE!</v>
      </c>
      <c r="DH74" s="3906" t="e">
        <f t="shared" si="162"/>
        <v>#VALUE!</v>
      </c>
      <c r="DI74" s="3906">
        <f t="shared" si="163"/>
        <v>1</v>
      </c>
      <c r="DJ74" s="3906">
        <f t="shared" si="164"/>
        <v>1</v>
      </c>
      <c r="DK74" s="3906">
        <f>IF(E74&lt;F74,1,0)</f>
        <v>1</v>
      </c>
      <c r="DL74" s="3906">
        <f>IF(G74&lt;H74,1,0)</f>
        <v>1</v>
      </c>
      <c r="DM74" s="3906">
        <f>IF(I74&lt;J74,1,0)</f>
        <v>1</v>
      </c>
      <c r="DN74" s="3906">
        <f>IF(K74&lt;L74,1,0)</f>
        <v>1</v>
      </c>
      <c r="DO74" s="3906">
        <f>IF(M74&lt;N74,1,0)</f>
        <v>1</v>
      </c>
      <c r="DP74" s="3906">
        <f>IF(O74&lt;P74,1,0)</f>
        <v>1</v>
      </c>
      <c r="DQ74" s="3906">
        <f t="shared" si="192"/>
        <v>1</v>
      </c>
      <c r="DR74" s="3906">
        <f t="shared" si="193"/>
        <v>1</v>
      </c>
      <c r="DS74" s="3906">
        <f t="shared" si="179"/>
        <v>1</v>
      </c>
      <c r="DT74" s="3906">
        <f t="shared" si="194"/>
        <v>1</v>
      </c>
      <c r="DU74" s="3906">
        <f t="shared" si="195"/>
        <v>1</v>
      </c>
      <c r="DV74" s="3906">
        <f t="shared" si="196"/>
        <v>1</v>
      </c>
      <c r="DW74" s="3906">
        <f t="shared" si="180"/>
        <v>1</v>
      </c>
      <c r="DX74" s="3906">
        <f t="shared" si="197"/>
        <v>1</v>
      </c>
      <c r="DY74" s="3906">
        <f t="shared" si="198"/>
        <v>1</v>
      </c>
      <c r="DZ74" s="3906">
        <f t="shared" si="199"/>
        <v>1</v>
      </c>
      <c r="EA74" s="3906">
        <f>IF(AK74&lt;AL74,1,0)</f>
        <v>1</v>
      </c>
      <c r="EB74" s="3906">
        <f>IF(AM74&lt;AN74,1,0)</f>
        <v>1</v>
      </c>
      <c r="EC74" s="3906">
        <f>IF(AO74&lt;AP74,1,0)</f>
        <v>1</v>
      </c>
      <c r="ED74" s="3906">
        <f>IF(AQ74&lt;AR74,1,0)</f>
        <v>1</v>
      </c>
    </row>
    <row r="75" spans="1:134" ht="18" customHeight="1" x14ac:dyDescent="0.25">
      <c r="A75" s="5797"/>
      <c r="B75" s="3921" t="s">
        <v>1886</v>
      </c>
      <c r="C75" s="3921"/>
      <c r="D75" s="3921"/>
      <c r="E75" s="3921"/>
      <c r="F75" s="3921"/>
      <c r="G75" s="3921"/>
      <c r="H75" s="3921"/>
      <c r="I75" s="3921"/>
      <c r="J75" s="3921"/>
      <c r="K75" s="3921"/>
      <c r="L75" s="3921"/>
      <c r="M75" s="3921"/>
      <c r="N75" s="3921"/>
      <c r="O75" s="3921"/>
      <c r="P75" s="3921"/>
      <c r="Q75" s="3921"/>
      <c r="R75" s="3921"/>
      <c r="S75" s="3921"/>
      <c r="T75" s="3921"/>
      <c r="U75" s="3921"/>
      <c r="V75" s="3921"/>
      <c r="W75" s="3921"/>
      <c r="X75" s="3921"/>
      <c r="Y75" s="3921"/>
      <c r="Z75" s="3921"/>
      <c r="AA75" s="3921"/>
      <c r="AB75" s="3921"/>
      <c r="AC75" s="3921"/>
      <c r="AD75" s="3921"/>
      <c r="AE75" s="3921"/>
      <c r="AF75" s="3921"/>
      <c r="AG75" s="3921"/>
      <c r="AH75" s="3921"/>
      <c r="AI75" s="3921"/>
      <c r="AJ75" s="3921"/>
      <c r="AK75" s="3921"/>
      <c r="AL75" s="3921"/>
      <c r="AM75" s="3921"/>
      <c r="AN75" s="3921"/>
      <c r="AO75" s="3921"/>
      <c r="AP75" s="3921"/>
      <c r="AQ75" s="3921"/>
      <c r="AR75" s="3921"/>
      <c r="AS75" s="1937"/>
      <c r="AT75" s="1937"/>
      <c r="AU75" s="1937"/>
      <c r="AV75" s="1937"/>
      <c r="AW75" s="1937"/>
      <c r="AX75" s="1937"/>
    </row>
    <row r="76" spans="1:134" x14ac:dyDescent="0.25">
      <c r="A76" s="5797"/>
      <c r="B76" s="7105" t="s">
        <v>1860</v>
      </c>
      <c r="C76" s="6491" t="s">
        <v>77</v>
      </c>
      <c r="D76" s="6576"/>
      <c r="E76" s="7107" t="s">
        <v>29</v>
      </c>
      <c r="F76" s="7108"/>
      <c r="G76" s="7108"/>
      <c r="H76" s="7108"/>
      <c r="I76" s="7108"/>
      <c r="J76" s="7108"/>
      <c r="K76" s="7108"/>
      <c r="L76" s="7108"/>
      <c r="M76" s="7108"/>
      <c r="N76" s="7108"/>
      <c r="O76" s="7108"/>
      <c r="P76" s="7108"/>
      <c r="Q76" s="7108"/>
      <c r="R76" s="7108"/>
      <c r="S76" s="7108"/>
      <c r="T76" s="7108"/>
      <c r="U76" s="7108"/>
      <c r="V76" s="7108"/>
      <c r="W76" s="7108"/>
      <c r="X76" s="7108"/>
      <c r="Y76" s="7108"/>
      <c r="Z76" s="7108"/>
      <c r="AA76" s="7108"/>
      <c r="AB76" s="7108"/>
      <c r="AC76" s="7108"/>
      <c r="AD76" s="7108"/>
      <c r="AE76" s="7108"/>
      <c r="AF76" s="7108"/>
      <c r="AG76" s="7108"/>
      <c r="AH76" s="7108"/>
      <c r="AI76" s="7108"/>
      <c r="AJ76" s="7108"/>
      <c r="AK76" s="7108"/>
      <c r="AL76" s="7108"/>
      <c r="AM76" s="7108"/>
      <c r="AN76" s="7108"/>
      <c r="AO76" s="7108"/>
      <c r="AP76" s="7108"/>
      <c r="AQ76" s="7108"/>
      <c r="AR76" s="7109"/>
      <c r="AS76" s="7110" t="s">
        <v>1861</v>
      </c>
      <c r="AT76" s="7111"/>
      <c r="AU76" s="7112" t="s">
        <v>457</v>
      </c>
      <c r="AV76" s="7113"/>
      <c r="AW76" s="6492" t="s">
        <v>36</v>
      </c>
      <c r="AX76" s="6511" t="s">
        <v>37</v>
      </c>
    </row>
    <row r="77" spans="1:134" x14ac:dyDescent="0.25">
      <c r="A77" s="5797"/>
      <c r="B77" s="6023"/>
      <c r="C77" s="6749"/>
      <c r="D77" s="6913"/>
      <c r="E77" s="7116" t="s">
        <v>1862</v>
      </c>
      <c r="F77" s="7110"/>
      <c r="G77" s="7116" t="s">
        <v>935</v>
      </c>
      <c r="H77" s="7110"/>
      <c r="I77" s="7116" t="s">
        <v>1863</v>
      </c>
      <c r="J77" s="7117"/>
      <c r="K77" s="7110" t="s">
        <v>937</v>
      </c>
      <c r="L77" s="7110"/>
      <c r="M77" s="7116" t="s">
        <v>326</v>
      </c>
      <c r="N77" s="7110"/>
      <c r="O77" s="7116" t="s">
        <v>94</v>
      </c>
      <c r="P77" s="7110"/>
      <c r="Q77" s="7116" t="s">
        <v>44</v>
      </c>
      <c r="R77" s="7110"/>
      <c r="S77" s="7116" t="s">
        <v>45</v>
      </c>
      <c r="T77" s="7110"/>
      <c r="U77" s="7116" t="s">
        <v>46</v>
      </c>
      <c r="V77" s="7117"/>
      <c r="W77" s="7116" t="s">
        <v>47</v>
      </c>
      <c r="X77" s="7117"/>
      <c r="Y77" s="7116" t="s">
        <v>48</v>
      </c>
      <c r="Z77" s="7117"/>
      <c r="AA77" s="7116" t="s">
        <v>49</v>
      </c>
      <c r="AB77" s="7117"/>
      <c r="AC77" s="7116" t="s">
        <v>50</v>
      </c>
      <c r="AD77" s="7117"/>
      <c r="AE77" s="7116" t="s">
        <v>51</v>
      </c>
      <c r="AF77" s="7117"/>
      <c r="AG77" s="7116" t="s">
        <v>52</v>
      </c>
      <c r="AH77" s="7117"/>
      <c r="AI77" s="7116" t="s">
        <v>53</v>
      </c>
      <c r="AJ77" s="7117"/>
      <c r="AK77" s="7116" t="s">
        <v>54</v>
      </c>
      <c r="AL77" s="7117"/>
      <c r="AM77" s="7116" t="s">
        <v>55</v>
      </c>
      <c r="AN77" s="7117"/>
      <c r="AO77" s="7116" t="s">
        <v>56</v>
      </c>
      <c r="AP77" s="7117"/>
      <c r="AQ77" s="7116" t="s">
        <v>57</v>
      </c>
      <c r="AR77" s="7111"/>
      <c r="AS77" s="6492" t="s">
        <v>58</v>
      </c>
      <c r="AT77" s="7119" t="s">
        <v>59</v>
      </c>
      <c r="AU77" s="7114"/>
      <c r="AV77" s="7115"/>
      <c r="AW77" s="7118"/>
      <c r="AX77" s="6027"/>
    </row>
    <row r="78" spans="1:134" x14ac:dyDescent="0.25">
      <c r="A78" s="5797"/>
      <c r="B78" s="6739"/>
      <c r="C78" s="3897" t="s">
        <v>1864</v>
      </c>
      <c r="D78" s="3896" t="s">
        <v>1865</v>
      </c>
      <c r="E78" s="3894" t="s">
        <v>1864</v>
      </c>
      <c r="F78" s="3895" t="s">
        <v>1865</v>
      </c>
      <c r="G78" s="3894" t="s">
        <v>1864</v>
      </c>
      <c r="H78" s="3895" t="s">
        <v>1865</v>
      </c>
      <c r="I78" s="3894" t="s">
        <v>1864</v>
      </c>
      <c r="J78" s="3896" t="s">
        <v>1865</v>
      </c>
      <c r="K78" s="3897" t="s">
        <v>1864</v>
      </c>
      <c r="L78" s="3895" t="s">
        <v>1865</v>
      </c>
      <c r="M78" s="3894" t="s">
        <v>1864</v>
      </c>
      <c r="N78" s="3895" t="s">
        <v>1865</v>
      </c>
      <c r="O78" s="3894" t="s">
        <v>1864</v>
      </c>
      <c r="P78" s="3895" t="s">
        <v>1865</v>
      </c>
      <c r="Q78" s="3894" t="s">
        <v>1864</v>
      </c>
      <c r="R78" s="3895" t="s">
        <v>1865</v>
      </c>
      <c r="S78" s="3894" t="s">
        <v>1864</v>
      </c>
      <c r="T78" s="3895" t="s">
        <v>1865</v>
      </c>
      <c r="U78" s="3894" t="s">
        <v>1864</v>
      </c>
      <c r="V78" s="3895" t="s">
        <v>1865</v>
      </c>
      <c r="W78" s="3894" t="s">
        <v>1864</v>
      </c>
      <c r="X78" s="3895" t="s">
        <v>1865</v>
      </c>
      <c r="Y78" s="3894" t="s">
        <v>1864</v>
      </c>
      <c r="Z78" s="3895" t="s">
        <v>1865</v>
      </c>
      <c r="AA78" s="3894" t="s">
        <v>1864</v>
      </c>
      <c r="AB78" s="3895" t="s">
        <v>1865</v>
      </c>
      <c r="AC78" s="3894" t="s">
        <v>1864</v>
      </c>
      <c r="AD78" s="3895" t="s">
        <v>1865</v>
      </c>
      <c r="AE78" s="3894" t="s">
        <v>1864</v>
      </c>
      <c r="AF78" s="3895" t="s">
        <v>1865</v>
      </c>
      <c r="AG78" s="3894" t="s">
        <v>1864</v>
      </c>
      <c r="AH78" s="3895" t="s">
        <v>1865</v>
      </c>
      <c r="AI78" s="3894" t="s">
        <v>1864</v>
      </c>
      <c r="AJ78" s="3895" t="s">
        <v>1865</v>
      </c>
      <c r="AK78" s="3894" t="s">
        <v>1864</v>
      </c>
      <c r="AL78" s="3895" t="s">
        <v>1865</v>
      </c>
      <c r="AM78" s="3894" t="s">
        <v>1864</v>
      </c>
      <c r="AN78" s="3895" t="s">
        <v>1865</v>
      </c>
      <c r="AO78" s="3894" t="s">
        <v>1864</v>
      </c>
      <c r="AP78" s="3895" t="s">
        <v>1865</v>
      </c>
      <c r="AQ78" s="3894" t="s">
        <v>1864</v>
      </c>
      <c r="AR78" s="3898" t="s">
        <v>1865</v>
      </c>
      <c r="AS78" s="6894"/>
      <c r="AT78" s="6224"/>
      <c r="AU78" s="1750" t="s">
        <v>462</v>
      </c>
      <c r="AV78" s="1797" t="s">
        <v>463</v>
      </c>
      <c r="AW78" s="6894"/>
      <c r="AX78" s="6955"/>
    </row>
    <row r="79" spans="1:134" x14ac:dyDescent="0.25">
      <c r="A79" s="5601">
        <v>11056418</v>
      </c>
      <c r="B79" s="909" t="s">
        <v>1866</v>
      </c>
      <c r="C79" s="3225" t="s">
        <v>4567</v>
      </c>
      <c r="D79" s="3900" t="s">
        <v>4568</v>
      </c>
      <c r="E79" s="3918" t="s">
        <v>4569</v>
      </c>
      <c r="F79" s="3910" t="s">
        <v>4570</v>
      </c>
      <c r="G79" s="3909" t="s">
        <v>4571</v>
      </c>
      <c r="H79" s="3910" t="s">
        <v>4572</v>
      </c>
      <c r="I79" s="3909" t="s">
        <v>4573</v>
      </c>
      <c r="J79" s="3910" t="s">
        <v>4574</v>
      </c>
      <c r="K79" s="3909" t="s">
        <v>4575</v>
      </c>
      <c r="L79" s="3910" t="s">
        <v>4576</v>
      </c>
      <c r="M79" s="3909" t="s">
        <v>4577</v>
      </c>
      <c r="N79" s="3911" t="s">
        <v>4578</v>
      </c>
      <c r="O79" s="3904" t="s">
        <v>4579</v>
      </c>
      <c r="P79" s="3912" t="s">
        <v>4580</v>
      </c>
      <c r="Q79" s="3913" t="s">
        <v>4581</v>
      </c>
      <c r="R79" s="3912" t="s">
        <v>4582</v>
      </c>
      <c r="S79" s="3913" t="s">
        <v>4583</v>
      </c>
      <c r="T79" s="3912" t="s">
        <v>4584</v>
      </c>
      <c r="U79" s="3913" t="s">
        <v>4585</v>
      </c>
      <c r="V79" s="3912" t="s">
        <v>4586</v>
      </c>
      <c r="W79" s="3913" t="s">
        <v>4587</v>
      </c>
      <c r="X79" s="3912" t="s">
        <v>4588</v>
      </c>
      <c r="Y79" s="3913" t="s">
        <v>4589</v>
      </c>
      <c r="Z79" s="3912" t="s">
        <v>4590</v>
      </c>
      <c r="AA79" s="3913" t="s">
        <v>4591</v>
      </c>
      <c r="AB79" s="3912" t="s">
        <v>4592</v>
      </c>
      <c r="AC79" s="3913" t="s">
        <v>4593</v>
      </c>
      <c r="AD79" s="3912" t="s">
        <v>4594</v>
      </c>
      <c r="AE79" s="3913" t="s">
        <v>4595</v>
      </c>
      <c r="AF79" s="3912" t="s">
        <v>4596</v>
      </c>
      <c r="AG79" s="3913" t="s">
        <v>4597</v>
      </c>
      <c r="AH79" s="3912" t="s">
        <v>4598</v>
      </c>
      <c r="AI79" s="3913" t="s">
        <v>4599</v>
      </c>
      <c r="AJ79" s="3912" t="s">
        <v>4600</v>
      </c>
      <c r="AK79" s="3913" t="s">
        <v>4601</v>
      </c>
      <c r="AL79" s="3912" t="s">
        <v>4602</v>
      </c>
      <c r="AM79" s="3913" t="s">
        <v>4603</v>
      </c>
      <c r="AN79" s="3912" t="s">
        <v>4604</v>
      </c>
      <c r="AO79" s="3913" t="s">
        <v>4605</v>
      </c>
      <c r="AP79" s="3912" t="s">
        <v>4606</v>
      </c>
      <c r="AQ79" s="3913" t="s">
        <v>4934</v>
      </c>
      <c r="AR79" s="3902" t="s">
        <v>4935</v>
      </c>
      <c r="AS79" s="3901" t="s">
        <v>4936</v>
      </c>
      <c r="AT79" s="3902" t="s">
        <v>4937</v>
      </c>
      <c r="AU79" s="3903" t="s">
        <v>5234</v>
      </c>
      <c r="AV79" s="3902" t="s">
        <v>5235</v>
      </c>
      <c r="AW79" s="3904" t="s">
        <v>5236</v>
      </c>
      <c r="AX79" s="3905" t="s">
        <v>5237</v>
      </c>
      <c r="AY79" s="1864" t="e">
        <f t="shared" ref="AY79:AY86" si="200">$CB79&amp;CC79&amp;CD79&amp;$CE79&amp;CK79&amp;CL79&amp;CM79&amp;CN79&amp;CO79&amp;CP79&amp;CQ79&amp;CR79&amp;CS79&amp;CT79&amp;CU79&amp;CV79&amp;CW79&amp;CX79&amp;CY79</f>
        <v>#VALUE!</v>
      </c>
      <c r="CB79" s="1865" t="str">
        <f>IF(C79&lt;&gt;(AT79)," * La suma de las columnas "&amp;AS$10&amp;""&amp;" DEBE SER IGUAL a los Exámenes Procesados. ","")</f>
        <v xml:space="preserve"> * La suma de las columnas POR SEXO (Procesados) DEBE SER IGUAL a los Exámenes Procesados. </v>
      </c>
      <c r="CC79" s="1865" t="e">
        <f t="shared" ref="CC79:CC96" si="201">IF(AND($C79&gt;0,AND(AU79="",AV79="")),"* No olvide ingresar las columnas Trans Masculino o Femenino (*Digite CERO si no tiene). ",IF((AU79+AV79)&gt;$C79,"* El Número de Trans Masculino o Femenino no puede superar el Total Procesados. ",""))</f>
        <v>#VALUE!</v>
      </c>
      <c r="CD79" s="1865" t="str">
        <f t="shared" ref="CD79:CD96" si="202">IF(AND($C79&gt;0,AW79=""),"* No olvide ingresar la columna "&amp;AW$10&amp;""&amp;" *(Digite CERO si no tiene). ",IF(AW79&gt;$C79," *El Número de "&amp;AW$10&amp;""&amp;" no puede superar el Total Procesados. ",""))</f>
        <v xml:space="preserve"> *El Número de Pueblos Originarios no puede superar el Total Procesados. </v>
      </c>
      <c r="CE79" s="1865" t="str">
        <f t="shared" ref="CE79:CE96" si="203">IF(AND($C79&gt;0,AX79=""),"* No olvide ingresar la columna "&amp;AX$10&amp;""&amp;" *(Digite CERO si no tiene). ",IF(AX79&gt;$C79," *El Número de "&amp;AX$10&amp;""&amp;" no puede superar el Total Procesados. ",""))</f>
        <v xml:space="preserve"> *El Número de Migrantes no puede superar el Total Procesados. </v>
      </c>
      <c r="CF79" s="1866"/>
      <c r="CG79" s="1866"/>
      <c r="CH79" s="1866"/>
      <c r="CI79" s="1866"/>
      <c r="CJ79" s="1866"/>
      <c r="CK79" s="1865" t="str">
        <f t="shared" ref="CK79:CK87" si="204">IF(O79&lt;P79,CONCATENATE("* El total de Procesados debe ser mayor o igual al total de Reactivos en el grupo de edad ",$O$11),"")</f>
        <v>* El total de Procesados debe ser mayor o igual al total de Reactivos en el grupo de edad 10 - 14 años</v>
      </c>
      <c r="CL79" s="1865" t="str">
        <f t="shared" ref="CL79:CL87" si="205">IF(Q79&lt;R79,CONCATENATE("* El total de Procesados debe ser mayor o igual al total de Reactivos en el grupo de edad ",$Q$11),"")</f>
        <v>* El total de Procesados debe ser mayor o igual al total de Reactivos en el grupo de edad 15 - 19 años</v>
      </c>
      <c r="CM79" s="1865" t="str">
        <f t="shared" ref="CM79:CM87" si="206">IF(S79&lt;T79,CONCATENATE("* El total de Procesados debe ser mayor o igual al total de Reactivos en el grupo de edad ",$S$11),"")</f>
        <v>* El total de Procesados debe ser mayor o igual al total de Reactivos en el grupo de edad 20 - 24 años</v>
      </c>
      <c r="CN79" s="1865" t="str">
        <f>IF($U79&lt;$V79,CONCATENATE("* El total de Procesados debe ser mayor o igual al total de Reactivos en el grupo de edad ",$U$11),"")</f>
        <v>* El total de Procesados debe ser mayor o igual al total de Reactivos en el grupo de edad 25 - 29 años</v>
      </c>
      <c r="CO79" s="1865" t="str">
        <f t="shared" ref="CO79:CO87" si="207">IF(W79&lt;X79,CONCATENATE("* El total de Procesados debe ser mayor o igual al total de Reactivos en el grupo de edad ",$W$11),"")</f>
        <v>* El total de Procesados debe ser mayor o igual al total de Reactivos en el grupo de edad 30 - 34 años</v>
      </c>
      <c r="CP79" s="1865" t="str">
        <f t="shared" ref="CP79:CP87" si="208">IF(Y79&lt;Z79,CONCATENATE("* El total de Procesados debe ser mayor o igual al total de Reactivos en el grupo de edad ",$Y$11),"")</f>
        <v>* El total de Procesados debe ser mayor o igual al total de Reactivos en el grupo de edad 35 - 39 años</v>
      </c>
      <c r="CQ79" s="1865" t="str">
        <f t="shared" ref="CQ79:CQ87" si="209">IF(AA79&lt;AB79,CONCATENATE("* El total de Procesados debe ser mayor o igual al total de Reactivos en el grupo de edad ",$AA$11),"")</f>
        <v>* El total de Procesados debe ser mayor o igual al total de Reactivos en el grupo de edad 40 - 44 años</v>
      </c>
      <c r="CR79" s="1865" t="str">
        <f t="shared" ref="CR79:CR87" si="210">IF(AC79&lt;AD79,CONCATENATE("* El total de Procesados debe ser mayor o igual al total de Reactivos en el grupo de edad ",$AC$11),"")</f>
        <v>* El total de Procesados debe ser mayor o igual al total de Reactivos en el grupo de edad 45 - 49 años</v>
      </c>
      <c r="CS79" s="1865" t="str">
        <f t="shared" ref="CS79:CS87" si="211">IF(AE79&lt;AF79,CONCATENATE("* El total de Procesados debe ser mayor o igual al total de Reactivos en el grupo de edad ",$AE$11),"")</f>
        <v>* El total de Procesados debe ser mayor o igual al total de Reactivos en el grupo de edad 50 - 54 años</v>
      </c>
      <c r="CT79" s="1865" t="str">
        <f t="shared" ref="CT79:CT87" si="212">IF(AG79&lt;AH79,CONCATENATE("* El total de Procesados debe ser mayor o igual al total de Reactivos en el grupo de edad ",$AG$11),"")</f>
        <v>* El total de Procesados debe ser mayor o igual al total de Reactivos en el grupo de edad 55 - 59 años</v>
      </c>
      <c r="CU79" s="1865" t="str">
        <f t="shared" ref="CU79:CU87" si="213">IF(AI79&lt;AJ79,CONCATENATE("* El total de Procesados debe ser mayor o igual al total de Reactivos en el grupo de edad ",$AI$11),"")</f>
        <v>* El total de Procesados debe ser mayor o igual al total de Reactivos en el grupo de edad 60 - 64 años</v>
      </c>
      <c r="CV79" s="1865" t="str">
        <f t="shared" ref="CV79:CV87" si="214">IF(AK79&lt;AL79,CONCATENATE("* El total de Procesados debe ser mayor o igual al total de Reactivos en el grupo de edad ",$AK$11),"")</f>
        <v>* El total de Procesados debe ser mayor o igual al total de Reactivos en el grupo de edad 65 - 69 años</v>
      </c>
      <c r="CW79" s="1865" t="str">
        <f t="shared" ref="CW79:CW87" si="215">IF(AM79&lt;AN79,CONCATENATE("* El total de Procesados debe ser mayor o igual al total de Reactivos en el grupo de edad ",$AM$11),"")</f>
        <v>* El total de Procesados debe ser mayor o igual al total de Reactivos en el grupo de edad 70 - 74 años</v>
      </c>
      <c r="CX79" s="1865" t="str">
        <f t="shared" ref="CX79:CX87" si="216">IF(AO79&lt;AP79,CONCATENATE("* El total de Procesados debe ser mayor o igual al total de Reactivos en el grupo de edad ",$AO$11),"")</f>
        <v>* El total de Procesados debe ser mayor o igual al total de Reactivos en el grupo de edad 75 - 79 años</v>
      </c>
      <c r="CY79" s="1865" t="str">
        <f t="shared" ref="CY79:CY87" si="217">IF(AQ79&lt;AR79,CONCATENATE("* El total de Procesados debe ser mayor o igual al total de Reactivos en el grupo de edad ",$AQ$11),"")</f>
        <v>* El total de Procesados debe ser mayor o igual al total de Reactivos en el grupo de edad 80 y más años</v>
      </c>
      <c r="DF79" s="1936"/>
      <c r="DG79" s="3922">
        <f>IF(C79&lt;&gt;(AT79),1,0)</f>
        <v>1</v>
      </c>
      <c r="DH79" s="3906" t="e">
        <f t="shared" ref="DH79:DH96" si="218">IF(AND($C79&gt;0,AND(AU79="",AV79="")),1,IF((AU79+AV79)&gt;$C79,1,0))</f>
        <v>#VALUE!</v>
      </c>
      <c r="DI79" s="3906">
        <f t="shared" ref="DI79:DI96" si="219">IF(AND($C79&gt;0,AW79=""),1,IF(AW79&gt;$C79,1,0))</f>
        <v>1</v>
      </c>
      <c r="DJ79" s="3906">
        <f t="shared" ref="DJ79:DJ96" si="220">IF(AND($C79&gt;0,AX79=""),1,IF(AX79&gt;$C79,1,0))</f>
        <v>1</v>
      </c>
      <c r="DK79" s="1866"/>
      <c r="DL79" s="1866"/>
      <c r="DM79" s="1866"/>
      <c r="DN79" s="1866"/>
      <c r="DO79" s="1866"/>
      <c r="DP79" s="3906">
        <f t="shared" ref="DP79:DP87" si="221">IF(O79&lt;P79,1,0)</f>
        <v>1</v>
      </c>
      <c r="DQ79" s="3906">
        <f t="shared" ref="DQ79:DQ87" si="222">IF(Q79&lt;R79,1,0)</f>
        <v>1</v>
      </c>
      <c r="DR79" s="3906">
        <f t="shared" ref="DR79:DR87" si="223">IF(S79&lt;T79,1,0)</f>
        <v>1</v>
      </c>
      <c r="DS79" s="3906">
        <f>IF($U79&lt;$V79,1,0)</f>
        <v>1</v>
      </c>
      <c r="DT79" s="3906">
        <f t="shared" ref="DT79:DT87" si="224">IF(W79&lt;X79,1,0)</f>
        <v>1</v>
      </c>
      <c r="DU79" s="3906">
        <f t="shared" ref="DU79:DU87" si="225">IF(Y79&lt;Z79,1,0)</f>
        <v>1</v>
      </c>
      <c r="DV79" s="3906">
        <f t="shared" ref="DV79:DV87" si="226">IF(AA79&lt;AB79,1,0)</f>
        <v>1</v>
      </c>
      <c r="DW79" s="3906">
        <f>IF(AC79&lt;AD79,1,0)</f>
        <v>1</v>
      </c>
      <c r="DX79" s="3906">
        <f t="shared" ref="DX79:DX87" si="227">IF(AE79&lt;AF79,1,0)</f>
        <v>1</v>
      </c>
      <c r="DY79" s="3906">
        <f t="shared" ref="DY79:DY87" si="228">IF(AG79&lt;AH79,1,0)</f>
        <v>1</v>
      </c>
      <c r="DZ79" s="3906">
        <f t="shared" ref="DZ79:DZ87" si="229">IF(AI79&lt;AJ79,1,0)</f>
        <v>1</v>
      </c>
      <c r="EA79" s="3906">
        <f t="shared" ref="EA79:EA87" si="230">IF(AK79&lt;AL79,1,0)</f>
        <v>1</v>
      </c>
      <c r="EB79" s="3906">
        <f t="shared" ref="EB79:EB87" si="231">IF(AM79&lt;AN79,1,0)</f>
        <v>1</v>
      </c>
      <c r="EC79" s="3906">
        <f t="shared" ref="EC79:EC87" si="232">IF(AO79&lt;AP79,1,0)</f>
        <v>1</v>
      </c>
      <c r="ED79" s="3906">
        <f t="shared" ref="ED79:ED87" si="233">IF(AQ79&lt;AR79,1,0)</f>
        <v>1</v>
      </c>
    </row>
    <row r="80" spans="1:134" x14ac:dyDescent="0.25">
      <c r="A80" s="5601">
        <v>11056419</v>
      </c>
      <c r="B80" s="3923" t="s">
        <v>1867</v>
      </c>
      <c r="C80" s="3908" t="s">
        <v>4567</v>
      </c>
      <c r="D80" s="344" t="s">
        <v>4568</v>
      </c>
      <c r="E80" s="3918" t="s">
        <v>4569</v>
      </c>
      <c r="F80" s="3910" t="s">
        <v>4570</v>
      </c>
      <c r="G80" s="3909" t="s">
        <v>4571</v>
      </c>
      <c r="H80" s="3910" t="s">
        <v>4572</v>
      </c>
      <c r="I80" s="3909" t="s">
        <v>4573</v>
      </c>
      <c r="J80" s="3910" t="s">
        <v>4574</v>
      </c>
      <c r="K80" s="3909" t="s">
        <v>4575</v>
      </c>
      <c r="L80" s="3910" t="s">
        <v>4576</v>
      </c>
      <c r="M80" s="3909" t="s">
        <v>4577</v>
      </c>
      <c r="N80" s="3911" t="s">
        <v>4578</v>
      </c>
      <c r="O80" s="3904" t="s">
        <v>4579</v>
      </c>
      <c r="P80" s="3912" t="s">
        <v>4580</v>
      </c>
      <c r="Q80" s="3913" t="s">
        <v>4581</v>
      </c>
      <c r="R80" s="3912" t="s">
        <v>4582</v>
      </c>
      <c r="S80" s="3913" t="s">
        <v>4583</v>
      </c>
      <c r="T80" s="3912" t="s">
        <v>4584</v>
      </c>
      <c r="U80" s="3913" t="s">
        <v>4585</v>
      </c>
      <c r="V80" s="3912" t="s">
        <v>4586</v>
      </c>
      <c r="W80" s="3913" t="s">
        <v>4587</v>
      </c>
      <c r="X80" s="3912" t="s">
        <v>4588</v>
      </c>
      <c r="Y80" s="3913" t="s">
        <v>4589</v>
      </c>
      <c r="Z80" s="3912" t="s">
        <v>4590</v>
      </c>
      <c r="AA80" s="3913" t="s">
        <v>4591</v>
      </c>
      <c r="AB80" s="3912" t="s">
        <v>4592</v>
      </c>
      <c r="AC80" s="3913" t="s">
        <v>4593</v>
      </c>
      <c r="AD80" s="3912" t="s">
        <v>4594</v>
      </c>
      <c r="AE80" s="3913" t="s">
        <v>4595</v>
      </c>
      <c r="AF80" s="3912" t="s">
        <v>4596</v>
      </c>
      <c r="AG80" s="3913" t="s">
        <v>4597</v>
      </c>
      <c r="AH80" s="3912" t="s">
        <v>4598</v>
      </c>
      <c r="AI80" s="3913" t="s">
        <v>4599</v>
      </c>
      <c r="AJ80" s="3912" t="s">
        <v>4600</v>
      </c>
      <c r="AK80" s="3913" t="s">
        <v>4601</v>
      </c>
      <c r="AL80" s="3912" t="s">
        <v>4602</v>
      </c>
      <c r="AM80" s="3913" t="s">
        <v>4603</v>
      </c>
      <c r="AN80" s="3912" t="s">
        <v>4604</v>
      </c>
      <c r="AO80" s="3913" t="s">
        <v>4605</v>
      </c>
      <c r="AP80" s="3912" t="s">
        <v>4606</v>
      </c>
      <c r="AQ80" s="3913" t="s">
        <v>4934</v>
      </c>
      <c r="AR80" s="3902" t="s">
        <v>4935</v>
      </c>
      <c r="AS80" s="3901" t="s">
        <v>4936</v>
      </c>
      <c r="AT80" s="3902" t="s">
        <v>4937</v>
      </c>
      <c r="AU80" s="3903" t="s">
        <v>5234</v>
      </c>
      <c r="AV80" s="3902" t="s">
        <v>5235</v>
      </c>
      <c r="AW80" s="3904" t="s">
        <v>5236</v>
      </c>
      <c r="AX80" s="3905" t="s">
        <v>5237</v>
      </c>
      <c r="AY80" s="1864" t="e">
        <f t="shared" si="200"/>
        <v>#VALUE!</v>
      </c>
      <c r="CB80" s="1865" t="str">
        <f>IF(C80&lt;&gt;(AT80)," * La suma de las columnas "&amp;AS$10&amp;""&amp;" DEBE SER IGUAL a los Exámenes Procesados. ","")</f>
        <v xml:space="preserve"> * La suma de las columnas POR SEXO (Procesados) DEBE SER IGUAL a los Exámenes Procesados. </v>
      </c>
      <c r="CC80" s="1865" t="e">
        <f t="shared" si="201"/>
        <v>#VALUE!</v>
      </c>
      <c r="CD80" s="1865" t="str">
        <f t="shared" si="202"/>
        <v xml:space="preserve"> *El Número de Pueblos Originarios no puede superar el Total Procesados. </v>
      </c>
      <c r="CE80" s="1865" t="str">
        <f t="shared" si="203"/>
        <v xml:space="preserve"> *El Número de Migrantes no puede superar el Total Procesados. </v>
      </c>
      <c r="CF80" s="1866"/>
      <c r="CG80" s="1866"/>
      <c r="CH80" s="1866"/>
      <c r="CI80" s="1866"/>
      <c r="CJ80" s="1866"/>
      <c r="CK80" s="1865" t="str">
        <f t="shared" si="204"/>
        <v>* El total de Procesados debe ser mayor o igual al total de Reactivos en el grupo de edad 10 - 14 años</v>
      </c>
      <c r="CL80" s="1865" t="str">
        <f t="shared" si="205"/>
        <v>* El total de Procesados debe ser mayor o igual al total de Reactivos en el grupo de edad 15 - 19 años</v>
      </c>
      <c r="CM80" s="1865" t="str">
        <f t="shared" si="206"/>
        <v>* El total de Procesados debe ser mayor o igual al total de Reactivos en el grupo de edad 20 - 24 años</v>
      </c>
      <c r="CN80" s="1865" t="str">
        <f t="shared" ref="CN80:CN96" si="234">IF($U80&lt;$V80,CONCATENATE("* El total de Procesados debe ser mayor o igual al total de Reactivos en el grupo de edad ",$U$11),"")</f>
        <v>* El total de Procesados debe ser mayor o igual al total de Reactivos en el grupo de edad 25 - 29 años</v>
      </c>
      <c r="CO80" s="1865" t="str">
        <f t="shared" si="207"/>
        <v>* El total de Procesados debe ser mayor o igual al total de Reactivos en el grupo de edad 30 - 34 años</v>
      </c>
      <c r="CP80" s="1865" t="str">
        <f t="shared" si="208"/>
        <v>* El total de Procesados debe ser mayor o igual al total de Reactivos en el grupo de edad 35 - 39 años</v>
      </c>
      <c r="CQ80" s="1865" t="str">
        <f t="shared" si="209"/>
        <v>* El total de Procesados debe ser mayor o igual al total de Reactivos en el grupo de edad 40 - 44 años</v>
      </c>
      <c r="CR80" s="1865" t="str">
        <f t="shared" si="210"/>
        <v>* El total de Procesados debe ser mayor o igual al total de Reactivos en el grupo de edad 45 - 49 años</v>
      </c>
      <c r="CS80" s="1865" t="str">
        <f t="shared" si="211"/>
        <v>* El total de Procesados debe ser mayor o igual al total de Reactivos en el grupo de edad 50 - 54 años</v>
      </c>
      <c r="CT80" s="1865" t="str">
        <f t="shared" si="212"/>
        <v>* El total de Procesados debe ser mayor o igual al total de Reactivos en el grupo de edad 55 - 59 años</v>
      </c>
      <c r="CU80" s="1865" t="str">
        <f t="shared" si="213"/>
        <v>* El total de Procesados debe ser mayor o igual al total de Reactivos en el grupo de edad 60 - 64 años</v>
      </c>
      <c r="CV80" s="1865" t="str">
        <f t="shared" si="214"/>
        <v>* El total de Procesados debe ser mayor o igual al total de Reactivos en el grupo de edad 65 - 69 años</v>
      </c>
      <c r="CW80" s="1865" t="str">
        <f t="shared" si="215"/>
        <v>* El total de Procesados debe ser mayor o igual al total de Reactivos en el grupo de edad 70 - 74 años</v>
      </c>
      <c r="CX80" s="1865" t="str">
        <f t="shared" si="216"/>
        <v>* El total de Procesados debe ser mayor o igual al total de Reactivos en el grupo de edad 75 - 79 años</v>
      </c>
      <c r="CY80" s="1865" t="str">
        <f t="shared" si="217"/>
        <v>* El total de Procesados debe ser mayor o igual al total de Reactivos en el grupo de edad 80 y más años</v>
      </c>
      <c r="DF80" s="1936"/>
      <c r="DG80" s="3922">
        <f>IF(C80&lt;&gt;(AT80),1,0)</f>
        <v>1</v>
      </c>
      <c r="DH80" s="3906" t="e">
        <f t="shared" si="218"/>
        <v>#VALUE!</v>
      </c>
      <c r="DI80" s="3906">
        <f t="shared" si="219"/>
        <v>1</v>
      </c>
      <c r="DJ80" s="3906">
        <f t="shared" si="220"/>
        <v>1</v>
      </c>
      <c r="DK80" s="1866"/>
      <c r="DL80" s="1866"/>
      <c r="DM80" s="1866"/>
      <c r="DN80" s="1866"/>
      <c r="DO80" s="1866"/>
      <c r="DP80" s="3906">
        <f t="shared" si="221"/>
        <v>1</v>
      </c>
      <c r="DQ80" s="3906">
        <f t="shared" si="222"/>
        <v>1</v>
      </c>
      <c r="DR80" s="3906">
        <f t="shared" si="223"/>
        <v>1</v>
      </c>
      <c r="DS80" s="3906">
        <f t="shared" ref="DS80:DS96" si="235">IF($U80&lt;$V80,1,0)</f>
        <v>1</v>
      </c>
      <c r="DT80" s="3906">
        <f t="shared" si="224"/>
        <v>1</v>
      </c>
      <c r="DU80" s="3906">
        <f t="shared" si="225"/>
        <v>1</v>
      </c>
      <c r="DV80" s="3906">
        <f t="shared" si="226"/>
        <v>1</v>
      </c>
      <c r="DW80" s="3906">
        <f t="shared" ref="DW80:DW96" si="236">IF(AC80&lt;AD80,1,0)</f>
        <v>1</v>
      </c>
      <c r="DX80" s="3906">
        <f t="shared" si="227"/>
        <v>1</v>
      </c>
      <c r="DY80" s="3906">
        <f t="shared" si="228"/>
        <v>1</v>
      </c>
      <c r="DZ80" s="3906">
        <f t="shared" si="229"/>
        <v>1</v>
      </c>
      <c r="EA80" s="3906">
        <f t="shared" si="230"/>
        <v>1</v>
      </c>
      <c r="EB80" s="3906">
        <f t="shared" si="231"/>
        <v>1</v>
      </c>
      <c r="EC80" s="3906">
        <f t="shared" si="232"/>
        <v>1</v>
      </c>
      <c r="ED80" s="3906">
        <f t="shared" si="233"/>
        <v>1</v>
      </c>
    </row>
    <row r="81" spans="1:134" x14ac:dyDescent="0.25">
      <c r="A81" s="5601">
        <v>11056420</v>
      </c>
      <c r="B81" s="3923" t="s">
        <v>1868</v>
      </c>
      <c r="C81" s="3908" t="s">
        <v>4567</v>
      </c>
      <c r="D81" s="344" t="s">
        <v>4568</v>
      </c>
      <c r="E81" s="3918" t="s">
        <v>4569</v>
      </c>
      <c r="F81" s="3910" t="s">
        <v>4570</v>
      </c>
      <c r="G81" s="3909" t="s">
        <v>4571</v>
      </c>
      <c r="H81" s="3910" t="s">
        <v>4572</v>
      </c>
      <c r="I81" s="3909" t="s">
        <v>4573</v>
      </c>
      <c r="J81" s="3910" t="s">
        <v>4574</v>
      </c>
      <c r="K81" s="3909" t="s">
        <v>4575</v>
      </c>
      <c r="L81" s="3910" t="s">
        <v>4576</v>
      </c>
      <c r="M81" s="3909" t="s">
        <v>4577</v>
      </c>
      <c r="N81" s="3911" t="s">
        <v>4578</v>
      </c>
      <c r="O81" s="3904" t="s">
        <v>4579</v>
      </c>
      <c r="P81" s="3912" t="s">
        <v>4580</v>
      </c>
      <c r="Q81" s="3913" t="s">
        <v>4581</v>
      </c>
      <c r="R81" s="3912" t="s">
        <v>4582</v>
      </c>
      <c r="S81" s="3913" t="s">
        <v>4583</v>
      </c>
      <c r="T81" s="3912" t="s">
        <v>4584</v>
      </c>
      <c r="U81" s="3913" t="s">
        <v>4585</v>
      </c>
      <c r="V81" s="3912" t="s">
        <v>4586</v>
      </c>
      <c r="W81" s="3913" t="s">
        <v>4587</v>
      </c>
      <c r="X81" s="3912" t="s">
        <v>4588</v>
      </c>
      <c r="Y81" s="3913" t="s">
        <v>4589</v>
      </c>
      <c r="Z81" s="3912" t="s">
        <v>4590</v>
      </c>
      <c r="AA81" s="3913" t="s">
        <v>4591</v>
      </c>
      <c r="AB81" s="3912" t="s">
        <v>4592</v>
      </c>
      <c r="AC81" s="3913" t="s">
        <v>4593</v>
      </c>
      <c r="AD81" s="3912" t="s">
        <v>4594</v>
      </c>
      <c r="AE81" s="3913" t="s">
        <v>4595</v>
      </c>
      <c r="AF81" s="3912" t="s">
        <v>4596</v>
      </c>
      <c r="AG81" s="3913" t="s">
        <v>4597</v>
      </c>
      <c r="AH81" s="3912" t="s">
        <v>4598</v>
      </c>
      <c r="AI81" s="3913" t="s">
        <v>4599</v>
      </c>
      <c r="AJ81" s="3912" t="s">
        <v>4600</v>
      </c>
      <c r="AK81" s="3913" t="s">
        <v>4601</v>
      </c>
      <c r="AL81" s="3912" t="s">
        <v>4602</v>
      </c>
      <c r="AM81" s="3913" t="s">
        <v>4603</v>
      </c>
      <c r="AN81" s="3912" t="s">
        <v>4604</v>
      </c>
      <c r="AO81" s="3913" t="s">
        <v>4605</v>
      </c>
      <c r="AP81" s="3912" t="s">
        <v>4606</v>
      </c>
      <c r="AQ81" s="3913" t="s">
        <v>4934</v>
      </c>
      <c r="AR81" s="3902" t="s">
        <v>4935</v>
      </c>
      <c r="AS81" s="3901" t="s">
        <v>4936</v>
      </c>
      <c r="AT81" s="3902" t="s">
        <v>4937</v>
      </c>
      <c r="AU81" s="3903" t="s">
        <v>5234</v>
      </c>
      <c r="AV81" s="3902" t="s">
        <v>5235</v>
      </c>
      <c r="AW81" s="3904" t="s">
        <v>5236</v>
      </c>
      <c r="AX81" s="3905" t="s">
        <v>5237</v>
      </c>
      <c r="AY81" s="1864" t="e">
        <f t="shared" si="200"/>
        <v>#VALUE!</v>
      </c>
      <c r="CB81" s="1865" t="str">
        <f>IF(C81&lt;&gt;(AT81)," * La suma de las columnas "&amp;AS$10&amp;""&amp;" DEBE SER IGUAL a los Exámenes Procesados. ","")</f>
        <v xml:space="preserve"> * La suma de las columnas POR SEXO (Procesados) DEBE SER IGUAL a los Exámenes Procesados. </v>
      </c>
      <c r="CC81" s="1865" t="e">
        <f t="shared" si="201"/>
        <v>#VALUE!</v>
      </c>
      <c r="CD81" s="1865" t="str">
        <f t="shared" si="202"/>
        <v xml:space="preserve"> *El Número de Pueblos Originarios no puede superar el Total Procesados. </v>
      </c>
      <c r="CE81" s="1865" t="str">
        <f t="shared" si="203"/>
        <v xml:space="preserve"> *El Número de Migrantes no puede superar el Total Procesados. </v>
      </c>
      <c r="CF81" s="1866"/>
      <c r="CG81" s="1866"/>
      <c r="CH81" s="1866"/>
      <c r="CI81" s="1866"/>
      <c r="CJ81" s="1866"/>
      <c r="CK81" s="1865" t="str">
        <f t="shared" si="204"/>
        <v>* El total de Procesados debe ser mayor o igual al total de Reactivos en el grupo de edad 10 - 14 años</v>
      </c>
      <c r="CL81" s="1865" t="str">
        <f t="shared" si="205"/>
        <v>* El total de Procesados debe ser mayor o igual al total de Reactivos en el grupo de edad 15 - 19 años</v>
      </c>
      <c r="CM81" s="1865" t="str">
        <f t="shared" si="206"/>
        <v>* El total de Procesados debe ser mayor o igual al total de Reactivos en el grupo de edad 20 - 24 años</v>
      </c>
      <c r="CN81" s="1865" t="str">
        <f t="shared" si="234"/>
        <v>* El total de Procesados debe ser mayor o igual al total de Reactivos en el grupo de edad 25 - 29 años</v>
      </c>
      <c r="CO81" s="1865" t="str">
        <f t="shared" si="207"/>
        <v>* El total de Procesados debe ser mayor o igual al total de Reactivos en el grupo de edad 30 - 34 años</v>
      </c>
      <c r="CP81" s="1865" t="str">
        <f t="shared" si="208"/>
        <v>* El total de Procesados debe ser mayor o igual al total de Reactivos en el grupo de edad 35 - 39 años</v>
      </c>
      <c r="CQ81" s="1865" t="str">
        <f t="shared" si="209"/>
        <v>* El total de Procesados debe ser mayor o igual al total de Reactivos en el grupo de edad 40 - 44 años</v>
      </c>
      <c r="CR81" s="1865" t="str">
        <f t="shared" si="210"/>
        <v>* El total de Procesados debe ser mayor o igual al total de Reactivos en el grupo de edad 45 - 49 años</v>
      </c>
      <c r="CS81" s="1865" t="str">
        <f t="shared" si="211"/>
        <v>* El total de Procesados debe ser mayor o igual al total de Reactivos en el grupo de edad 50 - 54 años</v>
      </c>
      <c r="CT81" s="1865" t="str">
        <f t="shared" si="212"/>
        <v>* El total de Procesados debe ser mayor o igual al total de Reactivos en el grupo de edad 55 - 59 años</v>
      </c>
      <c r="CU81" s="1865" t="str">
        <f t="shared" si="213"/>
        <v>* El total de Procesados debe ser mayor o igual al total de Reactivos en el grupo de edad 60 - 64 años</v>
      </c>
      <c r="CV81" s="1865" t="str">
        <f t="shared" si="214"/>
        <v>* El total de Procesados debe ser mayor o igual al total de Reactivos en el grupo de edad 65 - 69 años</v>
      </c>
      <c r="CW81" s="1865" t="str">
        <f t="shared" si="215"/>
        <v>* El total de Procesados debe ser mayor o igual al total de Reactivos en el grupo de edad 70 - 74 años</v>
      </c>
      <c r="CX81" s="1865" t="str">
        <f t="shared" si="216"/>
        <v>* El total de Procesados debe ser mayor o igual al total de Reactivos en el grupo de edad 75 - 79 años</v>
      </c>
      <c r="CY81" s="1865" t="str">
        <f t="shared" si="217"/>
        <v>* El total de Procesados debe ser mayor o igual al total de Reactivos en el grupo de edad 80 y más años</v>
      </c>
      <c r="DF81" s="1936"/>
      <c r="DG81" s="3922">
        <f>IF(C81&lt;&gt;(AT81),1,0)</f>
        <v>1</v>
      </c>
      <c r="DH81" s="3906" t="e">
        <f t="shared" si="218"/>
        <v>#VALUE!</v>
      </c>
      <c r="DI81" s="3906">
        <f t="shared" si="219"/>
        <v>1</v>
      </c>
      <c r="DJ81" s="3906">
        <f t="shared" si="220"/>
        <v>1</v>
      </c>
      <c r="DK81" s="1866"/>
      <c r="DL81" s="1866"/>
      <c r="DM81" s="1866"/>
      <c r="DN81" s="1866"/>
      <c r="DO81" s="1866"/>
      <c r="DP81" s="3906">
        <f t="shared" si="221"/>
        <v>1</v>
      </c>
      <c r="DQ81" s="3906">
        <f t="shared" si="222"/>
        <v>1</v>
      </c>
      <c r="DR81" s="3906">
        <f t="shared" si="223"/>
        <v>1</v>
      </c>
      <c r="DS81" s="3906">
        <f t="shared" si="235"/>
        <v>1</v>
      </c>
      <c r="DT81" s="3906">
        <f t="shared" si="224"/>
        <v>1</v>
      </c>
      <c r="DU81" s="3906">
        <f t="shared" si="225"/>
        <v>1</v>
      </c>
      <c r="DV81" s="3906">
        <f t="shared" si="226"/>
        <v>1</v>
      </c>
      <c r="DW81" s="3906">
        <f t="shared" si="236"/>
        <v>1</v>
      </c>
      <c r="DX81" s="3906">
        <f t="shared" si="227"/>
        <v>1</v>
      </c>
      <c r="DY81" s="3906">
        <f t="shared" si="228"/>
        <v>1</v>
      </c>
      <c r="DZ81" s="3906">
        <f t="shared" si="229"/>
        <v>1</v>
      </c>
      <c r="EA81" s="3906">
        <f t="shared" si="230"/>
        <v>1</v>
      </c>
      <c r="EB81" s="3906">
        <f t="shared" si="231"/>
        <v>1</v>
      </c>
      <c r="EC81" s="3906">
        <f t="shared" si="232"/>
        <v>1</v>
      </c>
      <c r="ED81" s="3906">
        <f t="shared" si="233"/>
        <v>1</v>
      </c>
    </row>
    <row r="82" spans="1:134" x14ac:dyDescent="0.25">
      <c r="A82" s="5601">
        <v>11056421</v>
      </c>
      <c r="B82" s="3923" t="s">
        <v>1869</v>
      </c>
      <c r="C82" s="3908" t="s">
        <v>4567</v>
      </c>
      <c r="D82" s="344" t="s">
        <v>4568</v>
      </c>
      <c r="E82" s="3918" t="s">
        <v>4569</v>
      </c>
      <c r="F82" s="3910" t="s">
        <v>4570</v>
      </c>
      <c r="G82" s="3909" t="s">
        <v>4571</v>
      </c>
      <c r="H82" s="3910" t="s">
        <v>4572</v>
      </c>
      <c r="I82" s="3909" t="s">
        <v>4573</v>
      </c>
      <c r="J82" s="3910" t="s">
        <v>4574</v>
      </c>
      <c r="K82" s="3909" t="s">
        <v>4575</v>
      </c>
      <c r="L82" s="3910" t="s">
        <v>4576</v>
      </c>
      <c r="M82" s="3909" t="s">
        <v>4577</v>
      </c>
      <c r="N82" s="3911" t="s">
        <v>4578</v>
      </c>
      <c r="O82" s="3904" t="s">
        <v>4579</v>
      </c>
      <c r="P82" s="3912" t="s">
        <v>4580</v>
      </c>
      <c r="Q82" s="3913" t="s">
        <v>4581</v>
      </c>
      <c r="R82" s="3912" t="s">
        <v>4582</v>
      </c>
      <c r="S82" s="3913" t="s">
        <v>4583</v>
      </c>
      <c r="T82" s="3912" t="s">
        <v>4584</v>
      </c>
      <c r="U82" s="3913" t="s">
        <v>4585</v>
      </c>
      <c r="V82" s="3912" t="s">
        <v>4586</v>
      </c>
      <c r="W82" s="3913" t="s">
        <v>4587</v>
      </c>
      <c r="X82" s="3912" t="s">
        <v>4588</v>
      </c>
      <c r="Y82" s="3913" t="s">
        <v>4589</v>
      </c>
      <c r="Z82" s="3912" t="s">
        <v>4590</v>
      </c>
      <c r="AA82" s="3913" t="s">
        <v>4591</v>
      </c>
      <c r="AB82" s="3912" t="s">
        <v>4592</v>
      </c>
      <c r="AC82" s="3913" t="s">
        <v>4593</v>
      </c>
      <c r="AD82" s="3912" t="s">
        <v>4594</v>
      </c>
      <c r="AE82" s="3913" t="s">
        <v>4595</v>
      </c>
      <c r="AF82" s="3912" t="s">
        <v>4596</v>
      </c>
      <c r="AG82" s="3913" t="s">
        <v>4597</v>
      </c>
      <c r="AH82" s="3912" t="s">
        <v>4598</v>
      </c>
      <c r="AI82" s="3913" t="s">
        <v>4599</v>
      </c>
      <c r="AJ82" s="3912" t="s">
        <v>4600</v>
      </c>
      <c r="AK82" s="3913" t="s">
        <v>4601</v>
      </c>
      <c r="AL82" s="3912" t="s">
        <v>4602</v>
      </c>
      <c r="AM82" s="3913" t="s">
        <v>4603</v>
      </c>
      <c r="AN82" s="3912" t="s">
        <v>4604</v>
      </c>
      <c r="AO82" s="3913" t="s">
        <v>4605</v>
      </c>
      <c r="AP82" s="3912" t="s">
        <v>4606</v>
      </c>
      <c r="AQ82" s="3913" t="s">
        <v>4934</v>
      </c>
      <c r="AR82" s="3902" t="s">
        <v>4935</v>
      </c>
      <c r="AS82" s="3901" t="s">
        <v>4936</v>
      </c>
      <c r="AT82" s="3902" t="s">
        <v>4937</v>
      </c>
      <c r="AU82" s="3903" t="s">
        <v>5234</v>
      </c>
      <c r="AV82" s="3902" t="s">
        <v>5235</v>
      </c>
      <c r="AW82" s="3904" t="s">
        <v>5236</v>
      </c>
      <c r="AX82" s="3905" t="s">
        <v>5237</v>
      </c>
      <c r="AY82" s="1864" t="e">
        <f t="shared" si="200"/>
        <v>#VALUE!</v>
      </c>
      <c r="CB82" s="1865" t="str">
        <f>IF(C82&lt;&gt;(AT82)," * La suma de las columnas "&amp;AS$10&amp;""&amp;" DEBE SER IGUAL a los Exámenes Procesados. ","")</f>
        <v xml:space="preserve"> * La suma de las columnas POR SEXO (Procesados) DEBE SER IGUAL a los Exámenes Procesados. </v>
      </c>
      <c r="CC82" s="1865" t="e">
        <f t="shared" si="201"/>
        <v>#VALUE!</v>
      </c>
      <c r="CD82" s="1865" t="str">
        <f t="shared" si="202"/>
        <v xml:space="preserve"> *El Número de Pueblos Originarios no puede superar el Total Procesados. </v>
      </c>
      <c r="CE82" s="1865" t="str">
        <f t="shared" si="203"/>
        <v xml:space="preserve"> *El Número de Migrantes no puede superar el Total Procesados. </v>
      </c>
      <c r="CF82" s="1866"/>
      <c r="CG82" s="1866"/>
      <c r="CH82" s="1866"/>
      <c r="CI82" s="1866"/>
      <c r="CJ82" s="1866"/>
      <c r="CK82" s="1865" t="str">
        <f t="shared" si="204"/>
        <v>* El total de Procesados debe ser mayor o igual al total de Reactivos en el grupo de edad 10 - 14 años</v>
      </c>
      <c r="CL82" s="1865" t="str">
        <f t="shared" si="205"/>
        <v>* El total de Procesados debe ser mayor o igual al total de Reactivos en el grupo de edad 15 - 19 años</v>
      </c>
      <c r="CM82" s="1865" t="str">
        <f t="shared" si="206"/>
        <v>* El total de Procesados debe ser mayor o igual al total de Reactivos en el grupo de edad 20 - 24 años</v>
      </c>
      <c r="CN82" s="1865" t="str">
        <f t="shared" si="234"/>
        <v>* El total de Procesados debe ser mayor o igual al total de Reactivos en el grupo de edad 25 - 29 años</v>
      </c>
      <c r="CO82" s="1865" t="str">
        <f t="shared" si="207"/>
        <v>* El total de Procesados debe ser mayor o igual al total de Reactivos en el grupo de edad 30 - 34 años</v>
      </c>
      <c r="CP82" s="1865" t="str">
        <f t="shared" si="208"/>
        <v>* El total de Procesados debe ser mayor o igual al total de Reactivos en el grupo de edad 35 - 39 años</v>
      </c>
      <c r="CQ82" s="1865" t="str">
        <f t="shared" si="209"/>
        <v>* El total de Procesados debe ser mayor o igual al total de Reactivos en el grupo de edad 40 - 44 años</v>
      </c>
      <c r="CR82" s="1865" t="str">
        <f t="shared" si="210"/>
        <v>* El total de Procesados debe ser mayor o igual al total de Reactivos en el grupo de edad 45 - 49 años</v>
      </c>
      <c r="CS82" s="1865" t="str">
        <f t="shared" si="211"/>
        <v>* El total de Procesados debe ser mayor o igual al total de Reactivos en el grupo de edad 50 - 54 años</v>
      </c>
      <c r="CT82" s="1865" t="str">
        <f t="shared" si="212"/>
        <v>* El total de Procesados debe ser mayor o igual al total de Reactivos en el grupo de edad 55 - 59 años</v>
      </c>
      <c r="CU82" s="1865" t="str">
        <f t="shared" si="213"/>
        <v>* El total de Procesados debe ser mayor o igual al total de Reactivos en el grupo de edad 60 - 64 años</v>
      </c>
      <c r="CV82" s="1865" t="str">
        <f t="shared" si="214"/>
        <v>* El total de Procesados debe ser mayor o igual al total de Reactivos en el grupo de edad 65 - 69 años</v>
      </c>
      <c r="CW82" s="1865" t="str">
        <f t="shared" si="215"/>
        <v>* El total de Procesados debe ser mayor o igual al total de Reactivos en el grupo de edad 70 - 74 años</v>
      </c>
      <c r="CX82" s="1865" t="str">
        <f t="shared" si="216"/>
        <v>* El total de Procesados debe ser mayor o igual al total de Reactivos en el grupo de edad 75 - 79 años</v>
      </c>
      <c r="CY82" s="1865" t="str">
        <f t="shared" si="217"/>
        <v>* El total de Procesados debe ser mayor o igual al total de Reactivos en el grupo de edad 80 y más años</v>
      </c>
      <c r="DF82" s="1936"/>
      <c r="DG82" s="3922">
        <f>IF(C82&lt;&gt;(AT82),1,0)</f>
        <v>1</v>
      </c>
      <c r="DH82" s="3906" t="e">
        <f t="shared" si="218"/>
        <v>#VALUE!</v>
      </c>
      <c r="DI82" s="3906">
        <f t="shared" si="219"/>
        <v>1</v>
      </c>
      <c r="DJ82" s="3906">
        <f t="shared" si="220"/>
        <v>1</v>
      </c>
      <c r="DK82" s="1866"/>
      <c r="DL82" s="1866"/>
      <c r="DM82" s="1866"/>
      <c r="DN82" s="1866"/>
      <c r="DO82" s="1866"/>
      <c r="DP82" s="3906">
        <f t="shared" si="221"/>
        <v>1</v>
      </c>
      <c r="DQ82" s="3906">
        <f t="shared" si="222"/>
        <v>1</v>
      </c>
      <c r="DR82" s="3906">
        <f t="shared" si="223"/>
        <v>1</v>
      </c>
      <c r="DS82" s="3906">
        <f t="shared" si="235"/>
        <v>1</v>
      </c>
      <c r="DT82" s="3906">
        <f t="shared" si="224"/>
        <v>1</v>
      </c>
      <c r="DU82" s="3906">
        <f t="shared" si="225"/>
        <v>1</v>
      </c>
      <c r="DV82" s="3906">
        <f t="shared" si="226"/>
        <v>1</v>
      </c>
      <c r="DW82" s="3906">
        <f t="shared" si="236"/>
        <v>1</v>
      </c>
      <c r="DX82" s="3906">
        <f t="shared" si="227"/>
        <v>1</v>
      </c>
      <c r="DY82" s="3906">
        <f t="shared" si="228"/>
        <v>1</v>
      </c>
      <c r="DZ82" s="3906">
        <f t="shared" si="229"/>
        <v>1</v>
      </c>
      <c r="EA82" s="3906">
        <f t="shared" si="230"/>
        <v>1</v>
      </c>
      <c r="EB82" s="3906">
        <f t="shared" si="231"/>
        <v>1</v>
      </c>
      <c r="EC82" s="3906">
        <f t="shared" si="232"/>
        <v>1</v>
      </c>
      <c r="ED82" s="3906">
        <f t="shared" si="233"/>
        <v>1</v>
      </c>
    </row>
    <row r="83" spans="1:134" x14ac:dyDescent="0.25">
      <c r="A83" s="5601">
        <v>11056422</v>
      </c>
      <c r="B83" s="3924" t="s">
        <v>1870</v>
      </c>
      <c r="C83" s="3908" t="s">
        <v>4567</v>
      </c>
      <c r="D83" s="344" t="s">
        <v>4568</v>
      </c>
      <c r="E83" s="3918" t="s">
        <v>4569</v>
      </c>
      <c r="F83" s="3910" t="s">
        <v>4570</v>
      </c>
      <c r="G83" s="3909" t="s">
        <v>4571</v>
      </c>
      <c r="H83" s="3910" t="s">
        <v>4572</v>
      </c>
      <c r="I83" s="3909" t="s">
        <v>4573</v>
      </c>
      <c r="J83" s="3910" t="s">
        <v>4574</v>
      </c>
      <c r="K83" s="3909" t="s">
        <v>4575</v>
      </c>
      <c r="L83" s="3910" t="s">
        <v>4576</v>
      </c>
      <c r="M83" s="3909" t="s">
        <v>4577</v>
      </c>
      <c r="N83" s="3911" t="s">
        <v>4578</v>
      </c>
      <c r="O83" s="3904" t="s">
        <v>4579</v>
      </c>
      <c r="P83" s="3912" t="s">
        <v>4580</v>
      </c>
      <c r="Q83" s="3913" t="s">
        <v>4581</v>
      </c>
      <c r="R83" s="3912" t="s">
        <v>4582</v>
      </c>
      <c r="S83" s="3913" t="s">
        <v>4583</v>
      </c>
      <c r="T83" s="3912" t="s">
        <v>4584</v>
      </c>
      <c r="U83" s="3913" t="s">
        <v>4585</v>
      </c>
      <c r="V83" s="3912" t="s">
        <v>4586</v>
      </c>
      <c r="W83" s="3913" t="s">
        <v>4587</v>
      </c>
      <c r="X83" s="3912" t="s">
        <v>4588</v>
      </c>
      <c r="Y83" s="3913" t="s">
        <v>4589</v>
      </c>
      <c r="Z83" s="3912" t="s">
        <v>4590</v>
      </c>
      <c r="AA83" s="3913" t="s">
        <v>4591</v>
      </c>
      <c r="AB83" s="3912" t="s">
        <v>4592</v>
      </c>
      <c r="AC83" s="3913" t="s">
        <v>4593</v>
      </c>
      <c r="AD83" s="3912" t="s">
        <v>4594</v>
      </c>
      <c r="AE83" s="3913" t="s">
        <v>4595</v>
      </c>
      <c r="AF83" s="3912" t="s">
        <v>4596</v>
      </c>
      <c r="AG83" s="3913" t="s">
        <v>4597</v>
      </c>
      <c r="AH83" s="3912" t="s">
        <v>4598</v>
      </c>
      <c r="AI83" s="3913" t="s">
        <v>4599</v>
      </c>
      <c r="AJ83" s="3912" t="s">
        <v>4600</v>
      </c>
      <c r="AK83" s="3913" t="s">
        <v>4601</v>
      </c>
      <c r="AL83" s="3912" t="s">
        <v>4602</v>
      </c>
      <c r="AM83" s="3913" t="s">
        <v>4603</v>
      </c>
      <c r="AN83" s="3912" t="s">
        <v>4604</v>
      </c>
      <c r="AO83" s="3913" t="s">
        <v>4605</v>
      </c>
      <c r="AP83" s="3912" t="s">
        <v>4606</v>
      </c>
      <c r="AQ83" s="3913" t="s">
        <v>4934</v>
      </c>
      <c r="AR83" s="3902" t="s">
        <v>4935</v>
      </c>
      <c r="AS83" s="3901" t="s">
        <v>4936</v>
      </c>
      <c r="AT83" s="3902" t="s">
        <v>4937</v>
      </c>
      <c r="AU83" s="3903" t="s">
        <v>5234</v>
      </c>
      <c r="AV83" s="3902" t="s">
        <v>5235</v>
      </c>
      <c r="AW83" s="3904" t="s">
        <v>5236</v>
      </c>
      <c r="AX83" s="3905" t="s">
        <v>5237</v>
      </c>
      <c r="AY83" s="1864" t="e">
        <f t="shared" si="200"/>
        <v>#VALUE!</v>
      </c>
      <c r="CB83" s="1865" t="str">
        <f>IF(C83&lt;&gt;(AT83)," * La suma de las columnas "&amp;AS$10&amp;""&amp;" DEBE SER IGUAL a los Exámenes Procesados. ","")</f>
        <v xml:space="preserve"> * La suma de las columnas POR SEXO (Procesados) DEBE SER IGUAL a los Exámenes Procesados. </v>
      </c>
      <c r="CC83" s="1865" t="e">
        <f t="shared" si="201"/>
        <v>#VALUE!</v>
      </c>
      <c r="CD83" s="1865" t="str">
        <f t="shared" si="202"/>
        <v xml:space="preserve"> *El Número de Pueblos Originarios no puede superar el Total Procesados. </v>
      </c>
      <c r="CE83" s="1865" t="str">
        <f t="shared" si="203"/>
        <v xml:space="preserve"> *El Número de Migrantes no puede superar el Total Procesados. </v>
      </c>
      <c r="CF83" s="1866"/>
      <c r="CG83" s="1866"/>
      <c r="CH83" s="1866"/>
      <c r="CI83" s="1866"/>
      <c r="CJ83" s="1866"/>
      <c r="CK83" s="1865" t="str">
        <f t="shared" si="204"/>
        <v>* El total de Procesados debe ser mayor o igual al total de Reactivos en el grupo de edad 10 - 14 años</v>
      </c>
      <c r="CL83" s="1865" t="str">
        <f t="shared" si="205"/>
        <v>* El total de Procesados debe ser mayor o igual al total de Reactivos en el grupo de edad 15 - 19 años</v>
      </c>
      <c r="CM83" s="1865" t="str">
        <f t="shared" si="206"/>
        <v>* El total de Procesados debe ser mayor o igual al total de Reactivos en el grupo de edad 20 - 24 años</v>
      </c>
      <c r="CN83" s="1865" t="str">
        <f t="shared" si="234"/>
        <v>* El total de Procesados debe ser mayor o igual al total de Reactivos en el grupo de edad 25 - 29 años</v>
      </c>
      <c r="CO83" s="1865" t="str">
        <f t="shared" si="207"/>
        <v>* El total de Procesados debe ser mayor o igual al total de Reactivos en el grupo de edad 30 - 34 años</v>
      </c>
      <c r="CP83" s="1865" t="str">
        <f t="shared" si="208"/>
        <v>* El total de Procesados debe ser mayor o igual al total de Reactivos en el grupo de edad 35 - 39 años</v>
      </c>
      <c r="CQ83" s="1865" t="str">
        <f t="shared" si="209"/>
        <v>* El total de Procesados debe ser mayor o igual al total de Reactivos en el grupo de edad 40 - 44 años</v>
      </c>
      <c r="CR83" s="1865" t="str">
        <f t="shared" si="210"/>
        <v>* El total de Procesados debe ser mayor o igual al total de Reactivos en el grupo de edad 45 - 49 años</v>
      </c>
      <c r="CS83" s="1865" t="str">
        <f t="shared" si="211"/>
        <v>* El total de Procesados debe ser mayor o igual al total de Reactivos en el grupo de edad 50 - 54 años</v>
      </c>
      <c r="CT83" s="1865" t="str">
        <f t="shared" si="212"/>
        <v>* El total de Procesados debe ser mayor o igual al total de Reactivos en el grupo de edad 55 - 59 años</v>
      </c>
      <c r="CU83" s="1865" t="str">
        <f t="shared" si="213"/>
        <v>* El total de Procesados debe ser mayor o igual al total de Reactivos en el grupo de edad 60 - 64 años</v>
      </c>
      <c r="CV83" s="1865" t="str">
        <f t="shared" si="214"/>
        <v>* El total de Procesados debe ser mayor o igual al total de Reactivos en el grupo de edad 65 - 69 años</v>
      </c>
      <c r="CW83" s="1865" t="str">
        <f t="shared" si="215"/>
        <v>* El total de Procesados debe ser mayor o igual al total de Reactivos en el grupo de edad 70 - 74 años</v>
      </c>
      <c r="CX83" s="1865" t="str">
        <f t="shared" si="216"/>
        <v>* El total de Procesados debe ser mayor o igual al total de Reactivos en el grupo de edad 75 - 79 años</v>
      </c>
      <c r="CY83" s="1865" t="str">
        <f t="shared" si="217"/>
        <v>* El total de Procesados debe ser mayor o igual al total de Reactivos en el grupo de edad 80 y más años</v>
      </c>
      <c r="DF83" s="1936"/>
      <c r="DG83" s="3922">
        <f>IF(C83&lt;&gt;(AT83),1,0)</f>
        <v>1</v>
      </c>
      <c r="DH83" s="3906" t="e">
        <f t="shared" si="218"/>
        <v>#VALUE!</v>
      </c>
      <c r="DI83" s="3906">
        <f t="shared" si="219"/>
        <v>1</v>
      </c>
      <c r="DJ83" s="3906">
        <f t="shared" si="220"/>
        <v>1</v>
      </c>
      <c r="DK83" s="1866"/>
      <c r="DL83" s="1866"/>
      <c r="DM83" s="1866"/>
      <c r="DN83" s="1866"/>
      <c r="DO83" s="1866"/>
      <c r="DP83" s="3906">
        <f t="shared" si="221"/>
        <v>1</v>
      </c>
      <c r="DQ83" s="3906">
        <f t="shared" si="222"/>
        <v>1</v>
      </c>
      <c r="DR83" s="3906">
        <f t="shared" si="223"/>
        <v>1</v>
      </c>
      <c r="DS83" s="3906">
        <f t="shared" si="235"/>
        <v>1</v>
      </c>
      <c r="DT83" s="3906">
        <f t="shared" si="224"/>
        <v>1</v>
      </c>
      <c r="DU83" s="3906">
        <f t="shared" si="225"/>
        <v>1</v>
      </c>
      <c r="DV83" s="3906">
        <f t="shared" si="226"/>
        <v>1</v>
      </c>
      <c r="DW83" s="3906">
        <f t="shared" si="236"/>
        <v>1</v>
      </c>
      <c r="DX83" s="3906">
        <f t="shared" si="227"/>
        <v>1</v>
      </c>
      <c r="DY83" s="3906">
        <f t="shared" si="228"/>
        <v>1</v>
      </c>
      <c r="DZ83" s="3906">
        <f t="shared" si="229"/>
        <v>1</v>
      </c>
      <c r="EA83" s="3906">
        <f t="shared" si="230"/>
        <v>1</v>
      </c>
      <c r="EB83" s="3906">
        <f t="shared" si="231"/>
        <v>1</v>
      </c>
      <c r="EC83" s="3906">
        <f t="shared" si="232"/>
        <v>1</v>
      </c>
      <c r="ED83" s="3906">
        <f t="shared" si="233"/>
        <v>1</v>
      </c>
    </row>
    <row r="84" spans="1:134" x14ac:dyDescent="0.25">
      <c r="A84" s="5601">
        <v>11056423</v>
      </c>
      <c r="B84" s="3924" t="s">
        <v>1871</v>
      </c>
      <c r="C84" s="3908" t="s">
        <v>4567</v>
      </c>
      <c r="D84" s="344" t="s">
        <v>4568</v>
      </c>
      <c r="E84" s="3918" t="s">
        <v>4569</v>
      </c>
      <c r="F84" s="3910" t="s">
        <v>4570</v>
      </c>
      <c r="G84" s="3909" t="s">
        <v>4571</v>
      </c>
      <c r="H84" s="3910" t="s">
        <v>4572</v>
      </c>
      <c r="I84" s="3909" t="s">
        <v>4573</v>
      </c>
      <c r="J84" s="3910" t="s">
        <v>4574</v>
      </c>
      <c r="K84" s="3909" t="s">
        <v>4575</v>
      </c>
      <c r="L84" s="3910" t="s">
        <v>4576</v>
      </c>
      <c r="M84" s="3909" t="s">
        <v>4577</v>
      </c>
      <c r="N84" s="3911" t="s">
        <v>4578</v>
      </c>
      <c r="O84" s="3904" t="s">
        <v>4579</v>
      </c>
      <c r="P84" s="3912" t="s">
        <v>4580</v>
      </c>
      <c r="Q84" s="3913" t="s">
        <v>4581</v>
      </c>
      <c r="R84" s="3912" t="s">
        <v>4582</v>
      </c>
      <c r="S84" s="3913" t="s">
        <v>4583</v>
      </c>
      <c r="T84" s="3912" t="s">
        <v>4584</v>
      </c>
      <c r="U84" s="3913" t="s">
        <v>4585</v>
      </c>
      <c r="V84" s="3912" t="s">
        <v>4586</v>
      </c>
      <c r="W84" s="3913" t="s">
        <v>4587</v>
      </c>
      <c r="X84" s="3912" t="s">
        <v>4588</v>
      </c>
      <c r="Y84" s="3913" t="s">
        <v>4589</v>
      </c>
      <c r="Z84" s="3912" t="s">
        <v>4590</v>
      </c>
      <c r="AA84" s="3913" t="s">
        <v>4591</v>
      </c>
      <c r="AB84" s="3912" t="s">
        <v>4592</v>
      </c>
      <c r="AC84" s="3913" t="s">
        <v>4593</v>
      </c>
      <c r="AD84" s="3912" t="s">
        <v>4594</v>
      </c>
      <c r="AE84" s="3913" t="s">
        <v>4595</v>
      </c>
      <c r="AF84" s="3912" t="s">
        <v>4596</v>
      </c>
      <c r="AG84" s="3913" t="s">
        <v>4597</v>
      </c>
      <c r="AH84" s="3912" t="s">
        <v>4598</v>
      </c>
      <c r="AI84" s="3913" t="s">
        <v>4599</v>
      </c>
      <c r="AJ84" s="3912" t="s">
        <v>4600</v>
      </c>
      <c r="AK84" s="3913" t="s">
        <v>4601</v>
      </c>
      <c r="AL84" s="3912" t="s">
        <v>4602</v>
      </c>
      <c r="AM84" s="3913" t="s">
        <v>4603</v>
      </c>
      <c r="AN84" s="3912" t="s">
        <v>4604</v>
      </c>
      <c r="AO84" s="3913" t="s">
        <v>4605</v>
      </c>
      <c r="AP84" s="3912" t="s">
        <v>4606</v>
      </c>
      <c r="AQ84" s="3913" t="s">
        <v>4934</v>
      </c>
      <c r="AR84" s="3902" t="s">
        <v>4935</v>
      </c>
      <c r="AS84" s="3904" t="s">
        <v>4936</v>
      </c>
      <c r="AT84" s="3902" t="s">
        <v>4937</v>
      </c>
      <c r="AU84" s="3903" t="s">
        <v>5234</v>
      </c>
      <c r="AV84" s="3902" t="s">
        <v>5235</v>
      </c>
      <c r="AW84" s="3904" t="s">
        <v>5236</v>
      </c>
      <c r="AX84" s="3905" t="s">
        <v>5237</v>
      </c>
      <c r="AY84" s="1864" t="e">
        <f t="shared" si="200"/>
        <v>#VALUE!</v>
      </c>
      <c r="CB84" s="1865" t="e">
        <f>IF(C84&lt;&gt;(AT84+AS84)," * La suma de las columnas "&amp;AS$10&amp;""&amp;" DEBE SER IGUAL a los Exámenes Procesados. ","")</f>
        <v>#VALUE!</v>
      </c>
      <c r="CC84" s="1865" t="e">
        <f t="shared" si="201"/>
        <v>#VALUE!</v>
      </c>
      <c r="CD84" s="1865" t="str">
        <f t="shared" si="202"/>
        <v xml:space="preserve"> *El Número de Pueblos Originarios no puede superar el Total Procesados. </v>
      </c>
      <c r="CE84" s="1865" t="str">
        <f t="shared" si="203"/>
        <v xml:space="preserve"> *El Número de Migrantes no puede superar el Total Procesados. </v>
      </c>
      <c r="CF84" s="1866"/>
      <c r="CG84" s="1866"/>
      <c r="CH84" s="1866"/>
      <c r="CI84" s="1866"/>
      <c r="CJ84" s="1866"/>
      <c r="CK84" s="1865" t="str">
        <f t="shared" si="204"/>
        <v>* El total de Procesados debe ser mayor o igual al total de Reactivos en el grupo de edad 10 - 14 años</v>
      </c>
      <c r="CL84" s="1865" t="str">
        <f t="shared" si="205"/>
        <v>* El total de Procesados debe ser mayor o igual al total de Reactivos en el grupo de edad 15 - 19 años</v>
      </c>
      <c r="CM84" s="1865" t="str">
        <f t="shared" si="206"/>
        <v>* El total de Procesados debe ser mayor o igual al total de Reactivos en el grupo de edad 20 - 24 años</v>
      </c>
      <c r="CN84" s="1865" t="str">
        <f t="shared" si="234"/>
        <v>* El total de Procesados debe ser mayor o igual al total de Reactivos en el grupo de edad 25 - 29 años</v>
      </c>
      <c r="CO84" s="1865" t="str">
        <f t="shared" si="207"/>
        <v>* El total de Procesados debe ser mayor o igual al total de Reactivos en el grupo de edad 30 - 34 años</v>
      </c>
      <c r="CP84" s="1865" t="str">
        <f t="shared" si="208"/>
        <v>* El total de Procesados debe ser mayor o igual al total de Reactivos en el grupo de edad 35 - 39 años</v>
      </c>
      <c r="CQ84" s="1865" t="str">
        <f t="shared" si="209"/>
        <v>* El total de Procesados debe ser mayor o igual al total de Reactivos en el grupo de edad 40 - 44 años</v>
      </c>
      <c r="CR84" s="1865" t="str">
        <f t="shared" si="210"/>
        <v>* El total de Procesados debe ser mayor o igual al total de Reactivos en el grupo de edad 45 - 49 años</v>
      </c>
      <c r="CS84" s="1865" t="str">
        <f t="shared" si="211"/>
        <v>* El total de Procesados debe ser mayor o igual al total de Reactivos en el grupo de edad 50 - 54 años</v>
      </c>
      <c r="CT84" s="1865" t="str">
        <f t="shared" si="212"/>
        <v>* El total de Procesados debe ser mayor o igual al total de Reactivos en el grupo de edad 55 - 59 años</v>
      </c>
      <c r="CU84" s="1865" t="str">
        <f t="shared" si="213"/>
        <v>* El total de Procesados debe ser mayor o igual al total de Reactivos en el grupo de edad 60 - 64 años</v>
      </c>
      <c r="CV84" s="1865" t="str">
        <f t="shared" si="214"/>
        <v>* El total de Procesados debe ser mayor o igual al total de Reactivos en el grupo de edad 65 - 69 años</v>
      </c>
      <c r="CW84" s="1865" t="str">
        <f t="shared" si="215"/>
        <v>* El total de Procesados debe ser mayor o igual al total de Reactivos en el grupo de edad 70 - 74 años</v>
      </c>
      <c r="CX84" s="1865" t="str">
        <f t="shared" si="216"/>
        <v>* El total de Procesados debe ser mayor o igual al total de Reactivos en el grupo de edad 75 - 79 años</v>
      </c>
      <c r="CY84" s="1865" t="str">
        <f t="shared" si="217"/>
        <v>* El total de Procesados debe ser mayor o igual al total de Reactivos en el grupo de edad 80 y más años</v>
      </c>
      <c r="DF84" s="1936"/>
      <c r="DG84" s="3922" t="e">
        <f>IF(C84&lt;&gt;(AT84+AS84),1,0)</f>
        <v>#VALUE!</v>
      </c>
      <c r="DH84" s="3906" t="e">
        <f t="shared" si="218"/>
        <v>#VALUE!</v>
      </c>
      <c r="DI84" s="3906">
        <f t="shared" si="219"/>
        <v>1</v>
      </c>
      <c r="DJ84" s="3906">
        <f t="shared" si="220"/>
        <v>1</v>
      </c>
      <c r="DK84" s="1866"/>
      <c r="DL84" s="1866"/>
      <c r="DM84" s="1866"/>
      <c r="DN84" s="1866"/>
      <c r="DO84" s="1866"/>
      <c r="DP84" s="3906">
        <f t="shared" si="221"/>
        <v>1</v>
      </c>
      <c r="DQ84" s="3906">
        <f t="shared" si="222"/>
        <v>1</v>
      </c>
      <c r="DR84" s="3906">
        <f t="shared" si="223"/>
        <v>1</v>
      </c>
      <c r="DS84" s="3906">
        <f t="shared" si="235"/>
        <v>1</v>
      </c>
      <c r="DT84" s="3906">
        <f t="shared" si="224"/>
        <v>1</v>
      </c>
      <c r="DU84" s="3906">
        <f t="shared" si="225"/>
        <v>1</v>
      </c>
      <c r="DV84" s="3906">
        <f t="shared" si="226"/>
        <v>1</v>
      </c>
      <c r="DW84" s="3906">
        <f t="shared" si="236"/>
        <v>1</v>
      </c>
      <c r="DX84" s="3906">
        <f t="shared" si="227"/>
        <v>1</v>
      </c>
      <c r="DY84" s="3906">
        <f t="shared" si="228"/>
        <v>1</v>
      </c>
      <c r="DZ84" s="3906">
        <f t="shared" si="229"/>
        <v>1</v>
      </c>
      <c r="EA84" s="3906">
        <f t="shared" si="230"/>
        <v>1</v>
      </c>
      <c r="EB84" s="3906">
        <f t="shared" si="231"/>
        <v>1</v>
      </c>
      <c r="EC84" s="3906">
        <f t="shared" si="232"/>
        <v>1</v>
      </c>
      <c r="ED84" s="3906">
        <f t="shared" si="233"/>
        <v>1</v>
      </c>
    </row>
    <row r="85" spans="1:134" x14ac:dyDescent="0.25">
      <c r="A85" s="5601">
        <v>11056424</v>
      </c>
      <c r="B85" s="3924" t="s">
        <v>1872</v>
      </c>
      <c r="C85" s="3908" t="s">
        <v>4567</v>
      </c>
      <c r="D85" s="344" t="s">
        <v>4568</v>
      </c>
      <c r="E85" s="3918" t="s">
        <v>4569</v>
      </c>
      <c r="F85" s="3910" t="s">
        <v>4570</v>
      </c>
      <c r="G85" s="3909" t="s">
        <v>4571</v>
      </c>
      <c r="H85" s="3910" t="s">
        <v>4572</v>
      </c>
      <c r="I85" s="3909" t="s">
        <v>4573</v>
      </c>
      <c r="J85" s="3910" t="s">
        <v>4574</v>
      </c>
      <c r="K85" s="3909" t="s">
        <v>4575</v>
      </c>
      <c r="L85" s="3910" t="s">
        <v>4576</v>
      </c>
      <c r="M85" s="3909" t="s">
        <v>4577</v>
      </c>
      <c r="N85" s="3911" t="s">
        <v>4578</v>
      </c>
      <c r="O85" s="3904" t="s">
        <v>4579</v>
      </c>
      <c r="P85" s="3912" t="s">
        <v>4580</v>
      </c>
      <c r="Q85" s="3913" t="s">
        <v>4581</v>
      </c>
      <c r="R85" s="3912" t="s">
        <v>4582</v>
      </c>
      <c r="S85" s="3913" t="s">
        <v>4583</v>
      </c>
      <c r="T85" s="3912" t="s">
        <v>4584</v>
      </c>
      <c r="U85" s="3913" t="s">
        <v>4585</v>
      </c>
      <c r="V85" s="3912" t="s">
        <v>4586</v>
      </c>
      <c r="W85" s="3913" t="s">
        <v>4587</v>
      </c>
      <c r="X85" s="3912" t="s">
        <v>4588</v>
      </c>
      <c r="Y85" s="3913" t="s">
        <v>4589</v>
      </c>
      <c r="Z85" s="3912" t="s">
        <v>4590</v>
      </c>
      <c r="AA85" s="3913" t="s">
        <v>4591</v>
      </c>
      <c r="AB85" s="3912" t="s">
        <v>4592</v>
      </c>
      <c r="AC85" s="3913" t="s">
        <v>4593</v>
      </c>
      <c r="AD85" s="3912" t="s">
        <v>4594</v>
      </c>
      <c r="AE85" s="3913" t="s">
        <v>4595</v>
      </c>
      <c r="AF85" s="3912" t="s">
        <v>4596</v>
      </c>
      <c r="AG85" s="3913" t="s">
        <v>4597</v>
      </c>
      <c r="AH85" s="3912" t="s">
        <v>4598</v>
      </c>
      <c r="AI85" s="3913" t="s">
        <v>4599</v>
      </c>
      <c r="AJ85" s="3912" t="s">
        <v>4600</v>
      </c>
      <c r="AK85" s="3913" t="s">
        <v>4601</v>
      </c>
      <c r="AL85" s="3912" t="s">
        <v>4602</v>
      </c>
      <c r="AM85" s="3913" t="s">
        <v>4603</v>
      </c>
      <c r="AN85" s="3912" t="s">
        <v>4604</v>
      </c>
      <c r="AO85" s="3913" t="s">
        <v>4605</v>
      </c>
      <c r="AP85" s="3912" t="s">
        <v>4606</v>
      </c>
      <c r="AQ85" s="3913" t="s">
        <v>4934</v>
      </c>
      <c r="AR85" s="3902" t="s">
        <v>4935</v>
      </c>
      <c r="AS85" s="3901" t="s">
        <v>4936</v>
      </c>
      <c r="AT85" s="3902" t="s">
        <v>4937</v>
      </c>
      <c r="AU85" s="3903" t="s">
        <v>5234</v>
      </c>
      <c r="AV85" s="3902" t="s">
        <v>5235</v>
      </c>
      <c r="AW85" s="3904" t="s">
        <v>5236</v>
      </c>
      <c r="AX85" s="3905" t="s">
        <v>5237</v>
      </c>
      <c r="AY85" s="1864" t="e">
        <f t="shared" si="200"/>
        <v>#VALUE!</v>
      </c>
      <c r="CB85" s="1865" t="str">
        <f>IF(C85&lt;&gt;(AT85)," * La suma de las columnas "&amp;AS$10&amp;""&amp;" DEBE SER IGUAL a los Exámenes Procesados. ","")</f>
        <v xml:space="preserve"> * La suma de las columnas POR SEXO (Procesados) DEBE SER IGUAL a los Exámenes Procesados. </v>
      </c>
      <c r="CC85" s="1865" t="e">
        <f t="shared" si="201"/>
        <v>#VALUE!</v>
      </c>
      <c r="CD85" s="1865" t="str">
        <f t="shared" si="202"/>
        <v xml:space="preserve"> *El Número de Pueblos Originarios no puede superar el Total Procesados. </v>
      </c>
      <c r="CE85" s="1865" t="str">
        <f t="shared" si="203"/>
        <v xml:space="preserve"> *El Número de Migrantes no puede superar el Total Procesados. </v>
      </c>
      <c r="CF85" s="1866"/>
      <c r="CG85" s="1866"/>
      <c r="CH85" s="1866"/>
      <c r="CI85" s="1866"/>
      <c r="CJ85" s="1866"/>
      <c r="CK85" s="1865" t="str">
        <f t="shared" si="204"/>
        <v>* El total de Procesados debe ser mayor o igual al total de Reactivos en el grupo de edad 10 - 14 años</v>
      </c>
      <c r="CL85" s="1865" t="str">
        <f t="shared" si="205"/>
        <v>* El total de Procesados debe ser mayor o igual al total de Reactivos en el grupo de edad 15 - 19 años</v>
      </c>
      <c r="CM85" s="1865" t="str">
        <f t="shared" si="206"/>
        <v>* El total de Procesados debe ser mayor o igual al total de Reactivos en el grupo de edad 20 - 24 años</v>
      </c>
      <c r="CN85" s="1865" t="str">
        <f t="shared" si="234"/>
        <v>* El total de Procesados debe ser mayor o igual al total de Reactivos en el grupo de edad 25 - 29 años</v>
      </c>
      <c r="CO85" s="1865" t="str">
        <f t="shared" si="207"/>
        <v>* El total de Procesados debe ser mayor o igual al total de Reactivos en el grupo de edad 30 - 34 años</v>
      </c>
      <c r="CP85" s="1865" t="str">
        <f t="shared" si="208"/>
        <v>* El total de Procesados debe ser mayor o igual al total de Reactivos en el grupo de edad 35 - 39 años</v>
      </c>
      <c r="CQ85" s="1865" t="str">
        <f t="shared" si="209"/>
        <v>* El total de Procesados debe ser mayor o igual al total de Reactivos en el grupo de edad 40 - 44 años</v>
      </c>
      <c r="CR85" s="1865" t="str">
        <f t="shared" si="210"/>
        <v>* El total de Procesados debe ser mayor o igual al total de Reactivos en el grupo de edad 45 - 49 años</v>
      </c>
      <c r="CS85" s="1865" t="str">
        <f t="shared" si="211"/>
        <v>* El total de Procesados debe ser mayor o igual al total de Reactivos en el grupo de edad 50 - 54 años</v>
      </c>
      <c r="CT85" s="1865" t="str">
        <f t="shared" si="212"/>
        <v>* El total de Procesados debe ser mayor o igual al total de Reactivos en el grupo de edad 55 - 59 años</v>
      </c>
      <c r="CU85" s="1865" t="str">
        <f t="shared" si="213"/>
        <v>* El total de Procesados debe ser mayor o igual al total de Reactivos en el grupo de edad 60 - 64 años</v>
      </c>
      <c r="CV85" s="1865" t="str">
        <f t="shared" si="214"/>
        <v>* El total de Procesados debe ser mayor o igual al total de Reactivos en el grupo de edad 65 - 69 años</v>
      </c>
      <c r="CW85" s="1865" t="str">
        <f t="shared" si="215"/>
        <v>* El total de Procesados debe ser mayor o igual al total de Reactivos en el grupo de edad 70 - 74 años</v>
      </c>
      <c r="CX85" s="1865" t="str">
        <f t="shared" si="216"/>
        <v>* El total de Procesados debe ser mayor o igual al total de Reactivos en el grupo de edad 75 - 79 años</v>
      </c>
      <c r="CY85" s="1865" t="str">
        <f t="shared" si="217"/>
        <v>* El total de Procesados debe ser mayor o igual al total de Reactivos en el grupo de edad 80 y más años</v>
      </c>
      <c r="DF85" s="1936"/>
      <c r="DG85" s="3922">
        <f>IF(C85&lt;&gt;(AT85),1,0)</f>
        <v>1</v>
      </c>
      <c r="DH85" s="3906" t="e">
        <f t="shared" si="218"/>
        <v>#VALUE!</v>
      </c>
      <c r="DI85" s="3906">
        <f t="shared" si="219"/>
        <v>1</v>
      </c>
      <c r="DJ85" s="3906">
        <f t="shared" si="220"/>
        <v>1</v>
      </c>
      <c r="DK85" s="1866"/>
      <c r="DL85" s="1866"/>
      <c r="DM85" s="1866"/>
      <c r="DN85" s="1866"/>
      <c r="DO85" s="1866"/>
      <c r="DP85" s="3906">
        <f t="shared" si="221"/>
        <v>1</v>
      </c>
      <c r="DQ85" s="3906">
        <f t="shared" si="222"/>
        <v>1</v>
      </c>
      <c r="DR85" s="3906">
        <f t="shared" si="223"/>
        <v>1</v>
      </c>
      <c r="DS85" s="3906">
        <f t="shared" si="235"/>
        <v>1</v>
      </c>
      <c r="DT85" s="3906">
        <f t="shared" si="224"/>
        <v>1</v>
      </c>
      <c r="DU85" s="3906">
        <f t="shared" si="225"/>
        <v>1</v>
      </c>
      <c r="DV85" s="3906">
        <f t="shared" si="226"/>
        <v>1</v>
      </c>
      <c r="DW85" s="3906">
        <f t="shared" si="236"/>
        <v>1</v>
      </c>
      <c r="DX85" s="3906">
        <f t="shared" si="227"/>
        <v>1</v>
      </c>
      <c r="DY85" s="3906">
        <f t="shared" si="228"/>
        <v>1</v>
      </c>
      <c r="DZ85" s="3906">
        <f t="shared" si="229"/>
        <v>1</v>
      </c>
      <c r="EA85" s="3906">
        <f t="shared" si="230"/>
        <v>1</v>
      </c>
      <c r="EB85" s="3906">
        <f t="shared" si="231"/>
        <v>1</v>
      </c>
      <c r="EC85" s="3906">
        <f t="shared" si="232"/>
        <v>1</v>
      </c>
      <c r="ED85" s="3906">
        <f t="shared" si="233"/>
        <v>1</v>
      </c>
    </row>
    <row r="86" spans="1:134" x14ac:dyDescent="0.25">
      <c r="A86" s="5601">
        <v>11056425</v>
      </c>
      <c r="B86" s="3923" t="s">
        <v>1873</v>
      </c>
      <c r="C86" s="3908" t="s">
        <v>4567</v>
      </c>
      <c r="D86" s="344" t="s">
        <v>4568</v>
      </c>
      <c r="E86" s="3918" t="s">
        <v>4569</v>
      </c>
      <c r="F86" s="3910" t="s">
        <v>4570</v>
      </c>
      <c r="G86" s="3909" t="s">
        <v>4571</v>
      </c>
      <c r="H86" s="3910" t="s">
        <v>4572</v>
      </c>
      <c r="I86" s="3909" t="s">
        <v>4573</v>
      </c>
      <c r="J86" s="3910" t="s">
        <v>4574</v>
      </c>
      <c r="K86" s="3909" t="s">
        <v>4575</v>
      </c>
      <c r="L86" s="3910" t="s">
        <v>4576</v>
      </c>
      <c r="M86" s="3909" t="s">
        <v>4577</v>
      </c>
      <c r="N86" s="3911" t="s">
        <v>4578</v>
      </c>
      <c r="O86" s="3904" t="s">
        <v>4579</v>
      </c>
      <c r="P86" s="3912" t="s">
        <v>4580</v>
      </c>
      <c r="Q86" s="3913" t="s">
        <v>4581</v>
      </c>
      <c r="R86" s="3912" t="s">
        <v>4582</v>
      </c>
      <c r="S86" s="3913" t="s">
        <v>4583</v>
      </c>
      <c r="T86" s="3912" t="s">
        <v>4584</v>
      </c>
      <c r="U86" s="3913" t="s">
        <v>4585</v>
      </c>
      <c r="V86" s="3912" t="s">
        <v>4586</v>
      </c>
      <c r="W86" s="3913" t="s">
        <v>4587</v>
      </c>
      <c r="X86" s="3912" t="s">
        <v>4588</v>
      </c>
      <c r="Y86" s="3913" t="s">
        <v>4589</v>
      </c>
      <c r="Z86" s="3912" t="s">
        <v>4590</v>
      </c>
      <c r="AA86" s="3913" t="s">
        <v>4591</v>
      </c>
      <c r="AB86" s="3912" t="s">
        <v>4592</v>
      </c>
      <c r="AC86" s="3913" t="s">
        <v>4593</v>
      </c>
      <c r="AD86" s="3912" t="s">
        <v>4594</v>
      </c>
      <c r="AE86" s="3913" t="s">
        <v>4595</v>
      </c>
      <c r="AF86" s="3912" t="s">
        <v>4596</v>
      </c>
      <c r="AG86" s="3913" t="s">
        <v>4597</v>
      </c>
      <c r="AH86" s="3912" t="s">
        <v>4598</v>
      </c>
      <c r="AI86" s="3913" t="s">
        <v>4599</v>
      </c>
      <c r="AJ86" s="3912" t="s">
        <v>4600</v>
      </c>
      <c r="AK86" s="3913" t="s">
        <v>4601</v>
      </c>
      <c r="AL86" s="3912" t="s">
        <v>4602</v>
      </c>
      <c r="AM86" s="3913" t="s">
        <v>4603</v>
      </c>
      <c r="AN86" s="3912" t="s">
        <v>4604</v>
      </c>
      <c r="AO86" s="3913" t="s">
        <v>4605</v>
      </c>
      <c r="AP86" s="3912" t="s">
        <v>4606</v>
      </c>
      <c r="AQ86" s="3913" t="s">
        <v>4934</v>
      </c>
      <c r="AR86" s="3902" t="s">
        <v>4935</v>
      </c>
      <c r="AS86" s="3901" t="s">
        <v>4936</v>
      </c>
      <c r="AT86" s="3902" t="s">
        <v>4937</v>
      </c>
      <c r="AU86" s="3903" t="s">
        <v>5234</v>
      </c>
      <c r="AV86" s="3902" t="s">
        <v>5235</v>
      </c>
      <c r="AW86" s="3904" t="s">
        <v>5236</v>
      </c>
      <c r="AX86" s="3905" t="s">
        <v>5237</v>
      </c>
      <c r="AY86" s="1864" t="e">
        <f t="shared" si="200"/>
        <v>#VALUE!</v>
      </c>
      <c r="CB86" s="1865" t="str">
        <f>IF(C86&lt;&gt;(AT86)," * La suma de las columnas "&amp;AS$10&amp;""&amp;" DEBE SER IGUAL a los Exámenes Procesados. ","")</f>
        <v xml:space="preserve"> * La suma de las columnas POR SEXO (Procesados) DEBE SER IGUAL a los Exámenes Procesados. </v>
      </c>
      <c r="CC86" s="1865" t="e">
        <f t="shared" si="201"/>
        <v>#VALUE!</v>
      </c>
      <c r="CD86" s="1865" t="str">
        <f t="shared" si="202"/>
        <v xml:space="preserve"> *El Número de Pueblos Originarios no puede superar el Total Procesados. </v>
      </c>
      <c r="CE86" s="1865" t="str">
        <f t="shared" si="203"/>
        <v xml:space="preserve"> *El Número de Migrantes no puede superar el Total Procesados. </v>
      </c>
      <c r="CF86" s="1866"/>
      <c r="CG86" s="1866"/>
      <c r="CH86" s="1866"/>
      <c r="CI86" s="1866"/>
      <c r="CJ86" s="1866"/>
      <c r="CK86" s="1865" t="str">
        <f t="shared" si="204"/>
        <v>* El total de Procesados debe ser mayor o igual al total de Reactivos en el grupo de edad 10 - 14 años</v>
      </c>
      <c r="CL86" s="1865" t="str">
        <f t="shared" si="205"/>
        <v>* El total de Procesados debe ser mayor o igual al total de Reactivos en el grupo de edad 15 - 19 años</v>
      </c>
      <c r="CM86" s="1865" t="str">
        <f t="shared" si="206"/>
        <v>* El total de Procesados debe ser mayor o igual al total de Reactivos en el grupo de edad 20 - 24 años</v>
      </c>
      <c r="CN86" s="1865" t="str">
        <f t="shared" si="234"/>
        <v>* El total de Procesados debe ser mayor o igual al total de Reactivos en el grupo de edad 25 - 29 años</v>
      </c>
      <c r="CO86" s="1865" t="str">
        <f t="shared" si="207"/>
        <v>* El total de Procesados debe ser mayor o igual al total de Reactivos en el grupo de edad 30 - 34 años</v>
      </c>
      <c r="CP86" s="1865" t="str">
        <f t="shared" si="208"/>
        <v>* El total de Procesados debe ser mayor o igual al total de Reactivos en el grupo de edad 35 - 39 años</v>
      </c>
      <c r="CQ86" s="1865" t="str">
        <f t="shared" si="209"/>
        <v>* El total de Procesados debe ser mayor o igual al total de Reactivos en el grupo de edad 40 - 44 años</v>
      </c>
      <c r="CR86" s="1865" t="str">
        <f t="shared" si="210"/>
        <v>* El total de Procesados debe ser mayor o igual al total de Reactivos en el grupo de edad 45 - 49 años</v>
      </c>
      <c r="CS86" s="1865" t="str">
        <f t="shared" si="211"/>
        <v>* El total de Procesados debe ser mayor o igual al total de Reactivos en el grupo de edad 50 - 54 años</v>
      </c>
      <c r="CT86" s="1865" t="str">
        <f t="shared" si="212"/>
        <v>* El total de Procesados debe ser mayor o igual al total de Reactivos en el grupo de edad 55 - 59 años</v>
      </c>
      <c r="CU86" s="1865" t="str">
        <f t="shared" si="213"/>
        <v>* El total de Procesados debe ser mayor o igual al total de Reactivos en el grupo de edad 60 - 64 años</v>
      </c>
      <c r="CV86" s="1865" t="str">
        <f t="shared" si="214"/>
        <v>* El total de Procesados debe ser mayor o igual al total de Reactivos en el grupo de edad 65 - 69 años</v>
      </c>
      <c r="CW86" s="1865" t="str">
        <f t="shared" si="215"/>
        <v>* El total de Procesados debe ser mayor o igual al total de Reactivos en el grupo de edad 70 - 74 años</v>
      </c>
      <c r="CX86" s="1865" t="str">
        <f t="shared" si="216"/>
        <v>* El total de Procesados debe ser mayor o igual al total de Reactivos en el grupo de edad 75 - 79 años</v>
      </c>
      <c r="CY86" s="1865" t="str">
        <f t="shared" si="217"/>
        <v>* El total de Procesados debe ser mayor o igual al total de Reactivos en el grupo de edad 80 y más años</v>
      </c>
      <c r="DF86" s="1936"/>
      <c r="DG86" s="3922">
        <f>IF(C86&lt;&gt;(AT86),1,0)</f>
        <v>1</v>
      </c>
      <c r="DH86" s="3906" t="e">
        <f t="shared" si="218"/>
        <v>#VALUE!</v>
      </c>
      <c r="DI86" s="3906">
        <f t="shared" si="219"/>
        <v>1</v>
      </c>
      <c r="DJ86" s="3906">
        <f t="shared" si="220"/>
        <v>1</v>
      </c>
      <c r="DK86" s="1866"/>
      <c r="DL86" s="1866"/>
      <c r="DM86" s="1866"/>
      <c r="DN86" s="1866"/>
      <c r="DO86" s="1866"/>
      <c r="DP86" s="3906">
        <f t="shared" si="221"/>
        <v>1</v>
      </c>
      <c r="DQ86" s="3906">
        <f t="shared" si="222"/>
        <v>1</v>
      </c>
      <c r="DR86" s="3906">
        <f t="shared" si="223"/>
        <v>1</v>
      </c>
      <c r="DS86" s="3906">
        <f t="shared" si="235"/>
        <v>1</v>
      </c>
      <c r="DT86" s="3906">
        <f t="shared" si="224"/>
        <v>1</v>
      </c>
      <c r="DU86" s="3906">
        <f t="shared" si="225"/>
        <v>1</v>
      </c>
      <c r="DV86" s="3906">
        <f t="shared" si="226"/>
        <v>1</v>
      </c>
      <c r="DW86" s="3906">
        <f t="shared" si="236"/>
        <v>1</v>
      </c>
      <c r="DX86" s="3906">
        <f t="shared" si="227"/>
        <v>1</v>
      </c>
      <c r="DY86" s="3906">
        <f t="shared" si="228"/>
        <v>1</v>
      </c>
      <c r="DZ86" s="3906">
        <f t="shared" si="229"/>
        <v>1</v>
      </c>
      <c r="EA86" s="3906">
        <f t="shared" si="230"/>
        <v>1</v>
      </c>
      <c r="EB86" s="3906">
        <f t="shared" si="231"/>
        <v>1</v>
      </c>
      <c r="EC86" s="3906">
        <f t="shared" si="232"/>
        <v>1</v>
      </c>
      <c r="ED86" s="3906">
        <f t="shared" si="233"/>
        <v>1</v>
      </c>
    </row>
    <row r="87" spans="1:134" x14ac:dyDescent="0.25">
      <c r="A87" s="5601">
        <v>11056426</v>
      </c>
      <c r="B87" s="3923" t="s">
        <v>1874</v>
      </c>
      <c r="C87" s="3908" t="s">
        <v>4567</v>
      </c>
      <c r="D87" s="344" t="s">
        <v>4568</v>
      </c>
      <c r="E87" s="3904" t="s">
        <v>4569</v>
      </c>
      <c r="F87" s="3912" t="s">
        <v>4570</v>
      </c>
      <c r="G87" s="3913" t="s">
        <v>4571</v>
      </c>
      <c r="H87" s="3912" t="s">
        <v>4572</v>
      </c>
      <c r="I87" s="3913" t="s">
        <v>4573</v>
      </c>
      <c r="J87" s="3905" t="s">
        <v>4574</v>
      </c>
      <c r="K87" s="3904" t="s">
        <v>4575</v>
      </c>
      <c r="L87" s="3904" t="s">
        <v>4576</v>
      </c>
      <c r="M87" s="3913" t="s">
        <v>4577</v>
      </c>
      <c r="N87" s="3905" t="s">
        <v>4578</v>
      </c>
      <c r="O87" s="3904" t="s">
        <v>4579</v>
      </c>
      <c r="P87" s="3912" t="s">
        <v>4580</v>
      </c>
      <c r="Q87" s="3913" t="s">
        <v>4581</v>
      </c>
      <c r="R87" s="3912" t="s">
        <v>4582</v>
      </c>
      <c r="S87" s="3913" t="s">
        <v>4583</v>
      </c>
      <c r="T87" s="3912" t="s">
        <v>4584</v>
      </c>
      <c r="U87" s="3913" t="s">
        <v>4585</v>
      </c>
      <c r="V87" s="3912" t="s">
        <v>4586</v>
      </c>
      <c r="W87" s="3913" t="s">
        <v>4587</v>
      </c>
      <c r="X87" s="3912" t="s">
        <v>4588</v>
      </c>
      <c r="Y87" s="3913" t="s">
        <v>4589</v>
      </c>
      <c r="Z87" s="3912" t="s">
        <v>4590</v>
      </c>
      <c r="AA87" s="3913" t="s">
        <v>4591</v>
      </c>
      <c r="AB87" s="3912" t="s">
        <v>4592</v>
      </c>
      <c r="AC87" s="3913" t="s">
        <v>4593</v>
      </c>
      <c r="AD87" s="3912" t="s">
        <v>4594</v>
      </c>
      <c r="AE87" s="3913" t="s">
        <v>4595</v>
      </c>
      <c r="AF87" s="3912" t="s">
        <v>4596</v>
      </c>
      <c r="AG87" s="3913" t="s">
        <v>4597</v>
      </c>
      <c r="AH87" s="3912" t="s">
        <v>4598</v>
      </c>
      <c r="AI87" s="3913" t="s">
        <v>4599</v>
      </c>
      <c r="AJ87" s="3912" t="s">
        <v>4600</v>
      </c>
      <c r="AK87" s="3913" t="s">
        <v>4601</v>
      </c>
      <c r="AL87" s="3912" t="s">
        <v>4602</v>
      </c>
      <c r="AM87" s="3913" t="s">
        <v>4603</v>
      </c>
      <c r="AN87" s="3912" t="s">
        <v>4604</v>
      </c>
      <c r="AO87" s="3913" t="s">
        <v>4605</v>
      </c>
      <c r="AP87" s="3912" t="s">
        <v>4606</v>
      </c>
      <c r="AQ87" s="3913" t="s">
        <v>4934</v>
      </c>
      <c r="AR87" s="3902" t="s">
        <v>4935</v>
      </c>
      <c r="AS87" s="3901" t="s">
        <v>4936</v>
      </c>
      <c r="AT87" s="3902" t="s">
        <v>4937</v>
      </c>
      <c r="AU87" s="3903" t="s">
        <v>5234</v>
      </c>
      <c r="AV87" s="3902" t="s">
        <v>5235</v>
      </c>
      <c r="AW87" s="3904" t="s">
        <v>5236</v>
      </c>
      <c r="AX87" s="3905" t="s">
        <v>5237</v>
      </c>
      <c r="AY87" s="1864" t="e">
        <f>$CB87&amp;CC87&amp;CD87&amp;$CE87&amp;CK87&amp;CF87&amp;CG87&amp;CH87&amp;CI87&amp;CJ87&amp;CL87&amp;CM87&amp;CN87&amp;CO87&amp;CP87&amp;CQ87&amp;CR87&amp;CS87&amp;CT87&amp;CU87&amp;CV87&amp;CW87&amp;CX87&amp;CY87</f>
        <v>#VALUE!</v>
      </c>
      <c r="CB87" s="1865" t="str">
        <f>IF(C87&lt;&gt;(AT87)," * La suma de las columnas "&amp;AS$10&amp;""&amp;" DEBE SER IGUAL a los Exámenes Procesados. ","")</f>
        <v xml:space="preserve"> * La suma de las columnas POR SEXO (Procesados) DEBE SER IGUAL a los Exámenes Procesados. </v>
      </c>
      <c r="CC87" s="1865" t="e">
        <f t="shared" si="201"/>
        <v>#VALUE!</v>
      </c>
      <c r="CD87" s="1865" t="str">
        <f t="shared" si="202"/>
        <v xml:space="preserve"> *El Número de Pueblos Originarios no puede superar el Total Procesados. </v>
      </c>
      <c r="CE87" s="1865" t="str">
        <f t="shared" si="203"/>
        <v xml:space="preserve"> *El Número de Migrantes no puede superar el Total Procesados. </v>
      </c>
      <c r="CF87" s="1865" t="str">
        <f>IF(E87&lt;F87,CONCATENATE("* El total de Procesados debe ser mayor o igual al total de Reactivos en el grupo de edad ",$E$11),"")</f>
        <v>* El total de Procesados debe ser mayor o igual al total de Reactivos en el grupo de edad Menos de 6 meses</v>
      </c>
      <c r="CG87" s="1865" t="str">
        <f>IF(G87&lt;H87,CONCATENATE("* El total de Procesados debe ser mayor o igual al total de Reactivos en el grupo de edad ",$G$11),"")</f>
        <v>* El total de Procesados debe ser mayor o igual al total de Reactivos en el grupo de edad 6 - 11 meses</v>
      </c>
      <c r="CH87" s="1865" t="str">
        <f>IF(I87&lt;J87,CONCATENATE("* El total de Procesados debe ser mayor o igual al total de Reactivos en el grupo de edad ",$I$11),"")</f>
        <v>* El total de Procesados debe ser mayor o igual al total de Reactivos en el grupo de edad 12-24 meses</v>
      </c>
      <c r="CI87" s="1865" t="str">
        <f>IF(K87&lt;L87,CONCATENATE("* El total de Procesados debe ser mayor o igual al total de Reactivos en el grupo de edad ",$K$11),"")</f>
        <v>* El total de Procesados debe ser mayor o igual al total de Reactivos en el grupo de edad 3 - 4 años</v>
      </c>
      <c r="CJ87" s="1865" t="str">
        <f>IF(M87&lt;N87,CONCATENATE("* El total de Procesados debe ser mayor o igual al total de Reactivos en el grupo de edad ",$M$11),"")</f>
        <v>* El total de Procesados debe ser mayor o igual al total de Reactivos en el grupo de edad 5 - 9 años</v>
      </c>
      <c r="CK87" s="1865" t="str">
        <f t="shared" si="204"/>
        <v>* El total de Procesados debe ser mayor o igual al total de Reactivos en el grupo de edad 10 - 14 años</v>
      </c>
      <c r="CL87" s="1865" t="str">
        <f t="shared" si="205"/>
        <v>* El total de Procesados debe ser mayor o igual al total de Reactivos en el grupo de edad 15 - 19 años</v>
      </c>
      <c r="CM87" s="1865" t="str">
        <f t="shared" si="206"/>
        <v>* El total de Procesados debe ser mayor o igual al total de Reactivos en el grupo de edad 20 - 24 años</v>
      </c>
      <c r="CN87" s="1865" t="str">
        <f t="shared" si="234"/>
        <v>* El total de Procesados debe ser mayor o igual al total de Reactivos en el grupo de edad 25 - 29 años</v>
      </c>
      <c r="CO87" s="1865" t="str">
        <f t="shared" si="207"/>
        <v>* El total de Procesados debe ser mayor o igual al total de Reactivos en el grupo de edad 30 - 34 años</v>
      </c>
      <c r="CP87" s="1865" t="str">
        <f t="shared" si="208"/>
        <v>* El total de Procesados debe ser mayor o igual al total de Reactivos en el grupo de edad 35 - 39 años</v>
      </c>
      <c r="CQ87" s="1865" t="str">
        <f t="shared" si="209"/>
        <v>* El total de Procesados debe ser mayor o igual al total de Reactivos en el grupo de edad 40 - 44 años</v>
      </c>
      <c r="CR87" s="1865" t="str">
        <f t="shared" si="210"/>
        <v>* El total de Procesados debe ser mayor o igual al total de Reactivos en el grupo de edad 45 - 49 años</v>
      </c>
      <c r="CS87" s="1865" t="str">
        <f t="shared" si="211"/>
        <v>* El total de Procesados debe ser mayor o igual al total de Reactivos en el grupo de edad 50 - 54 años</v>
      </c>
      <c r="CT87" s="1865" t="str">
        <f t="shared" si="212"/>
        <v>* El total de Procesados debe ser mayor o igual al total de Reactivos en el grupo de edad 55 - 59 años</v>
      </c>
      <c r="CU87" s="1865" t="str">
        <f t="shared" si="213"/>
        <v>* El total de Procesados debe ser mayor o igual al total de Reactivos en el grupo de edad 60 - 64 años</v>
      </c>
      <c r="CV87" s="1865" t="str">
        <f t="shared" si="214"/>
        <v>* El total de Procesados debe ser mayor o igual al total de Reactivos en el grupo de edad 65 - 69 años</v>
      </c>
      <c r="CW87" s="1865" t="str">
        <f t="shared" si="215"/>
        <v>* El total de Procesados debe ser mayor o igual al total de Reactivos en el grupo de edad 70 - 74 años</v>
      </c>
      <c r="CX87" s="1865" t="str">
        <f t="shared" si="216"/>
        <v>* El total de Procesados debe ser mayor o igual al total de Reactivos en el grupo de edad 75 - 79 años</v>
      </c>
      <c r="CY87" s="1865" t="str">
        <f t="shared" si="217"/>
        <v>* El total de Procesados debe ser mayor o igual al total de Reactivos en el grupo de edad 80 y más años</v>
      </c>
      <c r="DF87" s="1936"/>
      <c r="DG87" s="3922">
        <f>IF(C87&lt;&gt;(AT87),1,0)</f>
        <v>1</v>
      </c>
      <c r="DH87" s="3906" t="e">
        <f t="shared" si="218"/>
        <v>#VALUE!</v>
      </c>
      <c r="DI87" s="3906">
        <f t="shared" si="219"/>
        <v>1</v>
      </c>
      <c r="DJ87" s="3906">
        <f t="shared" si="220"/>
        <v>1</v>
      </c>
      <c r="DK87" s="3906">
        <f>IF(E87&lt;F87,1,0)</f>
        <v>1</v>
      </c>
      <c r="DL87" s="3906">
        <f>IF(G87&lt;H87,1,0)</f>
        <v>1</v>
      </c>
      <c r="DM87" s="3906">
        <f>IF(I87&lt;J87,1,0)</f>
        <v>1</v>
      </c>
      <c r="DN87" s="3906">
        <f>IF(K87&lt;L87,1,0)</f>
        <v>1</v>
      </c>
      <c r="DO87" s="3906">
        <f>IF(M87&lt;N87,1,0)</f>
        <v>1</v>
      </c>
      <c r="DP87" s="3906">
        <f t="shared" si="221"/>
        <v>1</v>
      </c>
      <c r="DQ87" s="3906">
        <f t="shared" si="222"/>
        <v>1</v>
      </c>
      <c r="DR87" s="3906">
        <f t="shared" si="223"/>
        <v>1</v>
      </c>
      <c r="DS87" s="3906">
        <f t="shared" si="235"/>
        <v>1</v>
      </c>
      <c r="DT87" s="3906">
        <f t="shared" si="224"/>
        <v>1</v>
      </c>
      <c r="DU87" s="3906">
        <f t="shared" si="225"/>
        <v>1</v>
      </c>
      <c r="DV87" s="3906">
        <f t="shared" si="226"/>
        <v>1</v>
      </c>
      <c r="DW87" s="3906">
        <f t="shared" si="236"/>
        <v>1</v>
      </c>
      <c r="DX87" s="3906">
        <f t="shared" si="227"/>
        <v>1</v>
      </c>
      <c r="DY87" s="3906">
        <f t="shared" si="228"/>
        <v>1</v>
      </c>
      <c r="DZ87" s="3906">
        <f t="shared" si="229"/>
        <v>1</v>
      </c>
      <c r="EA87" s="3906">
        <f t="shared" si="230"/>
        <v>1</v>
      </c>
      <c r="EB87" s="3906">
        <f t="shared" si="231"/>
        <v>1</v>
      </c>
      <c r="EC87" s="3906">
        <f t="shared" si="232"/>
        <v>1</v>
      </c>
      <c r="ED87" s="3906">
        <f t="shared" si="233"/>
        <v>1</v>
      </c>
    </row>
    <row r="88" spans="1:134" ht="21" x14ac:dyDescent="0.25">
      <c r="A88" s="5601">
        <v>11056427</v>
      </c>
      <c r="B88" s="3924" t="s">
        <v>1875</v>
      </c>
      <c r="C88" s="3908" t="s">
        <v>4567</v>
      </c>
      <c r="D88" s="344" t="s">
        <v>4568</v>
      </c>
      <c r="E88" s="3904" t="s">
        <v>4569</v>
      </c>
      <c r="F88" s="3912" t="s">
        <v>4570</v>
      </c>
      <c r="G88" s="3913" t="s">
        <v>4571</v>
      </c>
      <c r="H88" s="3912" t="s">
        <v>4572</v>
      </c>
      <c r="I88" s="3913" t="s">
        <v>4573</v>
      </c>
      <c r="J88" s="3905" t="s">
        <v>4574</v>
      </c>
      <c r="K88" s="3914" t="s">
        <v>4575</v>
      </c>
      <c r="L88" s="3915" t="s">
        <v>4576</v>
      </c>
      <c r="M88" s="3914" t="s">
        <v>4577</v>
      </c>
      <c r="N88" s="3915" t="s">
        <v>4578</v>
      </c>
      <c r="O88" s="3914" t="s">
        <v>4579</v>
      </c>
      <c r="P88" s="3915" t="s">
        <v>4580</v>
      </c>
      <c r="Q88" s="3914" t="s">
        <v>4581</v>
      </c>
      <c r="R88" s="3915" t="s">
        <v>4582</v>
      </c>
      <c r="S88" s="3914" t="s">
        <v>4583</v>
      </c>
      <c r="T88" s="3915" t="s">
        <v>4584</v>
      </c>
      <c r="U88" s="3914" t="s">
        <v>4585</v>
      </c>
      <c r="V88" s="3915" t="s">
        <v>4586</v>
      </c>
      <c r="W88" s="3914" t="s">
        <v>4587</v>
      </c>
      <c r="X88" s="3915" t="s">
        <v>4588</v>
      </c>
      <c r="Y88" s="3914" t="s">
        <v>4589</v>
      </c>
      <c r="Z88" s="3915" t="s">
        <v>4590</v>
      </c>
      <c r="AA88" s="3914" t="s">
        <v>4591</v>
      </c>
      <c r="AB88" s="3915" t="s">
        <v>4592</v>
      </c>
      <c r="AC88" s="3914" t="s">
        <v>4593</v>
      </c>
      <c r="AD88" s="3915" t="s">
        <v>4594</v>
      </c>
      <c r="AE88" s="3914" t="s">
        <v>4595</v>
      </c>
      <c r="AF88" s="3915" t="s">
        <v>4596</v>
      </c>
      <c r="AG88" s="3914" t="s">
        <v>4597</v>
      </c>
      <c r="AH88" s="3915" t="s">
        <v>4598</v>
      </c>
      <c r="AI88" s="3914" t="s">
        <v>4599</v>
      </c>
      <c r="AJ88" s="3915" t="s">
        <v>4600</v>
      </c>
      <c r="AK88" s="3914" t="s">
        <v>4601</v>
      </c>
      <c r="AL88" s="3915" t="s">
        <v>4602</v>
      </c>
      <c r="AM88" s="3914" t="s">
        <v>4603</v>
      </c>
      <c r="AN88" s="3915" t="s">
        <v>4604</v>
      </c>
      <c r="AO88" s="3914" t="s">
        <v>4605</v>
      </c>
      <c r="AP88" s="3915" t="s">
        <v>4606</v>
      </c>
      <c r="AQ88" s="3914" t="s">
        <v>4934</v>
      </c>
      <c r="AR88" s="3916" t="s">
        <v>4935</v>
      </c>
      <c r="AS88" s="3904" t="s">
        <v>4936</v>
      </c>
      <c r="AT88" s="3902" t="s">
        <v>4937</v>
      </c>
      <c r="AU88" s="3903" t="s">
        <v>5234</v>
      </c>
      <c r="AV88" s="3902" t="s">
        <v>5235</v>
      </c>
      <c r="AW88" s="3904" t="s">
        <v>5236</v>
      </c>
      <c r="AX88" s="3905" t="s">
        <v>5237</v>
      </c>
      <c r="AY88" s="1864" t="e">
        <f>$CB88&amp;CC88&amp;CD88&amp;$CE88&amp;CF88&amp;CG88&amp;CH88</f>
        <v>#VALUE!</v>
      </c>
      <c r="CB88" s="1865" t="e">
        <f t="shared" ref="CB88:CB96" si="237">IF(C88&lt;&gt;(AT88+AS88)," * La suma de las columnas "&amp;AS$10&amp;""&amp;" DEBE SER IGUAL a los Exámenes Procesados. ","")</f>
        <v>#VALUE!</v>
      </c>
      <c r="CC88" s="1865" t="e">
        <f t="shared" si="201"/>
        <v>#VALUE!</v>
      </c>
      <c r="CD88" s="1865" t="str">
        <f t="shared" si="202"/>
        <v xml:space="preserve"> *El Número de Pueblos Originarios no puede superar el Total Procesados. </v>
      </c>
      <c r="CE88" s="1865" t="str">
        <f t="shared" si="203"/>
        <v xml:space="preserve"> *El Número de Migrantes no puede superar el Total Procesados. </v>
      </c>
      <c r="CF88" s="1865" t="str">
        <f>IF(E88&lt;F88,CONCATENATE("* El total de Procesados debe ser mayor o igual al total de Reactivos en el grupo de edad ",$E$11),"")</f>
        <v>* El total de Procesados debe ser mayor o igual al total de Reactivos en el grupo de edad Menos de 6 meses</v>
      </c>
      <c r="CG88" s="1865" t="str">
        <f>IF(G88&lt;H88,CONCATENATE("* El total de Procesados debe ser mayor o igual al total de Reactivos en el grupo de edad ",$G$11),"")</f>
        <v>* El total de Procesados debe ser mayor o igual al total de Reactivos en el grupo de edad 6 - 11 meses</v>
      </c>
      <c r="CH88" s="1865" t="str">
        <f>IF(I88&lt;J88,CONCATENATE("* El total de Procesados debe ser mayor o igual al total de Reactivos en el grupo de edad ",$I$11),"")</f>
        <v>* El total de Procesados debe ser mayor o igual al total de Reactivos en el grupo de edad 12-24 meses</v>
      </c>
      <c r="CI88" s="1868"/>
      <c r="CJ88" s="1868"/>
      <c r="CK88" s="3917"/>
      <c r="CL88" s="1868"/>
      <c r="CM88" s="1868"/>
      <c r="CN88" s="1868"/>
      <c r="CO88" s="1868"/>
      <c r="CP88" s="1868"/>
      <c r="CQ88" s="1868"/>
      <c r="CR88" s="1868"/>
      <c r="CS88" s="1868"/>
      <c r="CT88" s="1868"/>
      <c r="CU88" s="1868"/>
      <c r="CV88" s="1868"/>
      <c r="CW88" s="1868"/>
      <c r="CX88" s="1868"/>
      <c r="CY88" s="1868"/>
      <c r="DF88" s="1936"/>
      <c r="DG88" s="3922" t="e">
        <f t="shared" ref="DG88:DG96" si="238">IF(C88&lt;&gt;(AT88+AS88),1,0)</f>
        <v>#VALUE!</v>
      </c>
      <c r="DH88" s="3906" t="e">
        <f t="shared" si="218"/>
        <v>#VALUE!</v>
      </c>
      <c r="DI88" s="3906">
        <f t="shared" si="219"/>
        <v>1</v>
      </c>
      <c r="DJ88" s="3906">
        <f t="shared" si="220"/>
        <v>1</v>
      </c>
      <c r="DK88" s="3906">
        <f>IF(E88&lt;F88,1,0)</f>
        <v>1</v>
      </c>
      <c r="DL88" s="3906">
        <f>IF(G88&lt;H88,1,0)</f>
        <v>1</v>
      </c>
      <c r="DM88" s="3906">
        <f>IF(I88&lt;J88,1,0)</f>
        <v>1</v>
      </c>
      <c r="DN88" s="1868"/>
      <c r="DO88" s="1868"/>
      <c r="DP88" s="1866"/>
      <c r="DQ88" s="1866"/>
      <c r="DR88" s="1866"/>
      <c r="DS88" s="1866"/>
      <c r="DT88" s="1866"/>
      <c r="DU88" s="1866"/>
      <c r="DV88" s="1866"/>
      <c r="DW88" s="1866"/>
      <c r="DX88" s="1866"/>
      <c r="DY88" s="1866"/>
      <c r="DZ88" s="1866"/>
      <c r="EA88" s="1866"/>
      <c r="EB88" s="1866"/>
      <c r="EC88" s="1866"/>
      <c r="ED88" s="1866"/>
    </row>
    <row r="89" spans="1:134" x14ac:dyDescent="0.25">
      <c r="A89" s="5601">
        <v>11056428</v>
      </c>
      <c r="B89" s="3924" t="s">
        <v>1876</v>
      </c>
      <c r="C89" s="3908" t="s">
        <v>4567</v>
      </c>
      <c r="D89" s="344" t="s">
        <v>4568</v>
      </c>
      <c r="E89" s="3918" t="s">
        <v>4569</v>
      </c>
      <c r="F89" s="3910" t="s">
        <v>4570</v>
      </c>
      <c r="G89" s="3909" t="s">
        <v>4571</v>
      </c>
      <c r="H89" s="3910" t="s">
        <v>4572</v>
      </c>
      <c r="I89" s="3909" t="s">
        <v>4573</v>
      </c>
      <c r="J89" s="3910" t="s">
        <v>4574</v>
      </c>
      <c r="K89" s="3909" t="s">
        <v>4575</v>
      </c>
      <c r="L89" s="3910" t="s">
        <v>4576</v>
      </c>
      <c r="M89" s="3909" t="s">
        <v>4577</v>
      </c>
      <c r="N89" s="3911" t="s">
        <v>4578</v>
      </c>
      <c r="O89" s="3918" t="s">
        <v>4579</v>
      </c>
      <c r="P89" s="3910" t="s">
        <v>4580</v>
      </c>
      <c r="Q89" s="3913" t="s">
        <v>4581</v>
      </c>
      <c r="R89" s="3912" t="s">
        <v>4582</v>
      </c>
      <c r="S89" s="3913" t="s">
        <v>4583</v>
      </c>
      <c r="T89" s="3912" t="s">
        <v>4584</v>
      </c>
      <c r="U89" s="3913" t="s">
        <v>4585</v>
      </c>
      <c r="V89" s="3912" t="s">
        <v>4586</v>
      </c>
      <c r="W89" s="3913" t="s">
        <v>4587</v>
      </c>
      <c r="X89" s="3912" t="s">
        <v>4588</v>
      </c>
      <c r="Y89" s="3913" t="s">
        <v>4589</v>
      </c>
      <c r="Z89" s="3912" t="s">
        <v>4590</v>
      </c>
      <c r="AA89" s="3913" t="s">
        <v>4591</v>
      </c>
      <c r="AB89" s="3912" t="s">
        <v>4592</v>
      </c>
      <c r="AC89" s="3913" t="s">
        <v>4593</v>
      </c>
      <c r="AD89" s="3912" t="s">
        <v>4594</v>
      </c>
      <c r="AE89" s="3913" t="s">
        <v>4595</v>
      </c>
      <c r="AF89" s="3912" t="s">
        <v>4596</v>
      </c>
      <c r="AG89" s="3913" t="s">
        <v>4597</v>
      </c>
      <c r="AH89" s="3912" t="s">
        <v>4598</v>
      </c>
      <c r="AI89" s="3913" t="s">
        <v>4599</v>
      </c>
      <c r="AJ89" s="3912" t="s">
        <v>4600</v>
      </c>
      <c r="AK89" s="3913" t="s">
        <v>4601</v>
      </c>
      <c r="AL89" s="3912" t="s">
        <v>4602</v>
      </c>
      <c r="AM89" s="3913" t="s">
        <v>4603</v>
      </c>
      <c r="AN89" s="3912" t="s">
        <v>4604</v>
      </c>
      <c r="AO89" s="3913" t="s">
        <v>4605</v>
      </c>
      <c r="AP89" s="3912" t="s">
        <v>4606</v>
      </c>
      <c r="AQ89" s="3913" t="s">
        <v>4934</v>
      </c>
      <c r="AR89" s="3902" t="s">
        <v>4935</v>
      </c>
      <c r="AS89" s="3904" t="s">
        <v>4936</v>
      </c>
      <c r="AT89" s="3902" t="s">
        <v>4937</v>
      </c>
      <c r="AU89" s="3903" t="s">
        <v>5234</v>
      </c>
      <c r="AV89" s="3902" t="s">
        <v>5235</v>
      </c>
      <c r="AW89" s="3904" t="s">
        <v>5236</v>
      </c>
      <c r="AX89" s="3905" t="s">
        <v>5237</v>
      </c>
      <c r="AY89" s="1864" t="e">
        <f>$CB89&amp;CC89&amp;CD89&amp;$CE89&amp;CL89&amp;CM89&amp;CN89&amp;CO89&amp;CP89&amp;CQ89&amp;CR89&amp;CS89&amp;CT89&amp;CU89&amp;CV89&amp;CW89&amp;CX89&amp;CY89</f>
        <v>#VALUE!</v>
      </c>
      <c r="CB89" s="1865" t="e">
        <f t="shared" si="237"/>
        <v>#VALUE!</v>
      </c>
      <c r="CC89" s="1865" t="e">
        <f t="shared" si="201"/>
        <v>#VALUE!</v>
      </c>
      <c r="CD89" s="1865" t="str">
        <f t="shared" si="202"/>
        <v xml:space="preserve"> *El Número de Pueblos Originarios no puede superar el Total Procesados. </v>
      </c>
      <c r="CE89" s="1865" t="str">
        <f t="shared" si="203"/>
        <v xml:space="preserve"> *El Número de Migrantes no puede superar el Total Procesados. </v>
      </c>
      <c r="CF89" s="3917"/>
      <c r="CG89" s="3917"/>
      <c r="CH89" s="1868"/>
      <c r="CI89" s="1868"/>
      <c r="CJ89" s="1868"/>
      <c r="CK89" s="3917"/>
      <c r="CL89" s="1865" t="str">
        <f t="shared" ref="CL89:CL96" si="239">IF(Q89&lt;R89,CONCATENATE("* El total de Procesados debe ser mayor o igual al total de Reactivos en el grupo de edad ",$Q$11),"")</f>
        <v>* El total de Procesados debe ser mayor o igual al total de Reactivos en el grupo de edad 15 - 19 años</v>
      </c>
      <c r="CM89" s="1865" t="str">
        <f t="shared" ref="CM89:CM96" si="240">IF(S89&lt;T89,CONCATENATE("* El total de Procesados debe ser mayor o igual al total de Reactivos en el grupo de edad ",$S$11),"")</f>
        <v>* El total de Procesados debe ser mayor o igual al total de Reactivos en el grupo de edad 20 - 24 años</v>
      </c>
      <c r="CN89" s="1865" t="str">
        <f t="shared" si="234"/>
        <v>* El total de Procesados debe ser mayor o igual al total de Reactivos en el grupo de edad 25 - 29 años</v>
      </c>
      <c r="CO89" s="1865" t="str">
        <f t="shared" ref="CO89:CO96" si="241">IF(W89&lt;X89,CONCATENATE("* El total de Procesados debe ser mayor o igual al total de Reactivos en el grupo de edad ",$W$11),"")</f>
        <v>* El total de Procesados debe ser mayor o igual al total de Reactivos en el grupo de edad 30 - 34 años</v>
      </c>
      <c r="CP89" s="1865" t="str">
        <f t="shared" ref="CP89:CP96" si="242">IF(Y89&lt;Z89,CONCATENATE("* El total de Procesados debe ser mayor o igual al total de Reactivos en el grupo de edad ",$Y$11),"")</f>
        <v>* El total de Procesados debe ser mayor o igual al total de Reactivos en el grupo de edad 35 - 39 años</v>
      </c>
      <c r="CQ89" s="1865" t="str">
        <f t="shared" ref="CQ89:CQ96" si="243">IF(AA89&lt;AB89,CONCATENATE("* El total de Procesados debe ser mayor o igual al total de Reactivos en el grupo de edad ",$AA$11),"")</f>
        <v>* El total de Procesados debe ser mayor o igual al total de Reactivos en el grupo de edad 40 - 44 años</v>
      </c>
      <c r="CR89" s="1865" t="str">
        <f t="shared" ref="CR89:CR96" si="244">IF(AC89&lt;AD89,CONCATENATE("* El total de Procesados debe ser mayor o igual al total de Reactivos en el grupo de edad ",$AC$11),"")</f>
        <v>* El total de Procesados debe ser mayor o igual al total de Reactivos en el grupo de edad 45 - 49 años</v>
      </c>
      <c r="CS89" s="1865" t="str">
        <f t="shared" ref="CS89:CS96" si="245">IF(AE89&lt;AF89,CONCATENATE("* El total de Procesados debe ser mayor o igual al total de Reactivos en el grupo de edad ",$AE$11),"")</f>
        <v>* El total de Procesados debe ser mayor o igual al total de Reactivos en el grupo de edad 50 - 54 años</v>
      </c>
      <c r="CT89" s="1865" t="str">
        <f t="shared" ref="CT89:CT96" si="246">IF(AG89&lt;AH89,CONCATENATE("* El total de Procesados debe ser mayor o igual al total de Reactivos en el grupo de edad ",$AG$11),"")</f>
        <v>* El total de Procesados debe ser mayor o igual al total de Reactivos en el grupo de edad 55 - 59 años</v>
      </c>
      <c r="CU89" s="1865" t="str">
        <f t="shared" ref="CU89:CU96" si="247">IF(AI89&lt;AJ89,CONCATENATE("* El total de Procesados debe ser mayor o igual al total de Reactivos en el grupo de edad ",$AI$11),"")</f>
        <v>* El total de Procesados debe ser mayor o igual al total de Reactivos en el grupo de edad 60 - 64 años</v>
      </c>
      <c r="CV89" s="1865" t="str">
        <f>IF(AK89&lt;AL89,CONCATENATE("* El total de Procesados debe ser mayor o igual al total de Reactivos en el grupo de edad ",$AK$11),"")</f>
        <v>* El total de Procesados debe ser mayor o igual al total de Reactivos en el grupo de edad 65 - 69 años</v>
      </c>
      <c r="CW89" s="1865" t="str">
        <f>IF(AM89&lt;AN89,CONCATENATE("* El total de Procesados debe ser mayor o igual al total de Reactivos en el grupo de edad ",$AM$11),"")</f>
        <v>* El total de Procesados debe ser mayor o igual al total de Reactivos en el grupo de edad 70 - 74 años</v>
      </c>
      <c r="CX89" s="1865" t="str">
        <f>IF(AO89&lt;AP89,CONCATENATE("* El total de Procesados debe ser mayor o igual al total de Reactivos en el grupo de edad ",$AO$11),"")</f>
        <v>* El total de Procesados debe ser mayor o igual al total de Reactivos en el grupo de edad 75 - 79 años</v>
      </c>
      <c r="CY89" s="1865" t="str">
        <f>IF(AQ89&lt;AR89,CONCATENATE("* El total de Procesados debe ser mayor o igual al total de Reactivos en el grupo de edad ",$AQ$11),"")</f>
        <v>* El total de Procesados debe ser mayor o igual al total de Reactivos en el grupo de edad 80 y más años</v>
      </c>
      <c r="DF89" s="1936"/>
      <c r="DG89" s="3922" t="e">
        <f t="shared" si="238"/>
        <v>#VALUE!</v>
      </c>
      <c r="DH89" s="3906" t="e">
        <f t="shared" si="218"/>
        <v>#VALUE!</v>
      </c>
      <c r="DI89" s="3906">
        <f t="shared" si="219"/>
        <v>1</v>
      </c>
      <c r="DJ89" s="3906">
        <f t="shared" si="220"/>
        <v>1</v>
      </c>
      <c r="DK89" s="1868"/>
      <c r="DL89" s="1868"/>
      <c r="DM89" s="1868"/>
      <c r="DN89" s="1868"/>
      <c r="DO89" s="1868"/>
      <c r="DP89" s="1866"/>
      <c r="DQ89" s="3906">
        <f t="shared" ref="DQ89:DQ96" si="248">IF(Q89&lt;R89,1,0)</f>
        <v>1</v>
      </c>
      <c r="DR89" s="3906">
        <f t="shared" ref="DR89:DR96" si="249">IF(S89&lt;T89,1,0)</f>
        <v>1</v>
      </c>
      <c r="DS89" s="3906">
        <f t="shared" si="235"/>
        <v>1</v>
      </c>
      <c r="DT89" s="3906">
        <f t="shared" ref="DT89:DT96" si="250">IF(W89&lt;X89,1,0)</f>
        <v>1</v>
      </c>
      <c r="DU89" s="3906">
        <f t="shared" ref="DU89:DU96" si="251">IF(Y89&lt;Z89,1,0)</f>
        <v>1</v>
      </c>
      <c r="DV89" s="3906">
        <f t="shared" ref="DV89:DV96" si="252">IF(AA89&lt;AB89,1,0)</f>
        <v>1</v>
      </c>
      <c r="DW89" s="3906">
        <f t="shared" si="236"/>
        <v>1</v>
      </c>
      <c r="DX89" s="3906">
        <f t="shared" ref="DX89:DX96" si="253">IF(AE89&lt;AF89,1,0)</f>
        <v>1</v>
      </c>
      <c r="DY89" s="3906">
        <f t="shared" ref="DY89:DY96" si="254">IF(AG89&lt;AH89,1,0)</f>
        <v>1</v>
      </c>
      <c r="DZ89" s="3906">
        <f t="shared" ref="DZ89:DZ96" si="255">IF(AI89&lt;AJ89,1,0)</f>
        <v>1</v>
      </c>
      <c r="EA89" s="3906">
        <f>IF(AK89&lt;AL89,1,0)</f>
        <v>1</v>
      </c>
      <c r="EB89" s="3906">
        <f>IF(AM89&lt;AN89,1,0)</f>
        <v>1</v>
      </c>
      <c r="EC89" s="3906">
        <f>IF(AO89&lt;AP89,1,0)</f>
        <v>1</v>
      </c>
      <c r="ED89" s="3906">
        <f>IF(AQ89&lt;AR89,1,0)</f>
        <v>1</v>
      </c>
    </row>
    <row r="90" spans="1:134" x14ac:dyDescent="0.25">
      <c r="A90" s="5601">
        <v>11056429</v>
      </c>
      <c r="B90" s="3923" t="s">
        <v>1877</v>
      </c>
      <c r="C90" s="3908" t="s">
        <v>4567</v>
      </c>
      <c r="D90" s="344" t="s">
        <v>4568</v>
      </c>
      <c r="E90" s="3901" t="s">
        <v>4569</v>
      </c>
      <c r="F90" s="3915" t="s">
        <v>4570</v>
      </c>
      <c r="G90" s="3914" t="s">
        <v>4571</v>
      </c>
      <c r="H90" s="3915" t="s">
        <v>4572</v>
      </c>
      <c r="I90" s="3914" t="s">
        <v>4573</v>
      </c>
      <c r="J90" s="3919" t="s">
        <v>4574</v>
      </c>
      <c r="K90" s="3901" t="s">
        <v>4575</v>
      </c>
      <c r="L90" s="3901" t="s">
        <v>4576</v>
      </c>
      <c r="M90" s="3914" t="s">
        <v>4577</v>
      </c>
      <c r="N90" s="3919" t="s">
        <v>4578</v>
      </c>
      <c r="O90" s="3904" t="s">
        <v>4579</v>
      </c>
      <c r="P90" s="3912" t="s">
        <v>4580</v>
      </c>
      <c r="Q90" s="3913" t="s">
        <v>4581</v>
      </c>
      <c r="R90" s="3912" t="s">
        <v>4582</v>
      </c>
      <c r="S90" s="3913" t="s">
        <v>4583</v>
      </c>
      <c r="T90" s="3912" t="s">
        <v>4584</v>
      </c>
      <c r="U90" s="3913" t="s">
        <v>4585</v>
      </c>
      <c r="V90" s="3912" t="s">
        <v>4586</v>
      </c>
      <c r="W90" s="3913" t="s">
        <v>4587</v>
      </c>
      <c r="X90" s="3912" t="s">
        <v>4588</v>
      </c>
      <c r="Y90" s="3913" t="s">
        <v>4589</v>
      </c>
      <c r="Z90" s="3912" t="s">
        <v>4590</v>
      </c>
      <c r="AA90" s="3913" t="s">
        <v>4591</v>
      </c>
      <c r="AB90" s="3912" t="s">
        <v>4592</v>
      </c>
      <c r="AC90" s="3913" t="s">
        <v>4593</v>
      </c>
      <c r="AD90" s="3912" t="s">
        <v>4594</v>
      </c>
      <c r="AE90" s="3913" t="s">
        <v>4595</v>
      </c>
      <c r="AF90" s="3912" t="s">
        <v>4596</v>
      </c>
      <c r="AG90" s="3913" t="s">
        <v>4597</v>
      </c>
      <c r="AH90" s="3912" t="s">
        <v>4598</v>
      </c>
      <c r="AI90" s="3913" t="s">
        <v>4599</v>
      </c>
      <c r="AJ90" s="3912" t="s">
        <v>4600</v>
      </c>
      <c r="AK90" s="3913" t="s">
        <v>4601</v>
      </c>
      <c r="AL90" s="3912" t="s">
        <v>4602</v>
      </c>
      <c r="AM90" s="3913" t="s">
        <v>4603</v>
      </c>
      <c r="AN90" s="3912" t="s">
        <v>4604</v>
      </c>
      <c r="AO90" s="3913" t="s">
        <v>4605</v>
      </c>
      <c r="AP90" s="3912" t="s">
        <v>4606</v>
      </c>
      <c r="AQ90" s="3913" t="s">
        <v>4934</v>
      </c>
      <c r="AR90" s="3902" t="s">
        <v>4935</v>
      </c>
      <c r="AS90" s="3904" t="s">
        <v>4936</v>
      </c>
      <c r="AT90" s="3902" t="s">
        <v>4937</v>
      </c>
      <c r="AU90" s="3903" t="s">
        <v>5234</v>
      </c>
      <c r="AV90" s="3902" t="s">
        <v>5235</v>
      </c>
      <c r="AW90" s="3904" t="s">
        <v>5236</v>
      </c>
      <c r="AX90" s="3905" t="s">
        <v>5237</v>
      </c>
      <c r="AY90" s="1864" t="e">
        <f>$CB90&amp;CC90&amp;CD90&amp;$CE90&amp;CK90&amp;CL90&amp;CM90&amp;CN90&amp;CO90&amp;CP90&amp;CQ90&amp;CR90&amp;CS90&amp;CT90&amp;CU90&amp;CV90&amp;CW90&amp;CX90&amp;CY90</f>
        <v>#VALUE!</v>
      </c>
      <c r="CB90" s="1865" t="e">
        <f t="shared" si="237"/>
        <v>#VALUE!</v>
      </c>
      <c r="CC90" s="1865" t="e">
        <f t="shared" si="201"/>
        <v>#VALUE!</v>
      </c>
      <c r="CD90" s="1865" t="str">
        <f t="shared" si="202"/>
        <v xml:space="preserve"> *El Número de Pueblos Originarios no puede superar el Total Procesados. </v>
      </c>
      <c r="CE90" s="1865" t="str">
        <f t="shared" si="203"/>
        <v xml:space="preserve"> *El Número de Migrantes no puede superar el Total Procesados. </v>
      </c>
      <c r="CF90" s="3917"/>
      <c r="CG90" s="3917"/>
      <c r="CH90" s="1868"/>
      <c r="CI90" s="1868"/>
      <c r="CJ90" s="1868"/>
      <c r="CK90" s="1865" t="str">
        <f>IF(O90&lt;P90,CONCATENATE("* El total de Procesados debe ser mayor o igual al total de Reactivos en el grupo de edad ",$O$11),"")</f>
        <v>* El total de Procesados debe ser mayor o igual al total de Reactivos en el grupo de edad 10 - 14 años</v>
      </c>
      <c r="CL90" s="1865" t="str">
        <f t="shared" si="239"/>
        <v>* El total de Procesados debe ser mayor o igual al total de Reactivos en el grupo de edad 15 - 19 años</v>
      </c>
      <c r="CM90" s="1865" t="str">
        <f t="shared" si="240"/>
        <v>* El total de Procesados debe ser mayor o igual al total de Reactivos en el grupo de edad 20 - 24 años</v>
      </c>
      <c r="CN90" s="1865" t="str">
        <f t="shared" si="234"/>
        <v>* El total de Procesados debe ser mayor o igual al total de Reactivos en el grupo de edad 25 - 29 años</v>
      </c>
      <c r="CO90" s="1865" t="str">
        <f t="shared" si="241"/>
        <v>* El total de Procesados debe ser mayor o igual al total de Reactivos en el grupo de edad 30 - 34 años</v>
      </c>
      <c r="CP90" s="1865" t="str">
        <f t="shared" si="242"/>
        <v>* El total de Procesados debe ser mayor o igual al total de Reactivos en el grupo de edad 35 - 39 años</v>
      </c>
      <c r="CQ90" s="1865" t="str">
        <f t="shared" si="243"/>
        <v>* El total de Procesados debe ser mayor o igual al total de Reactivos en el grupo de edad 40 - 44 años</v>
      </c>
      <c r="CR90" s="1865" t="str">
        <f t="shared" si="244"/>
        <v>* El total de Procesados debe ser mayor o igual al total de Reactivos en el grupo de edad 45 - 49 años</v>
      </c>
      <c r="CS90" s="1865" t="str">
        <f t="shared" si="245"/>
        <v>* El total de Procesados debe ser mayor o igual al total de Reactivos en el grupo de edad 50 - 54 años</v>
      </c>
      <c r="CT90" s="1865" t="str">
        <f t="shared" si="246"/>
        <v>* El total de Procesados debe ser mayor o igual al total de Reactivos en el grupo de edad 55 - 59 años</v>
      </c>
      <c r="CU90" s="1865" t="str">
        <f t="shared" si="247"/>
        <v>* El total de Procesados debe ser mayor o igual al total de Reactivos en el grupo de edad 60 - 64 años</v>
      </c>
      <c r="CV90" s="1865" t="str">
        <f>IF(AK90&lt;AL90,CONCATENATE("* El total de Procesados debe ser mayor o igual al total de Reactivos en el grupo de edad ",$AK$11),"")</f>
        <v>* El total de Procesados debe ser mayor o igual al total de Reactivos en el grupo de edad 65 - 69 años</v>
      </c>
      <c r="CW90" s="1865" t="str">
        <f>IF(AM90&lt;AN90,CONCATENATE("* El total de Procesados debe ser mayor o igual al total de Reactivos en el grupo de edad ",$AM$11),"")</f>
        <v>* El total de Procesados debe ser mayor o igual al total de Reactivos en el grupo de edad 70 - 74 años</v>
      </c>
      <c r="CX90" s="1865" t="str">
        <f>IF(AO90&lt;AP90,CONCATENATE("* El total de Procesados debe ser mayor o igual al total de Reactivos en el grupo de edad ",$AO$11),"")</f>
        <v>* El total de Procesados debe ser mayor o igual al total de Reactivos en el grupo de edad 75 - 79 años</v>
      </c>
      <c r="CY90" s="1865" t="str">
        <f>IF(AQ90&lt;AR90,CONCATENATE("* El total de Procesados debe ser mayor o igual al total de Reactivos en el grupo de edad ",$AQ$11),"")</f>
        <v>* El total de Procesados debe ser mayor o igual al total de Reactivos en el grupo de edad 80 y más años</v>
      </c>
      <c r="DF90" s="1936"/>
      <c r="DG90" s="3922" t="e">
        <f t="shared" si="238"/>
        <v>#VALUE!</v>
      </c>
      <c r="DH90" s="3906" t="e">
        <f t="shared" si="218"/>
        <v>#VALUE!</v>
      </c>
      <c r="DI90" s="3906">
        <f t="shared" si="219"/>
        <v>1</v>
      </c>
      <c r="DJ90" s="3906">
        <f t="shared" si="220"/>
        <v>1</v>
      </c>
      <c r="DK90" s="1868"/>
      <c r="DL90" s="1868"/>
      <c r="DM90" s="1868"/>
      <c r="DN90" s="1868"/>
      <c r="DO90" s="1868"/>
      <c r="DP90" s="3906">
        <f>IF(O90&lt;P90,1,0)</f>
        <v>1</v>
      </c>
      <c r="DQ90" s="3906">
        <f t="shared" si="248"/>
        <v>1</v>
      </c>
      <c r="DR90" s="3906">
        <f t="shared" si="249"/>
        <v>1</v>
      </c>
      <c r="DS90" s="3906">
        <f t="shared" si="235"/>
        <v>1</v>
      </c>
      <c r="DT90" s="3906">
        <f t="shared" si="250"/>
        <v>1</v>
      </c>
      <c r="DU90" s="3906">
        <f t="shared" si="251"/>
        <v>1</v>
      </c>
      <c r="DV90" s="3906">
        <f t="shared" si="252"/>
        <v>1</v>
      </c>
      <c r="DW90" s="3906">
        <f t="shared" si="236"/>
        <v>1</v>
      </c>
      <c r="DX90" s="3906">
        <f t="shared" si="253"/>
        <v>1</v>
      </c>
      <c r="DY90" s="3906">
        <f t="shared" si="254"/>
        <v>1</v>
      </c>
      <c r="DZ90" s="3906">
        <f t="shared" si="255"/>
        <v>1</v>
      </c>
      <c r="EA90" s="3906">
        <f>IF(AK90&lt;AL90,1,0)</f>
        <v>1</v>
      </c>
      <c r="EB90" s="3906">
        <f>IF(AM90&lt;AN90,1,0)</f>
        <v>1</v>
      </c>
      <c r="EC90" s="3906">
        <f>IF(AO90&lt;AP90,1,0)</f>
        <v>1</v>
      </c>
      <c r="ED90" s="3906">
        <f>IF(AQ90&lt;AR90,1,0)</f>
        <v>1</v>
      </c>
    </row>
    <row r="91" spans="1:134" x14ac:dyDescent="0.25">
      <c r="A91" s="5601">
        <v>11056430</v>
      </c>
      <c r="B91" s="3923" t="s">
        <v>1878</v>
      </c>
      <c r="C91" s="3908" t="s">
        <v>4567</v>
      </c>
      <c r="D91" s="344" t="s">
        <v>4568</v>
      </c>
      <c r="E91" s="3904" t="s">
        <v>4569</v>
      </c>
      <c r="F91" s="3912" t="s">
        <v>4570</v>
      </c>
      <c r="G91" s="3913" t="s">
        <v>4571</v>
      </c>
      <c r="H91" s="3912" t="s">
        <v>4572</v>
      </c>
      <c r="I91" s="3913" t="s">
        <v>4573</v>
      </c>
      <c r="J91" s="3905" t="s">
        <v>4574</v>
      </c>
      <c r="K91" s="3904" t="s">
        <v>4575</v>
      </c>
      <c r="L91" s="3904" t="s">
        <v>4576</v>
      </c>
      <c r="M91" s="3913" t="s">
        <v>4577</v>
      </c>
      <c r="N91" s="3905" t="s">
        <v>4578</v>
      </c>
      <c r="O91" s="3904" t="s">
        <v>4579</v>
      </c>
      <c r="P91" s="3912" t="s">
        <v>4580</v>
      </c>
      <c r="Q91" s="3913" t="s">
        <v>4581</v>
      </c>
      <c r="R91" s="3912" t="s">
        <v>4582</v>
      </c>
      <c r="S91" s="3913" t="s">
        <v>4583</v>
      </c>
      <c r="T91" s="3912" t="s">
        <v>4584</v>
      </c>
      <c r="U91" s="3913" t="s">
        <v>4585</v>
      </c>
      <c r="V91" s="3912" t="s">
        <v>4586</v>
      </c>
      <c r="W91" s="3913" t="s">
        <v>4587</v>
      </c>
      <c r="X91" s="3912" t="s">
        <v>4588</v>
      </c>
      <c r="Y91" s="3913" t="s">
        <v>4589</v>
      </c>
      <c r="Z91" s="3912" t="s">
        <v>4590</v>
      </c>
      <c r="AA91" s="3913" t="s">
        <v>4591</v>
      </c>
      <c r="AB91" s="3912" t="s">
        <v>4592</v>
      </c>
      <c r="AC91" s="3913" t="s">
        <v>4593</v>
      </c>
      <c r="AD91" s="3912" t="s">
        <v>4594</v>
      </c>
      <c r="AE91" s="3913" t="s">
        <v>4595</v>
      </c>
      <c r="AF91" s="3912" t="s">
        <v>4596</v>
      </c>
      <c r="AG91" s="3913" t="s">
        <v>4597</v>
      </c>
      <c r="AH91" s="3912" t="s">
        <v>4598</v>
      </c>
      <c r="AI91" s="3913" t="s">
        <v>4599</v>
      </c>
      <c r="AJ91" s="3912" t="s">
        <v>4600</v>
      </c>
      <c r="AK91" s="3913" t="s">
        <v>4601</v>
      </c>
      <c r="AL91" s="3912" t="s">
        <v>4602</v>
      </c>
      <c r="AM91" s="3913" t="s">
        <v>4603</v>
      </c>
      <c r="AN91" s="3912" t="s">
        <v>4604</v>
      </c>
      <c r="AO91" s="3913" t="s">
        <v>4605</v>
      </c>
      <c r="AP91" s="3912" t="s">
        <v>4606</v>
      </c>
      <c r="AQ91" s="3913" t="s">
        <v>4934</v>
      </c>
      <c r="AR91" s="3902" t="s">
        <v>4935</v>
      </c>
      <c r="AS91" s="3904" t="s">
        <v>4936</v>
      </c>
      <c r="AT91" s="3902" t="s">
        <v>4937</v>
      </c>
      <c r="AU91" s="3903" t="s">
        <v>5234</v>
      </c>
      <c r="AV91" s="3902" t="s">
        <v>5235</v>
      </c>
      <c r="AW91" s="3904" t="s">
        <v>5236</v>
      </c>
      <c r="AX91" s="3905" t="s">
        <v>5237</v>
      </c>
      <c r="AY91" s="1864" t="e">
        <f>$CB91&amp;CC91&amp;CD91&amp;$CE91&amp;CF91&amp;CG91&amp;CH91&amp;CI91&amp;CJ91&amp;CK91&amp;CL91&amp;CM91&amp;CN91&amp;CO91&amp;CP91&amp;CQ91&amp;CR91&amp;CS91&amp;CT91&amp;CU91&amp;CV91&amp;CW91&amp;CX91&amp;CY91</f>
        <v>#VALUE!</v>
      </c>
      <c r="CB91" s="1865" t="e">
        <f t="shared" si="237"/>
        <v>#VALUE!</v>
      </c>
      <c r="CC91" s="1865" t="e">
        <f t="shared" si="201"/>
        <v>#VALUE!</v>
      </c>
      <c r="CD91" s="1865" t="str">
        <f t="shared" si="202"/>
        <v xml:space="preserve"> *El Número de Pueblos Originarios no puede superar el Total Procesados. </v>
      </c>
      <c r="CE91" s="1865" t="str">
        <f t="shared" si="203"/>
        <v xml:space="preserve"> *El Número de Migrantes no puede superar el Total Procesados. </v>
      </c>
      <c r="CF91" s="1865" t="str">
        <f>IF(E91&lt;F91,CONCATENATE("* El total de Procesados debe ser mayor o igual al total de Reactivos en el grupo de edad ",$E$11),"")</f>
        <v>* El total de Procesados debe ser mayor o igual al total de Reactivos en el grupo de edad Menos de 6 meses</v>
      </c>
      <c r="CG91" s="1865" t="str">
        <f>IF(G91&lt;H91,CONCATENATE("* El total de Procesados debe ser mayor o igual al total de Reactivos en el grupo de edad ",$G$11),"")</f>
        <v>* El total de Procesados debe ser mayor o igual al total de Reactivos en el grupo de edad 6 - 11 meses</v>
      </c>
      <c r="CH91" s="1865" t="str">
        <f>IF(I91&lt;J91,CONCATENATE("* El total de Procesados debe ser mayor o igual al total de Reactivos en el grupo de edad ",$I$11),"")</f>
        <v>* El total de Procesados debe ser mayor o igual al total de Reactivos en el grupo de edad 12-24 meses</v>
      </c>
      <c r="CI91" s="1865" t="str">
        <f>IF(K91&lt;L91,CONCATENATE("* El total de Procesados debe ser mayor o igual al total de Reactivos en el grupo de edad ",$K$11),"")</f>
        <v>* El total de Procesados debe ser mayor o igual al total de Reactivos en el grupo de edad 3 - 4 años</v>
      </c>
      <c r="CJ91" s="1865" t="str">
        <f>IF(M91&lt;N91,CONCATENATE("* El total de Procesados debe ser mayor o igual al total de Reactivos en el grupo de edad ",$M$11),"")</f>
        <v>* El total de Procesados debe ser mayor o igual al total de Reactivos en el grupo de edad 5 - 9 años</v>
      </c>
      <c r="CK91" s="1865" t="str">
        <f>IF(O91&lt;P91,CONCATENATE("* El total de Procesados debe ser mayor o igual al total de Reactivos en el grupo de edad ",$O$11),"")</f>
        <v>* El total de Procesados debe ser mayor o igual al total de Reactivos en el grupo de edad 10 - 14 años</v>
      </c>
      <c r="CL91" s="1865" t="str">
        <f t="shared" si="239"/>
        <v>* El total de Procesados debe ser mayor o igual al total de Reactivos en el grupo de edad 15 - 19 años</v>
      </c>
      <c r="CM91" s="1865" t="str">
        <f t="shared" si="240"/>
        <v>* El total de Procesados debe ser mayor o igual al total de Reactivos en el grupo de edad 20 - 24 años</v>
      </c>
      <c r="CN91" s="1865" t="str">
        <f t="shared" si="234"/>
        <v>* El total de Procesados debe ser mayor o igual al total de Reactivos en el grupo de edad 25 - 29 años</v>
      </c>
      <c r="CO91" s="1865" t="str">
        <f t="shared" si="241"/>
        <v>* El total de Procesados debe ser mayor o igual al total de Reactivos en el grupo de edad 30 - 34 años</v>
      </c>
      <c r="CP91" s="1865" t="str">
        <f t="shared" si="242"/>
        <v>* El total de Procesados debe ser mayor o igual al total de Reactivos en el grupo de edad 35 - 39 años</v>
      </c>
      <c r="CQ91" s="1865" t="str">
        <f t="shared" si="243"/>
        <v>* El total de Procesados debe ser mayor o igual al total de Reactivos en el grupo de edad 40 - 44 años</v>
      </c>
      <c r="CR91" s="1865" t="str">
        <f t="shared" si="244"/>
        <v>* El total de Procesados debe ser mayor o igual al total de Reactivos en el grupo de edad 45 - 49 años</v>
      </c>
      <c r="CS91" s="1865" t="str">
        <f t="shared" si="245"/>
        <v>* El total de Procesados debe ser mayor o igual al total de Reactivos en el grupo de edad 50 - 54 años</v>
      </c>
      <c r="CT91" s="1865" t="str">
        <f t="shared" si="246"/>
        <v>* El total de Procesados debe ser mayor o igual al total de Reactivos en el grupo de edad 55 - 59 años</v>
      </c>
      <c r="CU91" s="1865" t="str">
        <f t="shared" si="247"/>
        <v>* El total de Procesados debe ser mayor o igual al total de Reactivos en el grupo de edad 60 - 64 años</v>
      </c>
      <c r="CV91" s="1865" t="str">
        <f>IF(AK91&lt;AL91,CONCATENATE("* El total de Procesados debe ser mayor o igual al total de Reactivos en el grupo de edad ",$AK$11),"")</f>
        <v>* El total de Procesados debe ser mayor o igual al total de Reactivos en el grupo de edad 65 - 69 años</v>
      </c>
      <c r="CW91" s="1865" t="str">
        <f>IF(AM91&lt;AN91,CONCATENATE("* El total de Procesados debe ser mayor o igual al total de Reactivos en el grupo de edad ",$AM$11),"")</f>
        <v>* El total de Procesados debe ser mayor o igual al total de Reactivos en el grupo de edad 70 - 74 años</v>
      </c>
      <c r="CX91" s="1865" t="str">
        <f>IF(AO91&lt;AP91,CONCATENATE("* El total de Procesados debe ser mayor o igual al total de Reactivos en el grupo de edad ",$AO$11),"")</f>
        <v>* El total de Procesados debe ser mayor o igual al total de Reactivos en el grupo de edad 75 - 79 años</v>
      </c>
      <c r="CY91" s="1865" t="str">
        <f>IF(AQ91&lt;AR91,CONCATENATE("* El total de Procesados debe ser mayor o igual al total de Reactivos en el grupo de edad ",$AQ$11),"")</f>
        <v>* El total de Procesados debe ser mayor o igual al total de Reactivos en el grupo de edad 80 y más años</v>
      </c>
      <c r="DF91" s="1936"/>
      <c r="DG91" s="3922" t="e">
        <f t="shared" si="238"/>
        <v>#VALUE!</v>
      </c>
      <c r="DH91" s="3906" t="e">
        <f t="shared" si="218"/>
        <v>#VALUE!</v>
      </c>
      <c r="DI91" s="3906">
        <f t="shared" si="219"/>
        <v>1</v>
      </c>
      <c r="DJ91" s="3906">
        <f t="shared" si="220"/>
        <v>1</v>
      </c>
      <c r="DK91" s="3906">
        <f>IF(E91&lt;F91,1,0)</f>
        <v>1</v>
      </c>
      <c r="DL91" s="3906">
        <f>IF(G91&lt;H91,1,0)</f>
        <v>1</v>
      </c>
      <c r="DM91" s="3906">
        <f>IF(I91&lt;J91,1,0)</f>
        <v>1</v>
      </c>
      <c r="DN91" s="3906">
        <f>IF(K91&lt;L91,1,0)</f>
        <v>1</v>
      </c>
      <c r="DO91" s="3906">
        <f>IF(M91&lt;N91,1,0)</f>
        <v>1</v>
      </c>
      <c r="DP91" s="3906">
        <f>IF(O91&lt;P91,1,0)</f>
        <v>1</v>
      </c>
      <c r="DQ91" s="3906">
        <f t="shared" si="248"/>
        <v>1</v>
      </c>
      <c r="DR91" s="3906">
        <f t="shared" si="249"/>
        <v>1</v>
      </c>
      <c r="DS91" s="3906">
        <f t="shared" si="235"/>
        <v>1</v>
      </c>
      <c r="DT91" s="3906">
        <f t="shared" si="250"/>
        <v>1</v>
      </c>
      <c r="DU91" s="3906">
        <f t="shared" si="251"/>
        <v>1</v>
      </c>
      <c r="DV91" s="3906">
        <f t="shared" si="252"/>
        <v>1</v>
      </c>
      <c r="DW91" s="3906">
        <f t="shared" si="236"/>
        <v>1</v>
      </c>
      <c r="DX91" s="3906">
        <f t="shared" si="253"/>
        <v>1</v>
      </c>
      <c r="DY91" s="3906">
        <f t="shared" si="254"/>
        <v>1</v>
      </c>
      <c r="DZ91" s="3906">
        <f t="shared" si="255"/>
        <v>1</v>
      </c>
      <c r="EA91" s="3906">
        <f>IF(AK91&lt;AL91,1,0)</f>
        <v>1</v>
      </c>
      <c r="EB91" s="3906">
        <f>IF(AM91&lt;AN91,1,0)</f>
        <v>1</v>
      </c>
      <c r="EC91" s="3906">
        <f>IF(AO91&lt;AP91,1,0)</f>
        <v>1</v>
      </c>
      <c r="ED91" s="3906">
        <f>IF(AQ91&lt;AR91,1,0)</f>
        <v>1</v>
      </c>
    </row>
    <row r="92" spans="1:134" x14ac:dyDescent="0.25">
      <c r="A92" s="5601">
        <v>11056431</v>
      </c>
      <c r="B92" s="3907" t="s">
        <v>1879</v>
      </c>
      <c r="C92" s="3908" t="s">
        <v>4567</v>
      </c>
      <c r="D92" s="344" t="s">
        <v>4568</v>
      </c>
      <c r="E92" s="3918" t="s">
        <v>4569</v>
      </c>
      <c r="F92" s="3910" t="s">
        <v>4570</v>
      </c>
      <c r="G92" s="3909" t="s">
        <v>4571</v>
      </c>
      <c r="H92" s="3910" t="s">
        <v>4572</v>
      </c>
      <c r="I92" s="3909" t="s">
        <v>4573</v>
      </c>
      <c r="J92" s="3910" t="s">
        <v>4574</v>
      </c>
      <c r="K92" s="3909" t="s">
        <v>4575</v>
      </c>
      <c r="L92" s="3910" t="s">
        <v>4576</v>
      </c>
      <c r="M92" s="3909" t="s">
        <v>4577</v>
      </c>
      <c r="N92" s="3911" t="s">
        <v>4578</v>
      </c>
      <c r="O92" s="3918" t="s">
        <v>4579</v>
      </c>
      <c r="P92" s="3910" t="s">
        <v>4580</v>
      </c>
      <c r="Q92" s="3913" t="s">
        <v>4581</v>
      </c>
      <c r="R92" s="3912" t="s">
        <v>4582</v>
      </c>
      <c r="S92" s="3913" t="s">
        <v>4583</v>
      </c>
      <c r="T92" s="3912" t="s">
        <v>4584</v>
      </c>
      <c r="U92" s="3913" t="s">
        <v>4585</v>
      </c>
      <c r="V92" s="3912" t="s">
        <v>4586</v>
      </c>
      <c r="W92" s="3913" t="s">
        <v>4587</v>
      </c>
      <c r="X92" s="3912" t="s">
        <v>4588</v>
      </c>
      <c r="Y92" s="3913" t="s">
        <v>4589</v>
      </c>
      <c r="Z92" s="3912" t="s">
        <v>4590</v>
      </c>
      <c r="AA92" s="3913" t="s">
        <v>4591</v>
      </c>
      <c r="AB92" s="3912" t="s">
        <v>4592</v>
      </c>
      <c r="AC92" s="3913" t="s">
        <v>4593</v>
      </c>
      <c r="AD92" s="3912" t="s">
        <v>4594</v>
      </c>
      <c r="AE92" s="3913" t="s">
        <v>4595</v>
      </c>
      <c r="AF92" s="3912" t="s">
        <v>4596</v>
      </c>
      <c r="AG92" s="3913" t="s">
        <v>4597</v>
      </c>
      <c r="AH92" s="3912" t="s">
        <v>4598</v>
      </c>
      <c r="AI92" s="3913" t="s">
        <v>4599</v>
      </c>
      <c r="AJ92" s="3912" t="s">
        <v>4600</v>
      </c>
      <c r="AK92" s="3913" t="s">
        <v>4601</v>
      </c>
      <c r="AL92" s="3912" t="s">
        <v>4602</v>
      </c>
      <c r="AM92" s="3913" t="s">
        <v>4603</v>
      </c>
      <c r="AN92" s="3912" t="s">
        <v>4604</v>
      </c>
      <c r="AO92" s="3913" t="s">
        <v>4605</v>
      </c>
      <c r="AP92" s="3912" t="s">
        <v>4606</v>
      </c>
      <c r="AQ92" s="3913" t="s">
        <v>4934</v>
      </c>
      <c r="AR92" s="3902" t="s">
        <v>4935</v>
      </c>
      <c r="AS92" s="3904" t="s">
        <v>4936</v>
      </c>
      <c r="AT92" s="3902" t="s">
        <v>4937</v>
      </c>
      <c r="AU92" s="3903" t="s">
        <v>5234</v>
      </c>
      <c r="AV92" s="3902" t="s">
        <v>5235</v>
      </c>
      <c r="AW92" s="3904" t="s">
        <v>5236</v>
      </c>
      <c r="AX92" s="3905" t="s">
        <v>5237</v>
      </c>
      <c r="AY92" s="1864" t="e">
        <f>$CB92&amp;CC92&amp;CD92&amp;$CE92&amp;CK92&amp;CL92&amp;CM92&amp;CN92&amp;CO92&amp;CP92&amp;CQ92&amp;CR92&amp;CS92&amp;CT92&amp;CU92&amp;CV92&amp;CW92&amp;CX92&amp;CY92</f>
        <v>#VALUE!</v>
      </c>
      <c r="CB92" s="1865" t="e">
        <f t="shared" si="237"/>
        <v>#VALUE!</v>
      </c>
      <c r="CC92" s="1865" t="e">
        <f t="shared" si="201"/>
        <v>#VALUE!</v>
      </c>
      <c r="CD92" s="1865" t="str">
        <f t="shared" si="202"/>
        <v xml:space="preserve"> *El Número de Pueblos Originarios no puede superar el Total Procesados. </v>
      </c>
      <c r="CE92" s="1865" t="str">
        <f t="shared" si="203"/>
        <v xml:space="preserve"> *El Número de Migrantes no puede superar el Total Procesados. </v>
      </c>
      <c r="CF92" s="3917"/>
      <c r="CG92" s="3917"/>
      <c r="CH92" s="1868"/>
      <c r="CI92" s="1868"/>
      <c r="CJ92" s="1868"/>
      <c r="CK92" s="3917"/>
      <c r="CL92" s="1865" t="str">
        <f t="shared" si="239"/>
        <v>* El total de Procesados debe ser mayor o igual al total de Reactivos en el grupo de edad 15 - 19 años</v>
      </c>
      <c r="CM92" s="1865" t="str">
        <f t="shared" si="240"/>
        <v>* El total de Procesados debe ser mayor o igual al total de Reactivos en el grupo de edad 20 - 24 años</v>
      </c>
      <c r="CN92" s="1865" t="str">
        <f t="shared" si="234"/>
        <v>* El total de Procesados debe ser mayor o igual al total de Reactivos en el grupo de edad 25 - 29 años</v>
      </c>
      <c r="CO92" s="1865" t="str">
        <f t="shared" si="241"/>
        <v>* El total de Procesados debe ser mayor o igual al total de Reactivos en el grupo de edad 30 - 34 años</v>
      </c>
      <c r="CP92" s="1865" t="str">
        <f t="shared" si="242"/>
        <v>* El total de Procesados debe ser mayor o igual al total de Reactivos en el grupo de edad 35 - 39 años</v>
      </c>
      <c r="CQ92" s="1865" t="str">
        <f t="shared" si="243"/>
        <v>* El total de Procesados debe ser mayor o igual al total de Reactivos en el grupo de edad 40 - 44 años</v>
      </c>
      <c r="CR92" s="1865" t="str">
        <f t="shared" si="244"/>
        <v>* El total de Procesados debe ser mayor o igual al total de Reactivos en el grupo de edad 45 - 49 años</v>
      </c>
      <c r="CS92" s="1865" t="str">
        <f t="shared" si="245"/>
        <v>* El total de Procesados debe ser mayor o igual al total de Reactivos en el grupo de edad 50 - 54 años</v>
      </c>
      <c r="CT92" s="1865" t="str">
        <f t="shared" si="246"/>
        <v>* El total de Procesados debe ser mayor o igual al total de Reactivos en el grupo de edad 55 - 59 años</v>
      </c>
      <c r="CU92" s="1865" t="str">
        <f t="shared" si="247"/>
        <v>* El total de Procesados debe ser mayor o igual al total de Reactivos en el grupo de edad 60 - 64 años</v>
      </c>
      <c r="CV92" s="1865" t="str">
        <f>IF(AK92&lt;AL92,CONCATENATE("* El total de Procesados debe ser mayor o igual al total de Reactivos en el grupo de edad ",$AK$11),"")</f>
        <v>* El total de Procesados debe ser mayor o igual al total de Reactivos en el grupo de edad 65 - 69 años</v>
      </c>
      <c r="CW92" s="1865" t="str">
        <f>IF(AM92&lt;AN92,CONCATENATE("* El total de Procesados debe ser mayor o igual al total de Reactivos en el grupo de edad ",$AM$11),"")</f>
        <v>* El total de Procesados debe ser mayor o igual al total de Reactivos en el grupo de edad 70 - 74 años</v>
      </c>
      <c r="CX92" s="1865" t="str">
        <f>IF(AO92&lt;AP92,CONCATENATE("* El total de Procesados debe ser mayor o igual al total de Reactivos en el grupo de edad ",$AO$11),"")</f>
        <v>* El total de Procesados debe ser mayor o igual al total de Reactivos en el grupo de edad 75 - 79 años</v>
      </c>
      <c r="CY92" s="1865" t="str">
        <f>IF(AQ92&lt;AR92,CONCATENATE("* El total de Procesados debe ser mayor o igual al total de Reactivos en el grupo de edad ",$AQ$11),"")</f>
        <v>* El total de Procesados debe ser mayor o igual al total de Reactivos en el grupo de edad 80 y más años</v>
      </c>
      <c r="DF92" s="1936"/>
      <c r="DG92" s="3922" t="e">
        <f t="shared" si="238"/>
        <v>#VALUE!</v>
      </c>
      <c r="DH92" s="3906" t="e">
        <f t="shared" si="218"/>
        <v>#VALUE!</v>
      </c>
      <c r="DI92" s="3906">
        <f t="shared" si="219"/>
        <v>1</v>
      </c>
      <c r="DJ92" s="3906">
        <f t="shared" si="220"/>
        <v>1</v>
      </c>
      <c r="DK92" s="1868"/>
      <c r="DL92" s="1868"/>
      <c r="DM92" s="1868"/>
      <c r="DN92" s="1868"/>
      <c r="DO92" s="1868"/>
      <c r="DP92" s="1866"/>
      <c r="DQ92" s="3906">
        <f t="shared" si="248"/>
        <v>1</v>
      </c>
      <c r="DR92" s="3906">
        <f t="shared" si="249"/>
        <v>1</v>
      </c>
      <c r="DS92" s="3906">
        <f t="shared" si="235"/>
        <v>1</v>
      </c>
      <c r="DT92" s="3906">
        <f t="shared" si="250"/>
        <v>1</v>
      </c>
      <c r="DU92" s="3906">
        <f t="shared" si="251"/>
        <v>1</v>
      </c>
      <c r="DV92" s="3906">
        <f t="shared" si="252"/>
        <v>1</v>
      </c>
      <c r="DW92" s="3906">
        <f t="shared" si="236"/>
        <v>1</v>
      </c>
      <c r="DX92" s="3906">
        <f t="shared" si="253"/>
        <v>1</v>
      </c>
      <c r="DY92" s="3906">
        <f t="shared" si="254"/>
        <v>1</v>
      </c>
      <c r="DZ92" s="3906">
        <f t="shared" si="255"/>
        <v>1</v>
      </c>
      <c r="EA92" s="3906">
        <f>IF(AK92&lt;AL92,1,0)</f>
        <v>1</v>
      </c>
      <c r="EB92" s="3906">
        <f>IF(AM92&lt;AN92,1,0)</f>
        <v>1</v>
      </c>
      <c r="EC92" s="3906">
        <f>IF(AO92&lt;AP92,1,0)</f>
        <v>1</v>
      </c>
      <c r="ED92" s="3906">
        <f>IF(AQ92&lt;AR92,1,0)</f>
        <v>1</v>
      </c>
    </row>
    <row r="93" spans="1:134" x14ac:dyDescent="0.25">
      <c r="A93" s="5601">
        <v>11056432</v>
      </c>
      <c r="B93" s="3923" t="s">
        <v>1880</v>
      </c>
      <c r="C93" s="3908" t="s">
        <v>4567</v>
      </c>
      <c r="D93" s="344" t="s">
        <v>4568</v>
      </c>
      <c r="E93" s="3918" t="s">
        <v>4569</v>
      </c>
      <c r="F93" s="3910" t="s">
        <v>4570</v>
      </c>
      <c r="G93" s="3909" t="s">
        <v>4571</v>
      </c>
      <c r="H93" s="3910" t="s">
        <v>4572</v>
      </c>
      <c r="I93" s="3909" t="s">
        <v>4573</v>
      </c>
      <c r="J93" s="3910" t="s">
        <v>4574</v>
      </c>
      <c r="K93" s="3909" t="s">
        <v>4575</v>
      </c>
      <c r="L93" s="3910" t="s">
        <v>4576</v>
      </c>
      <c r="M93" s="3909" t="s">
        <v>4577</v>
      </c>
      <c r="N93" s="3911" t="s">
        <v>4578</v>
      </c>
      <c r="O93" s="3918" t="s">
        <v>4579</v>
      </c>
      <c r="P93" s="3910" t="s">
        <v>4580</v>
      </c>
      <c r="Q93" s="3913" t="s">
        <v>4581</v>
      </c>
      <c r="R93" s="3912" t="s">
        <v>4582</v>
      </c>
      <c r="S93" s="3913" t="s">
        <v>4583</v>
      </c>
      <c r="T93" s="3912" t="s">
        <v>4584</v>
      </c>
      <c r="U93" s="3913" t="s">
        <v>4585</v>
      </c>
      <c r="V93" s="3912" t="s">
        <v>4586</v>
      </c>
      <c r="W93" s="3913" t="s">
        <v>4587</v>
      </c>
      <c r="X93" s="3912" t="s">
        <v>4588</v>
      </c>
      <c r="Y93" s="3913" t="s">
        <v>4589</v>
      </c>
      <c r="Z93" s="3912" t="s">
        <v>4590</v>
      </c>
      <c r="AA93" s="3913" t="s">
        <v>4591</v>
      </c>
      <c r="AB93" s="3912" t="s">
        <v>4592</v>
      </c>
      <c r="AC93" s="3913" t="s">
        <v>4593</v>
      </c>
      <c r="AD93" s="3912" t="s">
        <v>4594</v>
      </c>
      <c r="AE93" s="3913" t="s">
        <v>4595</v>
      </c>
      <c r="AF93" s="3912" t="s">
        <v>4596</v>
      </c>
      <c r="AG93" s="3913" t="s">
        <v>4597</v>
      </c>
      <c r="AH93" s="3912" t="s">
        <v>4598</v>
      </c>
      <c r="AI93" s="3913" t="s">
        <v>4599</v>
      </c>
      <c r="AJ93" s="3912" t="s">
        <v>4600</v>
      </c>
      <c r="AK93" s="3909" t="s">
        <v>4601</v>
      </c>
      <c r="AL93" s="3910" t="s">
        <v>4602</v>
      </c>
      <c r="AM93" s="3909" t="s">
        <v>4603</v>
      </c>
      <c r="AN93" s="3910" t="s">
        <v>4604</v>
      </c>
      <c r="AO93" s="3909" t="s">
        <v>4605</v>
      </c>
      <c r="AP93" s="3910" t="s">
        <v>4606</v>
      </c>
      <c r="AQ93" s="3909" t="s">
        <v>4934</v>
      </c>
      <c r="AR93" s="3920" t="s">
        <v>4935</v>
      </c>
      <c r="AS93" s="3904" t="s">
        <v>4936</v>
      </c>
      <c r="AT93" s="3902" t="s">
        <v>4937</v>
      </c>
      <c r="AU93" s="3903" t="s">
        <v>5234</v>
      </c>
      <c r="AV93" s="3902" t="s">
        <v>5235</v>
      </c>
      <c r="AW93" s="3904" t="s">
        <v>5236</v>
      </c>
      <c r="AX93" s="3905" t="s">
        <v>5237</v>
      </c>
      <c r="AY93" s="1864" t="e">
        <f>$CB93&amp;CC93&amp;CD93&amp;$CE93&amp;CL93&amp;CM93&amp;CN93&amp;CO93&amp;CP93&amp;CQ93&amp;CR93&amp;CS93&amp;CT93&amp;CU93</f>
        <v>#VALUE!</v>
      </c>
      <c r="CB93" s="1865" t="e">
        <f t="shared" si="237"/>
        <v>#VALUE!</v>
      </c>
      <c r="CC93" s="1865" t="e">
        <f t="shared" si="201"/>
        <v>#VALUE!</v>
      </c>
      <c r="CD93" s="1865" t="str">
        <f t="shared" si="202"/>
        <v xml:space="preserve"> *El Número de Pueblos Originarios no puede superar el Total Procesados. </v>
      </c>
      <c r="CE93" s="1865" t="str">
        <f t="shared" si="203"/>
        <v xml:space="preserve"> *El Número de Migrantes no puede superar el Total Procesados. </v>
      </c>
      <c r="CF93" s="3917"/>
      <c r="CG93" s="3917"/>
      <c r="CH93" s="1868"/>
      <c r="CI93" s="1868"/>
      <c r="CJ93" s="1868"/>
      <c r="CK93" s="3917"/>
      <c r="CL93" s="1865" t="str">
        <f t="shared" si="239"/>
        <v>* El total de Procesados debe ser mayor o igual al total de Reactivos en el grupo de edad 15 - 19 años</v>
      </c>
      <c r="CM93" s="1865" t="str">
        <f t="shared" si="240"/>
        <v>* El total de Procesados debe ser mayor o igual al total de Reactivos en el grupo de edad 20 - 24 años</v>
      </c>
      <c r="CN93" s="1865" t="str">
        <f t="shared" si="234"/>
        <v>* El total de Procesados debe ser mayor o igual al total de Reactivos en el grupo de edad 25 - 29 años</v>
      </c>
      <c r="CO93" s="1865" t="str">
        <f t="shared" si="241"/>
        <v>* El total de Procesados debe ser mayor o igual al total de Reactivos en el grupo de edad 30 - 34 años</v>
      </c>
      <c r="CP93" s="1865" t="str">
        <f t="shared" si="242"/>
        <v>* El total de Procesados debe ser mayor o igual al total de Reactivos en el grupo de edad 35 - 39 años</v>
      </c>
      <c r="CQ93" s="1865" t="str">
        <f t="shared" si="243"/>
        <v>* El total de Procesados debe ser mayor o igual al total de Reactivos en el grupo de edad 40 - 44 años</v>
      </c>
      <c r="CR93" s="1865" t="str">
        <f t="shared" si="244"/>
        <v>* El total de Procesados debe ser mayor o igual al total de Reactivos en el grupo de edad 45 - 49 años</v>
      </c>
      <c r="CS93" s="1865" t="str">
        <f t="shared" si="245"/>
        <v>* El total de Procesados debe ser mayor o igual al total de Reactivos en el grupo de edad 50 - 54 años</v>
      </c>
      <c r="CT93" s="1865" t="str">
        <f t="shared" si="246"/>
        <v>* El total de Procesados debe ser mayor o igual al total de Reactivos en el grupo de edad 55 - 59 años</v>
      </c>
      <c r="CU93" s="1865" t="str">
        <f t="shared" si="247"/>
        <v>* El total de Procesados debe ser mayor o igual al total de Reactivos en el grupo de edad 60 - 64 años</v>
      </c>
      <c r="CV93" s="1866"/>
      <c r="CW93" s="1866"/>
      <c r="CX93" s="1866"/>
      <c r="CY93" s="1866"/>
      <c r="DF93" s="1936"/>
      <c r="DG93" s="3922" t="e">
        <f t="shared" si="238"/>
        <v>#VALUE!</v>
      </c>
      <c r="DH93" s="3906" t="e">
        <f t="shared" si="218"/>
        <v>#VALUE!</v>
      </c>
      <c r="DI93" s="3906">
        <f t="shared" si="219"/>
        <v>1</v>
      </c>
      <c r="DJ93" s="3906">
        <f t="shared" si="220"/>
        <v>1</v>
      </c>
      <c r="DK93" s="1868"/>
      <c r="DL93" s="1868"/>
      <c r="DM93" s="1868"/>
      <c r="DN93" s="1868"/>
      <c r="DO93" s="1868"/>
      <c r="DP93" s="1866"/>
      <c r="DQ93" s="3906">
        <f t="shared" si="248"/>
        <v>1</v>
      </c>
      <c r="DR93" s="3906">
        <f t="shared" si="249"/>
        <v>1</v>
      </c>
      <c r="DS93" s="3906">
        <f t="shared" si="235"/>
        <v>1</v>
      </c>
      <c r="DT93" s="3906">
        <f t="shared" si="250"/>
        <v>1</v>
      </c>
      <c r="DU93" s="3906">
        <f t="shared" si="251"/>
        <v>1</v>
      </c>
      <c r="DV93" s="3906">
        <f t="shared" si="252"/>
        <v>1</v>
      </c>
      <c r="DW93" s="3906">
        <f t="shared" si="236"/>
        <v>1</v>
      </c>
      <c r="DX93" s="3906">
        <f t="shared" si="253"/>
        <v>1</v>
      </c>
      <c r="DY93" s="3906">
        <f t="shared" si="254"/>
        <v>1</v>
      </c>
      <c r="DZ93" s="3906">
        <f t="shared" si="255"/>
        <v>1</v>
      </c>
      <c r="EA93" s="1866"/>
      <c r="EB93" s="1866"/>
      <c r="EC93" s="1866"/>
      <c r="ED93" s="1866"/>
    </row>
    <row r="94" spans="1:134" x14ac:dyDescent="0.25">
      <c r="A94" s="5601">
        <v>11056433</v>
      </c>
      <c r="B94" s="3923" t="s">
        <v>1881</v>
      </c>
      <c r="C94" s="3908" t="s">
        <v>4567</v>
      </c>
      <c r="D94" s="344" t="s">
        <v>4568</v>
      </c>
      <c r="E94" s="3904" t="s">
        <v>4569</v>
      </c>
      <c r="F94" s="3912" t="s">
        <v>4570</v>
      </c>
      <c r="G94" s="3913" t="s">
        <v>4571</v>
      </c>
      <c r="H94" s="3912" t="s">
        <v>4572</v>
      </c>
      <c r="I94" s="3913" t="s">
        <v>4573</v>
      </c>
      <c r="J94" s="3905" t="s">
        <v>4574</v>
      </c>
      <c r="K94" s="3904" t="s">
        <v>4575</v>
      </c>
      <c r="L94" s="3904" t="s">
        <v>4576</v>
      </c>
      <c r="M94" s="3913" t="s">
        <v>4577</v>
      </c>
      <c r="N94" s="3905" t="s">
        <v>4578</v>
      </c>
      <c r="O94" s="3904" t="s">
        <v>4579</v>
      </c>
      <c r="P94" s="3912" t="s">
        <v>4580</v>
      </c>
      <c r="Q94" s="3913" t="s">
        <v>4581</v>
      </c>
      <c r="R94" s="3912" t="s">
        <v>4582</v>
      </c>
      <c r="S94" s="3913" t="s">
        <v>4583</v>
      </c>
      <c r="T94" s="3912" t="s">
        <v>4584</v>
      </c>
      <c r="U94" s="3913" t="s">
        <v>4585</v>
      </c>
      <c r="V94" s="3912" t="s">
        <v>4586</v>
      </c>
      <c r="W94" s="3913" t="s">
        <v>4587</v>
      </c>
      <c r="X94" s="3912" t="s">
        <v>4588</v>
      </c>
      <c r="Y94" s="3913" t="s">
        <v>4589</v>
      </c>
      <c r="Z94" s="3912" t="s">
        <v>4590</v>
      </c>
      <c r="AA94" s="3913" t="s">
        <v>4591</v>
      </c>
      <c r="AB94" s="3912" t="s">
        <v>4592</v>
      </c>
      <c r="AC94" s="3913" t="s">
        <v>4593</v>
      </c>
      <c r="AD94" s="3912" t="s">
        <v>4594</v>
      </c>
      <c r="AE94" s="3913" t="s">
        <v>4595</v>
      </c>
      <c r="AF94" s="3912" t="s">
        <v>4596</v>
      </c>
      <c r="AG94" s="3913" t="s">
        <v>4597</v>
      </c>
      <c r="AH94" s="3912" t="s">
        <v>4598</v>
      </c>
      <c r="AI94" s="3913" t="s">
        <v>4599</v>
      </c>
      <c r="AJ94" s="3912" t="s">
        <v>4600</v>
      </c>
      <c r="AK94" s="3913" t="s">
        <v>4601</v>
      </c>
      <c r="AL94" s="3912" t="s">
        <v>4602</v>
      </c>
      <c r="AM94" s="3913" t="s">
        <v>4603</v>
      </c>
      <c r="AN94" s="3912" t="s">
        <v>4604</v>
      </c>
      <c r="AO94" s="3913" t="s">
        <v>4605</v>
      </c>
      <c r="AP94" s="3912" t="s">
        <v>4606</v>
      </c>
      <c r="AQ94" s="3913" t="s">
        <v>4934</v>
      </c>
      <c r="AR94" s="3902" t="s">
        <v>4935</v>
      </c>
      <c r="AS94" s="3904" t="s">
        <v>4936</v>
      </c>
      <c r="AT94" s="3902" t="s">
        <v>4937</v>
      </c>
      <c r="AU94" s="3903" t="s">
        <v>5234</v>
      </c>
      <c r="AV94" s="3902" t="s">
        <v>5235</v>
      </c>
      <c r="AW94" s="3904" t="s">
        <v>5236</v>
      </c>
      <c r="AX94" s="3905" t="s">
        <v>5237</v>
      </c>
      <c r="AY94" s="1864" t="e">
        <f>$CB94&amp;CC94&amp;CD94&amp;$CE94&amp;CK94&amp;CL94&amp;CM94&amp;CN94&amp;CO94&amp;CP94&amp;CQ94&amp;CR94&amp;CS94&amp;CT94&amp;CU94&amp;CV94&amp;CW94&amp;CX94&amp;CY94&amp;CF94&amp;CG94&amp;CH94&amp;CI94&amp;CJ94</f>
        <v>#VALUE!</v>
      </c>
      <c r="CB94" s="1865" t="e">
        <f t="shared" si="237"/>
        <v>#VALUE!</v>
      </c>
      <c r="CC94" s="1865" t="e">
        <f t="shared" si="201"/>
        <v>#VALUE!</v>
      </c>
      <c r="CD94" s="1865" t="str">
        <f t="shared" si="202"/>
        <v xml:space="preserve"> *El Número de Pueblos Originarios no puede superar el Total Procesados. </v>
      </c>
      <c r="CE94" s="1865" t="str">
        <f t="shared" si="203"/>
        <v xml:space="preserve"> *El Número de Migrantes no puede superar el Total Procesados. </v>
      </c>
      <c r="CF94" s="1865" t="str">
        <f>IF(E94&lt;F94,CONCATENATE("* El total de Procesados debe ser mayor o igual al total de Reactivos en el grupo de edad ",$E$11),"")</f>
        <v>* El total de Procesados debe ser mayor o igual al total de Reactivos en el grupo de edad Menos de 6 meses</v>
      </c>
      <c r="CG94" s="1865" t="str">
        <f>IF(G94&lt;H94,CONCATENATE("* El total de Procesados debe ser mayor o igual al total de Reactivos en el grupo de edad ",$G$11),"")</f>
        <v>* El total de Procesados debe ser mayor o igual al total de Reactivos en el grupo de edad 6 - 11 meses</v>
      </c>
      <c r="CH94" s="1865" t="str">
        <f>IF(I94&lt;J94,CONCATENATE("* El total de Procesados debe ser mayor o igual al total de Reactivos en el grupo de edad ",$I$11),"")</f>
        <v>* El total de Procesados debe ser mayor o igual al total de Reactivos en el grupo de edad 12-24 meses</v>
      </c>
      <c r="CI94" s="1865" t="str">
        <f>IF(K94&lt;L94,CONCATENATE("* El total de Procesados debe ser mayor o igual al total de Reactivos en el grupo de edad ",$K$11),"")</f>
        <v>* El total de Procesados debe ser mayor o igual al total de Reactivos en el grupo de edad 3 - 4 años</v>
      </c>
      <c r="CJ94" s="1865" t="str">
        <f>IF(M94&lt;N94,CONCATENATE("* El total de Procesados debe ser mayor o igual al total de Reactivos en el grupo de edad ",$M$11),"")</f>
        <v>* El total de Procesados debe ser mayor o igual al total de Reactivos en el grupo de edad 5 - 9 años</v>
      </c>
      <c r="CK94" s="1865" t="str">
        <f>IF(O94&lt;P94,CONCATENATE("* El total de Procesados debe ser mayor o igual al total de Reactivos en el grupo de edad ",$O$11),"")</f>
        <v>* El total de Procesados debe ser mayor o igual al total de Reactivos en el grupo de edad 10 - 14 años</v>
      </c>
      <c r="CL94" s="1865" t="str">
        <f t="shared" si="239"/>
        <v>* El total de Procesados debe ser mayor o igual al total de Reactivos en el grupo de edad 15 - 19 años</v>
      </c>
      <c r="CM94" s="1865" t="str">
        <f t="shared" si="240"/>
        <v>* El total de Procesados debe ser mayor o igual al total de Reactivos en el grupo de edad 20 - 24 años</v>
      </c>
      <c r="CN94" s="1865" t="str">
        <f t="shared" si="234"/>
        <v>* El total de Procesados debe ser mayor o igual al total de Reactivos en el grupo de edad 25 - 29 años</v>
      </c>
      <c r="CO94" s="1865" t="str">
        <f t="shared" si="241"/>
        <v>* El total de Procesados debe ser mayor o igual al total de Reactivos en el grupo de edad 30 - 34 años</v>
      </c>
      <c r="CP94" s="1865" t="str">
        <f t="shared" si="242"/>
        <v>* El total de Procesados debe ser mayor o igual al total de Reactivos en el grupo de edad 35 - 39 años</v>
      </c>
      <c r="CQ94" s="1865" t="str">
        <f t="shared" si="243"/>
        <v>* El total de Procesados debe ser mayor o igual al total de Reactivos en el grupo de edad 40 - 44 años</v>
      </c>
      <c r="CR94" s="1865" t="str">
        <f t="shared" si="244"/>
        <v>* El total de Procesados debe ser mayor o igual al total de Reactivos en el grupo de edad 45 - 49 años</v>
      </c>
      <c r="CS94" s="1865" t="str">
        <f t="shared" si="245"/>
        <v>* El total de Procesados debe ser mayor o igual al total de Reactivos en el grupo de edad 50 - 54 años</v>
      </c>
      <c r="CT94" s="1865" t="str">
        <f t="shared" si="246"/>
        <v>* El total de Procesados debe ser mayor o igual al total de Reactivos en el grupo de edad 55 - 59 años</v>
      </c>
      <c r="CU94" s="1865" t="str">
        <f t="shared" si="247"/>
        <v>* El total de Procesados debe ser mayor o igual al total de Reactivos en el grupo de edad 60 - 64 años</v>
      </c>
      <c r="CV94" s="1865" t="str">
        <f>IF(AK94&lt;AL94,CONCATENATE("* El total de Procesados debe ser mayor o igual al total de Reactivos en el grupo de edad ",$AK$11),"")</f>
        <v>* El total de Procesados debe ser mayor o igual al total de Reactivos en el grupo de edad 65 - 69 años</v>
      </c>
      <c r="CW94" s="1865" t="str">
        <f>IF(AM94&lt;AN94,CONCATENATE("* El total de Procesados debe ser mayor o igual al total de Reactivos en el grupo de edad ",$AM$11),"")</f>
        <v>* El total de Procesados debe ser mayor o igual al total de Reactivos en el grupo de edad 70 - 74 años</v>
      </c>
      <c r="CX94" s="1865" t="str">
        <f>IF(AO94&lt;AP94,CONCATENATE("* El total de Procesados debe ser mayor o igual al total de Reactivos en el grupo de edad ",$AO$11),"")</f>
        <v>* El total de Procesados debe ser mayor o igual al total de Reactivos en el grupo de edad 75 - 79 años</v>
      </c>
      <c r="CY94" s="1865" t="str">
        <f>IF(AQ94&lt;AR94,CONCATENATE("* El total de Procesados debe ser mayor o igual al total de Reactivos en el grupo de edad ",$AQ$11),"")</f>
        <v>* El total de Procesados debe ser mayor o igual al total de Reactivos en el grupo de edad 80 y más años</v>
      </c>
      <c r="DF94" s="1936"/>
      <c r="DG94" s="3922" t="e">
        <f t="shared" si="238"/>
        <v>#VALUE!</v>
      </c>
      <c r="DH94" s="3906" t="e">
        <f t="shared" si="218"/>
        <v>#VALUE!</v>
      </c>
      <c r="DI94" s="3906">
        <f t="shared" si="219"/>
        <v>1</v>
      </c>
      <c r="DJ94" s="3906">
        <f t="shared" si="220"/>
        <v>1</v>
      </c>
      <c r="DK94" s="3906">
        <f>IF(E94&lt;F94,1,0)</f>
        <v>1</v>
      </c>
      <c r="DL94" s="3906">
        <f>IF(G94&lt;H94,1,0)</f>
        <v>1</v>
      </c>
      <c r="DM94" s="3906">
        <f>IF(I94&lt;J94,1,0)</f>
        <v>1</v>
      </c>
      <c r="DN94" s="3906">
        <f>IF(K94&lt;L94,1,0)</f>
        <v>1</v>
      </c>
      <c r="DO94" s="3906">
        <f>IF(M94&lt;N94,1,0)</f>
        <v>1</v>
      </c>
      <c r="DP94" s="3906">
        <f>IF(O94&lt;P94,1,0)</f>
        <v>1</v>
      </c>
      <c r="DQ94" s="3906">
        <f t="shared" si="248"/>
        <v>1</v>
      </c>
      <c r="DR94" s="3906">
        <f t="shared" si="249"/>
        <v>1</v>
      </c>
      <c r="DS94" s="3906">
        <f t="shared" si="235"/>
        <v>1</v>
      </c>
      <c r="DT94" s="3906">
        <f t="shared" si="250"/>
        <v>1</v>
      </c>
      <c r="DU94" s="3906">
        <f t="shared" si="251"/>
        <v>1</v>
      </c>
      <c r="DV94" s="3906">
        <f t="shared" si="252"/>
        <v>1</v>
      </c>
      <c r="DW94" s="3906">
        <f t="shared" si="236"/>
        <v>1</v>
      </c>
      <c r="DX94" s="3906">
        <f t="shared" si="253"/>
        <v>1</v>
      </c>
      <c r="DY94" s="3906">
        <f t="shared" si="254"/>
        <v>1</v>
      </c>
      <c r="DZ94" s="3906">
        <f t="shared" si="255"/>
        <v>1</v>
      </c>
      <c r="EA94" s="3906">
        <f>IF(AK94&lt;AL94,1,0)</f>
        <v>1</v>
      </c>
      <c r="EB94" s="3906">
        <f>IF(AM94&lt;AN94,1,0)</f>
        <v>1</v>
      </c>
      <c r="EC94" s="3906">
        <f>IF(AO94&lt;AP94,1,0)</f>
        <v>1</v>
      </c>
      <c r="ED94" s="3906">
        <f>IF(AQ94&lt;AR94,1,0)</f>
        <v>1</v>
      </c>
    </row>
    <row r="95" spans="1:134" x14ac:dyDescent="0.25">
      <c r="A95" s="5601">
        <v>11056434</v>
      </c>
      <c r="B95" s="3923" t="s">
        <v>1882</v>
      </c>
      <c r="C95" s="3908" t="s">
        <v>4567</v>
      </c>
      <c r="D95" s="344" t="s">
        <v>4568</v>
      </c>
      <c r="E95" s="3904" t="s">
        <v>4569</v>
      </c>
      <c r="F95" s="3912" t="s">
        <v>4570</v>
      </c>
      <c r="G95" s="3913" t="s">
        <v>4571</v>
      </c>
      <c r="H95" s="3912" t="s">
        <v>4572</v>
      </c>
      <c r="I95" s="3913" t="s">
        <v>4573</v>
      </c>
      <c r="J95" s="3905" t="s">
        <v>4574</v>
      </c>
      <c r="K95" s="3904" t="s">
        <v>4575</v>
      </c>
      <c r="L95" s="3904" t="s">
        <v>4576</v>
      </c>
      <c r="M95" s="3913" t="s">
        <v>4577</v>
      </c>
      <c r="N95" s="3905" t="s">
        <v>4578</v>
      </c>
      <c r="O95" s="3904" t="s">
        <v>4579</v>
      </c>
      <c r="P95" s="3912" t="s">
        <v>4580</v>
      </c>
      <c r="Q95" s="3913" t="s">
        <v>4581</v>
      </c>
      <c r="R95" s="3912" t="s">
        <v>4582</v>
      </c>
      <c r="S95" s="3913" t="s">
        <v>4583</v>
      </c>
      <c r="T95" s="3912" t="s">
        <v>4584</v>
      </c>
      <c r="U95" s="3913" t="s">
        <v>4585</v>
      </c>
      <c r="V95" s="3912" t="s">
        <v>4586</v>
      </c>
      <c r="W95" s="3913" t="s">
        <v>4587</v>
      </c>
      <c r="X95" s="3912" t="s">
        <v>4588</v>
      </c>
      <c r="Y95" s="3913" t="s">
        <v>4589</v>
      </c>
      <c r="Z95" s="3912" t="s">
        <v>4590</v>
      </c>
      <c r="AA95" s="3913" t="s">
        <v>4591</v>
      </c>
      <c r="AB95" s="3912" t="s">
        <v>4592</v>
      </c>
      <c r="AC95" s="3913" t="s">
        <v>4593</v>
      </c>
      <c r="AD95" s="3912" t="s">
        <v>4594</v>
      </c>
      <c r="AE95" s="3913" t="s">
        <v>4595</v>
      </c>
      <c r="AF95" s="3912" t="s">
        <v>4596</v>
      </c>
      <c r="AG95" s="3913" t="s">
        <v>4597</v>
      </c>
      <c r="AH95" s="3912" t="s">
        <v>4598</v>
      </c>
      <c r="AI95" s="3913" t="s">
        <v>4599</v>
      </c>
      <c r="AJ95" s="3912" t="s">
        <v>4600</v>
      </c>
      <c r="AK95" s="3913" t="s">
        <v>4601</v>
      </c>
      <c r="AL95" s="3912" t="s">
        <v>4602</v>
      </c>
      <c r="AM95" s="3913" t="s">
        <v>4603</v>
      </c>
      <c r="AN95" s="3912" t="s">
        <v>4604</v>
      </c>
      <c r="AO95" s="3913" t="s">
        <v>4605</v>
      </c>
      <c r="AP95" s="3912" t="s">
        <v>4606</v>
      </c>
      <c r="AQ95" s="3913" t="s">
        <v>4934</v>
      </c>
      <c r="AR95" s="3902" t="s">
        <v>4935</v>
      </c>
      <c r="AS95" s="3904" t="s">
        <v>4936</v>
      </c>
      <c r="AT95" s="3902" t="s">
        <v>4937</v>
      </c>
      <c r="AU95" s="3903" t="s">
        <v>5234</v>
      </c>
      <c r="AV95" s="3902" t="s">
        <v>5235</v>
      </c>
      <c r="AW95" s="3904" t="s">
        <v>5236</v>
      </c>
      <c r="AX95" s="3905" t="s">
        <v>5237</v>
      </c>
      <c r="AY95" s="1864" t="e">
        <f>$CB95&amp;CC95&amp;CD95&amp;$CE95&amp;CK95&amp;CL95&amp;CM95&amp;CN95&amp;CO95&amp;CP95&amp;CQ95&amp;CR95&amp;CS95&amp;CT95&amp;CU95&amp;CV95&amp;CW95&amp;CX95&amp;CY95&amp;CF95&amp;CG95&amp;CH95&amp;CI95&amp;CJ95</f>
        <v>#VALUE!</v>
      </c>
      <c r="CB95" s="1865" t="e">
        <f t="shared" si="237"/>
        <v>#VALUE!</v>
      </c>
      <c r="CC95" s="1865" t="e">
        <f t="shared" si="201"/>
        <v>#VALUE!</v>
      </c>
      <c r="CD95" s="1865" t="str">
        <f t="shared" si="202"/>
        <v xml:space="preserve"> *El Número de Pueblos Originarios no puede superar el Total Procesados. </v>
      </c>
      <c r="CE95" s="1865" t="str">
        <f t="shared" si="203"/>
        <v xml:space="preserve"> *El Número de Migrantes no puede superar el Total Procesados. </v>
      </c>
      <c r="CF95" s="1865" t="str">
        <f>IF(E95&lt;F95,CONCATENATE("* El total de Procesados debe ser mayor o igual al total de Reactivos en el grupo de edad ",$E$11),"")</f>
        <v>* El total de Procesados debe ser mayor o igual al total de Reactivos en el grupo de edad Menos de 6 meses</v>
      </c>
      <c r="CG95" s="1865" t="str">
        <f>IF(G95&lt;H95,CONCATENATE("* El total de Procesados debe ser mayor o igual al total de Reactivos en el grupo de edad ",$G$11),"")</f>
        <v>* El total de Procesados debe ser mayor o igual al total de Reactivos en el grupo de edad 6 - 11 meses</v>
      </c>
      <c r="CH95" s="1865" t="str">
        <f>IF(I95&lt;J95,CONCATENATE("* El total de Procesados debe ser mayor o igual al total de Reactivos en el grupo de edad ",$I$11),"")</f>
        <v>* El total de Procesados debe ser mayor o igual al total de Reactivos en el grupo de edad 12-24 meses</v>
      </c>
      <c r="CI95" s="1865" t="str">
        <f>IF(K95&lt;L95,CONCATENATE("* El total de Procesados debe ser mayor o igual al total de Reactivos en el grupo de edad ",$K$11),"")</f>
        <v>* El total de Procesados debe ser mayor o igual al total de Reactivos en el grupo de edad 3 - 4 años</v>
      </c>
      <c r="CJ95" s="1865" t="str">
        <f>IF(M95&lt;N95,CONCATENATE("* El total de Procesados debe ser mayor o igual al total de Reactivos en el grupo de edad ",$M$11),"")</f>
        <v>* El total de Procesados debe ser mayor o igual al total de Reactivos en el grupo de edad 5 - 9 años</v>
      </c>
      <c r="CK95" s="1865" t="str">
        <f>IF(O95&lt;P95,CONCATENATE("* El total de Procesados debe ser mayor o igual al total de Reactivos en el grupo de edad ",$O$11),"")</f>
        <v>* El total de Procesados debe ser mayor o igual al total de Reactivos en el grupo de edad 10 - 14 años</v>
      </c>
      <c r="CL95" s="1865" t="str">
        <f t="shared" si="239"/>
        <v>* El total de Procesados debe ser mayor o igual al total de Reactivos en el grupo de edad 15 - 19 años</v>
      </c>
      <c r="CM95" s="1865" t="str">
        <f t="shared" si="240"/>
        <v>* El total de Procesados debe ser mayor o igual al total de Reactivos en el grupo de edad 20 - 24 años</v>
      </c>
      <c r="CN95" s="1865" t="str">
        <f t="shared" si="234"/>
        <v>* El total de Procesados debe ser mayor o igual al total de Reactivos en el grupo de edad 25 - 29 años</v>
      </c>
      <c r="CO95" s="1865" t="str">
        <f t="shared" si="241"/>
        <v>* El total de Procesados debe ser mayor o igual al total de Reactivos en el grupo de edad 30 - 34 años</v>
      </c>
      <c r="CP95" s="1865" t="str">
        <f t="shared" si="242"/>
        <v>* El total de Procesados debe ser mayor o igual al total de Reactivos en el grupo de edad 35 - 39 años</v>
      </c>
      <c r="CQ95" s="1865" t="str">
        <f t="shared" si="243"/>
        <v>* El total de Procesados debe ser mayor o igual al total de Reactivos en el grupo de edad 40 - 44 años</v>
      </c>
      <c r="CR95" s="1865" t="str">
        <f t="shared" si="244"/>
        <v>* El total de Procesados debe ser mayor o igual al total de Reactivos en el grupo de edad 45 - 49 años</v>
      </c>
      <c r="CS95" s="1865" t="str">
        <f t="shared" si="245"/>
        <v>* El total de Procesados debe ser mayor o igual al total de Reactivos en el grupo de edad 50 - 54 años</v>
      </c>
      <c r="CT95" s="1865" t="str">
        <f t="shared" si="246"/>
        <v>* El total de Procesados debe ser mayor o igual al total de Reactivos en el grupo de edad 55 - 59 años</v>
      </c>
      <c r="CU95" s="1865" t="str">
        <f t="shared" si="247"/>
        <v>* El total de Procesados debe ser mayor o igual al total de Reactivos en el grupo de edad 60 - 64 años</v>
      </c>
      <c r="CV95" s="1865" t="str">
        <f>IF(AK95&lt;AL95,CONCATENATE("* El total de Procesados debe ser mayor o igual al total de Reactivos en el grupo de edad ",$AK$11),"")</f>
        <v>* El total de Procesados debe ser mayor o igual al total de Reactivos en el grupo de edad 65 - 69 años</v>
      </c>
      <c r="CW95" s="1865" t="str">
        <f>IF(AM95&lt;AN95,CONCATENATE("* El total de Procesados debe ser mayor o igual al total de Reactivos en el grupo de edad ",$AM$11),"")</f>
        <v>* El total de Procesados debe ser mayor o igual al total de Reactivos en el grupo de edad 70 - 74 años</v>
      </c>
      <c r="CX95" s="1865" t="str">
        <f>IF(AO95&lt;AP95,CONCATENATE("* El total de Procesados debe ser mayor o igual al total de Reactivos en el grupo de edad ",$AO$11),"")</f>
        <v>* El total de Procesados debe ser mayor o igual al total de Reactivos en el grupo de edad 75 - 79 años</v>
      </c>
      <c r="CY95" s="1865" t="str">
        <f>IF(AQ95&lt;AR95,CONCATENATE("* El total de Procesados debe ser mayor o igual al total de Reactivos en el grupo de edad ",$AQ$11),"")</f>
        <v>* El total de Procesados debe ser mayor o igual al total de Reactivos en el grupo de edad 80 y más años</v>
      </c>
      <c r="DF95" s="1936"/>
      <c r="DG95" s="3922" t="e">
        <f t="shared" si="238"/>
        <v>#VALUE!</v>
      </c>
      <c r="DH95" s="3906" t="e">
        <f t="shared" si="218"/>
        <v>#VALUE!</v>
      </c>
      <c r="DI95" s="3906">
        <f t="shared" si="219"/>
        <v>1</v>
      </c>
      <c r="DJ95" s="3906">
        <f t="shared" si="220"/>
        <v>1</v>
      </c>
      <c r="DK95" s="3906">
        <f>IF(E95&lt;F95,1,0)</f>
        <v>1</v>
      </c>
      <c r="DL95" s="3906">
        <f>IF(G95&lt;H95,1,0)</f>
        <v>1</v>
      </c>
      <c r="DM95" s="3906">
        <f>IF(I95&lt;J95,1,0)</f>
        <v>1</v>
      </c>
      <c r="DN95" s="3906">
        <f>IF(K95&lt;L95,1,0)</f>
        <v>1</v>
      </c>
      <c r="DO95" s="3906">
        <f>IF(M95&lt;N95,1,0)</f>
        <v>1</v>
      </c>
      <c r="DP95" s="3906">
        <f>IF(O95&lt;P95,1,0)</f>
        <v>1</v>
      </c>
      <c r="DQ95" s="3906">
        <f t="shared" si="248"/>
        <v>1</v>
      </c>
      <c r="DR95" s="3906">
        <f t="shared" si="249"/>
        <v>1</v>
      </c>
      <c r="DS95" s="3906">
        <f t="shared" si="235"/>
        <v>1</v>
      </c>
      <c r="DT95" s="3906">
        <f t="shared" si="250"/>
        <v>1</v>
      </c>
      <c r="DU95" s="3906">
        <f t="shared" si="251"/>
        <v>1</v>
      </c>
      <c r="DV95" s="3906">
        <f t="shared" si="252"/>
        <v>1</v>
      </c>
      <c r="DW95" s="3906">
        <f t="shared" si="236"/>
        <v>1</v>
      </c>
      <c r="DX95" s="3906">
        <f t="shared" si="253"/>
        <v>1</v>
      </c>
      <c r="DY95" s="3906">
        <f t="shared" si="254"/>
        <v>1</v>
      </c>
      <c r="DZ95" s="3906">
        <f t="shared" si="255"/>
        <v>1</v>
      </c>
      <c r="EA95" s="3906">
        <f>IF(AK95&lt;AL95,1,0)</f>
        <v>1</v>
      </c>
      <c r="EB95" s="3906">
        <f>IF(AM95&lt;AN95,1,0)</f>
        <v>1</v>
      </c>
      <c r="EC95" s="3906">
        <f>IF(AO95&lt;AP95,1,0)</f>
        <v>1</v>
      </c>
      <c r="ED95" s="3906">
        <f>IF(AQ95&lt;AR95,1,0)</f>
        <v>1</v>
      </c>
    </row>
    <row r="96" spans="1:134" x14ac:dyDescent="0.25">
      <c r="A96" s="5609">
        <v>11056435</v>
      </c>
      <c r="B96" s="1002" t="s">
        <v>1883</v>
      </c>
      <c r="C96" s="1058" t="s">
        <v>4567</v>
      </c>
      <c r="D96" s="3346" t="s">
        <v>4568</v>
      </c>
      <c r="E96" s="1877" t="s">
        <v>4569</v>
      </c>
      <c r="F96" s="1873" t="s">
        <v>4570</v>
      </c>
      <c r="G96" s="853" t="s">
        <v>4571</v>
      </c>
      <c r="H96" s="1873" t="s">
        <v>4572</v>
      </c>
      <c r="I96" s="853" t="s">
        <v>4573</v>
      </c>
      <c r="J96" s="1975" t="s">
        <v>4574</v>
      </c>
      <c r="K96" s="1877" t="s">
        <v>4575</v>
      </c>
      <c r="L96" s="1877" t="s">
        <v>4576</v>
      </c>
      <c r="M96" s="853" t="s">
        <v>4577</v>
      </c>
      <c r="N96" s="1975" t="s">
        <v>4578</v>
      </c>
      <c r="O96" s="1877" t="s">
        <v>4579</v>
      </c>
      <c r="P96" s="1873" t="s">
        <v>4580</v>
      </c>
      <c r="Q96" s="853" t="s">
        <v>4581</v>
      </c>
      <c r="R96" s="1873" t="s">
        <v>4582</v>
      </c>
      <c r="S96" s="853" t="s">
        <v>4583</v>
      </c>
      <c r="T96" s="1873" t="s">
        <v>4584</v>
      </c>
      <c r="U96" s="853" t="s">
        <v>4585</v>
      </c>
      <c r="V96" s="1873" t="s">
        <v>4586</v>
      </c>
      <c r="W96" s="853" t="s">
        <v>4587</v>
      </c>
      <c r="X96" s="1873" t="s">
        <v>4588</v>
      </c>
      <c r="Y96" s="853" t="s">
        <v>4589</v>
      </c>
      <c r="Z96" s="1873" t="s">
        <v>4590</v>
      </c>
      <c r="AA96" s="853" t="s">
        <v>4591</v>
      </c>
      <c r="AB96" s="1873" t="s">
        <v>4592</v>
      </c>
      <c r="AC96" s="853" t="s">
        <v>4593</v>
      </c>
      <c r="AD96" s="1873" t="s">
        <v>4594</v>
      </c>
      <c r="AE96" s="853" t="s">
        <v>4595</v>
      </c>
      <c r="AF96" s="1873" t="s">
        <v>4596</v>
      </c>
      <c r="AG96" s="853" t="s">
        <v>4597</v>
      </c>
      <c r="AH96" s="1873" t="s">
        <v>4598</v>
      </c>
      <c r="AI96" s="853" t="s">
        <v>4599</v>
      </c>
      <c r="AJ96" s="1873" t="s">
        <v>4600</v>
      </c>
      <c r="AK96" s="853" t="s">
        <v>4601</v>
      </c>
      <c r="AL96" s="1873" t="s">
        <v>4602</v>
      </c>
      <c r="AM96" s="853" t="s">
        <v>4603</v>
      </c>
      <c r="AN96" s="1873" t="s">
        <v>4604</v>
      </c>
      <c r="AO96" s="853" t="s">
        <v>4605</v>
      </c>
      <c r="AP96" s="1873" t="s">
        <v>4606</v>
      </c>
      <c r="AQ96" s="853" t="s">
        <v>4934</v>
      </c>
      <c r="AR96" s="1919" t="s">
        <v>4935</v>
      </c>
      <c r="AS96" s="1877" t="s">
        <v>4936</v>
      </c>
      <c r="AT96" s="1919" t="s">
        <v>4937</v>
      </c>
      <c r="AU96" s="1879" t="s">
        <v>5234</v>
      </c>
      <c r="AV96" s="1919" t="s">
        <v>5235</v>
      </c>
      <c r="AW96" s="1877" t="s">
        <v>5236</v>
      </c>
      <c r="AX96" s="1975" t="s">
        <v>5237</v>
      </c>
      <c r="AY96" s="1864" t="e">
        <f>$CB96&amp;CC96&amp;CD96&amp;$CE96&amp;CK96&amp;CL96&amp;CM96&amp;CN96&amp;CO96&amp;CP96&amp;CQ96&amp;CR96&amp;CS96&amp;CT96&amp;CU96&amp;CV96&amp;CW96&amp;CX96&amp;CY96&amp;CF96&amp;CG96&amp;CH96&amp;CI96&amp;CJ96</f>
        <v>#VALUE!</v>
      </c>
      <c r="CB96" s="1865" t="e">
        <f t="shared" si="237"/>
        <v>#VALUE!</v>
      </c>
      <c r="CC96" s="1865" t="e">
        <f t="shared" si="201"/>
        <v>#VALUE!</v>
      </c>
      <c r="CD96" s="1865" t="str">
        <f t="shared" si="202"/>
        <v xml:space="preserve"> *El Número de Pueblos Originarios no puede superar el Total Procesados. </v>
      </c>
      <c r="CE96" s="1865" t="str">
        <f t="shared" si="203"/>
        <v xml:space="preserve"> *El Número de Migrantes no puede superar el Total Procesados. </v>
      </c>
      <c r="CF96" s="1865" t="str">
        <f>IF(E96&lt;F96,CONCATENATE("* El total de Procesados debe ser mayor o igual al total de Reactivos en el grupo de edad ",$E$11),"")</f>
        <v>* El total de Procesados debe ser mayor o igual al total de Reactivos en el grupo de edad Menos de 6 meses</v>
      </c>
      <c r="CG96" s="1865" t="str">
        <f>IF(G96&lt;H96,CONCATENATE("* El total de Procesados debe ser mayor o igual al total de Reactivos en el grupo de edad ",$G$11),"")</f>
        <v>* El total de Procesados debe ser mayor o igual al total de Reactivos en el grupo de edad 6 - 11 meses</v>
      </c>
      <c r="CH96" s="1865" t="str">
        <f>IF(I96&lt;J96,CONCATENATE("* El total de Procesados debe ser mayor o igual al total de Reactivos en el grupo de edad ",$I$11),"")</f>
        <v>* El total de Procesados debe ser mayor o igual al total de Reactivos en el grupo de edad 12-24 meses</v>
      </c>
      <c r="CI96" s="1865" t="str">
        <f>IF(K96&lt;L96,CONCATENATE("* El total de Procesados debe ser mayor o igual al total de Reactivos en el grupo de edad ",$K$11),"")</f>
        <v>* El total de Procesados debe ser mayor o igual al total de Reactivos en el grupo de edad 3 - 4 años</v>
      </c>
      <c r="CJ96" s="1865" t="str">
        <f>IF(M96&lt;N96,CONCATENATE("* El total de Procesados debe ser mayor o igual al total de Reactivos en el grupo de edad ",$M$11),"")</f>
        <v>* El total de Procesados debe ser mayor o igual al total de Reactivos en el grupo de edad 5 - 9 años</v>
      </c>
      <c r="CK96" s="1865" t="str">
        <f>IF(O96&lt;P96,CONCATENATE("* El total de Procesados debe ser mayor o igual al total de Reactivos en el grupo de edad ",$O$11),"")</f>
        <v>* El total de Procesados debe ser mayor o igual al total de Reactivos en el grupo de edad 10 - 14 años</v>
      </c>
      <c r="CL96" s="1865" t="str">
        <f t="shared" si="239"/>
        <v>* El total de Procesados debe ser mayor o igual al total de Reactivos en el grupo de edad 15 - 19 años</v>
      </c>
      <c r="CM96" s="1865" t="str">
        <f t="shared" si="240"/>
        <v>* El total de Procesados debe ser mayor o igual al total de Reactivos en el grupo de edad 20 - 24 años</v>
      </c>
      <c r="CN96" s="1865" t="str">
        <f t="shared" si="234"/>
        <v>* El total de Procesados debe ser mayor o igual al total de Reactivos en el grupo de edad 25 - 29 años</v>
      </c>
      <c r="CO96" s="1865" t="str">
        <f t="shared" si="241"/>
        <v>* El total de Procesados debe ser mayor o igual al total de Reactivos en el grupo de edad 30 - 34 años</v>
      </c>
      <c r="CP96" s="1865" t="str">
        <f t="shared" si="242"/>
        <v>* El total de Procesados debe ser mayor o igual al total de Reactivos en el grupo de edad 35 - 39 años</v>
      </c>
      <c r="CQ96" s="1865" t="str">
        <f t="shared" si="243"/>
        <v>* El total de Procesados debe ser mayor o igual al total de Reactivos en el grupo de edad 40 - 44 años</v>
      </c>
      <c r="CR96" s="1865" t="str">
        <f t="shared" si="244"/>
        <v>* El total de Procesados debe ser mayor o igual al total de Reactivos en el grupo de edad 45 - 49 años</v>
      </c>
      <c r="CS96" s="1865" t="str">
        <f t="shared" si="245"/>
        <v>* El total de Procesados debe ser mayor o igual al total de Reactivos en el grupo de edad 50 - 54 años</v>
      </c>
      <c r="CT96" s="1865" t="str">
        <f t="shared" si="246"/>
        <v>* El total de Procesados debe ser mayor o igual al total de Reactivos en el grupo de edad 55 - 59 años</v>
      </c>
      <c r="CU96" s="1865" t="str">
        <f t="shared" si="247"/>
        <v>* El total de Procesados debe ser mayor o igual al total de Reactivos en el grupo de edad 60 - 64 años</v>
      </c>
      <c r="CV96" s="1865" t="str">
        <f>IF(AK96&lt;AL96,CONCATENATE("* El total de Procesados debe ser mayor o igual al total de Reactivos en el grupo de edad ",$AK$11),"")</f>
        <v>* El total de Procesados debe ser mayor o igual al total de Reactivos en el grupo de edad 65 - 69 años</v>
      </c>
      <c r="CW96" s="1865" t="str">
        <f>IF(AM96&lt;AN96,CONCATENATE("* El total de Procesados debe ser mayor o igual al total de Reactivos en el grupo de edad ",$AM$11),"")</f>
        <v>* El total de Procesados debe ser mayor o igual al total de Reactivos en el grupo de edad 70 - 74 años</v>
      </c>
      <c r="CX96" s="1865" t="str">
        <f>IF(AO96&lt;AP96,CONCATENATE("* El total de Procesados debe ser mayor o igual al total de Reactivos en el grupo de edad ",$AO$11),"")</f>
        <v>* El total de Procesados debe ser mayor o igual al total de Reactivos en el grupo de edad 75 - 79 años</v>
      </c>
      <c r="CY96" s="1865" t="str">
        <f>IF(AQ96&lt;AR96,CONCATENATE("* El total de Procesados debe ser mayor o igual al total de Reactivos en el grupo de edad ",$AQ$11),"")</f>
        <v>* El total de Procesados debe ser mayor o igual al total de Reactivos en el grupo de edad 80 y más años</v>
      </c>
      <c r="DF96" s="1936"/>
      <c r="DG96" s="3922" t="e">
        <f t="shared" si="238"/>
        <v>#VALUE!</v>
      </c>
      <c r="DH96" s="3906" t="e">
        <f t="shared" si="218"/>
        <v>#VALUE!</v>
      </c>
      <c r="DI96" s="3906">
        <f t="shared" si="219"/>
        <v>1</v>
      </c>
      <c r="DJ96" s="3906">
        <f t="shared" si="220"/>
        <v>1</v>
      </c>
      <c r="DK96" s="3906">
        <f>IF(E96&lt;F96,1,0)</f>
        <v>1</v>
      </c>
      <c r="DL96" s="3906">
        <f>IF(G96&lt;H96,1,0)</f>
        <v>1</v>
      </c>
      <c r="DM96" s="3906">
        <f>IF(I96&lt;J96,1,0)</f>
        <v>1</v>
      </c>
      <c r="DN96" s="3906">
        <f>IF(K96&lt;L96,1,0)</f>
        <v>1</v>
      </c>
      <c r="DO96" s="3906">
        <f>IF(M96&lt;N96,1,0)</f>
        <v>1</v>
      </c>
      <c r="DP96" s="3906">
        <f>IF(O96&lt;P96,1,0)</f>
        <v>1</v>
      </c>
      <c r="DQ96" s="3906">
        <f t="shared" si="248"/>
        <v>1</v>
      </c>
      <c r="DR96" s="3906">
        <f t="shared" si="249"/>
        <v>1</v>
      </c>
      <c r="DS96" s="3906">
        <f t="shared" si="235"/>
        <v>1</v>
      </c>
      <c r="DT96" s="3906">
        <f t="shared" si="250"/>
        <v>1</v>
      </c>
      <c r="DU96" s="3906">
        <f t="shared" si="251"/>
        <v>1</v>
      </c>
      <c r="DV96" s="3906">
        <f t="shared" si="252"/>
        <v>1</v>
      </c>
      <c r="DW96" s="3906">
        <f t="shared" si="236"/>
        <v>1</v>
      </c>
      <c r="DX96" s="3906">
        <f t="shared" si="253"/>
        <v>1</v>
      </c>
      <c r="DY96" s="3906">
        <f t="shared" si="254"/>
        <v>1</v>
      </c>
      <c r="DZ96" s="3906">
        <f t="shared" si="255"/>
        <v>1</v>
      </c>
      <c r="EA96" s="3906">
        <f>IF(AK96&lt;AL96,1,0)</f>
        <v>1</v>
      </c>
      <c r="EB96" s="3906">
        <f>IF(AM96&lt;AN96,1,0)</f>
        <v>1</v>
      </c>
      <c r="EC96" s="3906">
        <f>IF(AO96&lt;AP96,1,0)</f>
        <v>1</v>
      </c>
      <c r="ED96" s="3906">
        <f>IF(AQ96&lt;AR96,1,0)</f>
        <v>1</v>
      </c>
    </row>
    <row r="97" spans="1:134" ht="18" customHeight="1" x14ac:dyDescent="0.25">
      <c r="A97" s="5797"/>
      <c r="B97" s="3921" t="s">
        <v>1887</v>
      </c>
      <c r="C97" s="3921"/>
      <c r="D97" s="3921"/>
      <c r="E97" s="3921"/>
      <c r="F97" s="3921"/>
      <c r="G97" s="3921"/>
      <c r="H97" s="3921"/>
      <c r="I97" s="3921"/>
      <c r="J97" s="3921"/>
      <c r="K97" s="3921"/>
      <c r="L97" s="3921"/>
      <c r="M97" s="3921"/>
      <c r="N97" s="3921"/>
      <c r="O97" s="3921"/>
      <c r="P97" s="3921"/>
      <c r="Q97" s="3921"/>
      <c r="R97" s="3921"/>
      <c r="S97" s="3921"/>
      <c r="T97" s="3921"/>
      <c r="U97" s="3921"/>
      <c r="V97" s="3921"/>
      <c r="W97" s="3921"/>
      <c r="X97" s="3921"/>
      <c r="Y97" s="3921"/>
      <c r="Z97" s="3921"/>
      <c r="AA97" s="3921"/>
      <c r="AB97" s="3921"/>
      <c r="AC97" s="3921"/>
      <c r="AD97" s="3921"/>
      <c r="AE97" s="3921"/>
      <c r="AF97" s="3921"/>
      <c r="AG97" s="3921"/>
      <c r="AH97" s="3921"/>
      <c r="AI97" s="3921"/>
      <c r="AJ97" s="3921"/>
      <c r="AK97" s="3921"/>
      <c r="AL97" s="3921"/>
      <c r="AM97" s="3921"/>
      <c r="AN97" s="3921"/>
      <c r="AO97" s="3921"/>
      <c r="AP97" s="3921"/>
      <c r="AQ97" s="3921"/>
      <c r="AR97" s="3921"/>
      <c r="AS97" s="1937"/>
      <c r="AT97" s="1937"/>
      <c r="AU97" s="1937"/>
      <c r="AV97" s="1937"/>
      <c r="AW97" s="1937"/>
      <c r="AX97" s="1937"/>
    </row>
    <row r="98" spans="1:134" x14ac:dyDescent="0.25">
      <c r="A98" s="5797"/>
      <c r="B98" s="7105" t="s">
        <v>1860</v>
      </c>
      <c r="C98" s="6491" t="s">
        <v>77</v>
      </c>
      <c r="D98" s="6576"/>
      <c r="E98" s="7107" t="s">
        <v>29</v>
      </c>
      <c r="F98" s="7108"/>
      <c r="G98" s="7108"/>
      <c r="H98" s="7108"/>
      <c r="I98" s="7108"/>
      <c r="J98" s="7108"/>
      <c r="K98" s="7108"/>
      <c r="L98" s="7108"/>
      <c r="M98" s="7108"/>
      <c r="N98" s="7108"/>
      <c r="O98" s="7108"/>
      <c r="P98" s="7108"/>
      <c r="Q98" s="7108"/>
      <c r="R98" s="7108"/>
      <c r="S98" s="7108"/>
      <c r="T98" s="7108"/>
      <c r="U98" s="7108"/>
      <c r="V98" s="7108"/>
      <c r="W98" s="7108"/>
      <c r="X98" s="7108"/>
      <c r="Y98" s="7108"/>
      <c r="Z98" s="7108"/>
      <c r="AA98" s="7108"/>
      <c r="AB98" s="7108"/>
      <c r="AC98" s="7108"/>
      <c r="AD98" s="7108"/>
      <c r="AE98" s="7108"/>
      <c r="AF98" s="7108"/>
      <c r="AG98" s="7108"/>
      <c r="AH98" s="7108"/>
      <c r="AI98" s="7108"/>
      <c r="AJ98" s="7108"/>
      <c r="AK98" s="7108"/>
      <c r="AL98" s="7108"/>
      <c r="AM98" s="7108"/>
      <c r="AN98" s="7108"/>
      <c r="AO98" s="7108"/>
      <c r="AP98" s="7108"/>
      <c r="AQ98" s="7108"/>
      <c r="AR98" s="7109"/>
      <c r="AS98" s="7110" t="s">
        <v>1861</v>
      </c>
      <c r="AT98" s="7111"/>
      <c r="AU98" s="7112" t="s">
        <v>457</v>
      </c>
      <c r="AV98" s="7113"/>
      <c r="AW98" s="6492" t="s">
        <v>36</v>
      </c>
      <c r="AX98" s="6511" t="s">
        <v>37</v>
      </c>
    </row>
    <row r="99" spans="1:134" x14ac:dyDescent="0.25">
      <c r="A99" s="5797"/>
      <c r="B99" s="6023"/>
      <c r="C99" s="6749"/>
      <c r="D99" s="6913"/>
      <c r="E99" s="7116" t="s">
        <v>1862</v>
      </c>
      <c r="F99" s="7110"/>
      <c r="G99" s="7116" t="s">
        <v>1888</v>
      </c>
      <c r="H99" s="7110"/>
      <c r="I99" s="7116" t="s">
        <v>1863</v>
      </c>
      <c r="J99" s="7117"/>
      <c r="K99" s="7110" t="s">
        <v>1889</v>
      </c>
      <c r="L99" s="7110"/>
      <c r="M99" s="7116" t="s">
        <v>1335</v>
      </c>
      <c r="N99" s="7110"/>
      <c r="O99" s="7116" t="s">
        <v>94</v>
      </c>
      <c r="P99" s="7110"/>
      <c r="Q99" s="7116" t="s">
        <v>44</v>
      </c>
      <c r="R99" s="7110"/>
      <c r="S99" s="7116" t="s">
        <v>45</v>
      </c>
      <c r="T99" s="7110"/>
      <c r="U99" s="7116" t="s">
        <v>46</v>
      </c>
      <c r="V99" s="7117"/>
      <c r="W99" s="7116" t="s">
        <v>47</v>
      </c>
      <c r="X99" s="7117"/>
      <c r="Y99" s="7116" t="s">
        <v>48</v>
      </c>
      <c r="Z99" s="7117"/>
      <c r="AA99" s="7116" t="s">
        <v>49</v>
      </c>
      <c r="AB99" s="7117"/>
      <c r="AC99" s="7116" t="s">
        <v>50</v>
      </c>
      <c r="AD99" s="7117"/>
      <c r="AE99" s="7116" t="s">
        <v>51</v>
      </c>
      <c r="AF99" s="7117"/>
      <c r="AG99" s="7116" t="s">
        <v>52</v>
      </c>
      <c r="AH99" s="7117"/>
      <c r="AI99" s="7116" t="s">
        <v>53</v>
      </c>
      <c r="AJ99" s="7117"/>
      <c r="AK99" s="7116" t="s">
        <v>54</v>
      </c>
      <c r="AL99" s="7117"/>
      <c r="AM99" s="7116" t="s">
        <v>55</v>
      </c>
      <c r="AN99" s="7117"/>
      <c r="AO99" s="7116" t="s">
        <v>56</v>
      </c>
      <c r="AP99" s="7117"/>
      <c r="AQ99" s="7116" t="s">
        <v>57</v>
      </c>
      <c r="AR99" s="7111"/>
      <c r="AS99" s="6492" t="s">
        <v>58</v>
      </c>
      <c r="AT99" s="7119" t="s">
        <v>59</v>
      </c>
      <c r="AU99" s="7114"/>
      <c r="AV99" s="7115"/>
      <c r="AW99" s="7118"/>
      <c r="AX99" s="6027"/>
    </row>
    <row r="100" spans="1:134" x14ac:dyDescent="0.25">
      <c r="A100" s="5797"/>
      <c r="B100" s="6739"/>
      <c r="C100" s="3897" t="s">
        <v>1864</v>
      </c>
      <c r="D100" s="3896" t="s">
        <v>1865</v>
      </c>
      <c r="E100" s="3894" t="s">
        <v>1864</v>
      </c>
      <c r="F100" s="3895" t="s">
        <v>1865</v>
      </c>
      <c r="G100" s="3894" t="s">
        <v>1864</v>
      </c>
      <c r="H100" s="3895" t="s">
        <v>1865</v>
      </c>
      <c r="I100" s="3894" t="s">
        <v>1864</v>
      </c>
      <c r="J100" s="3896" t="s">
        <v>1865</v>
      </c>
      <c r="K100" s="3897" t="s">
        <v>1864</v>
      </c>
      <c r="L100" s="3895" t="s">
        <v>1865</v>
      </c>
      <c r="M100" s="3894" t="s">
        <v>1864</v>
      </c>
      <c r="N100" s="3895" t="s">
        <v>1865</v>
      </c>
      <c r="O100" s="3894" t="s">
        <v>1864</v>
      </c>
      <c r="P100" s="3895" t="s">
        <v>1865</v>
      </c>
      <c r="Q100" s="3894" t="s">
        <v>1864</v>
      </c>
      <c r="R100" s="3895" t="s">
        <v>1865</v>
      </c>
      <c r="S100" s="3894" t="s">
        <v>1864</v>
      </c>
      <c r="T100" s="3895" t="s">
        <v>1865</v>
      </c>
      <c r="U100" s="3894" t="s">
        <v>1864</v>
      </c>
      <c r="V100" s="3895" t="s">
        <v>1865</v>
      </c>
      <c r="W100" s="3894" t="s">
        <v>1864</v>
      </c>
      <c r="X100" s="3895" t="s">
        <v>1865</v>
      </c>
      <c r="Y100" s="3894" t="s">
        <v>1864</v>
      </c>
      <c r="Z100" s="3895" t="s">
        <v>1865</v>
      </c>
      <c r="AA100" s="3894" t="s">
        <v>1864</v>
      </c>
      <c r="AB100" s="3895" t="s">
        <v>1865</v>
      </c>
      <c r="AC100" s="3894" t="s">
        <v>1864</v>
      </c>
      <c r="AD100" s="3895" t="s">
        <v>1865</v>
      </c>
      <c r="AE100" s="3894" t="s">
        <v>1864</v>
      </c>
      <c r="AF100" s="3895" t="s">
        <v>1865</v>
      </c>
      <c r="AG100" s="3894" t="s">
        <v>1864</v>
      </c>
      <c r="AH100" s="3895" t="s">
        <v>1865</v>
      </c>
      <c r="AI100" s="3894" t="s">
        <v>1864</v>
      </c>
      <c r="AJ100" s="3895" t="s">
        <v>1865</v>
      </c>
      <c r="AK100" s="3894" t="s">
        <v>1864</v>
      </c>
      <c r="AL100" s="3895" t="s">
        <v>1865</v>
      </c>
      <c r="AM100" s="3894" t="s">
        <v>1864</v>
      </c>
      <c r="AN100" s="3895" t="s">
        <v>1865</v>
      </c>
      <c r="AO100" s="3894" t="s">
        <v>1864</v>
      </c>
      <c r="AP100" s="3895" t="s">
        <v>1865</v>
      </c>
      <c r="AQ100" s="3894" t="s">
        <v>1864</v>
      </c>
      <c r="AR100" s="3898" t="s">
        <v>1865</v>
      </c>
      <c r="AS100" s="6894"/>
      <c r="AT100" s="6224"/>
      <c r="AU100" s="1750" t="s">
        <v>462</v>
      </c>
      <c r="AV100" s="1797" t="s">
        <v>463</v>
      </c>
      <c r="AW100" s="6894"/>
      <c r="AX100" s="6955"/>
    </row>
    <row r="101" spans="1:134" x14ac:dyDescent="0.25">
      <c r="A101" s="5601">
        <v>11056436</v>
      </c>
      <c r="B101" s="909" t="s">
        <v>1866</v>
      </c>
      <c r="C101" s="3225" t="s">
        <v>4567</v>
      </c>
      <c r="D101" s="3900" t="s">
        <v>4568</v>
      </c>
      <c r="E101" s="3918" t="s">
        <v>4569</v>
      </c>
      <c r="F101" s="3910" t="s">
        <v>4570</v>
      </c>
      <c r="G101" s="3909" t="s">
        <v>4571</v>
      </c>
      <c r="H101" s="3910" t="s">
        <v>4572</v>
      </c>
      <c r="I101" s="3909" t="s">
        <v>4573</v>
      </c>
      <c r="J101" s="3910" t="s">
        <v>4574</v>
      </c>
      <c r="K101" s="3909" t="s">
        <v>4575</v>
      </c>
      <c r="L101" s="3910" t="s">
        <v>4576</v>
      </c>
      <c r="M101" s="3909" t="s">
        <v>4577</v>
      </c>
      <c r="N101" s="3911" t="s">
        <v>4578</v>
      </c>
      <c r="O101" s="3904" t="s">
        <v>4579</v>
      </c>
      <c r="P101" s="3912" t="s">
        <v>4580</v>
      </c>
      <c r="Q101" s="3913" t="s">
        <v>4581</v>
      </c>
      <c r="R101" s="3912" t="s">
        <v>4582</v>
      </c>
      <c r="S101" s="3913" t="s">
        <v>4583</v>
      </c>
      <c r="T101" s="3912" t="s">
        <v>4584</v>
      </c>
      <c r="U101" s="3913" t="s">
        <v>4585</v>
      </c>
      <c r="V101" s="3912" t="s">
        <v>4586</v>
      </c>
      <c r="W101" s="3913" t="s">
        <v>4587</v>
      </c>
      <c r="X101" s="3912" t="s">
        <v>4588</v>
      </c>
      <c r="Y101" s="3913" t="s">
        <v>4589</v>
      </c>
      <c r="Z101" s="3912" t="s">
        <v>4590</v>
      </c>
      <c r="AA101" s="3913" t="s">
        <v>4591</v>
      </c>
      <c r="AB101" s="3912" t="s">
        <v>4592</v>
      </c>
      <c r="AC101" s="3913" t="s">
        <v>4593</v>
      </c>
      <c r="AD101" s="3912" t="s">
        <v>4594</v>
      </c>
      <c r="AE101" s="3913" t="s">
        <v>4595</v>
      </c>
      <c r="AF101" s="3912" t="s">
        <v>4596</v>
      </c>
      <c r="AG101" s="3913" t="s">
        <v>4597</v>
      </c>
      <c r="AH101" s="3912" t="s">
        <v>4598</v>
      </c>
      <c r="AI101" s="3913" t="s">
        <v>4599</v>
      </c>
      <c r="AJ101" s="3912" t="s">
        <v>4600</v>
      </c>
      <c r="AK101" s="3913" t="s">
        <v>4601</v>
      </c>
      <c r="AL101" s="3912" t="s">
        <v>4602</v>
      </c>
      <c r="AM101" s="3913" t="s">
        <v>4603</v>
      </c>
      <c r="AN101" s="3912" t="s">
        <v>4604</v>
      </c>
      <c r="AO101" s="3913" t="s">
        <v>4605</v>
      </c>
      <c r="AP101" s="3912" t="s">
        <v>4606</v>
      </c>
      <c r="AQ101" s="3913" t="s">
        <v>4934</v>
      </c>
      <c r="AR101" s="3902" t="s">
        <v>4935</v>
      </c>
      <c r="AS101" s="3901" t="s">
        <v>4936</v>
      </c>
      <c r="AT101" s="3902" t="s">
        <v>4937</v>
      </c>
      <c r="AU101" s="3903" t="s">
        <v>5234</v>
      </c>
      <c r="AV101" s="3902" t="s">
        <v>5235</v>
      </c>
      <c r="AW101" s="3904" t="s">
        <v>5236</v>
      </c>
      <c r="AX101" s="3905" t="s">
        <v>5237</v>
      </c>
      <c r="AY101" s="1864" t="e">
        <f t="shared" ref="AY101:AY108" si="256">$CB101&amp;CC101&amp;CD101&amp;$CE101&amp;CK101&amp;CL101&amp;CM101&amp;CN101&amp;CO101&amp;CP101&amp;CQ101&amp;CR101&amp;CS101&amp;CT101&amp;CU101&amp;CV101&amp;CW101&amp;CX101&amp;CY101</f>
        <v>#VALUE!</v>
      </c>
      <c r="CB101" s="1865" t="str">
        <f>IF(C101&lt;&gt;(AT101)," * La suma de las columnas "&amp;AS$10&amp;""&amp;" DEBE SER IGUAL a los Exámenes Procesados. ","")</f>
        <v xml:space="preserve"> * La suma de las columnas POR SEXO (Procesados) DEBE SER IGUAL a los Exámenes Procesados. </v>
      </c>
      <c r="CC101" s="1865" t="e">
        <f t="shared" ref="CC101:CC118" si="257">IF(AND($C101&gt;0,AND(AU101="",AV101="")),"* No olvide ingresar las columnas Trans Masculino o Femenino (*Digite CERO si no tiene). ",IF((AU101+AV101)&gt;$C101,"* El Número de Trans Masculino o Femenino no puede superar el Total Procesados. ",""))</f>
        <v>#VALUE!</v>
      </c>
      <c r="CD101" s="1865" t="str">
        <f t="shared" ref="CD101:CD118" si="258">IF(AND($C101&gt;0,AW101=""),"* No olvide ingresar la columna "&amp;AW$10&amp;""&amp;" *(Digite CERO si no tiene). ",IF(AW101&gt;$C101," *El Número de "&amp;AW$10&amp;""&amp;" no puede superar el Total Procesados. ",""))</f>
        <v xml:space="preserve"> *El Número de Pueblos Originarios no puede superar el Total Procesados. </v>
      </c>
      <c r="CE101" s="1865" t="str">
        <f t="shared" ref="CE101:CE118" si="259">IF(AND($C101&gt;0,AX101=""),"* No olvide ingresar la columna "&amp;AX$10&amp;""&amp;" *(Digite CERO si no tiene). ",IF(AX101&gt;$C101," *El Número de "&amp;AX$10&amp;""&amp;" no puede superar el Total Procesados. ",""))</f>
        <v xml:space="preserve"> *El Número de Migrantes no puede superar el Total Procesados. </v>
      </c>
      <c r="CF101" s="1866"/>
      <c r="CG101" s="1866"/>
      <c r="CH101" s="1866"/>
      <c r="CI101" s="1866"/>
      <c r="CJ101" s="1866"/>
      <c r="CK101" s="1865" t="str">
        <f t="shared" ref="CK101:CK109" si="260">IF(O101&lt;P101,CONCATENATE("* El total de Procesados debe ser mayor o igual al total de Reactivos en el grupo de edad ",$O$11),"")</f>
        <v>* El total de Procesados debe ser mayor o igual al total de Reactivos en el grupo de edad 10 - 14 años</v>
      </c>
      <c r="CL101" s="1865" t="str">
        <f t="shared" ref="CL101:CL109" si="261">IF(Q101&lt;R101,CONCATENATE("* El total de Procesados debe ser mayor o igual al total de Reactivos en el grupo de edad ",$Q$11),"")</f>
        <v>* El total de Procesados debe ser mayor o igual al total de Reactivos en el grupo de edad 15 - 19 años</v>
      </c>
      <c r="CM101" s="1865" t="str">
        <f t="shared" ref="CM101:CM109" si="262">IF(S101&lt;T101,CONCATENATE("* El total de Procesados debe ser mayor o igual al total de Reactivos en el grupo de edad ",$S$11),"")</f>
        <v>* El total de Procesados debe ser mayor o igual al total de Reactivos en el grupo de edad 20 - 24 años</v>
      </c>
      <c r="CN101" s="1865" t="str">
        <f>IF($U101&lt;$V101,CONCATENATE("* El total de Procesados debe ser mayor o igual al total de Reactivos en el grupo de edad ",$U$11),"")</f>
        <v>* El total de Procesados debe ser mayor o igual al total de Reactivos en el grupo de edad 25 - 29 años</v>
      </c>
      <c r="CO101" s="1865" t="str">
        <f t="shared" ref="CO101:CO109" si="263">IF(W101&lt;X101,CONCATENATE("* El total de Procesados debe ser mayor o igual al total de Reactivos en el grupo de edad ",$W$11),"")</f>
        <v>* El total de Procesados debe ser mayor o igual al total de Reactivos en el grupo de edad 30 - 34 años</v>
      </c>
      <c r="CP101" s="1865" t="str">
        <f t="shared" ref="CP101:CP109" si="264">IF(Y101&lt;Z101,CONCATENATE("* El total de Procesados debe ser mayor o igual al total de Reactivos en el grupo de edad ",$Y$11),"")</f>
        <v>* El total de Procesados debe ser mayor o igual al total de Reactivos en el grupo de edad 35 - 39 años</v>
      </c>
      <c r="CQ101" s="1865" t="str">
        <f t="shared" ref="CQ101:CQ109" si="265">IF(AA101&lt;AB101,CONCATENATE("* El total de Procesados debe ser mayor o igual al total de Reactivos en el grupo de edad ",$AA$11),"")</f>
        <v>* El total de Procesados debe ser mayor o igual al total de Reactivos en el grupo de edad 40 - 44 años</v>
      </c>
      <c r="CR101" s="1865" t="str">
        <f t="shared" ref="CR101:CR109" si="266">IF(AC101&lt;AD101,CONCATENATE("* El total de Procesados debe ser mayor o igual al total de Reactivos en el grupo de edad ",$AC$11),"")</f>
        <v>* El total de Procesados debe ser mayor o igual al total de Reactivos en el grupo de edad 45 - 49 años</v>
      </c>
      <c r="CS101" s="1865" t="str">
        <f t="shared" ref="CS101:CS109" si="267">IF(AE101&lt;AF101,CONCATENATE("* El total de Procesados debe ser mayor o igual al total de Reactivos en el grupo de edad ",$AE$11),"")</f>
        <v>* El total de Procesados debe ser mayor o igual al total de Reactivos en el grupo de edad 50 - 54 años</v>
      </c>
      <c r="CT101" s="1865" t="str">
        <f t="shared" ref="CT101:CT109" si="268">IF(AG101&lt;AH101,CONCATENATE("* El total de Procesados debe ser mayor o igual al total de Reactivos en el grupo de edad ",$AG$11),"")</f>
        <v>* El total de Procesados debe ser mayor o igual al total de Reactivos en el grupo de edad 55 - 59 años</v>
      </c>
      <c r="CU101" s="1865" t="str">
        <f t="shared" ref="CU101:CU109" si="269">IF(AI101&lt;AJ101,CONCATENATE("* El total de Procesados debe ser mayor o igual al total de Reactivos en el grupo de edad ",$AI$11),"")</f>
        <v>* El total de Procesados debe ser mayor o igual al total de Reactivos en el grupo de edad 60 - 64 años</v>
      </c>
      <c r="CV101" s="1865" t="str">
        <f t="shared" ref="CV101:CV109" si="270">IF(AK101&lt;AL101,CONCATENATE("* El total de Procesados debe ser mayor o igual al total de Reactivos en el grupo de edad ",$AK$11),"")</f>
        <v>* El total de Procesados debe ser mayor o igual al total de Reactivos en el grupo de edad 65 - 69 años</v>
      </c>
      <c r="CW101" s="1865" t="str">
        <f t="shared" ref="CW101:CW109" si="271">IF(AM101&lt;AN101,CONCATENATE("* El total de Procesados debe ser mayor o igual al total de Reactivos en el grupo de edad ",$AM$11),"")</f>
        <v>* El total de Procesados debe ser mayor o igual al total de Reactivos en el grupo de edad 70 - 74 años</v>
      </c>
      <c r="CX101" s="1865" t="str">
        <f t="shared" ref="CX101:CX109" si="272">IF(AO101&lt;AP101,CONCATENATE("* El total de Procesados debe ser mayor o igual al total de Reactivos en el grupo de edad ",$AO$11),"")</f>
        <v>* El total de Procesados debe ser mayor o igual al total de Reactivos en el grupo de edad 75 - 79 años</v>
      </c>
      <c r="CY101" s="1865" t="str">
        <f t="shared" ref="CY101:CY109" si="273">IF(AQ101&lt;AR101,CONCATENATE("* El total de Procesados debe ser mayor o igual al total de Reactivos en el grupo de edad ",$AQ$11),"")</f>
        <v>* El total de Procesados debe ser mayor o igual al total de Reactivos en el grupo de edad 80 y más años</v>
      </c>
      <c r="DF101" s="1936"/>
      <c r="DG101" s="3922">
        <f>IF(C101&lt;&gt;(AT101),1,0)</f>
        <v>1</v>
      </c>
      <c r="DH101" s="3906" t="e">
        <f t="shared" ref="DH101:DH118" si="274">IF(AND($C101&gt;0,AND(AU101="",AV101="")),1,IF((AU101+AV101)&gt;$C101,1,0))</f>
        <v>#VALUE!</v>
      </c>
      <c r="DI101" s="3906">
        <f t="shared" ref="DI101:DI118" si="275">IF(AND($C101&gt;0,AW101=""),1,IF(AW101&gt;$C101,1,0))</f>
        <v>1</v>
      </c>
      <c r="DJ101" s="3906">
        <f t="shared" ref="DJ101:DJ118" si="276">IF(AND($C101&gt;0,AX101=""),1,IF(AX101&gt;$C101,1,0))</f>
        <v>1</v>
      </c>
      <c r="DK101" s="1866"/>
      <c r="DL101" s="1866"/>
      <c r="DM101" s="1866"/>
      <c r="DN101" s="1866"/>
      <c r="DO101" s="1866"/>
      <c r="DP101" s="3906">
        <f t="shared" ref="DP101:DP109" si="277">IF(O101&lt;P101,1,0)</f>
        <v>1</v>
      </c>
      <c r="DQ101" s="3906">
        <f t="shared" ref="DQ101:DQ109" si="278">IF(Q101&lt;R101,1,0)</f>
        <v>1</v>
      </c>
      <c r="DR101" s="3906">
        <f t="shared" ref="DR101:DR109" si="279">IF(S101&lt;T101,1,0)</f>
        <v>1</v>
      </c>
      <c r="DS101" s="3906">
        <f>IF($U101&lt;$V101,1,0)</f>
        <v>1</v>
      </c>
      <c r="DT101" s="3906">
        <f t="shared" ref="DT101:DT109" si="280">IF(W101&lt;X101,1,0)</f>
        <v>1</v>
      </c>
      <c r="DU101" s="3906">
        <f t="shared" ref="DU101:DU109" si="281">IF(Y101&lt;Z101,1,0)</f>
        <v>1</v>
      </c>
      <c r="DV101" s="3906">
        <f t="shared" ref="DV101:DV109" si="282">IF(AA101&lt;AB101,1,0)</f>
        <v>1</v>
      </c>
      <c r="DW101" s="3906">
        <f t="shared" ref="DW101:DW118" si="283">IF(AC101&lt;AD101,1,0)</f>
        <v>1</v>
      </c>
      <c r="DX101" s="3906">
        <f t="shared" ref="DX101:DX109" si="284">IF(AE101&lt;AF101,1,0)</f>
        <v>1</v>
      </c>
      <c r="DY101" s="3906">
        <f t="shared" ref="DY101:DY109" si="285">IF(AG101&lt;AH101,1,0)</f>
        <v>1</v>
      </c>
      <c r="DZ101" s="3906">
        <f t="shared" ref="DZ101:DZ109" si="286">IF(AI101&lt;AJ101,1,0)</f>
        <v>1</v>
      </c>
      <c r="EA101" s="3906">
        <f t="shared" ref="EA101:EA109" si="287">IF(AK101&lt;AL101,1,0)</f>
        <v>1</v>
      </c>
      <c r="EB101" s="3906">
        <f t="shared" ref="EB101:EB109" si="288">IF(AM101&lt;AN101,1,0)</f>
        <v>1</v>
      </c>
      <c r="EC101" s="3906">
        <f t="shared" ref="EC101:EC109" si="289">IF(AO101&lt;AP101,1,0)</f>
        <v>1</v>
      </c>
      <c r="ED101" s="3906">
        <f t="shared" ref="ED101:ED109" si="290">IF(AQ101&lt;AR101,1,0)</f>
        <v>1</v>
      </c>
    </row>
    <row r="102" spans="1:134" x14ac:dyDescent="0.25">
      <c r="A102" s="5601">
        <v>11056437</v>
      </c>
      <c r="B102" s="3923" t="s">
        <v>1867</v>
      </c>
      <c r="C102" s="3908" t="s">
        <v>4567</v>
      </c>
      <c r="D102" s="344" t="s">
        <v>4568</v>
      </c>
      <c r="E102" s="3918" t="s">
        <v>4569</v>
      </c>
      <c r="F102" s="3910" t="s">
        <v>4570</v>
      </c>
      <c r="G102" s="3909" t="s">
        <v>4571</v>
      </c>
      <c r="H102" s="3910" t="s">
        <v>4572</v>
      </c>
      <c r="I102" s="3909" t="s">
        <v>4573</v>
      </c>
      <c r="J102" s="3910" t="s">
        <v>4574</v>
      </c>
      <c r="K102" s="3909" t="s">
        <v>4575</v>
      </c>
      <c r="L102" s="3910" t="s">
        <v>4576</v>
      </c>
      <c r="M102" s="3909" t="s">
        <v>4577</v>
      </c>
      <c r="N102" s="3911" t="s">
        <v>4578</v>
      </c>
      <c r="O102" s="3904" t="s">
        <v>4579</v>
      </c>
      <c r="P102" s="3912" t="s">
        <v>4580</v>
      </c>
      <c r="Q102" s="3913" t="s">
        <v>4581</v>
      </c>
      <c r="R102" s="3912" t="s">
        <v>4582</v>
      </c>
      <c r="S102" s="3913" t="s">
        <v>4583</v>
      </c>
      <c r="T102" s="3912" t="s">
        <v>4584</v>
      </c>
      <c r="U102" s="3913" t="s">
        <v>4585</v>
      </c>
      <c r="V102" s="3912" t="s">
        <v>4586</v>
      </c>
      <c r="W102" s="3913" t="s">
        <v>4587</v>
      </c>
      <c r="X102" s="3912" t="s">
        <v>4588</v>
      </c>
      <c r="Y102" s="3913" t="s">
        <v>4589</v>
      </c>
      <c r="Z102" s="3912" t="s">
        <v>4590</v>
      </c>
      <c r="AA102" s="3913" t="s">
        <v>4591</v>
      </c>
      <c r="AB102" s="3912" t="s">
        <v>4592</v>
      </c>
      <c r="AC102" s="3913" t="s">
        <v>4593</v>
      </c>
      <c r="AD102" s="3912" t="s">
        <v>4594</v>
      </c>
      <c r="AE102" s="3913" t="s">
        <v>4595</v>
      </c>
      <c r="AF102" s="3912" t="s">
        <v>4596</v>
      </c>
      <c r="AG102" s="3913" t="s">
        <v>4597</v>
      </c>
      <c r="AH102" s="3912" t="s">
        <v>4598</v>
      </c>
      <c r="AI102" s="3913" t="s">
        <v>4599</v>
      </c>
      <c r="AJ102" s="3912" t="s">
        <v>4600</v>
      </c>
      <c r="AK102" s="3913" t="s">
        <v>4601</v>
      </c>
      <c r="AL102" s="3912" t="s">
        <v>4602</v>
      </c>
      <c r="AM102" s="3913" t="s">
        <v>4603</v>
      </c>
      <c r="AN102" s="3912" t="s">
        <v>4604</v>
      </c>
      <c r="AO102" s="3913" t="s">
        <v>4605</v>
      </c>
      <c r="AP102" s="3912" t="s">
        <v>4606</v>
      </c>
      <c r="AQ102" s="3913" t="s">
        <v>4934</v>
      </c>
      <c r="AR102" s="3902" t="s">
        <v>4935</v>
      </c>
      <c r="AS102" s="3901" t="s">
        <v>4936</v>
      </c>
      <c r="AT102" s="3902" t="s">
        <v>4937</v>
      </c>
      <c r="AU102" s="3903" t="s">
        <v>5234</v>
      </c>
      <c r="AV102" s="3902" t="s">
        <v>5235</v>
      </c>
      <c r="AW102" s="3904" t="s">
        <v>5236</v>
      </c>
      <c r="AX102" s="3905" t="s">
        <v>5237</v>
      </c>
      <c r="AY102" s="1864" t="e">
        <f t="shared" si="256"/>
        <v>#VALUE!</v>
      </c>
      <c r="CB102" s="1865" t="str">
        <f>IF(C102&lt;&gt;(AT102)," * La suma de las columnas "&amp;AS$10&amp;""&amp;" DEBE SER IGUAL a los Exámenes Procesados. ","")</f>
        <v xml:space="preserve"> * La suma de las columnas POR SEXO (Procesados) DEBE SER IGUAL a los Exámenes Procesados. </v>
      </c>
      <c r="CC102" s="1865" t="e">
        <f t="shared" si="257"/>
        <v>#VALUE!</v>
      </c>
      <c r="CD102" s="1865" t="str">
        <f t="shared" si="258"/>
        <v xml:space="preserve"> *El Número de Pueblos Originarios no puede superar el Total Procesados. </v>
      </c>
      <c r="CE102" s="1865" t="str">
        <f t="shared" si="259"/>
        <v xml:space="preserve"> *El Número de Migrantes no puede superar el Total Procesados. </v>
      </c>
      <c r="CF102" s="1866"/>
      <c r="CG102" s="1866"/>
      <c r="CH102" s="1866"/>
      <c r="CI102" s="1866"/>
      <c r="CJ102" s="1866"/>
      <c r="CK102" s="1865" t="str">
        <f t="shared" si="260"/>
        <v>* El total de Procesados debe ser mayor o igual al total de Reactivos en el grupo de edad 10 - 14 años</v>
      </c>
      <c r="CL102" s="1865" t="str">
        <f t="shared" si="261"/>
        <v>* El total de Procesados debe ser mayor o igual al total de Reactivos en el grupo de edad 15 - 19 años</v>
      </c>
      <c r="CM102" s="1865" t="str">
        <f t="shared" si="262"/>
        <v>* El total de Procesados debe ser mayor o igual al total de Reactivos en el grupo de edad 20 - 24 años</v>
      </c>
      <c r="CN102" s="1865" t="str">
        <f t="shared" ref="CN102:CN118" si="291">IF($U102&lt;$V102,CONCATENATE("* El total de Procesados debe ser mayor o igual al total de Reactivos en el grupo de edad ",$U$11),"")</f>
        <v>* El total de Procesados debe ser mayor o igual al total de Reactivos en el grupo de edad 25 - 29 años</v>
      </c>
      <c r="CO102" s="1865" t="str">
        <f t="shared" si="263"/>
        <v>* El total de Procesados debe ser mayor o igual al total de Reactivos en el grupo de edad 30 - 34 años</v>
      </c>
      <c r="CP102" s="1865" t="str">
        <f t="shared" si="264"/>
        <v>* El total de Procesados debe ser mayor o igual al total de Reactivos en el grupo de edad 35 - 39 años</v>
      </c>
      <c r="CQ102" s="1865" t="str">
        <f t="shared" si="265"/>
        <v>* El total de Procesados debe ser mayor o igual al total de Reactivos en el grupo de edad 40 - 44 años</v>
      </c>
      <c r="CR102" s="1865" t="str">
        <f t="shared" si="266"/>
        <v>* El total de Procesados debe ser mayor o igual al total de Reactivos en el grupo de edad 45 - 49 años</v>
      </c>
      <c r="CS102" s="1865" t="str">
        <f t="shared" si="267"/>
        <v>* El total de Procesados debe ser mayor o igual al total de Reactivos en el grupo de edad 50 - 54 años</v>
      </c>
      <c r="CT102" s="1865" t="str">
        <f t="shared" si="268"/>
        <v>* El total de Procesados debe ser mayor o igual al total de Reactivos en el grupo de edad 55 - 59 años</v>
      </c>
      <c r="CU102" s="1865" t="str">
        <f t="shared" si="269"/>
        <v>* El total de Procesados debe ser mayor o igual al total de Reactivos en el grupo de edad 60 - 64 años</v>
      </c>
      <c r="CV102" s="1865" t="str">
        <f t="shared" si="270"/>
        <v>* El total de Procesados debe ser mayor o igual al total de Reactivos en el grupo de edad 65 - 69 años</v>
      </c>
      <c r="CW102" s="1865" t="str">
        <f t="shared" si="271"/>
        <v>* El total de Procesados debe ser mayor o igual al total de Reactivos en el grupo de edad 70 - 74 años</v>
      </c>
      <c r="CX102" s="1865" t="str">
        <f t="shared" si="272"/>
        <v>* El total de Procesados debe ser mayor o igual al total de Reactivos en el grupo de edad 75 - 79 años</v>
      </c>
      <c r="CY102" s="1865" t="str">
        <f t="shared" si="273"/>
        <v>* El total de Procesados debe ser mayor o igual al total de Reactivos en el grupo de edad 80 y más años</v>
      </c>
      <c r="DF102" s="1936"/>
      <c r="DG102" s="3922">
        <f>IF(C102&lt;&gt;(AT102),1,0)</f>
        <v>1</v>
      </c>
      <c r="DH102" s="3906" t="e">
        <f t="shared" si="274"/>
        <v>#VALUE!</v>
      </c>
      <c r="DI102" s="3906">
        <f t="shared" si="275"/>
        <v>1</v>
      </c>
      <c r="DJ102" s="3906">
        <f t="shared" si="276"/>
        <v>1</v>
      </c>
      <c r="DK102" s="1866"/>
      <c r="DL102" s="1866"/>
      <c r="DM102" s="1866"/>
      <c r="DN102" s="1866"/>
      <c r="DO102" s="1866"/>
      <c r="DP102" s="3906">
        <f t="shared" si="277"/>
        <v>1</v>
      </c>
      <c r="DQ102" s="3906">
        <f t="shared" si="278"/>
        <v>1</v>
      </c>
      <c r="DR102" s="3906">
        <f t="shared" si="279"/>
        <v>1</v>
      </c>
      <c r="DS102" s="3906">
        <f t="shared" ref="DS102:DS118" si="292">IF($U102&lt;$V102,1,0)</f>
        <v>1</v>
      </c>
      <c r="DT102" s="3906">
        <f t="shared" si="280"/>
        <v>1</v>
      </c>
      <c r="DU102" s="3906">
        <f t="shared" si="281"/>
        <v>1</v>
      </c>
      <c r="DV102" s="3906">
        <f t="shared" si="282"/>
        <v>1</v>
      </c>
      <c r="DW102" s="3906">
        <f t="shared" si="283"/>
        <v>1</v>
      </c>
      <c r="DX102" s="3906">
        <f t="shared" si="284"/>
        <v>1</v>
      </c>
      <c r="DY102" s="3906">
        <f t="shared" si="285"/>
        <v>1</v>
      </c>
      <c r="DZ102" s="3906">
        <f t="shared" si="286"/>
        <v>1</v>
      </c>
      <c r="EA102" s="3906">
        <f t="shared" si="287"/>
        <v>1</v>
      </c>
      <c r="EB102" s="3906">
        <f t="shared" si="288"/>
        <v>1</v>
      </c>
      <c r="EC102" s="3906">
        <f t="shared" si="289"/>
        <v>1</v>
      </c>
      <c r="ED102" s="3906">
        <f t="shared" si="290"/>
        <v>1</v>
      </c>
    </row>
    <row r="103" spans="1:134" x14ac:dyDescent="0.25">
      <c r="A103" s="5601">
        <v>11056438</v>
      </c>
      <c r="B103" s="3923" t="s">
        <v>1868</v>
      </c>
      <c r="C103" s="3908" t="s">
        <v>4567</v>
      </c>
      <c r="D103" s="344" t="s">
        <v>4568</v>
      </c>
      <c r="E103" s="3918" t="s">
        <v>4569</v>
      </c>
      <c r="F103" s="3910" t="s">
        <v>4570</v>
      </c>
      <c r="G103" s="3909" t="s">
        <v>4571</v>
      </c>
      <c r="H103" s="3910" t="s">
        <v>4572</v>
      </c>
      <c r="I103" s="3909" t="s">
        <v>4573</v>
      </c>
      <c r="J103" s="3910" t="s">
        <v>4574</v>
      </c>
      <c r="K103" s="3909" t="s">
        <v>4575</v>
      </c>
      <c r="L103" s="3910" t="s">
        <v>4576</v>
      </c>
      <c r="M103" s="3909" t="s">
        <v>4577</v>
      </c>
      <c r="N103" s="3911" t="s">
        <v>4578</v>
      </c>
      <c r="O103" s="3904" t="s">
        <v>4579</v>
      </c>
      <c r="P103" s="3912" t="s">
        <v>4580</v>
      </c>
      <c r="Q103" s="3913" t="s">
        <v>4581</v>
      </c>
      <c r="R103" s="3912" t="s">
        <v>4582</v>
      </c>
      <c r="S103" s="3913" t="s">
        <v>4583</v>
      </c>
      <c r="T103" s="3912" t="s">
        <v>4584</v>
      </c>
      <c r="U103" s="3913" t="s">
        <v>4585</v>
      </c>
      <c r="V103" s="3912" t="s">
        <v>4586</v>
      </c>
      <c r="W103" s="3913" t="s">
        <v>4587</v>
      </c>
      <c r="X103" s="3912" t="s">
        <v>4588</v>
      </c>
      <c r="Y103" s="3913" t="s">
        <v>4589</v>
      </c>
      <c r="Z103" s="3912" t="s">
        <v>4590</v>
      </c>
      <c r="AA103" s="3913" t="s">
        <v>4591</v>
      </c>
      <c r="AB103" s="3912" t="s">
        <v>4592</v>
      </c>
      <c r="AC103" s="3913" t="s">
        <v>4593</v>
      </c>
      <c r="AD103" s="3912" t="s">
        <v>4594</v>
      </c>
      <c r="AE103" s="3913" t="s">
        <v>4595</v>
      </c>
      <c r="AF103" s="3912" t="s">
        <v>4596</v>
      </c>
      <c r="AG103" s="3913" t="s">
        <v>4597</v>
      </c>
      <c r="AH103" s="3912" t="s">
        <v>4598</v>
      </c>
      <c r="AI103" s="3913" t="s">
        <v>4599</v>
      </c>
      <c r="AJ103" s="3912" t="s">
        <v>4600</v>
      </c>
      <c r="AK103" s="3913" t="s">
        <v>4601</v>
      </c>
      <c r="AL103" s="3912" t="s">
        <v>4602</v>
      </c>
      <c r="AM103" s="3913" t="s">
        <v>4603</v>
      </c>
      <c r="AN103" s="3912" t="s">
        <v>4604</v>
      </c>
      <c r="AO103" s="3913" t="s">
        <v>4605</v>
      </c>
      <c r="AP103" s="3912" t="s">
        <v>4606</v>
      </c>
      <c r="AQ103" s="3913" t="s">
        <v>4934</v>
      </c>
      <c r="AR103" s="3902" t="s">
        <v>4935</v>
      </c>
      <c r="AS103" s="3901" t="s">
        <v>4936</v>
      </c>
      <c r="AT103" s="3902" t="s">
        <v>4937</v>
      </c>
      <c r="AU103" s="3903" t="s">
        <v>5234</v>
      </c>
      <c r="AV103" s="3902" t="s">
        <v>5235</v>
      </c>
      <c r="AW103" s="3904" t="s">
        <v>5236</v>
      </c>
      <c r="AX103" s="3905" t="s">
        <v>5237</v>
      </c>
      <c r="AY103" s="1864" t="e">
        <f t="shared" si="256"/>
        <v>#VALUE!</v>
      </c>
      <c r="CB103" s="1865" t="str">
        <f>IF(C103&lt;&gt;(AT103)," * La suma de las columnas "&amp;AS$10&amp;""&amp;" DEBE SER IGUAL a los Exámenes Procesados. ","")</f>
        <v xml:space="preserve"> * La suma de las columnas POR SEXO (Procesados) DEBE SER IGUAL a los Exámenes Procesados. </v>
      </c>
      <c r="CC103" s="1865" t="e">
        <f t="shared" si="257"/>
        <v>#VALUE!</v>
      </c>
      <c r="CD103" s="1865" t="str">
        <f t="shared" si="258"/>
        <v xml:space="preserve"> *El Número de Pueblos Originarios no puede superar el Total Procesados. </v>
      </c>
      <c r="CE103" s="1865" t="str">
        <f t="shared" si="259"/>
        <v xml:space="preserve"> *El Número de Migrantes no puede superar el Total Procesados. </v>
      </c>
      <c r="CF103" s="1866"/>
      <c r="CG103" s="1866"/>
      <c r="CH103" s="1866"/>
      <c r="CI103" s="1866"/>
      <c r="CJ103" s="1866"/>
      <c r="CK103" s="1865" t="str">
        <f t="shared" si="260"/>
        <v>* El total de Procesados debe ser mayor o igual al total de Reactivos en el grupo de edad 10 - 14 años</v>
      </c>
      <c r="CL103" s="1865" t="str">
        <f t="shared" si="261"/>
        <v>* El total de Procesados debe ser mayor o igual al total de Reactivos en el grupo de edad 15 - 19 años</v>
      </c>
      <c r="CM103" s="1865" t="str">
        <f t="shared" si="262"/>
        <v>* El total de Procesados debe ser mayor o igual al total de Reactivos en el grupo de edad 20 - 24 años</v>
      </c>
      <c r="CN103" s="1865" t="str">
        <f t="shared" si="291"/>
        <v>* El total de Procesados debe ser mayor o igual al total de Reactivos en el grupo de edad 25 - 29 años</v>
      </c>
      <c r="CO103" s="1865" t="str">
        <f t="shared" si="263"/>
        <v>* El total de Procesados debe ser mayor o igual al total de Reactivos en el grupo de edad 30 - 34 años</v>
      </c>
      <c r="CP103" s="1865" t="str">
        <f t="shared" si="264"/>
        <v>* El total de Procesados debe ser mayor o igual al total de Reactivos en el grupo de edad 35 - 39 años</v>
      </c>
      <c r="CQ103" s="1865" t="str">
        <f t="shared" si="265"/>
        <v>* El total de Procesados debe ser mayor o igual al total de Reactivos en el grupo de edad 40 - 44 años</v>
      </c>
      <c r="CR103" s="1865" t="str">
        <f t="shared" si="266"/>
        <v>* El total de Procesados debe ser mayor o igual al total de Reactivos en el grupo de edad 45 - 49 años</v>
      </c>
      <c r="CS103" s="1865" t="str">
        <f t="shared" si="267"/>
        <v>* El total de Procesados debe ser mayor o igual al total de Reactivos en el grupo de edad 50 - 54 años</v>
      </c>
      <c r="CT103" s="1865" t="str">
        <f t="shared" si="268"/>
        <v>* El total de Procesados debe ser mayor o igual al total de Reactivos en el grupo de edad 55 - 59 años</v>
      </c>
      <c r="CU103" s="1865" t="str">
        <f t="shared" si="269"/>
        <v>* El total de Procesados debe ser mayor o igual al total de Reactivos en el grupo de edad 60 - 64 años</v>
      </c>
      <c r="CV103" s="1865" t="str">
        <f t="shared" si="270"/>
        <v>* El total de Procesados debe ser mayor o igual al total de Reactivos en el grupo de edad 65 - 69 años</v>
      </c>
      <c r="CW103" s="1865" t="str">
        <f t="shared" si="271"/>
        <v>* El total de Procesados debe ser mayor o igual al total de Reactivos en el grupo de edad 70 - 74 años</v>
      </c>
      <c r="CX103" s="1865" t="str">
        <f t="shared" si="272"/>
        <v>* El total de Procesados debe ser mayor o igual al total de Reactivos en el grupo de edad 75 - 79 años</v>
      </c>
      <c r="CY103" s="1865" t="str">
        <f t="shared" si="273"/>
        <v>* El total de Procesados debe ser mayor o igual al total de Reactivos en el grupo de edad 80 y más años</v>
      </c>
      <c r="DF103" s="1936"/>
      <c r="DG103" s="3922">
        <f>IF(C103&lt;&gt;(AT103),1,0)</f>
        <v>1</v>
      </c>
      <c r="DH103" s="3906" t="e">
        <f t="shared" si="274"/>
        <v>#VALUE!</v>
      </c>
      <c r="DI103" s="3906">
        <f t="shared" si="275"/>
        <v>1</v>
      </c>
      <c r="DJ103" s="3906">
        <f t="shared" si="276"/>
        <v>1</v>
      </c>
      <c r="DK103" s="1866"/>
      <c r="DL103" s="1866"/>
      <c r="DM103" s="1866"/>
      <c r="DN103" s="1866"/>
      <c r="DO103" s="1866"/>
      <c r="DP103" s="3906">
        <f t="shared" si="277"/>
        <v>1</v>
      </c>
      <c r="DQ103" s="3906">
        <f t="shared" si="278"/>
        <v>1</v>
      </c>
      <c r="DR103" s="3906">
        <f t="shared" si="279"/>
        <v>1</v>
      </c>
      <c r="DS103" s="3906">
        <f t="shared" si="292"/>
        <v>1</v>
      </c>
      <c r="DT103" s="3906">
        <f t="shared" si="280"/>
        <v>1</v>
      </c>
      <c r="DU103" s="3906">
        <f t="shared" si="281"/>
        <v>1</v>
      </c>
      <c r="DV103" s="3906">
        <f t="shared" si="282"/>
        <v>1</v>
      </c>
      <c r="DW103" s="3906">
        <f t="shared" si="283"/>
        <v>1</v>
      </c>
      <c r="DX103" s="3906">
        <f t="shared" si="284"/>
        <v>1</v>
      </c>
      <c r="DY103" s="3906">
        <f t="shared" si="285"/>
        <v>1</v>
      </c>
      <c r="DZ103" s="3906">
        <f t="shared" si="286"/>
        <v>1</v>
      </c>
      <c r="EA103" s="3906">
        <f t="shared" si="287"/>
        <v>1</v>
      </c>
      <c r="EB103" s="3906">
        <f t="shared" si="288"/>
        <v>1</v>
      </c>
      <c r="EC103" s="3906">
        <f t="shared" si="289"/>
        <v>1</v>
      </c>
      <c r="ED103" s="3906">
        <f t="shared" si="290"/>
        <v>1</v>
      </c>
    </row>
    <row r="104" spans="1:134" x14ac:dyDescent="0.25">
      <c r="A104" s="5601">
        <v>11056439</v>
      </c>
      <c r="B104" s="3923" t="s">
        <v>1869</v>
      </c>
      <c r="C104" s="3908" t="s">
        <v>4567</v>
      </c>
      <c r="D104" s="344" t="s">
        <v>4568</v>
      </c>
      <c r="E104" s="3918" t="s">
        <v>4569</v>
      </c>
      <c r="F104" s="3910" t="s">
        <v>4570</v>
      </c>
      <c r="G104" s="3909" t="s">
        <v>4571</v>
      </c>
      <c r="H104" s="3910" t="s">
        <v>4572</v>
      </c>
      <c r="I104" s="3909" t="s">
        <v>4573</v>
      </c>
      <c r="J104" s="3910" t="s">
        <v>4574</v>
      </c>
      <c r="K104" s="3909" t="s">
        <v>4575</v>
      </c>
      <c r="L104" s="3910" t="s">
        <v>4576</v>
      </c>
      <c r="M104" s="3909" t="s">
        <v>4577</v>
      </c>
      <c r="N104" s="3911" t="s">
        <v>4578</v>
      </c>
      <c r="O104" s="3904" t="s">
        <v>4579</v>
      </c>
      <c r="P104" s="3912" t="s">
        <v>4580</v>
      </c>
      <c r="Q104" s="3913" t="s">
        <v>4581</v>
      </c>
      <c r="R104" s="3912" t="s">
        <v>4582</v>
      </c>
      <c r="S104" s="3913" t="s">
        <v>4583</v>
      </c>
      <c r="T104" s="3912" t="s">
        <v>4584</v>
      </c>
      <c r="U104" s="3913" t="s">
        <v>4585</v>
      </c>
      <c r="V104" s="3912" t="s">
        <v>4586</v>
      </c>
      <c r="W104" s="3913" t="s">
        <v>4587</v>
      </c>
      <c r="X104" s="3912" t="s">
        <v>4588</v>
      </c>
      <c r="Y104" s="3913" t="s">
        <v>4589</v>
      </c>
      <c r="Z104" s="3912" t="s">
        <v>4590</v>
      </c>
      <c r="AA104" s="3913" t="s">
        <v>4591</v>
      </c>
      <c r="AB104" s="3912" t="s">
        <v>4592</v>
      </c>
      <c r="AC104" s="3913" t="s">
        <v>4593</v>
      </c>
      <c r="AD104" s="3912" t="s">
        <v>4594</v>
      </c>
      <c r="AE104" s="3913" t="s">
        <v>4595</v>
      </c>
      <c r="AF104" s="3912" t="s">
        <v>4596</v>
      </c>
      <c r="AG104" s="3913" t="s">
        <v>4597</v>
      </c>
      <c r="AH104" s="3912" t="s">
        <v>4598</v>
      </c>
      <c r="AI104" s="3913" t="s">
        <v>4599</v>
      </c>
      <c r="AJ104" s="3912" t="s">
        <v>4600</v>
      </c>
      <c r="AK104" s="3913" t="s">
        <v>4601</v>
      </c>
      <c r="AL104" s="3912" t="s">
        <v>4602</v>
      </c>
      <c r="AM104" s="3913" t="s">
        <v>4603</v>
      </c>
      <c r="AN104" s="3912" t="s">
        <v>4604</v>
      </c>
      <c r="AO104" s="3913" t="s">
        <v>4605</v>
      </c>
      <c r="AP104" s="3912" t="s">
        <v>4606</v>
      </c>
      <c r="AQ104" s="3913" t="s">
        <v>4934</v>
      </c>
      <c r="AR104" s="3902" t="s">
        <v>4935</v>
      </c>
      <c r="AS104" s="3901" t="s">
        <v>4936</v>
      </c>
      <c r="AT104" s="3902" t="s">
        <v>4937</v>
      </c>
      <c r="AU104" s="3903" t="s">
        <v>5234</v>
      </c>
      <c r="AV104" s="3902" t="s">
        <v>5235</v>
      </c>
      <c r="AW104" s="3904" t="s">
        <v>5236</v>
      </c>
      <c r="AX104" s="3905" t="s">
        <v>5237</v>
      </c>
      <c r="AY104" s="1864" t="e">
        <f t="shared" si="256"/>
        <v>#VALUE!</v>
      </c>
      <c r="CB104" s="1865" t="str">
        <f>IF(C104&lt;&gt;(AT104)," * La suma de las columnas "&amp;AS$10&amp;""&amp;" DEBE SER IGUAL a los Exámenes Procesados. ","")</f>
        <v xml:space="preserve"> * La suma de las columnas POR SEXO (Procesados) DEBE SER IGUAL a los Exámenes Procesados. </v>
      </c>
      <c r="CC104" s="1865" t="e">
        <f t="shared" si="257"/>
        <v>#VALUE!</v>
      </c>
      <c r="CD104" s="1865" t="str">
        <f t="shared" si="258"/>
        <v xml:space="preserve"> *El Número de Pueblos Originarios no puede superar el Total Procesados. </v>
      </c>
      <c r="CE104" s="1865" t="str">
        <f t="shared" si="259"/>
        <v xml:space="preserve"> *El Número de Migrantes no puede superar el Total Procesados. </v>
      </c>
      <c r="CF104" s="1866"/>
      <c r="CG104" s="1866"/>
      <c r="CH104" s="1866"/>
      <c r="CI104" s="1866"/>
      <c r="CJ104" s="1866"/>
      <c r="CK104" s="1865" t="str">
        <f t="shared" si="260"/>
        <v>* El total de Procesados debe ser mayor o igual al total de Reactivos en el grupo de edad 10 - 14 años</v>
      </c>
      <c r="CL104" s="1865" t="str">
        <f t="shared" si="261"/>
        <v>* El total de Procesados debe ser mayor o igual al total de Reactivos en el grupo de edad 15 - 19 años</v>
      </c>
      <c r="CM104" s="1865" t="str">
        <f t="shared" si="262"/>
        <v>* El total de Procesados debe ser mayor o igual al total de Reactivos en el grupo de edad 20 - 24 años</v>
      </c>
      <c r="CN104" s="1865" t="str">
        <f t="shared" si="291"/>
        <v>* El total de Procesados debe ser mayor o igual al total de Reactivos en el grupo de edad 25 - 29 años</v>
      </c>
      <c r="CO104" s="1865" t="str">
        <f t="shared" si="263"/>
        <v>* El total de Procesados debe ser mayor o igual al total de Reactivos en el grupo de edad 30 - 34 años</v>
      </c>
      <c r="CP104" s="1865" t="str">
        <f t="shared" si="264"/>
        <v>* El total de Procesados debe ser mayor o igual al total de Reactivos en el grupo de edad 35 - 39 años</v>
      </c>
      <c r="CQ104" s="1865" t="str">
        <f t="shared" si="265"/>
        <v>* El total de Procesados debe ser mayor o igual al total de Reactivos en el grupo de edad 40 - 44 años</v>
      </c>
      <c r="CR104" s="1865" t="str">
        <f t="shared" si="266"/>
        <v>* El total de Procesados debe ser mayor o igual al total de Reactivos en el grupo de edad 45 - 49 años</v>
      </c>
      <c r="CS104" s="1865" t="str">
        <f t="shared" si="267"/>
        <v>* El total de Procesados debe ser mayor o igual al total de Reactivos en el grupo de edad 50 - 54 años</v>
      </c>
      <c r="CT104" s="1865" t="str">
        <f t="shared" si="268"/>
        <v>* El total de Procesados debe ser mayor o igual al total de Reactivos en el grupo de edad 55 - 59 años</v>
      </c>
      <c r="CU104" s="1865" t="str">
        <f t="shared" si="269"/>
        <v>* El total de Procesados debe ser mayor o igual al total de Reactivos en el grupo de edad 60 - 64 años</v>
      </c>
      <c r="CV104" s="1865" t="str">
        <f t="shared" si="270"/>
        <v>* El total de Procesados debe ser mayor o igual al total de Reactivos en el grupo de edad 65 - 69 años</v>
      </c>
      <c r="CW104" s="1865" t="str">
        <f t="shared" si="271"/>
        <v>* El total de Procesados debe ser mayor o igual al total de Reactivos en el grupo de edad 70 - 74 años</v>
      </c>
      <c r="CX104" s="1865" t="str">
        <f t="shared" si="272"/>
        <v>* El total de Procesados debe ser mayor o igual al total de Reactivos en el grupo de edad 75 - 79 años</v>
      </c>
      <c r="CY104" s="1865" t="str">
        <f t="shared" si="273"/>
        <v>* El total de Procesados debe ser mayor o igual al total de Reactivos en el grupo de edad 80 y más años</v>
      </c>
      <c r="DF104" s="1936"/>
      <c r="DG104" s="3922">
        <f>IF(C104&lt;&gt;(AT104),1,0)</f>
        <v>1</v>
      </c>
      <c r="DH104" s="3906" t="e">
        <f t="shared" si="274"/>
        <v>#VALUE!</v>
      </c>
      <c r="DI104" s="3906">
        <f t="shared" si="275"/>
        <v>1</v>
      </c>
      <c r="DJ104" s="3906">
        <f t="shared" si="276"/>
        <v>1</v>
      </c>
      <c r="DK104" s="1866"/>
      <c r="DL104" s="1866"/>
      <c r="DM104" s="1866"/>
      <c r="DN104" s="1866"/>
      <c r="DO104" s="1866"/>
      <c r="DP104" s="3906">
        <f t="shared" si="277"/>
        <v>1</v>
      </c>
      <c r="DQ104" s="3906">
        <f t="shared" si="278"/>
        <v>1</v>
      </c>
      <c r="DR104" s="3906">
        <f t="shared" si="279"/>
        <v>1</v>
      </c>
      <c r="DS104" s="3906">
        <f t="shared" si="292"/>
        <v>1</v>
      </c>
      <c r="DT104" s="3906">
        <f t="shared" si="280"/>
        <v>1</v>
      </c>
      <c r="DU104" s="3906">
        <f t="shared" si="281"/>
        <v>1</v>
      </c>
      <c r="DV104" s="3906">
        <f t="shared" si="282"/>
        <v>1</v>
      </c>
      <c r="DW104" s="3906">
        <f t="shared" si="283"/>
        <v>1</v>
      </c>
      <c r="DX104" s="3906">
        <f t="shared" si="284"/>
        <v>1</v>
      </c>
      <c r="DY104" s="3906">
        <f t="shared" si="285"/>
        <v>1</v>
      </c>
      <c r="DZ104" s="3906">
        <f t="shared" si="286"/>
        <v>1</v>
      </c>
      <c r="EA104" s="3906">
        <f t="shared" si="287"/>
        <v>1</v>
      </c>
      <c r="EB104" s="3906">
        <f t="shared" si="288"/>
        <v>1</v>
      </c>
      <c r="EC104" s="3906">
        <f t="shared" si="289"/>
        <v>1</v>
      </c>
      <c r="ED104" s="3906">
        <f t="shared" si="290"/>
        <v>1</v>
      </c>
    </row>
    <row r="105" spans="1:134" x14ac:dyDescent="0.25">
      <c r="A105" s="5601">
        <v>11056440</v>
      </c>
      <c r="B105" s="3924" t="s">
        <v>1870</v>
      </c>
      <c r="C105" s="3908" t="s">
        <v>4567</v>
      </c>
      <c r="D105" s="344" t="s">
        <v>4568</v>
      </c>
      <c r="E105" s="3918" t="s">
        <v>4569</v>
      </c>
      <c r="F105" s="3910" t="s">
        <v>4570</v>
      </c>
      <c r="G105" s="3909" t="s">
        <v>4571</v>
      </c>
      <c r="H105" s="3910" t="s">
        <v>4572</v>
      </c>
      <c r="I105" s="3909" t="s">
        <v>4573</v>
      </c>
      <c r="J105" s="3910" t="s">
        <v>4574</v>
      </c>
      <c r="K105" s="3909" t="s">
        <v>4575</v>
      </c>
      <c r="L105" s="3910" t="s">
        <v>4576</v>
      </c>
      <c r="M105" s="3909" t="s">
        <v>4577</v>
      </c>
      <c r="N105" s="3911" t="s">
        <v>4578</v>
      </c>
      <c r="O105" s="3904" t="s">
        <v>4579</v>
      </c>
      <c r="P105" s="3912" t="s">
        <v>4580</v>
      </c>
      <c r="Q105" s="3913" t="s">
        <v>4581</v>
      </c>
      <c r="R105" s="3912" t="s">
        <v>4582</v>
      </c>
      <c r="S105" s="3913" t="s">
        <v>4583</v>
      </c>
      <c r="T105" s="3912" t="s">
        <v>4584</v>
      </c>
      <c r="U105" s="3913" t="s">
        <v>4585</v>
      </c>
      <c r="V105" s="3912" t="s">
        <v>4586</v>
      </c>
      <c r="W105" s="3913" t="s">
        <v>4587</v>
      </c>
      <c r="X105" s="3912" t="s">
        <v>4588</v>
      </c>
      <c r="Y105" s="3913" t="s">
        <v>4589</v>
      </c>
      <c r="Z105" s="3912" t="s">
        <v>4590</v>
      </c>
      <c r="AA105" s="3913" t="s">
        <v>4591</v>
      </c>
      <c r="AB105" s="3912" t="s">
        <v>4592</v>
      </c>
      <c r="AC105" s="3913" t="s">
        <v>4593</v>
      </c>
      <c r="AD105" s="3912" t="s">
        <v>4594</v>
      </c>
      <c r="AE105" s="3913" t="s">
        <v>4595</v>
      </c>
      <c r="AF105" s="3912" t="s">
        <v>4596</v>
      </c>
      <c r="AG105" s="3913" t="s">
        <v>4597</v>
      </c>
      <c r="AH105" s="3912" t="s">
        <v>4598</v>
      </c>
      <c r="AI105" s="3913" t="s">
        <v>4599</v>
      </c>
      <c r="AJ105" s="3912" t="s">
        <v>4600</v>
      </c>
      <c r="AK105" s="3913" t="s">
        <v>4601</v>
      </c>
      <c r="AL105" s="3912" t="s">
        <v>4602</v>
      </c>
      <c r="AM105" s="3913" t="s">
        <v>4603</v>
      </c>
      <c r="AN105" s="3912" t="s">
        <v>4604</v>
      </c>
      <c r="AO105" s="3913" t="s">
        <v>4605</v>
      </c>
      <c r="AP105" s="3912" t="s">
        <v>4606</v>
      </c>
      <c r="AQ105" s="3913" t="s">
        <v>4934</v>
      </c>
      <c r="AR105" s="3902" t="s">
        <v>4935</v>
      </c>
      <c r="AS105" s="3901" t="s">
        <v>4936</v>
      </c>
      <c r="AT105" s="3902" t="s">
        <v>4937</v>
      </c>
      <c r="AU105" s="3903" t="s">
        <v>5234</v>
      </c>
      <c r="AV105" s="3902" t="s">
        <v>5235</v>
      </c>
      <c r="AW105" s="3904" t="s">
        <v>5236</v>
      </c>
      <c r="AX105" s="3905" t="s">
        <v>5237</v>
      </c>
      <c r="AY105" s="1864" t="e">
        <f t="shared" si="256"/>
        <v>#VALUE!</v>
      </c>
      <c r="CB105" s="1865" t="str">
        <f>IF(C105&lt;&gt;(AT105)," * La suma de las columnas "&amp;AS$10&amp;""&amp;" DEBE SER IGUAL a los Exámenes Procesados. ","")</f>
        <v xml:space="preserve"> * La suma de las columnas POR SEXO (Procesados) DEBE SER IGUAL a los Exámenes Procesados. </v>
      </c>
      <c r="CC105" s="1865" t="e">
        <f t="shared" si="257"/>
        <v>#VALUE!</v>
      </c>
      <c r="CD105" s="1865" t="str">
        <f t="shared" si="258"/>
        <v xml:space="preserve"> *El Número de Pueblos Originarios no puede superar el Total Procesados. </v>
      </c>
      <c r="CE105" s="1865" t="str">
        <f t="shared" si="259"/>
        <v xml:space="preserve"> *El Número de Migrantes no puede superar el Total Procesados. </v>
      </c>
      <c r="CF105" s="1866"/>
      <c r="CG105" s="1866"/>
      <c r="CH105" s="1866"/>
      <c r="CI105" s="1866"/>
      <c r="CJ105" s="1866"/>
      <c r="CK105" s="1865" t="str">
        <f t="shared" si="260"/>
        <v>* El total de Procesados debe ser mayor o igual al total de Reactivos en el grupo de edad 10 - 14 años</v>
      </c>
      <c r="CL105" s="1865" t="str">
        <f t="shared" si="261"/>
        <v>* El total de Procesados debe ser mayor o igual al total de Reactivos en el grupo de edad 15 - 19 años</v>
      </c>
      <c r="CM105" s="1865" t="str">
        <f t="shared" si="262"/>
        <v>* El total de Procesados debe ser mayor o igual al total de Reactivos en el grupo de edad 20 - 24 años</v>
      </c>
      <c r="CN105" s="1865" t="str">
        <f t="shared" si="291"/>
        <v>* El total de Procesados debe ser mayor o igual al total de Reactivos en el grupo de edad 25 - 29 años</v>
      </c>
      <c r="CO105" s="1865" t="str">
        <f t="shared" si="263"/>
        <v>* El total de Procesados debe ser mayor o igual al total de Reactivos en el grupo de edad 30 - 34 años</v>
      </c>
      <c r="CP105" s="1865" t="str">
        <f t="shared" si="264"/>
        <v>* El total de Procesados debe ser mayor o igual al total de Reactivos en el grupo de edad 35 - 39 años</v>
      </c>
      <c r="CQ105" s="1865" t="str">
        <f t="shared" si="265"/>
        <v>* El total de Procesados debe ser mayor o igual al total de Reactivos en el grupo de edad 40 - 44 años</v>
      </c>
      <c r="CR105" s="1865" t="str">
        <f t="shared" si="266"/>
        <v>* El total de Procesados debe ser mayor o igual al total de Reactivos en el grupo de edad 45 - 49 años</v>
      </c>
      <c r="CS105" s="1865" t="str">
        <f t="shared" si="267"/>
        <v>* El total de Procesados debe ser mayor o igual al total de Reactivos en el grupo de edad 50 - 54 años</v>
      </c>
      <c r="CT105" s="1865" t="str">
        <f t="shared" si="268"/>
        <v>* El total de Procesados debe ser mayor o igual al total de Reactivos en el grupo de edad 55 - 59 años</v>
      </c>
      <c r="CU105" s="1865" t="str">
        <f t="shared" si="269"/>
        <v>* El total de Procesados debe ser mayor o igual al total de Reactivos en el grupo de edad 60 - 64 años</v>
      </c>
      <c r="CV105" s="1865" t="str">
        <f t="shared" si="270"/>
        <v>* El total de Procesados debe ser mayor o igual al total de Reactivos en el grupo de edad 65 - 69 años</v>
      </c>
      <c r="CW105" s="1865" t="str">
        <f t="shared" si="271"/>
        <v>* El total de Procesados debe ser mayor o igual al total de Reactivos en el grupo de edad 70 - 74 años</v>
      </c>
      <c r="CX105" s="1865" t="str">
        <f t="shared" si="272"/>
        <v>* El total de Procesados debe ser mayor o igual al total de Reactivos en el grupo de edad 75 - 79 años</v>
      </c>
      <c r="CY105" s="1865" t="str">
        <f t="shared" si="273"/>
        <v>* El total de Procesados debe ser mayor o igual al total de Reactivos en el grupo de edad 80 y más años</v>
      </c>
      <c r="DF105" s="1936"/>
      <c r="DG105" s="3922">
        <f>IF(C105&lt;&gt;(AT105),1,0)</f>
        <v>1</v>
      </c>
      <c r="DH105" s="3906" t="e">
        <f t="shared" si="274"/>
        <v>#VALUE!</v>
      </c>
      <c r="DI105" s="3906">
        <f t="shared" si="275"/>
        <v>1</v>
      </c>
      <c r="DJ105" s="3906">
        <f t="shared" si="276"/>
        <v>1</v>
      </c>
      <c r="DK105" s="1866"/>
      <c r="DL105" s="1866"/>
      <c r="DM105" s="1866"/>
      <c r="DN105" s="1866"/>
      <c r="DO105" s="1866"/>
      <c r="DP105" s="3906">
        <f t="shared" si="277"/>
        <v>1</v>
      </c>
      <c r="DQ105" s="3906">
        <f t="shared" si="278"/>
        <v>1</v>
      </c>
      <c r="DR105" s="3906">
        <f t="shared" si="279"/>
        <v>1</v>
      </c>
      <c r="DS105" s="3906">
        <f t="shared" si="292"/>
        <v>1</v>
      </c>
      <c r="DT105" s="3906">
        <f t="shared" si="280"/>
        <v>1</v>
      </c>
      <c r="DU105" s="3906">
        <f t="shared" si="281"/>
        <v>1</v>
      </c>
      <c r="DV105" s="3906">
        <f t="shared" si="282"/>
        <v>1</v>
      </c>
      <c r="DW105" s="3906">
        <f t="shared" si="283"/>
        <v>1</v>
      </c>
      <c r="DX105" s="3906">
        <f t="shared" si="284"/>
        <v>1</v>
      </c>
      <c r="DY105" s="3906">
        <f t="shared" si="285"/>
        <v>1</v>
      </c>
      <c r="DZ105" s="3906">
        <f t="shared" si="286"/>
        <v>1</v>
      </c>
      <c r="EA105" s="3906">
        <f t="shared" si="287"/>
        <v>1</v>
      </c>
      <c r="EB105" s="3906">
        <f t="shared" si="288"/>
        <v>1</v>
      </c>
      <c r="EC105" s="3906">
        <f t="shared" si="289"/>
        <v>1</v>
      </c>
      <c r="ED105" s="3906">
        <f t="shared" si="290"/>
        <v>1</v>
      </c>
    </row>
    <row r="106" spans="1:134" x14ac:dyDescent="0.25">
      <c r="A106" s="5601">
        <v>11056441</v>
      </c>
      <c r="B106" s="3924" t="s">
        <v>1871</v>
      </c>
      <c r="C106" s="3908" t="s">
        <v>4567</v>
      </c>
      <c r="D106" s="344" t="s">
        <v>4568</v>
      </c>
      <c r="E106" s="3918" t="s">
        <v>4569</v>
      </c>
      <c r="F106" s="3910" t="s">
        <v>4570</v>
      </c>
      <c r="G106" s="3909" t="s">
        <v>4571</v>
      </c>
      <c r="H106" s="3910" t="s">
        <v>4572</v>
      </c>
      <c r="I106" s="3909" t="s">
        <v>4573</v>
      </c>
      <c r="J106" s="3910" t="s">
        <v>4574</v>
      </c>
      <c r="K106" s="3909" t="s">
        <v>4575</v>
      </c>
      <c r="L106" s="3910" t="s">
        <v>4576</v>
      </c>
      <c r="M106" s="3909" t="s">
        <v>4577</v>
      </c>
      <c r="N106" s="3911" t="s">
        <v>4578</v>
      </c>
      <c r="O106" s="3904" t="s">
        <v>4579</v>
      </c>
      <c r="P106" s="3912" t="s">
        <v>4580</v>
      </c>
      <c r="Q106" s="3913" t="s">
        <v>4581</v>
      </c>
      <c r="R106" s="3912" t="s">
        <v>4582</v>
      </c>
      <c r="S106" s="3913" t="s">
        <v>4583</v>
      </c>
      <c r="T106" s="3912" t="s">
        <v>4584</v>
      </c>
      <c r="U106" s="3913" t="s">
        <v>4585</v>
      </c>
      <c r="V106" s="3912" t="s">
        <v>4586</v>
      </c>
      <c r="W106" s="3913" t="s">
        <v>4587</v>
      </c>
      <c r="X106" s="3912" t="s">
        <v>4588</v>
      </c>
      <c r="Y106" s="3913" t="s">
        <v>4589</v>
      </c>
      <c r="Z106" s="3912" t="s">
        <v>4590</v>
      </c>
      <c r="AA106" s="3913" t="s">
        <v>4591</v>
      </c>
      <c r="AB106" s="3912" t="s">
        <v>4592</v>
      </c>
      <c r="AC106" s="3913" t="s">
        <v>4593</v>
      </c>
      <c r="AD106" s="3912" t="s">
        <v>4594</v>
      </c>
      <c r="AE106" s="3913" t="s">
        <v>4595</v>
      </c>
      <c r="AF106" s="3912" t="s">
        <v>4596</v>
      </c>
      <c r="AG106" s="3913" t="s">
        <v>4597</v>
      </c>
      <c r="AH106" s="3912" t="s">
        <v>4598</v>
      </c>
      <c r="AI106" s="3913" t="s">
        <v>4599</v>
      </c>
      <c r="AJ106" s="3912" t="s">
        <v>4600</v>
      </c>
      <c r="AK106" s="3913" t="s">
        <v>4601</v>
      </c>
      <c r="AL106" s="3912" t="s">
        <v>4602</v>
      </c>
      <c r="AM106" s="3913" t="s">
        <v>4603</v>
      </c>
      <c r="AN106" s="3912" t="s">
        <v>4604</v>
      </c>
      <c r="AO106" s="3913" t="s">
        <v>4605</v>
      </c>
      <c r="AP106" s="3912" t="s">
        <v>4606</v>
      </c>
      <c r="AQ106" s="3913" t="s">
        <v>4934</v>
      </c>
      <c r="AR106" s="3902" t="s">
        <v>4935</v>
      </c>
      <c r="AS106" s="3904" t="s">
        <v>4936</v>
      </c>
      <c r="AT106" s="3902" t="s">
        <v>4937</v>
      </c>
      <c r="AU106" s="3903" t="s">
        <v>5234</v>
      </c>
      <c r="AV106" s="3902" t="s">
        <v>5235</v>
      </c>
      <c r="AW106" s="3904" t="s">
        <v>5236</v>
      </c>
      <c r="AX106" s="3905" t="s">
        <v>5237</v>
      </c>
      <c r="AY106" s="1864" t="e">
        <f t="shared" si="256"/>
        <v>#VALUE!</v>
      </c>
      <c r="CB106" s="1865" t="e">
        <f>IF(C106&lt;&gt;(AT106+AS106)," * La suma de las columnas "&amp;AS$10&amp;""&amp;" DEBE SER IGUAL a los Exámenes Procesados. ","")</f>
        <v>#VALUE!</v>
      </c>
      <c r="CC106" s="1865" t="e">
        <f t="shared" si="257"/>
        <v>#VALUE!</v>
      </c>
      <c r="CD106" s="1865" t="str">
        <f t="shared" si="258"/>
        <v xml:space="preserve"> *El Número de Pueblos Originarios no puede superar el Total Procesados. </v>
      </c>
      <c r="CE106" s="1865" t="str">
        <f t="shared" si="259"/>
        <v xml:space="preserve"> *El Número de Migrantes no puede superar el Total Procesados. </v>
      </c>
      <c r="CF106" s="1866"/>
      <c r="CG106" s="1866"/>
      <c r="CH106" s="1866"/>
      <c r="CI106" s="1866"/>
      <c r="CJ106" s="1866"/>
      <c r="CK106" s="1865" t="str">
        <f t="shared" si="260"/>
        <v>* El total de Procesados debe ser mayor o igual al total de Reactivos en el grupo de edad 10 - 14 años</v>
      </c>
      <c r="CL106" s="1865" t="str">
        <f t="shared" si="261"/>
        <v>* El total de Procesados debe ser mayor o igual al total de Reactivos en el grupo de edad 15 - 19 años</v>
      </c>
      <c r="CM106" s="1865" t="str">
        <f t="shared" si="262"/>
        <v>* El total de Procesados debe ser mayor o igual al total de Reactivos en el grupo de edad 20 - 24 años</v>
      </c>
      <c r="CN106" s="1865" t="str">
        <f t="shared" si="291"/>
        <v>* El total de Procesados debe ser mayor o igual al total de Reactivos en el grupo de edad 25 - 29 años</v>
      </c>
      <c r="CO106" s="1865" t="str">
        <f t="shared" si="263"/>
        <v>* El total de Procesados debe ser mayor o igual al total de Reactivos en el grupo de edad 30 - 34 años</v>
      </c>
      <c r="CP106" s="1865" t="str">
        <f t="shared" si="264"/>
        <v>* El total de Procesados debe ser mayor o igual al total de Reactivos en el grupo de edad 35 - 39 años</v>
      </c>
      <c r="CQ106" s="1865" t="str">
        <f t="shared" si="265"/>
        <v>* El total de Procesados debe ser mayor o igual al total de Reactivos en el grupo de edad 40 - 44 años</v>
      </c>
      <c r="CR106" s="1865" t="str">
        <f t="shared" si="266"/>
        <v>* El total de Procesados debe ser mayor o igual al total de Reactivos en el grupo de edad 45 - 49 años</v>
      </c>
      <c r="CS106" s="1865" t="str">
        <f t="shared" si="267"/>
        <v>* El total de Procesados debe ser mayor o igual al total de Reactivos en el grupo de edad 50 - 54 años</v>
      </c>
      <c r="CT106" s="1865" t="str">
        <f t="shared" si="268"/>
        <v>* El total de Procesados debe ser mayor o igual al total de Reactivos en el grupo de edad 55 - 59 años</v>
      </c>
      <c r="CU106" s="1865" t="str">
        <f t="shared" si="269"/>
        <v>* El total de Procesados debe ser mayor o igual al total de Reactivos en el grupo de edad 60 - 64 años</v>
      </c>
      <c r="CV106" s="1865" t="str">
        <f t="shared" si="270"/>
        <v>* El total de Procesados debe ser mayor o igual al total de Reactivos en el grupo de edad 65 - 69 años</v>
      </c>
      <c r="CW106" s="1865" t="str">
        <f t="shared" si="271"/>
        <v>* El total de Procesados debe ser mayor o igual al total de Reactivos en el grupo de edad 70 - 74 años</v>
      </c>
      <c r="CX106" s="1865" t="str">
        <f t="shared" si="272"/>
        <v>* El total de Procesados debe ser mayor o igual al total de Reactivos en el grupo de edad 75 - 79 años</v>
      </c>
      <c r="CY106" s="1865" t="str">
        <f t="shared" si="273"/>
        <v>* El total de Procesados debe ser mayor o igual al total de Reactivos en el grupo de edad 80 y más años</v>
      </c>
      <c r="DF106" s="1936"/>
      <c r="DG106" s="3922" t="e">
        <f>IF(C106&lt;&gt;(AT106+AS106),1,0)</f>
        <v>#VALUE!</v>
      </c>
      <c r="DH106" s="3906" t="e">
        <f t="shared" si="274"/>
        <v>#VALUE!</v>
      </c>
      <c r="DI106" s="3906">
        <f t="shared" si="275"/>
        <v>1</v>
      </c>
      <c r="DJ106" s="3906">
        <f t="shared" si="276"/>
        <v>1</v>
      </c>
      <c r="DK106" s="1866"/>
      <c r="DL106" s="1866"/>
      <c r="DM106" s="1866"/>
      <c r="DN106" s="1866"/>
      <c r="DO106" s="1866"/>
      <c r="DP106" s="3906">
        <f t="shared" si="277"/>
        <v>1</v>
      </c>
      <c r="DQ106" s="3906">
        <f t="shared" si="278"/>
        <v>1</v>
      </c>
      <c r="DR106" s="3906">
        <f t="shared" si="279"/>
        <v>1</v>
      </c>
      <c r="DS106" s="3906">
        <f t="shared" si="292"/>
        <v>1</v>
      </c>
      <c r="DT106" s="3906">
        <f t="shared" si="280"/>
        <v>1</v>
      </c>
      <c r="DU106" s="3906">
        <f t="shared" si="281"/>
        <v>1</v>
      </c>
      <c r="DV106" s="3906">
        <f t="shared" si="282"/>
        <v>1</v>
      </c>
      <c r="DW106" s="3906">
        <f t="shared" si="283"/>
        <v>1</v>
      </c>
      <c r="DX106" s="3906">
        <f t="shared" si="284"/>
        <v>1</v>
      </c>
      <c r="DY106" s="3906">
        <f t="shared" si="285"/>
        <v>1</v>
      </c>
      <c r="DZ106" s="3906">
        <f t="shared" si="286"/>
        <v>1</v>
      </c>
      <c r="EA106" s="3906">
        <f t="shared" si="287"/>
        <v>1</v>
      </c>
      <c r="EB106" s="3906">
        <f t="shared" si="288"/>
        <v>1</v>
      </c>
      <c r="EC106" s="3906">
        <f t="shared" si="289"/>
        <v>1</v>
      </c>
      <c r="ED106" s="3906">
        <f t="shared" si="290"/>
        <v>1</v>
      </c>
    </row>
    <row r="107" spans="1:134" x14ac:dyDescent="0.25">
      <c r="A107" s="5601">
        <v>11056442</v>
      </c>
      <c r="B107" s="3924" t="s">
        <v>1872</v>
      </c>
      <c r="C107" s="3908" t="s">
        <v>4567</v>
      </c>
      <c r="D107" s="344" t="s">
        <v>4568</v>
      </c>
      <c r="E107" s="3918" t="s">
        <v>4569</v>
      </c>
      <c r="F107" s="3910" t="s">
        <v>4570</v>
      </c>
      <c r="G107" s="3909" t="s">
        <v>4571</v>
      </c>
      <c r="H107" s="3910" t="s">
        <v>4572</v>
      </c>
      <c r="I107" s="3909" t="s">
        <v>4573</v>
      </c>
      <c r="J107" s="3910" t="s">
        <v>4574</v>
      </c>
      <c r="K107" s="3909" t="s">
        <v>4575</v>
      </c>
      <c r="L107" s="3910" t="s">
        <v>4576</v>
      </c>
      <c r="M107" s="3909" t="s">
        <v>4577</v>
      </c>
      <c r="N107" s="3911" t="s">
        <v>4578</v>
      </c>
      <c r="O107" s="3904" t="s">
        <v>4579</v>
      </c>
      <c r="P107" s="3912" t="s">
        <v>4580</v>
      </c>
      <c r="Q107" s="3913" t="s">
        <v>4581</v>
      </c>
      <c r="R107" s="3912" t="s">
        <v>4582</v>
      </c>
      <c r="S107" s="3913" t="s">
        <v>4583</v>
      </c>
      <c r="T107" s="3912" t="s">
        <v>4584</v>
      </c>
      <c r="U107" s="3913" t="s">
        <v>4585</v>
      </c>
      <c r="V107" s="3912" t="s">
        <v>4586</v>
      </c>
      <c r="W107" s="3913" t="s">
        <v>4587</v>
      </c>
      <c r="X107" s="3912" t="s">
        <v>4588</v>
      </c>
      <c r="Y107" s="3913" t="s">
        <v>4589</v>
      </c>
      <c r="Z107" s="3912" t="s">
        <v>4590</v>
      </c>
      <c r="AA107" s="3913" t="s">
        <v>4591</v>
      </c>
      <c r="AB107" s="3912" t="s">
        <v>4592</v>
      </c>
      <c r="AC107" s="3913" t="s">
        <v>4593</v>
      </c>
      <c r="AD107" s="3912" t="s">
        <v>4594</v>
      </c>
      <c r="AE107" s="3913" t="s">
        <v>4595</v>
      </c>
      <c r="AF107" s="3912" t="s">
        <v>4596</v>
      </c>
      <c r="AG107" s="3913" t="s">
        <v>4597</v>
      </c>
      <c r="AH107" s="3912" t="s">
        <v>4598</v>
      </c>
      <c r="AI107" s="3913" t="s">
        <v>4599</v>
      </c>
      <c r="AJ107" s="3912" t="s">
        <v>4600</v>
      </c>
      <c r="AK107" s="3913" t="s">
        <v>4601</v>
      </c>
      <c r="AL107" s="3912" t="s">
        <v>4602</v>
      </c>
      <c r="AM107" s="3913" t="s">
        <v>4603</v>
      </c>
      <c r="AN107" s="3912" t="s">
        <v>4604</v>
      </c>
      <c r="AO107" s="3913" t="s">
        <v>4605</v>
      </c>
      <c r="AP107" s="3912" t="s">
        <v>4606</v>
      </c>
      <c r="AQ107" s="3913" t="s">
        <v>4934</v>
      </c>
      <c r="AR107" s="3902" t="s">
        <v>4935</v>
      </c>
      <c r="AS107" s="3901" t="s">
        <v>4936</v>
      </c>
      <c r="AT107" s="3902" t="s">
        <v>4937</v>
      </c>
      <c r="AU107" s="3903" t="s">
        <v>5234</v>
      </c>
      <c r="AV107" s="3902" t="s">
        <v>5235</v>
      </c>
      <c r="AW107" s="3904" t="s">
        <v>5236</v>
      </c>
      <c r="AX107" s="3905" t="s">
        <v>5237</v>
      </c>
      <c r="AY107" s="1864" t="e">
        <f t="shared" si="256"/>
        <v>#VALUE!</v>
      </c>
      <c r="CB107" s="1865" t="str">
        <f>IF(C107&lt;&gt;(AT107)," * La suma de las columnas "&amp;AS$10&amp;""&amp;" DEBE SER IGUAL a los Exámenes Procesados. ","")</f>
        <v xml:space="preserve"> * La suma de las columnas POR SEXO (Procesados) DEBE SER IGUAL a los Exámenes Procesados. </v>
      </c>
      <c r="CC107" s="1865" t="e">
        <f t="shared" si="257"/>
        <v>#VALUE!</v>
      </c>
      <c r="CD107" s="1865" t="str">
        <f t="shared" si="258"/>
        <v xml:space="preserve"> *El Número de Pueblos Originarios no puede superar el Total Procesados. </v>
      </c>
      <c r="CE107" s="1865" t="str">
        <f t="shared" si="259"/>
        <v xml:space="preserve"> *El Número de Migrantes no puede superar el Total Procesados. </v>
      </c>
      <c r="CF107" s="1866"/>
      <c r="CG107" s="1866"/>
      <c r="CH107" s="1866"/>
      <c r="CI107" s="1866"/>
      <c r="CJ107" s="1866"/>
      <c r="CK107" s="1865" t="str">
        <f t="shared" si="260"/>
        <v>* El total de Procesados debe ser mayor o igual al total de Reactivos en el grupo de edad 10 - 14 años</v>
      </c>
      <c r="CL107" s="1865" t="str">
        <f t="shared" si="261"/>
        <v>* El total de Procesados debe ser mayor o igual al total de Reactivos en el grupo de edad 15 - 19 años</v>
      </c>
      <c r="CM107" s="1865" t="str">
        <f t="shared" si="262"/>
        <v>* El total de Procesados debe ser mayor o igual al total de Reactivos en el grupo de edad 20 - 24 años</v>
      </c>
      <c r="CN107" s="1865" t="str">
        <f t="shared" si="291"/>
        <v>* El total de Procesados debe ser mayor o igual al total de Reactivos en el grupo de edad 25 - 29 años</v>
      </c>
      <c r="CO107" s="1865" t="str">
        <f t="shared" si="263"/>
        <v>* El total de Procesados debe ser mayor o igual al total de Reactivos en el grupo de edad 30 - 34 años</v>
      </c>
      <c r="CP107" s="1865" t="str">
        <f t="shared" si="264"/>
        <v>* El total de Procesados debe ser mayor o igual al total de Reactivos en el grupo de edad 35 - 39 años</v>
      </c>
      <c r="CQ107" s="1865" t="str">
        <f t="shared" si="265"/>
        <v>* El total de Procesados debe ser mayor o igual al total de Reactivos en el grupo de edad 40 - 44 años</v>
      </c>
      <c r="CR107" s="1865" t="str">
        <f t="shared" si="266"/>
        <v>* El total de Procesados debe ser mayor o igual al total de Reactivos en el grupo de edad 45 - 49 años</v>
      </c>
      <c r="CS107" s="1865" t="str">
        <f t="shared" si="267"/>
        <v>* El total de Procesados debe ser mayor o igual al total de Reactivos en el grupo de edad 50 - 54 años</v>
      </c>
      <c r="CT107" s="1865" t="str">
        <f t="shared" si="268"/>
        <v>* El total de Procesados debe ser mayor o igual al total de Reactivos en el grupo de edad 55 - 59 años</v>
      </c>
      <c r="CU107" s="1865" t="str">
        <f t="shared" si="269"/>
        <v>* El total de Procesados debe ser mayor o igual al total de Reactivos en el grupo de edad 60 - 64 años</v>
      </c>
      <c r="CV107" s="1865" t="str">
        <f t="shared" si="270"/>
        <v>* El total de Procesados debe ser mayor o igual al total de Reactivos en el grupo de edad 65 - 69 años</v>
      </c>
      <c r="CW107" s="1865" t="str">
        <f t="shared" si="271"/>
        <v>* El total de Procesados debe ser mayor o igual al total de Reactivos en el grupo de edad 70 - 74 años</v>
      </c>
      <c r="CX107" s="1865" t="str">
        <f t="shared" si="272"/>
        <v>* El total de Procesados debe ser mayor o igual al total de Reactivos en el grupo de edad 75 - 79 años</v>
      </c>
      <c r="CY107" s="1865" t="str">
        <f t="shared" si="273"/>
        <v>* El total de Procesados debe ser mayor o igual al total de Reactivos en el grupo de edad 80 y más años</v>
      </c>
      <c r="DF107" s="1936"/>
      <c r="DG107" s="3922">
        <f>IF(C107&lt;&gt;(AT107),1,0)</f>
        <v>1</v>
      </c>
      <c r="DH107" s="3906" t="e">
        <f t="shared" si="274"/>
        <v>#VALUE!</v>
      </c>
      <c r="DI107" s="3906">
        <f t="shared" si="275"/>
        <v>1</v>
      </c>
      <c r="DJ107" s="3906">
        <f t="shared" si="276"/>
        <v>1</v>
      </c>
      <c r="DK107" s="1866"/>
      <c r="DL107" s="1866"/>
      <c r="DM107" s="1866"/>
      <c r="DN107" s="1866"/>
      <c r="DO107" s="1866"/>
      <c r="DP107" s="3906">
        <f t="shared" si="277"/>
        <v>1</v>
      </c>
      <c r="DQ107" s="3906">
        <f t="shared" si="278"/>
        <v>1</v>
      </c>
      <c r="DR107" s="3906">
        <f t="shared" si="279"/>
        <v>1</v>
      </c>
      <c r="DS107" s="3906">
        <f t="shared" si="292"/>
        <v>1</v>
      </c>
      <c r="DT107" s="3906">
        <f t="shared" si="280"/>
        <v>1</v>
      </c>
      <c r="DU107" s="3906">
        <f t="shared" si="281"/>
        <v>1</v>
      </c>
      <c r="DV107" s="3906">
        <f t="shared" si="282"/>
        <v>1</v>
      </c>
      <c r="DW107" s="3906">
        <f t="shared" si="283"/>
        <v>1</v>
      </c>
      <c r="DX107" s="3906">
        <f t="shared" si="284"/>
        <v>1</v>
      </c>
      <c r="DY107" s="3906">
        <f t="shared" si="285"/>
        <v>1</v>
      </c>
      <c r="DZ107" s="3906">
        <f t="shared" si="286"/>
        <v>1</v>
      </c>
      <c r="EA107" s="3906">
        <f t="shared" si="287"/>
        <v>1</v>
      </c>
      <c r="EB107" s="3906">
        <f t="shared" si="288"/>
        <v>1</v>
      </c>
      <c r="EC107" s="3906">
        <f t="shared" si="289"/>
        <v>1</v>
      </c>
      <c r="ED107" s="3906">
        <f t="shared" si="290"/>
        <v>1</v>
      </c>
    </row>
    <row r="108" spans="1:134" x14ac:dyDescent="0.25">
      <c r="A108" s="5601">
        <v>11056443</v>
      </c>
      <c r="B108" s="3923" t="s">
        <v>1873</v>
      </c>
      <c r="C108" s="3908" t="s">
        <v>4567</v>
      </c>
      <c r="D108" s="344" t="s">
        <v>4568</v>
      </c>
      <c r="E108" s="3918" t="s">
        <v>4569</v>
      </c>
      <c r="F108" s="3910" t="s">
        <v>4570</v>
      </c>
      <c r="G108" s="3909" t="s">
        <v>4571</v>
      </c>
      <c r="H108" s="3910" t="s">
        <v>4572</v>
      </c>
      <c r="I108" s="3909" t="s">
        <v>4573</v>
      </c>
      <c r="J108" s="3910" t="s">
        <v>4574</v>
      </c>
      <c r="K108" s="3909" t="s">
        <v>4575</v>
      </c>
      <c r="L108" s="3910" t="s">
        <v>4576</v>
      </c>
      <c r="M108" s="3909" t="s">
        <v>4577</v>
      </c>
      <c r="N108" s="3911" t="s">
        <v>4578</v>
      </c>
      <c r="O108" s="3904" t="s">
        <v>4579</v>
      </c>
      <c r="P108" s="3912" t="s">
        <v>4580</v>
      </c>
      <c r="Q108" s="3913" t="s">
        <v>4581</v>
      </c>
      <c r="R108" s="3912" t="s">
        <v>4582</v>
      </c>
      <c r="S108" s="3913" t="s">
        <v>4583</v>
      </c>
      <c r="T108" s="3912" t="s">
        <v>4584</v>
      </c>
      <c r="U108" s="3913" t="s">
        <v>4585</v>
      </c>
      <c r="V108" s="3912" t="s">
        <v>4586</v>
      </c>
      <c r="W108" s="3913" t="s">
        <v>4587</v>
      </c>
      <c r="X108" s="3912" t="s">
        <v>4588</v>
      </c>
      <c r="Y108" s="3913" t="s">
        <v>4589</v>
      </c>
      <c r="Z108" s="3912" t="s">
        <v>4590</v>
      </c>
      <c r="AA108" s="3913" t="s">
        <v>4591</v>
      </c>
      <c r="AB108" s="3912" t="s">
        <v>4592</v>
      </c>
      <c r="AC108" s="3913" t="s">
        <v>4593</v>
      </c>
      <c r="AD108" s="3912" t="s">
        <v>4594</v>
      </c>
      <c r="AE108" s="3913" t="s">
        <v>4595</v>
      </c>
      <c r="AF108" s="3912" t="s">
        <v>4596</v>
      </c>
      <c r="AG108" s="3913" t="s">
        <v>4597</v>
      </c>
      <c r="AH108" s="3912" t="s">
        <v>4598</v>
      </c>
      <c r="AI108" s="3913" t="s">
        <v>4599</v>
      </c>
      <c r="AJ108" s="3912" t="s">
        <v>4600</v>
      </c>
      <c r="AK108" s="3913" t="s">
        <v>4601</v>
      </c>
      <c r="AL108" s="3912" t="s">
        <v>4602</v>
      </c>
      <c r="AM108" s="3913" t="s">
        <v>4603</v>
      </c>
      <c r="AN108" s="3912" t="s">
        <v>4604</v>
      </c>
      <c r="AO108" s="3913" t="s">
        <v>4605</v>
      </c>
      <c r="AP108" s="3912" t="s">
        <v>4606</v>
      </c>
      <c r="AQ108" s="3913" t="s">
        <v>4934</v>
      </c>
      <c r="AR108" s="3902" t="s">
        <v>4935</v>
      </c>
      <c r="AS108" s="3901" t="s">
        <v>4936</v>
      </c>
      <c r="AT108" s="3902" t="s">
        <v>4937</v>
      </c>
      <c r="AU108" s="3903" t="s">
        <v>5234</v>
      </c>
      <c r="AV108" s="3902" t="s">
        <v>5235</v>
      </c>
      <c r="AW108" s="3904" t="s">
        <v>5236</v>
      </c>
      <c r="AX108" s="3905" t="s">
        <v>5237</v>
      </c>
      <c r="AY108" s="1864" t="e">
        <f t="shared" si="256"/>
        <v>#VALUE!</v>
      </c>
      <c r="CB108" s="1865" t="str">
        <f>IF(C108&lt;&gt;(AT108)," * La suma de las columnas "&amp;AS$10&amp;""&amp;" DEBE SER IGUAL a los Exámenes Procesados. ","")</f>
        <v xml:space="preserve"> * La suma de las columnas POR SEXO (Procesados) DEBE SER IGUAL a los Exámenes Procesados. </v>
      </c>
      <c r="CC108" s="1865" t="e">
        <f t="shared" si="257"/>
        <v>#VALUE!</v>
      </c>
      <c r="CD108" s="1865" t="str">
        <f t="shared" si="258"/>
        <v xml:space="preserve"> *El Número de Pueblos Originarios no puede superar el Total Procesados. </v>
      </c>
      <c r="CE108" s="1865" t="str">
        <f t="shared" si="259"/>
        <v xml:space="preserve"> *El Número de Migrantes no puede superar el Total Procesados. </v>
      </c>
      <c r="CF108" s="1866"/>
      <c r="CG108" s="1866"/>
      <c r="CH108" s="1866"/>
      <c r="CI108" s="1866"/>
      <c r="CJ108" s="1866"/>
      <c r="CK108" s="1865" t="str">
        <f t="shared" si="260"/>
        <v>* El total de Procesados debe ser mayor o igual al total de Reactivos en el grupo de edad 10 - 14 años</v>
      </c>
      <c r="CL108" s="1865" t="str">
        <f t="shared" si="261"/>
        <v>* El total de Procesados debe ser mayor o igual al total de Reactivos en el grupo de edad 15 - 19 años</v>
      </c>
      <c r="CM108" s="1865" t="str">
        <f t="shared" si="262"/>
        <v>* El total de Procesados debe ser mayor o igual al total de Reactivos en el grupo de edad 20 - 24 años</v>
      </c>
      <c r="CN108" s="1865" t="str">
        <f t="shared" si="291"/>
        <v>* El total de Procesados debe ser mayor o igual al total de Reactivos en el grupo de edad 25 - 29 años</v>
      </c>
      <c r="CO108" s="1865" t="str">
        <f t="shared" si="263"/>
        <v>* El total de Procesados debe ser mayor o igual al total de Reactivos en el grupo de edad 30 - 34 años</v>
      </c>
      <c r="CP108" s="1865" t="str">
        <f t="shared" si="264"/>
        <v>* El total de Procesados debe ser mayor o igual al total de Reactivos en el grupo de edad 35 - 39 años</v>
      </c>
      <c r="CQ108" s="1865" t="str">
        <f t="shared" si="265"/>
        <v>* El total de Procesados debe ser mayor o igual al total de Reactivos en el grupo de edad 40 - 44 años</v>
      </c>
      <c r="CR108" s="1865" t="str">
        <f t="shared" si="266"/>
        <v>* El total de Procesados debe ser mayor o igual al total de Reactivos en el grupo de edad 45 - 49 años</v>
      </c>
      <c r="CS108" s="1865" t="str">
        <f t="shared" si="267"/>
        <v>* El total de Procesados debe ser mayor o igual al total de Reactivos en el grupo de edad 50 - 54 años</v>
      </c>
      <c r="CT108" s="1865" t="str">
        <f t="shared" si="268"/>
        <v>* El total de Procesados debe ser mayor o igual al total de Reactivos en el grupo de edad 55 - 59 años</v>
      </c>
      <c r="CU108" s="1865" t="str">
        <f t="shared" si="269"/>
        <v>* El total de Procesados debe ser mayor o igual al total de Reactivos en el grupo de edad 60 - 64 años</v>
      </c>
      <c r="CV108" s="1865" t="str">
        <f t="shared" si="270"/>
        <v>* El total de Procesados debe ser mayor o igual al total de Reactivos en el grupo de edad 65 - 69 años</v>
      </c>
      <c r="CW108" s="1865" t="str">
        <f t="shared" si="271"/>
        <v>* El total de Procesados debe ser mayor o igual al total de Reactivos en el grupo de edad 70 - 74 años</v>
      </c>
      <c r="CX108" s="1865" t="str">
        <f t="shared" si="272"/>
        <v>* El total de Procesados debe ser mayor o igual al total de Reactivos en el grupo de edad 75 - 79 años</v>
      </c>
      <c r="CY108" s="1865" t="str">
        <f t="shared" si="273"/>
        <v>* El total de Procesados debe ser mayor o igual al total de Reactivos en el grupo de edad 80 y más años</v>
      </c>
      <c r="DF108" s="1936"/>
      <c r="DG108" s="3922">
        <f>IF(C108&lt;&gt;(AT108),1,0)</f>
        <v>1</v>
      </c>
      <c r="DH108" s="3906" t="e">
        <f t="shared" si="274"/>
        <v>#VALUE!</v>
      </c>
      <c r="DI108" s="3906">
        <f t="shared" si="275"/>
        <v>1</v>
      </c>
      <c r="DJ108" s="3906">
        <f t="shared" si="276"/>
        <v>1</v>
      </c>
      <c r="DK108" s="1866"/>
      <c r="DL108" s="1866"/>
      <c r="DM108" s="1866"/>
      <c r="DN108" s="1866"/>
      <c r="DO108" s="1866"/>
      <c r="DP108" s="3906">
        <f t="shared" si="277"/>
        <v>1</v>
      </c>
      <c r="DQ108" s="3906">
        <f t="shared" si="278"/>
        <v>1</v>
      </c>
      <c r="DR108" s="3906">
        <f t="shared" si="279"/>
        <v>1</v>
      </c>
      <c r="DS108" s="3906">
        <f t="shared" si="292"/>
        <v>1</v>
      </c>
      <c r="DT108" s="3906">
        <f t="shared" si="280"/>
        <v>1</v>
      </c>
      <c r="DU108" s="3906">
        <f t="shared" si="281"/>
        <v>1</v>
      </c>
      <c r="DV108" s="3906">
        <f t="shared" si="282"/>
        <v>1</v>
      </c>
      <c r="DW108" s="3906">
        <f t="shared" si="283"/>
        <v>1</v>
      </c>
      <c r="DX108" s="3906">
        <f t="shared" si="284"/>
        <v>1</v>
      </c>
      <c r="DY108" s="3906">
        <f t="shared" si="285"/>
        <v>1</v>
      </c>
      <c r="DZ108" s="3906">
        <f t="shared" si="286"/>
        <v>1</v>
      </c>
      <c r="EA108" s="3906">
        <f t="shared" si="287"/>
        <v>1</v>
      </c>
      <c r="EB108" s="3906">
        <f t="shared" si="288"/>
        <v>1</v>
      </c>
      <c r="EC108" s="3906">
        <f t="shared" si="289"/>
        <v>1</v>
      </c>
      <c r="ED108" s="3906">
        <f t="shared" si="290"/>
        <v>1</v>
      </c>
    </row>
    <row r="109" spans="1:134" x14ac:dyDescent="0.25">
      <c r="A109" s="5601">
        <v>11056444</v>
      </c>
      <c r="B109" s="3923" t="s">
        <v>1874</v>
      </c>
      <c r="C109" s="3908" t="s">
        <v>4567</v>
      </c>
      <c r="D109" s="344" t="s">
        <v>4568</v>
      </c>
      <c r="E109" s="3904" t="s">
        <v>4569</v>
      </c>
      <c r="F109" s="3912" t="s">
        <v>4570</v>
      </c>
      <c r="G109" s="3913" t="s">
        <v>4571</v>
      </c>
      <c r="H109" s="3912" t="s">
        <v>4572</v>
      </c>
      <c r="I109" s="3913" t="s">
        <v>4573</v>
      </c>
      <c r="J109" s="3905" t="s">
        <v>4574</v>
      </c>
      <c r="K109" s="3904" t="s">
        <v>4575</v>
      </c>
      <c r="L109" s="3904" t="s">
        <v>4576</v>
      </c>
      <c r="M109" s="3913" t="s">
        <v>4577</v>
      </c>
      <c r="N109" s="3905" t="s">
        <v>4578</v>
      </c>
      <c r="O109" s="3904" t="s">
        <v>4579</v>
      </c>
      <c r="P109" s="3912" t="s">
        <v>4580</v>
      </c>
      <c r="Q109" s="3913" t="s">
        <v>4581</v>
      </c>
      <c r="R109" s="3912" t="s">
        <v>4582</v>
      </c>
      <c r="S109" s="3913" t="s">
        <v>4583</v>
      </c>
      <c r="T109" s="3912" t="s">
        <v>4584</v>
      </c>
      <c r="U109" s="3913" t="s">
        <v>4585</v>
      </c>
      <c r="V109" s="3912" t="s">
        <v>4586</v>
      </c>
      <c r="W109" s="3913" t="s">
        <v>4587</v>
      </c>
      <c r="X109" s="3912" t="s">
        <v>4588</v>
      </c>
      <c r="Y109" s="3913" t="s">
        <v>4589</v>
      </c>
      <c r="Z109" s="3912" t="s">
        <v>4590</v>
      </c>
      <c r="AA109" s="3913" t="s">
        <v>4591</v>
      </c>
      <c r="AB109" s="3912" t="s">
        <v>4592</v>
      </c>
      <c r="AC109" s="3913" t="s">
        <v>4593</v>
      </c>
      <c r="AD109" s="3912" t="s">
        <v>4594</v>
      </c>
      <c r="AE109" s="3913" t="s">
        <v>4595</v>
      </c>
      <c r="AF109" s="3912" t="s">
        <v>4596</v>
      </c>
      <c r="AG109" s="3913" t="s">
        <v>4597</v>
      </c>
      <c r="AH109" s="3912" t="s">
        <v>4598</v>
      </c>
      <c r="AI109" s="3913" t="s">
        <v>4599</v>
      </c>
      <c r="AJ109" s="3912" t="s">
        <v>4600</v>
      </c>
      <c r="AK109" s="3913" t="s">
        <v>4601</v>
      </c>
      <c r="AL109" s="3912" t="s">
        <v>4602</v>
      </c>
      <c r="AM109" s="3913" t="s">
        <v>4603</v>
      </c>
      <c r="AN109" s="3912" t="s">
        <v>4604</v>
      </c>
      <c r="AO109" s="3913" t="s">
        <v>4605</v>
      </c>
      <c r="AP109" s="3912" t="s">
        <v>4606</v>
      </c>
      <c r="AQ109" s="3913" t="s">
        <v>4934</v>
      </c>
      <c r="AR109" s="3902" t="s">
        <v>4935</v>
      </c>
      <c r="AS109" s="3901" t="s">
        <v>4936</v>
      </c>
      <c r="AT109" s="3902" t="s">
        <v>4937</v>
      </c>
      <c r="AU109" s="3903" t="s">
        <v>5234</v>
      </c>
      <c r="AV109" s="3902" t="s">
        <v>5235</v>
      </c>
      <c r="AW109" s="3904" t="s">
        <v>5236</v>
      </c>
      <c r="AX109" s="3905" t="s">
        <v>5237</v>
      </c>
      <c r="AY109" s="1864" t="e">
        <f>$CB109&amp;CC109&amp;CD109&amp;$CE109&amp;CK109&amp;CF109&amp;CG109&amp;CH109&amp;CI109&amp;CJ109&amp;CL109&amp;CM109&amp;CN109&amp;CO109&amp;CP109&amp;CQ109&amp;CR109&amp;CS109&amp;CT109&amp;CU109&amp;CV109&amp;CW109&amp;CX109&amp;CY109</f>
        <v>#VALUE!</v>
      </c>
      <c r="CB109" s="1865" t="str">
        <f>IF(C109&lt;&gt;(AT109)," * La suma de las columnas "&amp;AS$10&amp;""&amp;" DEBE SER IGUAL a los Exámenes Procesados. ","")</f>
        <v xml:space="preserve"> * La suma de las columnas POR SEXO (Procesados) DEBE SER IGUAL a los Exámenes Procesados. </v>
      </c>
      <c r="CC109" s="1865" t="e">
        <f t="shared" si="257"/>
        <v>#VALUE!</v>
      </c>
      <c r="CD109" s="1865" t="str">
        <f t="shared" si="258"/>
        <v xml:space="preserve"> *El Número de Pueblos Originarios no puede superar el Total Procesados. </v>
      </c>
      <c r="CE109" s="1865" t="str">
        <f t="shared" si="259"/>
        <v xml:space="preserve"> *El Número de Migrantes no puede superar el Total Procesados. </v>
      </c>
      <c r="CF109" s="1865" t="str">
        <f>IF(E109&lt;F109,CONCATENATE("* El total de Procesados debe ser mayor o igual al total de Reactivos en el grupo de edad ",$E$11),"")</f>
        <v>* El total de Procesados debe ser mayor o igual al total de Reactivos en el grupo de edad Menos de 6 meses</v>
      </c>
      <c r="CG109" s="1865" t="str">
        <f>IF(G109&lt;H109,CONCATENATE("* El total de Procesados debe ser mayor o igual al total de Reactivos en el grupo de edad ",$G$11),"")</f>
        <v>* El total de Procesados debe ser mayor o igual al total de Reactivos en el grupo de edad 6 - 11 meses</v>
      </c>
      <c r="CH109" s="1865" t="str">
        <f>IF(I109&lt;J109,CONCATENATE("* El total de Procesados debe ser mayor o igual al total de Reactivos en el grupo de edad ",$I$11),"")</f>
        <v>* El total de Procesados debe ser mayor o igual al total de Reactivos en el grupo de edad 12-24 meses</v>
      </c>
      <c r="CI109" s="1865" t="str">
        <f>IF(K109&lt;L109,CONCATENATE("* El total de Procesados debe ser mayor o igual al total de Reactivos en el grupo de edad ",$K$11),"")</f>
        <v>* El total de Procesados debe ser mayor o igual al total de Reactivos en el grupo de edad 3 - 4 años</v>
      </c>
      <c r="CJ109" s="1865" t="str">
        <f>IF(M109&lt;N109,CONCATENATE("* El total de Procesados debe ser mayor o igual al total de Reactivos en el grupo de edad ",$M$11),"")</f>
        <v>* El total de Procesados debe ser mayor o igual al total de Reactivos en el grupo de edad 5 - 9 años</v>
      </c>
      <c r="CK109" s="1865" t="str">
        <f t="shared" si="260"/>
        <v>* El total de Procesados debe ser mayor o igual al total de Reactivos en el grupo de edad 10 - 14 años</v>
      </c>
      <c r="CL109" s="1865" t="str">
        <f t="shared" si="261"/>
        <v>* El total de Procesados debe ser mayor o igual al total de Reactivos en el grupo de edad 15 - 19 años</v>
      </c>
      <c r="CM109" s="1865" t="str">
        <f t="shared" si="262"/>
        <v>* El total de Procesados debe ser mayor o igual al total de Reactivos en el grupo de edad 20 - 24 años</v>
      </c>
      <c r="CN109" s="1865" t="str">
        <f t="shared" si="291"/>
        <v>* El total de Procesados debe ser mayor o igual al total de Reactivos en el grupo de edad 25 - 29 años</v>
      </c>
      <c r="CO109" s="1865" t="str">
        <f t="shared" si="263"/>
        <v>* El total de Procesados debe ser mayor o igual al total de Reactivos en el grupo de edad 30 - 34 años</v>
      </c>
      <c r="CP109" s="1865" t="str">
        <f t="shared" si="264"/>
        <v>* El total de Procesados debe ser mayor o igual al total de Reactivos en el grupo de edad 35 - 39 años</v>
      </c>
      <c r="CQ109" s="1865" t="str">
        <f t="shared" si="265"/>
        <v>* El total de Procesados debe ser mayor o igual al total de Reactivos en el grupo de edad 40 - 44 años</v>
      </c>
      <c r="CR109" s="1865" t="str">
        <f t="shared" si="266"/>
        <v>* El total de Procesados debe ser mayor o igual al total de Reactivos en el grupo de edad 45 - 49 años</v>
      </c>
      <c r="CS109" s="1865" t="str">
        <f t="shared" si="267"/>
        <v>* El total de Procesados debe ser mayor o igual al total de Reactivos en el grupo de edad 50 - 54 años</v>
      </c>
      <c r="CT109" s="1865" t="str">
        <f t="shared" si="268"/>
        <v>* El total de Procesados debe ser mayor o igual al total de Reactivos en el grupo de edad 55 - 59 años</v>
      </c>
      <c r="CU109" s="1865" t="str">
        <f t="shared" si="269"/>
        <v>* El total de Procesados debe ser mayor o igual al total de Reactivos en el grupo de edad 60 - 64 años</v>
      </c>
      <c r="CV109" s="1865" t="str">
        <f t="shared" si="270"/>
        <v>* El total de Procesados debe ser mayor o igual al total de Reactivos en el grupo de edad 65 - 69 años</v>
      </c>
      <c r="CW109" s="1865" t="str">
        <f t="shared" si="271"/>
        <v>* El total de Procesados debe ser mayor o igual al total de Reactivos en el grupo de edad 70 - 74 años</v>
      </c>
      <c r="CX109" s="1865" t="str">
        <f t="shared" si="272"/>
        <v>* El total de Procesados debe ser mayor o igual al total de Reactivos en el grupo de edad 75 - 79 años</v>
      </c>
      <c r="CY109" s="1865" t="str">
        <f t="shared" si="273"/>
        <v>* El total de Procesados debe ser mayor o igual al total de Reactivos en el grupo de edad 80 y más años</v>
      </c>
      <c r="DF109" s="1936"/>
      <c r="DG109" s="3922">
        <f>IF(C109&lt;&gt;(AT109),1,0)</f>
        <v>1</v>
      </c>
      <c r="DH109" s="3906" t="e">
        <f t="shared" si="274"/>
        <v>#VALUE!</v>
      </c>
      <c r="DI109" s="3906">
        <f t="shared" si="275"/>
        <v>1</v>
      </c>
      <c r="DJ109" s="3906">
        <f t="shared" si="276"/>
        <v>1</v>
      </c>
      <c r="DK109" s="3906">
        <f>IF(E109&lt;F109,1,0)</f>
        <v>1</v>
      </c>
      <c r="DL109" s="3906">
        <f>IF(G109&lt;H109,1,0)</f>
        <v>1</v>
      </c>
      <c r="DM109" s="3906">
        <f>IF(I109&lt;J109,1,0)</f>
        <v>1</v>
      </c>
      <c r="DN109" s="3906">
        <f>IF(K109&lt;L109,1,0)</f>
        <v>1</v>
      </c>
      <c r="DO109" s="3906">
        <f>IF(M109&lt;N109,1,0)</f>
        <v>1</v>
      </c>
      <c r="DP109" s="3906">
        <f t="shared" si="277"/>
        <v>1</v>
      </c>
      <c r="DQ109" s="3906">
        <f t="shared" si="278"/>
        <v>1</v>
      </c>
      <c r="DR109" s="3906">
        <f t="shared" si="279"/>
        <v>1</v>
      </c>
      <c r="DS109" s="3906">
        <f t="shared" si="292"/>
        <v>1</v>
      </c>
      <c r="DT109" s="3906">
        <f t="shared" si="280"/>
        <v>1</v>
      </c>
      <c r="DU109" s="3906">
        <f t="shared" si="281"/>
        <v>1</v>
      </c>
      <c r="DV109" s="3906">
        <f t="shared" si="282"/>
        <v>1</v>
      </c>
      <c r="DW109" s="3906">
        <f t="shared" si="283"/>
        <v>1</v>
      </c>
      <c r="DX109" s="3906">
        <f t="shared" si="284"/>
        <v>1</v>
      </c>
      <c r="DY109" s="3906">
        <f t="shared" si="285"/>
        <v>1</v>
      </c>
      <c r="DZ109" s="3906">
        <f t="shared" si="286"/>
        <v>1</v>
      </c>
      <c r="EA109" s="3906">
        <f t="shared" si="287"/>
        <v>1</v>
      </c>
      <c r="EB109" s="3906">
        <f t="shared" si="288"/>
        <v>1</v>
      </c>
      <c r="EC109" s="3906">
        <f t="shared" si="289"/>
        <v>1</v>
      </c>
      <c r="ED109" s="3906">
        <f t="shared" si="290"/>
        <v>1</v>
      </c>
    </row>
    <row r="110" spans="1:134" ht="21" x14ac:dyDescent="0.25">
      <c r="A110" s="5601">
        <v>11056445</v>
      </c>
      <c r="B110" s="3924" t="s">
        <v>1875</v>
      </c>
      <c r="C110" s="3908" t="s">
        <v>4567</v>
      </c>
      <c r="D110" s="344" t="s">
        <v>4568</v>
      </c>
      <c r="E110" s="3904" t="s">
        <v>4569</v>
      </c>
      <c r="F110" s="3912" t="s">
        <v>4570</v>
      </c>
      <c r="G110" s="3913" t="s">
        <v>4571</v>
      </c>
      <c r="H110" s="3912" t="s">
        <v>4572</v>
      </c>
      <c r="I110" s="3913" t="s">
        <v>4573</v>
      </c>
      <c r="J110" s="3905" t="s">
        <v>4574</v>
      </c>
      <c r="K110" s="3914" t="s">
        <v>4575</v>
      </c>
      <c r="L110" s="3915" t="s">
        <v>4576</v>
      </c>
      <c r="M110" s="3914" t="s">
        <v>4577</v>
      </c>
      <c r="N110" s="3915" t="s">
        <v>4578</v>
      </c>
      <c r="O110" s="3914" t="s">
        <v>4579</v>
      </c>
      <c r="P110" s="3915" t="s">
        <v>4580</v>
      </c>
      <c r="Q110" s="3914" t="s">
        <v>4581</v>
      </c>
      <c r="R110" s="3915" t="s">
        <v>4582</v>
      </c>
      <c r="S110" s="3914" t="s">
        <v>4583</v>
      </c>
      <c r="T110" s="3915" t="s">
        <v>4584</v>
      </c>
      <c r="U110" s="3914" t="s">
        <v>4585</v>
      </c>
      <c r="V110" s="3915" t="s">
        <v>4586</v>
      </c>
      <c r="W110" s="3914" t="s">
        <v>4587</v>
      </c>
      <c r="X110" s="3915" t="s">
        <v>4588</v>
      </c>
      <c r="Y110" s="3914" t="s">
        <v>4589</v>
      </c>
      <c r="Z110" s="3915" t="s">
        <v>4590</v>
      </c>
      <c r="AA110" s="3914" t="s">
        <v>4591</v>
      </c>
      <c r="AB110" s="3915" t="s">
        <v>4592</v>
      </c>
      <c r="AC110" s="3914" t="s">
        <v>4593</v>
      </c>
      <c r="AD110" s="3915" t="s">
        <v>4594</v>
      </c>
      <c r="AE110" s="3914" t="s">
        <v>4595</v>
      </c>
      <c r="AF110" s="3915" t="s">
        <v>4596</v>
      </c>
      <c r="AG110" s="3914" t="s">
        <v>4597</v>
      </c>
      <c r="AH110" s="3915" t="s">
        <v>4598</v>
      </c>
      <c r="AI110" s="3914" t="s">
        <v>4599</v>
      </c>
      <c r="AJ110" s="3915" t="s">
        <v>4600</v>
      </c>
      <c r="AK110" s="3914" t="s">
        <v>4601</v>
      </c>
      <c r="AL110" s="3915" t="s">
        <v>4602</v>
      </c>
      <c r="AM110" s="3914" t="s">
        <v>4603</v>
      </c>
      <c r="AN110" s="3915" t="s">
        <v>4604</v>
      </c>
      <c r="AO110" s="3914" t="s">
        <v>4605</v>
      </c>
      <c r="AP110" s="3915" t="s">
        <v>4606</v>
      </c>
      <c r="AQ110" s="3914" t="s">
        <v>4934</v>
      </c>
      <c r="AR110" s="3916" t="s">
        <v>4935</v>
      </c>
      <c r="AS110" s="3904" t="s">
        <v>4936</v>
      </c>
      <c r="AT110" s="3902" t="s">
        <v>4937</v>
      </c>
      <c r="AU110" s="3903" t="s">
        <v>5234</v>
      </c>
      <c r="AV110" s="3902" t="s">
        <v>5235</v>
      </c>
      <c r="AW110" s="3904" t="s">
        <v>5236</v>
      </c>
      <c r="AX110" s="3905" t="s">
        <v>5237</v>
      </c>
      <c r="AY110" s="1864" t="e">
        <f>$CB110&amp;CC110&amp;CD110&amp;$CE110&amp;CF110&amp;CG110&amp;CH110</f>
        <v>#VALUE!</v>
      </c>
      <c r="CB110" s="1865" t="e">
        <f t="shared" ref="CB110:CB118" si="293">IF(C110&lt;&gt;(AT110+AS110)," * La suma de las columnas "&amp;AS$10&amp;""&amp;" DEBE SER IGUAL a los Exámenes Procesados. ","")</f>
        <v>#VALUE!</v>
      </c>
      <c r="CC110" s="1865" t="e">
        <f t="shared" si="257"/>
        <v>#VALUE!</v>
      </c>
      <c r="CD110" s="1865" t="str">
        <f t="shared" si="258"/>
        <v xml:space="preserve"> *El Número de Pueblos Originarios no puede superar el Total Procesados. </v>
      </c>
      <c r="CE110" s="1865" t="str">
        <f t="shared" si="259"/>
        <v xml:space="preserve"> *El Número de Migrantes no puede superar el Total Procesados. </v>
      </c>
      <c r="CF110" s="1865" t="str">
        <f>IF(E110&lt;F110,CONCATENATE("* El total de Procesados debe ser mayor o igual al total de Reactivos en el grupo de edad ",$E$11),"")</f>
        <v>* El total de Procesados debe ser mayor o igual al total de Reactivos en el grupo de edad Menos de 6 meses</v>
      </c>
      <c r="CG110" s="1865" t="str">
        <f>IF(G110&lt;H110,CONCATENATE("* El total de Procesados debe ser mayor o igual al total de Reactivos en el grupo de edad ",$G$11),"")</f>
        <v>* El total de Procesados debe ser mayor o igual al total de Reactivos en el grupo de edad 6 - 11 meses</v>
      </c>
      <c r="CH110" s="1865" t="str">
        <f>IF(I110&lt;J110,CONCATENATE("* El total de Procesados debe ser mayor o igual al total de Reactivos en el grupo de edad ",$I$11),"")</f>
        <v>* El total de Procesados debe ser mayor o igual al total de Reactivos en el grupo de edad 12-24 meses</v>
      </c>
      <c r="CI110" s="1868"/>
      <c r="CJ110" s="1868"/>
      <c r="CK110" s="3917"/>
      <c r="CL110" s="1868"/>
      <c r="CM110" s="1868"/>
      <c r="CN110" s="1868"/>
      <c r="CO110" s="1868"/>
      <c r="CP110" s="1868"/>
      <c r="CQ110" s="1868"/>
      <c r="CR110" s="1868"/>
      <c r="CS110" s="1868"/>
      <c r="CT110" s="1868"/>
      <c r="CU110" s="1868"/>
      <c r="CV110" s="1868"/>
      <c r="CW110" s="1868"/>
      <c r="CX110" s="1868"/>
      <c r="CY110" s="1868"/>
      <c r="DF110" s="1936"/>
      <c r="DG110" s="3922" t="e">
        <f t="shared" ref="DG110:DG118" si="294">IF(C110&lt;&gt;(AT110+AS110),1,0)</f>
        <v>#VALUE!</v>
      </c>
      <c r="DH110" s="3906" t="e">
        <f t="shared" si="274"/>
        <v>#VALUE!</v>
      </c>
      <c r="DI110" s="3906">
        <f t="shared" si="275"/>
        <v>1</v>
      </c>
      <c r="DJ110" s="3906">
        <f t="shared" si="276"/>
        <v>1</v>
      </c>
      <c r="DK110" s="3906">
        <f>IF(E110&lt;F110,1,0)</f>
        <v>1</v>
      </c>
      <c r="DL110" s="3906">
        <f>IF(G110&lt;H110,1,0)</f>
        <v>1</v>
      </c>
      <c r="DM110" s="3906">
        <f>IF(I110&lt;J110,1,0)</f>
        <v>1</v>
      </c>
      <c r="DN110" s="1868"/>
      <c r="DO110" s="1868"/>
      <c r="DP110" s="1866"/>
      <c r="DQ110" s="1866"/>
      <c r="DR110" s="1866"/>
      <c r="DS110" s="1866"/>
      <c r="DT110" s="1866"/>
      <c r="DU110" s="1866"/>
      <c r="DV110" s="1866"/>
      <c r="DW110" s="1866"/>
      <c r="DX110" s="1866"/>
      <c r="DY110" s="1866"/>
      <c r="DZ110" s="1866"/>
      <c r="EA110" s="1866"/>
      <c r="EB110" s="1866"/>
      <c r="EC110" s="1866"/>
      <c r="ED110" s="1866"/>
    </row>
    <row r="111" spans="1:134" x14ac:dyDescent="0.25">
      <c r="A111" s="5601">
        <v>11056446</v>
      </c>
      <c r="B111" s="3924" t="s">
        <v>1876</v>
      </c>
      <c r="C111" s="3908" t="s">
        <v>4567</v>
      </c>
      <c r="D111" s="344" t="s">
        <v>4568</v>
      </c>
      <c r="E111" s="3918" t="s">
        <v>4569</v>
      </c>
      <c r="F111" s="3910" t="s">
        <v>4570</v>
      </c>
      <c r="G111" s="3909" t="s">
        <v>4571</v>
      </c>
      <c r="H111" s="3910" t="s">
        <v>4572</v>
      </c>
      <c r="I111" s="3909" t="s">
        <v>4573</v>
      </c>
      <c r="J111" s="3910" t="s">
        <v>4574</v>
      </c>
      <c r="K111" s="3909" t="s">
        <v>4575</v>
      </c>
      <c r="L111" s="3910" t="s">
        <v>4576</v>
      </c>
      <c r="M111" s="3909" t="s">
        <v>4577</v>
      </c>
      <c r="N111" s="3911" t="s">
        <v>4578</v>
      </c>
      <c r="O111" s="3918" t="s">
        <v>4579</v>
      </c>
      <c r="P111" s="3910" t="s">
        <v>4580</v>
      </c>
      <c r="Q111" s="3913" t="s">
        <v>4581</v>
      </c>
      <c r="R111" s="3912" t="s">
        <v>4582</v>
      </c>
      <c r="S111" s="3913" t="s">
        <v>4583</v>
      </c>
      <c r="T111" s="3912" t="s">
        <v>4584</v>
      </c>
      <c r="U111" s="3913" t="s">
        <v>4585</v>
      </c>
      <c r="V111" s="3912" t="s">
        <v>4586</v>
      </c>
      <c r="W111" s="3913" t="s">
        <v>4587</v>
      </c>
      <c r="X111" s="3912" t="s">
        <v>4588</v>
      </c>
      <c r="Y111" s="3913" t="s">
        <v>4589</v>
      </c>
      <c r="Z111" s="3912" t="s">
        <v>4590</v>
      </c>
      <c r="AA111" s="3913" t="s">
        <v>4591</v>
      </c>
      <c r="AB111" s="3912" t="s">
        <v>4592</v>
      </c>
      <c r="AC111" s="3913" t="s">
        <v>4593</v>
      </c>
      <c r="AD111" s="3912" t="s">
        <v>4594</v>
      </c>
      <c r="AE111" s="3913" t="s">
        <v>4595</v>
      </c>
      <c r="AF111" s="3912" t="s">
        <v>4596</v>
      </c>
      <c r="AG111" s="3913" t="s">
        <v>4597</v>
      </c>
      <c r="AH111" s="3912" t="s">
        <v>4598</v>
      </c>
      <c r="AI111" s="3913" t="s">
        <v>4599</v>
      </c>
      <c r="AJ111" s="3912" t="s">
        <v>4600</v>
      </c>
      <c r="AK111" s="3913" t="s">
        <v>4601</v>
      </c>
      <c r="AL111" s="3912" t="s">
        <v>4602</v>
      </c>
      <c r="AM111" s="3913" t="s">
        <v>4603</v>
      </c>
      <c r="AN111" s="3912" t="s">
        <v>4604</v>
      </c>
      <c r="AO111" s="3913" t="s">
        <v>4605</v>
      </c>
      <c r="AP111" s="3912" t="s">
        <v>4606</v>
      </c>
      <c r="AQ111" s="3913" t="s">
        <v>4934</v>
      </c>
      <c r="AR111" s="3902" t="s">
        <v>4935</v>
      </c>
      <c r="AS111" s="3904" t="s">
        <v>4936</v>
      </c>
      <c r="AT111" s="3902" t="s">
        <v>4937</v>
      </c>
      <c r="AU111" s="3903" t="s">
        <v>5234</v>
      </c>
      <c r="AV111" s="3902" t="s">
        <v>5235</v>
      </c>
      <c r="AW111" s="3904" t="s">
        <v>5236</v>
      </c>
      <c r="AX111" s="3905" t="s">
        <v>5237</v>
      </c>
      <c r="AY111" s="1864" t="e">
        <f>$CB111&amp;CC111&amp;CD111&amp;$CE111&amp;CL111&amp;CM111&amp;CN111&amp;CO111&amp;CP111&amp;CQ111&amp;CR111&amp;CS111&amp;CT111&amp;CU111&amp;CV111&amp;CW111&amp;CX111&amp;CY111</f>
        <v>#VALUE!</v>
      </c>
      <c r="CB111" s="1865" t="e">
        <f t="shared" si="293"/>
        <v>#VALUE!</v>
      </c>
      <c r="CC111" s="1865" t="e">
        <f t="shared" si="257"/>
        <v>#VALUE!</v>
      </c>
      <c r="CD111" s="1865" t="str">
        <f t="shared" si="258"/>
        <v xml:space="preserve"> *El Número de Pueblos Originarios no puede superar el Total Procesados. </v>
      </c>
      <c r="CE111" s="1865" t="str">
        <f t="shared" si="259"/>
        <v xml:space="preserve"> *El Número de Migrantes no puede superar el Total Procesados. </v>
      </c>
      <c r="CF111" s="3917"/>
      <c r="CG111" s="3917"/>
      <c r="CH111" s="1868"/>
      <c r="CI111" s="1868"/>
      <c r="CJ111" s="1868"/>
      <c r="CK111" s="3917"/>
      <c r="CL111" s="1865" t="str">
        <f t="shared" ref="CL111:CL118" si="295">IF(Q111&lt;R111,CONCATENATE("* El total de Procesados debe ser mayor o igual al total de Reactivos en el grupo de edad ",$Q$11),"")</f>
        <v>* El total de Procesados debe ser mayor o igual al total de Reactivos en el grupo de edad 15 - 19 años</v>
      </c>
      <c r="CM111" s="1865" t="str">
        <f t="shared" ref="CM111:CM118" si="296">IF(S111&lt;T111,CONCATENATE("* El total de Procesados debe ser mayor o igual al total de Reactivos en el grupo de edad ",$S$11),"")</f>
        <v>* El total de Procesados debe ser mayor o igual al total de Reactivos en el grupo de edad 20 - 24 años</v>
      </c>
      <c r="CN111" s="1865" t="str">
        <f t="shared" si="291"/>
        <v>* El total de Procesados debe ser mayor o igual al total de Reactivos en el grupo de edad 25 - 29 años</v>
      </c>
      <c r="CO111" s="1865" t="str">
        <f t="shared" ref="CO111:CO118" si="297">IF(W111&lt;X111,CONCATENATE("* El total de Procesados debe ser mayor o igual al total de Reactivos en el grupo de edad ",$W$11),"")</f>
        <v>* El total de Procesados debe ser mayor o igual al total de Reactivos en el grupo de edad 30 - 34 años</v>
      </c>
      <c r="CP111" s="1865" t="str">
        <f t="shared" ref="CP111:CP118" si="298">IF(Y111&lt;Z111,CONCATENATE("* El total de Procesados debe ser mayor o igual al total de Reactivos en el grupo de edad ",$Y$11),"")</f>
        <v>* El total de Procesados debe ser mayor o igual al total de Reactivos en el grupo de edad 35 - 39 años</v>
      </c>
      <c r="CQ111" s="1865" t="str">
        <f t="shared" ref="CQ111:CQ118" si="299">IF(AA111&lt;AB111,CONCATENATE("* El total de Procesados debe ser mayor o igual al total de Reactivos en el grupo de edad ",$AA$11),"")</f>
        <v>* El total de Procesados debe ser mayor o igual al total de Reactivos en el grupo de edad 40 - 44 años</v>
      </c>
      <c r="CR111" s="1865" t="str">
        <f t="shared" ref="CR111:CR118" si="300">IF(AC111&lt;AD111,CONCATENATE("* El total de Procesados debe ser mayor o igual al total de Reactivos en el grupo de edad ",$AC$11),"")</f>
        <v>* El total de Procesados debe ser mayor o igual al total de Reactivos en el grupo de edad 45 - 49 años</v>
      </c>
      <c r="CS111" s="1865" t="str">
        <f t="shared" ref="CS111:CS118" si="301">IF(AE111&lt;AF111,CONCATENATE("* El total de Procesados debe ser mayor o igual al total de Reactivos en el grupo de edad ",$AE$11),"")</f>
        <v>* El total de Procesados debe ser mayor o igual al total de Reactivos en el grupo de edad 50 - 54 años</v>
      </c>
      <c r="CT111" s="1865" t="str">
        <f t="shared" ref="CT111:CT118" si="302">IF(AG111&lt;AH111,CONCATENATE("* El total de Procesados debe ser mayor o igual al total de Reactivos en el grupo de edad ",$AG$11),"")</f>
        <v>* El total de Procesados debe ser mayor o igual al total de Reactivos en el grupo de edad 55 - 59 años</v>
      </c>
      <c r="CU111" s="1865" t="str">
        <f t="shared" ref="CU111:CU118" si="303">IF(AI111&lt;AJ111,CONCATENATE("* El total de Procesados debe ser mayor o igual al total de Reactivos en el grupo de edad ",$AI$11),"")</f>
        <v>* El total de Procesados debe ser mayor o igual al total de Reactivos en el grupo de edad 60 - 64 años</v>
      </c>
      <c r="CV111" s="1865" t="str">
        <f>IF(AK111&lt;AL111,CONCATENATE("* El total de Procesados debe ser mayor o igual al total de Reactivos en el grupo de edad ",$AK$11),"")</f>
        <v>* El total de Procesados debe ser mayor o igual al total de Reactivos en el grupo de edad 65 - 69 años</v>
      </c>
      <c r="CW111" s="1865" t="str">
        <f>IF(AM111&lt;AN111,CONCATENATE("* El total de Procesados debe ser mayor o igual al total de Reactivos en el grupo de edad ",$AM$11),"")</f>
        <v>* El total de Procesados debe ser mayor o igual al total de Reactivos en el grupo de edad 70 - 74 años</v>
      </c>
      <c r="CX111" s="1865" t="str">
        <f>IF(AO111&lt;AP111,CONCATENATE("* El total de Procesados debe ser mayor o igual al total de Reactivos en el grupo de edad ",$AO$11),"")</f>
        <v>* El total de Procesados debe ser mayor o igual al total de Reactivos en el grupo de edad 75 - 79 años</v>
      </c>
      <c r="CY111" s="1865" t="str">
        <f>IF(AQ111&lt;AR111,CONCATENATE("* El total de Procesados debe ser mayor o igual al total de Reactivos en el grupo de edad ",$AQ$11),"")</f>
        <v>* El total de Procesados debe ser mayor o igual al total de Reactivos en el grupo de edad 80 y más años</v>
      </c>
      <c r="DF111" s="1936"/>
      <c r="DG111" s="3922" t="e">
        <f t="shared" si="294"/>
        <v>#VALUE!</v>
      </c>
      <c r="DH111" s="3906" t="e">
        <f t="shared" si="274"/>
        <v>#VALUE!</v>
      </c>
      <c r="DI111" s="3906">
        <f t="shared" si="275"/>
        <v>1</v>
      </c>
      <c r="DJ111" s="3906">
        <f t="shared" si="276"/>
        <v>1</v>
      </c>
      <c r="DK111" s="1868"/>
      <c r="DL111" s="1868"/>
      <c r="DM111" s="1868"/>
      <c r="DN111" s="1868"/>
      <c r="DO111" s="1868"/>
      <c r="DP111" s="1866"/>
      <c r="DQ111" s="3906">
        <f t="shared" ref="DQ111:DQ118" si="304">IF(Q111&lt;R111,1,0)</f>
        <v>1</v>
      </c>
      <c r="DR111" s="3906">
        <f t="shared" ref="DR111:DR118" si="305">IF(S111&lt;T111,1,0)</f>
        <v>1</v>
      </c>
      <c r="DS111" s="3906">
        <f t="shared" si="292"/>
        <v>1</v>
      </c>
      <c r="DT111" s="3906">
        <f t="shared" ref="DT111:DT118" si="306">IF(W111&lt;X111,1,0)</f>
        <v>1</v>
      </c>
      <c r="DU111" s="3906">
        <f t="shared" ref="DU111:DU118" si="307">IF(Y111&lt;Z111,1,0)</f>
        <v>1</v>
      </c>
      <c r="DV111" s="3906">
        <f t="shared" ref="DV111:DV118" si="308">IF(AA111&lt;AB111,1,0)</f>
        <v>1</v>
      </c>
      <c r="DW111" s="3906">
        <f t="shared" si="283"/>
        <v>1</v>
      </c>
      <c r="DX111" s="3906">
        <f t="shared" ref="DX111:DX118" si="309">IF(AE111&lt;AF111,1,0)</f>
        <v>1</v>
      </c>
      <c r="DY111" s="3906">
        <f t="shared" ref="DY111:DY118" si="310">IF(AG111&lt;AH111,1,0)</f>
        <v>1</v>
      </c>
      <c r="DZ111" s="3906">
        <f t="shared" ref="DZ111:DZ118" si="311">IF(AI111&lt;AJ111,1,0)</f>
        <v>1</v>
      </c>
      <c r="EA111" s="3906">
        <f>IF(AK111&lt;AL111,1,0)</f>
        <v>1</v>
      </c>
      <c r="EB111" s="3906">
        <f>IF(AM111&lt;AN111,1,0)</f>
        <v>1</v>
      </c>
      <c r="EC111" s="3906">
        <f>IF(AO111&lt;AP111,1,0)</f>
        <v>1</v>
      </c>
      <c r="ED111" s="3906">
        <f>IF(AQ111&lt;AR111,1,0)</f>
        <v>1</v>
      </c>
    </row>
    <row r="112" spans="1:134" x14ac:dyDescent="0.25">
      <c r="A112" s="5601">
        <v>11056447</v>
      </c>
      <c r="B112" s="3923" t="s">
        <v>1877</v>
      </c>
      <c r="C112" s="3908" t="s">
        <v>4567</v>
      </c>
      <c r="D112" s="344" t="s">
        <v>4568</v>
      </c>
      <c r="E112" s="3901" t="s">
        <v>4569</v>
      </c>
      <c r="F112" s="3915" t="s">
        <v>4570</v>
      </c>
      <c r="G112" s="3914" t="s">
        <v>4571</v>
      </c>
      <c r="H112" s="3915" t="s">
        <v>4572</v>
      </c>
      <c r="I112" s="3914" t="s">
        <v>4573</v>
      </c>
      <c r="J112" s="3919" t="s">
        <v>4574</v>
      </c>
      <c r="K112" s="3901" t="s">
        <v>4575</v>
      </c>
      <c r="L112" s="3901" t="s">
        <v>4576</v>
      </c>
      <c r="M112" s="3914" t="s">
        <v>4577</v>
      </c>
      <c r="N112" s="3919" t="s">
        <v>4578</v>
      </c>
      <c r="O112" s="3904" t="s">
        <v>4579</v>
      </c>
      <c r="P112" s="3912" t="s">
        <v>4580</v>
      </c>
      <c r="Q112" s="3913" t="s">
        <v>4581</v>
      </c>
      <c r="R112" s="3912" t="s">
        <v>4582</v>
      </c>
      <c r="S112" s="3913" t="s">
        <v>4583</v>
      </c>
      <c r="T112" s="3912" t="s">
        <v>4584</v>
      </c>
      <c r="U112" s="3913" t="s">
        <v>4585</v>
      </c>
      <c r="V112" s="3912" t="s">
        <v>4586</v>
      </c>
      <c r="W112" s="3913" t="s">
        <v>4587</v>
      </c>
      <c r="X112" s="3912" t="s">
        <v>4588</v>
      </c>
      <c r="Y112" s="3913" t="s">
        <v>4589</v>
      </c>
      <c r="Z112" s="3912" t="s">
        <v>4590</v>
      </c>
      <c r="AA112" s="3913" t="s">
        <v>4591</v>
      </c>
      <c r="AB112" s="3912" t="s">
        <v>4592</v>
      </c>
      <c r="AC112" s="3913" t="s">
        <v>4593</v>
      </c>
      <c r="AD112" s="3912" t="s">
        <v>4594</v>
      </c>
      <c r="AE112" s="3913" t="s">
        <v>4595</v>
      </c>
      <c r="AF112" s="3912" t="s">
        <v>4596</v>
      </c>
      <c r="AG112" s="3913" t="s">
        <v>4597</v>
      </c>
      <c r="AH112" s="3912" t="s">
        <v>4598</v>
      </c>
      <c r="AI112" s="3913" t="s">
        <v>4599</v>
      </c>
      <c r="AJ112" s="3912" t="s">
        <v>4600</v>
      </c>
      <c r="AK112" s="3913" t="s">
        <v>4601</v>
      </c>
      <c r="AL112" s="3912" t="s">
        <v>4602</v>
      </c>
      <c r="AM112" s="3913" t="s">
        <v>4603</v>
      </c>
      <c r="AN112" s="3912" t="s">
        <v>4604</v>
      </c>
      <c r="AO112" s="3913" t="s">
        <v>4605</v>
      </c>
      <c r="AP112" s="3912" t="s">
        <v>4606</v>
      </c>
      <c r="AQ112" s="3913" t="s">
        <v>4934</v>
      </c>
      <c r="AR112" s="3902" t="s">
        <v>4935</v>
      </c>
      <c r="AS112" s="3904" t="s">
        <v>4936</v>
      </c>
      <c r="AT112" s="3902" t="s">
        <v>4937</v>
      </c>
      <c r="AU112" s="3903" t="s">
        <v>5234</v>
      </c>
      <c r="AV112" s="3902" t="s">
        <v>5235</v>
      </c>
      <c r="AW112" s="3904" t="s">
        <v>5236</v>
      </c>
      <c r="AX112" s="3905" t="s">
        <v>5237</v>
      </c>
      <c r="AY112" s="1864" t="e">
        <f>$CB112&amp;CC112&amp;CD112&amp;$CE112&amp;CK112&amp;CL112&amp;CM112&amp;CN112&amp;CO112&amp;CP112&amp;CQ112&amp;CR112&amp;CS112&amp;CT112&amp;CU112&amp;CV112&amp;CW112&amp;CX112&amp;CY112</f>
        <v>#VALUE!</v>
      </c>
      <c r="CB112" s="1865" t="e">
        <f t="shared" si="293"/>
        <v>#VALUE!</v>
      </c>
      <c r="CC112" s="1865" t="e">
        <f t="shared" si="257"/>
        <v>#VALUE!</v>
      </c>
      <c r="CD112" s="1865" t="str">
        <f t="shared" si="258"/>
        <v xml:space="preserve"> *El Número de Pueblos Originarios no puede superar el Total Procesados. </v>
      </c>
      <c r="CE112" s="1865" t="str">
        <f t="shared" si="259"/>
        <v xml:space="preserve"> *El Número de Migrantes no puede superar el Total Procesados. </v>
      </c>
      <c r="CF112" s="3917"/>
      <c r="CG112" s="3917"/>
      <c r="CH112" s="1868"/>
      <c r="CI112" s="1868"/>
      <c r="CJ112" s="1868"/>
      <c r="CK112" s="1865" t="str">
        <f>IF(O112&lt;P112,CONCATENATE("* El total de Procesados debe ser mayor o igual al total de Reactivos en el grupo de edad ",$O$11),"")</f>
        <v>* El total de Procesados debe ser mayor o igual al total de Reactivos en el grupo de edad 10 - 14 años</v>
      </c>
      <c r="CL112" s="1865" t="str">
        <f t="shared" si="295"/>
        <v>* El total de Procesados debe ser mayor o igual al total de Reactivos en el grupo de edad 15 - 19 años</v>
      </c>
      <c r="CM112" s="1865" t="str">
        <f t="shared" si="296"/>
        <v>* El total de Procesados debe ser mayor o igual al total de Reactivos en el grupo de edad 20 - 24 años</v>
      </c>
      <c r="CN112" s="1865" t="str">
        <f t="shared" si="291"/>
        <v>* El total de Procesados debe ser mayor o igual al total de Reactivos en el grupo de edad 25 - 29 años</v>
      </c>
      <c r="CO112" s="1865" t="str">
        <f t="shared" si="297"/>
        <v>* El total de Procesados debe ser mayor o igual al total de Reactivos en el grupo de edad 30 - 34 años</v>
      </c>
      <c r="CP112" s="1865" t="str">
        <f t="shared" si="298"/>
        <v>* El total de Procesados debe ser mayor o igual al total de Reactivos en el grupo de edad 35 - 39 años</v>
      </c>
      <c r="CQ112" s="1865" t="str">
        <f t="shared" si="299"/>
        <v>* El total de Procesados debe ser mayor o igual al total de Reactivos en el grupo de edad 40 - 44 años</v>
      </c>
      <c r="CR112" s="1865" t="str">
        <f t="shared" si="300"/>
        <v>* El total de Procesados debe ser mayor o igual al total de Reactivos en el grupo de edad 45 - 49 años</v>
      </c>
      <c r="CS112" s="1865" t="str">
        <f t="shared" si="301"/>
        <v>* El total de Procesados debe ser mayor o igual al total de Reactivos en el grupo de edad 50 - 54 años</v>
      </c>
      <c r="CT112" s="1865" t="str">
        <f t="shared" si="302"/>
        <v>* El total de Procesados debe ser mayor o igual al total de Reactivos en el grupo de edad 55 - 59 años</v>
      </c>
      <c r="CU112" s="1865" t="str">
        <f t="shared" si="303"/>
        <v>* El total de Procesados debe ser mayor o igual al total de Reactivos en el grupo de edad 60 - 64 años</v>
      </c>
      <c r="CV112" s="1865" t="str">
        <f>IF(AK112&lt;AL112,CONCATENATE("* El total de Procesados debe ser mayor o igual al total de Reactivos en el grupo de edad ",$AK$11),"")</f>
        <v>* El total de Procesados debe ser mayor o igual al total de Reactivos en el grupo de edad 65 - 69 años</v>
      </c>
      <c r="CW112" s="1865" t="str">
        <f>IF(AM112&lt;AN112,CONCATENATE("* El total de Procesados debe ser mayor o igual al total de Reactivos en el grupo de edad ",$AM$11),"")</f>
        <v>* El total de Procesados debe ser mayor o igual al total de Reactivos en el grupo de edad 70 - 74 años</v>
      </c>
      <c r="CX112" s="1865" t="str">
        <f>IF(AO112&lt;AP112,CONCATENATE("* El total de Procesados debe ser mayor o igual al total de Reactivos en el grupo de edad ",$AO$11),"")</f>
        <v>* El total de Procesados debe ser mayor o igual al total de Reactivos en el grupo de edad 75 - 79 años</v>
      </c>
      <c r="CY112" s="1865" t="str">
        <f>IF(AQ112&lt;AR112,CONCATENATE("* El total de Procesados debe ser mayor o igual al total de Reactivos en el grupo de edad ",$AQ$11),"")</f>
        <v>* El total de Procesados debe ser mayor o igual al total de Reactivos en el grupo de edad 80 y más años</v>
      </c>
      <c r="DF112" s="1936"/>
      <c r="DG112" s="3922" t="e">
        <f t="shared" si="294"/>
        <v>#VALUE!</v>
      </c>
      <c r="DH112" s="3906" t="e">
        <f t="shared" si="274"/>
        <v>#VALUE!</v>
      </c>
      <c r="DI112" s="3906">
        <f t="shared" si="275"/>
        <v>1</v>
      </c>
      <c r="DJ112" s="3906">
        <f t="shared" si="276"/>
        <v>1</v>
      </c>
      <c r="DK112" s="1868"/>
      <c r="DL112" s="1868"/>
      <c r="DM112" s="1868"/>
      <c r="DN112" s="1868"/>
      <c r="DO112" s="1868"/>
      <c r="DP112" s="3906">
        <f>IF(O112&lt;P112,1,0)</f>
        <v>1</v>
      </c>
      <c r="DQ112" s="3906">
        <f t="shared" si="304"/>
        <v>1</v>
      </c>
      <c r="DR112" s="3906">
        <f t="shared" si="305"/>
        <v>1</v>
      </c>
      <c r="DS112" s="3906">
        <f t="shared" si="292"/>
        <v>1</v>
      </c>
      <c r="DT112" s="3906">
        <f t="shared" si="306"/>
        <v>1</v>
      </c>
      <c r="DU112" s="3906">
        <f t="shared" si="307"/>
        <v>1</v>
      </c>
      <c r="DV112" s="3906">
        <f t="shared" si="308"/>
        <v>1</v>
      </c>
      <c r="DW112" s="3906">
        <f t="shared" si="283"/>
        <v>1</v>
      </c>
      <c r="DX112" s="3906">
        <f t="shared" si="309"/>
        <v>1</v>
      </c>
      <c r="DY112" s="3906">
        <f t="shared" si="310"/>
        <v>1</v>
      </c>
      <c r="DZ112" s="3906">
        <f t="shared" si="311"/>
        <v>1</v>
      </c>
      <c r="EA112" s="3906">
        <f>IF(AK112&lt;AL112,1,0)</f>
        <v>1</v>
      </c>
      <c r="EB112" s="3906">
        <f>IF(AM112&lt;AN112,1,0)</f>
        <v>1</v>
      </c>
      <c r="EC112" s="3906">
        <f>IF(AO112&lt;AP112,1,0)</f>
        <v>1</v>
      </c>
      <c r="ED112" s="3906">
        <f>IF(AQ112&lt;AR112,1,0)</f>
        <v>1</v>
      </c>
    </row>
    <row r="113" spans="1:134" x14ac:dyDescent="0.25">
      <c r="A113" s="5601">
        <v>11056448</v>
      </c>
      <c r="B113" s="3923" t="s">
        <v>1878</v>
      </c>
      <c r="C113" s="3908" t="s">
        <v>4567</v>
      </c>
      <c r="D113" s="344" t="s">
        <v>4568</v>
      </c>
      <c r="E113" s="3904" t="s">
        <v>4569</v>
      </c>
      <c r="F113" s="3912" t="s">
        <v>4570</v>
      </c>
      <c r="G113" s="3913" t="s">
        <v>4571</v>
      </c>
      <c r="H113" s="3912" t="s">
        <v>4572</v>
      </c>
      <c r="I113" s="3913" t="s">
        <v>4573</v>
      </c>
      <c r="J113" s="3905" t="s">
        <v>4574</v>
      </c>
      <c r="K113" s="3904" t="s">
        <v>4575</v>
      </c>
      <c r="L113" s="3904" t="s">
        <v>4576</v>
      </c>
      <c r="M113" s="3913" t="s">
        <v>4577</v>
      </c>
      <c r="N113" s="3905" t="s">
        <v>4578</v>
      </c>
      <c r="O113" s="3904" t="s">
        <v>4579</v>
      </c>
      <c r="P113" s="3912" t="s">
        <v>4580</v>
      </c>
      <c r="Q113" s="3913" t="s">
        <v>4581</v>
      </c>
      <c r="R113" s="3912" t="s">
        <v>4582</v>
      </c>
      <c r="S113" s="3913" t="s">
        <v>4583</v>
      </c>
      <c r="T113" s="3912" t="s">
        <v>4584</v>
      </c>
      <c r="U113" s="3913" t="s">
        <v>4585</v>
      </c>
      <c r="V113" s="3912" t="s">
        <v>4586</v>
      </c>
      <c r="W113" s="3913" t="s">
        <v>4587</v>
      </c>
      <c r="X113" s="3912" t="s">
        <v>4588</v>
      </c>
      <c r="Y113" s="3913" t="s">
        <v>4589</v>
      </c>
      <c r="Z113" s="3912" t="s">
        <v>4590</v>
      </c>
      <c r="AA113" s="3913" t="s">
        <v>4591</v>
      </c>
      <c r="AB113" s="3912" t="s">
        <v>4592</v>
      </c>
      <c r="AC113" s="3913" t="s">
        <v>4593</v>
      </c>
      <c r="AD113" s="3912" t="s">
        <v>4594</v>
      </c>
      <c r="AE113" s="3913" t="s">
        <v>4595</v>
      </c>
      <c r="AF113" s="3912" t="s">
        <v>4596</v>
      </c>
      <c r="AG113" s="3913" t="s">
        <v>4597</v>
      </c>
      <c r="AH113" s="3912" t="s">
        <v>4598</v>
      </c>
      <c r="AI113" s="3913" t="s">
        <v>4599</v>
      </c>
      <c r="AJ113" s="3912" t="s">
        <v>4600</v>
      </c>
      <c r="AK113" s="3913" t="s">
        <v>4601</v>
      </c>
      <c r="AL113" s="3912" t="s">
        <v>4602</v>
      </c>
      <c r="AM113" s="3913" t="s">
        <v>4603</v>
      </c>
      <c r="AN113" s="3912" t="s">
        <v>4604</v>
      </c>
      <c r="AO113" s="3913" t="s">
        <v>4605</v>
      </c>
      <c r="AP113" s="3912" t="s">
        <v>4606</v>
      </c>
      <c r="AQ113" s="3913" t="s">
        <v>4934</v>
      </c>
      <c r="AR113" s="3902" t="s">
        <v>4935</v>
      </c>
      <c r="AS113" s="3904" t="s">
        <v>4936</v>
      </c>
      <c r="AT113" s="3902" t="s">
        <v>4937</v>
      </c>
      <c r="AU113" s="3903" t="s">
        <v>5234</v>
      </c>
      <c r="AV113" s="3902" t="s">
        <v>5235</v>
      </c>
      <c r="AW113" s="3904" t="s">
        <v>5236</v>
      </c>
      <c r="AX113" s="3905" t="s">
        <v>5237</v>
      </c>
      <c r="AY113" s="1864" t="e">
        <f>$CB113&amp;CC113&amp;CD113&amp;$CE113&amp;CF113&amp;CG113&amp;CH113&amp;CI113&amp;CJ113&amp;CK113&amp;CL113&amp;CM113&amp;CN113&amp;CO113&amp;CP113&amp;CQ113&amp;CR113&amp;CS113&amp;CT113&amp;CU113&amp;CV113&amp;CW113&amp;CX113&amp;CY113</f>
        <v>#VALUE!</v>
      </c>
      <c r="CB113" s="1865" t="e">
        <f t="shared" si="293"/>
        <v>#VALUE!</v>
      </c>
      <c r="CC113" s="1865" t="e">
        <f t="shared" si="257"/>
        <v>#VALUE!</v>
      </c>
      <c r="CD113" s="1865" t="str">
        <f t="shared" si="258"/>
        <v xml:space="preserve"> *El Número de Pueblos Originarios no puede superar el Total Procesados. </v>
      </c>
      <c r="CE113" s="1865" t="str">
        <f t="shared" si="259"/>
        <v xml:space="preserve"> *El Número de Migrantes no puede superar el Total Procesados. </v>
      </c>
      <c r="CF113" s="1865" t="str">
        <f>IF(E113&lt;F113,CONCATENATE("* El total de Procesados debe ser mayor o igual al total de Reactivos en el grupo de edad ",$E$11),"")</f>
        <v>* El total de Procesados debe ser mayor o igual al total de Reactivos en el grupo de edad Menos de 6 meses</v>
      </c>
      <c r="CG113" s="1865" t="str">
        <f>IF(G113&lt;H113,CONCATENATE("* El total de Procesados debe ser mayor o igual al total de Reactivos en el grupo de edad ",$G$11),"")</f>
        <v>* El total de Procesados debe ser mayor o igual al total de Reactivos en el grupo de edad 6 - 11 meses</v>
      </c>
      <c r="CH113" s="1865" t="str">
        <f>IF(I113&lt;J113,CONCATENATE("* El total de Procesados debe ser mayor o igual al total de Reactivos en el grupo de edad ",$I$11),"")</f>
        <v>* El total de Procesados debe ser mayor o igual al total de Reactivos en el grupo de edad 12-24 meses</v>
      </c>
      <c r="CI113" s="1865" t="str">
        <f>IF(K113&lt;L113,CONCATENATE("* El total de Procesados debe ser mayor o igual al total de Reactivos en el grupo de edad ",$K$11),"")</f>
        <v>* El total de Procesados debe ser mayor o igual al total de Reactivos en el grupo de edad 3 - 4 años</v>
      </c>
      <c r="CJ113" s="1865" t="str">
        <f>IF(M113&lt;N113,CONCATENATE("* El total de Procesados debe ser mayor o igual al total de Reactivos en el grupo de edad ",$M$11),"")</f>
        <v>* El total de Procesados debe ser mayor o igual al total de Reactivos en el grupo de edad 5 - 9 años</v>
      </c>
      <c r="CK113" s="1865" t="str">
        <f>IF(O113&lt;P113,CONCATENATE("* El total de Procesados debe ser mayor o igual al total de Reactivos en el grupo de edad ",$O$11),"")</f>
        <v>* El total de Procesados debe ser mayor o igual al total de Reactivos en el grupo de edad 10 - 14 años</v>
      </c>
      <c r="CL113" s="1865" t="str">
        <f t="shared" si="295"/>
        <v>* El total de Procesados debe ser mayor o igual al total de Reactivos en el grupo de edad 15 - 19 años</v>
      </c>
      <c r="CM113" s="1865" t="str">
        <f t="shared" si="296"/>
        <v>* El total de Procesados debe ser mayor o igual al total de Reactivos en el grupo de edad 20 - 24 años</v>
      </c>
      <c r="CN113" s="1865" t="str">
        <f t="shared" si="291"/>
        <v>* El total de Procesados debe ser mayor o igual al total de Reactivos en el grupo de edad 25 - 29 años</v>
      </c>
      <c r="CO113" s="1865" t="str">
        <f t="shared" si="297"/>
        <v>* El total de Procesados debe ser mayor o igual al total de Reactivos en el grupo de edad 30 - 34 años</v>
      </c>
      <c r="CP113" s="1865" t="str">
        <f t="shared" si="298"/>
        <v>* El total de Procesados debe ser mayor o igual al total de Reactivos en el grupo de edad 35 - 39 años</v>
      </c>
      <c r="CQ113" s="1865" t="str">
        <f t="shared" si="299"/>
        <v>* El total de Procesados debe ser mayor o igual al total de Reactivos en el grupo de edad 40 - 44 años</v>
      </c>
      <c r="CR113" s="1865" t="str">
        <f t="shared" si="300"/>
        <v>* El total de Procesados debe ser mayor o igual al total de Reactivos en el grupo de edad 45 - 49 años</v>
      </c>
      <c r="CS113" s="1865" t="str">
        <f t="shared" si="301"/>
        <v>* El total de Procesados debe ser mayor o igual al total de Reactivos en el grupo de edad 50 - 54 años</v>
      </c>
      <c r="CT113" s="1865" t="str">
        <f t="shared" si="302"/>
        <v>* El total de Procesados debe ser mayor o igual al total de Reactivos en el grupo de edad 55 - 59 años</v>
      </c>
      <c r="CU113" s="1865" t="str">
        <f t="shared" si="303"/>
        <v>* El total de Procesados debe ser mayor o igual al total de Reactivos en el grupo de edad 60 - 64 años</v>
      </c>
      <c r="CV113" s="1865" t="str">
        <f>IF(AK113&lt;AL113,CONCATENATE("* El total de Procesados debe ser mayor o igual al total de Reactivos en el grupo de edad ",$AK$11),"")</f>
        <v>* El total de Procesados debe ser mayor o igual al total de Reactivos en el grupo de edad 65 - 69 años</v>
      </c>
      <c r="CW113" s="1865" t="str">
        <f>IF(AM113&lt;AN113,CONCATENATE("* El total de Procesados debe ser mayor o igual al total de Reactivos en el grupo de edad ",$AM$11),"")</f>
        <v>* El total de Procesados debe ser mayor o igual al total de Reactivos en el grupo de edad 70 - 74 años</v>
      </c>
      <c r="CX113" s="1865" t="str">
        <f>IF(AO113&lt;AP113,CONCATENATE("* El total de Procesados debe ser mayor o igual al total de Reactivos en el grupo de edad ",$AO$11),"")</f>
        <v>* El total de Procesados debe ser mayor o igual al total de Reactivos en el grupo de edad 75 - 79 años</v>
      </c>
      <c r="CY113" s="1865" t="str">
        <f>IF(AQ113&lt;AR113,CONCATENATE("* El total de Procesados debe ser mayor o igual al total de Reactivos en el grupo de edad ",$AQ$11),"")</f>
        <v>* El total de Procesados debe ser mayor o igual al total de Reactivos en el grupo de edad 80 y más años</v>
      </c>
      <c r="DF113" s="1936"/>
      <c r="DG113" s="3922" t="e">
        <f t="shared" si="294"/>
        <v>#VALUE!</v>
      </c>
      <c r="DH113" s="3906" t="e">
        <f t="shared" si="274"/>
        <v>#VALUE!</v>
      </c>
      <c r="DI113" s="3906">
        <f t="shared" si="275"/>
        <v>1</v>
      </c>
      <c r="DJ113" s="3906">
        <f t="shared" si="276"/>
        <v>1</v>
      </c>
      <c r="DK113" s="3906">
        <f>IF(E113&lt;F113,1,0)</f>
        <v>1</v>
      </c>
      <c r="DL113" s="3906">
        <f>IF(G113&lt;H113,1,0)</f>
        <v>1</v>
      </c>
      <c r="DM113" s="3906">
        <f>IF(I113&lt;J113,1,0)</f>
        <v>1</v>
      </c>
      <c r="DN113" s="3906">
        <f>IF(K113&lt;L113,1,0)</f>
        <v>1</v>
      </c>
      <c r="DO113" s="3906">
        <f>IF(M113&lt;N113,1,0)</f>
        <v>1</v>
      </c>
      <c r="DP113" s="3906">
        <f>IF(O113&lt;P113,1,0)</f>
        <v>1</v>
      </c>
      <c r="DQ113" s="3906">
        <f t="shared" si="304"/>
        <v>1</v>
      </c>
      <c r="DR113" s="3906">
        <f t="shared" si="305"/>
        <v>1</v>
      </c>
      <c r="DS113" s="3906">
        <f t="shared" si="292"/>
        <v>1</v>
      </c>
      <c r="DT113" s="3906">
        <f t="shared" si="306"/>
        <v>1</v>
      </c>
      <c r="DU113" s="3906">
        <f t="shared" si="307"/>
        <v>1</v>
      </c>
      <c r="DV113" s="3906">
        <f t="shared" si="308"/>
        <v>1</v>
      </c>
      <c r="DW113" s="3906">
        <f t="shared" si="283"/>
        <v>1</v>
      </c>
      <c r="DX113" s="3906">
        <f t="shared" si="309"/>
        <v>1</v>
      </c>
      <c r="DY113" s="3906">
        <f t="shared" si="310"/>
        <v>1</v>
      </c>
      <c r="DZ113" s="3906">
        <f t="shared" si="311"/>
        <v>1</v>
      </c>
      <c r="EA113" s="3906">
        <f>IF(AK113&lt;AL113,1,0)</f>
        <v>1</v>
      </c>
      <c r="EB113" s="3906">
        <f>IF(AM113&lt;AN113,1,0)</f>
        <v>1</v>
      </c>
      <c r="EC113" s="3906">
        <f>IF(AO113&lt;AP113,1,0)</f>
        <v>1</v>
      </c>
      <c r="ED113" s="3906">
        <f>IF(AQ113&lt;AR113,1,0)</f>
        <v>1</v>
      </c>
    </row>
    <row r="114" spans="1:134" x14ac:dyDescent="0.25">
      <c r="A114" s="5601">
        <v>11056449</v>
      </c>
      <c r="B114" s="3907" t="s">
        <v>1879</v>
      </c>
      <c r="C114" s="3908" t="s">
        <v>4567</v>
      </c>
      <c r="D114" s="344" t="s">
        <v>4568</v>
      </c>
      <c r="E114" s="3918" t="s">
        <v>4569</v>
      </c>
      <c r="F114" s="3910" t="s">
        <v>4570</v>
      </c>
      <c r="G114" s="3909" t="s">
        <v>4571</v>
      </c>
      <c r="H114" s="3910" t="s">
        <v>4572</v>
      </c>
      <c r="I114" s="3909" t="s">
        <v>4573</v>
      </c>
      <c r="J114" s="3910" t="s">
        <v>4574</v>
      </c>
      <c r="K114" s="3909" t="s">
        <v>4575</v>
      </c>
      <c r="L114" s="3910" t="s">
        <v>4576</v>
      </c>
      <c r="M114" s="3909" t="s">
        <v>4577</v>
      </c>
      <c r="N114" s="3911" t="s">
        <v>4578</v>
      </c>
      <c r="O114" s="3918" t="s">
        <v>4579</v>
      </c>
      <c r="P114" s="3910" t="s">
        <v>4580</v>
      </c>
      <c r="Q114" s="3913" t="s">
        <v>4581</v>
      </c>
      <c r="R114" s="3912" t="s">
        <v>4582</v>
      </c>
      <c r="S114" s="3913" t="s">
        <v>4583</v>
      </c>
      <c r="T114" s="3912" t="s">
        <v>4584</v>
      </c>
      <c r="U114" s="3913" t="s">
        <v>4585</v>
      </c>
      <c r="V114" s="3912" t="s">
        <v>4586</v>
      </c>
      <c r="W114" s="3913" t="s">
        <v>4587</v>
      </c>
      <c r="X114" s="3912" t="s">
        <v>4588</v>
      </c>
      <c r="Y114" s="3913" t="s">
        <v>4589</v>
      </c>
      <c r="Z114" s="3912" t="s">
        <v>4590</v>
      </c>
      <c r="AA114" s="3913" t="s">
        <v>4591</v>
      </c>
      <c r="AB114" s="3912" t="s">
        <v>4592</v>
      </c>
      <c r="AC114" s="3913" t="s">
        <v>4593</v>
      </c>
      <c r="AD114" s="3912" t="s">
        <v>4594</v>
      </c>
      <c r="AE114" s="3913" t="s">
        <v>4595</v>
      </c>
      <c r="AF114" s="3912" t="s">
        <v>4596</v>
      </c>
      <c r="AG114" s="3913" t="s">
        <v>4597</v>
      </c>
      <c r="AH114" s="3912" t="s">
        <v>4598</v>
      </c>
      <c r="AI114" s="3913" t="s">
        <v>4599</v>
      </c>
      <c r="AJ114" s="3912" t="s">
        <v>4600</v>
      </c>
      <c r="AK114" s="3913" t="s">
        <v>4601</v>
      </c>
      <c r="AL114" s="3912" t="s">
        <v>4602</v>
      </c>
      <c r="AM114" s="3913" t="s">
        <v>4603</v>
      </c>
      <c r="AN114" s="3912" t="s">
        <v>4604</v>
      </c>
      <c r="AO114" s="3913" t="s">
        <v>4605</v>
      </c>
      <c r="AP114" s="3912" t="s">
        <v>4606</v>
      </c>
      <c r="AQ114" s="3913" t="s">
        <v>4934</v>
      </c>
      <c r="AR114" s="3902" t="s">
        <v>4935</v>
      </c>
      <c r="AS114" s="3904" t="s">
        <v>4936</v>
      </c>
      <c r="AT114" s="3902" t="s">
        <v>4937</v>
      </c>
      <c r="AU114" s="3903" t="s">
        <v>5234</v>
      </c>
      <c r="AV114" s="3902" t="s">
        <v>5235</v>
      </c>
      <c r="AW114" s="3904" t="s">
        <v>5236</v>
      </c>
      <c r="AX114" s="3905" t="s">
        <v>5237</v>
      </c>
      <c r="AY114" s="1864" t="e">
        <f>$CB114&amp;CC114&amp;CD114&amp;$CE114&amp;CK114&amp;CL114&amp;CM114&amp;CN114&amp;CO114&amp;CP114&amp;CQ114&amp;CR114&amp;CS114&amp;CT114&amp;CU114&amp;CV114&amp;CW114&amp;CX114&amp;CY114</f>
        <v>#VALUE!</v>
      </c>
      <c r="CB114" s="1865" t="e">
        <f t="shared" si="293"/>
        <v>#VALUE!</v>
      </c>
      <c r="CC114" s="1865" t="e">
        <f t="shared" si="257"/>
        <v>#VALUE!</v>
      </c>
      <c r="CD114" s="1865" t="str">
        <f t="shared" si="258"/>
        <v xml:space="preserve"> *El Número de Pueblos Originarios no puede superar el Total Procesados. </v>
      </c>
      <c r="CE114" s="1865" t="str">
        <f t="shared" si="259"/>
        <v xml:space="preserve"> *El Número de Migrantes no puede superar el Total Procesados. </v>
      </c>
      <c r="CF114" s="3917"/>
      <c r="CG114" s="3917"/>
      <c r="CH114" s="1868"/>
      <c r="CI114" s="1868"/>
      <c r="CJ114" s="1868"/>
      <c r="CK114" s="3917"/>
      <c r="CL114" s="1865" t="str">
        <f t="shared" si="295"/>
        <v>* El total de Procesados debe ser mayor o igual al total de Reactivos en el grupo de edad 15 - 19 años</v>
      </c>
      <c r="CM114" s="1865" t="str">
        <f t="shared" si="296"/>
        <v>* El total de Procesados debe ser mayor o igual al total de Reactivos en el grupo de edad 20 - 24 años</v>
      </c>
      <c r="CN114" s="1865" t="str">
        <f t="shared" si="291"/>
        <v>* El total de Procesados debe ser mayor o igual al total de Reactivos en el grupo de edad 25 - 29 años</v>
      </c>
      <c r="CO114" s="1865" t="str">
        <f t="shared" si="297"/>
        <v>* El total de Procesados debe ser mayor o igual al total de Reactivos en el grupo de edad 30 - 34 años</v>
      </c>
      <c r="CP114" s="1865" t="str">
        <f t="shared" si="298"/>
        <v>* El total de Procesados debe ser mayor o igual al total de Reactivos en el grupo de edad 35 - 39 años</v>
      </c>
      <c r="CQ114" s="1865" t="str">
        <f t="shared" si="299"/>
        <v>* El total de Procesados debe ser mayor o igual al total de Reactivos en el grupo de edad 40 - 44 años</v>
      </c>
      <c r="CR114" s="1865" t="str">
        <f t="shared" si="300"/>
        <v>* El total de Procesados debe ser mayor o igual al total de Reactivos en el grupo de edad 45 - 49 años</v>
      </c>
      <c r="CS114" s="1865" t="str">
        <f t="shared" si="301"/>
        <v>* El total de Procesados debe ser mayor o igual al total de Reactivos en el grupo de edad 50 - 54 años</v>
      </c>
      <c r="CT114" s="1865" t="str">
        <f t="shared" si="302"/>
        <v>* El total de Procesados debe ser mayor o igual al total de Reactivos en el grupo de edad 55 - 59 años</v>
      </c>
      <c r="CU114" s="1865" t="str">
        <f t="shared" si="303"/>
        <v>* El total de Procesados debe ser mayor o igual al total de Reactivos en el grupo de edad 60 - 64 años</v>
      </c>
      <c r="CV114" s="1865" t="str">
        <f>IF(AK114&lt;AL114,CONCATENATE("* El total de Procesados debe ser mayor o igual al total de Reactivos en el grupo de edad ",$AK$11),"")</f>
        <v>* El total de Procesados debe ser mayor o igual al total de Reactivos en el grupo de edad 65 - 69 años</v>
      </c>
      <c r="CW114" s="1865" t="str">
        <f>IF(AM114&lt;AN114,CONCATENATE("* El total de Procesados debe ser mayor o igual al total de Reactivos en el grupo de edad ",$AM$11),"")</f>
        <v>* El total de Procesados debe ser mayor o igual al total de Reactivos en el grupo de edad 70 - 74 años</v>
      </c>
      <c r="CX114" s="1865" t="str">
        <f>IF(AO114&lt;AP114,CONCATENATE("* El total de Procesados debe ser mayor o igual al total de Reactivos en el grupo de edad ",$AO$11),"")</f>
        <v>* El total de Procesados debe ser mayor o igual al total de Reactivos en el grupo de edad 75 - 79 años</v>
      </c>
      <c r="CY114" s="1865" t="str">
        <f>IF(AQ114&lt;AR114,CONCATENATE("* El total de Procesados debe ser mayor o igual al total de Reactivos en el grupo de edad ",$AQ$11),"")</f>
        <v>* El total de Procesados debe ser mayor o igual al total de Reactivos en el grupo de edad 80 y más años</v>
      </c>
      <c r="DF114" s="1936"/>
      <c r="DG114" s="3922" t="e">
        <f t="shared" si="294"/>
        <v>#VALUE!</v>
      </c>
      <c r="DH114" s="3906" t="e">
        <f t="shared" si="274"/>
        <v>#VALUE!</v>
      </c>
      <c r="DI114" s="3906">
        <f t="shared" si="275"/>
        <v>1</v>
      </c>
      <c r="DJ114" s="3906">
        <f t="shared" si="276"/>
        <v>1</v>
      </c>
      <c r="DK114" s="1868"/>
      <c r="DL114" s="1868"/>
      <c r="DM114" s="1868"/>
      <c r="DN114" s="1868"/>
      <c r="DO114" s="1868"/>
      <c r="DP114" s="1866"/>
      <c r="DQ114" s="3906">
        <f t="shared" si="304"/>
        <v>1</v>
      </c>
      <c r="DR114" s="3906">
        <f t="shared" si="305"/>
        <v>1</v>
      </c>
      <c r="DS114" s="3906">
        <f t="shared" si="292"/>
        <v>1</v>
      </c>
      <c r="DT114" s="3906">
        <f t="shared" si="306"/>
        <v>1</v>
      </c>
      <c r="DU114" s="3906">
        <f t="shared" si="307"/>
        <v>1</v>
      </c>
      <c r="DV114" s="3906">
        <f t="shared" si="308"/>
        <v>1</v>
      </c>
      <c r="DW114" s="3906">
        <f t="shared" si="283"/>
        <v>1</v>
      </c>
      <c r="DX114" s="3906">
        <f t="shared" si="309"/>
        <v>1</v>
      </c>
      <c r="DY114" s="3906">
        <f t="shared" si="310"/>
        <v>1</v>
      </c>
      <c r="DZ114" s="3906">
        <f t="shared" si="311"/>
        <v>1</v>
      </c>
      <c r="EA114" s="3906">
        <f>IF(AK114&lt;AL114,1,0)</f>
        <v>1</v>
      </c>
      <c r="EB114" s="3906">
        <f>IF(AM114&lt;AN114,1,0)</f>
        <v>1</v>
      </c>
      <c r="EC114" s="3906">
        <f>IF(AO114&lt;AP114,1,0)</f>
        <v>1</v>
      </c>
      <c r="ED114" s="3906">
        <f>IF(AQ114&lt;AR114,1,0)</f>
        <v>1</v>
      </c>
    </row>
    <row r="115" spans="1:134" x14ac:dyDescent="0.25">
      <c r="A115" s="5601">
        <v>11056450</v>
      </c>
      <c r="B115" s="3923" t="s">
        <v>1880</v>
      </c>
      <c r="C115" s="3908" t="s">
        <v>4567</v>
      </c>
      <c r="D115" s="344" t="s">
        <v>4568</v>
      </c>
      <c r="E115" s="3918" t="s">
        <v>4569</v>
      </c>
      <c r="F115" s="3910" t="s">
        <v>4570</v>
      </c>
      <c r="G115" s="3909" t="s">
        <v>4571</v>
      </c>
      <c r="H115" s="3910" t="s">
        <v>4572</v>
      </c>
      <c r="I115" s="3909" t="s">
        <v>4573</v>
      </c>
      <c r="J115" s="3910" t="s">
        <v>4574</v>
      </c>
      <c r="K115" s="3909" t="s">
        <v>4575</v>
      </c>
      <c r="L115" s="3910" t="s">
        <v>4576</v>
      </c>
      <c r="M115" s="3909" t="s">
        <v>4577</v>
      </c>
      <c r="N115" s="3911" t="s">
        <v>4578</v>
      </c>
      <c r="O115" s="3918" t="s">
        <v>4579</v>
      </c>
      <c r="P115" s="3910" t="s">
        <v>4580</v>
      </c>
      <c r="Q115" s="3913" t="s">
        <v>4581</v>
      </c>
      <c r="R115" s="3912" t="s">
        <v>4582</v>
      </c>
      <c r="S115" s="3913" t="s">
        <v>4583</v>
      </c>
      <c r="T115" s="3912" t="s">
        <v>4584</v>
      </c>
      <c r="U115" s="3913" t="s">
        <v>4585</v>
      </c>
      <c r="V115" s="3912" t="s">
        <v>4586</v>
      </c>
      <c r="W115" s="3913" t="s">
        <v>4587</v>
      </c>
      <c r="X115" s="3912" t="s">
        <v>4588</v>
      </c>
      <c r="Y115" s="3913" t="s">
        <v>4589</v>
      </c>
      <c r="Z115" s="3912" t="s">
        <v>4590</v>
      </c>
      <c r="AA115" s="3913" t="s">
        <v>4591</v>
      </c>
      <c r="AB115" s="3912" t="s">
        <v>4592</v>
      </c>
      <c r="AC115" s="3913" t="s">
        <v>4593</v>
      </c>
      <c r="AD115" s="3912" t="s">
        <v>4594</v>
      </c>
      <c r="AE115" s="3913" t="s">
        <v>4595</v>
      </c>
      <c r="AF115" s="3912" t="s">
        <v>4596</v>
      </c>
      <c r="AG115" s="3913" t="s">
        <v>4597</v>
      </c>
      <c r="AH115" s="3912" t="s">
        <v>4598</v>
      </c>
      <c r="AI115" s="3913" t="s">
        <v>4599</v>
      </c>
      <c r="AJ115" s="3912" t="s">
        <v>4600</v>
      </c>
      <c r="AK115" s="3909" t="s">
        <v>4601</v>
      </c>
      <c r="AL115" s="3910" t="s">
        <v>4602</v>
      </c>
      <c r="AM115" s="3909" t="s">
        <v>4603</v>
      </c>
      <c r="AN115" s="3910" t="s">
        <v>4604</v>
      </c>
      <c r="AO115" s="3909" t="s">
        <v>4605</v>
      </c>
      <c r="AP115" s="3910" t="s">
        <v>4606</v>
      </c>
      <c r="AQ115" s="3909" t="s">
        <v>4934</v>
      </c>
      <c r="AR115" s="3920" t="s">
        <v>4935</v>
      </c>
      <c r="AS115" s="3904" t="s">
        <v>4936</v>
      </c>
      <c r="AT115" s="3902" t="s">
        <v>4937</v>
      </c>
      <c r="AU115" s="3903" t="s">
        <v>5234</v>
      </c>
      <c r="AV115" s="3902" t="s">
        <v>5235</v>
      </c>
      <c r="AW115" s="3904" t="s">
        <v>5236</v>
      </c>
      <c r="AX115" s="3905" t="s">
        <v>5237</v>
      </c>
      <c r="AY115" s="1864" t="e">
        <f>$CB115&amp;CC115&amp;CD115&amp;$CE115&amp;CL115&amp;CM115&amp;CN115&amp;CO115&amp;CP115&amp;CQ115&amp;CR115&amp;CS115&amp;CT115&amp;CU115</f>
        <v>#VALUE!</v>
      </c>
      <c r="CB115" s="1865" t="e">
        <f t="shared" si="293"/>
        <v>#VALUE!</v>
      </c>
      <c r="CC115" s="1865" t="e">
        <f t="shared" si="257"/>
        <v>#VALUE!</v>
      </c>
      <c r="CD115" s="1865" t="str">
        <f t="shared" si="258"/>
        <v xml:space="preserve"> *El Número de Pueblos Originarios no puede superar el Total Procesados. </v>
      </c>
      <c r="CE115" s="1865" t="str">
        <f t="shared" si="259"/>
        <v xml:space="preserve"> *El Número de Migrantes no puede superar el Total Procesados. </v>
      </c>
      <c r="CF115" s="3917"/>
      <c r="CG115" s="3917"/>
      <c r="CH115" s="1868"/>
      <c r="CI115" s="1868"/>
      <c r="CJ115" s="1868"/>
      <c r="CK115" s="3917"/>
      <c r="CL115" s="1865" t="str">
        <f t="shared" si="295"/>
        <v>* El total de Procesados debe ser mayor o igual al total de Reactivos en el grupo de edad 15 - 19 años</v>
      </c>
      <c r="CM115" s="1865" t="str">
        <f t="shared" si="296"/>
        <v>* El total de Procesados debe ser mayor o igual al total de Reactivos en el grupo de edad 20 - 24 años</v>
      </c>
      <c r="CN115" s="1865" t="str">
        <f t="shared" si="291"/>
        <v>* El total de Procesados debe ser mayor o igual al total de Reactivos en el grupo de edad 25 - 29 años</v>
      </c>
      <c r="CO115" s="1865" t="str">
        <f t="shared" si="297"/>
        <v>* El total de Procesados debe ser mayor o igual al total de Reactivos en el grupo de edad 30 - 34 años</v>
      </c>
      <c r="CP115" s="1865" t="str">
        <f t="shared" si="298"/>
        <v>* El total de Procesados debe ser mayor o igual al total de Reactivos en el grupo de edad 35 - 39 años</v>
      </c>
      <c r="CQ115" s="1865" t="str">
        <f t="shared" si="299"/>
        <v>* El total de Procesados debe ser mayor o igual al total de Reactivos en el grupo de edad 40 - 44 años</v>
      </c>
      <c r="CR115" s="1865" t="str">
        <f t="shared" si="300"/>
        <v>* El total de Procesados debe ser mayor o igual al total de Reactivos en el grupo de edad 45 - 49 años</v>
      </c>
      <c r="CS115" s="1865" t="str">
        <f t="shared" si="301"/>
        <v>* El total de Procesados debe ser mayor o igual al total de Reactivos en el grupo de edad 50 - 54 años</v>
      </c>
      <c r="CT115" s="1865" t="str">
        <f t="shared" si="302"/>
        <v>* El total de Procesados debe ser mayor o igual al total de Reactivos en el grupo de edad 55 - 59 años</v>
      </c>
      <c r="CU115" s="1865" t="str">
        <f t="shared" si="303"/>
        <v>* El total de Procesados debe ser mayor o igual al total de Reactivos en el grupo de edad 60 - 64 años</v>
      </c>
      <c r="CV115" s="1866"/>
      <c r="CW115" s="1866"/>
      <c r="CX115" s="1866"/>
      <c r="CY115" s="1866"/>
      <c r="DF115" s="1936"/>
      <c r="DG115" s="3922" t="e">
        <f t="shared" si="294"/>
        <v>#VALUE!</v>
      </c>
      <c r="DH115" s="3906" t="e">
        <f t="shared" si="274"/>
        <v>#VALUE!</v>
      </c>
      <c r="DI115" s="3906">
        <f t="shared" si="275"/>
        <v>1</v>
      </c>
      <c r="DJ115" s="3906">
        <f t="shared" si="276"/>
        <v>1</v>
      </c>
      <c r="DK115" s="1868"/>
      <c r="DL115" s="1868"/>
      <c r="DM115" s="1868"/>
      <c r="DN115" s="1868"/>
      <c r="DO115" s="1868"/>
      <c r="DP115" s="1866"/>
      <c r="DQ115" s="3906">
        <f t="shared" si="304"/>
        <v>1</v>
      </c>
      <c r="DR115" s="3906">
        <f t="shared" si="305"/>
        <v>1</v>
      </c>
      <c r="DS115" s="3906">
        <f t="shared" si="292"/>
        <v>1</v>
      </c>
      <c r="DT115" s="3906">
        <f t="shared" si="306"/>
        <v>1</v>
      </c>
      <c r="DU115" s="3906">
        <f t="shared" si="307"/>
        <v>1</v>
      </c>
      <c r="DV115" s="3906">
        <f t="shared" si="308"/>
        <v>1</v>
      </c>
      <c r="DW115" s="3906">
        <f t="shared" si="283"/>
        <v>1</v>
      </c>
      <c r="DX115" s="3906">
        <f t="shared" si="309"/>
        <v>1</v>
      </c>
      <c r="DY115" s="3906">
        <f t="shared" si="310"/>
        <v>1</v>
      </c>
      <c r="DZ115" s="3906">
        <f t="shared" si="311"/>
        <v>1</v>
      </c>
      <c r="EA115" s="1866"/>
      <c r="EB115" s="1866"/>
      <c r="EC115" s="1866"/>
      <c r="ED115" s="1866"/>
    </row>
    <row r="116" spans="1:134" x14ac:dyDescent="0.25">
      <c r="A116" s="5601">
        <v>11056451</v>
      </c>
      <c r="B116" s="3923" t="s">
        <v>1881</v>
      </c>
      <c r="C116" s="3908" t="s">
        <v>4567</v>
      </c>
      <c r="D116" s="344" t="s">
        <v>4568</v>
      </c>
      <c r="E116" s="3904" t="s">
        <v>4569</v>
      </c>
      <c r="F116" s="3912" t="s">
        <v>4570</v>
      </c>
      <c r="G116" s="3913" t="s">
        <v>4571</v>
      </c>
      <c r="H116" s="3912" t="s">
        <v>4572</v>
      </c>
      <c r="I116" s="3913" t="s">
        <v>4573</v>
      </c>
      <c r="J116" s="3905" t="s">
        <v>4574</v>
      </c>
      <c r="K116" s="3904" t="s">
        <v>4575</v>
      </c>
      <c r="L116" s="3904" t="s">
        <v>4576</v>
      </c>
      <c r="M116" s="3913" t="s">
        <v>4577</v>
      </c>
      <c r="N116" s="3905" t="s">
        <v>4578</v>
      </c>
      <c r="O116" s="3904" t="s">
        <v>4579</v>
      </c>
      <c r="P116" s="3912" t="s">
        <v>4580</v>
      </c>
      <c r="Q116" s="3913" t="s">
        <v>4581</v>
      </c>
      <c r="R116" s="3912" t="s">
        <v>4582</v>
      </c>
      <c r="S116" s="3913" t="s">
        <v>4583</v>
      </c>
      <c r="T116" s="3912" t="s">
        <v>4584</v>
      </c>
      <c r="U116" s="3913" t="s">
        <v>4585</v>
      </c>
      <c r="V116" s="3912" t="s">
        <v>4586</v>
      </c>
      <c r="W116" s="3913" t="s">
        <v>4587</v>
      </c>
      <c r="X116" s="3912" t="s">
        <v>4588</v>
      </c>
      <c r="Y116" s="3913" t="s">
        <v>4589</v>
      </c>
      <c r="Z116" s="3912" t="s">
        <v>4590</v>
      </c>
      <c r="AA116" s="3913" t="s">
        <v>4591</v>
      </c>
      <c r="AB116" s="3912" t="s">
        <v>4592</v>
      </c>
      <c r="AC116" s="3913" t="s">
        <v>4593</v>
      </c>
      <c r="AD116" s="3912" t="s">
        <v>4594</v>
      </c>
      <c r="AE116" s="3913" t="s">
        <v>4595</v>
      </c>
      <c r="AF116" s="3912" t="s">
        <v>4596</v>
      </c>
      <c r="AG116" s="3913" t="s">
        <v>4597</v>
      </c>
      <c r="AH116" s="3912" t="s">
        <v>4598</v>
      </c>
      <c r="AI116" s="3913" t="s">
        <v>4599</v>
      </c>
      <c r="AJ116" s="3912" t="s">
        <v>4600</v>
      </c>
      <c r="AK116" s="3913" t="s">
        <v>4601</v>
      </c>
      <c r="AL116" s="3912" t="s">
        <v>4602</v>
      </c>
      <c r="AM116" s="3913" t="s">
        <v>4603</v>
      </c>
      <c r="AN116" s="3912" t="s">
        <v>4604</v>
      </c>
      <c r="AO116" s="3913" t="s">
        <v>4605</v>
      </c>
      <c r="AP116" s="3912" t="s">
        <v>4606</v>
      </c>
      <c r="AQ116" s="3913" t="s">
        <v>4934</v>
      </c>
      <c r="AR116" s="3902" t="s">
        <v>4935</v>
      </c>
      <c r="AS116" s="3904" t="s">
        <v>4936</v>
      </c>
      <c r="AT116" s="3902" t="s">
        <v>4937</v>
      </c>
      <c r="AU116" s="3903" t="s">
        <v>5234</v>
      </c>
      <c r="AV116" s="3902" t="s">
        <v>5235</v>
      </c>
      <c r="AW116" s="3904" t="s">
        <v>5236</v>
      </c>
      <c r="AX116" s="3905" t="s">
        <v>5237</v>
      </c>
      <c r="AY116" s="1864" t="e">
        <f>$CB116&amp;CC116&amp;CD116&amp;$CE116&amp;CK116&amp;CL116&amp;CM116&amp;CN116&amp;CO116&amp;CP116&amp;CQ116&amp;CR116&amp;CS116&amp;CT116&amp;CU116&amp;CV116&amp;CW116&amp;CX116&amp;CY116&amp;CF116&amp;CG116&amp;CH116&amp;CI116&amp;CJ116</f>
        <v>#VALUE!</v>
      </c>
      <c r="CB116" s="1865" t="e">
        <f t="shared" si="293"/>
        <v>#VALUE!</v>
      </c>
      <c r="CC116" s="1865" t="e">
        <f t="shared" si="257"/>
        <v>#VALUE!</v>
      </c>
      <c r="CD116" s="1865" t="str">
        <f t="shared" si="258"/>
        <v xml:space="preserve"> *El Número de Pueblos Originarios no puede superar el Total Procesados. </v>
      </c>
      <c r="CE116" s="1865" t="str">
        <f t="shared" si="259"/>
        <v xml:space="preserve"> *El Número de Migrantes no puede superar el Total Procesados. </v>
      </c>
      <c r="CF116" s="1865" t="str">
        <f>IF(E116&lt;F116,CONCATENATE("* El total de Procesados debe ser mayor o igual al total de Reactivos en el grupo de edad ",$E$11),"")</f>
        <v>* El total de Procesados debe ser mayor o igual al total de Reactivos en el grupo de edad Menos de 6 meses</v>
      </c>
      <c r="CG116" s="1865" t="str">
        <f>IF(G116&lt;H116,CONCATENATE("* El total de Procesados debe ser mayor o igual al total de Reactivos en el grupo de edad ",$G$11),"")</f>
        <v>* El total de Procesados debe ser mayor o igual al total de Reactivos en el grupo de edad 6 - 11 meses</v>
      </c>
      <c r="CH116" s="1865" t="str">
        <f>IF(I116&lt;J116,CONCATENATE("* El total de Procesados debe ser mayor o igual al total de Reactivos en el grupo de edad ",$I$11),"")</f>
        <v>* El total de Procesados debe ser mayor o igual al total de Reactivos en el grupo de edad 12-24 meses</v>
      </c>
      <c r="CI116" s="1865" t="str">
        <f>IF(K116&lt;L116,CONCATENATE("* El total de Procesados debe ser mayor o igual al total de Reactivos en el grupo de edad ",$K$11),"")</f>
        <v>* El total de Procesados debe ser mayor o igual al total de Reactivos en el grupo de edad 3 - 4 años</v>
      </c>
      <c r="CJ116" s="1865" t="str">
        <f>IF(M116&lt;N116,CONCATENATE("* El total de Procesados debe ser mayor o igual al total de Reactivos en el grupo de edad ",$M$11),"")</f>
        <v>* El total de Procesados debe ser mayor o igual al total de Reactivos en el grupo de edad 5 - 9 años</v>
      </c>
      <c r="CK116" s="1865" t="str">
        <f>IF(O116&lt;P116,CONCATENATE("* El total de Procesados debe ser mayor o igual al total de Reactivos en el grupo de edad ",$O$11),"")</f>
        <v>* El total de Procesados debe ser mayor o igual al total de Reactivos en el grupo de edad 10 - 14 años</v>
      </c>
      <c r="CL116" s="1865" t="str">
        <f t="shared" si="295"/>
        <v>* El total de Procesados debe ser mayor o igual al total de Reactivos en el grupo de edad 15 - 19 años</v>
      </c>
      <c r="CM116" s="1865" t="str">
        <f t="shared" si="296"/>
        <v>* El total de Procesados debe ser mayor o igual al total de Reactivos en el grupo de edad 20 - 24 años</v>
      </c>
      <c r="CN116" s="1865" t="str">
        <f t="shared" si="291"/>
        <v>* El total de Procesados debe ser mayor o igual al total de Reactivos en el grupo de edad 25 - 29 años</v>
      </c>
      <c r="CO116" s="1865" t="str">
        <f t="shared" si="297"/>
        <v>* El total de Procesados debe ser mayor o igual al total de Reactivos en el grupo de edad 30 - 34 años</v>
      </c>
      <c r="CP116" s="1865" t="str">
        <f t="shared" si="298"/>
        <v>* El total de Procesados debe ser mayor o igual al total de Reactivos en el grupo de edad 35 - 39 años</v>
      </c>
      <c r="CQ116" s="1865" t="str">
        <f t="shared" si="299"/>
        <v>* El total de Procesados debe ser mayor o igual al total de Reactivos en el grupo de edad 40 - 44 años</v>
      </c>
      <c r="CR116" s="1865" t="str">
        <f t="shared" si="300"/>
        <v>* El total de Procesados debe ser mayor o igual al total de Reactivos en el grupo de edad 45 - 49 años</v>
      </c>
      <c r="CS116" s="1865" t="str">
        <f t="shared" si="301"/>
        <v>* El total de Procesados debe ser mayor o igual al total de Reactivos en el grupo de edad 50 - 54 años</v>
      </c>
      <c r="CT116" s="1865" t="str">
        <f t="shared" si="302"/>
        <v>* El total de Procesados debe ser mayor o igual al total de Reactivos en el grupo de edad 55 - 59 años</v>
      </c>
      <c r="CU116" s="1865" t="str">
        <f t="shared" si="303"/>
        <v>* El total de Procesados debe ser mayor o igual al total de Reactivos en el grupo de edad 60 - 64 años</v>
      </c>
      <c r="CV116" s="1865" t="str">
        <f>IF(AK116&lt;AL116,CONCATENATE("* El total de Procesados debe ser mayor o igual al total de Reactivos en el grupo de edad ",$AK$11),"")</f>
        <v>* El total de Procesados debe ser mayor o igual al total de Reactivos en el grupo de edad 65 - 69 años</v>
      </c>
      <c r="CW116" s="1865" t="str">
        <f>IF(AM116&lt;AN116,CONCATENATE("* El total de Procesados debe ser mayor o igual al total de Reactivos en el grupo de edad ",$AM$11),"")</f>
        <v>* El total de Procesados debe ser mayor o igual al total de Reactivos en el grupo de edad 70 - 74 años</v>
      </c>
      <c r="CX116" s="1865" t="str">
        <f>IF(AO116&lt;AP116,CONCATENATE("* El total de Procesados debe ser mayor o igual al total de Reactivos en el grupo de edad ",$AO$11),"")</f>
        <v>* El total de Procesados debe ser mayor o igual al total de Reactivos en el grupo de edad 75 - 79 años</v>
      </c>
      <c r="CY116" s="1865" t="str">
        <f>IF(AQ116&lt;AR116,CONCATENATE("* El total de Procesados debe ser mayor o igual al total de Reactivos en el grupo de edad ",$AQ$11),"")</f>
        <v>* El total de Procesados debe ser mayor o igual al total de Reactivos en el grupo de edad 80 y más años</v>
      </c>
      <c r="DF116" s="1936"/>
      <c r="DG116" s="3922" t="e">
        <f t="shared" si="294"/>
        <v>#VALUE!</v>
      </c>
      <c r="DH116" s="3906" t="e">
        <f t="shared" si="274"/>
        <v>#VALUE!</v>
      </c>
      <c r="DI116" s="3906">
        <f t="shared" si="275"/>
        <v>1</v>
      </c>
      <c r="DJ116" s="3906">
        <f t="shared" si="276"/>
        <v>1</v>
      </c>
      <c r="DK116" s="3906">
        <f>IF(E116&lt;F116,1,0)</f>
        <v>1</v>
      </c>
      <c r="DL116" s="3906">
        <f>IF(G116&lt;H116,1,0)</f>
        <v>1</v>
      </c>
      <c r="DM116" s="3906">
        <f>IF(I116&lt;J116,1,0)</f>
        <v>1</v>
      </c>
      <c r="DN116" s="3906">
        <f>IF(K116&lt;L116,1,0)</f>
        <v>1</v>
      </c>
      <c r="DO116" s="3906">
        <f>IF(M116&lt;N116,1,0)</f>
        <v>1</v>
      </c>
      <c r="DP116" s="3906">
        <f>IF(O116&lt;P116,1,0)</f>
        <v>1</v>
      </c>
      <c r="DQ116" s="3906">
        <f t="shared" si="304"/>
        <v>1</v>
      </c>
      <c r="DR116" s="3906">
        <f t="shared" si="305"/>
        <v>1</v>
      </c>
      <c r="DS116" s="3906">
        <f t="shared" si="292"/>
        <v>1</v>
      </c>
      <c r="DT116" s="3906">
        <f t="shared" si="306"/>
        <v>1</v>
      </c>
      <c r="DU116" s="3906">
        <f t="shared" si="307"/>
        <v>1</v>
      </c>
      <c r="DV116" s="3906">
        <f t="shared" si="308"/>
        <v>1</v>
      </c>
      <c r="DW116" s="3906">
        <f t="shared" si="283"/>
        <v>1</v>
      </c>
      <c r="DX116" s="3906">
        <f t="shared" si="309"/>
        <v>1</v>
      </c>
      <c r="DY116" s="3906">
        <f t="shared" si="310"/>
        <v>1</v>
      </c>
      <c r="DZ116" s="3906">
        <f t="shared" si="311"/>
        <v>1</v>
      </c>
      <c r="EA116" s="3906">
        <f>IF(AK116&lt;AL116,1,0)</f>
        <v>1</v>
      </c>
      <c r="EB116" s="3906">
        <f>IF(AM116&lt;AN116,1,0)</f>
        <v>1</v>
      </c>
      <c r="EC116" s="3906">
        <f>IF(AO116&lt;AP116,1,0)</f>
        <v>1</v>
      </c>
      <c r="ED116" s="3906">
        <f>IF(AQ116&lt;AR116,1,0)</f>
        <v>1</v>
      </c>
    </row>
    <row r="117" spans="1:134" x14ac:dyDescent="0.25">
      <c r="A117" s="5601">
        <v>11056452</v>
      </c>
      <c r="B117" s="3923" t="s">
        <v>1882</v>
      </c>
      <c r="C117" s="3908" t="s">
        <v>4567</v>
      </c>
      <c r="D117" s="344" t="s">
        <v>4568</v>
      </c>
      <c r="E117" s="3904" t="s">
        <v>4569</v>
      </c>
      <c r="F117" s="3912" t="s">
        <v>4570</v>
      </c>
      <c r="G117" s="3913" t="s">
        <v>4571</v>
      </c>
      <c r="H117" s="3912" t="s">
        <v>4572</v>
      </c>
      <c r="I117" s="3913" t="s">
        <v>4573</v>
      </c>
      <c r="J117" s="3905" t="s">
        <v>4574</v>
      </c>
      <c r="K117" s="3904" t="s">
        <v>4575</v>
      </c>
      <c r="L117" s="3904" t="s">
        <v>4576</v>
      </c>
      <c r="M117" s="3913" t="s">
        <v>4577</v>
      </c>
      <c r="N117" s="3905" t="s">
        <v>4578</v>
      </c>
      <c r="O117" s="3904" t="s">
        <v>4579</v>
      </c>
      <c r="P117" s="3912" t="s">
        <v>4580</v>
      </c>
      <c r="Q117" s="3913" t="s">
        <v>4581</v>
      </c>
      <c r="R117" s="3912" t="s">
        <v>4582</v>
      </c>
      <c r="S117" s="3913" t="s">
        <v>4583</v>
      </c>
      <c r="T117" s="3912" t="s">
        <v>4584</v>
      </c>
      <c r="U117" s="3913" t="s">
        <v>4585</v>
      </c>
      <c r="V117" s="3912" t="s">
        <v>4586</v>
      </c>
      <c r="W117" s="3913" t="s">
        <v>4587</v>
      </c>
      <c r="X117" s="3912" t="s">
        <v>4588</v>
      </c>
      <c r="Y117" s="3913" t="s">
        <v>4589</v>
      </c>
      <c r="Z117" s="3912" t="s">
        <v>4590</v>
      </c>
      <c r="AA117" s="3913" t="s">
        <v>4591</v>
      </c>
      <c r="AB117" s="3912" t="s">
        <v>4592</v>
      </c>
      <c r="AC117" s="3913" t="s">
        <v>4593</v>
      </c>
      <c r="AD117" s="3912" t="s">
        <v>4594</v>
      </c>
      <c r="AE117" s="3913" t="s">
        <v>4595</v>
      </c>
      <c r="AF117" s="3912" t="s">
        <v>4596</v>
      </c>
      <c r="AG117" s="3913" t="s">
        <v>4597</v>
      </c>
      <c r="AH117" s="3912" t="s">
        <v>4598</v>
      </c>
      <c r="AI117" s="3913" t="s">
        <v>4599</v>
      </c>
      <c r="AJ117" s="3912" t="s">
        <v>4600</v>
      </c>
      <c r="AK117" s="3913" t="s">
        <v>4601</v>
      </c>
      <c r="AL117" s="3912" t="s">
        <v>4602</v>
      </c>
      <c r="AM117" s="3913" t="s">
        <v>4603</v>
      </c>
      <c r="AN117" s="3912" t="s">
        <v>4604</v>
      </c>
      <c r="AO117" s="3913" t="s">
        <v>4605</v>
      </c>
      <c r="AP117" s="3912" t="s">
        <v>4606</v>
      </c>
      <c r="AQ117" s="3913" t="s">
        <v>4934</v>
      </c>
      <c r="AR117" s="3902" t="s">
        <v>4935</v>
      </c>
      <c r="AS117" s="3904" t="s">
        <v>4936</v>
      </c>
      <c r="AT117" s="3902" t="s">
        <v>4937</v>
      </c>
      <c r="AU117" s="3903" t="s">
        <v>5234</v>
      </c>
      <c r="AV117" s="3902" t="s">
        <v>5235</v>
      </c>
      <c r="AW117" s="3904" t="s">
        <v>5236</v>
      </c>
      <c r="AX117" s="3905" t="s">
        <v>5237</v>
      </c>
      <c r="AY117" s="1864" t="e">
        <f>$CB117&amp;CC117&amp;CD117&amp;$CE117&amp;CK117&amp;CL117&amp;CM117&amp;CN117&amp;CO117&amp;CP117&amp;CQ117&amp;CR117&amp;CS117&amp;CT117&amp;CU117&amp;CV117&amp;CW117&amp;CX117&amp;CY117&amp;CF117&amp;CG117&amp;CH117&amp;CI117&amp;CJ117</f>
        <v>#VALUE!</v>
      </c>
      <c r="CB117" s="1865" t="e">
        <f t="shared" si="293"/>
        <v>#VALUE!</v>
      </c>
      <c r="CC117" s="1865" t="e">
        <f t="shared" si="257"/>
        <v>#VALUE!</v>
      </c>
      <c r="CD117" s="1865" t="str">
        <f t="shared" si="258"/>
        <v xml:space="preserve"> *El Número de Pueblos Originarios no puede superar el Total Procesados. </v>
      </c>
      <c r="CE117" s="1865" t="str">
        <f t="shared" si="259"/>
        <v xml:space="preserve"> *El Número de Migrantes no puede superar el Total Procesados. </v>
      </c>
      <c r="CF117" s="1865" t="str">
        <f>IF(E117&lt;F117,CONCATENATE("* El total de Procesados debe ser mayor o igual al total de Reactivos en el grupo de edad ",$E$11),"")</f>
        <v>* El total de Procesados debe ser mayor o igual al total de Reactivos en el grupo de edad Menos de 6 meses</v>
      </c>
      <c r="CG117" s="1865" t="str">
        <f>IF(G117&lt;H117,CONCATENATE("* El total de Procesados debe ser mayor o igual al total de Reactivos en el grupo de edad ",$G$11),"")</f>
        <v>* El total de Procesados debe ser mayor o igual al total de Reactivos en el grupo de edad 6 - 11 meses</v>
      </c>
      <c r="CH117" s="1865" t="str">
        <f>IF(I117&lt;J117,CONCATENATE("* El total de Procesados debe ser mayor o igual al total de Reactivos en el grupo de edad ",$I$11),"")</f>
        <v>* El total de Procesados debe ser mayor o igual al total de Reactivos en el grupo de edad 12-24 meses</v>
      </c>
      <c r="CI117" s="1865" t="str">
        <f>IF(K117&lt;L117,CONCATENATE("* El total de Procesados debe ser mayor o igual al total de Reactivos en el grupo de edad ",$K$11),"")</f>
        <v>* El total de Procesados debe ser mayor o igual al total de Reactivos en el grupo de edad 3 - 4 años</v>
      </c>
      <c r="CJ117" s="1865" t="str">
        <f>IF(M117&lt;N117,CONCATENATE("* El total de Procesados debe ser mayor o igual al total de Reactivos en el grupo de edad ",$M$11),"")</f>
        <v>* El total de Procesados debe ser mayor o igual al total de Reactivos en el grupo de edad 5 - 9 años</v>
      </c>
      <c r="CK117" s="1865" t="str">
        <f>IF(O117&lt;P117,CONCATENATE("* El total de Procesados debe ser mayor o igual al total de Reactivos en el grupo de edad ",$O$11),"")</f>
        <v>* El total de Procesados debe ser mayor o igual al total de Reactivos en el grupo de edad 10 - 14 años</v>
      </c>
      <c r="CL117" s="1865" t="str">
        <f t="shared" si="295"/>
        <v>* El total de Procesados debe ser mayor o igual al total de Reactivos en el grupo de edad 15 - 19 años</v>
      </c>
      <c r="CM117" s="1865" t="str">
        <f t="shared" si="296"/>
        <v>* El total de Procesados debe ser mayor o igual al total de Reactivos en el grupo de edad 20 - 24 años</v>
      </c>
      <c r="CN117" s="1865" t="str">
        <f t="shared" si="291"/>
        <v>* El total de Procesados debe ser mayor o igual al total de Reactivos en el grupo de edad 25 - 29 años</v>
      </c>
      <c r="CO117" s="1865" t="str">
        <f t="shared" si="297"/>
        <v>* El total de Procesados debe ser mayor o igual al total de Reactivos en el grupo de edad 30 - 34 años</v>
      </c>
      <c r="CP117" s="1865" t="str">
        <f t="shared" si="298"/>
        <v>* El total de Procesados debe ser mayor o igual al total de Reactivos en el grupo de edad 35 - 39 años</v>
      </c>
      <c r="CQ117" s="1865" t="str">
        <f t="shared" si="299"/>
        <v>* El total de Procesados debe ser mayor o igual al total de Reactivos en el grupo de edad 40 - 44 años</v>
      </c>
      <c r="CR117" s="1865" t="str">
        <f t="shared" si="300"/>
        <v>* El total de Procesados debe ser mayor o igual al total de Reactivos en el grupo de edad 45 - 49 años</v>
      </c>
      <c r="CS117" s="1865" t="str">
        <f t="shared" si="301"/>
        <v>* El total de Procesados debe ser mayor o igual al total de Reactivos en el grupo de edad 50 - 54 años</v>
      </c>
      <c r="CT117" s="1865" t="str">
        <f t="shared" si="302"/>
        <v>* El total de Procesados debe ser mayor o igual al total de Reactivos en el grupo de edad 55 - 59 años</v>
      </c>
      <c r="CU117" s="1865" t="str">
        <f t="shared" si="303"/>
        <v>* El total de Procesados debe ser mayor o igual al total de Reactivos en el grupo de edad 60 - 64 años</v>
      </c>
      <c r="CV117" s="1865" t="str">
        <f>IF(AK117&lt;AL117,CONCATENATE("* El total de Procesados debe ser mayor o igual al total de Reactivos en el grupo de edad ",$AK$11),"")</f>
        <v>* El total de Procesados debe ser mayor o igual al total de Reactivos en el grupo de edad 65 - 69 años</v>
      </c>
      <c r="CW117" s="1865" t="str">
        <f>IF(AM117&lt;AN117,CONCATENATE("* El total de Procesados debe ser mayor o igual al total de Reactivos en el grupo de edad ",$AM$11),"")</f>
        <v>* El total de Procesados debe ser mayor o igual al total de Reactivos en el grupo de edad 70 - 74 años</v>
      </c>
      <c r="CX117" s="1865" t="str">
        <f>IF(AO117&lt;AP117,CONCATENATE("* El total de Procesados debe ser mayor o igual al total de Reactivos en el grupo de edad ",$AO$11),"")</f>
        <v>* El total de Procesados debe ser mayor o igual al total de Reactivos en el grupo de edad 75 - 79 años</v>
      </c>
      <c r="CY117" s="1865" t="str">
        <f>IF(AQ117&lt;AR117,CONCATENATE("* El total de Procesados debe ser mayor o igual al total de Reactivos en el grupo de edad ",$AQ$11),"")</f>
        <v>* El total de Procesados debe ser mayor o igual al total de Reactivos en el grupo de edad 80 y más años</v>
      </c>
      <c r="DF117" s="1936"/>
      <c r="DG117" s="3922" t="e">
        <f t="shared" si="294"/>
        <v>#VALUE!</v>
      </c>
      <c r="DH117" s="3906" t="e">
        <f t="shared" si="274"/>
        <v>#VALUE!</v>
      </c>
      <c r="DI117" s="3906">
        <f t="shared" si="275"/>
        <v>1</v>
      </c>
      <c r="DJ117" s="3906">
        <f t="shared" si="276"/>
        <v>1</v>
      </c>
      <c r="DK117" s="3906">
        <f>IF(E117&lt;F117,1,0)</f>
        <v>1</v>
      </c>
      <c r="DL117" s="3906">
        <f>IF(G117&lt;H117,1,0)</f>
        <v>1</v>
      </c>
      <c r="DM117" s="3906">
        <f>IF(I117&lt;J117,1,0)</f>
        <v>1</v>
      </c>
      <c r="DN117" s="3906">
        <f>IF(K117&lt;L117,1,0)</f>
        <v>1</v>
      </c>
      <c r="DO117" s="3906">
        <f>IF(M117&lt;N117,1,0)</f>
        <v>1</v>
      </c>
      <c r="DP117" s="3906">
        <f>IF(O117&lt;P117,1,0)</f>
        <v>1</v>
      </c>
      <c r="DQ117" s="3906">
        <f t="shared" si="304"/>
        <v>1</v>
      </c>
      <c r="DR117" s="3906">
        <f t="shared" si="305"/>
        <v>1</v>
      </c>
      <c r="DS117" s="3906">
        <f t="shared" si="292"/>
        <v>1</v>
      </c>
      <c r="DT117" s="3906">
        <f t="shared" si="306"/>
        <v>1</v>
      </c>
      <c r="DU117" s="3906">
        <f t="shared" si="307"/>
        <v>1</v>
      </c>
      <c r="DV117" s="3906">
        <f t="shared" si="308"/>
        <v>1</v>
      </c>
      <c r="DW117" s="3906">
        <f t="shared" si="283"/>
        <v>1</v>
      </c>
      <c r="DX117" s="3906">
        <f t="shared" si="309"/>
        <v>1</v>
      </c>
      <c r="DY117" s="3906">
        <f t="shared" si="310"/>
        <v>1</v>
      </c>
      <c r="DZ117" s="3906">
        <f t="shared" si="311"/>
        <v>1</v>
      </c>
      <c r="EA117" s="3906">
        <f>IF(AK117&lt;AL117,1,0)</f>
        <v>1</v>
      </c>
      <c r="EB117" s="3906">
        <f>IF(AM117&lt;AN117,1,0)</f>
        <v>1</v>
      </c>
      <c r="EC117" s="3906">
        <f>IF(AO117&lt;AP117,1,0)</f>
        <v>1</v>
      </c>
      <c r="ED117" s="3906">
        <f>IF(AQ117&lt;AR117,1,0)</f>
        <v>1</v>
      </c>
    </row>
    <row r="118" spans="1:134" x14ac:dyDescent="0.25">
      <c r="A118" s="5609">
        <v>11056453</v>
      </c>
      <c r="B118" s="1002" t="s">
        <v>1883</v>
      </c>
      <c r="C118" s="1058" t="s">
        <v>4567</v>
      </c>
      <c r="D118" s="3346" t="s">
        <v>4568</v>
      </c>
      <c r="E118" s="1877" t="s">
        <v>4569</v>
      </c>
      <c r="F118" s="1873" t="s">
        <v>4570</v>
      </c>
      <c r="G118" s="853" t="s">
        <v>4571</v>
      </c>
      <c r="H118" s="1873" t="s">
        <v>4572</v>
      </c>
      <c r="I118" s="853" t="s">
        <v>4573</v>
      </c>
      <c r="J118" s="1975" t="s">
        <v>4574</v>
      </c>
      <c r="K118" s="1877" t="s">
        <v>4575</v>
      </c>
      <c r="L118" s="1877" t="s">
        <v>4576</v>
      </c>
      <c r="M118" s="853" t="s">
        <v>4577</v>
      </c>
      <c r="N118" s="1975" t="s">
        <v>4578</v>
      </c>
      <c r="O118" s="1877" t="s">
        <v>4579</v>
      </c>
      <c r="P118" s="1873" t="s">
        <v>4580</v>
      </c>
      <c r="Q118" s="853" t="s">
        <v>4581</v>
      </c>
      <c r="R118" s="1873" t="s">
        <v>4582</v>
      </c>
      <c r="S118" s="853" t="s">
        <v>4583</v>
      </c>
      <c r="T118" s="1873" t="s">
        <v>4584</v>
      </c>
      <c r="U118" s="853" t="s">
        <v>4585</v>
      </c>
      <c r="V118" s="1873" t="s">
        <v>4586</v>
      </c>
      <c r="W118" s="853" t="s">
        <v>4587</v>
      </c>
      <c r="X118" s="1873" t="s">
        <v>4588</v>
      </c>
      <c r="Y118" s="853" t="s">
        <v>4589</v>
      </c>
      <c r="Z118" s="1873" t="s">
        <v>4590</v>
      </c>
      <c r="AA118" s="853" t="s">
        <v>4591</v>
      </c>
      <c r="AB118" s="1873" t="s">
        <v>4592</v>
      </c>
      <c r="AC118" s="853" t="s">
        <v>4593</v>
      </c>
      <c r="AD118" s="1873" t="s">
        <v>4594</v>
      </c>
      <c r="AE118" s="853" t="s">
        <v>4595</v>
      </c>
      <c r="AF118" s="1873" t="s">
        <v>4596</v>
      </c>
      <c r="AG118" s="853" t="s">
        <v>4597</v>
      </c>
      <c r="AH118" s="1873" t="s">
        <v>4598</v>
      </c>
      <c r="AI118" s="853" t="s">
        <v>4599</v>
      </c>
      <c r="AJ118" s="1873" t="s">
        <v>4600</v>
      </c>
      <c r="AK118" s="853" t="s">
        <v>4601</v>
      </c>
      <c r="AL118" s="1873" t="s">
        <v>4602</v>
      </c>
      <c r="AM118" s="853" t="s">
        <v>4603</v>
      </c>
      <c r="AN118" s="1873" t="s">
        <v>4604</v>
      </c>
      <c r="AO118" s="853" t="s">
        <v>4605</v>
      </c>
      <c r="AP118" s="1873" t="s">
        <v>4606</v>
      </c>
      <c r="AQ118" s="853" t="s">
        <v>4934</v>
      </c>
      <c r="AR118" s="1919" t="s">
        <v>4935</v>
      </c>
      <c r="AS118" s="1877" t="s">
        <v>4936</v>
      </c>
      <c r="AT118" s="1919" t="s">
        <v>4937</v>
      </c>
      <c r="AU118" s="1879" t="s">
        <v>5234</v>
      </c>
      <c r="AV118" s="1919" t="s">
        <v>5235</v>
      </c>
      <c r="AW118" s="1877" t="s">
        <v>5236</v>
      </c>
      <c r="AX118" s="1975" t="s">
        <v>5237</v>
      </c>
      <c r="AY118" s="1864" t="e">
        <f>$CB118&amp;CC118&amp;CD118&amp;$CE118&amp;CK118&amp;CL118&amp;CM118&amp;CN118&amp;CO118&amp;CP118&amp;CQ118&amp;CR118&amp;CS118&amp;CT118&amp;CU118&amp;CV118&amp;CW118&amp;CX118&amp;CY118&amp;CF118&amp;CG118&amp;CH118&amp;CI118&amp;CJ118</f>
        <v>#VALUE!</v>
      </c>
      <c r="CB118" s="1865" t="e">
        <f t="shared" si="293"/>
        <v>#VALUE!</v>
      </c>
      <c r="CC118" s="1865" t="e">
        <f t="shared" si="257"/>
        <v>#VALUE!</v>
      </c>
      <c r="CD118" s="1865" t="str">
        <f t="shared" si="258"/>
        <v xml:space="preserve"> *El Número de Pueblos Originarios no puede superar el Total Procesados. </v>
      </c>
      <c r="CE118" s="1865" t="str">
        <f t="shared" si="259"/>
        <v xml:space="preserve"> *El Número de Migrantes no puede superar el Total Procesados. </v>
      </c>
      <c r="CF118" s="1865" t="str">
        <f>IF(E118&lt;F118,CONCATENATE("* El total de Procesados debe ser mayor o igual al total de Reactivos en el grupo de edad ",$E$11),"")</f>
        <v>* El total de Procesados debe ser mayor o igual al total de Reactivos en el grupo de edad Menos de 6 meses</v>
      </c>
      <c r="CG118" s="1865" t="str">
        <f>IF(G118&lt;H118,CONCATENATE("* El total de Procesados debe ser mayor o igual al total de Reactivos en el grupo de edad ",$G$11),"")</f>
        <v>* El total de Procesados debe ser mayor o igual al total de Reactivos en el grupo de edad 6 - 11 meses</v>
      </c>
      <c r="CH118" s="1865" t="str">
        <f>IF(I118&lt;J118,CONCATENATE("* El total de Procesados debe ser mayor o igual al total de Reactivos en el grupo de edad ",$I$11),"")</f>
        <v>* El total de Procesados debe ser mayor o igual al total de Reactivos en el grupo de edad 12-24 meses</v>
      </c>
      <c r="CI118" s="1865" t="str">
        <f>IF(K118&lt;L118,CONCATENATE("* El total de Procesados debe ser mayor o igual al total de Reactivos en el grupo de edad ",$K$11),"")</f>
        <v>* El total de Procesados debe ser mayor o igual al total de Reactivos en el grupo de edad 3 - 4 años</v>
      </c>
      <c r="CJ118" s="1865" t="str">
        <f>IF(M118&lt;N118,CONCATENATE("* El total de Procesados debe ser mayor o igual al total de Reactivos en el grupo de edad ",$M$11),"")</f>
        <v>* El total de Procesados debe ser mayor o igual al total de Reactivos en el grupo de edad 5 - 9 años</v>
      </c>
      <c r="CK118" s="1865" t="str">
        <f>IF(O118&lt;P118,CONCATENATE("* El total de Procesados debe ser mayor o igual al total de Reactivos en el grupo de edad ",$O$11),"")</f>
        <v>* El total de Procesados debe ser mayor o igual al total de Reactivos en el grupo de edad 10 - 14 años</v>
      </c>
      <c r="CL118" s="1865" t="str">
        <f t="shared" si="295"/>
        <v>* El total de Procesados debe ser mayor o igual al total de Reactivos en el grupo de edad 15 - 19 años</v>
      </c>
      <c r="CM118" s="1865" t="str">
        <f t="shared" si="296"/>
        <v>* El total de Procesados debe ser mayor o igual al total de Reactivos en el grupo de edad 20 - 24 años</v>
      </c>
      <c r="CN118" s="1865" t="str">
        <f t="shared" si="291"/>
        <v>* El total de Procesados debe ser mayor o igual al total de Reactivos en el grupo de edad 25 - 29 años</v>
      </c>
      <c r="CO118" s="1865" t="str">
        <f t="shared" si="297"/>
        <v>* El total de Procesados debe ser mayor o igual al total de Reactivos en el grupo de edad 30 - 34 años</v>
      </c>
      <c r="CP118" s="1865" t="str">
        <f t="shared" si="298"/>
        <v>* El total de Procesados debe ser mayor o igual al total de Reactivos en el grupo de edad 35 - 39 años</v>
      </c>
      <c r="CQ118" s="1865" t="str">
        <f t="shared" si="299"/>
        <v>* El total de Procesados debe ser mayor o igual al total de Reactivos en el grupo de edad 40 - 44 años</v>
      </c>
      <c r="CR118" s="1865" t="str">
        <f t="shared" si="300"/>
        <v>* El total de Procesados debe ser mayor o igual al total de Reactivos en el grupo de edad 45 - 49 años</v>
      </c>
      <c r="CS118" s="1865" t="str">
        <f t="shared" si="301"/>
        <v>* El total de Procesados debe ser mayor o igual al total de Reactivos en el grupo de edad 50 - 54 años</v>
      </c>
      <c r="CT118" s="1865" t="str">
        <f t="shared" si="302"/>
        <v>* El total de Procesados debe ser mayor o igual al total de Reactivos en el grupo de edad 55 - 59 años</v>
      </c>
      <c r="CU118" s="1865" t="str">
        <f t="shared" si="303"/>
        <v>* El total de Procesados debe ser mayor o igual al total de Reactivos en el grupo de edad 60 - 64 años</v>
      </c>
      <c r="CV118" s="1865" t="str">
        <f>IF(AK118&lt;AL118,CONCATENATE("* El total de Procesados debe ser mayor o igual al total de Reactivos en el grupo de edad ",$AK$11),"")</f>
        <v>* El total de Procesados debe ser mayor o igual al total de Reactivos en el grupo de edad 65 - 69 años</v>
      </c>
      <c r="CW118" s="1865" t="str">
        <f>IF(AM118&lt;AN118,CONCATENATE("* El total de Procesados debe ser mayor o igual al total de Reactivos en el grupo de edad ",$AM$11),"")</f>
        <v>* El total de Procesados debe ser mayor o igual al total de Reactivos en el grupo de edad 70 - 74 años</v>
      </c>
      <c r="CX118" s="1865" t="str">
        <f>IF(AO118&lt;AP118,CONCATENATE("* El total de Procesados debe ser mayor o igual al total de Reactivos en el grupo de edad ",$AO$11),"")</f>
        <v>* El total de Procesados debe ser mayor o igual al total de Reactivos en el grupo de edad 75 - 79 años</v>
      </c>
      <c r="CY118" s="1865" t="str">
        <f>IF(AQ118&lt;AR118,CONCATENATE("* El total de Procesados debe ser mayor o igual al total de Reactivos en el grupo de edad ",$AQ$11),"")</f>
        <v>* El total de Procesados debe ser mayor o igual al total de Reactivos en el grupo de edad 80 y más años</v>
      </c>
      <c r="DF118" s="1936"/>
      <c r="DG118" s="3922" t="e">
        <f t="shared" si="294"/>
        <v>#VALUE!</v>
      </c>
      <c r="DH118" s="3906" t="e">
        <f t="shared" si="274"/>
        <v>#VALUE!</v>
      </c>
      <c r="DI118" s="3906">
        <f t="shared" si="275"/>
        <v>1</v>
      </c>
      <c r="DJ118" s="3906">
        <f t="shared" si="276"/>
        <v>1</v>
      </c>
      <c r="DK118" s="3906">
        <f>IF(E118&lt;F118,1,0)</f>
        <v>1</v>
      </c>
      <c r="DL118" s="3906">
        <f>IF(G118&lt;H118,1,0)</f>
        <v>1</v>
      </c>
      <c r="DM118" s="3906">
        <f>IF(I118&lt;J118,1,0)</f>
        <v>1</v>
      </c>
      <c r="DN118" s="3906">
        <f>IF(K118&lt;L118,1,0)</f>
        <v>1</v>
      </c>
      <c r="DO118" s="3906">
        <f>IF(M118&lt;N118,1,0)</f>
        <v>1</v>
      </c>
      <c r="DP118" s="3906">
        <f>IF(O118&lt;P118,1,0)</f>
        <v>1</v>
      </c>
      <c r="DQ118" s="3906">
        <f t="shared" si="304"/>
        <v>1</v>
      </c>
      <c r="DR118" s="3906">
        <f t="shared" si="305"/>
        <v>1</v>
      </c>
      <c r="DS118" s="3906">
        <f t="shared" si="292"/>
        <v>1</v>
      </c>
      <c r="DT118" s="3906">
        <f t="shared" si="306"/>
        <v>1</v>
      </c>
      <c r="DU118" s="3906">
        <f t="shared" si="307"/>
        <v>1</v>
      </c>
      <c r="DV118" s="3906">
        <f t="shared" si="308"/>
        <v>1</v>
      </c>
      <c r="DW118" s="3906">
        <f t="shared" si="283"/>
        <v>1</v>
      </c>
      <c r="DX118" s="3906">
        <f t="shared" si="309"/>
        <v>1</v>
      </c>
      <c r="DY118" s="3906">
        <f t="shared" si="310"/>
        <v>1</v>
      </c>
      <c r="DZ118" s="3906">
        <f t="shared" si="311"/>
        <v>1</v>
      </c>
      <c r="EA118" s="3906">
        <f>IF(AK118&lt;AL118,1,0)</f>
        <v>1</v>
      </c>
      <c r="EB118" s="3906">
        <f>IF(AM118&lt;AN118,1,0)</f>
        <v>1</v>
      </c>
      <c r="EC118" s="3906">
        <f>IF(AO118&lt;AP118,1,0)</f>
        <v>1</v>
      </c>
      <c r="ED118" s="3906">
        <f>IF(AQ118&lt;AR118,1,0)</f>
        <v>1</v>
      </c>
    </row>
    <row r="119" spans="1:134" ht="18" customHeight="1" x14ac:dyDescent="0.25">
      <c r="A119" s="5797"/>
      <c r="B119" s="3921" t="s">
        <v>1890</v>
      </c>
      <c r="C119" s="3921"/>
      <c r="D119" s="3921"/>
      <c r="E119" s="3921"/>
      <c r="F119" s="3921"/>
      <c r="G119" s="3921"/>
      <c r="H119" s="3921"/>
      <c r="I119" s="3921"/>
      <c r="J119" s="3921"/>
      <c r="K119" s="3921"/>
      <c r="L119" s="3921"/>
      <c r="M119" s="3921"/>
      <c r="N119" s="3921"/>
      <c r="O119" s="3921"/>
      <c r="P119" s="3921"/>
      <c r="Q119" s="3921"/>
      <c r="R119" s="3921"/>
      <c r="S119" s="3921"/>
      <c r="T119" s="3921"/>
      <c r="U119" s="3921"/>
      <c r="V119" s="3921"/>
      <c r="W119" s="3921"/>
      <c r="X119" s="3921"/>
      <c r="Y119" s="3921"/>
      <c r="Z119" s="3921"/>
      <c r="AA119" s="3921"/>
      <c r="AB119" s="3921"/>
      <c r="AC119" s="3921"/>
      <c r="AD119" s="3921"/>
      <c r="AE119" s="3921"/>
      <c r="AF119" s="3921"/>
      <c r="AG119" s="3921"/>
      <c r="AH119" s="3921"/>
      <c r="AI119" s="3921"/>
      <c r="AJ119" s="3921"/>
      <c r="AK119" s="3921"/>
      <c r="AL119" s="3921"/>
      <c r="AM119" s="3921"/>
      <c r="AN119" s="3921"/>
      <c r="AO119" s="3921"/>
      <c r="AP119" s="3921"/>
      <c r="AQ119" s="3921"/>
      <c r="AR119" s="3921"/>
      <c r="AS119" s="1937"/>
      <c r="AT119" s="1937"/>
      <c r="AU119" s="1937"/>
      <c r="AV119" s="1937"/>
      <c r="AW119" s="1937"/>
      <c r="AX119" s="1937"/>
      <c r="AY119" s="1864"/>
    </row>
    <row r="120" spans="1:134" x14ac:dyDescent="0.25">
      <c r="A120" s="5797"/>
      <c r="B120" s="7105" t="s">
        <v>1860</v>
      </c>
      <c r="C120" s="6491" t="s">
        <v>77</v>
      </c>
      <c r="D120" s="6576"/>
      <c r="E120" s="7107" t="s">
        <v>29</v>
      </c>
      <c r="F120" s="7108"/>
      <c r="G120" s="7108"/>
      <c r="H120" s="7108"/>
      <c r="I120" s="7108"/>
      <c r="J120" s="7108"/>
      <c r="K120" s="7108"/>
      <c r="L120" s="7108"/>
      <c r="M120" s="7108"/>
      <c r="N120" s="7108"/>
      <c r="O120" s="7108"/>
      <c r="P120" s="7108"/>
      <c r="Q120" s="7108"/>
      <c r="R120" s="7108"/>
      <c r="S120" s="7108"/>
      <c r="T120" s="7108"/>
      <c r="U120" s="7108"/>
      <c r="V120" s="7108"/>
      <c r="W120" s="7108"/>
      <c r="X120" s="7108"/>
      <c r="Y120" s="7108"/>
      <c r="Z120" s="7108"/>
      <c r="AA120" s="7108"/>
      <c r="AB120" s="7108"/>
      <c r="AC120" s="7108"/>
      <c r="AD120" s="7108"/>
      <c r="AE120" s="7108"/>
      <c r="AF120" s="7108"/>
      <c r="AG120" s="7108"/>
      <c r="AH120" s="7108"/>
      <c r="AI120" s="7108"/>
      <c r="AJ120" s="7108"/>
      <c r="AK120" s="7108"/>
      <c r="AL120" s="7108"/>
      <c r="AM120" s="7108"/>
      <c r="AN120" s="7108"/>
      <c r="AO120" s="7108"/>
      <c r="AP120" s="7108"/>
      <c r="AQ120" s="7108"/>
      <c r="AR120" s="7109"/>
      <c r="AS120" s="7110" t="s">
        <v>1861</v>
      </c>
      <c r="AT120" s="7111"/>
      <c r="AU120" s="7112" t="s">
        <v>457</v>
      </c>
      <c r="AV120" s="7113"/>
      <c r="AW120" s="6492" t="s">
        <v>36</v>
      </c>
      <c r="AX120" s="6511" t="s">
        <v>37</v>
      </c>
    </row>
    <row r="121" spans="1:134" x14ac:dyDescent="0.25">
      <c r="A121" s="5797"/>
      <c r="B121" s="6023"/>
      <c r="C121" s="6749"/>
      <c r="D121" s="6913"/>
      <c r="E121" s="7116" t="s">
        <v>1862</v>
      </c>
      <c r="F121" s="7110"/>
      <c r="G121" s="7116" t="s">
        <v>935</v>
      </c>
      <c r="H121" s="7110"/>
      <c r="I121" s="7116" t="s">
        <v>1863</v>
      </c>
      <c r="J121" s="7117"/>
      <c r="K121" s="7110" t="s">
        <v>937</v>
      </c>
      <c r="L121" s="7110"/>
      <c r="M121" s="7116" t="s">
        <v>326</v>
      </c>
      <c r="N121" s="7110"/>
      <c r="O121" s="7116" t="s">
        <v>94</v>
      </c>
      <c r="P121" s="7110"/>
      <c r="Q121" s="7116" t="s">
        <v>44</v>
      </c>
      <c r="R121" s="7110"/>
      <c r="S121" s="7116" t="s">
        <v>45</v>
      </c>
      <c r="T121" s="7110"/>
      <c r="U121" s="7116" t="s">
        <v>46</v>
      </c>
      <c r="V121" s="7117"/>
      <c r="W121" s="7116" t="s">
        <v>47</v>
      </c>
      <c r="X121" s="7117"/>
      <c r="Y121" s="7116" t="s">
        <v>48</v>
      </c>
      <c r="Z121" s="7117"/>
      <c r="AA121" s="7116" t="s">
        <v>49</v>
      </c>
      <c r="AB121" s="7117"/>
      <c r="AC121" s="7116" t="s">
        <v>50</v>
      </c>
      <c r="AD121" s="7117"/>
      <c r="AE121" s="7116" t="s">
        <v>51</v>
      </c>
      <c r="AF121" s="7117"/>
      <c r="AG121" s="7116" t="s">
        <v>52</v>
      </c>
      <c r="AH121" s="7117"/>
      <c r="AI121" s="7116" t="s">
        <v>53</v>
      </c>
      <c r="AJ121" s="7117"/>
      <c r="AK121" s="7116" t="s">
        <v>54</v>
      </c>
      <c r="AL121" s="7117"/>
      <c r="AM121" s="7116" t="s">
        <v>55</v>
      </c>
      <c r="AN121" s="7117"/>
      <c r="AO121" s="7116" t="s">
        <v>56</v>
      </c>
      <c r="AP121" s="7117"/>
      <c r="AQ121" s="7116" t="s">
        <v>57</v>
      </c>
      <c r="AR121" s="7111"/>
      <c r="AS121" s="6492" t="s">
        <v>58</v>
      </c>
      <c r="AT121" s="7119" t="s">
        <v>59</v>
      </c>
      <c r="AU121" s="7114"/>
      <c r="AV121" s="7115"/>
      <c r="AW121" s="7118"/>
      <c r="AX121" s="6027"/>
    </row>
    <row r="122" spans="1:134" x14ac:dyDescent="0.25">
      <c r="A122" s="5797"/>
      <c r="B122" s="6739"/>
      <c r="C122" s="3897" t="s">
        <v>1864</v>
      </c>
      <c r="D122" s="3896" t="s">
        <v>1865</v>
      </c>
      <c r="E122" s="3894" t="s">
        <v>1864</v>
      </c>
      <c r="F122" s="3895" t="s">
        <v>1865</v>
      </c>
      <c r="G122" s="3894" t="s">
        <v>1864</v>
      </c>
      <c r="H122" s="3895" t="s">
        <v>1865</v>
      </c>
      <c r="I122" s="3894" t="s">
        <v>1864</v>
      </c>
      <c r="J122" s="3896" t="s">
        <v>1865</v>
      </c>
      <c r="K122" s="3897" t="s">
        <v>1864</v>
      </c>
      <c r="L122" s="3895" t="s">
        <v>1865</v>
      </c>
      <c r="M122" s="3894" t="s">
        <v>1864</v>
      </c>
      <c r="N122" s="3895" t="s">
        <v>1865</v>
      </c>
      <c r="O122" s="3894" t="s">
        <v>1864</v>
      </c>
      <c r="P122" s="3895" t="s">
        <v>1865</v>
      </c>
      <c r="Q122" s="3894" t="s">
        <v>1864</v>
      </c>
      <c r="R122" s="3895" t="s">
        <v>1865</v>
      </c>
      <c r="S122" s="3894" t="s">
        <v>1864</v>
      </c>
      <c r="T122" s="3895" t="s">
        <v>1865</v>
      </c>
      <c r="U122" s="3894" t="s">
        <v>1864</v>
      </c>
      <c r="V122" s="3895" t="s">
        <v>1865</v>
      </c>
      <c r="W122" s="3894" t="s">
        <v>1864</v>
      </c>
      <c r="X122" s="3895" t="s">
        <v>1865</v>
      </c>
      <c r="Y122" s="3894" t="s">
        <v>1864</v>
      </c>
      <c r="Z122" s="3895" t="s">
        <v>1865</v>
      </c>
      <c r="AA122" s="3894" t="s">
        <v>1864</v>
      </c>
      <c r="AB122" s="3895" t="s">
        <v>1865</v>
      </c>
      <c r="AC122" s="3894" t="s">
        <v>1864</v>
      </c>
      <c r="AD122" s="3895" t="s">
        <v>1865</v>
      </c>
      <c r="AE122" s="3894" t="s">
        <v>1864</v>
      </c>
      <c r="AF122" s="3895" t="s">
        <v>1865</v>
      </c>
      <c r="AG122" s="3894" t="s">
        <v>1864</v>
      </c>
      <c r="AH122" s="3895" t="s">
        <v>1865</v>
      </c>
      <c r="AI122" s="3894" t="s">
        <v>1864</v>
      </c>
      <c r="AJ122" s="3895" t="s">
        <v>1865</v>
      </c>
      <c r="AK122" s="3894" t="s">
        <v>1864</v>
      </c>
      <c r="AL122" s="3895" t="s">
        <v>1865</v>
      </c>
      <c r="AM122" s="3894" t="s">
        <v>1864</v>
      </c>
      <c r="AN122" s="3895" t="s">
        <v>1865</v>
      </c>
      <c r="AO122" s="3894" t="s">
        <v>1864</v>
      </c>
      <c r="AP122" s="3895" t="s">
        <v>1865</v>
      </c>
      <c r="AQ122" s="3894" t="s">
        <v>1864</v>
      </c>
      <c r="AR122" s="3898" t="s">
        <v>1865</v>
      </c>
      <c r="AS122" s="6894"/>
      <c r="AT122" s="6224"/>
      <c r="AU122" s="1750" t="s">
        <v>462</v>
      </c>
      <c r="AV122" s="1797" t="s">
        <v>463</v>
      </c>
      <c r="AW122" s="6894"/>
      <c r="AX122" s="6955"/>
    </row>
    <row r="123" spans="1:134" x14ac:dyDescent="0.25">
      <c r="A123" s="5601">
        <v>11056454</v>
      </c>
      <c r="B123" s="909" t="s">
        <v>1866</v>
      </c>
      <c r="C123" s="3225" t="s">
        <v>4567</v>
      </c>
      <c r="D123" s="3900" t="s">
        <v>4568</v>
      </c>
      <c r="E123" s="3918" t="s">
        <v>4569</v>
      </c>
      <c r="F123" s="3910" t="s">
        <v>4570</v>
      </c>
      <c r="G123" s="3909" t="s">
        <v>4571</v>
      </c>
      <c r="H123" s="3910" t="s">
        <v>4572</v>
      </c>
      <c r="I123" s="3909" t="s">
        <v>4573</v>
      </c>
      <c r="J123" s="3910" t="s">
        <v>4574</v>
      </c>
      <c r="K123" s="3909" t="s">
        <v>4575</v>
      </c>
      <c r="L123" s="3910" t="s">
        <v>4576</v>
      </c>
      <c r="M123" s="3909" t="s">
        <v>4577</v>
      </c>
      <c r="N123" s="3911" t="s">
        <v>4578</v>
      </c>
      <c r="O123" s="3904" t="s">
        <v>4579</v>
      </c>
      <c r="P123" s="3912" t="s">
        <v>4580</v>
      </c>
      <c r="Q123" s="3913" t="s">
        <v>4581</v>
      </c>
      <c r="R123" s="3912" t="s">
        <v>4582</v>
      </c>
      <c r="S123" s="3913" t="s">
        <v>4583</v>
      </c>
      <c r="T123" s="3912" t="s">
        <v>4584</v>
      </c>
      <c r="U123" s="3913" t="s">
        <v>4585</v>
      </c>
      <c r="V123" s="3912" t="s">
        <v>4586</v>
      </c>
      <c r="W123" s="3913" t="s">
        <v>4587</v>
      </c>
      <c r="X123" s="3912" t="s">
        <v>4588</v>
      </c>
      <c r="Y123" s="3913" t="s">
        <v>4589</v>
      </c>
      <c r="Z123" s="3912" t="s">
        <v>4590</v>
      </c>
      <c r="AA123" s="3913" t="s">
        <v>4591</v>
      </c>
      <c r="AB123" s="3912" t="s">
        <v>4592</v>
      </c>
      <c r="AC123" s="3913" t="s">
        <v>4593</v>
      </c>
      <c r="AD123" s="3912" t="s">
        <v>4594</v>
      </c>
      <c r="AE123" s="3913" t="s">
        <v>4595</v>
      </c>
      <c r="AF123" s="3912" t="s">
        <v>4596</v>
      </c>
      <c r="AG123" s="3913" t="s">
        <v>4597</v>
      </c>
      <c r="AH123" s="3912" t="s">
        <v>4598</v>
      </c>
      <c r="AI123" s="3913" t="s">
        <v>4599</v>
      </c>
      <c r="AJ123" s="3912" t="s">
        <v>4600</v>
      </c>
      <c r="AK123" s="3913" t="s">
        <v>4601</v>
      </c>
      <c r="AL123" s="3912" t="s">
        <v>4602</v>
      </c>
      <c r="AM123" s="3913" t="s">
        <v>4603</v>
      </c>
      <c r="AN123" s="3912" t="s">
        <v>4604</v>
      </c>
      <c r="AO123" s="3913" t="s">
        <v>4605</v>
      </c>
      <c r="AP123" s="3912" t="s">
        <v>4606</v>
      </c>
      <c r="AQ123" s="3913" t="s">
        <v>4934</v>
      </c>
      <c r="AR123" s="3902" t="s">
        <v>4935</v>
      </c>
      <c r="AS123" s="3901" t="s">
        <v>4936</v>
      </c>
      <c r="AT123" s="3902" t="s">
        <v>4937</v>
      </c>
      <c r="AU123" s="3903" t="s">
        <v>5234</v>
      </c>
      <c r="AV123" s="3902" t="s">
        <v>5235</v>
      </c>
      <c r="AW123" s="3904" t="s">
        <v>5236</v>
      </c>
      <c r="AX123" s="3905" t="s">
        <v>5237</v>
      </c>
      <c r="AY123" s="1864" t="e">
        <f t="shared" ref="AY123:AY130" si="312">$CB123&amp;CC123&amp;CD123&amp;$CE123&amp;CK123&amp;CL123&amp;CM123&amp;CN123&amp;CO123&amp;CP123&amp;CQ123&amp;CR123&amp;CS123&amp;CT123&amp;CU123&amp;CV123&amp;CW123&amp;CX123&amp;CY123</f>
        <v>#VALUE!</v>
      </c>
      <c r="CB123" s="1865" t="str">
        <f>IF(C123&lt;&gt;(AT123)," * La suma de las columnas "&amp;AS$10&amp;""&amp;" DEBE SER IGUAL a los Exámenes Procesados. ","")</f>
        <v xml:space="preserve"> * La suma de las columnas POR SEXO (Procesados) DEBE SER IGUAL a los Exámenes Procesados. </v>
      </c>
      <c r="CC123" s="1865" t="e">
        <f t="shared" ref="CC123:CC140" si="313">IF(AND($C123&gt;0,AND(AU123="",AV123="")),"* No olvide ingresar las columnas Trans Masculino o Femenino (*Digite CERO si no tiene). ",IF((AU123+AV123)&gt;$C123,"* El Número de Trans Masculino o Femenino no puede superar el Total Procesados. ",""))</f>
        <v>#VALUE!</v>
      </c>
      <c r="CD123" s="1865" t="str">
        <f t="shared" ref="CD123:CD140" si="314">IF(AND($C123&gt;0,AW123=""),"* No olvide ingresar la columna "&amp;AW$10&amp;""&amp;" *(Digite CERO si no tiene). ",IF(AW123&gt;$C123," *El Número de "&amp;AW$10&amp;""&amp;" no puede superar el Total Procesados. ",""))</f>
        <v xml:space="preserve"> *El Número de Pueblos Originarios no puede superar el Total Procesados. </v>
      </c>
      <c r="CE123" s="1865" t="str">
        <f t="shared" ref="CE123:CE140" si="315">IF(AND($C123&gt;0,AX123=""),"* No olvide ingresar la columna "&amp;AX$10&amp;""&amp;" *(Digite CERO si no tiene). ",IF(AX123&gt;$C123," *El Número de "&amp;AX$10&amp;""&amp;" no puede superar el Total Procesados. ",""))</f>
        <v xml:space="preserve"> *El Número de Migrantes no puede superar el Total Procesados. </v>
      </c>
      <c r="CF123" s="1866"/>
      <c r="CG123" s="1866"/>
      <c r="CH123" s="1866"/>
      <c r="CI123" s="1866"/>
      <c r="CJ123" s="1866"/>
      <c r="CK123" s="1865" t="str">
        <f t="shared" ref="CK123:CK131" si="316">IF(O123&lt;P123,CONCATENATE("* El total de Procesados debe ser mayor o igual al total de Reactivos en el grupo de edad ",$O$11),"")</f>
        <v>* El total de Procesados debe ser mayor o igual al total de Reactivos en el grupo de edad 10 - 14 años</v>
      </c>
      <c r="CL123" s="1865" t="str">
        <f t="shared" ref="CL123:CL131" si="317">IF(Q123&lt;R123,CONCATENATE("* El total de Procesados debe ser mayor o igual al total de Reactivos en el grupo de edad ",$Q$11),"")</f>
        <v>* El total de Procesados debe ser mayor o igual al total de Reactivos en el grupo de edad 15 - 19 años</v>
      </c>
      <c r="CM123" s="1865" t="str">
        <f t="shared" ref="CM123:CM131" si="318">IF(S123&lt;T123,CONCATENATE("* El total de Procesados debe ser mayor o igual al total de Reactivos en el grupo de edad ",$S$11),"")</f>
        <v>* El total de Procesados debe ser mayor o igual al total de Reactivos en el grupo de edad 20 - 24 años</v>
      </c>
      <c r="CN123" s="1865" t="str">
        <f>IF($U123&lt;$V123,CONCATENATE("* El total de Procesados debe ser mayor o igual al total de Reactivos en el grupo de edad ",$U$11),"")</f>
        <v>* El total de Procesados debe ser mayor o igual al total de Reactivos en el grupo de edad 25 - 29 años</v>
      </c>
      <c r="CO123" s="1865" t="str">
        <f t="shared" ref="CO123:CO131" si="319">IF(W123&lt;X123,CONCATENATE("* El total de Procesados debe ser mayor o igual al total de Reactivos en el grupo de edad ",$W$11),"")</f>
        <v>* El total de Procesados debe ser mayor o igual al total de Reactivos en el grupo de edad 30 - 34 años</v>
      </c>
      <c r="CP123" s="1865" t="str">
        <f t="shared" ref="CP123:CP131" si="320">IF(Y123&lt;Z123,CONCATENATE("* El total de Procesados debe ser mayor o igual al total de Reactivos en el grupo de edad ",$Y$11),"")</f>
        <v>* El total de Procesados debe ser mayor o igual al total de Reactivos en el grupo de edad 35 - 39 años</v>
      </c>
      <c r="CQ123" s="1865" t="str">
        <f t="shared" ref="CQ123:CQ131" si="321">IF(AA123&lt;AB123,CONCATENATE("* El total de Procesados debe ser mayor o igual al total de Reactivos en el grupo de edad ",$AA$11),"")</f>
        <v>* El total de Procesados debe ser mayor o igual al total de Reactivos en el grupo de edad 40 - 44 años</v>
      </c>
      <c r="CR123" s="1865" t="str">
        <f t="shared" ref="CR123:CR131" si="322">IF(AC123&lt;AD123,CONCATENATE("* El total de Procesados debe ser mayor o igual al total de Reactivos en el grupo de edad ",$AC$11),"")</f>
        <v>* El total de Procesados debe ser mayor o igual al total de Reactivos en el grupo de edad 45 - 49 años</v>
      </c>
      <c r="CS123" s="1865" t="str">
        <f t="shared" ref="CS123:CS131" si="323">IF(AE123&lt;AF123,CONCATENATE("* El total de Procesados debe ser mayor o igual al total de Reactivos en el grupo de edad ",$AE$11),"")</f>
        <v>* El total de Procesados debe ser mayor o igual al total de Reactivos en el grupo de edad 50 - 54 años</v>
      </c>
      <c r="CT123" s="1865" t="str">
        <f t="shared" ref="CT123:CT131" si="324">IF(AG123&lt;AH123,CONCATENATE("* El total de Procesados debe ser mayor o igual al total de Reactivos en el grupo de edad ",$AG$11),"")</f>
        <v>* El total de Procesados debe ser mayor o igual al total de Reactivos en el grupo de edad 55 - 59 años</v>
      </c>
      <c r="CU123" s="1865" t="str">
        <f t="shared" ref="CU123:CU131" si="325">IF(AI123&lt;AJ123,CONCATENATE("* El total de Procesados debe ser mayor o igual al total de Reactivos en el grupo de edad ",$AI$11),"")</f>
        <v>* El total de Procesados debe ser mayor o igual al total de Reactivos en el grupo de edad 60 - 64 años</v>
      </c>
      <c r="CV123" s="1865" t="str">
        <f t="shared" ref="CV123:CV131" si="326">IF(AK123&lt;AL123,CONCATENATE("* El total de Procesados debe ser mayor o igual al total de Reactivos en el grupo de edad ",$AK$11),"")</f>
        <v>* El total de Procesados debe ser mayor o igual al total de Reactivos en el grupo de edad 65 - 69 años</v>
      </c>
      <c r="CW123" s="1865" t="str">
        <f t="shared" ref="CW123:CW131" si="327">IF(AM123&lt;AN123,CONCATENATE("* El total de Procesados debe ser mayor o igual al total de Reactivos en el grupo de edad ",$AM$11),"")</f>
        <v>* El total de Procesados debe ser mayor o igual al total de Reactivos en el grupo de edad 70 - 74 años</v>
      </c>
      <c r="CX123" s="1865" t="str">
        <f t="shared" ref="CX123:CX131" si="328">IF(AO123&lt;AP123,CONCATENATE("* El total de Procesados debe ser mayor o igual al total de Reactivos en el grupo de edad ",$AO$11),"")</f>
        <v>* El total de Procesados debe ser mayor o igual al total de Reactivos en el grupo de edad 75 - 79 años</v>
      </c>
      <c r="CY123" s="1865" t="str">
        <f t="shared" ref="CY123:CY131" si="329">IF(AQ123&lt;AR123,CONCATENATE("* El total de Procesados debe ser mayor o igual al total de Reactivos en el grupo de edad ",$AQ$11),"")</f>
        <v>* El total de Procesados debe ser mayor o igual al total de Reactivos en el grupo de edad 80 y más años</v>
      </c>
      <c r="DF123" s="1936"/>
      <c r="DG123" s="3922">
        <f>IF(C123&lt;&gt;(AT123),1,0)</f>
        <v>1</v>
      </c>
      <c r="DH123" s="3906" t="e">
        <f t="shared" ref="DH123:DH140" si="330">IF(AND($C123&gt;0,AND(AU123="",AV123="")),1,IF((AU123+AV123)&gt;$C123,1,0))</f>
        <v>#VALUE!</v>
      </c>
      <c r="DI123" s="3906">
        <f t="shared" ref="DI123:DI140" si="331">IF(AND($C123&gt;0,AW123=""),1,IF(AW123&gt;$C123,1,0))</f>
        <v>1</v>
      </c>
      <c r="DJ123" s="3906">
        <f t="shared" ref="DJ123:DJ140" si="332">IF(AND($C123&gt;0,AX123=""),1,IF(AX123&gt;$C123,1,0))</f>
        <v>1</v>
      </c>
      <c r="DK123" s="1866"/>
      <c r="DL123" s="1866"/>
      <c r="DM123" s="1866"/>
      <c r="DN123" s="1866"/>
      <c r="DO123" s="1866"/>
      <c r="DP123" s="3906">
        <f t="shared" ref="DP123:DP131" si="333">IF(O123&lt;P123,1,0)</f>
        <v>1</v>
      </c>
      <c r="DQ123" s="3906">
        <f t="shared" ref="DQ123:DQ131" si="334">IF(Q123&lt;R123,1,0)</f>
        <v>1</v>
      </c>
      <c r="DR123" s="3906">
        <f t="shared" ref="DR123:DR131" si="335">IF(S123&lt;T123,1,0)</f>
        <v>1</v>
      </c>
      <c r="DS123" s="3906">
        <f>IF($U123&lt;$V123,1,0)</f>
        <v>1</v>
      </c>
      <c r="DT123" s="3906">
        <f t="shared" ref="DT123:DT131" si="336">IF(W123&lt;X123,1,0)</f>
        <v>1</v>
      </c>
      <c r="DU123" s="3906">
        <f t="shared" ref="DU123:DU131" si="337">IF(Y123&lt;Z123,1,0)</f>
        <v>1</v>
      </c>
      <c r="DV123" s="3906">
        <f t="shared" ref="DV123:DV131" si="338">IF(AA123&lt;AB123,1,0)</f>
        <v>1</v>
      </c>
      <c r="DW123" s="3906">
        <f t="shared" ref="DW123:DW131" si="339">IF(AC123&lt;AD123,1,0)</f>
        <v>1</v>
      </c>
      <c r="DX123" s="3906">
        <f t="shared" ref="DX123:DX131" si="340">IF(AE123&lt;AF123,1,0)</f>
        <v>1</v>
      </c>
      <c r="DY123" s="3906">
        <f t="shared" ref="DY123:DY131" si="341">IF(AG123&lt;AH123,1,0)</f>
        <v>1</v>
      </c>
      <c r="DZ123" s="3906">
        <f t="shared" ref="DZ123:DZ131" si="342">IF(AI123&lt;AJ123,1,0)</f>
        <v>1</v>
      </c>
      <c r="EA123" s="3906">
        <f t="shared" ref="EA123:EA131" si="343">IF(AK123&lt;AL123,1,0)</f>
        <v>1</v>
      </c>
      <c r="EB123" s="3906">
        <f t="shared" ref="EB123:EB131" si="344">IF(AM123&lt;AN123,1,0)</f>
        <v>1</v>
      </c>
      <c r="EC123" s="3906">
        <f t="shared" ref="EC123:EC131" si="345">IF(AO123&lt;AP123,1,0)</f>
        <v>1</v>
      </c>
      <c r="ED123" s="3906">
        <f t="shared" ref="ED123:ED131" si="346">IF(AQ123&lt;AR123,1,0)</f>
        <v>1</v>
      </c>
    </row>
    <row r="124" spans="1:134" x14ac:dyDescent="0.25">
      <c r="A124" s="5601">
        <v>11056455</v>
      </c>
      <c r="B124" s="3923" t="s">
        <v>1867</v>
      </c>
      <c r="C124" s="3908" t="s">
        <v>4567</v>
      </c>
      <c r="D124" s="344" t="s">
        <v>4568</v>
      </c>
      <c r="E124" s="3918" t="s">
        <v>4569</v>
      </c>
      <c r="F124" s="3910" t="s">
        <v>4570</v>
      </c>
      <c r="G124" s="3909" t="s">
        <v>4571</v>
      </c>
      <c r="H124" s="3910" t="s">
        <v>4572</v>
      </c>
      <c r="I124" s="3909" t="s">
        <v>4573</v>
      </c>
      <c r="J124" s="3910" t="s">
        <v>4574</v>
      </c>
      <c r="K124" s="3909" t="s">
        <v>4575</v>
      </c>
      <c r="L124" s="3910" t="s">
        <v>4576</v>
      </c>
      <c r="M124" s="3909" t="s">
        <v>4577</v>
      </c>
      <c r="N124" s="3911" t="s">
        <v>4578</v>
      </c>
      <c r="O124" s="3904" t="s">
        <v>4579</v>
      </c>
      <c r="P124" s="3912" t="s">
        <v>4580</v>
      </c>
      <c r="Q124" s="3913" t="s">
        <v>4581</v>
      </c>
      <c r="R124" s="3912" t="s">
        <v>4582</v>
      </c>
      <c r="S124" s="3913" t="s">
        <v>4583</v>
      </c>
      <c r="T124" s="3912" t="s">
        <v>4584</v>
      </c>
      <c r="U124" s="3913" t="s">
        <v>4585</v>
      </c>
      <c r="V124" s="3912" t="s">
        <v>4586</v>
      </c>
      <c r="W124" s="3913" t="s">
        <v>4587</v>
      </c>
      <c r="X124" s="3912" t="s">
        <v>4588</v>
      </c>
      <c r="Y124" s="3913" t="s">
        <v>4589</v>
      </c>
      <c r="Z124" s="3912" t="s">
        <v>4590</v>
      </c>
      <c r="AA124" s="3913" t="s">
        <v>4591</v>
      </c>
      <c r="AB124" s="3912" t="s">
        <v>4592</v>
      </c>
      <c r="AC124" s="3913" t="s">
        <v>4593</v>
      </c>
      <c r="AD124" s="3912" t="s">
        <v>4594</v>
      </c>
      <c r="AE124" s="3913" t="s">
        <v>4595</v>
      </c>
      <c r="AF124" s="3912" t="s">
        <v>4596</v>
      </c>
      <c r="AG124" s="3913" t="s">
        <v>4597</v>
      </c>
      <c r="AH124" s="3912" t="s">
        <v>4598</v>
      </c>
      <c r="AI124" s="3913" t="s">
        <v>4599</v>
      </c>
      <c r="AJ124" s="3912" t="s">
        <v>4600</v>
      </c>
      <c r="AK124" s="3913" t="s">
        <v>4601</v>
      </c>
      <c r="AL124" s="3912" t="s">
        <v>4602</v>
      </c>
      <c r="AM124" s="3913" t="s">
        <v>4603</v>
      </c>
      <c r="AN124" s="3912" t="s">
        <v>4604</v>
      </c>
      <c r="AO124" s="3913" t="s">
        <v>4605</v>
      </c>
      <c r="AP124" s="3912" t="s">
        <v>4606</v>
      </c>
      <c r="AQ124" s="3913" t="s">
        <v>4934</v>
      </c>
      <c r="AR124" s="3902" t="s">
        <v>4935</v>
      </c>
      <c r="AS124" s="3901" t="s">
        <v>4936</v>
      </c>
      <c r="AT124" s="3902" t="s">
        <v>4937</v>
      </c>
      <c r="AU124" s="3903" t="s">
        <v>5234</v>
      </c>
      <c r="AV124" s="3902" t="s">
        <v>5235</v>
      </c>
      <c r="AW124" s="3904" t="s">
        <v>5236</v>
      </c>
      <c r="AX124" s="3905" t="s">
        <v>5237</v>
      </c>
      <c r="AY124" s="1864" t="e">
        <f t="shared" si="312"/>
        <v>#VALUE!</v>
      </c>
      <c r="CB124" s="1865" t="str">
        <f>IF(C124&lt;&gt;(AT124)," * La suma de las columnas "&amp;AS$10&amp;""&amp;" DEBE SER IGUAL a los Exámenes Procesados. ","")</f>
        <v xml:space="preserve"> * La suma de las columnas POR SEXO (Procesados) DEBE SER IGUAL a los Exámenes Procesados. </v>
      </c>
      <c r="CC124" s="1865" t="e">
        <f t="shared" si="313"/>
        <v>#VALUE!</v>
      </c>
      <c r="CD124" s="1865" t="str">
        <f t="shared" si="314"/>
        <v xml:space="preserve"> *El Número de Pueblos Originarios no puede superar el Total Procesados. </v>
      </c>
      <c r="CE124" s="1865" t="str">
        <f t="shared" si="315"/>
        <v xml:space="preserve"> *El Número de Migrantes no puede superar el Total Procesados. </v>
      </c>
      <c r="CF124" s="1866"/>
      <c r="CG124" s="1866"/>
      <c r="CH124" s="1866"/>
      <c r="CI124" s="1866"/>
      <c r="CJ124" s="1866"/>
      <c r="CK124" s="1865" t="str">
        <f t="shared" si="316"/>
        <v>* El total de Procesados debe ser mayor o igual al total de Reactivos en el grupo de edad 10 - 14 años</v>
      </c>
      <c r="CL124" s="1865" t="str">
        <f t="shared" si="317"/>
        <v>* El total de Procesados debe ser mayor o igual al total de Reactivos en el grupo de edad 15 - 19 años</v>
      </c>
      <c r="CM124" s="1865" t="str">
        <f t="shared" si="318"/>
        <v>* El total de Procesados debe ser mayor o igual al total de Reactivos en el grupo de edad 20 - 24 años</v>
      </c>
      <c r="CN124" s="1865" t="str">
        <f t="shared" ref="CN124:CN140" si="347">IF($U124&lt;$V124,CONCATENATE("* El total de Procesados debe ser mayor o igual al total de Reactivos en el grupo de edad ",$U$11),"")</f>
        <v>* El total de Procesados debe ser mayor o igual al total de Reactivos en el grupo de edad 25 - 29 años</v>
      </c>
      <c r="CO124" s="1865" t="str">
        <f t="shared" si="319"/>
        <v>* El total de Procesados debe ser mayor o igual al total de Reactivos en el grupo de edad 30 - 34 años</v>
      </c>
      <c r="CP124" s="1865" t="str">
        <f t="shared" si="320"/>
        <v>* El total de Procesados debe ser mayor o igual al total de Reactivos en el grupo de edad 35 - 39 años</v>
      </c>
      <c r="CQ124" s="1865" t="str">
        <f t="shared" si="321"/>
        <v>* El total de Procesados debe ser mayor o igual al total de Reactivos en el grupo de edad 40 - 44 años</v>
      </c>
      <c r="CR124" s="1865" t="str">
        <f t="shared" si="322"/>
        <v>* El total de Procesados debe ser mayor o igual al total de Reactivos en el grupo de edad 45 - 49 años</v>
      </c>
      <c r="CS124" s="1865" t="str">
        <f t="shared" si="323"/>
        <v>* El total de Procesados debe ser mayor o igual al total de Reactivos en el grupo de edad 50 - 54 años</v>
      </c>
      <c r="CT124" s="1865" t="str">
        <f t="shared" si="324"/>
        <v>* El total de Procesados debe ser mayor o igual al total de Reactivos en el grupo de edad 55 - 59 años</v>
      </c>
      <c r="CU124" s="1865" t="str">
        <f t="shared" si="325"/>
        <v>* El total de Procesados debe ser mayor o igual al total de Reactivos en el grupo de edad 60 - 64 años</v>
      </c>
      <c r="CV124" s="1865" t="str">
        <f t="shared" si="326"/>
        <v>* El total de Procesados debe ser mayor o igual al total de Reactivos en el grupo de edad 65 - 69 años</v>
      </c>
      <c r="CW124" s="1865" t="str">
        <f t="shared" si="327"/>
        <v>* El total de Procesados debe ser mayor o igual al total de Reactivos en el grupo de edad 70 - 74 años</v>
      </c>
      <c r="CX124" s="1865" t="str">
        <f t="shared" si="328"/>
        <v>* El total de Procesados debe ser mayor o igual al total de Reactivos en el grupo de edad 75 - 79 años</v>
      </c>
      <c r="CY124" s="1865" t="str">
        <f t="shared" si="329"/>
        <v>* El total de Procesados debe ser mayor o igual al total de Reactivos en el grupo de edad 80 y más años</v>
      </c>
      <c r="DF124" s="1936"/>
      <c r="DG124" s="3922">
        <f>IF(C124&lt;&gt;(AT124),1,0)</f>
        <v>1</v>
      </c>
      <c r="DH124" s="3906" t="e">
        <f t="shared" si="330"/>
        <v>#VALUE!</v>
      </c>
      <c r="DI124" s="3906">
        <f t="shared" si="331"/>
        <v>1</v>
      </c>
      <c r="DJ124" s="3906">
        <f t="shared" si="332"/>
        <v>1</v>
      </c>
      <c r="DK124" s="1866"/>
      <c r="DL124" s="1866"/>
      <c r="DM124" s="1866"/>
      <c r="DN124" s="1866"/>
      <c r="DO124" s="1866"/>
      <c r="DP124" s="3906">
        <f t="shared" si="333"/>
        <v>1</v>
      </c>
      <c r="DQ124" s="3906">
        <f t="shared" si="334"/>
        <v>1</v>
      </c>
      <c r="DR124" s="3906">
        <f t="shared" si="335"/>
        <v>1</v>
      </c>
      <c r="DS124" s="3906">
        <f t="shared" ref="DS124:DS140" si="348">IF($U124&lt;$V124,1,0)</f>
        <v>1</v>
      </c>
      <c r="DT124" s="3906">
        <f t="shared" si="336"/>
        <v>1</v>
      </c>
      <c r="DU124" s="3906">
        <f t="shared" si="337"/>
        <v>1</v>
      </c>
      <c r="DV124" s="3906">
        <f t="shared" si="338"/>
        <v>1</v>
      </c>
      <c r="DW124" s="3906">
        <f t="shared" si="339"/>
        <v>1</v>
      </c>
      <c r="DX124" s="3906">
        <f t="shared" si="340"/>
        <v>1</v>
      </c>
      <c r="DY124" s="3906">
        <f t="shared" si="341"/>
        <v>1</v>
      </c>
      <c r="DZ124" s="3906">
        <f t="shared" si="342"/>
        <v>1</v>
      </c>
      <c r="EA124" s="3906">
        <f t="shared" si="343"/>
        <v>1</v>
      </c>
      <c r="EB124" s="3906">
        <f t="shared" si="344"/>
        <v>1</v>
      </c>
      <c r="EC124" s="3906">
        <f t="shared" si="345"/>
        <v>1</v>
      </c>
      <c r="ED124" s="3906">
        <f t="shared" si="346"/>
        <v>1</v>
      </c>
    </row>
    <row r="125" spans="1:134" x14ac:dyDescent="0.25">
      <c r="A125" s="5601">
        <v>11056456</v>
      </c>
      <c r="B125" s="3923" t="s">
        <v>1868</v>
      </c>
      <c r="C125" s="3908" t="s">
        <v>4567</v>
      </c>
      <c r="D125" s="344" t="s">
        <v>4568</v>
      </c>
      <c r="E125" s="3918" t="s">
        <v>4569</v>
      </c>
      <c r="F125" s="3910" t="s">
        <v>4570</v>
      </c>
      <c r="G125" s="3909" t="s">
        <v>4571</v>
      </c>
      <c r="H125" s="3910" t="s">
        <v>4572</v>
      </c>
      <c r="I125" s="3909" t="s">
        <v>4573</v>
      </c>
      <c r="J125" s="3910" t="s">
        <v>4574</v>
      </c>
      <c r="K125" s="3909" t="s">
        <v>4575</v>
      </c>
      <c r="L125" s="3910" t="s">
        <v>4576</v>
      </c>
      <c r="M125" s="3909" t="s">
        <v>4577</v>
      </c>
      <c r="N125" s="3911" t="s">
        <v>4578</v>
      </c>
      <c r="O125" s="3904" t="s">
        <v>4579</v>
      </c>
      <c r="P125" s="3912" t="s">
        <v>4580</v>
      </c>
      <c r="Q125" s="3913" t="s">
        <v>4581</v>
      </c>
      <c r="R125" s="3912" t="s">
        <v>4582</v>
      </c>
      <c r="S125" s="3913" t="s">
        <v>4583</v>
      </c>
      <c r="T125" s="3912" t="s">
        <v>4584</v>
      </c>
      <c r="U125" s="3913" t="s">
        <v>4585</v>
      </c>
      <c r="V125" s="3912" t="s">
        <v>4586</v>
      </c>
      <c r="W125" s="3913" t="s">
        <v>4587</v>
      </c>
      <c r="X125" s="3912" t="s">
        <v>4588</v>
      </c>
      <c r="Y125" s="3913" t="s">
        <v>4589</v>
      </c>
      <c r="Z125" s="3912" t="s">
        <v>4590</v>
      </c>
      <c r="AA125" s="3913" t="s">
        <v>4591</v>
      </c>
      <c r="AB125" s="3912" t="s">
        <v>4592</v>
      </c>
      <c r="AC125" s="3913" t="s">
        <v>4593</v>
      </c>
      <c r="AD125" s="3912" t="s">
        <v>4594</v>
      </c>
      <c r="AE125" s="3913" t="s">
        <v>4595</v>
      </c>
      <c r="AF125" s="3912" t="s">
        <v>4596</v>
      </c>
      <c r="AG125" s="3913" t="s">
        <v>4597</v>
      </c>
      <c r="AH125" s="3912" t="s">
        <v>4598</v>
      </c>
      <c r="AI125" s="3913" t="s">
        <v>4599</v>
      </c>
      <c r="AJ125" s="3912" t="s">
        <v>4600</v>
      </c>
      <c r="AK125" s="3913" t="s">
        <v>4601</v>
      </c>
      <c r="AL125" s="3912" t="s">
        <v>4602</v>
      </c>
      <c r="AM125" s="3913" t="s">
        <v>4603</v>
      </c>
      <c r="AN125" s="3912" t="s">
        <v>4604</v>
      </c>
      <c r="AO125" s="3913" t="s">
        <v>4605</v>
      </c>
      <c r="AP125" s="3912" t="s">
        <v>4606</v>
      </c>
      <c r="AQ125" s="3913" t="s">
        <v>4934</v>
      </c>
      <c r="AR125" s="3902" t="s">
        <v>4935</v>
      </c>
      <c r="AS125" s="3901" t="s">
        <v>4936</v>
      </c>
      <c r="AT125" s="3902" t="s">
        <v>4937</v>
      </c>
      <c r="AU125" s="3903" t="s">
        <v>5234</v>
      </c>
      <c r="AV125" s="3902" t="s">
        <v>5235</v>
      </c>
      <c r="AW125" s="3904" t="s">
        <v>5236</v>
      </c>
      <c r="AX125" s="3905" t="s">
        <v>5237</v>
      </c>
      <c r="AY125" s="1864" t="e">
        <f t="shared" si="312"/>
        <v>#VALUE!</v>
      </c>
      <c r="CB125" s="1865" t="str">
        <f>IF(C125&lt;&gt;(AT125)," * La suma de las columnas "&amp;AS$10&amp;""&amp;" DEBE SER IGUAL a los Exámenes Procesados. ","")</f>
        <v xml:space="preserve"> * La suma de las columnas POR SEXO (Procesados) DEBE SER IGUAL a los Exámenes Procesados. </v>
      </c>
      <c r="CC125" s="1865" t="e">
        <f t="shared" si="313"/>
        <v>#VALUE!</v>
      </c>
      <c r="CD125" s="1865" t="str">
        <f t="shared" si="314"/>
        <v xml:space="preserve"> *El Número de Pueblos Originarios no puede superar el Total Procesados. </v>
      </c>
      <c r="CE125" s="1865" t="str">
        <f t="shared" si="315"/>
        <v xml:space="preserve"> *El Número de Migrantes no puede superar el Total Procesados. </v>
      </c>
      <c r="CF125" s="1866"/>
      <c r="CG125" s="1866"/>
      <c r="CH125" s="1866"/>
      <c r="CI125" s="1866"/>
      <c r="CJ125" s="1866"/>
      <c r="CK125" s="1865" t="str">
        <f t="shared" si="316"/>
        <v>* El total de Procesados debe ser mayor o igual al total de Reactivos en el grupo de edad 10 - 14 años</v>
      </c>
      <c r="CL125" s="1865" t="str">
        <f t="shared" si="317"/>
        <v>* El total de Procesados debe ser mayor o igual al total de Reactivos en el grupo de edad 15 - 19 años</v>
      </c>
      <c r="CM125" s="1865" t="str">
        <f t="shared" si="318"/>
        <v>* El total de Procesados debe ser mayor o igual al total de Reactivos en el grupo de edad 20 - 24 años</v>
      </c>
      <c r="CN125" s="1865" t="str">
        <f t="shared" si="347"/>
        <v>* El total de Procesados debe ser mayor o igual al total de Reactivos en el grupo de edad 25 - 29 años</v>
      </c>
      <c r="CO125" s="1865" t="str">
        <f t="shared" si="319"/>
        <v>* El total de Procesados debe ser mayor o igual al total de Reactivos en el grupo de edad 30 - 34 años</v>
      </c>
      <c r="CP125" s="1865" t="str">
        <f t="shared" si="320"/>
        <v>* El total de Procesados debe ser mayor o igual al total de Reactivos en el grupo de edad 35 - 39 años</v>
      </c>
      <c r="CQ125" s="1865" t="str">
        <f t="shared" si="321"/>
        <v>* El total de Procesados debe ser mayor o igual al total de Reactivos en el grupo de edad 40 - 44 años</v>
      </c>
      <c r="CR125" s="1865" t="str">
        <f t="shared" si="322"/>
        <v>* El total de Procesados debe ser mayor o igual al total de Reactivos en el grupo de edad 45 - 49 años</v>
      </c>
      <c r="CS125" s="1865" t="str">
        <f t="shared" si="323"/>
        <v>* El total de Procesados debe ser mayor o igual al total de Reactivos en el grupo de edad 50 - 54 años</v>
      </c>
      <c r="CT125" s="1865" t="str">
        <f t="shared" si="324"/>
        <v>* El total de Procesados debe ser mayor o igual al total de Reactivos en el grupo de edad 55 - 59 años</v>
      </c>
      <c r="CU125" s="1865" t="str">
        <f t="shared" si="325"/>
        <v>* El total de Procesados debe ser mayor o igual al total de Reactivos en el grupo de edad 60 - 64 años</v>
      </c>
      <c r="CV125" s="1865" t="str">
        <f t="shared" si="326"/>
        <v>* El total de Procesados debe ser mayor o igual al total de Reactivos en el grupo de edad 65 - 69 años</v>
      </c>
      <c r="CW125" s="1865" t="str">
        <f t="shared" si="327"/>
        <v>* El total de Procesados debe ser mayor o igual al total de Reactivos en el grupo de edad 70 - 74 años</v>
      </c>
      <c r="CX125" s="1865" t="str">
        <f t="shared" si="328"/>
        <v>* El total de Procesados debe ser mayor o igual al total de Reactivos en el grupo de edad 75 - 79 años</v>
      </c>
      <c r="CY125" s="1865" t="str">
        <f t="shared" si="329"/>
        <v>* El total de Procesados debe ser mayor o igual al total de Reactivos en el grupo de edad 80 y más años</v>
      </c>
      <c r="DF125" s="1936"/>
      <c r="DG125" s="3922">
        <f>IF(C125&lt;&gt;(AT125),1,0)</f>
        <v>1</v>
      </c>
      <c r="DH125" s="3906" t="e">
        <f t="shared" si="330"/>
        <v>#VALUE!</v>
      </c>
      <c r="DI125" s="3906">
        <f t="shared" si="331"/>
        <v>1</v>
      </c>
      <c r="DJ125" s="3906">
        <f t="shared" si="332"/>
        <v>1</v>
      </c>
      <c r="DK125" s="1866"/>
      <c r="DL125" s="1866"/>
      <c r="DM125" s="1866"/>
      <c r="DN125" s="1866"/>
      <c r="DO125" s="1866"/>
      <c r="DP125" s="3906">
        <f t="shared" si="333"/>
        <v>1</v>
      </c>
      <c r="DQ125" s="3906">
        <f t="shared" si="334"/>
        <v>1</v>
      </c>
      <c r="DR125" s="3906">
        <f t="shared" si="335"/>
        <v>1</v>
      </c>
      <c r="DS125" s="3906">
        <f t="shared" si="348"/>
        <v>1</v>
      </c>
      <c r="DT125" s="3906">
        <f t="shared" si="336"/>
        <v>1</v>
      </c>
      <c r="DU125" s="3906">
        <f t="shared" si="337"/>
        <v>1</v>
      </c>
      <c r="DV125" s="3906">
        <f t="shared" si="338"/>
        <v>1</v>
      </c>
      <c r="DW125" s="3906">
        <f t="shared" si="339"/>
        <v>1</v>
      </c>
      <c r="DX125" s="3906">
        <f t="shared" si="340"/>
        <v>1</v>
      </c>
      <c r="DY125" s="3906">
        <f t="shared" si="341"/>
        <v>1</v>
      </c>
      <c r="DZ125" s="3906">
        <f t="shared" si="342"/>
        <v>1</v>
      </c>
      <c r="EA125" s="3906">
        <f t="shared" si="343"/>
        <v>1</v>
      </c>
      <c r="EB125" s="3906">
        <f t="shared" si="344"/>
        <v>1</v>
      </c>
      <c r="EC125" s="3906">
        <f t="shared" si="345"/>
        <v>1</v>
      </c>
      <c r="ED125" s="3906">
        <f t="shared" si="346"/>
        <v>1</v>
      </c>
    </row>
    <row r="126" spans="1:134" x14ac:dyDescent="0.25">
      <c r="A126" s="5601">
        <v>11056457</v>
      </c>
      <c r="B126" s="3923" t="s">
        <v>1869</v>
      </c>
      <c r="C126" s="3908" t="s">
        <v>4567</v>
      </c>
      <c r="D126" s="344" t="s">
        <v>4568</v>
      </c>
      <c r="E126" s="3918" t="s">
        <v>4569</v>
      </c>
      <c r="F126" s="3910" t="s">
        <v>4570</v>
      </c>
      <c r="G126" s="3909" t="s">
        <v>4571</v>
      </c>
      <c r="H126" s="3910" t="s">
        <v>4572</v>
      </c>
      <c r="I126" s="3909" t="s">
        <v>4573</v>
      </c>
      <c r="J126" s="3910" t="s">
        <v>4574</v>
      </c>
      <c r="K126" s="3909" t="s">
        <v>4575</v>
      </c>
      <c r="L126" s="3910" t="s">
        <v>4576</v>
      </c>
      <c r="M126" s="3909" t="s">
        <v>4577</v>
      </c>
      <c r="N126" s="3911" t="s">
        <v>4578</v>
      </c>
      <c r="O126" s="3904" t="s">
        <v>4579</v>
      </c>
      <c r="P126" s="3912" t="s">
        <v>4580</v>
      </c>
      <c r="Q126" s="3913" t="s">
        <v>4581</v>
      </c>
      <c r="R126" s="3912" t="s">
        <v>4582</v>
      </c>
      <c r="S126" s="3913" t="s">
        <v>4583</v>
      </c>
      <c r="T126" s="3912" t="s">
        <v>4584</v>
      </c>
      <c r="U126" s="3913" t="s">
        <v>4585</v>
      </c>
      <c r="V126" s="3912" t="s">
        <v>4586</v>
      </c>
      <c r="W126" s="3913" t="s">
        <v>4587</v>
      </c>
      <c r="X126" s="3912" t="s">
        <v>4588</v>
      </c>
      <c r="Y126" s="3913" t="s">
        <v>4589</v>
      </c>
      <c r="Z126" s="3912" t="s">
        <v>4590</v>
      </c>
      <c r="AA126" s="3913" t="s">
        <v>4591</v>
      </c>
      <c r="AB126" s="3912" t="s">
        <v>4592</v>
      </c>
      <c r="AC126" s="3913" t="s">
        <v>4593</v>
      </c>
      <c r="AD126" s="3912" t="s">
        <v>4594</v>
      </c>
      <c r="AE126" s="3913" t="s">
        <v>4595</v>
      </c>
      <c r="AF126" s="3912" t="s">
        <v>4596</v>
      </c>
      <c r="AG126" s="3913" t="s">
        <v>4597</v>
      </c>
      <c r="AH126" s="3912" t="s">
        <v>4598</v>
      </c>
      <c r="AI126" s="3913" t="s">
        <v>4599</v>
      </c>
      <c r="AJ126" s="3912" t="s">
        <v>4600</v>
      </c>
      <c r="AK126" s="3913" t="s">
        <v>4601</v>
      </c>
      <c r="AL126" s="3912" t="s">
        <v>4602</v>
      </c>
      <c r="AM126" s="3913" t="s">
        <v>4603</v>
      </c>
      <c r="AN126" s="3912" t="s">
        <v>4604</v>
      </c>
      <c r="AO126" s="3913" t="s">
        <v>4605</v>
      </c>
      <c r="AP126" s="3912" t="s">
        <v>4606</v>
      </c>
      <c r="AQ126" s="3913" t="s">
        <v>4934</v>
      </c>
      <c r="AR126" s="3902" t="s">
        <v>4935</v>
      </c>
      <c r="AS126" s="3901" t="s">
        <v>4936</v>
      </c>
      <c r="AT126" s="3902" t="s">
        <v>4937</v>
      </c>
      <c r="AU126" s="3903" t="s">
        <v>5234</v>
      </c>
      <c r="AV126" s="3902" t="s">
        <v>5235</v>
      </c>
      <c r="AW126" s="3904" t="s">
        <v>5236</v>
      </c>
      <c r="AX126" s="3905" t="s">
        <v>5237</v>
      </c>
      <c r="AY126" s="1864" t="e">
        <f t="shared" si="312"/>
        <v>#VALUE!</v>
      </c>
      <c r="CB126" s="1865" t="str">
        <f>IF(C126&lt;&gt;(AT126)," * La suma de las columnas "&amp;AS$10&amp;""&amp;" DEBE SER IGUAL a los Exámenes Procesados. ","")</f>
        <v xml:space="preserve"> * La suma de las columnas POR SEXO (Procesados) DEBE SER IGUAL a los Exámenes Procesados. </v>
      </c>
      <c r="CC126" s="1865" t="e">
        <f t="shared" si="313"/>
        <v>#VALUE!</v>
      </c>
      <c r="CD126" s="1865" t="str">
        <f t="shared" si="314"/>
        <v xml:space="preserve"> *El Número de Pueblos Originarios no puede superar el Total Procesados. </v>
      </c>
      <c r="CE126" s="1865" t="str">
        <f t="shared" si="315"/>
        <v xml:space="preserve"> *El Número de Migrantes no puede superar el Total Procesados. </v>
      </c>
      <c r="CF126" s="1866"/>
      <c r="CG126" s="1866"/>
      <c r="CH126" s="1866"/>
      <c r="CI126" s="1866"/>
      <c r="CJ126" s="1866"/>
      <c r="CK126" s="1865" t="str">
        <f t="shared" si="316"/>
        <v>* El total de Procesados debe ser mayor o igual al total de Reactivos en el grupo de edad 10 - 14 años</v>
      </c>
      <c r="CL126" s="1865" t="str">
        <f t="shared" si="317"/>
        <v>* El total de Procesados debe ser mayor o igual al total de Reactivos en el grupo de edad 15 - 19 años</v>
      </c>
      <c r="CM126" s="1865" t="str">
        <f t="shared" si="318"/>
        <v>* El total de Procesados debe ser mayor o igual al total de Reactivos en el grupo de edad 20 - 24 años</v>
      </c>
      <c r="CN126" s="1865" t="str">
        <f t="shared" si="347"/>
        <v>* El total de Procesados debe ser mayor o igual al total de Reactivos en el grupo de edad 25 - 29 años</v>
      </c>
      <c r="CO126" s="1865" t="str">
        <f t="shared" si="319"/>
        <v>* El total de Procesados debe ser mayor o igual al total de Reactivos en el grupo de edad 30 - 34 años</v>
      </c>
      <c r="CP126" s="1865" t="str">
        <f t="shared" si="320"/>
        <v>* El total de Procesados debe ser mayor o igual al total de Reactivos en el grupo de edad 35 - 39 años</v>
      </c>
      <c r="CQ126" s="1865" t="str">
        <f t="shared" si="321"/>
        <v>* El total de Procesados debe ser mayor o igual al total de Reactivos en el grupo de edad 40 - 44 años</v>
      </c>
      <c r="CR126" s="1865" t="str">
        <f t="shared" si="322"/>
        <v>* El total de Procesados debe ser mayor o igual al total de Reactivos en el grupo de edad 45 - 49 años</v>
      </c>
      <c r="CS126" s="1865" t="str">
        <f t="shared" si="323"/>
        <v>* El total de Procesados debe ser mayor o igual al total de Reactivos en el grupo de edad 50 - 54 años</v>
      </c>
      <c r="CT126" s="1865" t="str">
        <f t="shared" si="324"/>
        <v>* El total de Procesados debe ser mayor o igual al total de Reactivos en el grupo de edad 55 - 59 años</v>
      </c>
      <c r="CU126" s="1865" t="str">
        <f t="shared" si="325"/>
        <v>* El total de Procesados debe ser mayor o igual al total de Reactivos en el grupo de edad 60 - 64 años</v>
      </c>
      <c r="CV126" s="1865" t="str">
        <f t="shared" si="326"/>
        <v>* El total de Procesados debe ser mayor o igual al total de Reactivos en el grupo de edad 65 - 69 años</v>
      </c>
      <c r="CW126" s="1865" t="str">
        <f t="shared" si="327"/>
        <v>* El total de Procesados debe ser mayor o igual al total de Reactivos en el grupo de edad 70 - 74 años</v>
      </c>
      <c r="CX126" s="1865" t="str">
        <f t="shared" si="328"/>
        <v>* El total de Procesados debe ser mayor o igual al total de Reactivos en el grupo de edad 75 - 79 años</v>
      </c>
      <c r="CY126" s="1865" t="str">
        <f t="shared" si="329"/>
        <v>* El total de Procesados debe ser mayor o igual al total de Reactivos en el grupo de edad 80 y más años</v>
      </c>
      <c r="DF126" s="1936"/>
      <c r="DG126" s="3922">
        <f>IF(C126&lt;&gt;(AT126),1,0)</f>
        <v>1</v>
      </c>
      <c r="DH126" s="3906" t="e">
        <f t="shared" si="330"/>
        <v>#VALUE!</v>
      </c>
      <c r="DI126" s="3906">
        <f t="shared" si="331"/>
        <v>1</v>
      </c>
      <c r="DJ126" s="3906">
        <f t="shared" si="332"/>
        <v>1</v>
      </c>
      <c r="DK126" s="1866"/>
      <c r="DL126" s="1866"/>
      <c r="DM126" s="1866"/>
      <c r="DN126" s="1866"/>
      <c r="DO126" s="1866"/>
      <c r="DP126" s="3906">
        <f t="shared" si="333"/>
        <v>1</v>
      </c>
      <c r="DQ126" s="3906">
        <f t="shared" si="334"/>
        <v>1</v>
      </c>
      <c r="DR126" s="3906">
        <f t="shared" si="335"/>
        <v>1</v>
      </c>
      <c r="DS126" s="3906">
        <f t="shared" si="348"/>
        <v>1</v>
      </c>
      <c r="DT126" s="3906">
        <f t="shared" si="336"/>
        <v>1</v>
      </c>
      <c r="DU126" s="3906">
        <f t="shared" si="337"/>
        <v>1</v>
      </c>
      <c r="DV126" s="3906">
        <f t="shared" si="338"/>
        <v>1</v>
      </c>
      <c r="DW126" s="3906">
        <f t="shared" si="339"/>
        <v>1</v>
      </c>
      <c r="DX126" s="3906">
        <f t="shared" si="340"/>
        <v>1</v>
      </c>
      <c r="DY126" s="3906">
        <f t="shared" si="341"/>
        <v>1</v>
      </c>
      <c r="DZ126" s="3906">
        <f t="shared" si="342"/>
        <v>1</v>
      </c>
      <c r="EA126" s="3906">
        <f t="shared" si="343"/>
        <v>1</v>
      </c>
      <c r="EB126" s="3906">
        <f t="shared" si="344"/>
        <v>1</v>
      </c>
      <c r="EC126" s="3906">
        <f t="shared" si="345"/>
        <v>1</v>
      </c>
      <c r="ED126" s="3906">
        <f t="shared" si="346"/>
        <v>1</v>
      </c>
    </row>
    <row r="127" spans="1:134" x14ac:dyDescent="0.25">
      <c r="A127" s="5601">
        <v>11056458</v>
      </c>
      <c r="B127" s="3924" t="s">
        <v>1870</v>
      </c>
      <c r="C127" s="3908" t="s">
        <v>4567</v>
      </c>
      <c r="D127" s="344" t="s">
        <v>4568</v>
      </c>
      <c r="E127" s="3918" t="s">
        <v>4569</v>
      </c>
      <c r="F127" s="3910" t="s">
        <v>4570</v>
      </c>
      <c r="G127" s="3909" t="s">
        <v>4571</v>
      </c>
      <c r="H127" s="3910" t="s">
        <v>4572</v>
      </c>
      <c r="I127" s="3909" t="s">
        <v>4573</v>
      </c>
      <c r="J127" s="3910" t="s">
        <v>4574</v>
      </c>
      <c r="K127" s="3909" t="s">
        <v>4575</v>
      </c>
      <c r="L127" s="3910" t="s">
        <v>4576</v>
      </c>
      <c r="M127" s="3909" t="s">
        <v>4577</v>
      </c>
      <c r="N127" s="3911" t="s">
        <v>4578</v>
      </c>
      <c r="O127" s="3904" t="s">
        <v>4579</v>
      </c>
      <c r="P127" s="3912" t="s">
        <v>4580</v>
      </c>
      <c r="Q127" s="3913" t="s">
        <v>4581</v>
      </c>
      <c r="R127" s="3912" t="s">
        <v>4582</v>
      </c>
      <c r="S127" s="3913" t="s">
        <v>4583</v>
      </c>
      <c r="T127" s="3912" t="s">
        <v>4584</v>
      </c>
      <c r="U127" s="3913" t="s">
        <v>4585</v>
      </c>
      <c r="V127" s="3912" t="s">
        <v>4586</v>
      </c>
      <c r="W127" s="3913" t="s">
        <v>4587</v>
      </c>
      <c r="X127" s="3912" t="s">
        <v>4588</v>
      </c>
      <c r="Y127" s="3913" t="s">
        <v>4589</v>
      </c>
      <c r="Z127" s="3912" t="s">
        <v>4590</v>
      </c>
      <c r="AA127" s="3913" t="s">
        <v>4591</v>
      </c>
      <c r="AB127" s="3912" t="s">
        <v>4592</v>
      </c>
      <c r="AC127" s="3913" t="s">
        <v>4593</v>
      </c>
      <c r="AD127" s="3912" t="s">
        <v>4594</v>
      </c>
      <c r="AE127" s="3913" t="s">
        <v>4595</v>
      </c>
      <c r="AF127" s="3912" t="s">
        <v>4596</v>
      </c>
      <c r="AG127" s="3913" t="s">
        <v>4597</v>
      </c>
      <c r="AH127" s="3912" t="s">
        <v>4598</v>
      </c>
      <c r="AI127" s="3913" t="s">
        <v>4599</v>
      </c>
      <c r="AJ127" s="3912" t="s">
        <v>4600</v>
      </c>
      <c r="AK127" s="3913" t="s">
        <v>4601</v>
      </c>
      <c r="AL127" s="3912" t="s">
        <v>4602</v>
      </c>
      <c r="AM127" s="3913" t="s">
        <v>4603</v>
      </c>
      <c r="AN127" s="3912" t="s">
        <v>4604</v>
      </c>
      <c r="AO127" s="3913" t="s">
        <v>4605</v>
      </c>
      <c r="AP127" s="3912" t="s">
        <v>4606</v>
      </c>
      <c r="AQ127" s="3913" t="s">
        <v>4934</v>
      </c>
      <c r="AR127" s="3902" t="s">
        <v>4935</v>
      </c>
      <c r="AS127" s="3901" t="s">
        <v>4936</v>
      </c>
      <c r="AT127" s="3902" t="s">
        <v>4937</v>
      </c>
      <c r="AU127" s="3903" t="s">
        <v>5234</v>
      </c>
      <c r="AV127" s="3902" t="s">
        <v>5235</v>
      </c>
      <c r="AW127" s="3904" t="s">
        <v>5236</v>
      </c>
      <c r="AX127" s="3905" t="s">
        <v>5237</v>
      </c>
      <c r="AY127" s="1864" t="e">
        <f t="shared" si="312"/>
        <v>#VALUE!</v>
      </c>
      <c r="CB127" s="1865" t="str">
        <f>IF(C127&lt;&gt;(AT127)," * La suma de las columnas "&amp;AS$10&amp;""&amp;" DEBE SER IGUAL a los Exámenes Procesados. ","")</f>
        <v xml:space="preserve"> * La suma de las columnas POR SEXO (Procesados) DEBE SER IGUAL a los Exámenes Procesados. </v>
      </c>
      <c r="CC127" s="1865" t="e">
        <f t="shared" si="313"/>
        <v>#VALUE!</v>
      </c>
      <c r="CD127" s="1865" t="str">
        <f t="shared" si="314"/>
        <v xml:space="preserve"> *El Número de Pueblos Originarios no puede superar el Total Procesados. </v>
      </c>
      <c r="CE127" s="1865" t="str">
        <f t="shared" si="315"/>
        <v xml:space="preserve"> *El Número de Migrantes no puede superar el Total Procesados. </v>
      </c>
      <c r="CF127" s="1866"/>
      <c r="CG127" s="1866"/>
      <c r="CH127" s="1866"/>
      <c r="CI127" s="1866"/>
      <c r="CJ127" s="1866"/>
      <c r="CK127" s="1865" t="str">
        <f t="shared" si="316"/>
        <v>* El total de Procesados debe ser mayor o igual al total de Reactivos en el grupo de edad 10 - 14 años</v>
      </c>
      <c r="CL127" s="1865" t="str">
        <f t="shared" si="317"/>
        <v>* El total de Procesados debe ser mayor o igual al total de Reactivos en el grupo de edad 15 - 19 años</v>
      </c>
      <c r="CM127" s="1865" t="str">
        <f t="shared" si="318"/>
        <v>* El total de Procesados debe ser mayor o igual al total de Reactivos en el grupo de edad 20 - 24 años</v>
      </c>
      <c r="CN127" s="1865" t="str">
        <f t="shared" si="347"/>
        <v>* El total de Procesados debe ser mayor o igual al total de Reactivos en el grupo de edad 25 - 29 años</v>
      </c>
      <c r="CO127" s="1865" t="str">
        <f t="shared" si="319"/>
        <v>* El total de Procesados debe ser mayor o igual al total de Reactivos en el grupo de edad 30 - 34 años</v>
      </c>
      <c r="CP127" s="1865" t="str">
        <f t="shared" si="320"/>
        <v>* El total de Procesados debe ser mayor o igual al total de Reactivos en el grupo de edad 35 - 39 años</v>
      </c>
      <c r="CQ127" s="1865" t="str">
        <f t="shared" si="321"/>
        <v>* El total de Procesados debe ser mayor o igual al total de Reactivos en el grupo de edad 40 - 44 años</v>
      </c>
      <c r="CR127" s="1865" t="str">
        <f t="shared" si="322"/>
        <v>* El total de Procesados debe ser mayor o igual al total de Reactivos en el grupo de edad 45 - 49 años</v>
      </c>
      <c r="CS127" s="1865" t="str">
        <f t="shared" si="323"/>
        <v>* El total de Procesados debe ser mayor o igual al total de Reactivos en el grupo de edad 50 - 54 años</v>
      </c>
      <c r="CT127" s="1865" t="str">
        <f t="shared" si="324"/>
        <v>* El total de Procesados debe ser mayor o igual al total de Reactivos en el grupo de edad 55 - 59 años</v>
      </c>
      <c r="CU127" s="1865" t="str">
        <f t="shared" si="325"/>
        <v>* El total de Procesados debe ser mayor o igual al total de Reactivos en el grupo de edad 60 - 64 años</v>
      </c>
      <c r="CV127" s="1865" t="str">
        <f t="shared" si="326"/>
        <v>* El total de Procesados debe ser mayor o igual al total de Reactivos en el grupo de edad 65 - 69 años</v>
      </c>
      <c r="CW127" s="1865" t="str">
        <f t="shared" si="327"/>
        <v>* El total de Procesados debe ser mayor o igual al total de Reactivos en el grupo de edad 70 - 74 años</v>
      </c>
      <c r="CX127" s="1865" t="str">
        <f t="shared" si="328"/>
        <v>* El total de Procesados debe ser mayor o igual al total de Reactivos en el grupo de edad 75 - 79 años</v>
      </c>
      <c r="CY127" s="1865" t="str">
        <f t="shared" si="329"/>
        <v>* El total de Procesados debe ser mayor o igual al total de Reactivos en el grupo de edad 80 y más años</v>
      </c>
      <c r="DF127" s="1936"/>
      <c r="DG127" s="3922">
        <f>IF(C127&lt;&gt;(AT127),1,0)</f>
        <v>1</v>
      </c>
      <c r="DH127" s="3906" t="e">
        <f t="shared" si="330"/>
        <v>#VALUE!</v>
      </c>
      <c r="DI127" s="3906">
        <f t="shared" si="331"/>
        <v>1</v>
      </c>
      <c r="DJ127" s="3906">
        <f t="shared" si="332"/>
        <v>1</v>
      </c>
      <c r="DK127" s="1866"/>
      <c r="DL127" s="1866"/>
      <c r="DM127" s="1866"/>
      <c r="DN127" s="1866"/>
      <c r="DO127" s="1866"/>
      <c r="DP127" s="3906">
        <f t="shared" si="333"/>
        <v>1</v>
      </c>
      <c r="DQ127" s="3906">
        <f t="shared" si="334"/>
        <v>1</v>
      </c>
      <c r="DR127" s="3906">
        <f t="shared" si="335"/>
        <v>1</v>
      </c>
      <c r="DS127" s="3906">
        <f t="shared" si="348"/>
        <v>1</v>
      </c>
      <c r="DT127" s="3906">
        <f t="shared" si="336"/>
        <v>1</v>
      </c>
      <c r="DU127" s="3906">
        <f t="shared" si="337"/>
        <v>1</v>
      </c>
      <c r="DV127" s="3906">
        <f t="shared" si="338"/>
        <v>1</v>
      </c>
      <c r="DW127" s="3906">
        <f t="shared" si="339"/>
        <v>1</v>
      </c>
      <c r="DX127" s="3906">
        <f t="shared" si="340"/>
        <v>1</v>
      </c>
      <c r="DY127" s="3906">
        <f t="shared" si="341"/>
        <v>1</v>
      </c>
      <c r="DZ127" s="3906">
        <f t="shared" si="342"/>
        <v>1</v>
      </c>
      <c r="EA127" s="3906">
        <f t="shared" si="343"/>
        <v>1</v>
      </c>
      <c r="EB127" s="3906">
        <f t="shared" si="344"/>
        <v>1</v>
      </c>
      <c r="EC127" s="3906">
        <f t="shared" si="345"/>
        <v>1</v>
      </c>
      <c r="ED127" s="3906">
        <f t="shared" si="346"/>
        <v>1</v>
      </c>
    </row>
    <row r="128" spans="1:134" x14ac:dyDescent="0.25">
      <c r="A128" s="5601">
        <v>11056459</v>
      </c>
      <c r="B128" s="3924" t="s">
        <v>1871</v>
      </c>
      <c r="C128" s="3908" t="s">
        <v>4567</v>
      </c>
      <c r="D128" s="344" t="s">
        <v>4568</v>
      </c>
      <c r="E128" s="3918" t="s">
        <v>4569</v>
      </c>
      <c r="F128" s="3910" t="s">
        <v>4570</v>
      </c>
      <c r="G128" s="3909" t="s">
        <v>4571</v>
      </c>
      <c r="H128" s="3910" t="s">
        <v>4572</v>
      </c>
      <c r="I128" s="3909" t="s">
        <v>4573</v>
      </c>
      <c r="J128" s="3910" t="s">
        <v>4574</v>
      </c>
      <c r="K128" s="3909" t="s">
        <v>4575</v>
      </c>
      <c r="L128" s="3910" t="s">
        <v>4576</v>
      </c>
      <c r="M128" s="3909" t="s">
        <v>4577</v>
      </c>
      <c r="N128" s="3911" t="s">
        <v>4578</v>
      </c>
      <c r="O128" s="3904" t="s">
        <v>4579</v>
      </c>
      <c r="P128" s="3912" t="s">
        <v>4580</v>
      </c>
      <c r="Q128" s="3913" t="s">
        <v>4581</v>
      </c>
      <c r="R128" s="3912" t="s">
        <v>4582</v>
      </c>
      <c r="S128" s="3913" t="s">
        <v>4583</v>
      </c>
      <c r="T128" s="3912" t="s">
        <v>4584</v>
      </c>
      <c r="U128" s="3913" t="s">
        <v>4585</v>
      </c>
      <c r="V128" s="3912" t="s">
        <v>4586</v>
      </c>
      <c r="W128" s="3913" t="s">
        <v>4587</v>
      </c>
      <c r="X128" s="3912" t="s">
        <v>4588</v>
      </c>
      <c r="Y128" s="3913" t="s">
        <v>4589</v>
      </c>
      <c r="Z128" s="3912" t="s">
        <v>4590</v>
      </c>
      <c r="AA128" s="3913" t="s">
        <v>4591</v>
      </c>
      <c r="AB128" s="3912" t="s">
        <v>4592</v>
      </c>
      <c r="AC128" s="3913" t="s">
        <v>4593</v>
      </c>
      <c r="AD128" s="3912" t="s">
        <v>4594</v>
      </c>
      <c r="AE128" s="3913" t="s">
        <v>4595</v>
      </c>
      <c r="AF128" s="3912" t="s">
        <v>4596</v>
      </c>
      <c r="AG128" s="3913" t="s">
        <v>4597</v>
      </c>
      <c r="AH128" s="3912" t="s">
        <v>4598</v>
      </c>
      <c r="AI128" s="3913" t="s">
        <v>4599</v>
      </c>
      <c r="AJ128" s="3912" t="s">
        <v>4600</v>
      </c>
      <c r="AK128" s="3913" t="s">
        <v>4601</v>
      </c>
      <c r="AL128" s="3912" t="s">
        <v>4602</v>
      </c>
      <c r="AM128" s="3913" t="s">
        <v>4603</v>
      </c>
      <c r="AN128" s="3912" t="s">
        <v>4604</v>
      </c>
      <c r="AO128" s="3913" t="s">
        <v>4605</v>
      </c>
      <c r="AP128" s="3912" t="s">
        <v>4606</v>
      </c>
      <c r="AQ128" s="3913" t="s">
        <v>4934</v>
      </c>
      <c r="AR128" s="3902" t="s">
        <v>4935</v>
      </c>
      <c r="AS128" s="3904" t="s">
        <v>4936</v>
      </c>
      <c r="AT128" s="3902" t="s">
        <v>4937</v>
      </c>
      <c r="AU128" s="3903" t="s">
        <v>5234</v>
      </c>
      <c r="AV128" s="3902" t="s">
        <v>5235</v>
      </c>
      <c r="AW128" s="3904" t="s">
        <v>5236</v>
      </c>
      <c r="AX128" s="3905" t="s">
        <v>5237</v>
      </c>
      <c r="AY128" s="1864" t="e">
        <f t="shared" si="312"/>
        <v>#VALUE!</v>
      </c>
      <c r="CB128" s="1865" t="e">
        <f>IF(C128&lt;&gt;(AT128+AS128)," * La suma de las columnas "&amp;AS$10&amp;""&amp;" DEBE SER IGUAL a los Exámenes Procesados. ","")</f>
        <v>#VALUE!</v>
      </c>
      <c r="CC128" s="1865" t="e">
        <f t="shared" si="313"/>
        <v>#VALUE!</v>
      </c>
      <c r="CD128" s="1865" t="str">
        <f t="shared" si="314"/>
        <v xml:space="preserve"> *El Número de Pueblos Originarios no puede superar el Total Procesados. </v>
      </c>
      <c r="CE128" s="1865" t="str">
        <f t="shared" si="315"/>
        <v xml:space="preserve"> *El Número de Migrantes no puede superar el Total Procesados. </v>
      </c>
      <c r="CF128" s="1866"/>
      <c r="CG128" s="1866"/>
      <c r="CH128" s="1866"/>
      <c r="CI128" s="1866"/>
      <c r="CJ128" s="1866"/>
      <c r="CK128" s="1865" t="str">
        <f t="shared" si="316"/>
        <v>* El total de Procesados debe ser mayor o igual al total de Reactivos en el grupo de edad 10 - 14 años</v>
      </c>
      <c r="CL128" s="1865" t="str">
        <f t="shared" si="317"/>
        <v>* El total de Procesados debe ser mayor o igual al total de Reactivos en el grupo de edad 15 - 19 años</v>
      </c>
      <c r="CM128" s="1865" t="str">
        <f t="shared" si="318"/>
        <v>* El total de Procesados debe ser mayor o igual al total de Reactivos en el grupo de edad 20 - 24 años</v>
      </c>
      <c r="CN128" s="1865" t="str">
        <f t="shared" si="347"/>
        <v>* El total de Procesados debe ser mayor o igual al total de Reactivos en el grupo de edad 25 - 29 años</v>
      </c>
      <c r="CO128" s="1865" t="str">
        <f t="shared" si="319"/>
        <v>* El total de Procesados debe ser mayor o igual al total de Reactivos en el grupo de edad 30 - 34 años</v>
      </c>
      <c r="CP128" s="1865" t="str">
        <f t="shared" si="320"/>
        <v>* El total de Procesados debe ser mayor o igual al total de Reactivos en el grupo de edad 35 - 39 años</v>
      </c>
      <c r="CQ128" s="1865" t="str">
        <f t="shared" si="321"/>
        <v>* El total de Procesados debe ser mayor o igual al total de Reactivos en el grupo de edad 40 - 44 años</v>
      </c>
      <c r="CR128" s="1865" t="str">
        <f t="shared" si="322"/>
        <v>* El total de Procesados debe ser mayor o igual al total de Reactivos en el grupo de edad 45 - 49 años</v>
      </c>
      <c r="CS128" s="1865" t="str">
        <f t="shared" si="323"/>
        <v>* El total de Procesados debe ser mayor o igual al total de Reactivos en el grupo de edad 50 - 54 años</v>
      </c>
      <c r="CT128" s="1865" t="str">
        <f t="shared" si="324"/>
        <v>* El total de Procesados debe ser mayor o igual al total de Reactivos en el grupo de edad 55 - 59 años</v>
      </c>
      <c r="CU128" s="1865" t="str">
        <f t="shared" si="325"/>
        <v>* El total de Procesados debe ser mayor o igual al total de Reactivos en el grupo de edad 60 - 64 años</v>
      </c>
      <c r="CV128" s="1865" t="str">
        <f t="shared" si="326"/>
        <v>* El total de Procesados debe ser mayor o igual al total de Reactivos en el grupo de edad 65 - 69 años</v>
      </c>
      <c r="CW128" s="1865" t="str">
        <f t="shared" si="327"/>
        <v>* El total de Procesados debe ser mayor o igual al total de Reactivos en el grupo de edad 70 - 74 años</v>
      </c>
      <c r="CX128" s="1865" t="str">
        <f t="shared" si="328"/>
        <v>* El total de Procesados debe ser mayor o igual al total de Reactivos en el grupo de edad 75 - 79 años</v>
      </c>
      <c r="CY128" s="1865" t="str">
        <f t="shared" si="329"/>
        <v>* El total de Procesados debe ser mayor o igual al total de Reactivos en el grupo de edad 80 y más años</v>
      </c>
      <c r="DF128" s="1936"/>
      <c r="DG128" s="3922" t="e">
        <f>IF(C128&lt;&gt;(AT128+AS128),1,0)</f>
        <v>#VALUE!</v>
      </c>
      <c r="DH128" s="3906" t="e">
        <f t="shared" si="330"/>
        <v>#VALUE!</v>
      </c>
      <c r="DI128" s="3906">
        <f t="shared" si="331"/>
        <v>1</v>
      </c>
      <c r="DJ128" s="3906">
        <f t="shared" si="332"/>
        <v>1</v>
      </c>
      <c r="DK128" s="1866"/>
      <c r="DL128" s="1866"/>
      <c r="DM128" s="1866"/>
      <c r="DN128" s="1866"/>
      <c r="DO128" s="1866"/>
      <c r="DP128" s="3906">
        <f t="shared" si="333"/>
        <v>1</v>
      </c>
      <c r="DQ128" s="3906">
        <f t="shared" si="334"/>
        <v>1</v>
      </c>
      <c r="DR128" s="3906">
        <f t="shared" si="335"/>
        <v>1</v>
      </c>
      <c r="DS128" s="3906">
        <f t="shared" si="348"/>
        <v>1</v>
      </c>
      <c r="DT128" s="3906">
        <f t="shared" si="336"/>
        <v>1</v>
      </c>
      <c r="DU128" s="3906">
        <f t="shared" si="337"/>
        <v>1</v>
      </c>
      <c r="DV128" s="3906">
        <f t="shared" si="338"/>
        <v>1</v>
      </c>
      <c r="DW128" s="3906">
        <f t="shared" si="339"/>
        <v>1</v>
      </c>
      <c r="DX128" s="3906">
        <f t="shared" si="340"/>
        <v>1</v>
      </c>
      <c r="DY128" s="3906">
        <f t="shared" si="341"/>
        <v>1</v>
      </c>
      <c r="DZ128" s="3906">
        <f t="shared" si="342"/>
        <v>1</v>
      </c>
      <c r="EA128" s="3906">
        <f t="shared" si="343"/>
        <v>1</v>
      </c>
      <c r="EB128" s="3906">
        <f t="shared" si="344"/>
        <v>1</v>
      </c>
      <c r="EC128" s="3906">
        <f t="shared" si="345"/>
        <v>1</v>
      </c>
      <c r="ED128" s="3906">
        <f t="shared" si="346"/>
        <v>1</v>
      </c>
    </row>
    <row r="129" spans="1:134" x14ac:dyDescent="0.25">
      <c r="A129" s="5601">
        <v>11056460</v>
      </c>
      <c r="B129" s="3924" t="s">
        <v>1872</v>
      </c>
      <c r="C129" s="3908" t="s">
        <v>4567</v>
      </c>
      <c r="D129" s="344" t="s">
        <v>4568</v>
      </c>
      <c r="E129" s="3918" t="s">
        <v>4569</v>
      </c>
      <c r="F129" s="3910" t="s">
        <v>4570</v>
      </c>
      <c r="G129" s="3909" t="s">
        <v>4571</v>
      </c>
      <c r="H129" s="3910" t="s">
        <v>4572</v>
      </c>
      <c r="I129" s="3909" t="s">
        <v>4573</v>
      </c>
      <c r="J129" s="3910" t="s">
        <v>4574</v>
      </c>
      <c r="K129" s="3909" t="s">
        <v>4575</v>
      </c>
      <c r="L129" s="3910" t="s">
        <v>4576</v>
      </c>
      <c r="M129" s="3909" t="s">
        <v>4577</v>
      </c>
      <c r="N129" s="3911" t="s">
        <v>4578</v>
      </c>
      <c r="O129" s="3904" t="s">
        <v>4579</v>
      </c>
      <c r="P129" s="3912" t="s">
        <v>4580</v>
      </c>
      <c r="Q129" s="3913" t="s">
        <v>4581</v>
      </c>
      <c r="R129" s="3912" t="s">
        <v>4582</v>
      </c>
      <c r="S129" s="3913" t="s">
        <v>4583</v>
      </c>
      <c r="T129" s="3912" t="s">
        <v>4584</v>
      </c>
      <c r="U129" s="3913" t="s">
        <v>4585</v>
      </c>
      <c r="V129" s="3912" t="s">
        <v>4586</v>
      </c>
      <c r="W129" s="3913" t="s">
        <v>4587</v>
      </c>
      <c r="X129" s="3912" t="s">
        <v>4588</v>
      </c>
      <c r="Y129" s="3913" t="s">
        <v>4589</v>
      </c>
      <c r="Z129" s="3912" t="s">
        <v>4590</v>
      </c>
      <c r="AA129" s="3913" t="s">
        <v>4591</v>
      </c>
      <c r="AB129" s="3912" t="s">
        <v>4592</v>
      </c>
      <c r="AC129" s="3913" t="s">
        <v>4593</v>
      </c>
      <c r="AD129" s="3912" t="s">
        <v>4594</v>
      </c>
      <c r="AE129" s="3913" t="s">
        <v>4595</v>
      </c>
      <c r="AF129" s="3912" t="s">
        <v>4596</v>
      </c>
      <c r="AG129" s="3913" t="s">
        <v>4597</v>
      </c>
      <c r="AH129" s="3912" t="s">
        <v>4598</v>
      </c>
      <c r="AI129" s="3913" t="s">
        <v>4599</v>
      </c>
      <c r="AJ129" s="3912" t="s">
        <v>4600</v>
      </c>
      <c r="AK129" s="3913" t="s">
        <v>4601</v>
      </c>
      <c r="AL129" s="3912" t="s">
        <v>4602</v>
      </c>
      <c r="AM129" s="3913" t="s">
        <v>4603</v>
      </c>
      <c r="AN129" s="3912" t="s">
        <v>4604</v>
      </c>
      <c r="AO129" s="3913" t="s">
        <v>4605</v>
      </c>
      <c r="AP129" s="3912" t="s">
        <v>4606</v>
      </c>
      <c r="AQ129" s="3913" t="s">
        <v>4934</v>
      </c>
      <c r="AR129" s="3902" t="s">
        <v>4935</v>
      </c>
      <c r="AS129" s="3901" t="s">
        <v>4936</v>
      </c>
      <c r="AT129" s="3902" t="s">
        <v>4937</v>
      </c>
      <c r="AU129" s="3903" t="s">
        <v>5234</v>
      </c>
      <c r="AV129" s="3902" t="s">
        <v>5235</v>
      </c>
      <c r="AW129" s="3904" t="s">
        <v>5236</v>
      </c>
      <c r="AX129" s="3905" t="s">
        <v>5237</v>
      </c>
      <c r="AY129" s="1864" t="e">
        <f t="shared" si="312"/>
        <v>#VALUE!</v>
      </c>
      <c r="CB129" s="1865" t="str">
        <f>IF(C129&lt;&gt;(AT129)," * La suma de las columnas "&amp;AS$10&amp;""&amp;" DEBE SER IGUAL a los Exámenes Procesados. ","")</f>
        <v xml:space="preserve"> * La suma de las columnas POR SEXO (Procesados) DEBE SER IGUAL a los Exámenes Procesados. </v>
      </c>
      <c r="CC129" s="1865" t="e">
        <f t="shared" si="313"/>
        <v>#VALUE!</v>
      </c>
      <c r="CD129" s="1865" t="str">
        <f t="shared" si="314"/>
        <v xml:space="preserve"> *El Número de Pueblos Originarios no puede superar el Total Procesados. </v>
      </c>
      <c r="CE129" s="1865" t="str">
        <f t="shared" si="315"/>
        <v xml:space="preserve"> *El Número de Migrantes no puede superar el Total Procesados. </v>
      </c>
      <c r="CF129" s="1866"/>
      <c r="CG129" s="1866"/>
      <c r="CH129" s="1866"/>
      <c r="CI129" s="1866"/>
      <c r="CJ129" s="1866"/>
      <c r="CK129" s="1865" t="str">
        <f t="shared" si="316"/>
        <v>* El total de Procesados debe ser mayor o igual al total de Reactivos en el grupo de edad 10 - 14 años</v>
      </c>
      <c r="CL129" s="1865" t="str">
        <f t="shared" si="317"/>
        <v>* El total de Procesados debe ser mayor o igual al total de Reactivos en el grupo de edad 15 - 19 años</v>
      </c>
      <c r="CM129" s="1865" t="str">
        <f t="shared" si="318"/>
        <v>* El total de Procesados debe ser mayor o igual al total de Reactivos en el grupo de edad 20 - 24 años</v>
      </c>
      <c r="CN129" s="1865" t="str">
        <f t="shared" si="347"/>
        <v>* El total de Procesados debe ser mayor o igual al total de Reactivos en el grupo de edad 25 - 29 años</v>
      </c>
      <c r="CO129" s="1865" t="str">
        <f t="shared" si="319"/>
        <v>* El total de Procesados debe ser mayor o igual al total de Reactivos en el grupo de edad 30 - 34 años</v>
      </c>
      <c r="CP129" s="1865" t="str">
        <f t="shared" si="320"/>
        <v>* El total de Procesados debe ser mayor o igual al total de Reactivos en el grupo de edad 35 - 39 años</v>
      </c>
      <c r="CQ129" s="1865" t="str">
        <f t="shared" si="321"/>
        <v>* El total de Procesados debe ser mayor o igual al total de Reactivos en el grupo de edad 40 - 44 años</v>
      </c>
      <c r="CR129" s="1865" t="str">
        <f t="shared" si="322"/>
        <v>* El total de Procesados debe ser mayor o igual al total de Reactivos en el grupo de edad 45 - 49 años</v>
      </c>
      <c r="CS129" s="1865" t="str">
        <f t="shared" si="323"/>
        <v>* El total de Procesados debe ser mayor o igual al total de Reactivos en el grupo de edad 50 - 54 años</v>
      </c>
      <c r="CT129" s="1865" t="str">
        <f t="shared" si="324"/>
        <v>* El total de Procesados debe ser mayor o igual al total de Reactivos en el grupo de edad 55 - 59 años</v>
      </c>
      <c r="CU129" s="1865" t="str">
        <f t="shared" si="325"/>
        <v>* El total de Procesados debe ser mayor o igual al total de Reactivos en el grupo de edad 60 - 64 años</v>
      </c>
      <c r="CV129" s="1865" t="str">
        <f t="shared" si="326"/>
        <v>* El total de Procesados debe ser mayor o igual al total de Reactivos en el grupo de edad 65 - 69 años</v>
      </c>
      <c r="CW129" s="1865" t="str">
        <f t="shared" si="327"/>
        <v>* El total de Procesados debe ser mayor o igual al total de Reactivos en el grupo de edad 70 - 74 años</v>
      </c>
      <c r="CX129" s="1865" t="str">
        <f t="shared" si="328"/>
        <v>* El total de Procesados debe ser mayor o igual al total de Reactivos en el grupo de edad 75 - 79 años</v>
      </c>
      <c r="CY129" s="1865" t="str">
        <f t="shared" si="329"/>
        <v>* El total de Procesados debe ser mayor o igual al total de Reactivos en el grupo de edad 80 y más años</v>
      </c>
      <c r="DF129" s="1936"/>
      <c r="DG129" s="3922">
        <f>IF(C129&lt;&gt;(AT129),1,0)</f>
        <v>1</v>
      </c>
      <c r="DH129" s="3906" t="e">
        <f t="shared" si="330"/>
        <v>#VALUE!</v>
      </c>
      <c r="DI129" s="3906">
        <f t="shared" si="331"/>
        <v>1</v>
      </c>
      <c r="DJ129" s="3906">
        <f t="shared" si="332"/>
        <v>1</v>
      </c>
      <c r="DK129" s="1866"/>
      <c r="DL129" s="1866"/>
      <c r="DM129" s="1866"/>
      <c r="DN129" s="1866"/>
      <c r="DO129" s="1866"/>
      <c r="DP129" s="3906">
        <f t="shared" si="333"/>
        <v>1</v>
      </c>
      <c r="DQ129" s="3906">
        <f t="shared" si="334"/>
        <v>1</v>
      </c>
      <c r="DR129" s="3906">
        <f t="shared" si="335"/>
        <v>1</v>
      </c>
      <c r="DS129" s="3906">
        <f t="shared" si="348"/>
        <v>1</v>
      </c>
      <c r="DT129" s="3906">
        <f t="shared" si="336"/>
        <v>1</v>
      </c>
      <c r="DU129" s="3906">
        <f t="shared" si="337"/>
        <v>1</v>
      </c>
      <c r="DV129" s="3906">
        <f t="shared" si="338"/>
        <v>1</v>
      </c>
      <c r="DW129" s="3906">
        <f t="shared" si="339"/>
        <v>1</v>
      </c>
      <c r="DX129" s="3906">
        <f t="shared" si="340"/>
        <v>1</v>
      </c>
      <c r="DY129" s="3906">
        <f t="shared" si="341"/>
        <v>1</v>
      </c>
      <c r="DZ129" s="3906">
        <f t="shared" si="342"/>
        <v>1</v>
      </c>
      <c r="EA129" s="3906">
        <f t="shared" si="343"/>
        <v>1</v>
      </c>
      <c r="EB129" s="3906">
        <f t="shared" si="344"/>
        <v>1</v>
      </c>
      <c r="EC129" s="3906">
        <f t="shared" si="345"/>
        <v>1</v>
      </c>
      <c r="ED129" s="3906">
        <f t="shared" si="346"/>
        <v>1</v>
      </c>
    </row>
    <row r="130" spans="1:134" x14ac:dyDescent="0.25">
      <c r="A130" s="5601">
        <v>11056461</v>
      </c>
      <c r="B130" s="3923" t="s">
        <v>1873</v>
      </c>
      <c r="C130" s="3908" t="s">
        <v>4567</v>
      </c>
      <c r="D130" s="344" t="s">
        <v>4568</v>
      </c>
      <c r="E130" s="3918" t="s">
        <v>4569</v>
      </c>
      <c r="F130" s="3910" t="s">
        <v>4570</v>
      </c>
      <c r="G130" s="3909" t="s">
        <v>4571</v>
      </c>
      <c r="H130" s="3910" t="s">
        <v>4572</v>
      </c>
      <c r="I130" s="3909" t="s">
        <v>4573</v>
      </c>
      <c r="J130" s="3910" t="s">
        <v>4574</v>
      </c>
      <c r="K130" s="3909" t="s">
        <v>4575</v>
      </c>
      <c r="L130" s="3910" t="s">
        <v>4576</v>
      </c>
      <c r="M130" s="3909" t="s">
        <v>4577</v>
      </c>
      <c r="N130" s="3911" t="s">
        <v>4578</v>
      </c>
      <c r="O130" s="3904" t="s">
        <v>4579</v>
      </c>
      <c r="P130" s="3912" t="s">
        <v>4580</v>
      </c>
      <c r="Q130" s="3913" t="s">
        <v>4581</v>
      </c>
      <c r="R130" s="3912" t="s">
        <v>4582</v>
      </c>
      <c r="S130" s="3913" t="s">
        <v>4583</v>
      </c>
      <c r="T130" s="3912" t="s">
        <v>4584</v>
      </c>
      <c r="U130" s="3913" t="s">
        <v>4585</v>
      </c>
      <c r="V130" s="3912" t="s">
        <v>4586</v>
      </c>
      <c r="W130" s="3913" t="s">
        <v>4587</v>
      </c>
      <c r="X130" s="3912" t="s">
        <v>4588</v>
      </c>
      <c r="Y130" s="3913" t="s">
        <v>4589</v>
      </c>
      <c r="Z130" s="3912" t="s">
        <v>4590</v>
      </c>
      <c r="AA130" s="3913" t="s">
        <v>4591</v>
      </c>
      <c r="AB130" s="3912" t="s">
        <v>4592</v>
      </c>
      <c r="AC130" s="3913" t="s">
        <v>4593</v>
      </c>
      <c r="AD130" s="3912" t="s">
        <v>4594</v>
      </c>
      <c r="AE130" s="3913" t="s">
        <v>4595</v>
      </c>
      <c r="AF130" s="3912" t="s">
        <v>4596</v>
      </c>
      <c r="AG130" s="3913" t="s">
        <v>4597</v>
      </c>
      <c r="AH130" s="3912" t="s">
        <v>4598</v>
      </c>
      <c r="AI130" s="3913" t="s">
        <v>4599</v>
      </c>
      <c r="AJ130" s="3912" t="s">
        <v>4600</v>
      </c>
      <c r="AK130" s="3913" t="s">
        <v>4601</v>
      </c>
      <c r="AL130" s="3912" t="s">
        <v>4602</v>
      </c>
      <c r="AM130" s="3913" t="s">
        <v>4603</v>
      </c>
      <c r="AN130" s="3912" t="s">
        <v>4604</v>
      </c>
      <c r="AO130" s="3913" t="s">
        <v>4605</v>
      </c>
      <c r="AP130" s="3912" t="s">
        <v>4606</v>
      </c>
      <c r="AQ130" s="3913" t="s">
        <v>4934</v>
      </c>
      <c r="AR130" s="3902" t="s">
        <v>4935</v>
      </c>
      <c r="AS130" s="3901" t="s">
        <v>4936</v>
      </c>
      <c r="AT130" s="3902" t="s">
        <v>4937</v>
      </c>
      <c r="AU130" s="3903" t="s">
        <v>5234</v>
      </c>
      <c r="AV130" s="3902" t="s">
        <v>5235</v>
      </c>
      <c r="AW130" s="3904" t="s">
        <v>5236</v>
      </c>
      <c r="AX130" s="3905" t="s">
        <v>5237</v>
      </c>
      <c r="AY130" s="1864" t="e">
        <f t="shared" si="312"/>
        <v>#VALUE!</v>
      </c>
      <c r="CB130" s="1865" t="str">
        <f>IF(C130&lt;&gt;(AT130)," * La suma de las columnas "&amp;AS$10&amp;""&amp;" DEBE SER IGUAL a los Exámenes Procesados. ","")</f>
        <v xml:space="preserve"> * La suma de las columnas POR SEXO (Procesados) DEBE SER IGUAL a los Exámenes Procesados. </v>
      </c>
      <c r="CC130" s="1865" t="e">
        <f t="shared" si="313"/>
        <v>#VALUE!</v>
      </c>
      <c r="CD130" s="1865" t="str">
        <f t="shared" si="314"/>
        <v xml:space="preserve"> *El Número de Pueblos Originarios no puede superar el Total Procesados. </v>
      </c>
      <c r="CE130" s="1865" t="str">
        <f t="shared" si="315"/>
        <v xml:space="preserve"> *El Número de Migrantes no puede superar el Total Procesados. </v>
      </c>
      <c r="CF130" s="1866"/>
      <c r="CG130" s="1866"/>
      <c r="CH130" s="1866"/>
      <c r="CI130" s="1866"/>
      <c r="CJ130" s="1866"/>
      <c r="CK130" s="1865" t="str">
        <f t="shared" si="316"/>
        <v>* El total de Procesados debe ser mayor o igual al total de Reactivos en el grupo de edad 10 - 14 años</v>
      </c>
      <c r="CL130" s="1865" t="str">
        <f t="shared" si="317"/>
        <v>* El total de Procesados debe ser mayor o igual al total de Reactivos en el grupo de edad 15 - 19 años</v>
      </c>
      <c r="CM130" s="1865" t="str">
        <f t="shared" si="318"/>
        <v>* El total de Procesados debe ser mayor o igual al total de Reactivos en el grupo de edad 20 - 24 años</v>
      </c>
      <c r="CN130" s="1865" t="str">
        <f t="shared" si="347"/>
        <v>* El total de Procesados debe ser mayor o igual al total de Reactivos en el grupo de edad 25 - 29 años</v>
      </c>
      <c r="CO130" s="1865" t="str">
        <f t="shared" si="319"/>
        <v>* El total de Procesados debe ser mayor o igual al total de Reactivos en el grupo de edad 30 - 34 años</v>
      </c>
      <c r="CP130" s="1865" t="str">
        <f t="shared" si="320"/>
        <v>* El total de Procesados debe ser mayor o igual al total de Reactivos en el grupo de edad 35 - 39 años</v>
      </c>
      <c r="CQ130" s="1865" t="str">
        <f t="shared" si="321"/>
        <v>* El total de Procesados debe ser mayor o igual al total de Reactivos en el grupo de edad 40 - 44 años</v>
      </c>
      <c r="CR130" s="1865" t="str">
        <f t="shared" si="322"/>
        <v>* El total de Procesados debe ser mayor o igual al total de Reactivos en el grupo de edad 45 - 49 años</v>
      </c>
      <c r="CS130" s="1865" t="str">
        <f t="shared" si="323"/>
        <v>* El total de Procesados debe ser mayor o igual al total de Reactivos en el grupo de edad 50 - 54 años</v>
      </c>
      <c r="CT130" s="1865" t="str">
        <f t="shared" si="324"/>
        <v>* El total de Procesados debe ser mayor o igual al total de Reactivos en el grupo de edad 55 - 59 años</v>
      </c>
      <c r="CU130" s="1865" t="str">
        <f t="shared" si="325"/>
        <v>* El total de Procesados debe ser mayor o igual al total de Reactivos en el grupo de edad 60 - 64 años</v>
      </c>
      <c r="CV130" s="1865" t="str">
        <f t="shared" si="326"/>
        <v>* El total de Procesados debe ser mayor o igual al total de Reactivos en el grupo de edad 65 - 69 años</v>
      </c>
      <c r="CW130" s="1865" t="str">
        <f t="shared" si="327"/>
        <v>* El total de Procesados debe ser mayor o igual al total de Reactivos en el grupo de edad 70 - 74 años</v>
      </c>
      <c r="CX130" s="1865" t="str">
        <f t="shared" si="328"/>
        <v>* El total de Procesados debe ser mayor o igual al total de Reactivos en el grupo de edad 75 - 79 años</v>
      </c>
      <c r="CY130" s="1865" t="str">
        <f t="shared" si="329"/>
        <v>* El total de Procesados debe ser mayor o igual al total de Reactivos en el grupo de edad 80 y más años</v>
      </c>
      <c r="DF130" s="1936"/>
      <c r="DG130" s="3922">
        <f>IF(C130&lt;&gt;(AT130),1,0)</f>
        <v>1</v>
      </c>
      <c r="DH130" s="3906" t="e">
        <f t="shared" si="330"/>
        <v>#VALUE!</v>
      </c>
      <c r="DI130" s="3906">
        <f t="shared" si="331"/>
        <v>1</v>
      </c>
      <c r="DJ130" s="3906">
        <f t="shared" si="332"/>
        <v>1</v>
      </c>
      <c r="DK130" s="1866"/>
      <c r="DL130" s="1866"/>
      <c r="DM130" s="1866"/>
      <c r="DN130" s="1866"/>
      <c r="DO130" s="1866"/>
      <c r="DP130" s="3906">
        <f t="shared" si="333"/>
        <v>1</v>
      </c>
      <c r="DQ130" s="3906">
        <f t="shared" si="334"/>
        <v>1</v>
      </c>
      <c r="DR130" s="3906">
        <f t="shared" si="335"/>
        <v>1</v>
      </c>
      <c r="DS130" s="3906">
        <f t="shared" si="348"/>
        <v>1</v>
      </c>
      <c r="DT130" s="3906">
        <f t="shared" si="336"/>
        <v>1</v>
      </c>
      <c r="DU130" s="3906">
        <f t="shared" si="337"/>
        <v>1</v>
      </c>
      <c r="DV130" s="3906">
        <f t="shared" si="338"/>
        <v>1</v>
      </c>
      <c r="DW130" s="3906">
        <f t="shared" si="339"/>
        <v>1</v>
      </c>
      <c r="DX130" s="3906">
        <f t="shared" si="340"/>
        <v>1</v>
      </c>
      <c r="DY130" s="3906">
        <f t="shared" si="341"/>
        <v>1</v>
      </c>
      <c r="DZ130" s="3906">
        <f t="shared" si="342"/>
        <v>1</v>
      </c>
      <c r="EA130" s="3906">
        <f t="shared" si="343"/>
        <v>1</v>
      </c>
      <c r="EB130" s="3906">
        <f t="shared" si="344"/>
        <v>1</v>
      </c>
      <c r="EC130" s="3906">
        <f t="shared" si="345"/>
        <v>1</v>
      </c>
      <c r="ED130" s="3906">
        <f t="shared" si="346"/>
        <v>1</v>
      </c>
    </row>
    <row r="131" spans="1:134" x14ac:dyDescent="0.25">
      <c r="A131" s="5601">
        <v>11056462</v>
      </c>
      <c r="B131" s="3923" t="s">
        <v>1874</v>
      </c>
      <c r="C131" s="3908" t="s">
        <v>4567</v>
      </c>
      <c r="D131" s="344" t="s">
        <v>4568</v>
      </c>
      <c r="E131" s="3904" t="s">
        <v>4569</v>
      </c>
      <c r="F131" s="3912" t="s">
        <v>4570</v>
      </c>
      <c r="G131" s="3913" t="s">
        <v>4571</v>
      </c>
      <c r="H131" s="3912" t="s">
        <v>4572</v>
      </c>
      <c r="I131" s="3913" t="s">
        <v>4573</v>
      </c>
      <c r="J131" s="3905" t="s">
        <v>4574</v>
      </c>
      <c r="K131" s="3904" t="s">
        <v>4575</v>
      </c>
      <c r="L131" s="3904" t="s">
        <v>4576</v>
      </c>
      <c r="M131" s="3913" t="s">
        <v>4577</v>
      </c>
      <c r="N131" s="3905" t="s">
        <v>4578</v>
      </c>
      <c r="O131" s="3904" t="s">
        <v>4579</v>
      </c>
      <c r="P131" s="3912" t="s">
        <v>4580</v>
      </c>
      <c r="Q131" s="3913" t="s">
        <v>4581</v>
      </c>
      <c r="R131" s="3912" t="s">
        <v>4582</v>
      </c>
      <c r="S131" s="3913" t="s">
        <v>4583</v>
      </c>
      <c r="T131" s="3912" t="s">
        <v>4584</v>
      </c>
      <c r="U131" s="3913" t="s">
        <v>4585</v>
      </c>
      <c r="V131" s="3912" t="s">
        <v>4586</v>
      </c>
      <c r="W131" s="3913" t="s">
        <v>4587</v>
      </c>
      <c r="X131" s="3912" t="s">
        <v>4588</v>
      </c>
      <c r="Y131" s="3913" t="s">
        <v>4589</v>
      </c>
      <c r="Z131" s="3912" t="s">
        <v>4590</v>
      </c>
      <c r="AA131" s="3913" t="s">
        <v>4591</v>
      </c>
      <c r="AB131" s="3912" t="s">
        <v>4592</v>
      </c>
      <c r="AC131" s="3913" t="s">
        <v>4593</v>
      </c>
      <c r="AD131" s="3912" t="s">
        <v>4594</v>
      </c>
      <c r="AE131" s="3913" t="s">
        <v>4595</v>
      </c>
      <c r="AF131" s="3912" t="s">
        <v>4596</v>
      </c>
      <c r="AG131" s="3913" t="s">
        <v>4597</v>
      </c>
      <c r="AH131" s="3912" t="s">
        <v>4598</v>
      </c>
      <c r="AI131" s="3913" t="s">
        <v>4599</v>
      </c>
      <c r="AJ131" s="3912" t="s">
        <v>4600</v>
      </c>
      <c r="AK131" s="3913" t="s">
        <v>4601</v>
      </c>
      <c r="AL131" s="3912" t="s">
        <v>4602</v>
      </c>
      <c r="AM131" s="3913" t="s">
        <v>4603</v>
      </c>
      <c r="AN131" s="3912" t="s">
        <v>4604</v>
      </c>
      <c r="AO131" s="3913" t="s">
        <v>4605</v>
      </c>
      <c r="AP131" s="3912" t="s">
        <v>4606</v>
      </c>
      <c r="AQ131" s="3913" t="s">
        <v>4934</v>
      </c>
      <c r="AR131" s="3902" t="s">
        <v>4935</v>
      </c>
      <c r="AS131" s="3901" t="s">
        <v>4936</v>
      </c>
      <c r="AT131" s="3902" t="s">
        <v>4937</v>
      </c>
      <c r="AU131" s="3903" t="s">
        <v>5234</v>
      </c>
      <c r="AV131" s="3902" t="s">
        <v>5235</v>
      </c>
      <c r="AW131" s="3904" t="s">
        <v>5236</v>
      </c>
      <c r="AX131" s="3905" t="s">
        <v>5237</v>
      </c>
      <c r="AY131" s="1864" t="e">
        <f>$CB131&amp;CC131&amp;CD131&amp;$CE131&amp;CK131&amp;CF131&amp;CG131&amp;CH131&amp;CI131&amp;CJ131&amp;CL131&amp;CM131&amp;CN131&amp;CO131&amp;CP131&amp;CQ131&amp;CR131&amp;CS131&amp;CT131&amp;CU131&amp;CV131&amp;CW131&amp;CX131&amp;CY131</f>
        <v>#VALUE!</v>
      </c>
      <c r="CB131" s="1865" t="str">
        <f>IF(C131&lt;&gt;(AT131)," * La suma de las columnas "&amp;AS$10&amp;""&amp;" DEBE SER IGUAL a los Exámenes Procesados. ","")</f>
        <v xml:space="preserve"> * La suma de las columnas POR SEXO (Procesados) DEBE SER IGUAL a los Exámenes Procesados. </v>
      </c>
      <c r="CC131" s="1865" t="e">
        <f t="shared" si="313"/>
        <v>#VALUE!</v>
      </c>
      <c r="CD131" s="1865" t="str">
        <f t="shared" si="314"/>
        <v xml:space="preserve"> *El Número de Pueblos Originarios no puede superar el Total Procesados. </v>
      </c>
      <c r="CE131" s="1865" t="str">
        <f t="shared" si="315"/>
        <v xml:space="preserve"> *El Número de Migrantes no puede superar el Total Procesados. </v>
      </c>
      <c r="CF131" s="1865" t="str">
        <f>IF(E131&lt;F131,CONCATENATE("* El total de Procesados debe ser mayor o igual al total de Reactivos en el grupo de edad ",$E$11),"")</f>
        <v>* El total de Procesados debe ser mayor o igual al total de Reactivos en el grupo de edad Menos de 6 meses</v>
      </c>
      <c r="CG131" s="1865" t="str">
        <f>IF(G131&lt;H131,CONCATENATE("* El total de Procesados debe ser mayor o igual al total de Reactivos en el grupo de edad ",$G$11),"")</f>
        <v>* El total de Procesados debe ser mayor o igual al total de Reactivos en el grupo de edad 6 - 11 meses</v>
      </c>
      <c r="CH131" s="1865" t="str">
        <f>IF(I131&lt;J131,CONCATENATE("* El total de Procesados debe ser mayor o igual al total de Reactivos en el grupo de edad ",$I$11),"")</f>
        <v>* El total de Procesados debe ser mayor o igual al total de Reactivos en el grupo de edad 12-24 meses</v>
      </c>
      <c r="CI131" s="1865" t="str">
        <f>IF(K131&lt;L131,CONCATENATE("* El total de Procesados debe ser mayor o igual al total de Reactivos en el grupo de edad ",$K$11),"")</f>
        <v>* El total de Procesados debe ser mayor o igual al total de Reactivos en el grupo de edad 3 - 4 años</v>
      </c>
      <c r="CJ131" s="1865" t="str">
        <f>IF(M131&lt;N131,CONCATENATE("* El total de Procesados debe ser mayor o igual al total de Reactivos en el grupo de edad ",$M$11),"")</f>
        <v>* El total de Procesados debe ser mayor o igual al total de Reactivos en el grupo de edad 5 - 9 años</v>
      </c>
      <c r="CK131" s="1865" t="str">
        <f t="shared" si="316"/>
        <v>* El total de Procesados debe ser mayor o igual al total de Reactivos en el grupo de edad 10 - 14 años</v>
      </c>
      <c r="CL131" s="1865" t="str">
        <f t="shared" si="317"/>
        <v>* El total de Procesados debe ser mayor o igual al total de Reactivos en el grupo de edad 15 - 19 años</v>
      </c>
      <c r="CM131" s="1865" t="str">
        <f t="shared" si="318"/>
        <v>* El total de Procesados debe ser mayor o igual al total de Reactivos en el grupo de edad 20 - 24 años</v>
      </c>
      <c r="CN131" s="1865" t="str">
        <f t="shared" si="347"/>
        <v>* El total de Procesados debe ser mayor o igual al total de Reactivos en el grupo de edad 25 - 29 años</v>
      </c>
      <c r="CO131" s="1865" t="str">
        <f t="shared" si="319"/>
        <v>* El total de Procesados debe ser mayor o igual al total de Reactivos en el grupo de edad 30 - 34 años</v>
      </c>
      <c r="CP131" s="1865" t="str">
        <f t="shared" si="320"/>
        <v>* El total de Procesados debe ser mayor o igual al total de Reactivos en el grupo de edad 35 - 39 años</v>
      </c>
      <c r="CQ131" s="1865" t="str">
        <f t="shared" si="321"/>
        <v>* El total de Procesados debe ser mayor o igual al total de Reactivos en el grupo de edad 40 - 44 años</v>
      </c>
      <c r="CR131" s="1865" t="str">
        <f t="shared" si="322"/>
        <v>* El total de Procesados debe ser mayor o igual al total de Reactivos en el grupo de edad 45 - 49 años</v>
      </c>
      <c r="CS131" s="1865" t="str">
        <f t="shared" si="323"/>
        <v>* El total de Procesados debe ser mayor o igual al total de Reactivos en el grupo de edad 50 - 54 años</v>
      </c>
      <c r="CT131" s="1865" t="str">
        <f t="shared" si="324"/>
        <v>* El total de Procesados debe ser mayor o igual al total de Reactivos en el grupo de edad 55 - 59 años</v>
      </c>
      <c r="CU131" s="1865" t="str">
        <f t="shared" si="325"/>
        <v>* El total de Procesados debe ser mayor o igual al total de Reactivos en el grupo de edad 60 - 64 años</v>
      </c>
      <c r="CV131" s="1865" t="str">
        <f t="shared" si="326"/>
        <v>* El total de Procesados debe ser mayor o igual al total de Reactivos en el grupo de edad 65 - 69 años</v>
      </c>
      <c r="CW131" s="1865" t="str">
        <f t="shared" si="327"/>
        <v>* El total de Procesados debe ser mayor o igual al total de Reactivos en el grupo de edad 70 - 74 años</v>
      </c>
      <c r="CX131" s="1865" t="str">
        <f t="shared" si="328"/>
        <v>* El total de Procesados debe ser mayor o igual al total de Reactivos en el grupo de edad 75 - 79 años</v>
      </c>
      <c r="CY131" s="1865" t="str">
        <f t="shared" si="329"/>
        <v>* El total de Procesados debe ser mayor o igual al total de Reactivos en el grupo de edad 80 y más años</v>
      </c>
      <c r="DF131" s="1936"/>
      <c r="DG131" s="3922">
        <f>IF(C131&lt;&gt;(AT131),1,0)</f>
        <v>1</v>
      </c>
      <c r="DH131" s="3906" t="e">
        <f t="shared" si="330"/>
        <v>#VALUE!</v>
      </c>
      <c r="DI131" s="3906">
        <f t="shared" si="331"/>
        <v>1</v>
      </c>
      <c r="DJ131" s="3906">
        <f t="shared" si="332"/>
        <v>1</v>
      </c>
      <c r="DK131" s="3906">
        <f>IF(E131&lt;F131,1,0)</f>
        <v>1</v>
      </c>
      <c r="DL131" s="3906">
        <f>IF(G131&lt;H131,1,0)</f>
        <v>1</v>
      </c>
      <c r="DM131" s="3906">
        <f>IF(I131&lt;J131,1,0)</f>
        <v>1</v>
      </c>
      <c r="DN131" s="3906">
        <f>IF(K131&lt;L131,1,0)</f>
        <v>1</v>
      </c>
      <c r="DO131" s="3906">
        <f>IF(M131&lt;N131,1,0)</f>
        <v>1</v>
      </c>
      <c r="DP131" s="3906">
        <f t="shared" si="333"/>
        <v>1</v>
      </c>
      <c r="DQ131" s="3906">
        <f t="shared" si="334"/>
        <v>1</v>
      </c>
      <c r="DR131" s="3906">
        <f t="shared" si="335"/>
        <v>1</v>
      </c>
      <c r="DS131" s="3906">
        <f t="shared" si="348"/>
        <v>1</v>
      </c>
      <c r="DT131" s="3906">
        <f t="shared" si="336"/>
        <v>1</v>
      </c>
      <c r="DU131" s="3906">
        <f t="shared" si="337"/>
        <v>1</v>
      </c>
      <c r="DV131" s="3906">
        <f t="shared" si="338"/>
        <v>1</v>
      </c>
      <c r="DW131" s="3906">
        <f t="shared" si="339"/>
        <v>1</v>
      </c>
      <c r="DX131" s="3906">
        <f t="shared" si="340"/>
        <v>1</v>
      </c>
      <c r="DY131" s="3906">
        <f t="shared" si="341"/>
        <v>1</v>
      </c>
      <c r="DZ131" s="3906">
        <f t="shared" si="342"/>
        <v>1</v>
      </c>
      <c r="EA131" s="3906">
        <f t="shared" si="343"/>
        <v>1</v>
      </c>
      <c r="EB131" s="3906">
        <f t="shared" si="344"/>
        <v>1</v>
      </c>
      <c r="EC131" s="3906">
        <f t="shared" si="345"/>
        <v>1</v>
      </c>
      <c r="ED131" s="3906">
        <f t="shared" si="346"/>
        <v>1</v>
      </c>
    </row>
    <row r="132" spans="1:134" ht="21" x14ac:dyDescent="0.25">
      <c r="A132" s="5601">
        <v>11056463</v>
      </c>
      <c r="B132" s="3924" t="s">
        <v>1875</v>
      </c>
      <c r="C132" s="3908" t="s">
        <v>4567</v>
      </c>
      <c r="D132" s="344" t="s">
        <v>4568</v>
      </c>
      <c r="E132" s="3904" t="s">
        <v>4569</v>
      </c>
      <c r="F132" s="3912" t="s">
        <v>4570</v>
      </c>
      <c r="G132" s="3913" t="s">
        <v>4571</v>
      </c>
      <c r="H132" s="3912" t="s">
        <v>4572</v>
      </c>
      <c r="I132" s="3913" t="s">
        <v>4573</v>
      </c>
      <c r="J132" s="3905" t="s">
        <v>4574</v>
      </c>
      <c r="K132" s="3914" t="s">
        <v>4575</v>
      </c>
      <c r="L132" s="3915" t="s">
        <v>4576</v>
      </c>
      <c r="M132" s="3914" t="s">
        <v>4577</v>
      </c>
      <c r="N132" s="3915" t="s">
        <v>4578</v>
      </c>
      <c r="O132" s="3914" t="s">
        <v>4579</v>
      </c>
      <c r="P132" s="3915" t="s">
        <v>4580</v>
      </c>
      <c r="Q132" s="3914" t="s">
        <v>4581</v>
      </c>
      <c r="R132" s="3915" t="s">
        <v>4582</v>
      </c>
      <c r="S132" s="3914" t="s">
        <v>4583</v>
      </c>
      <c r="T132" s="3915" t="s">
        <v>4584</v>
      </c>
      <c r="U132" s="3914" t="s">
        <v>4585</v>
      </c>
      <c r="V132" s="3915" t="s">
        <v>4586</v>
      </c>
      <c r="W132" s="3914" t="s">
        <v>4587</v>
      </c>
      <c r="X132" s="3915" t="s">
        <v>4588</v>
      </c>
      <c r="Y132" s="3914" t="s">
        <v>4589</v>
      </c>
      <c r="Z132" s="3915" t="s">
        <v>4590</v>
      </c>
      <c r="AA132" s="3914" t="s">
        <v>4591</v>
      </c>
      <c r="AB132" s="3915" t="s">
        <v>4592</v>
      </c>
      <c r="AC132" s="3914" t="s">
        <v>4593</v>
      </c>
      <c r="AD132" s="3915" t="s">
        <v>4594</v>
      </c>
      <c r="AE132" s="3914" t="s">
        <v>4595</v>
      </c>
      <c r="AF132" s="3915" t="s">
        <v>4596</v>
      </c>
      <c r="AG132" s="3914" t="s">
        <v>4597</v>
      </c>
      <c r="AH132" s="3915" t="s">
        <v>4598</v>
      </c>
      <c r="AI132" s="3914" t="s">
        <v>4599</v>
      </c>
      <c r="AJ132" s="3915" t="s">
        <v>4600</v>
      </c>
      <c r="AK132" s="3914" t="s">
        <v>4601</v>
      </c>
      <c r="AL132" s="3915" t="s">
        <v>4602</v>
      </c>
      <c r="AM132" s="3914" t="s">
        <v>4603</v>
      </c>
      <c r="AN132" s="3915" t="s">
        <v>4604</v>
      </c>
      <c r="AO132" s="3914" t="s">
        <v>4605</v>
      </c>
      <c r="AP132" s="3915" t="s">
        <v>4606</v>
      </c>
      <c r="AQ132" s="3914" t="s">
        <v>4934</v>
      </c>
      <c r="AR132" s="3916" t="s">
        <v>4935</v>
      </c>
      <c r="AS132" s="3904" t="s">
        <v>4936</v>
      </c>
      <c r="AT132" s="3902" t="s">
        <v>4937</v>
      </c>
      <c r="AU132" s="3903" t="s">
        <v>5234</v>
      </c>
      <c r="AV132" s="3902" t="s">
        <v>5235</v>
      </c>
      <c r="AW132" s="3904" t="s">
        <v>5236</v>
      </c>
      <c r="AX132" s="3905" t="s">
        <v>5237</v>
      </c>
      <c r="AY132" s="1864" t="e">
        <f>$CB132&amp;CC132&amp;CD132&amp;$CE132&amp;CF132&amp;CG132&amp;CH132</f>
        <v>#VALUE!</v>
      </c>
      <c r="CB132" s="1865" t="e">
        <f t="shared" ref="CB132:CB140" si="349">IF(C132&lt;&gt;(AT132+AS132)," * La suma de las columnas "&amp;AS$10&amp;""&amp;" DEBE SER IGUAL a los Exámenes Procesados. ","")</f>
        <v>#VALUE!</v>
      </c>
      <c r="CC132" s="1865" t="e">
        <f t="shared" si="313"/>
        <v>#VALUE!</v>
      </c>
      <c r="CD132" s="1865" t="str">
        <f t="shared" si="314"/>
        <v xml:space="preserve"> *El Número de Pueblos Originarios no puede superar el Total Procesados. </v>
      </c>
      <c r="CE132" s="1865" t="str">
        <f t="shared" si="315"/>
        <v xml:space="preserve"> *El Número de Migrantes no puede superar el Total Procesados. </v>
      </c>
      <c r="CF132" s="1865" t="str">
        <f>IF(E132&lt;F132,CONCATENATE("* El total de Procesados debe ser mayor o igual al total de Reactivos en el grupo de edad ",$E$11),"")</f>
        <v>* El total de Procesados debe ser mayor o igual al total de Reactivos en el grupo de edad Menos de 6 meses</v>
      </c>
      <c r="CG132" s="1865" t="str">
        <f>IF(G132&lt;H132,CONCATENATE("* El total de Procesados debe ser mayor o igual al total de Reactivos en el grupo de edad ",$G$11),"")</f>
        <v>* El total de Procesados debe ser mayor o igual al total de Reactivos en el grupo de edad 6 - 11 meses</v>
      </c>
      <c r="CH132" s="1865" t="str">
        <f>IF(I132&lt;J132,CONCATENATE("* El total de Procesados debe ser mayor o igual al total de Reactivos en el grupo de edad ",$I$11),"")</f>
        <v>* El total de Procesados debe ser mayor o igual al total de Reactivos en el grupo de edad 12-24 meses</v>
      </c>
      <c r="CI132" s="1868"/>
      <c r="CJ132" s="1868"/>
      <c r="CK132" s="3917"/>
      <c r="CL132" s="1868"/>
      <c r="CM132" s="1868"/>
      <c r="CN132" s="1868"/>
      <c r="CO132" s="1868"/>
      <c r="CP132" s="1868"/>
      <c r="CQ132" s="1868"/>
      <c r="CR132" s="1868"/>
      <c r="CS132" s="1868"/>
      <c r="CT132" s="1868"/>
      <c r="CU132" s="1868"/>
      <c r="CV132" s="1868"/>
      <c r="CW132" s="1868"/>
      <c r="CX132" s="1868"/>
      <c r="CY132" s="1868"/>
      <c r="DF132" s="1936"/>
      <c r="DG132" s="3922" t="e">
        <f t="shared" ref="DG132:DG140" si="350">IF(C132&lt;&gt;(AT132+AS132),1,0)</f>
        <v>#VALUE!</v>
      </c>
      <c r="DH132" s="3906" t="e">
        <f t="shared" si="330"/>
        <v>#VALUE!</v>
      </c>
      <c r="DI132" s="3906">
        <f t="shared" si="331"/>
        <v>1</v>
      </c>
      <c r="DJ132" s="3906">
        <f t="shared" si="332"/>
        <v>1</v>
      </c>
      <c r="DK132" s="3906">
        <f>IF(E132&lt;F132,1,0)</f>
        <v>1</v>
      </c>
      <c r="DL132" s="3906">
        <f>IF(G132&lt;H132,1,0)</f>
        <v>1</v>
      </c>
      <c r="DM132" s="3906">
        <f>IF(I132&lt;J132,1,0)</f>
        <v>1</v>
      </c>
      <c r="DN132" s="1868"/>
      <c r="DO132" s="1868"/>
      <c r="DP132" s="1866"/>
      <c r="DQ132" s="1866"/>
      <c r="DR132" s="1866"/>
      <c r="DS132" s="1866"/>
      <c r="DT132" s="1866"/>
      <c r="DU132" s="1866"/>
      <c r="DV132" s="1866"/>
      <c r="DW132" s="1866"/>
      <c r="DX132" s="1866"/>
      <c r="DY132" s="1866"/>
      <c r="DZ132" s="1866"/>
      <c r="EA132" s="1866"/>
      <c r="EB132" s="1866"/>
      <c r="EC132" s="1866"/>
      <c r="ED132" s="1866"/>
    </row>
    <row r="133" spans="1:134" x14ac:dyDescent="0.25">
      <c r="A133" s="5601">
        <v>11056464</v>
      </c>
      <c r="B133" s="3924" t="s">
        <v>1876</v>
      </c>
      <c r="C133" s="3908" t="s">
        <v>4567</v>
      </c>
      <c r="D133" s="344" t="s">
        <v>4568</v>
      </c>
      <c r="E133" s="3918" t="s">
        <v>4569</v>
      </c>
      <c r="F133" s="3910" t="s">
        <v>4570</v>
      </c>
      <c r="G133" s="3909" t="s">
        <v>4571</v>
      </c>
      <c r="H133" s="3910" t="s">
        <v>4572</v>
      </c>
      <c r="I133" s="3909" t="s">
        <v>4573</v>
      </c>
      <c r="J133" s="3910" t="s">
        <v>4574</v>
      </c>
      <c r="K133" s="3909" t="s">
        <v>4575</v>
      </c>
      <c r="L133" s="3910" t="s">
        <v>4576</v>
      </c>
      <c r="M133" s="3909" t="s">
        <v>4577</v>
      </c>
      <c r="N133" s="3911" t="s">
        <v>4578</v>
      </c>
      <c r="O133" s="3918" t="s">
        <v>4579</v>
      </c>
      <c r="P133" s="3910" t="s">
        <v>4580</v>
      </c>
      <c r="Q133" s="3913" t="s">
        <v>4581</v>
      </c>
      <c r="R133" s="3912" t="s">
        <v>4582</v>
      </c>
      <c r="S133" s="3913" t="s">
        <v>4583</v>
      </c>
      <c r="T133" s="3912" t="s">
        <v>4584</v>
      </c>
      <c r="U133" s="3913" t="s">
        <v>4585</v>
      </c>
      <c r="V133" s="3912" t="s">
        <v>4586</v>
      </c>
      <c r="W133" s="3913" t="s">
        <v>4587</v>
      </c>
      <c r="X133" s="3912" t="s">
        <v>4588</v>
      </c>
      <c r="Y133" s="3913" t="s">
        <v>4589</v>
      </c>
      <c r="Z133" s="3912" t="s">
        <v>4590</v>
      </c>
      <c r="AA133" s="3913" t="s">
        <v>4591</v>
      </c>
      <c r="AB133" s="3912" t="s">
        <v>4592</v>
      </c>
      <c r="AC133" s="3913" t="s">
        <v>4593</v>
      </c>
      <c r="AD133" s="3912" t="s">
        <v>4594</v>
      </c>
      <c r="AE133" s="3913" t="s">
        <v>4595</v>
      </c>
      <c r="AF133" s="3912" t="s">
        <v>4596</v>
      </c>
      <c r="AG133" s="3913" t="s">
        <v>4597</v>
      </c>
      <c r="AH133" s="3912" t="s">
        <v>4598</v>
      </c>
      <c r="AI133" s="3913" t="s">
        <v>4599</v>
      </c>
      <c r="AJ133" s="3912" t="s">
        <v>4600</v>
      </c>
      <c r="AK133" s="3913" t="s">
        <v>4601</v>
      </c>
      <c r="AL133" s="3912" t="s">
        <v>4602</v>
      </c>
      <c r="AM133" s="3913" t="s">
        <v>4603</v>
      </c>
      <c r="AN133" s="3912" t="s">
        <v>4604</v>
      </c>
      <c r="AO133" s="3913" t="s">
        <v>4605</v>
      </c>
      <c r="AP133" s="3912" t="s">
        <v>4606</v>
      </c>
      <c r="AQ133" s="3913" t="s">
        <v>4934</v>
      </c>
      <c r="AR133" s="3902" t="s">
        <v>4935</v>
      </c>
      <c r="AS133" s="3904" t="s">
        <v>4936</v>
      </c>
      <c r="AT133" s="3902" t="s">
        <v>4937</v>
      </c>
      <c r="AU133" s="3903" t="s">
        <v>5234</v>
      </c>
      <c r="AV133" s="3902" t="s">
        <v>5235</v>
      </c>
      <c r="AW133" s="3904" t="s">
        <v>5236</v>
      </c>
      <c r="AX133" s="3905" t="s">
        <v>5237</v>
      </c>
      <c r="AY133" s="1864" t="e">
        <f>$CB133&amp;CC133&amp;CD133&amp;$CE133&amp;CL133&amp;CM133&amp;CN133&amp;CO133&amp;CP133&amp;CQ133&amp;CR133&amp;CS133&amp;CT133&amp;CU133&amp;CV133&amp;CW133&amp;CX133&amp;CY133</f>
        <v>#VALUE!</v>
      </c>
      <c r="CB133" s="1865" t="e">
        <f t="shared" si="349"/>
        <v>#VALUE!</v>
      </c>
      <c r="CC133" s="1865" t="e">
        <f t="shared" si="313"/>
        <v>#VALUE!</v>
      </c>
      <c r="CD133" s="1865" t="str">
        <f t="shared" si="314"/>
        <v xml:space="preserve"> *El Número de Pueblos Originarios no puede superar el Total Procesados. </v>
      </c>
      <c r="CE133" s="1865" t="str">
        <f t="shared" si="315"/>
        <v xml:space="preserve"> *El Número de Migrantes no puede superar el Total Procesados. </v>
      </c>
      <c r="CF133" s="3917"/>
      <c r="CG133" s="3917"/>
      <c r="CH133" s="1868"/>
      <c r="CI133" s="1868"/>
      <c r="CJ133" s="1868"/>
      <c r="CK133" s="3917"/>
      <c r="CL133" s="1865" t="str">
        <f t="shared" ref="CL133:CL140" si="351">IF(Q133&lt;R133,CONCATENATE("* El total de Procesados debe ser mayor o igual al total de Reactivos en el grupo de edad ",$Q$11),"")</f>
        <v>* El total de Procesados debe ser mayor o igual al total de Reactivos en el grupo de edad 15 - 19 años</v>
      </c>
      <c r="CM133" s="1865" t="str">
        <f t="shared" ref="CM133:CM140" si="352">IF(S133&lt;T133,CONCATENATE("* El total de Procesados debe ser mayor o igual al total de Reactivos en el grupo de edad ",$S$11),"")</f>
        <v>* El total de Procesados debe ser mayor o igual al total de Reactivos en el grupo de edad 20 - 24 años</v>
      </c>
      <c r="CN133" s="1865" t="str">
        <f t="shared" si="347"/>
        <v>* El total de Procesados debe ser mayor o igual al total de Reactivos en el grupo de edad 25 - 29 años</v>
      </c>
      <c r="CO133" s="1865" t="str">
        <f t="shared" ref="CO133:CO140" si="353">IF(W133&lt;X133,CONCATENATE("* El total de Procesados debe ser mayor o igual al total de Reactivos en el grupo de edad ",$W$11),"")</f>
        <v>* El total de Procesados debe ser mayor o igual al total de Reactivos en el grupo de edad 30 - 34 años</v>
      </c>
      <c r="CP133" s="1865" t="str">
        <f t="shared" ref="CP133:CP140" si="354">IF(Y133&lt;Z133,CONCATENATE("* El total de Procesados debe ser mayor o igual al total de Reactivos en el grupo de edad ",$Y$11),"")</f>
        <v>* El total de Procesados debe ser mayor o igual al total de Reactivos en el grupo de edad 35 - 39 años</v>
      </c>
      <c r="CQ133" s="1865" t="str">
        <f t="shared" ref="CQ133:CQ140" si="355">IF(AA133&lt;AB133,CONCATENATE("* El total de Procesados debe ser mayor o igual al total de Reactivos en el grupo de edad ",$AA$11),"")</f>
        <v>* El total de Procesados debe ser mayor o igual al total de Reactivos en el grupo de edad 40 - 44 años</v>
      </c>
      <c r="CR133" s="1865" t="str">
        <f t="shared" ref="CR133:CR140" si="356">IF(AC133&lt;AD133,CONCATENATE("* El total de Procesados debe ser mayor o igual al total de Reactivos en el grupo de edad ",$AC$11),"")</f>
        <v>* El total de Procesados debe ser mayor o igual al total de Reactivos en el grupo de edad 45 - 49 años</v>
      </c>
      <c r="CS133" s="1865" t="str">
        <f t="shared" ref="CS133:CS140" si="357">IF(AE133&lt;AF133,CONCATENATE("* El total de Procesados debe ser mayor o igual al total de Reactivos en el grupo de edad ",$AE$11),"")</f>
        <v>* El total de Procesados debe ser mayor o igual al total de Reactivos en el grupo de edad 50 - 54 años</v>
      </c>
      <c r="CT133" s="1865" t="str">
        <f t="shared" ref="CT133:CT140" si="358">IF(AG133&lt;AH133,CONCATENATE("* El total de Procesados debe ser mayor o igual al total de Reactivos en el grupo de edad ",$AG$11),"")</f>
        <v>* El total de Procesados debe ser mayor o igual al total de Reactivos en el grupo de edad 55 - 59 años</v>
      </c>
      <c r="CU133" s="1865" t="str">
        <f t="shared" ref="CU133:CU140" si="359">IF(AI133&lt;AJ133,CONCATENATE("* El total de Procesados debe ser mayor o igual al total de Reactivos en el grupo de edad ",$AI$11),"")</f>
        <v>* El total de Procesados debe ser mayor o igual al total de Reactivos en el grupo de edad 60 - 64 años</v>
      </c>
      <c r="CV133" s="1865" t="str">
        <f>IF(AK133&lt;AL133,CONCATENATE("* El total de Procesados debe ser mayor o igual al total de Reactivos en el grupo de edad ",$AK$11),"")</f>
        <v>* El total de Procesados debe ser mayor o igual al total de Reactivos en el grupo de edad 65 - 69 años</v>
      </c>
      <c r="CW133" s="1865" t="str">
        <f>IF(AM133&lt;AN133,CONCATENATE("* El total de Procesados debe ser mayor o igual al total de Reactivos en el grupo de edad ",$AM$11),"")</f>
        <v>* El total de Procesados debe ser mayor o igual al total de Reactivos en el grupo de edad 70 - 74 años</v>
      </c>
      <c r="CX133" s="1865" t="str">
        <f>IF(AO133&lt;AP133,CONCATENATE("* El total de Procesados debe ser mayor o igual al total de Reactivos en el grupo de edad ",$AO$11),"")</f>
        <v>* El total de Procesados debe ser mayor o igual al total de Reactivos en el grupo de edad 75 - 79 años</v>
      </c>
      <c r="CY133" s="1865" t="str">
        <f>IF(AQ133&lt;AR133,CONCATENATE("* El total de Procesados debe ser mayor o igual al total de Reactivos en el grupo de edad ",$AQ$11),"")</f>
        <v>* El total de Procesados debe ser mayor o igual al total de Reactivos en el grupo de edad 80 y más años</v>
      </c>
      <c r="DF133" s="1936"/>
      <c r="DG133" s="3922" t="e">
        <f t="shared" si="350"/>
        <v>#VALUE!</v>
      </c>
      <c r="DH133" s="3906" t="e">
        <f t="shared" si="330"/>
        <v>#VALUE!</v>
      </c>
      <c r="DI133" s="3906">
        <f t="shared" si="331"/>
        <v>1</v>
      </c>
      <c r="DJ133" s="3906">
        <f t="shared" si="332"/>
        <v>1</v>
      </c>
      <c r="DK133" s="1868"/>
      <c r="DL133" s="1868"/>
      <c r="DM133" s="1868"/>
      <c r="DN133" s="1868"/>
      <c r="DO133" s="1868"/>
      <c r="DP133" s="1866"/>
      <c r="DQ133" s="3906">
        <f t="shared" ref="DQ133:DQ140" si="360">IF(Q133&lt;R133,1,0)</f>
        <v>1</v>
      </c>
      <c r="DR133" s="3906">
        <f t="shared" ref="DR133:DR140" si="361">IF(S133&lt;T133,1,0)</f>
        <v>1</v>
      </c>
      <c r="DS133" s="3906">
        <f t="shared" si="348"/>
        <v>1</v>
      </c>
      <c r="DT133" s="3906">
        <f t="shared" ref="DT133:DT140" si="362">IF(W133&lt;X133,1,0)</f>
        <v>1</v>
      </c>
      <c r="DU133" s="3906">
        <f t="shared" ref="DU133:DU140" si="363">IF(Y133&lt;Z133,1,0)</f>
        <v>1</v>
      </c>
      <c r="DV133" s="3906">
        <f t="shared" ref="DV133:DV140" si="364">IF(AA133&lt;AB133,1,0)</f>
        <v>1</v>
      </c>
      <c r="DW133" s="3906">
        <f t="shared" ref="DW133:DW140" si="365">IF(AC133&lt;AD133,1,0)</f>
        <v>1</v>
      </c>
      <c r="DX133" s="3906">
        <f t="shared" ref="DX133:DX140" si="366">IF(AE133&lt;AF133,1,0)</f>
        <v>1</v>
      </c>
      <c r="DY133" s="3906">
        <f t="shared" ref="DY133:DY140" si="367">IF(AG133&lt;AH133,1,0)</f>
        <v>1</v>
      </c>
      <c r="DZ133" s="3906">
        <f t="shared" ref="DZ133:DZ140" si="368">IF(AI133&lt;AJ133,1,0)</f>
        <v>1</v>
      </c>
      <c r="EA133" s="3906">
        <f>IF(AK133&lt;AL133,1,0)</f>
        <v>1</v>
      </c>
      <c r="EB133" s="3906">
        <f>IF(AM133&lt;AN133,1,0)</f>
        <v>1</v>
      </c>
      <c r="EC133" s="3906">
        <f>IF(AO133&lt;AP133,1,0)</f>
        <v>1</v>
      </c>
      <c r="ED133" s="3906">
        <f>IF(AQ133&lt;AR133,1,0)</f>
        <v>1</v>
      </c>
    </row>
    <row r="134" spans="1:134" x14ac:dyDescent="0.25">
      <c r="A134" s="5601">
        <v>11056465</v>
      </c>
      <c r="B134" s="3923" t="s">
        <v>1877</v>
      </c>
      <c r="C134" s="3908" t="s">
        <v>4567</v>
      </c>
      <c r="D134" s="344" t="s">
        <v>4568</v>
      </c>
      <c r="E134" s="3901" t="s">
        <v>4569</v>
      </c>
      <c r="F134" s="3915" t="s">
        <v>4570</v>
      </c>
      <c r="G134" s="3914" t="s">
        <v>4571</v>
      </c>
      <c r="H134" s="3915" t="s">
        <v>4572</v>
      </c>
      <c r="I134" s="3914" t="s">
        <v>4573</v>
      </c>
      <c r="J134" s="3919" t="s">
        <v>4574</v>
      </c>
      <c r="K134" s="3901" t="s">
        <v>4575</v>
      </c>
      <c r="L134" s="3901" t="s">
        <v>4576</v>
      </c>
      <c r="M134" s="3914" t="s">
        <v>4577</v>
      </c>
      <c r="N134" s="3919" t="s">
        <v>4578</v>
      </c>
      <c r="O134" s="3904" t="s">
        <v>4579</v>
      </c>
      <c r="P134" s="3912" t="s">
        <v>4580</v>
      </c>
      <c r="Q134" s="3913" t="s">
        <v>4581</v>
      </c>
      <c r="R134" s="3912" t="s">
        <v>4582</v>
      </c>
      <c r="S134" s="3913" t="s">
        <v>4583</v>
      </c>
      <c r="T134" s="3912" t="s">
        <v>4584</v>
      </c>
      <c r="U134" s="3913" t="s">
        <v>4585</v>
      </c>
      <c r="V134" s="3912" t="s">
        <v>4586</v>
      </c>
      <c r="W134" s="3913" t="s">
        <v>4587</v>
      </c>
      <c r="X134" s="3912" t="s">
        <v>4588</v>
      </c>
      <c r="Y134" s="3913" t="s">
        <v>4589</v>
      </c>
      <c r="Z134" s="3912" t="s">
        <v>4590</v>
      </c>
      <c r="AA134" s="3913" t="s">
        <v>4591</v>
      </c>
      <c r="AB134" s="3912" t="s">
        <v>4592</v>
      </c>
      <c r="AC134" s="3913" t="s">
        <v>4593</v>
      </c>
      <c r="AD134" s="3912" t="s">
        <v>4594</v>
      </c>
      <c r="AE134" s="3913" t="s">
        <v>4595</v>
      </c>
      <c r="AF134" s="3912" t="s">
        <v>4596</v>
      </c>
      <c r="AG134" s="3913" t="s">
        <v>4597</v>
      </c>
      <c r="AH134" s="3912" t="s">
        <v>4598</v>
      </c>
      <c r="AI134" s="3913" t="s">
        <v>4599</v>
      </c>
      <c r="AJ134" s="3912" t="s">
        <v>4600</v>
      </c>
      <c r="AK134" s="3913" t="s">
        <v>4601</v>
      </c>
      <c r="AL134" s="3912" t="s">
        <v>4602</v>
      </c>
      <c r="AM134" s="3913" t="s">
        <v>4603</v>
      </c>
      <c r="AN134" s="3912" t="s">
        <v>4604</v>
      </c>
      <c r="AO134" s="3913" t="s">
        <v>4605</v>
      </c>
      <c r="AP134" s="3912" t="s">
        <v>4606</v>
      </c>
      <c r="AQ134" s="3913" t="s">
        <v>4934</v>
      </c>
      <c r="AR134" s="3902" t="s">
        <v>4935</v>
      </c>
      <c r="AS134" s="3904" t="s">
        <v>4936</v>
      </c>
      <c r="AT134" s="3902" t="s">
        <v>4937</v>
      </c>
      <c r="AU134" s="3903" t="s">
        <v>5234</v>
      </c>
      <c r="AV134" s="3902" t="s">
        <v>5235</v>
      </c>
      <c r="AW134" s="3904" t="s">
        <v>5236</v>
      </c>
      <c r="AX134" s="3905" t="s">
        <v>5237</v>
      </c>
      <c r="AY134" s="1864" t="e">
        <f>$CB134&amp;CC134&amp;CD134&amp;$CE134&amp;CK134&amp;CL134&amp;CM134&amp;CN134&amp;CO134&amp;CP134&amp;CQ134&amp;CR134&amp;CS134&amp;CT134&amp;CU134&amp;CV134&amp;CW134&amp;CX134&amp;CY134</f>
        <v>#VALUE!</v>
      </c>
      <c r="CB134" s="1865" t="e">
        <f t="shared" si="349"/>
        <v>#VALUE!</v>
      </c>
      <c r="CC134" s="1865" t="e">
        <f t="shared" si="313"/>
        <v>#VALUE!</v>
      </c>
      <c r="CD134" s="1865" t="str">
        <f t="shared" si="314"/>
        <v xml:space="preserve"> *El Número de Pueblos Originarios no puede superar el Total Procesados. </v>
      </c>
      <c r="CE134" s="1865" t="str">
        <f t="shared" si="315"/>
        <v xml:space="preserve"> *El Número de Migrantes no puede superar el Total Procesados. </v>
      </c>
      <c r="CF134" s="3917"/>
      <c r="CG134" s="3917"/>
      <c r="CH134" s="1868"/>
      <c r="CI134" s="1868"/>
      <c r="CJ134" s="1868"/>
      <c r="CK134" s="1865" t="str">
        <f>IF(O134&lt;P134,CONCATENATE("* El total de Procesados debe ser mayor o igual al total de Reactivos en el grupo de edad ",$O$11),"")</f>
        <v>* El total de Procesados debe ser mayor o igual al total de Reactivos en el grupo de edad 10 - 14 años</v>
      </c>
      <c r="CL134" s="1865" t="str">
        <f t="shared" si="351"/>
        <v>* El total de Procesados debe ser mayor o igual al total de Reactivos en el grupo de edad 15 - 19 años</v>
      </c>
      <c r="CM134" s="1865" t="str">
        <f t="shared" si="352"/>
        <v>* El total de Procesados debe ser mayor o igual al total de Reactivos en el grupo de edad 20 - 24 años</v>
      </c>
      <c r="CN134" s="1865" t="str">
        <f t="shared" si="347"/>
        <v>* El total de Procesados debe ser mayor o igual al total de Reactivos en el grupo de edad 25 - 29 años</v>
      </c>
      <c r="CO134" s="1865" t="str">
        <f t="shared" si="353"/>
        <v>* El total de Procesados debe ser mayor o igual al total de Reactivos en el grupo de edad 30 - 34 años</v>
      </c>
      <c r="CP134" s="1865" t="str">
        <f t="shared" si="354"/>
        <v>* El total de Procesados debe ser mayor o igual al total de Reactivos en el grupo de edad 35 - 39 años</v>
      </c>
      <c r="CQ134" s="1865" t="str">
        <f t="shared" si="355"/>
        <v>* El total de Procesados debe ser mayor o igual al total de Reactivos en el grupo de edad 40 - 44 años</v>
      </c>
      <c r="CR134" s="1865" t="str">
        <f t="shared" si="356"/>
        <v>* El total de Procesados debe ser mayor o igual al total de Reactivos en el grupo de edad 45 - 49 años</v>
      </c>
      <c r="CS134" s="1865" t="str">
        <f t="shared" si="357"/>
        <v>* El total de Procesados debe ser mayor o igual al total de Reactivos en el grupo de edad 50 - 54 años</v>
      </c>
      <c r="CT134" s="1865" t="str">
        <f t="shared" si="358"/>
        <v>* El total de Procesados debe ser mayor o igual al total de Reactivos en el grupo de edad 55 - 59 años</v>
      </c>
      <c r="CU134" s="1865" t="str">
        <f t="shared" si="359"/>
        <v>* El total de Procesados debe ser mayor o igual al total de Reactivos en el grupo de edad 60 - 64 años</v>
      </c>
      <c r="CV134" s="1865" t="str">
        <f>IF(AK134&lt;AL134,CONCATENATE("* El total de Procesados debe ser mayor o igual al total de Reactivos en el grupo de edad ",$AK$11),"")</f>
        <v>* El total de Procesados debe ser mayor o igual al total de Reactivos en el grupo de edad 65 - 69 años</v>
      </c>
      <c r="CW134" s="1865" t="str">
        <f>IF(AM134&lt;AN134,CONCATENATE("* El total de Procesados debe ser mayor o igual al total de Reactivos en el grupo de edad ",$AM$11),"")</f>
        <v>* El total de Procesados debe ser mayor o igual al total de Reactivos en el grupo de edad 70 - 74 años</v>
      </c>
      <c r="CX134" s="1865" t="str">
        <f>IF(AO134&lt;AP134,CONCATENATE("* El total de Procesados debe ser mayor o igual al total de Reactivos en el grupo de edad ",$AO$11),"")</f>
        <v>* El total de Procesados debe ser mayor o igual al total de Reactivos en el grupo de edad 75 - 79 años</v>
      </c>
      <c r="CY134" s="1865" t="str">
        <f>IF(AQ134&lt;AR134,CONCATENATE("* El total de Procesados debe ser mayor o igual al total de Reactivos en el grupo de edad ",$AQ$11),"")</f>
        <v>* El total de Procesados debe ser mayor o igual al total de Reactivos en el grupo de edad 80 y más años</v>
      </c>
      <c r="DF134" s="1936"/>
      <c r="DG134" s="3922" t="e">
        <f t="shared" si="350"/>
        <v>#VALUE!</v>
      </c>
      <c r="DH134" s="3906" t="e">
        <f t="shared" si="330"/>
        <v>#VALUE!</v>
      </c>
      <c r="DI134" s="3906">
        <f t="shared" si="331"/>
        <v>1</v>
      </c>
      <c r="DJ134" s="3906">
        <f t="shared" si="332"/>
        <v>1</v>
      </c>
      <c r="DK134" s="1868"/>
      <c r="DL134" s="1868"/>
      <c r="DM134" s="1868"/>
      <c r="DN134" s="1868"/>
      <c r="DO134" s="1868"/>
      <c r="DP134" s="3906">
        <f>IF(O134&lt;P134,1,0)</f>
        <v>1</v>
      </c>
      <c r="DQ134" s="3906">
        <f t="shared" si="360"/>
        <v>1</v>
      </c>
      <c r="DR134" s="3906">
        <f t="shared" si="361"/>
        <v>1</v>
      </c>
      <c r="DS134" s="3906">
        <f t="shared" si="348"/>
        <v>1</v>
      </c>
      <c r="DT134" s="3906">
        <f t="shared" si="362"/>
        <v>1</v>
      </c>
      <c r="DU134" s="3906">
        <f t="shared" si="363"/>
        <v>1</v>
      </c>
      <c r="DV134" s="3906">
        <f t="shared" si="364"/>
        <v>1</v>
      </c>
      <c r="DW134" s="3906">
        <f t="shared" si="365"/>
        <v>1</v>
      </c>
      <c r="DX134" s="3906">
        <f t="shared" si="366"/>
        <v>1</v>
      </c>
      <c r="DY134" s="3906">
        <f t="shared" si="367"/>
        <v>1</v>
      </c>
      <c r="DZ134" s="3906">
        <f t="shared" si="368"/>
        <v>1</v>
      </c>
      <c r="EA134" s="3906">
        <f>IF(AK134&lt;AL134,1,0)</f>
        <v>1</v>
      </c>
      <c r="EB134" s="3906">
        <f>IF(AM134&lt;AN134,1,0)</f>
        <v>1</v>
      </c>
      <c r="EC134" s="3906">
        <f>IF(AO134&lt;AP134,1,0)</f>
        <v>1</v>
      </c>
      <c r="ED134" s="3906">
        <f>IF(AQ134&lt;AR134,1,0)</f>
        <v>1</v>
      </c>
    </row>
    <row r="135" spans="1:134" x14ac:dyDescent="0.25">
      <c r="A135" s="5601">
        <v>11056466</v>
      </c>
      <c r="B135" s="3923" t="s">
        <v>1878</v>
      </c>
      <c r="C135" s="3908" t="s">
        <v>4567</v>
      </c>
      <c r="D135" s="344" t="s">
        <v>4568</v>
      </c>
      <c r="E135" s="3904" t="s">
        <v>4569</v>
      </c>
      <c r="F135" s="3912" t="s">
        <v>4570</v>
      </c>
      <c r="G135" s="3913" t="s">
        <v>4571</v>
      </c>
      <c r="H135" s="3912" t="s">
        <v>4572</v>
      </c>
      <c r="I135" s="3913" t="s">
        <v>4573</v>
      </c>
      <c r="J135" s="3905" t="s">
        <v>4574</v>
      </c>
      <c r="K135" s="3904" t="s">
        <v>4575</v>
      </c>
      <c r="L135" s="3904" t="s">
        <v>4576</v>
      </c>
      <c r="M135" s="3913" t="s">
        <v>4577</v>
      </c>
      <c r="N135" s="3905" t="s">
        <v>4578</v>
      </c>
      <c r="O135" s="3904" t="s">
        <v>4579</v>
      </c>
      <c r="P135" s="3912" t="s">
        <v>4580</v>
      </c>
      <c r="Q135" s="3913" t="s">
        <v>4581</v>
      </c>
      <c r="R135" s="3912" t="s">
        <v>4582</v>
      </c>
      <c r="S135" s="3913" t="s">
        <v>4583</v>
      </c>
      <c r="T135" s="3912" t="s">
        <v>4584</v>
      </c>
      <c r="U135" s="3913" t="s">
        <v>4585</v>
      </c>
      <c r="V135" s="3912" t="s">
        <v>4586</v>
      </c>
      <c r="W135" s="3913" t="s">
        <v>4587</v>
      </c>
      <c r="X135" s="3912" t="s">
        <v>4588</v>
      </c>
      <c r="Y135" s="3913" t="s">
        <v>4589</v>
      </c>
      <c r="Z135" s="3912" t="s">
        <v>4590</v>
      </c>
      <c r="AA135" s="3913" t="s">
        <v>4591</v>
      </c>
      <c r="AB135" s="3912" t="s">
        <v>4592</v>
      </c>
      <c r="AC135" s="3913" t="s">
        <v>4593</v>
      </c>
      <c r="AD135" s="3912" t="s">
        <v>4594</v>
      </c>
      <c r="AE135" s="3913" t="s">
        <v>4595</v>
      </c>
      <c r="AF135" s="3912" t="s">
        <v>4596</v>
      </c>
      <c r="AG135" s="3913" t="s">
        <v>4597</v>
      </c>
      <c r="AH135" s="3912" t="s">
        <v>4598</v>
      </c>
      <c r="AI135" s="3913" t="s">
        <v>4599</v>
      </c>
      <c r="AJ135" s="3912" t="s">
        <v>4600</v>
      </c>
      <c r="AK135" s="3913" t="s">
        <v>4601</v>
      </c>
      <c r="AL135" s="3912" t="s">
        <v>4602</v>
      </c>
      <c r="AM135" s="3913" t="s">
        <v>4603</v>
      </c>
      <c r="AN135" s="3912" t="s">
        <v>4604</v>
      </c>
      <c r="AO135" s="3913" t="s">
        <v>4605</v>
      </c>
      <c r="AP135" s="3912" t="s">
        <v>4606</v>
      </c>
      <c r="AQ135" s="3913" t="s">
        <v>4934</v>
      </c>
      <c r="AR135" s="3902" t="s">
        <v>4935</v>
      </c>
      <c r="AS135" s="3904" t="s">
        <v>4936</v>
      </c>
      <c r="AT135" s="3902" t="s">
        <v>4937</v>
      </c>
      <c r="AU135" s="3903" t="s">
        <v>5234</v>
      </c>
      <c r="AV135" s="3902" t="s">
        <v>5235</v>
      </c>
      <c r="AW135" s="3904" t="s">
        <v>5236</v>
      </c>
      <c r="AX135" s="3905" t="s">
        <v>5237</v>
      </c>
      <c r="AY135" s="1864" t="e">
        <f>$CB135&amp;CC135&amp;CD135&amp;$CE135&amp;CF135&amp;CG135&amp;CH135&amp;CI135&amp;CJ135&amp;CK135&amp;CL135&amp;CM135&amp;CN135&amp;CO135&amp;CP135&amp;CQ135&amp;CR135&amp;CS135&amp;CT135&amp;CU135&amp;CV135&amp;CW135&amp;CX135&amp;CY135</f>
        <v>#VALUE!</v>
      </c>
      <c r="CB135" s="1865" t="e">
        <f t="shared" si="349"/>
        <v>#VALUE!</v>
      </c>
      <c r="CC135" s="1865" t="e">
        <f t="shared" si="313"/>
        <v>#VALUE!</v>
      </c>
      <c r="CD135" s="1865" t="str">
        <f t="shared" si="314"/>
        <v xml:space="preserve"> *El Número de Pueblos Originarios no puede superar el Total Procesados. </v>
      </c>
      <c r="CE135" s="1865" t="str">
        <f t="shared" si="315"/>
        <v xml:space="preserve"> *El Número de Migrantes no puede superar el Total Procesados. </v>
      </c>
      <c r="CF135" s="1865" t="str">
        <f>IF(E135&lt;F135,CONCATENATE("* El total de Procesados debe ser mayor o igual al total de Reactivos en el grupo de edad ",$E$11),"")</f>
        <v>* El total de Procesados debe ser mayor o igual al total de Reactivos en el grupo de edad Menos de 6 meses</v>
      </c>
      <c r="CG135" s="1865" t="str">
        <f>IF(G135&lt;H135,CONCATENATE("* El total de Procesados debe ser mayor o igual al total de Reactivos en el grupo de edad ",$G$11),"")</f>
        <v>* El total de Procesados debe ser mayor o igual al total de Reactivos en el grupo de edad 6 - 11 meses</v>
      </c>
      <c r="CH135" s="1865" t="str">
        <f>IF(I135&lt;J135,CONCATENATE("* El total de Procesados debe ser mayor o igual al total de Reactivos en el grupo de edad ",$I$11),"")</f>
        <v>* El total de Procesados debe ser mayor o igual al total de Reactivos en el grupo de edad 12-24 meses</v>
      </c>
      <c r="CI135" s="1865" t="str">
        <f>IF(K135&lt;L135,CONCATENATE("* El total de Procesados debe ser mayor o igual al total de Reactivos en el grupo de edad ",$K$11),"")</f>
        <v>* El total de Procesados debe ser mayor o igual al total de Reactivos en el grupo de edad 3 - 4 años</v>
      </c>
      <c r="CJ135" s="1865" t="str">
        <f>IF(M135&lt;N135,CONCATENATE("* El total de Procesados debe ser mayor o igual al total de Reactivos en el grupo de edad ",$M$11),"")</f>
        <v>* El total de Procesados debe ser mayor o igual al total de Reactivos en el grupo de edad 5 - 9 años</v>
      </c>
      <c r="CK135" s="1865" t="str">
        <f>IF(O135&lt;P135,CONCATENATE("* El total de Procesados debe ser mayor o igual al total de Reactivos en el grupo de edad ",$O$11),"")</f>
        <v>* El total de Procesados debe ser mayor o igual al total de Reactivos en el grupo de edad 10 - 14 años</v>
      </c>
      <c r="CL135" s="1865" t="str">
        <f t="shared" si="351"/>
        <v>* El total de Procesados debe ser mayor o igual al total de Reactivos en el grupo de edad 15 - 19 años</v>
      </c>
      <c r="CM135" s="1865" t="str">
        <f t="shared" si="352"/>
        <v>* El total de Procesados debe ser mayor o igual al total de Reactivos en el grupo de edad 20 - 24 años</v>
      </c>
      <c r="CN135" s="1865" t="str">
        <f t="shared" si="347"/>
        <v>* El total de Procesados debe ser mayor o igual al total de Reactivos en el grupo de edad 25 - 29 años</v>
      </c>
      <c r="CO135" s="1865" t="str">
        <f t="shared" si="353"/>
        <v>* El total de Procesados debe ser mayor o igual al total de Reactivos en el grupo de edad 30 - 34 años</v>
      </c>
      <c r="CP135" s="1865" t="str">
        <f t="shared" si="354"/>
        <v>* El total de Procesados debe ser mayor o igual al total de Reactivos en el grupo de edad 35 - 39 años</v>
      </c>
      <c r="CQ135" s="1865" t="str">
        <f t="shared" si="355"/>
        <v>* El total de Procesados debe ser mayor o igual al total de Reactivos en el grupo de edad 40 - 44 años</v>
      </c>
      <c r="CR135" s="1865" t="str">
        <f t="shared" si="356"/>
        <v>* El total de Procesados debe ser mayor o igual al total de Reactivos en el grupo de edad 45 - 49 años</v>
      </c>
      <c r="CS135" s="1865" t="str">
        <f t="shared" si="357"/>
        <v>* El total de Procesados debe ser mayor o igual al total de Reactivos en el grupo de edad 50 - 54 años</v>
      </c>
      <c r="CT135" s="1865" t="str">
        <f t="shared" si="358"/>
        <v>* El total de Procesados debe ser mayor o igual al total de Reactivos en el grupo de edad 55 - 59 años</v>
      </c>
      <c r="CU135" s="1865" t="str">
        <f t="shared" si="359"/>
        <v>* El total de Procesados debe ser mayor o igual al total de Reactivos en el grupo de edad 60 - 64 años</v>
      </c>
      <c r="CV135" s="1865" t="str">
        <f>IF(AK135&lt;AL135,CONCATENATE("* El total de Procesados debe ser mayor o igual al total de Reactivos en el grupo de edad ",$AK$11),"")</f>
        <v>* El total de Procesados debe ser mayor o igual al total de Reactivos en el grupo de edad 65 - 69 años</v>
      </c>
      <c r="CW135" s="1865" t="str">
        <f>IF(AM135&lt;AN135,CONCATENATE("* El total de Procesados debe ser mayor o igual al total de Reactivos en el grupo de edad ",$AM$11),"")</f>
        <v>* El total de Procesados debe ser mayor o igual al total de Reactivos en el grupo de edad 70 - 74 años</v>
      </c>
      <c r="CX135" s="1865" t="str">
        <f>IF(AO135&lt;AP135,CONCATENATE("* El total de Procesados debe ser mayor o igual al total de Reactivos en el grupo de edad ",$AO$11),"")</f>
        <v>* El total de Procesados debe ser mayor o igual al total de Reactivos en el grupo de edad 75 - 79 años</v>
      </c>
      <c r="CY135" s="1865" t="str">
        <f>IF(AQ135&lt;AR135,CONCATENATE("* El total de Procesados debe ser mayor o igual al total de Reactivos en el grupo de edad ",$AQ$11),"")</f>
        <v>* El total de Procesados debe ser mayor o igual al total de Reactivos en el grupo de edad 80 y más años</v>
      </c>
      <c r="DF135" s="1936"/>
      <c r="DG135" s="3922" t="e">
        <f t="shared" si="350"/>
        <v>#VALUE!</v>
      </c>
      <c r="DH135" s="3906" t="e">
        <f t="shared" si="330"/>
        <v>#VALUE!</v>
      </c>
      <c r="DI135" s="3906">
        <f t="shared" si="331"/>
        <v>1</v>
      </c>
      <c r="DJ135" s="3906">
        <f t="shared" si="332"/>
        <v>1</v>
      </c>
      <c r="DK135" s="3906">
        <f>IF(E135&lt;F135,1,0)</f>
        <v>1</v>
      </c>
      <c r="DL135" s="3906">
        <f>IF(G135&lt;H135,1,0)</f>
        <v>1</v>
      </c>
      <c r="DM135" s="3906">
        <f>IF(I135&lt;J135,1,0)</f>
        <v>1</v>
      </c>
      <c r="DN135" s="3906">
        <f>IF(K135&lt;L135,1,0)</f>
        <v>1</v>
      </c>
      <c r="DO135" s="3906">
        <f>IF(M135&lt;N135,1,0)</f>
        <v>1</v>
      </c>
      <c r="DP135" s="3906">
        <f>IF(O135&lt;P135,1,0)</f>
        <v>1</v>
      </c>
      <c r="DQ135" s="3906">
        <f t="shared" si="360"/>
        <v>1</v>
      </c>
      <c r="DR135" s="3906">
        <f t="shared" si="361"/>
        <v>1</v>
      </c>
      <c r="DS135" s="3906">
        <f t="shared" si="348"/>
        <v>1</v>
      </c>
      <c r="DT135" s="3906">
        <f t="shared" si="362"/>
        <v>1</v>
      </c>
      <c r="DU135" s="3906">
        <f t="shared" si="363"/>
        <v>1</v>
      </c>
      <c r="DV135" s="3906">
        <f t="shared" si="364"/>
        <v>1</v>
      </c>
      <c r="DW135" s="3906">
        <f t="shared" si="365"/>
        <v>1</v>
      </c>
      <c r="DX135" s="3906">
        <f t="shared" si="366"/>
        <v>1</v>
      </c>
      <c r="DY135" s="3906">
        <f t="shared" si="367"/>
        <v>1</v>
      </c>
      <c r="DZ135" s="3906">
        <f t="shared" si="368"/>
        <v>1</v>
      </c>
      <c r="EA135" s="3906">
        <f>IF(AK135&lt;AL135,1,0)</f>
        <v>1</v>
      </c>
      <c r="EB135" s="3906">
        <f>IF(AM135&lt;AN135,1,0)</f>
        <v>1</v>
      </c>
      <c r="EC135" s="3906">
        <f>IF(AO135&lt;AP135,1,0)</f>
        <v>1</v>
      </c>
      <c r="ED135" s="3906">
        <f>IF(AQ135&lt;AR135,1,0)</f>
        <v>1</v>
      </c>
    </row>
    <row r="136" spans="1:134" x14ac:dyDescent="0.25">
      <c r="A136" s="5601">
        <v>11056467</v>
      </c>
      <c r="B136" s="3907" t="s">
        <v>1879</v>
      </c>
      <c r="C136" s="3908" t="s">
        <v>4567</v>
      </c>
      <c r="D136" s="344" t="s">
        <v>4568</v>
      </c>
      <c r="E136" s="3918" t="s">
        <v>4569</v>
      </c>
      <c r="F136" s="3910" t="s">
        <v>4570</v>
      </c>
      <c r="G136" s="3909" t="s">
        <v>4571</v>
      </c>
      <c r="H136" s="3910" t="s">
        <v>4572</v>
      </c>
      <c r="I136" s="3909" t="s">
        <v>4573</v>
      </c>
      <c r="J136" s="3910" t="s">
        <v>4574</v>
      </c>
      <c r="K136" s="3909" t="s">
        <v>4575</v>
      </c>
      <c r="L136" s="3910" t="s">
        <v>4576</v>
      </c>
      <c r="M136" s="3909" t="s">
        <v>4577</v>
      </c>
      <c r="N136" s="3911" t="s">
        <v>4578</v>
      </c>
      <c r="O136" s="3918" t="s">
        <v>4579</v>
      </c>
      <c r="P136" s="3910" t="s">
        <v>4580</v>
      </c>
      <c r="Q136" s="3913" t="s">
        <v>4581</v>
      </c>
      <c r="R136" s="3912" t="s">
        <v>4582</v>
      </c>
      <c r="S136" s="3913" t="s">
        <v>4583</v>
      </c>
      <c r="T136" s="3912" t="s">
        <v>4584</v>
      </c>
      <c r="U136" s="3913" t="s">
        <v>4585</v>
      </c>
      <c r="V136" s="3912" t="s">
        <v>4586</v>
      </c>
      <c r="W136" s="3913" t="s">
        <v>4587</v>
      </c>
      <c r="X136" s="3912" t="s">
        <v>4588</v>
      </c>
      <c r="Y136" s="3913" t="s">
        <v>4589</v>
      </c>
      <c r="Z136" s="3912" t="s">
        <v>4590</v>
      </c>
      <c r="AA136" s="3913" t="s">
        <v>4591</v>
      </c>
      <c r="AB136" s="3912" t="s">
        <v>4592</v>
      </c>
      <c r="AC136" s="3913" t="s">
        <v>4593</v>
      </c>
      <c r="AD136" s="3912" t="s">
        <v>4594</v>
      </c>
      <c r="AE136" s="3913" t="s">
        <v>4595</v>
      </c>
      <c r="AF136" s="3912" t="s">
        <v>4596</v>
      </c>
      <c r="AG136" s="3913" t="s">
        <v>4597</v>
      </c>
      <c r="AH136" s="3912" t="s">
        <v>4598</v>
      </c>
      <c r="AI136" s="3913" t="s">
        <v>4599</v>
      </c>
      <c r="AJ136" s="3912" t="s">
        <v>4600</v>
      </c>
      <c r="AK136" s="3913" t="s">
        <v>4601</v>
      </c>
      <c r="AL136" s="3912" t="s">
        <v>4602</v>
      </c>
      <c r="AM136" s="3913" t="s">
        <v>4603</v>
      </c>
      <c r="AN136" s="3912" t="s">
        <v>4604</v>
      </c>
      <c r="AO136" s="3913" t="s">
        <v>4605</v>
      </c>
      <c r="AP136" s="3912" t="s">
        <v>4606</v>
      </c>
      <c r="AQ136" s="3913" t="s">
        <v>4934</v>
      </c>
      <c r="AR136" s="3902" t="s">
        <v>4935</v>
      </c>
      <c r="AS136" s="3904" t="s">
        <v>4936</v>
      </c>
      <c r="AT136" s="3902" t="s">
        <v>4937</v>
      </c>
      <c r="AU136" s="3903" t="s">
        <v>5234</v>
      </c>
      <c r="AV136" s="3902" t="s">
        <v>5235</v>
      </c>
      <c r="AW136" s="3904" t="s">
        <v>5236</v>
      </c>
      <c r="AX136" s="3905" t="s">
        <v>5237</v>
      </c>
      <c r="AY136" s="1864" t="e">
        <f>$CB136&amp;CC136&amp;CD136&amp;$CE136&amp;CK136&amp;CL136&amp;CM136&amp;CN136&amp;CO136&amp;CP136&amp;CQ136&amp;CR136&amp;CS136&amp;CT136&amp;CU136&amp;CV136&amp;CW136&amp;CX136&amp;CY136</f>
        <v>#VALUE!</v>
      </c>
      <c r="CB136" s="1865" t="e">
        <f t="shared" si="349"/>
        <v>#VALUE!</v>
      </c>
      <c r="CC136" s="1865" t="e">
        <f t="shared" si="313"/>
        <v>#VALUE!</v>
      </c>
      <c r="CD136" s="1865" t="str">
        <f t="shared" si="314"/>
        <v xml:space="preserve"> *El Número de Pueblos Originarios no puede superar el Total Procesados. </v>
      </c>
      <c r="CE136" s="1865" t="str">
        <f t="shared" si="315"/>
        <v xml:space="preserve"> *El Número de Migrantes no puede superar el Total Procesados. </v>
      </c>
      <c r="CF136" s="3917"/>
      <c r="CG136" s="3917"/>
      <c r="CH136" s="1868"/>
      <c r="CI136" s="1868"/>
      <c r="CJ136" s="1868"/>
      <c r="CK136" s="3917"/>
      <c r="CL136" s="1865" t="str">
        <f t="shared" si="351"/>
        <v>* El total de Procesados debe ser mayor o igual al total de Reactivos en el grupo de edad 15 - 19 años</v>
      </c>
      <c r="CM136" s="1865" t="str">
        <f t="shared" si="352"/>
        <v>* El total de Procesados debe ser mayor o igual al total de Reactivos en el grupo de edad 20 - 24 años</v>
      </c>
      <c r="CN136" s="1865" t="str">
        <f t="shared" si="347"/>
        <v>* El total de Procesados debe ser mayor o igual al total de Reactivos en el grupo de edad 25 - 29 años</v>
      </c>
      <c r="CO136" s="1865" t="str">
        <f t="shared" si="353"/>
        <v>* El total de Procesados debe ser mayor o igual al total de Reactivos en el grupo de edad 30 - 34 años</v>
      </c>
      <c r="CP136" s="1865" t="str">
        <f t="shared" si="354"/>
        <v>* El total de Procesados debe ser mayor o igual al total de Reactivos en el grupo de edad 35 - 39 años</v>
      </c>
      <c r="CQ136" s="1865" t="str">
        <f t="shared" si="355"/>
        <v>* El total de Procesados debe ser mayor o igual al total de Reactivos en el grupo de edad 40 - 44 años</v>
      </c>
      <c r="CR136" s="1865" t="str">
        <f t="shared" si="356"/>
        <v>* El total de Procesados debe ser mayor o igual al total de Reactivos en el grupo de edad 45 - 49 años</v>
      </c>
      <c r="CS136" s="1865" t="str">
        <f t="shared" si="357"/>
        <v>* El total de Procesados debe ser mayor o igual al total de Reactivos en el grupo de edad 50 - 54 años</v>
      </c>
      <c r="CT136" s="1865" t="str">
        <f t="shared" si="358"/>
        <v>* El total de Procesados debe ser mayor o igual al total de Reactivos en el grupo de edad 55 - 59 años</v>
      </c>
      <c r="CU136" s="1865" t="str">
        <f t="shared" si="359"/>
        <v>* El total de Procesados debe ser mayor o igual al total de Reactivos en el grupo de edad 60 - 64 años</v>
      </c>
      <c r="CV136" s="1865" t="str">
        <f>IF(AK136&lt;AL136,CONCATENATE("* El total de Procesados debe ser mayor o igual al total de Reactivos en el grupo de edad ",$AK$11),"")</f>
        <v>* El total de Procesados debe ser mayor o igual al total de Reactivos en el grupo de edad 65 - 69 años</v>
      </c>
      <c r="CW136" s="1865" t="str">
        <f>IF(AM136&lt;AN136,CONCATENATE("* El total de Procesados debe ser mayor o igual al total de Reactivos en el grupo de edad ",$AM$11),"")</f>
        <v>* El total de Procesados debe ser mayor o igual al total de Reactivos en el grupo de edad 70 - 74 años</v>
      </c>
      <c r="CX136" s="1865" t="str">
        <f>IF(AO136&lt;AP136,CONCATENATE("* El total de Procesados debe ser mayor o igual al total de Reactivos en el grupo de edad ",$AO$11),"")</f>
        <v>* El total de Procesados debe ser mayor o igual al total de Reactivos en el grupo de edad 75 - 79 años</v>
      </c>
      <c r="CY136" s="1865" t="str">
        <f>IF(AQ136&lt;AR136,CONCATENATE("* El total de Procesados debe ser mayor o igual al total de Reactivos en el grupo de edad ",$AQ$11),"")</f>
        <v>* El total de Procesados debe ser mayor o igual al total de Reactivos en el grupo de edad 80 y más años</v>
      </c>
      <c r="DF136" s="1936"/>
      <c r="DG136" s="3922" t="e">
        <f t="shared" si="350"/>
        <v>#VALUE!</v>
      </c>
      <c r="DH136" s="3906" t="e">
        <f t="shared" si="330"/>
        <v>#VALUE!</v>
      </c>
      <c r="DI136" s="3906">
        <f t="shared" si="331"/>
        <v>1</v>
      </c>
      <c r="DJ136" s="3906">
        <f t="shared" si="332"/>
        <v>1</v>
      </c>
      <c r="DK136" s="1868"/>
      <c r="DL136" s="1868"/>
      <c r="DM136" s="1868"/>
      <c r="DN136" s="1868"/>
      <c r="DO136" s="1868"/>
      <c r="DP136" s="1866"/>
      <c r="DQ136" s="3906">
        <f t="shared" si="360"/>
        <v>1</v>
      </c>
      <c r="DR136" s="3906">
        <f t="shared" si="361"/>
        <v>1</v>
      </c>
      <c r="DS136" s="3906">
        <f t="shared" si="348"/>
        <v>1</v>
      </c>
      <c r="DT136" s="3906">
        <f t="shared" si="362"/>
        <v>1</v>
      </c>
      <c r="DU136" s="3906">
        <f t="shared" si="363"/>
        <v>1</v>
      </c>
      <c r="DV136" s="3906">
        <f t="shared" si="364"/>
        <v>1</v>
      </c>
      <c r="DW136" s="3906">
        <f t="shared" si="365"/>
        <v>1</v>
      </c>
      <c r="DX136" s="3906">
        <f t="shared" si="366"/>
        <v>1</v>
      </c>
      <c r="DY136" s="3906">
        <f t="shared" si="367"/>
        <v>1</v>
      </c>
      <c r="DZ136" s="3906">
        <f t="shared" si="368"/>
        <v>1</v>
      </c>
      <c r="EA136" s="3906">
        <f>IF(AK136&lt;AL136,1,0)</f>
        <v>1</v>
      </c>
      <c r="EB136" s="3906">
        <f>IF(AM136&lt;AN136,1,0)</f>
        <v>1</v>
      </c>
      <c r="EC136" s="3906">
        <f>IF(AO136&lt;AP136,1,0)</f>
        <v>1</v>
      </c>
      <c r="ED136" s="3906">
        <f>IF(AQ136&lt;AR136,1,0)</f>
        <v>1</v>
      </c>
    </row>
    <row r="137" spans="1:134" x14ac:dyDescent="0.25">
      <c r="A137" s="5601">
        <v>11056468</v>
      </c>
      <c r="B137" s="3923" t="s">
        <v>1880</v>
      </c>
      <c r="C137" s="3908" t="s">
        <v>4567</v>
      </c>
      <c r="D137" s="344" t="s">
        <v>4568</v>
      </c>
      <c r="E137" s="3918" t="s">
        <v>4569</v>
      </c>
      <c r="F137" s="3910" t="s">
        <v>4570</v>
      </c>
      <c r="G137" s="3909" t="s">
        <v>4571</v>
      </c>
      <c r="H137" s="3910" t="s">
        <v>4572</v>
      </c>
      <c r="I137" s="3909" t="s">
        <v>4573</v>
      </c>
      <c r="J137" s="3910" t="s">
        <v>4574</v>
      </c>
      <c r="K137" s="3909" t="s">
        <v>4575</v>
      </c>
      <c r="L137" s="3910" t="s">
        <v>4576</v>
      </c>
      <c r="M137" s="3909" t="s">
        <v>4577</v>
      </c>
      <c r="N137" s="3911" t="s">
        <v>4578</v>
      </c>
      <c r="O137" s="3918" t="s">
        <v>4579</v>
      </c>
      <c r="P137" s="3910" t="s">
        <v>4580</v>
      </c>
      <c r="Q137" s="3913" t="s">
        <v>4581</v>
      </c>
      <c r="R137" s="3912" t="s">
        <v>4582</v>
      </c>
      <c r="S137" s="3913" t="s">
        <v>4583</v>
      </c>
      <c r="T137" s="3912" t="s">
        <v>4584</v>
      </c>
      <c r="U137" s="3913" t="s">
        <v>4585</v>
      </c>
      <c r="V137" s="3912" t="s">
        <v>4586</v>
      </c>
      <c r="W137" s="3913" t="s">
        <v>4587</v>
      </c>
      <c r="X137" s="3912" t="s">
        <v>4588</v>
      </c>
      <c r="Y137" s="3913" t="s">
        <v>4589</v>
      </c>
      <c r="Z137" s="3912" t="s">
        <v>4590</v>
      </c>
      <c r="AA137" s="3913" t="s">
        <v>4591</v>
      </c>
      <c r="AB137" s="3912" t="s">
        <v>4592</v>
      </c>
      <c r="AC137" s="3913" t="s">
        <v>4593</v>
      </c>
      <c r="AD137" s="3912" t="s">
        <v>4594</v>
      </c>
      <c r="AE137" s="3913" t="s">
        <v>4595</v>
      </c>
      <c r="AF137" s="3912" t="s">
        <v>4596</v>
      </c>
      <c r="AG137" s="3913" t="s">
        <v>4597</v>
      </c>
      <c r="AH137" s="3912" t="s">
        <v>4598</v>
      </c>
      <c r="AI137" s="3913" t="s">
        <v>4599</v>
      </c>
      <c r="AJ137" s="3912" t="s">
        <v>4600</v>
      </c>
      <c r="AK137" s="3909" t="s">
        <v>4601</v>
      </c>
      <c r="AL137" s="3910" t="s">
        <v>4602</v>
      </c>
      <c r="AM137" s="3909" t="s">
        <v>4603</v>
      </c>
      <c r="AN137" s="3910" t="s">
        <v>4604</v>
      </c>
      <c r="AO137" s="3909" t="s">
        <v>4605</v>
      </c>
      <c r="AP137" s="3910" t="s">
        <v>4606</v>
      </c>
      <c r="AQ137" s="3909" t="s">
        <v>4934</v>
      </c>
      <c r="AR137" s="3920" t="s">
        <v>4935</v>
      </c>
      <c r="AS137" s="3904" t="s">
        <v>4936</v>
      </c>
      <c r="AT137" s="3902" t="s">
        <v>4937</v>
      </c>
      <c r="AU137" s="3903" t="s">
        <v>5234</v>
      </c>
      <c r="AV137" s="3902" t="s">
        <v>5235</v>
      </c>
      <c r="AW137" s="3904" t="s">
        <v>5236</v>
      </c>
      <c r="AX137" s="3905" t="s">
        <v>5237</v>
      </c>
      <c r="AY137" s="1864" t="e">
        <f>$CB137&amp;CC137&amp;CD137&amp;$CE137&amp;CL137&amp;CM137&amp;CN137&amp;CO137&amp;CP137&amp;CQ137&amp;CR137&amp;CS137&amp;CT137&amp;CU137</f>
        <v>#VALUE!</v>
      </c>
      <c r="CB137" s="1865" t="e">
        <f t="shared" si="349"/>
        <v>#VALUE!</v>
      </c>
      <c r="CC137" s="1865" t="e">
        <f t="shared" si="313"/>
        <v>#VALUE!</v>
      </c>
      <c r="CD137" s="1865" t="str">
        <f t="shared" si="314"/>
        <v xml:space="preserve"> *El Número de Pueblos Originarios no puede superar el Total Procesados. </v>
      </c>
      <c r="CE137" s="1865" t="str">
        <f t="shared" si="315"/>
        <v xml:space="preserve"> *El Número de Migrantes no puede superar el Total Procesados. </v>
      </c>
      <c r="CF137" s="3917"/>
      <c r="CG137" s="3917"/>
      <c r="CH137" s="1868"/>
      <c r="CI137" s="1868"/>
      <c r="CJ137" s="1868"/>
      <c r="CK137" s="3917"/>
      <c r="CL137" s="1865" t="str">
        <f t="shared" si="351"/>
        <v>* El total de Procesados debe ser mayor o igual al total de Reactivos en el grupo de edad 15 - 19 años</v>
      </c>
      <c r="CM137" s="1865" t="str">
        <f t="shared" si="352"/>
        <v>* El total de Procesados debe ser mayor o igual al total de Reactivos en el grupo de edad 20 - 24 años</v>
      </c>
      <c r="CN137" s="1865" t="str">
        <f t="shared" si="347"/>
        <v>* El total de Procesados debe ser mayor o igual al total de Reactivos en el grupo de edad 25 - 29 años</v>
      </c>
      <c r="CO137" s="1865" t="str">
        <f t="shared" si="353"/>
        <v>* El total de Procesados debe ser mayor o igual al total de Reactivos en el grupo de edad 30 - 34 años</v>
      </c>
      <c r="CP137" s="1865" t="str">
        <f t="shared" si="354"/>
        <v>* El total de Procesados debe ser mayor o igual al total de Reactivos en el grupo de edad 35 - 39 años</v>
      </c>
      <c r="CQ137" s="1865" t="str">
        <f t="shared" si="355"/>
        <v>* El total de Procesados debe ser mayor o igual al total de Reactivos en el grupo de edad 40 - 44 años</v>
      </c>
      <c r="CR137" s="1865" t="str">
        <f t="shared" si="356"/>
        <v>* El total de Procesados debe ser mayor o igual al total de Reactivos en el grupo de edad 45 - 49 años</v>
      </c>
      <c r="CS137" s="1865" t="str">
        <f t="shared" si="357"/>
        <v>* El total de Procesados debe ser mayor o igual al total de Reactivos en el grupo de edad 50 - 54 años</v>
      </c>
      <c r="CT137" s="1865" t="str">
        <f t="shared" si="358"/>
        <v>* El total de Procesados debe ser mayor o igual al total de Reactivos en el grupo de edad 55 - 59 años</v>
      </c>
      <c r="CU137" s="1865" t="str">
        <f t="shared" si="359"/>
        <v>* El total de Procesados debe ser mayor o igual al total de Reactivos en el grupo de edad 60 - 64 años</v>
      </c>
      <c r="CV137" s="1866"/>
      <c r="CW137" s="1866"/>
      <c r="CX137" s="1866"/>
      <c r="CY137" s="1866"/>
      <c r="DF137" s="1936"/>
      <c r="DG137" s="3922" t="e">
        <f t="shared" si="350"/>
        <v>#VALUE!</v>
      </c>
      <c r="DH137" s="3906" t="e">
        <f t="shared" si="330"/>
        <v>#VALUE!</v>
      </c>
      <c r="DI137" s="3906">
        <f t="shared" si="331"/>
        <v>1</v>
      </c>
      <c r="DJ137" s="3906">
        <f t="shared" si="332"/>
        <v>1</v>
      </c>
      <c r="DK137" s="1868"/>
      <c r="DL137" s="1868"/>
      <c r="DM137" s="1868"/>
      <c r="DN137" s="1868"/>
      <c r="DO137" s="1868"/>
      <c r="DP137" s="1866"/>
      <c r="DQ137" s="3906">
        <f t="shared" si="360"/>
        <v>1</v>
      </c>
      <c r="DR137" s="3906">
        <f t="shared" si="361"/>
        <v>1</v>
      </c>
      <c r="DS137" s="3906">
        <f t="shared" si="348"/>
        <v>1</v>
      </c>
      <c r="DT137" s="3906">
        <f t="shared" si="362"/>
        <v>1</v>
      </c>
      <c r="DU137" s="3906">
        <f t="shared" si="363"/>
        <v>1</v>
      </c>
      <c r="DV137" s="3906">
        <f t="shared" si="364"/>
        <v>1</v>
      </c>
      <c r="DW137" s="3906">
        <f t="shared" si="365"/>
        <v>1</v>
      </c>
      <c r="DX137" s="3906">
        <f t="shared" si="366"/>
        <v>1</v>
      </c>
      <c r="DY137" s="3906">
        <f t="shared" si="367"/>
        <v>1</v>
      </c>
      <c r="DZ137" s="3906">
        <f t="shared" si="368"/>
        <v>1</v>
      </c>
      <c r="EA137" s="1866"/>
      <c r="EB137" s="1866"/>
      <c r="EC137" s="1866"/>
      <c r="ED137" s="1866"/>
    </row>
    <row r="138" spans="1:134" x14ac:dyDescent="0.25">
      <c r="A138" s="5601">
        <v>11056469</v>
      </c>
      <c r="B138" s="3923" t="s">
        <v>1881</v>
      </c>
      <c r="C138" s="3908" t="s">
        <v>4567</v>
      </c>
      <c r="D138" s="344" t="s">
        <v>4568</v>
      </c>
      <c r="E138" s="3904" t="s">
        <v>4569</v>
      </c>
      <c r="F138" s="3912" t="s">
        <v>4570</v>
      </c>
      <c r="G138" s="3913" t="s">
        <v>4571</v>
      </c>
      <c r="H138" s="3912" t="s">
        <v>4572</v>
      </c>
      <c r="I138" s="3913" t="s">
        <v>4573</v>
      </c>
      <c r="J138" s="3905" t="s">
        <v>4574</v>
      </c>
      <c r="K138" s="3904" t="s">
        <v>4575</v>
      </c>
      <c r="L138" s="3904" t="s">
        <v>4576</v>
      </c>
      <c r="M138" s="3913" t="s">
        <v>4577</v>
      </c>
      <c r="N138" s="3905" t="s">
        <v>4578</v>
      </c>
      <c r="O138" s="3904" t="s">
        <v>4579</v>
      </c>
      <c r="P138" s="3912" t="s">
        <v>4580</v>
      </c>
      <c r="Q138" s="3913" t="s">
        <v>4581</v>
      </c>
      <c r="R138" s="3912" t="s">
        <v>4582</v>
      </c>
      <c r="S138" s="3913" t="s">
        <v>4583</v>
      </c>
      <c r="T138" s="3912" t="s">
        <v>4584</v>
      </c>
      <c r="U138" s="3913" t="s">
        <v>4585</v>
      </c>
      <c r="V138" s="3912" t="s">
        <v>4586</v>
      </c>
      <c r="W138" s="3913" t="s">
        <v>4587</v>
      </c>
      <c r="X138" s="3912" t="s">
        <v>4588</v>
      </c>
      <c r="Y138" s="3913" t="s">
        <v>4589</v>
      </c>
      <c r="Z138" s="3912" t="s">
        <v>4590</v>
      </c>
      <c r="AA138" s="3913" t="s">
        <v>4591</v>
      </c>
      <c r="AB138" s="3912" t="s">
        <v>4592</v>
      </c>
      <c r="AC138" s="3913" t="s">
        <v>4593</v>
      </c>
      <c r="AD138" s="3912" t="s">
        <v>4594</v>
      </c>
      <c r="AE138" s="3913" t="s">
        <v>4595</v>
      </c>
      <c r="AF138" s="3912" t="s">
        <v>4596</v>
      </c>
      <c r="AG138" s="3913" t="s">
        <v>4597</v>
      </c>
      <c r="AH138" s="3912" t="s">
        <v>4598</v>
      </c>
      <c r="AI138" s="3913" t="s">
        <v>4599</v>
      </c>
      <c r="AJ138" s="3912" t="s">
        <v>4600</v>
      </c>
      <c r="AK138" s="3913" t="s">
        <v>4601</v>
      </c>
      <c r="AL138" s="3912" t="s">
        <v>4602</v>
      </c>
      <c r="AM138" s="3913" t="s">
        <v>4603</v>
      </c>
      <c r="AN138" s="3912" t="s">
        <v>4604</v>
      </c>
      <c r="AO138" s="3913" t="s">
        <v>4605</v>
      </c>
      <c r="AP138" s="3912" t="s">
        <v>4606</v>
      </c>
      <c r="AQ138" s="3913" t="s">
        <v>4934</v>
      </c>
      <c r="AR138" s="3902" t="s">
        <v>4935</v>
      </c>
      <c r="AS138" s="3904" t="s">
        <v>4936</v>
      </c>
      <c r="AT138" s="3902" t="s">
        <v>4937</v>
      </c>
      <c r="AU138" s="3903" t="s">
        <v>5234</v>
      </c>
      <c r="AV138" s="3902" t="s">
        <v>5235</v>
      </c>
      <c r="AW138" s="3904" t="s">
        <v>5236</v>
      </c>
      <c r="AX138" s="3905" t="s">
        <v>5237</v>
      </c>
      <c r="AY138" s="1864" t="e">
        <f>$CB138&amp;CC138&amp;CD138&amp;$CE138&amp;CK138&amp;CL138&amp;CM138&amp;CN138&amp;CO138&amp;CP138&amp;CQ138&amp;CR138&amp;CS138&amp;CT138&amp;CU138&amp;CV138&amp;CW138&amp;CX138&amp;CY138&amp;CF138&amp;CG138&amp;CH138&amp;CI138&amp;CJ138</f>
        <v>#VALUE!</v>
      </c>
      <c r="CB138" s="1865" t="e">
        <f t="shared" si="349"/>
        <v>#VALUE!</v>
      </c>
      <c r="CC138" s="1865" t="e">
        <f t="shared" si="313"/>
        <v>#VALUE!</v>
      </c>
      <c r="CD138" s="1865" t="str">
        <f t="shared" si="314"/>
        <v xml:space="preserve"> *El Número de Pueblos Originarios no puede superar el Total Procesados. </v>
      </c>
      <c r="CE138" s="1865" t="str">
        <f t="shared" si="315"/>
        <v xml:space="preserve"> *El Número de Migrantes no puede superar el Total Procesados. </v>
      </c>
      <c r="CF138" s="1865" t="str">
        <f>IF(E138&lt;F138,CONCATENATE("* El total de Procesados debe ser mayor o igual al total de Reactivos en el grupo de edad ",$E$11),"")</f>
        <v>* El total de Procesados debe ser mayor o igual al total de Reactivos en el grupo de edad Menos de 6 meses</v>
      </c>
      <c r="CG138" s="1865" t="str">
        <f>IF(G138&lt;H138,CONCATENATE("* El total de Procesados debe ser mayor o igual al total de Reactivos en el grupo de edad ",$G$11),"")</f>
        <v>* El total de Procesados debe ser mayor o igual al total de Reactivos en el grupo de edad 6 - 11 meses</v>
      </c>
      <c r="CH138" s="1865" t="str">
        <f>IF(I138&lt;J138,CONCATENATE("* El total de Procesados debe ser mayor o igual al total de Reactivos en el grupo de edad ",$I$11),"")</f>
        <v>* El total de Procesados debe ser mayor o igual al total de Reactivos en el grupo de edad 12-24 meses</v>
      </c>
      <c r="CI138" s="1865" t="str">
        <f>IF(K138&lt;L138,CONCATENATE("* El total de Procesados debe ser mayor o igual al total de Reactivos en el grupo de edad ",$K$11),"")</f>
        <v>* El total de Procesados debe ser mayor o igual al total de Reactivos en el grupo de edad 3 - 4 años</v>
      </c>
      <c r="CJ138" s="1865" t="str">
        <f>IF(M138&lt;N138,CONCATENATE("* El total de Procesados debe ser mayor o igual al total de Reactivos en el grupo de edad ",$M$11),"")</f>
        <v>* El total de Procesados debe ser mayor o igual al total de Reactivos en el grupo de edad 5 - 9 años</v>
      </c>
      <c r="CK138" s="1865" t="str">
        <f>IF(O138&lt;P138,CONCATENATE("* El total de Procesados debe ser mayor o igual al total de Reactivos en el grupo de edad ",$O$11),"")</f>
        <v>* El total de Procesados debe ser mayor o igual al total de Reactivos en el grupo de edad 10 - 14 años</v>
      </c>
      <c r="CL138" s="1865" t="str">
        <f t="shared" si="351"/>
        <v>* El total de Procesados debe ser mayor o igual al total de Reactivos en el grupo de edad 15 - 19 años</v>
      </c>
      <c r="CM138" s="1865" t="str">
        <f t="shared" si="352"/>
        <v>* El total de Procesados debe ser mayor o igual al total de Reactivos en el grupo de edad 20 - 24 años</v>
      </c>
      <c r="CN138" s="1865" t="str">
        <f t="shared" si="347"/>
        <v>* El total de Procesados debe ser mayor o igual al total de Reactivos en el grupo de edad 25 - 29 años</v>
      </c>
      <c r="CO138" s="1865" t="str">
        <f t="shared" si="353"/>
        <v>* El total de Procesados debe ser mayor o igual al total de Reactivos en el grupo de edad 30 - 34 años</v>
      </c>
      <c r="CP138" s="1865" t="str">
        <f t="shared" si="354"/>
        <v>* El total de Procesados debe ser mayor o igual al total de Reactivos en el grupo de edad 35 - 39 años</v>
      </c>
      <c r="CQ138" s="1865" t="str">
        <f t="shared" si="355"/>
        <v>* El total de Procesados debe ser mayor o igual al total de Reactivos en el grupo de edad 40 - 44 años</v>
      </c>
      <c r="CR138" s="1865" t="str">
        <f t="shared" si="356"/>
        <v>* El total de Procesados debe ser mayor o igual al total de Reactivos en el grupo de edad 45 - 49 años</v>
      </c>
      <c r="CS138" s="1865" t="str">
        <f t="shared" si="357"/>
        <v>* El total de Procesados debe ser mayor o igual al total de Reactivos en el grupo de edad 50 - 54 años</v>
      </c>
      <c r="CT138" s="1865" t="str">
        <f t="shared" si="358"/>
        <v>* El total de Procesados debe ser mayor o igual al total de Reactivos en el grupo de edad 55 - 59 años</v>
      </c>
      <c r="CU138" s="1865" t="str">
        <f t="shared" si="359"/>
        <v>* El total de Procesados debe ser mayor o igual al total de Reactivos en el grupo de edad 60 - 64 años</v>
      </c>
      <c r="CV138" s="1865" t="str">
        <f>IF(AK138&lt;AL138,CONCATENATE("* El total de Procesados debe ser mayor o igual al total de Reactivos en el grupo de edad ",$AK$11),"")</f>
        <v>* El total de Procesados debe ser mayor o igual al total de Reactivos en el grupo de edad 65 - 69 años</v>
      </c>
      <c r="CW138" s="1865" t="str">
        <f>IF(AM138&lt;AN138,CONCATENATE("* El total de Procesados debe ser mayor o igual al total de Reactivos en el grupo de edad ",$AM$11),"")</f>
        <v>* El total de Procesados debe ser mayor o igual al total de Reactivos en el grupo de edad 70 - 74 años</v>
      </c>
      <c r="CX138" s="1865" t="str">
        <f>IF(AO138&lt;AP138,CONCATENATE("* El total de Procesados debe ser mayor o igual al total de Reactivos en el grupo de edad ",$AO$11),"")</f>
        <v>* El total de Procesados debe ser mayor o igual al total de Reactivos en el grupo de edad 75 - 79 años</v>
      </c>
      <c r="CY138" s="1865" t="str">
        <f>IF(AQ138&lt;AR138,CONCATENATE("* El total de Procesados debe ser mayor o igual al total de Reactivos en el grupo de edad ",$AQ$11),"")</f>
        <v>* El total de Procesados debe ser mayor o igual al total de Reactivos en el grupo de edad 80 y más años</v>
      </c>
      <c r="DF138" s="1936"/>
      <c r="DG138" s="3922" t="e">
        <f t="shared" si="350"/>
        <v>#VALUE!</v>
      </c>
      <c r="DH138" s="3906" t="e">
        <f t="shared" si="330"/>
        <v>#VALUE!</v>
      </c>
      <c r="DI138" s="3906">
        <f t="shared" si="331"/>
        <v>1</v>
      </c>
      <c r="DJ138" s="3906">
        <f t="shared" si="332"/>
        <v>1</v>
      </c>
      <c r="DK138" s="3906">
        <f>IF(E138&lt;F138,1,0)</f>
        <v>1</v>
      </c>
      <c r="DL138" s="3906">
        <f>IF(G138&lt;H138,1,0)</f>
        <v>1</v>
      </c>
      <c r="DM138" s="3906">
        <f>IF(I138&lt;J138,1,0)</f>
        <v>1</v>
      </c>
      <c r="DN138" s="3906">
        <f>IF(K138&lt;L138,1,0)</f>
        <v>1</v>
      </c>
      <c r="DO138" s="3906">
        <f>IF(M138&lt;N138,1,0)</f>
        <v>1</v>
      </c>
      <c r="DP138" s="3906">
        <f>IF(O138&lt;P138,1,0)</f>
        <v>1</v>
      </c>
      <c r="DQ138" s="3906">
        <f t="shared" si="360"/>
        <v>1</v>
      </c>
      <c r="DR138" s="3906">
        <f t="shared" si="361"/>
        <v>1</v>
      </c>
      <c r="DS138" s="3906">
        <f t="shared" si="348"/>
        <v>1</v>
      </c>
      <c r="DT138" s="3906">
        <f t="shared" si="362"/>
        <v>1</v>
      </c>
      <c r="DU138" s="3906">
        <f t="shared" si="363"/>
        <v>1</v>
      </c>
      <c r="DV138" s="3906">
        <f t="shared" si="364"/>
        <v>1</v>
      </c>
      <c r="DW138" s="3906">
        <f t="shared" si="365"/>
        <v>1</v>
      </c>
      <c r="DX138" s="3906">
        <f t="shared" si="366"/>
        <v>1</v>
      </c>
      <c r="DY138" s="3906">
        <f t="shared" si="367"/>
        <v>1</v>
      </c>
      <c r="DZ138" s="3906">
        <f t="shared" si="368"/>
        <v>1</v>
      </c>
      <c r="EA138" s="3906">
        <f>IF(AK138&lt;AL138,1,0)</f>
        <v>1</v>
      </c>
      <c r="EB138" s="3906">
        <f>IF(AM138&lt;AN138,1,0)</f>
        <v>1</v>
      </c>
      <c r="EC138" s="3906">
        <f>IF(AO138&lt;AP138,1,0)</f>
        <v>1</v>
      </c>
      <c r="ED138" s="3906">
        <f>IF(AQ138&lt;AR138,1,0)</f>
        <v>1</v>
      </c>
    </row>
    <row r="139" spans="1:134" x14ac:dyDescent="0.25">
      <c r="A139" s="5601">
        <v>11056470</v>
      </c>
      <c r="B139" s="3923" t="s">
        <v>1882</v>
      </c>
      <c r="C139" s="3908" t="s">
        <v>4567</v>
      </c>
      <c r="D139" s="344" t="s">
        <v>4568</v>
      </c>
      <c r="E139" s="3904" t="s">
        <v>4569</v>
      </c>
      <c r="F139" s="3912" t="s">
        <v>4570</v>
      </c>
      <c r="G139" s="3913" t="s">
        <v>4571</v>
      </c>
      <c r="H139" s="3912" t="s">
        <v>4572</v>
      </c>
      <c r="I139" s="3913" t="s">
        <v>4573</v>
      </c>
      <c r="J139" s="3905" t="s">
        <v>4574</v>
      </c>
      <c r="K139" s="3904" t="s">
        <v>4575</v>
      </c>
      <c r="L139" s="3904" t="s">
        <v>4576</v>
      </c>
      <c r="M139" s="3913" t="s">
        <v>4577</v>
      </c>
      <c r="N139" s="3905" t="s">
        <v>4578</v>
      </c>
      <c r="O139" s="3904" t="s">
        <v>4579</v>
      </c>
      <c r="P139" s="3912" t="s">
        <v>4580</v>
      </c>
      <c r="Q139" s="3913" t="s">
        <v>4581</v>
      </c>
      <c r="R139" s="3912" t="s">
        <v>4582</v>
      </c>
      <c r="S139" s="3913" t="s">
        <v>4583</v>
      </c>
      <c r="T139" s="3912" t="s">
        <v>4584</v>
      </c>
      <c r="U139" s="3913" t="s">
        <v>4585</v>
      </c>
      <c r="V139" s="3912" t="s">
        <v>4586</v>
      </c>
      <c r="W139" s="3913" t="s">
        <v>4587</v>
      </c>
      <c r="X139" s="3912" t="s">
        <v>4588</v>
      </c>
      <c r="Y139" s="3913" t="s">
        <v>4589</v>
      </c>
      <c r="Z139" s="3912" t="s">
        <v>4590</v>
      </c>
      <c r="AA139" s="3913" t="s">
        <v>4591</v>
      </c>
      <c r="AB139" s="3912" t="s">
        <v>4592</v>
      </c>
      <c r="AC139" s="3913" t="s">
        <v>4593</v>
      </c>
      <c r="AD139" s="3912" t="s">
        <v>4594</v>
      </c>
      <c r="AE139" s="3913" t="s">
        <v>4595</v>
      </c>
      <c r="AF139" s="3912" t="s">
        <v>4596</v>
      </c>
      <c r="AG139" s="3913" t="s">
        <v>4597</v>
      </c>
      <c r="AH139" s="3912" t="s">
        <v>4598</v>
      </c>
      <c r="AI139" s="3913" t="s">
        <v>4599</v>
      </c>
      <c r="AJ139" s="3912" t="s">
        <v>4600</v>
      </c>
      <c r="AK139" s="3913" t="s">
        <v>4601</v>
      </c>
      <c r="AL139" s="3912" t="s">
        <v>4602</v>
      </c>
      <c r="AM139" s="3913" t="s">
        <v>4603</v>
      </c>
      <c r="AN139" s="3912" t="s">
        <v>4604</v>
      </c>
      <c r="AO139" s="3913" t="s">
        <v>4605</v>
      </c>
      <c r="AP139" s="3912" t="s">
        <v>4606</v>
      </c>
      <c r="AQ139" s="3913" t="s">
        <v>4934</v>
      </c>
      <c r="AR139" s="3902" t="s">
        <v>4935</v>
      </c>
      <c r="AS139" s="3904" t="s">
        <v>4936</v>
      </c>
      <c r="AT139" s="3902" t="s">
        <v>4937</v>
      </c>
      <c r="AU139" s="3903" t="s">
        <v>5234</v>
      </c>
      <c r="AV139" s="3902" t="s">
        <v>5235</v>
      </c>
      <c r="AW139" s="3904" t="s">
        <v>5236</v>
      </c>
      <c r="AX139" s="3905" t="s">
        <v>5237</v>
      </c>
      <c r="AY139" s="1864" t="e">
        <f>$CB139&amp;CC139&amp;CD139&amp;$CE139&amp;CK139&amp;CL139&amp;CM139&amp;CN139&amp;CO139&amp;CP139&amp;CQ139&amp;CR139&amp;CS139&amp;CT139&amp;CU139&amp;CV139&amp;CW139&amp;CX139&amp;CY139&amp;CF139&amp;CG139&amp;CH139&amp;CI139&amp;CJ139</f>
        <v>#VALUE!</v>
      </c>
      <c r="CB139" s="1865" t="e">
        <f t="shared" si="349"/>
        <v>#VALUE!</v>
      </c>
      <c r="CC139" s="1865" t="e">
        <f t="shared" si="313"/>
        <v>#VALUE!</v>
      </c>
      <c r="CD139" s="1865" t="str">
        <f t="shared" si="314"/>
        <v xml:space="preserve"> *El Número de Pueblos Originarios no puede superar el Total Procesados. </v>
      </c>
      <c r="CE139" s="1865" t="str">
        <f t="shared" si="315"/>
        <v xml:space="preserve"> *El Número de Migrantes no puede superar el Total Procesados. </v>
      </c>
      <c r="CF139" s="1865" t="str">
        <f>IF(E139&lt;F139,CONCATENATE("* El total de Procesados debe ser mayor o igual al total de Reactivos en el grupo de edad ",$E$11),"")</f>
        <v>* El total de Procesados debe ser mayor o igual al total de Reactivos en el grupo de edad Menos de 6 meses</v>
      </c>
      <c r="CG139" s="1865" t="str">
        <f>IF(G139&lt;H139,CONCATENATE("* El total de Procesados debe ser mayor o igual al total de Reactivos en el grupo de edad ",$G$11),"")</f>
        <v>* El total de Procesados debe ser mayor o igual al total de Reactivos en el grupo de edad 6 - 11 meses</v>
      </c>
      <c r="CH139" s="1865" t="str">
        <f>IF(I139&lt;J139,CONCATENATE("* El total de Procesados debe ser mayor o igual al total de Reactivos en el grupo de edad ",$I$11),"")</f>
        <v>* El total de Procesados debe ser mayor o igual al total de Reactivos en el grupo de edad 12-24 meses</v>
      </c>
      <c r="CI139" s="1865" t="str">
        <f>IF(K139&lt;L139,CONCATENATE("* El total de Procesados debe ser mayor o igual al total de Reactivos en el grupo de edad ",$K$11),"")</f>
        <v>* El total de Procesados debe ser mayor o igual al total de Reactivos en el grupo de edad 3 - 4 años</v>
      </c>
      <c r="CJ139" s="1865" t="str">
        <f>IF(M139&lt;N139,CONCATENATE("* El total de Procesados debe ser mayor o igual al total de Reactivos en el grupo de edad ",$M$11),"")</f>
        <v>* El total de Procesados debe ser mayor o igual al total de Reactivos en el grupo de edad 5 - 9 años</v>
      </c>
      <c r="CK139" s="1865" t="str">
        <f>IF(O139&lt;P139,CONCATENATE("* El total de Procesados debe ser mayor o igual al total de Reactivos en el grupo de edad ",$O$11),"")</f>
        <v>* El total de Procesados debe ser mayor o igual al total de Reactivos en el grupo de edad 10 - 14 años</v>
      </c>
      <c r="CL139" s="1865" t="str">
        <f t="shared" si="351"/>
        <v>* El total de Procesados debe ser mayor o igual al total de Reactivos en el grupo de edad 15 - 19 años</v>
      </c>
      <c r="CM139" s="1865" t="str">
        <f t="shared" si="352"/>
        <v>* El total de Procesados debe ser mayor o igual al total de Reactivos en el grupo de edad 20 - 24 años</v>
      </c>
      <c r="CN139" s="1865" t="str">
        <f t="shared" si="347"/>
        <v>* El total de Procesados debe ser mayor o igual al total de Reactivos en el grupo de edad 25 - 29 años</v>
      </c>
      <c r="CO139" s="1865" t="str">
        <f t="shared" si="353"/>
        <v>* El total de Procesados debe ser mayor o igual al total de Reactivos en el grupo de edad 30 - 34 años</v>
      </c>
      <c r="CP139" s="1865" t="str">
        <f t="shared" si="354"/>
        <v>* El total de Procesados debe ser mayor o igual al total de Reactivos en el grupo de edad 35 - 39 años</v>
      </c>
      <c r="CQ139" s="1865" t="str">
        <f t="shared" si="355"/>
        <v>* El total de Procesados debe ser mayor o igual al total de Reactivos en el grupo de edad 40 - 44 años</v>
      </c>
      <c r="CR139" s="1865" t="str">
        <f t="shared" si="356"/>
        <v>* El total de Procesados debe ser mayor o igual al total de Reactivos en el grupo de edad 45 - 49 años</v>
      </c>
      <c r="CS139" s="1865" t="str">
        <f t="shared" si="357"/>
        <v>* El total de Procesados debe ser mayor o igual al total de Reactivos en el grupo de edad 50 - 54 años</v>
      </c>
      <c r="CT139" s="1865" t="str">
        <f t="shared" si="358"/>
        <v>* El total de Procesados debe ser mayor o igual al total de Reactivos en el grupo de edad 55 - 59 años</v>
      </c>
      <c r="CU139" s="1865" t="str">
        <f t="shared" si="359"/>
        <v>* El total de Procesados debe ser mayor o igual al total de Reactivos en el grupo de edad 60 - 64 años</v>
      </c>
      <c r="CV139" s="1865" t="str">
        <f>IF(AK139&lt;AL139,CONCATENATE("* El total de Procesados debe ser mayor o igual al total de Reactivos en el grupo de edad ",$AK$11),"")</f>
        <v>* El total de Procesados debe ser mayor o igual al total de Reactivos en el grupo de edad 65 - 69 años</v>
      </c>
      <c r="CW139" s="1865" t="str">
        <f>IF(AM139&lt;AN139,CONCATENATE("* El total de Procesados debe ser mayor o igual al total de Reactivos en el grupo de edad ",$AM$11),"")</f>
        <v>* El total de Procesados debe ser mayor o igual al total de Reactivos en el grupo de edad 70 - 74 años</v>
      </c>
      <c r="CX139" s="1865" t="str">
        <f>IF(AO139&lt;AP139,CONCATENATE("* El total de Procesados debe ser mayor o igual al total de Reactivos en el grupo de edad ",$AO$11),"")</f>
        <v>* El total de Procesados debe ser mayor o igual al total de Reactivos en el grupo de edad 75 - 79 años</v>
      </c>
      <c r="CY139" s="1865" t="str">
        <f>IF(AQ139&lt;AR139,CONCATENATE("* El total de Procesados debe ser mayor o igual al total de Reactivos en el grupo de edad ",$AQ$11),"")</f>
        <v>* El total de Procesados debe ser mayor o igual al total de Reactivos en el grupo de edad 80 y más años</v>
      </c>
      <c r="DF139" s="1936"/>
      <c r="DG139" s="3922" t="e">
        <f t="shared" si="350"/>
        <v>#VALUE!</v>
      </c>
      <c r="DH139" s="3906" t="e">
        <f t="shared" si="330"/>
        <v>#VALUE!</v>
      </c>
      <c r="DI139" s="3906">
        <f t="shared" si="331"/>
        <v>1</v>
      </c>
      <c r="DJ139" s="3906">
        <f t="shared" si="332"/>
        <v>1</v>
      </c>
      <c r="DK139" s="3906">
        <f>IF(E139&lt;F139,1,0)</f>
        <v>1</v>
      </c>
      <c r="DL139" s="3906">
        <f>IF(G139&lt;H139,1,0)</f>
        <v>1</v>
      </c>
      <c r="DM139" s="3906">
        <f>IF(I139&lt;J139,1,0)</f>
        <v>1</v>
      </c>
      <c r="DN139" s="3906">
        <f>IF(K139&lt;L139,1,0)</f>
        <v>1</v>
      </c>
      <c r="DO139" s="3906">
        <f>IF(M139&lt;N139,1,0)</f>
        <v>1</v>
      </c>
      <c r="DP139" s="3906">
        <f>IF(O139&lt;P139,1,0)</f>
        <v>1</v>
      </c>
      <c r="DQ139" s="3906">
        <f t="shared" si="360"/>
        <v>1</v>
      </c>
      <c r="DR139" s="3906">
        <f t="shared" si="361"/>
        <v>1</v>
      </c>
      <c r="DS139" s="3906">
        <f t="shared" si="348"/>
        <v>1</v>
      </c>
      <c r="DT139" s="3906">
        <f t="shared" si="362"/>
        <v>1</v>
      </c>
      <c r="DU139" s="3906">
        <f t="shared" si="363"/>
        <v>1</v>
      </c>
      <c r="DV139" s="3906">
        <f t="shared" si="364"/>
        <v>1</v>
      </c>
      <c r="DW139" s="3906">
        <f t="shared" si="365"/>
        <v>1</v>
      </c>
      <c r="DX139" s="3906">
        <f t="shared" si="366"/>
        <v>1</v>
      </c>
      <c r="DY139" s="3906">
        <f t="shared" si="367"/>
        <v>1</v>
      </c>
      <c r="DZ139" s="3906">
        <f t="shared" si="368"/>
        <v>1</v>
      </c>
      <c r="EA139" s="3906">
        <f>IF(AK139&lt;AL139,1,0)</f>
        <v>1</v>
      </c>
      <c r="EB139" s="3906">
        <f>IF(AM139&lt;AN139,1,0)</f>
        <v>1</v>
      </c>
      <c r="EC139" s="3906">
        <f>IF(AO139&lt;AP139,1,0)</f>
        <v>1</v>
      </c>
      <c r="ED139" s="3906">
        <f>IF(AQ139&lt;AR139,1,0)</f>
        <v>1</v>
      </c>
    </row>
    <row r="140" spans="1:134" x14ac:dyDescent="0.25">
      <c r="A140" s="5609">
        <v>11056471</v>
      </c>
      <c r="B140" s="1002" t="s">
        <v>1883</v>
      </c>
      <c r="C140" s="1058" t="s">
        <v>4567</v>
      </c>
      <c r="D140" s="3346" t="s">
        <v>4568</v>
      </c>
      <c r="E140" s="1877" t="s">
        <v>4569</v>
      </c>
      <c r="F140" s="1873" t="s">
        <v>4570</v>
      </c>
      <c r="G140" s="853" t="s">
        <v>4571</v>
      </c>
      <c r="H140" s="1873" t="s">
        <v>4572</v>
      </c>
      <c r="I140" s="853" t="s">
        <v>4573</v>
      </c>
      <c r="J140" s="1975" t="s">
        <v>4574</v>
      </c>
      <c r="K140" s="1877" t="s">
        <v>4575</v>
      </c>
      <c r="L140" s="1877" t="s">
        <v>4576</v>
      </c>
      <c r="M140" s="853" t="s">
        <v>4577</v>
      </c>
      <c r="N140" s="1975" t="s">
        <v>4578</v>
      </c>
      <c r="O140" s="1877" t="s">
        <v>4579</v>
      </c>
      <c r="P140" s="1873" t="s">
        <v>4580</v>
      </c>
      <c r="Q140" s="853" t="s">
        <v>4581</v>
      </c>
      <c r="R140" s="1873" t="s">
        <v>4582</v>
      </c>
      <c r="S140" s="853" t="s">
        <v>4583</v>
      </c>
      <c r="T140" s="1873" t="s">
        <v>4584</v>
      </c>
      <c r="U140" s="853" t="s">
        <v>4585</v>
      </c>
      <c r="V140" s="1873" t="s">
        <v>4586</v>
      </c>
      <c r="W140" s="853" t="s">
        <v>4587</v>
      </c>
      <c r="X140" s="1873" t="s">
        <v>4588</v>
      </c>
      <c r="Y140" s="853" t="s">
        <v>4589</v>
      </c>
      <c r="Z140" s="1873" t="s">
        <v>4590</v>
      </c>
      <c r="AA140" s="853" t="s">
        <v>4591</v>
      </c>
      <c r="AB140" s="1873" t="s">
        <v>4592</v>
      </c>
      <c r="AC140" s="853" t="s">
        <v>4593</v>
      </c>
      <c r="AD140" s="1873" t="s">
        <v>4594</v>
      </c>
      <c r="AE140" s="853" t="s">
        <v>4595</v>
      </c>
      <c r="AF140" s="1873" t="s">
        <v>4596</v>
      </c>
      <c r="AG140" s="853" t="s">
        <v>4597</v>
      </c>
      <c r="AH140" s="1873" t="s">
        <v>4598</v>
      </c>
      <c r="AI140" s="853" t="s">
        <v>4599</v>
      </c>
      <c r="AJ140" s="1873" t="s">
        <v>4600</v>
      </c>
      <c r="AK140" s="853" t="s">
        <v>4601</v>
      </c>
      <c r="AL140" s="1873" t="s">
        <v>4602</v>
      </c>
      <c r="AM140" s="853" t="s">
        <v>4603</v>
      </c>
      <c r="AN140" s="1873" t="s">
        <v>4604</v>
      </c>
      <c r="AO140" s="853" t="s">
        <v>4605</v>
      </c>
      <c r="AP140" s="1873" t="s">
        <v>4606</v>
      </c>
      <c r="AQ140" s="853" t="s">
        <v>4934</v>
      </c>
      <c r="AR140" s="1919" t="s">
        <v>4935</v>
      </c>
      <c r="AS140" s="1877" t="s">
        <v>4936</v>
      </c>
      <c r="AT140" s="1919" t="s">
        <v>4937</v>
      </c>
      <c r="AU140" s="1879" t="s">
        <v>5234</v>
      </c>
      <c r="AV140" s="1919" t="s">
        <v>5235</v>
      </c>
      <c r="AW140" s="1877" t="s">
        <v>5236</v>
      </c>
      <c r="AX140" s="1975" t="s">
        <v>5237</v>
      </c>
      <c r="AY140" s="1864" t="e">
        <f>$CB140&amp;CC140&amp;CD140&amp;$CE140&amp;CK140&amp;CL140&amp;CM140&amp;CN140&amp;CO140&amp;CP140&amp;CQ140&amp;CR140&amp;CS140&amp;CT140&amp;CU140&amp;CV140&amp;CW140&amp;CX140&amp;CY140&amp;CF140&amp;CG140&amp;CH140&amp;CI140&amp;CJ140</f>
        <v>#VALUE!</v>
      </c>
      <c r="CB140" s="1865" t="e">
        <f t="shared" si="349"/>
        <v>#VALUE!</v>
      </c>
      <c r="CC140" s="1865" t="e">
        <f t="shared" si="313"/>
        <v>#VALUE!</v>
      </c>
      <c r="CD140" s="1865" t="str">
        <f t="shared" si="314"/>
        <v xml:space="preserve"> *El Número de Pueblos Originarios no puede superar el Total Procesados. </v>
      </c>
      <c r="CE140" s="1865" t="str">
        <f t="shared" si="315"/>
        <v xml:space="preserve"> *El Número de Migrantes no puede superar el Total Procesados. </v>
      </c>
      <c r="CF140" s="1865" t="str">
        <f>IF(E140&lt;F140,CONCATENATE("* El total de Procesados debe ser mayor o igual al total de Reactivos en el grupo de edad ",$E$11),"")</f>
        <v>* El total de Procesados debe ser mayor o igual al total de Reactivos en el grupo de edad Menos de 6 meses</v>
      </c>
      <c r="CG140" s="1865" t="str">
        <f>IF(G140&lt;H140,CONCATENATE("* El total de Procesados debe ser mayor o igual al total de Reactivos en el grupo de edad ",$G$11),"")</f>
        <v>* El total de Procesados debe ser mayor o igual al total de Reactivos en el grupo de edad 6 - 11 meses</v>
      </c>
      <c r="CH140" s="1865" t="str">
        <f>IF(I140&lt;J140,CONCATENATE("* El total de Procesados debe ser mayor o igual al total de Reactivos en el grupo de edad ",$I$11),"")</f>
        <v>* El total de Procesados debe ser mayor o igual al total de Reactivos en el grupo de edad 12-24 meses</v>
      </c>
      <c r="CI140" s="1865" t="str">
        <f>IF(K140&lt;L140,CONCATENATE("* El total de Procesados debe ser mayor o igual al total de Reactivos en el grupo de edad ",$K$11),"")</f>
        <v>* El total de Procesados debe ser mayor o igual al total de Reactivos en el grupo de edad 3 - 4 años</v>
      </c>
      <c r="CJ140" s="1865" t="str">
        <f>IF(M140&lt;N140,CONCATENATE("* El total de Procesados debe ser mayor o igual al total de Reactivos en el grupo de edad ",$M$11),"")</f>
        <v>* El total de Procesados debe ser mayor o igual al total de Reactivos en el grupo de edad 5 - 9 años</v>
      </c>
      <c r="CK140" s="1865" t="str">
        <f>IF(O140&lt;P140,CONCATENATE("* El total de Procesados debe ser mayor o igual al total de Reactivos en el grupo de edad ",$O$11),"")</f>
        <v>* El total de Procesados debe ser mayor o igual al total de Reactivos en el grupo de edad 10 - 14 años</v>
      </c>
      <c r="CL140" s="1865" t="str">
        <f t="shared" si="351"/>
        <v>* El total de Procesados debe ser mayor o igual al total de Reactivos en el grupo de edad 15 - 19 años</v>
      </c>
      <c r="CM140" s="1865" t="str">
        <f t="shared" si="352"/>
        <v>* El total de Procesados debe ser mayor o igual al total de Reactivos en el grupo de edad 20 - 24 años</v>
      </c>
      <c r="CN140" s="1865" t="str">
        <f t="shared" si="347"/>
        <v>* El total de Procesados debe ser mayor o igual al total de Reactivos en el grupo de edad 25 - 29 años</v>
      </c>
      <c r="CO140" s="1865" t="str">
        <f t="shared" si="353"/>
        <v>* El total de Procesados debe ser mayor o igual al total de Reactivos en el grupo de edad 30 - 34 años</v>
      </c>
      <c r="CP140" s="1865" t="str">
        <f t="shared" si="354"/>
        <v>* El total de Procesados debe ser mayor o igual al total de Reactivos en el grupo de edad 35 - 39 años</v>
      </c>
      <c r="CQ140" s="1865" t="str">
        <f t="shared" si="355"/>
        <v>* El total de Procesados debe ser mayor o igual al total de Reactivos en el grupo de edad 40 - 44 años</v>
      </c>
      <c r="CR140" s="1865" t="str">
        <f t="shared" si="356"/>
        <v>* El total de Procesados debe ser mayor o igual al total de Reactivos en el grupo de edad 45 - 49 años</v>
      </c>
      <c r="CS140" s="1865" t="str">
        <f t="shared" si="357"/>
        <v>* El total de Procesados debe ser mayor o igual al total de Reactivos en el grupo de edad 50 - 54 años</v>
      </c>
      <c r="CT140" s="1865" t="str">
        <f t="shared" si="358"/>
        <v>* El total de Procesados debe ser mayor o igual al total de Reactivos en el grupo de edad 55 - 59 años</v>
      </c>
      <c r="CU140" s="1865" t="str">
        <f t="shared" si="359"/>
        <v>* El total de Procesados debe ser mayor o igual al total de Reactivos en el grupo de edad 60 - 64 años</v>
      </c>
      <c r="CV140" s="1865" t="str">
        <f>IF(AK140&lt;AL140,CONCATENATE("* El total de Procesados debe ser mayor o igual al total de Reactivos en el grupo de edad ",$AK$11),"")</f>
        <v>* El total de Procesados debe ser mayor o igual al total de Reactivos en el grupo de edad 65 - 69 años</v>
      </c>
      <c r="CW140" s="1865" t="str">
        <f>IF(AM140&lt;AN140,CONCATENATE("* El total de Procesados debe ser mayor o igual al total de Reactivos en el grupo de edad ",$AM$11),"")</f>
        <v>* El total de Procesados debe ser mayor o igual al total de Reactivos en el grupo de edad 70 - 74 años</v>
      </c>
      <c r="CX140" s="1865" t="str">
        <f>IF(AO140&lt;AP140,CONCATENATE("* El total de Procesados debe ser mayor o igual al total de Reactivos en el grupo de edad ",$AO$11),"")</f>
        <v>* El total de Procesados debe ser mayor o igual al total de Reactivos en el grupo de edad 75 - 79 años</v>
      </c>
      <c r="CY140" s="1865" t="str">
        <f>IF(AQ140&lt;AR140,CONCATENATE("* El total de Procesados debe ser mayor o igual al total de Reactivos en el grupo de edad ",$AQ$11),"")</f>
        <v>* El total de Procesados debe ser mayor o igual al total de Reactivos en el grupo de edad 80 y más años</v>
      </c>
      <c r="DF140" s="1936"/>
      <c r="DG140" s="3922" t="e">
        <f t="shared" si="350"/>
        <v>#VALUE!</v>
      </c>
      <c r="DH140" s="3906" t="e">
        <f t="shared" si="330"/>
        <v>#VALUE!</v>
      </c>
      <c r="DI140" s="3906">
        <f t="shared" si="331"/>
        <v>1</v>
      </c>
      <c r="DJ140" s="3906">
        <f t="shared" si="332"/>
        <v>1</v>
      </c>
      <c r="DK140" s="3906">
        <f>IF(E140&lt;F140,1,0)</f>
        <v>1</v>
      </c>
      <c r="DL140" s="3906">
        <f>IF(G140&lt;H140,1,0)</f>
        <v>1</v>
      </c>
      <c r="DM140" s="3906">
        <f>IF(I140&lt;J140,1,0)</f>
        <v>1</v>
      </c>
      <c r="DN140" s="3906">
        <f>IF(K140&lt;L140,1,0)</f>
        <v>1</v>
      </c>
      <c r="DO140" s="3906">
        <f>IF(M140&lt;N140,1,0)</f>
        <v>1</v>
      </c>
      <c r="DP140" s="3906">
        <f>IF(O140&lt;P140,1,0)</f>
        <v>1</v>
      </c>
      <c r="DQ140" s="3906">
        <f t="shared" si="360"/>
        <v>1</v>
      </c>
      <c r="DR140" s="3906">
        <f t="shared" si="361"/>
        <v>1</v>
      </c>
      <c r="DS140" s="3906">
        <f t="shared" si="348"/>
        <v>1</v>
      </c>
      <c r="DT140" s="3906">
        <f t="shared" si="362"/>
        <v>1</v>
      </c>
      <c r="DU140" s="3906">
        <f t="shared" si="363"/>
        <v>1</v>
      </c>
      <c r="DV140" s="3906">
        <f t="shared" si="364"/>
        <v>1</v>
      </c>
      <c r="DW140" s="3906">
        <f t="shared" si="365"/>
        <v>1</v>
      </c>
      <c r="DX140" s="3906">
        <f t="shared" si="366"/>
        <v>1</v>
      </c>
      <c r="DY140" s="3906">
        <f t="shared" si="367"/>
        <v>1</v>
      </c>
      <c r="DZ140" s="3906">
        <f t="shared" si="368"/>
        <v>1</v>
      </c>
      <c r="EA140" s="3906">
        <f>IF(AK140&lt;AL140,1,0)</f>
        <v>1</v>
      </c>
      <c r="EB140" s="3906">
        <f>IF(AM140&lt;AN140,1,0)</f>
        <v>1</v>
      </c>
      <c r="EC140" s="3906">
        <f>IF(AO140&lt;AP140,1,0)</f>
        <v>1</v>
      </c>
      <c r="ED140" s="3906">
        <f>IF(AQ140&lt;AR140,1,0)</f>
        <v>1</v>
      </c>
    </row>
    <row r="141" spans="1:134" ht="18" customHeight="1" x14ac:dyDescent="0.25">
      <c r="A141" s="25"/>
      <c r="B141" s="7120" t="s">
        <v>1891</v>
      </c>
      <c r="C141" s="7120"/>
      <c r="D141" s="7120"/>
      <c r="E141" s="7120"/>
      <c r="F141" s="7120"/>
      <c r="G141" s="7120"/>
      <c r="H141" s="7120"/>
      <c r="I141" s="7120"/>
      <c r="J141" s="7120"/>
      <c r="K141" s="7120"/>
      <c r="L141" s="7120"/>
      <c r="M141" s="7120"/>
      <c r="N141" s="7120"/>
      <c r="O141" s="7120"/>
      <c r="P141" s="7120"/>
      <c r="Q141" s="7120"/>
    </row>
    <row r="142" spans="1:134" x14ac:dyDescent="0.25">
      <c r="A142" s="25"/>
      <c r="B142" s="7121" t="s">
        <v>1892</v>
      </c>
      <c r="C142" s="6511"/>
      <c r="D142" s="7107" t="s">
        <v>1893</v>
      </c>
      <c r="E142" s="7108"/>
      <c r="F142" s="7122"/>
      <c r="G142" s="7123" t="s">
        <v>1894</v>
      </c>
      <c r="H142" s="7123"/>
      <c r="I142" s="7123"/>
      <c r="J142" s="7123" t="s">
        <v>1895</v>
      </c>
      <c r="K142" s="7123"/>
      <c r="L142" s="7123"/>
      <c r="M142" s="7123" t="s">
        <v>1896</v>
      </c>
      <c r="N142" s="7123"/>
      <c r="O142" s="7123"/>
      <c r="P142" s="7107" t="s">
        <v>720</v>
      </c>
      <c r="Q142" s="7122"/>
    </row>
    <row r="143" spans="1:134" x14ac:dyDescent="0.25">
      <c r="A143" s="25"/>
      <c r="B143" s="6734"/>
      <c r="C143" s="6955"/>
      <c r="D143" s="3894" t="s">
        <v>1864</v>
      </c>
      <c r="E143" s="3895" t="s">
        <v>1865</v>
      </c>
      <c r="F143" s="3893" t="s">
        <v>1897</v>
      </c>
      <c r="G143" s="3894" t="s">
        <v>1864</v>
      </c>
      <c r="H143" s="3895" t="s">
        <v>1865</v>
      </c>
      <c r="I143" s="3893" t="s">
        <v>1897</v>
      </c>
      <c r="J143" s="3894" t="s">
        <v>1864</v>
      </c>
      <c r="K143" s="3895" t="s">
        <v>1865</v>
      </c>
      <c r="L143" s="3893" t="s">
        <v>1897</v>
      </c>
      <c r="M143" s="3894" t="s">
        <v>1864</v>
      </c>
      <c r="N143" s="3895" t="s">
        <v>1865</v>
      </c>
      <c r="O143" s="3893" t="s">
        <v>1897</v>
      </c>
      <c r="P143" s="3894" t="s">
        <v>1864</v>
      </c>
      <c r="Q143" s="3896" t="s">
        <v>1865</v>
      </c>
    </row>
    <row r="144" spans="1:134" x14ac:dyDescent="0.25">
      <c r="A144" s="5601">
        <v>11054300</v>
      </c>
      <c r="B144" s="7124" t="s">
        <v>1898</v>
      </c>
      <c r="C144" s="7125"/>
      <c r="D144" s="3927" t="s">
        <v>4567</v>
      </c>
      <c r="E144" s="3928" t="s">
        <v>4568</v>
      </c>
      <c r="F144" s="29" t="s">
        <v>4569</v>
      </c>
      <c r="G144" s="3927" t="s">
        <v>4570</v>
      </c>
      <c r="H144" s="3928" t="s">
        <v>4571</v>
      </c>
      <c r="I144" s="29" t="s">
        <v>4572</v>
      </c>
      <c r="J144" s="3927" t="s">
        <v>4573</v>
      </c>
      <c r="K144" s="3928" t="s">
        <v>4574</v>
      </c>
      <c r="L144" s="29" t="s">
        <v>4575</v>
      </c>
      <c r="M144" s="3927" t="s">
        <v>4576</v>
      </c>
      <c r="N144" s="3928" t="s">
        <v>4577</v>
      </c>
      <c r="O144" s="29" t="s">
        <v>4578</v>
      </c>
      <c r="P144" s="3927" t="s">
        <v>4579</v>
      </c>
      <c r="Q144" s="3929" t="s">
        <v>4580</v>
      </c>
      <c r="R144" s="1864" t="str">
        <f>$CB144&amp;CC144&amp;$CD144&amp;CE144&amp;$CF144&amp;CG144&amp;$CH144&amp;CI144&amp;$CJ144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4" s="1864"/>
      <c r="T144" s="1864"/>
      <c r="U144" s="1864"/>
      <c r="V144" s="1864"/>
      <c r="W144" s="1864"/>
      <c r="X144" s="1864"/>
      <c r="Y144" s="1864"/>
      <c r="Z144" s="1864"/>
      <c r="AA144" s="1864"/>
      <c r="AB144" s="1864"/>
      <c r="AC144" s="1864"/>
      <c r="AD144" s="2149"/>
      <c r="AE144" s="2149"/>
      <c r="AF144" s="2150"/>
      <c r="AG144" s="2150"/>
      <c r="AH144" s="2150"/>
      <c r="AI144" s="2150"/>
      <c r="AJ144" s="2150"/>
      <c r="AK144" s="2150"/>
      <c r="AL144" s="2150"/>
      <c r="AM144" s="2150"/>
      <c r="AN144" s="2150"/>
      <c r="AO144" s="2150"/>
      <c r="AP144" s="2150"/>
      <c r="AQ144" s="2150"/>
      <c r="AR144" s="2150"/>
      <c r="AS144" s="2150"/>
      <c r="AT144" s="2150"/>
      <c r="AU144" s="2150"/>
      <c r="AV144" s="2150"/>
      <c r="AW144" s="2150"/>
      <c r="AX144" s="2150"/>
      <c r="AY144" s="2149"/>
      <c r="AZ144" s="2149"/>
      <c r="BA144" s="2149"/>
      <c r="BB144" s="2149"/>
      <c r="BC144" s="2149"/>
      <c r="BD144" s="2149"/>
      <c r="BE144" s="2149"/>
      <c r="BF144" s="2149"/>
      <c r="BG144" s="2149"/>
      <c r="BH144" s="2149"/>
      <c r="BI144" s="2149"/>
      <c r="BJ144" s="2149"/>
      <c r="BK144" s="2149"/>
      <c r="BL144" s="2149"/>
      <c r="BM144" s="2149"/>
      <c r="BN144" s="2149"/>
      <c r="BO144" s="2150"/>
      <c r="BP144" s="2150"/>
      <c r="BQ144" s="2150"/>
      <c r="BR144" s="2150"/>
      <c r="BS144" s="2150"/>
      <c r="BT144" s="2150"/>
      <c r="BU144" s="2150"/>
      <c r="BV144" s="2150"/>
      <c r="BW144" s="2149"/>
      <c r="BX144" s="2149"/>
      <c r="BY144" s="3885"/>
      <c r="BZ144" s="3885"/>
      <c r="CA144" s="3885"/>
      <c r="CB144" s="1865" t="str">
        <f>IF(D144&gt;=E144,"","* Los Exámenes Reactivos de Hepatitis B NO DEBEN ser mayor a los Exámenes Procesados. ")</f>
        <v xml:space="preserve">* Los Exámenes Reactivos de Hepatitis B NO DEBEN ser mayor a los Exámenes Procesados. </v>
      </c>
      <c r="CC144" s="1865" t="str">
        <f>IF(D144&gt;=F144,"","* Los Exámenes Confirmados de Hepatitis B NO DEBEN ser mayor a los exámenes Procesados. ")</f>
        <v xml:space="preserve">* Los Exámenes Confirmados de Hepatitis B NO DEBEN ser mayor a los exámenes Procesados. </v>
      </c>
      <c r="CD144" s="1865" t="str">
        <f>IF(G144&gt;=H144,"","* Los Exámenes Reactivos de Hepatitis C NO DEBEN ser mayor a los Exámenes Procesados. ")</f>
        <v xml:space="preserve">* Los Exámenes Reactivos de Hepatitis C NO DEBEN ser mayor a los Exámenes Procesados. </v>
      </c>
      <c r="CE144" s="1865" t="str">
        <f>IF(G144&gt;=I144,"","* Los Exámenes Confirmados de Hepatitis C NO DEBEN ser mayor a los Exámenes Procesados. ")</f>
        <v xml:space="preserve">* Los Exámenes Confirmados de Hepatitis C NO DEBEN ser mayor a los Exámenes Procesados. </v>
      </c>
      <c r="CF144" s="1865" t="str">
        <f>IF(J144&gt;=K144,"","* Los Exámenes Reactivos de CHAGAS NO DEBEN ser mayor a los Exámenes Procesados. ")</f>
        <v xml:space="preserve">* Los Exámenes Reactivos de CHAGAS NO DEBEN ser mayor a los Exámenes Procesados. </v>
      </c>
      <c r="CG144" s="1865" t="str">
        <f>IF(J144&gt;=L144,"","* Los Exámenes Confirmados de CHAGAS NO DEBEN ser mayor a los Exámenes Procesados. ")</f>
        <v xml:space="preserve">* Los Exámenes Confirmados de CHAGAS NO DEBEN ser mayor a los Exámenes Procesados. </v>
      </c>
      <c r="CH144" s="1865" t="str">
        <f>IF(M144&gt;=N144,"","* Los Exámenes Reactivos de HTLV1 NO DEBEN ser mayor a los Exámenes Procesados. ")</f>
        <v xml:space="preserve">* Los Exámenes Reactivos de HTLV1 NO DEBEN ser mayor a los Exámenes Procesados. </v>
      </c>
      <c r="CI144" s="1865" t="str">
        <f>IF(M144&gt;=O144,"","* Los Exámenes Confirmados de HTLV1 NO DEBEN ser mayor a los Exámenes Procesados. ")</f>
        <v xml:space="preserve">* Los Exámenes Confirmados de HTLV1 NO DEBEN ser mayor a los Exámenes Procesados. </v>
      </c>
      <c r="CJ144" s="1865" t="str">
        <f>IF(P144&gt;=Q144,"","* Los exámenes Reactivos de SIFILIS NO DEBEN ser mayor a los exámenes Procesados. ")</f>
        <v xml:space="preserve">* Los exámenes Reactivos de SIFILIS NO DEBEN ser mayor a los exámenes Procesados. </v>
      </c>
      <c r="CK144" s="3886"/>
      <c r="DG144" s="3906">
        <f>IF(D144&gt;=E144,0,1)</f>
        <v>1</v>
      </c>
      <c r="DH144" s="3906">
        <f>IF(F144&gt;D144,1,0)</f>
        <v>1</v>
      </c>
      <c r="DI144" s="3906">
        <f>IF(G144&gt;=H144,0,1)</f>
        <v>1</v>
      </c>
      <c r="DJ144" s="3906">
        <f>IF(G144&gt;=I144,0,1)</f>
        <v>1</v>
      </c>
      <c r="DK144" s="3906">
        <f>IF(J144&gt;=K144,0,1)</f>
        <v>1</v>
      </c>
      <c r="DL144" s="3906">
        <f>IF(J144&gt;=L144,0,1)</f>
        <v>1</v>
      </c>
      <c r="DM144" s="3906">
        <f>IF(M144&gt;=N144,0,1)</f>
        <v>1</v>
      </c>
      <c r="DN144" s="3906">
        <f>IF(M144&gt;=O144,0,1)</f>
        <v>1</v>
      </c>
      <c r="DO144" s="3906">
        <f>IF(P144&gt;=Q144,0,1)</f>
        <v>1</v>
      </c>
    </row>
    <row r="145" spans="1:119" x14ac:dyDescent="0.25">
      <c r="A145" s="5601">
        <v>11054400</v>
      </c>
      <c r="B145" s="6927" t="s">
        <v>1899</v>
      </c>
      <c r="C145" s="3235" t="s">
        <v>1900</v>
      </c>
      <c r="D145" s="3278" t="s">
        <v>4567</v>
      </c>
      <c r="E145" s="935" t="s">
        <v>4568</v>
      </c>
      <c r="F145" s="3930" t="s">
        <v>4569</v>
      </c>
      <c r="G145" s="3278" t="s">
        <v>4570</v>
      </c>
      <c r="H145" s="935" t="s">
        <v>4571</v>
      </c>
      <c r="I145" s="3930" t="s">
        <v>4572</v>
      </c>
      <c r="J145" s="3278" t="s">
        <v>4573</v>
      </c>
      <c r="K145" s="935" t="s">
        <v>4574</v>
      </c>
      <c r="L145" s="3930" t="s">
        <v>4575</v>
      </c>
      <c r="M145" s="3278" t="s">
        <v>4576</v>
      </c>
      <c r="N145" s="935" t="s">
        <v>4577</v>
      </c>
      <c r="O145" s="3930" t="s">
        <v>4578</v>
      </c>
      <c r="P145" s="3278" t="s">
        <v>4579</v>
      </c>
      <c r="Q145" s="867" t="s">
        <v>4580</v>
      </c>
      <c r="R145" s="1864" t="str">
        <f t="shared" ref="R145:R148" si="369">$CB145&amp;CC145&amp;$CD145&amp;CE145&amp;$CF145&amp;CG145&amp;$CH145&amp;CI145&amp;$CJ145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5" s="1864"/>
      <c r="T145" s="1864"/>
      <c r="U145" s="1864"/>
      <c r="V145" s="1864"/>
      <c r="W145" s="1864"/>
      <c r="X145" s="1864"/>
      <c r="Y145" s="1864"/>
      <c r="Z145" s="1864"/>
      <c r="AA145" s="1864"/>
      <c r="AB145" s="1864"/>
      <c r="AC145" s="1864"/>
      <c r="AD145" s="2149"/>
      <c r="AE145" s="2149"/>
      <c r="AF145" s="2150"/>
      <c r="AG145" s="2150"/>
      <c r="AH145" s="2150"/>
      <c r="AI145" s="2150"/>
      <c r="AJ145" s="2150"/>
      <c r="AK145" s="2150"/>
      <c r="AL145" s="2150"/>
      <c r="AM145" s="2150"/>
      <c r="AN145" s="2150"/>
      <c r="AO145" s="2150"/>
      <c r="AP145" s="2150"/>
      <c r="AQ145" s="2150"/>
      <c r="AR145" s="2150"/>
      <c r="AS145" s="2150"/>
      <c r="AT145" s="2150"/>
      <c r="AU145" s="2150"/>
      <c r="AV145" s="2150"/>
      <c r="AW145" s="2150"/>
      <c r="AX145" s="2150"/>
      <c r="AY145" s="2149"/>
      <c r="AZ145" s="2149"/>
      <c r="BA145" s="2149"/>
      <c r="BB145" s="2149"/>
      <c r="BC145" s="2149"/>
      <c r="BD145" s="2149"/>
      <c r="BE145" s="2149"/>
      <c r="BF145" s="2149"/>
      <c r="BG145" s="2149"/>
      <c r="BH145" s="2149"/>
      <c r="BI145" s="2149"/>
      <c r="BJ145" s="2149"/>
      <c r="BK145" s="2149"/>
      <c r="BL145" s="2149"/>
      <c r="BM145" s="2149"/>
      <c r="BN145" s="2149"/>
      <c r="BO145" s="2150"/>
      <c r="BP145" s="2150"/>
      <c r="BQ145" s="2150"/>
      <c r="BR145" s="2150"/>
      <c r="BS145" s="2150"/>
      <c r="BT145" s="2150"/>
      <c r="BU145" s="2150"/>
      <c r="BV145" s="2150"/>
      <c r="BW145" s="2149"/>
      <c r="BX145" s="2149"/>
      <c r="BY145" s="3885"/>
      <c r="BZ145" s="3885"/>
      <c r="CA145" s="3885"/>
      <c r="CB145" s="1865" t="str">
        <f t="shared" ref="CB145:CB148" si="370">IF(D145&gt;=E145,"","* Los Exámenes Reactivos de Hepatitis B NO DEBEN ser mayor a los Exámenes Procesados. ")</f>
        <v xml:space="preserve">* Los Exámenes Reactivos de Hepatitis B NO DEBEN ser mayor a los Exámenes Procesados. </v>
      </c>
      <c r="CC145" s="1865" t="str">
        <f t="shared" ref="CC145:CC148" si="371">IF(D145&gt;=F145,"","* Los Exámenes Confirmados de Hepatitis B NO DEBEN ser mayor a los exámenes Procesados. ")</f>
        <v xml:space="preserve">* Los Exámenes Confirmados de Hepatitis B NO DEBEN ser mayor a los exámenes Procesados. </v>
      </c>
      <c r="CD145" s="1865" t="str">
        <f t="shared" ref="CD145:CD148" si="372">IF(G145&gt;=H145,"","* Los Exámenes Reactivos de Hepatitis C NO DEBEN ser mayor a los Exámenes Procesados. ")</f>
        <v xml:space="preserve">* Los Exámenes Reactivos de Hepatitis C NO DEBEN ser mayor a los Exámenes Procesados. </v>
      </c>
      <c r="CE145" s="1865" t="str">
        <f t="shared" ref="CE145:CE148" si="373">IF(G145&gt;=I145,"","* Los Exámenes Confirmados de Hepatitis C NO DEBEN ser mayor a los Exámenes Procesados. ")</f>
        <v xml:space="preserve">* Los Exámenes Confirmados de Hepatitis C NO DEBEN ser mayor a los Exámenes Procesados. </v>
      </c>
      <c r="CF145" s="1865" t="str">
        <f t="shared" ref="CF145:CF148" si="374">IF(J145&gt;=K145,"","* Los Exámenes Reactivos de CHAGAS NO DEBEN ser mayor a los Exámenes Procesados. ")</f>
        <v xml:space="preserve">* Los Exámenes Reactivos de CHAGAS NO DEBEN ser mayor a los Exámenes Procesados. </v>
      </c>
      <c r="CG145" s="1865" t="str">
        <f t="shared" ref="CG145:CG148" si="375">IF(J145&gt;=L145,"","* Los Exámenes Confirmados de CHAGAS NO DEBEN ser mayor a los Exámenes Procesados. ")</f>
        <v xml:space="preserve">* Los Exámenes Confirmados de CHAGAS NO DEBEN ser mayor a los Exámenes Procesados. </v>
      </c>
      <c r="CH145" s="1865" t="str">
        <f t="shared" ref="CH145:CH148" si="376">IF(M145&gt;=N145,"","* Los Exámenes Reactivos de HTLV1 NO DEBEN ser mayor a los Exámenes Procesados. ")</f>
        <v xml:space="preserve">* Los Exámenes Reactivos de HTLV1 NO DEBEN ser mayor a los Exámenes Procesados. </v>
      </c>
      <c r="CI145" s="1865" t="str">
        <f t="shared" ref="CI145:CI148" si="377">IF(M145&gt;=O145,"","* Los Exámenes Confirmados de HTLV1 NO DEBEN ser mayor a los Exámenes Procesados. ")</f>
        <v xml:space="preserve">* Los Exámenes Confirmados de HTLV1 NO DEBEN ser mayor a los Exámenes Procesados. </v>
      </c>
      <c r="CJ145" s="1865" t="str">
        <f t="shared" ref="CJ145:CJ148" si="378">IF(P145&gt;=Q145,"","* Los exámenes Reactivos de SIFILIS NO DEBEN ser mayor a los exámenes Procesados. ")</f>
        <v xml:space="preserve">* Los exámenes Reactivos de SIFILIS NO DEBEN ser mayor a los exámenes Procesados. </v>
      </c>
      <c r="CK145" s="3886"/>
      <c r="DG145" s="3906">
        <f>IF(D145&gt;=E145,0,1)</f>
        <v>1</v>
      </c>
      <c r="DH145" s="3906">
        <f>IF(F145&gt;D145,1,0)</f>
        <v>1</v>
      </c>
      <c r="DI145" s="3906">
        <f>IF(G145&gt;=H145,0,1)</f>
        <v>1</v>
      </c>
      <c r="DJ145" s="3906">
        <f>IF(G145&gt;=I145,0,1)</f>
        <v>1</v>
      </c>
      <c r="DK145" s="3906">
        <f>IF(J145&gt;=K145,0,1)</f>
        <v>1</v>
      </c>
      <c r="DL145" s="3906">
        <f>IF(J145&gt;=L145,0,1)</f>
        <v>1</v>
      </c>
      <c r="DM145" s="3906">
        <f>IF(M145&gt;=N145,0,1)</f>
        <v>1</v>
      </c>
      <c r="DN145" s="3906">
        <f>IF(M145&gt;=O145,0,1)</f>
        <v>1</v>
      </c>
      <c r="DO145" s="3906">
        <f>IF(P145&gt;=Q145,0,1)</f>
        <v>1</v>
      </c>
    </row>
    <row r="146" spans="1:119" x14ac:dyDescent="0.25">
      <c r="A146" s="5601">
        <v>11055100</v>
      </c>
      <c r="B146" s="7126"/>
      <c r="C146" s="3924" t="s">
        <v>1901</v>
      </c>
      <c r="D146" s="326" t="s">
        <v>4567</v>
      </c>
      <c r="E146" s="1014" t="s">
        <v>4568</v>
      </c>
      <c r="F146" s="142" t="s">
        <v>4569</v>
      </c>
      <c r="G146" s="326" t="s">
        <v>4570</v>
      </c>
      <c r="H146" s="1014" t="s">
        <v>4571</v>
      </c>
      <c r="I146" s="142" t="s">
        <v>4572</v>
      </c>
      <c r="J146" s="326" t="s">
        <v>4573</v>
      </c>
      <c r="K146" s="1014" t="s">
        <v>4574</v>
      </c>
      <c r="L146" s="142" t="s">
        <v>4575</v>
      </c>
      <c r="M146" s="326" t="s">
        <v>4576</v>
      </c>
      <c r="N146" s="1014" t="s">
        <v>4577</v>
      </c>
      <c r="O146" s="142" t="s">
        <v>4578</v>
      </c>
      <c r="P146" s="326" t="s">
        <v>4579</v>
      </c>
      <c r="Q146" s="882" t="s">
        <v>4580</v>
      </c>
      <c r="R146" s="1864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6" s="1864"/>
      <c r="T146" s="1864"/>
      <c r="U146" s="1864"/>
      <c r="V146" s="1864"/>
      <c r="W146" s="1864"/>
      <c r="X146" s="1864"/>
      <c r="Y146" s="1864"/>
      <c r="Z146" s="1864"/>
      <c r="AA146" s="1864"/>
      <c r="AB146" s="1864"/>
      <c r="AC146" s="1864"/>
      <c r="AD146" s="2149"/>
      <c r="AE146" s="2149"/>
      <c r="AF146" s="2150"/>
      <c r="AG146" s="2150"/>
      <c r="AH146" s="2150"/>
      <c r="AI146" s="2150"/>
      <c r="AJ146" s="2150"/>
      <c r="AK146" s="2150"/>
      <c r="AL146" s="2150"/>
      <c r="AM146" s="2150"/>
      <c r="AN146" s="2150"/>
      <c r="AO146" s="2150"/>
      <c r="AP146" s="2150"/>
      <c r="AQ146" s="2150"/>
      <c r="AR146" s="2150"/>
      <c r="AS146" s="2150"/>
      <c r="AT146" s="2150"/>
      <c r="AU146" s="2150"/>
      <c r="AV146" s="2150"/>
      <c r="AW146" s="2150"/>
      <c r="AX146" s="2150"/>
      <c r="AY146" s="2149"/>
      <c r="AZ146" s="2149"/>
      <c r="BA146" s="2149"/>
      <c r="BB146" s="2149"/>
      <c r="BC146" s="2149"/>
      <c r="BD146" s="2149"/>
      <c r="BE146" s="2149"/>
      <c r="BF146" s="2149"/>
      <c r="BG146" s="2149"/>
      <c r="BH146" s="2149"/>
      <c r="BI146" s="2149"/>
      <c r="BJ146" s="2149"/>
      <c r="BK146" s="2149"/>
      <c r="BL146" s="2149"/>
      <c r="BM146" s="2149"/>
      <c r="BN146" s="2149"/>
      <c r="BO146" s="2150"/>
      <c r="BP146" s="2150"/>
      <c r="BQ146" s="2150"/>
      <c r="BR146" s="2150"/>
      <c r="BS146" s="2150"/>
      <c r="BT146" s="2150"/>
      <c r="BU146" s="2150"/>
      <c r="BV146" s="2150"/>
      <c r="BW146" s="2149"/>
      <c r="BX146" s="2149"/>
      <c r="BY146" s="3885"/>
      <c r="BZ146" s="3885"/>
      <c r="CA146" s="3885"/>
      <c r="CB146" s="1865" t="str">
        <f t="shared" si="370"/>
        <v xml:space="preserve">* Los Exámenes Reactivos de Hepatitis B NO DEBEN ser mayor a los Exámenes Procesados. </v>
      </c>
      <c r="CC146" s="1865" t="str">
        <f t="shared" si="371"/>
        <v xml:space="preserve">* Los Exámenes Confirmados de Hepatitis B NO DEBEN ser mayor a los exámenes Procesados. </v>
      </c>
      <c r="CD146" s="1865" t="str">
        <f t="shared" si="372"/>
        <v xml:space="preserve">* Los Exámenes Reactivos de Hepatitis C NO DEBEN ser mayor a los Exámenes Procesados. </v>
      </c>
      <c r="CE146" s="1865" t="str">
        <f t="shared" si="373"/>
        <v xml:space="preserve">* Los Exámenes Confirmados de Hepatitis C NO DEBEN ser mayor a los Exámenes Procesados. </v>
      </c>
      <c r="CF146" s="1865" t="str">
        <f t="shared" si="374"/>
        <v xml:space="preserve">* Los Exámenes Reactivos de CHAGAS NO DEBEN ser mayor a los Exámenes Procesados. </v>
      </c>
      <c r="CG146" s="1865" t="str">
        <f t="shared" si="375"/>
        <v xml:space="preserve">* Los Exámenes Confirmados de CHAGAS NO DEBEN ser mayor a los Exámenes Procesados. </v>
      </c>
      <c r="CH146" s="1865" t="str">
        <f t="shared" si="376"/>
        <v xml:space="preserve">* Los Exámenes Reactivos de HTLV1 NO DEBEN ser mayor a los Exámenes Procesados. </v>
      </c>
      <c r="CI146" s="1865" t="str">
        <f t="shared" si="377"/>
        <v xml:space="preserve">* Los Exámenes Confirmados de HTLV1 NO DEBEN ser mayor a los Exámenes Procesados. </v>
      </c>
      <c r="CJ146" s="1865" t="str">
        <f t="shared" si="378"/>
        <v xml:space="preserve">* Los exámenes Reactivos de SIFILIS NO DEBEN ser mayor a los exámenes Procesados. </v>
      </c>
      <c r="CK146" s="3886"/>
      <c r="DG146" s="3906">
        <f>IF(D146&gt;=E146,0,1)</f>
        <v>1</v>
      </c>
      <c r="DH146" s="3906">
        <f>IF(F146&gt;D146,1,0)</f>
        <v>1</v>
      </c>
      <c r="DI146" s="3906">
        <f>IF(G146&gt;=H146,0,1)</f>
        <v>1</v>
      </c>
      <c r="DJ146" s="3906">
        <f>IF(G146&gt;=I146,0,1)</f>
        <v>1</v>
      </c>
      <c r="DK146" s="3906">
        <f>IF(J146&gt;=K146,0,1)</f>
        <v>1</v>
      </c>
      <c r="DL146" s="3906">
        <f>IF(J146&gt;=L146,0,1)</f>
        <v>1</v>
      </c>
      <c r="DM146" s="3906">
        <f>IF(M146&gt;=N146,0,1)</f>
        <v>1</v>
      </c>
      <c r="DN146" s="3906">
        <f>IF(M146&gt;=O146,0,1)</f>
        <v>1</v>
      </c>
      <c r="DO146" s="3906">
        <f>IF(P146&gt;=Q146,0,1)</f>
        <v>1</v>
      </c>
    </row>
    <row r="147" spans="1:119" x14ac:dyDescent="0.25">
      <c r="A147" s="5601">
        <v>11055110</v>
      </c>
      <c r="B147" s="6312"/>
      <c r="C147" s="3576" t="s">
        <v>1902</v>
      </c>
      <c r="D147" s="874" t="s">
        <v>4567</v>
      </c>
      <c r="E147" s="1880" t="s">
        <v>4568</v>
      </c>
      <c r="F147" s="3416" t="s">
        <v>4569</v>
      </c>
      <c r="G147" s="874" t="s">
        <v>4570</v>
      </c>
      <c r="H147" s="1880" t="s">
        <v>4571</v>
      </c>
      <c r="I147" s="3416" t="s">
        <v>4572</v>
      </c>
      <c r="J147" s="874" t="s">
        <v>4573</v>
      </c>
      <c r="K147" s="1880" t="s">
        <v>4574</v>
      </c>
      <c r="L147" s="3416" t="s">
        <v>4575</v>
      </c>
      <c r="M147" s="874" t="s">
        <v>4576</v>
      </c>
      <c r="N147" s="1880" t="s">
        <v>4577</v>
      </c>
      <c r="O147" s="3416" t="s">
        <v>4578</v>
      </c>
      <c r="P147" s="874" t="s">
        <v>4579</v>
      </c>
      <c r="Q147" s="324" t="s">
        <v>4580</v>
      </c>
      <c r="R147" s="1864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7" s="1864"/>
      <c r="T147" s="1864"/>
      <c r="U147" s="1864"/>
      <c r="V147" s="1864"/>
      <c r="W147" s="1864"/>
      <c r="X147" s="1864"/>
      <c r="Y147" s="1864"/>
      <c r="Z147" s="1864"/>
      <c r="AA147" s="1864"/>
      <c r="AB147" s="1864"/>
      <c r="AC147" s="1864"/>
      <c r="AD147" s="2149"/>
      <c r="AE147" s="2149"/>
      <c r="AF147" s="2150"/>
      <c r="AG147" s="2150"/>
      <c r="AH147" s="2150"/>
      <c r="AI147" s="2150"/>
      <c r="AJ147" s="2150"/>
      <c r="AK147" s="2150"/>
      <c r="AL147" s="2150"/>
      <c r="AM147" s="2150"/>
      <c r="AN147" s="2150"/>
      <c r="AO147" s="2150"/>
      <c r="AP147" s="2150"/>
      <c r="AQ147" s="2150"/>
      <c r="AR147" s="2150"/>
      <c r="AS147" s="2150"/>
      <c r="AT147" s="2150"/>
      <c r="AU147" s="2150"/>
      <c r="AV147" s="2150"/>
      <c r="AW147" s="2150"/>
      <c r="AX147" s="2150"/>
      <c r="AY147" s="2149"/>
      <c r="AZ147" s="2149"/>
      <c r="BA147" s="2149"/>
      <c r="BB147" s="2149"/>
      <c r="BC147" s="2149"/>
      <c r="BD147" s="2149"/>
      <c r="BE147" s="2149"/>
      <c r="BF147" s="2149"/>
      <c r="BG147" s="2149"/>
      <c r="BH147" s="2149"/>
      <c r="BI147" s="2149"/>
      <c r="BJ147" s="2149"/>
      <c r="BK147" s="2149"/>
      <c r="BL147" s="2149"/>
      <c r="BM147" s="2149"/>
      <c r="BN147" s="2149"/>
      <c r="BO147" s="2150"/>
      <c r="BP147" s="2150"/>
      <c r="BQ147" s="2150"/>
      <c r="BR147" s="2150"/>
      <c r="BS147" s="2150"/>
      <c r="BT147" s="2150"/>
      <c r="BU147" s="2150"/>
      <c r="BV147" s="2150"/>
      <c r="BW147" s="2149"/>
      <c r="BX147" s="2149"/>
      <c r="BY147" s="3885"/>
      <c r="BZ147" s="3885"/>
      <c r="CA147" s="3885"/>
      <c r="CB147" s="1865" t="str">
        <f t="shared" si="370"/>
        <v xml:space="preserve">* Los Exámenes Reactivos de Hepatitis B NO DEBEN ser mayor a los Exámenes Procesados. </v>
      </c>
      <c r="CC147" s="1865" t="str">
        <f t="shared" si="371"/>
        <v xml:space="preserve">* Los Exámenes Confirmados de Hepatitis B NO DEBEN ser mayor a los exámenes Procesados. </v>
      </c>
      <c r="CD147" s="1865" t="str">
        <f t="shared" si="372"/>
        <v xml:space="preserve">* Los Exámenes Reactivos de Hepatitis C NO DEBEN ser mayor a los Exámenes Procesados. </v>
      </c>
      <c r="CE147" s="1865" t="str">
        <f t="shared" si="373"/>
        <v xml:space="preserve">* Los Exámenes Confirmados de Hepatitis C NO DEBEN ser mayor a los Exámenes Procesados. </v>
      </c>
      <c r="CF147" s="1865" t="str">
        <f t="shared" si="374"/>
        <v xml:space="preserve">* Los Exámenes Reactivos de CHAGAS NO DEBEN ser mayor a los Exámenes Procesados. </v>
      </c>
      <c r="CG147" s="1865" t="str">
        <f t="shared" si="375"/>
        <v xml:space="preserve">* Los Exámenes Confirmados de CHAGAS NO DEBEN ser mayor a los Exámenes Procesados. </v>
      </c>
      <c r="CH147" s="1865" t="str">
        <f t="shared" si="376"/>
        <v xml:space="preserve">* Los Exámenes Reactivos de HTLV1 NO DEBEN ser mayor a los Exámenes Procesados. </v>
      </c>
      <c r="CI147" s="1865" t="str">
        <f t="shared" si="377"/>
        <v xml:space="preserve">* Los Exámenes Confirmados de HTLV1 NO DEBEN ser mayor a los Exámenes Procesados. </v>
      </c>
      <c r="CJ147" s="1865" t="str">
        <f t="shared" si="378"/>
        <v xml:space="preserve">* Los exámenes Reactivos de SIFILIS NO DEBEN ser mayor a los exámenes Procesados. </v>
      </c>
      <c r="CK147" s="3886"/>
      <c r="DG147" s="3906">
        <f>IF(D147&gt;=E147,0,1)</f>
        <v>1</v>
      </c>
      <c r="DH147" s="3906">
        <f>IF(F147&gt;D147,1,0)</f>
        <v>1</v>
      </c>
      <c r="DI147" s="3906">
        <f>IF(G147&gt;=H147,0,1)</f>
        <v>1</v>
      </c>
      <c r="DJ147" s="3906">
        <f>IF(G147&gt;=I147,0,1)</f>
        <v>1</v>
      </c>
      <c r="DK147" s="3906">
        <f>IF(J147&gt;=K147,0,1)</f>
        <v>1</v>
      </c>
      <c r="DL147" s="3906">
        <f>IF(J147&gt;=L147,0,1)</f>
        <v>1</v>
      </c>
      <c r="DM147" s="3906">
        <f>IF(M147&gt;=N147,0,1)</f>
        <v>1</v>
      </c>
      <c r="DN147" s="3906">
        <f>IF(M147&gt;=O147,0,1)</f>
        <v>1</v>
      </c>
      <c r="DO147" s="3906">
        <f>IF(P147&gt;=Q147,0,1)</f>
        <v>1</v>
      </c>
    </row>
    <row r="148" spans="1:119" x14ac:dyDescent="0.25">
      <c r="A148" s="5601">
        <v>11055120</v>
      </c>
      <c r="B148" s="7127" t="s">
        <v>1903</v>
      </c>
      <c r="C148" s="7128"/>
      <c r="D148" s="874" t="s">
        <v>4567</v>
      </c>
      <c r="E148" s="1880" t="s">
        <v>4568</v>
      </c>
      <c r="F148" s="3416" t="s">
        <v>4569</v>
      </c>
      <c r="G148" s="874" t="s">
        <v>4570</v>
      </c>
      <c r="H148" s="1880" t="s">
        <v>4571</v>
      </c>
      <c r="I148" s="3416" t="s">
        <v>4572</v>
      </c>
      <c r="J148" s="874" t="s">
        <v>4573</v>
      </c>
      <c r="K148" s="1880" t="s">
        <v>4574</v>
      </c>
      <c r="L148" s="3416" t="s">
        <v>4575</v>
      </c>
      <c r="M148" s="874" t="s">
        <v>4576</v>
      </c>
      <c r="N148" s="1880" t="s">
        <v>4577</v>
      </c>
      <c r="O148" s="3416" t="s">
        <v>4578</v>
      </c>
      <c r="P148" s="874" t="s">
        <v>4579</v>
      </c>
      <c r="Q148" s="324" t="s">
        <v>4580</v>
      </c>
      <c r="R148" s="1864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8" s="1864"/>
      <c r="T148" s="1864"/>
      <c r="U148" s="1864"/>
      <c r="V148" s="1864"/>
      <c r="W148" s="1864"/>
      <c r="X148" s="1864"/>
      <c r="Y148" s="1864"/>
      <c r="Z148" s="1864"/>
      <c r="AA148" s="1864"/>
      <c r="AB148" s="1864"/>
      <c r="AC148" s="1864"/>
      <c r="AD148" s="2149"/>
      <c r="AE148" s="2149"/>
      <c r="AF148" s="2150"/>
      <c r="AG148" s="2150"/>
      <c r="AH148" s="2150"/>
      <c r="AI148" s="2150"/>
      <c r="AJ148" s="2150"/>
      <c r="AK148" s="2150"/>
      <c r="AL148" s="2150"/>
      <c r="AM148" s="2150"/>
      <c r="AN148" s="2150"/>
      <c r="AO148" s="2150"/>
      <c r="AP148" s="2150"/>
      <c r="AQ148" s="2150"/>
      <c r="AR148" s="2150"/>
      <c r="AS148" s="2150"/>
      <c r="AT148" s="2150"/>
      <c r="AU148" s="2150"/>
      <c r="AV148" s="2150"/>
      <c r="AW148" s="2150"/>
      <c r="AX148" s="2150"/>
      <c r="AY148" s="2149"/>
      <c r="AZ148" s="2149"/>
      <c r="BA148" s="2149"/>
      <c r="BB148" s="2149"/>
      <c r="BC148" s="2149"/>
      <c r="BD148" s="2149"/>
      <c r="BE148" s="2149"/>
      <c r="BF148" s="2149"/>
      <c r="BG148" s="2149"/>
      <c r="BH148" s="2149"/>
      <c r="BI148" s="2149"/>
      <c r="BJ148" s="2149"/>
      <c r="BK148" s="2149"/>
      <c r="BL148" s="2149"/>
      <c r="BM148" s="2149"/>
      <c r="BN148" s="2149"/>
      <c r="BO148" s="2150"/>
      <c r="BP148" s="2150"/>
      <c r="BQ148" s="2150"/>
      <c r="BR148" s="2150"/>
      <c r="BS148" s="2150"/>
      <c r="BT148" s="2150"/>
      <c r="BU148" s="2150"/>
      <c r="BV148" s="2150"/>
      <c r="BW148" s="2149"/>
      <c r="BX148" s="2149"/>
      <c r="BY148" s="3885"/>
      <c r="BZ148" s="3885"/>
      <c r="CA148" s="3885"/>
      <c r="CB148" s="1865" t="str">
        <f t="shared" si="370"/>
        <v xml:space="preserve">* Los Exámenes Reactivos de Hepatitis B NO DEBEN ser mayor a los Exámenes Procesados. </v>
      </c>
      <c r="CC148" s="1865" t="str">
        <f t="shared" si="371"/>
        <v xml:space="preserve">* Los Exámenes Confirmados de Hepatitis B NO DEBEN ser mayor a los exámenes Procesados. </v>
      </c>
      <c r="CD148" s="1865" t="str">
        <f t="shared" si="372"/>
        <v xml:space="preserve">* Los Exámenes Reactivos de Hepatitis C NO DEBEN ser mayor a los Exámenes Procesados. </v>
      </c>
      <c r="CE148" s="1865" t="str">
        <f t="shared" si="373"/>
        <v xml:space="preserve">* Los Exámenes Confirmados de Hepatitis C NO DEBEN ser mayor a los Exámenes Procesados. </v>
      </c>
      <c r="CF148" s="1865" t="str">
        <f t="shared" si="374"/>
        <v xml:space="preserve">* Los Exámenes Reactivos de CHAGAS NO DEBEN ser mayor a los Exámenes Procesados. </v>
      </c>
      <c r="CG148" s="1865" t="str">
        <f t="shared" si="375"/>
        <v xml:space="preserve">* Los Exámenes Confirmados de CHAGAS NO DEBEN ser mayor a los Exámenes Procesados. </v>
      </c>
      <c r="CH148" s="1865" t="str">
        <f t="shared" si="376"/>
        <v xml:space="preserve">* Los Exámenes Reactivos de HTLV1 NO DEBEN ser mayor a los Exámenes Procesados. </v>
      </c>
      <c r="CI148" s="1865" t="str">
        <f t="shared" si="377"/>
        <v xml:space="preserve">* Los Exámenes Confirmados de HTLV1 NO DEBEN ser mayor a los Exámenes Procesados. </v>
      </c>
      <c r="CJ148" s="1865" t="str">
        <f t="shared" si="378"/>
        <v xml:space="preserve">* Los exámenes Reactivos de SIFILIS NO DEBEN ser mayor a los exámenes Procesados. </v>
      </c>
      <c r="CK148" s="3886"/>
      <c r="DG148" s="3906">
        <f>IF(D148&gt;=E148,0,1)</f>
        <v>1</v>
      </c>
      <c r="DH148" s="3906">
        <f>IF(F148&gt;D148,1,0)</f>
        <v>1</v>
      </c>
      <c r="DI148" s="3906">
        <f>IF(G148&gt;=H148,0,1)</f>
        <v>1</v>
      </c>
      <c r="DJ148" s="3906">
        <f>IF(G148&gt;=I148,0,1)</f>
        <v>1</v>
      </c>
      <c r="DK148" s="3906">
        <f>IF(J148&gt;=K148,0,1)</f>
        <v>1</v>
      </c>
      <c r="DL148" s="3906">
        <f>IF(J148&gt;=L148,0,1)</f>
        <v>1</v>
      </c>
      <c r="DM148" s="3906">
        <f>IF(M148&gt;=N148,0,1)</f>
        <v>1</v>
      </c>
      <c r="DN148" s="3906">
        <f>IF(M148&gt;=O148,0,1)</f>
        <v>1</v>
      </c>
      <c r="DO148" s="3906">
        <f>IF(P148&gt;=Q148,0,1)</f>
        <v>1</v>
      </c>
    </row>
    <row r="149" spans="1:119" s="6" customFormat="1" ht="18" customHeight="1" x14ac:dyDescent="0.2">
      <c r="A149" s="5797"/>
      <c r="B149" s="7120" t="s">
        <v>1904</v>
      </c>
      <c r="C149" s="7120"/>
      <c r="D149" s="7120"/>
      <c r="E149" s="7120"/>
      <c r="F149" s="7120"/>
      <c r="G149" s="7120"/>
      <c r="H149" s="7120"/>
      <c r="I149" s="7120"/>
      <c r="J149" s="7120"/>
      <c r="K149" s="7120"/>
      <c r="L149" s="7120"/>
      <c r="M149" s="7120"/>
      <c r="N149" s="7120"/>
      <c r="O149" s="7120"/>
      <c r="P149" s="7120"/>
      <c r="Q149" s="7120"/>
    </row>
    <row r="150" spans="1:119" x14ac:dyDescent="0.25">
      <c r="A150" s="5797"/>
      <c r="B150" s="7121" t="s">
        <v>1892</v>
      </c>
      <c r="C150" s="6511"/>
      <c r="D150" s="7107" t="s">
        <v>1893</v>
      </c>
      <c r="E150" s="7108"/>
      <c r="F150" s="7122"/>
      <c r="G150" s="7123" t="s">
        <v>1894</v>
      </c>
      <c r="H150" s="7123"/>
      <c r="I150" s="7123"/>
      <c r="J150" s="7123" t="s">
        <v>1895</v>
      </c>
      <c r="K150" s="7123"/>
      <c r="L150" s="7123"/>
      <c r="M150" s="7123" t="s">
        <v>1896</v>
      </c>
      <c r="N150" s="7123"/>
      <c r="O150" s="7123"/>
      <c r="P150" s="7107" t="s">
        <v>720</v>
      </c>
      <c r="Q150" s="7122"/>
    </row>
    <row r="151" spans="1:119" x14ac:dyDescent="0.25">
      <c r="A151" s="5797"/>
      <c r="B151" s="6734"/>
      <c r="C151" s="6955"/>
      <c r="D151" s="3931" t="s">
        <v>1864</v>
      </c>
      <c r="E151" s="3932" t="s">
        <v>1865</v>
      </c>
      <c r="F151" s="3933" t="s">
        <v>1897</v>
      </c>
      <c r="G151" s="3931" t="s">
        <v>1864</v>
      </c>
      <c r="H151" s="3932" t="s">
        <v>1865</v>
      </c>
      <c r="I151" s="3933" t="s">
        <v>1897</v>
      </c>
      <c r="J151" s="3931" t="s">
        <v>1864</v>
      </c>
      <c r="K151" s="3932" t="s">
        <v>1865</v>
      </c>
      <c r="L151" s="3933" t="s">
        <v>1897</v>
      </c>
      <c r="M151" s="3931" t="s">
        <v>1864</v>
      </c>
      <c r="N151" s="3932" t="s">
        <v>1865</v>
      </c>
      <c r="O151" s="3933" t="s">
        <v>1897</v>
      </c>
      <c r="P151" s="3931" t="s">
        <v>1864</v>
      </c>
      <c r="Q151" s="3934" t="s">
        <v>1865</v>
      </c>
    </row>
    <row r="152" spans="1:119" x14ac:dyDescent="0.25">
      <c r="A152" s="5601">
        <v>11055130</v>
      </c>
      <c r="B152" s="7129" t="s">
        <v>1898</v>
      </c>
      <c r="C152" s="7130"/>
      <c r="D152" s="3927" t="s">
        <v>4567</v>
      </c>
      <c r="E152" s="3928" t="s">
        <v>4568</v>
      </c>
      <c r="F152" s="29" t="s">
        <v>4569</v>
      </c>
      <c r="G152" s="3927" t="s">
        <v>4570</v>
      </c>
      <c r="H152" s="3928" t="s">
        <v>4571</v>
      </c>
      <c r="I152" s="29" t="s">
        <v>4572</v>
      </c>
      <c r="J152" s="3927" t="s">
        <v>4573</v>
      </c>
      <c r="K152" s="3928" t="s">
        <v>4574</v>
      </c>
      <c r="L152" s="29" t="s">
        <v>4575</v>
      </c>
      <c r="M152" s="3927" t="s">
        <v>4576</v>
      </c>
      <c r="N152" s="3928" t="s">
        <v>4577</v>
      </c>
      <c r="O152" s="29" t="s">
        <v>4578</v>
      </c>
      <c r="P152" s="3927" t="s">
        <v>4579</v>
      </c>
      <c r="Q152" s="3929" t="s">
        <v>4580</v>
      </c>
      <c r="R152" s="1864" t="str">
        <f>$CB152&amp;CC152&amp;$CD152&amp;CE152&amp;$CF152&amp;CG152&amp;$CH152&amp;CI152&amp;$CJ152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2" s="1864"/>
      <c r="T152" s="1864"/>
      <c r="U152" s="1864"/>
      <c r="V152" s="1864"/>
      <c r="W152" s="1864"/>
      <c r="X152" s="1864"/>
      <c r="Y152" s="1864"/>
      <c r="Z152" s="1864"/>
      <c r="AA152" s="1864"/>
      <c r="AB152" s="1864"/>
      <c r="AC152" s="1864"/>
      <c r="AD152" s="2149"/>
      <c r="AE152" s="2149"/>
      <c r="AF152" s="2150"/>
      <c r="AG152" s="2150"/>
      <c r="AH152" s="2150"/>
      <c r="AI152" s="2150"/>
      <c r="AJ152" s="2150"/>
      <c r="AK152" s="2150"/>
      <c r="AL152" s="2150"/>
      <c r="AM152" s="2150"/>
      <c r="AN152" s="2150"/>
      <c r="AO152" s="2150"/>
      <c r="AP152" s="2150"/>
      <c r="AQ152" s="2150"/>
      <c r="AR152" s="2150"/>
      <c r="AS152" s="2150"/>
      <c r="AT152" s="2150"/>
      <c r="AU152" s="2150"/>
      <c r="AV152" s="2150"/>
      <c r="AW152" s="2150"/>
      <c r="AX152" s="2150"/>
      <c r="AY152" s="2149"/>
      <c r="AZ152" s="2149"/>
      <c r="BA152" s="2149"/>
      <c r="BB152" s="2149"/>
      <c r="BC152" s="2149"/>
      <c r="BD152" s="2149"/>
      <c r="BE152" s="2149"/>
      <c r="BF152" s="2149"/>
      <c r="BG152" s="2149"/>
      <c r="BH152" s="2149"/>
      <c r="BI152" s="2149"/>
      <c r="BJ152" s="2149"/>
      <c r="BK152" s="2149"/>
      <c r="BL152" s="2149"/>
      <c r="BM152" s="2149"/>
      <c r="BN152" s="2149"/>
      <c r="BO152" s="2150"/>
      <c r="BP152" s="2150"/>
      <c r="BQ152" s="2150"/>
      <c r="BR152" s="2150"/>
      <c r="BS152" s="2150"/>
      <c r="BT152" s="2150"/>
      <c r="BU152" s="2150"/>
      <c r="BV152" s="2150"/>
      <c r="BW152" s="2149"/>
      <c r="BX152" s="2149"/>
      <c r="BY152" s="3885"/>
      <c r="BZ152" s="3885"/>
      <c r="CA152" s="3885"/>
      <c r="CB152" s="1865" t="str">
        <f>IF(D152&gt;=E152,"","* Los Exámenes Reactivos de Hepatitis B NO DEBEN ser mayor a los Exámenes Procesados. ")</f>
        <v xml:space="preserve">* Los Exámenes Reactivos de Hepatitis B NO DEBEN ser mayor a los Exámenes Procesados. </v>
      </c>
      <c r="CC152" s="1865" t="str">
        <f>IF(D152&gt;=F152,"","* Los Exámenes Confirmados de Hepatitis B NO DEBEN ser mayor a los exámenes Procesados. ")</f>
        <v xml:space="preserve">* Los Exámenes Confirmados de Hepatitis B NO DEBEN ser mayor a los exámenes Procesados. </v>
      </c>
      <c r="CD152" s="1865" t="str">
        <f>IF(G152&gt;=H152,"","* Los Exámenes Reactivos de Hepatitis C NO DEBEN ser mayor a los Exámenes Procesados. ")</f>
        <v xml:space="preserve">* Los Exámenes Reactivos de Hepatitis C NO DEBEN ser mayor a los Exámenes Procesados. </v>
      </c>
      <c r="CE152" s="1865" t="str">
        <f>IF(G152&gt;=I152,"","* Los Exámenes Confirmados de Hepatitis C NO DEBEN ser mayor a los Exámenes Procesados. ")</f>
        <v xml:space="preserve">* Los Exámenes Confirmados de Hepatitis C NO DEBEN ser mayor a los Exámenes Procesados. </v>
      </c>
      <c r="CF152" s="1865" t="str">
        <f>IF(J152&gt;=K152,"","* Los Exámenes Reactivos de CHAGAS NO DEBEN ser mayor a los Exámenes Procesados. ")</f>
        <v xml:space="preserve">* Los Exámenes Reactivos de CHAGAS NO DEBEN ser mayor a los Exámenes Procesados. </v>
      </c>
      <c r="CG152" s="1865" t="str">
        <f>IF(J152&gt;=L152,"","* Los Exámenes Confirmados de CHAGAS NO DEBEN ser mayor a los Exámenes Procesados. ")</f>
        <v xml:space="preserve">* Los Exámenes Confirmados de CHAGAS NO DEBEN ser mayor a los Exámenes Procesados. </v>
      </c>
      <c r="CH152" s="1865" t="str">
        <f>IF(M152&gt;=N152,"","* Los Exámenes Reactivos de HTLV1 NO DEBEN ser mayor a los Exámenes Procesados. ")</f>
        <v xml:space="preserve">* Los Exámenes Reactivos de HTLV1 NO DEBEN ser mayor a los Exámenes Procesados. </v>
      </c>
      <c r="CI152" s="1865" t="str">
        <f>IF(M152&gt;=O152,"","* Los Exámenes Confirmados de HTLV1 NO DEBEN ser mayor a los Exámenes Procesados. ")</f>
        <v xml:space="preserve">* Los Exámenes Confirmados de HTLV1 NO DEBEN ser mayor a los Exámenes Procesados. </v>
      </c>
      <c r="CJ152" s="1865" t="str">
        <f>IF(P152&gt;=Q152,"","* Los exámenes Reactivos de SIFILIS NO DEBEN ser mayor a los exámenes Procesados. ")</f>
        <v xml:space="preserve">* Los exámenes Reactivos de SIFILIS NO DEBEN ser mayor a los exámenes Procesados. </v>
      </c>
      <c r="CK152" s="3886"/>
      <c r="DG152" s="3906">
        <f>IF(D152&gt;=E152,0,1)</f>
        <v>1</v>
      </c>
      <c r="DH152" s="3906">
        <f>IF(F152&gt;D152,1,0)</f>
        <v>1</v>
      </c>
      <c r="DI152" s="3906">
        <f>IF(G152&gt;=H152,0,1)</f>
        <v>1</v>
      </c>
      <c r="DJ152" s="3906">
        <f>IF(G152&gt;=I152,0,1)</f>
        <v>1</v>
      </c>
      <c r="DK152" s="3906">
        <f>IF(J152&gt;=K152,0,1)</f>
        <v>1</v>
      </c>
      <c r="DL152" s="3906">
        <f>IF(J152&gt;=L152,0,1)</f>
        <v>1</v>
      </c>
      <c r="DM152" s="3906">
        <f>IF(M152&gt;=N152,0,1)</f>
        <v>1</v>
      </c>
      <c r="DN152" s="3906">
        <f>IF(M152&gt;=O152,0,1)</f>
        <v>1</v>
      </c>
      <c r="DO152" s="3906">
        <f>IF(P152&gt;=Q152,0,1)</f>
        <v>1</v>
      </c>
    </row>
    <row r="153" spans="1:119" x14ac:dyDescent="0.25">
      <c r="A153" s="5601">
        <v>11055140</v>
      </c>
      <c r="B153" s="6927" t="s">
        <v>1899</v>
      </c>
      <c r="C153" s="3721" t="s">
        <v>1900</v>
      </c>
      <c r="D153" s="3278" t="s">
        <v>4567</v>
      </c>
      <c r="E153" s="935" t="s">
        <v>4568</v>
      </c>
      <c r="F153" s="3930" t="s">
        <v>4569</v>
      </c>
      <c r="G153" s="3278" t="s">
        <v>4570</v>
      </c>
      <c r="H153" s="935" t="s">
        <v>4571</v>
      </c>
      <c r="I153" s="3930" t="s">
        <v>4572</v>
      </c>
      <c r="J153" s="3278" t="s">
        <v>4573</v>
      </c>
      <c r="K153" s="935" t="s">
        <v>4574</v>
      </c>
      <c r="L153" s="3930" t="s">
        <v>4575</v>
      </c>
      <c r="M153" s="3278" t="s">
        <v>4576</v>
      </c>
      <c r="N153" s="935" t="s">
        <v>4577</v>
      </c>
      <c r="O153" s="3930" t="s">
        <v>4578</v>
      </c>
      <c r="P153" s="3278" t="s">
        <v>4579</v>
      </c>
      <c r="Q153" s="867" t="s">
        <v>4580</v>
      </c>
      <c r="R153" s="1864" t="str">
        <f t="shared" ref="R153:R156" si="379">$CB153&amp;CC153&amp;$CD153&amp;CE153&amp;$CF153&amp;CG153&amp;$CH153&amp;CI153&amp;$CJ153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3" s="1864"/>
      <c r="T153" s="1864"/>
      <c r="U153" s="1864"/>
      <c r="V153" s="1864"/>
      <c r="W153" s="1864"/>
      <c r="X153" s="1864"/>
      <c r="Y153" s="1864"/>
      <c r="Z153" s="1864"/>
      <c r="AA153" s="1864"/>
      <c r="AB153" s="1864"/>
      <c r="AC153" s="1864"/>
      <c r="AD153" s="2149"/>
      <c r="AE153" s="2149"/>
      <c r="AF153" s="2150"/>
      <c r="AG153" s="2150"/>
      <c r="AH153" s="2150"/>
      <c r="AI153" s="2150"/>
      <c r="AJ153" s="2150"/>
      <c r="AK153" s="2150"/>
      <c r="AL153" s="2150"/>
      <c r="AM153" s="2150"/>
      <c r="AN153" s="2150"/>
      <c r="AO153" s="2150"/>
      <c r="AP153" s="2150"/>
      <c r="AQ153" s="2150"/>
      <c r="AR153" s="2150"/>
      <c r="AS153" s="2150"/>
      <c r="AT153" s="2150"/>
      <c r="AU153" s="2150"/>
      <c r="AV153" s="2150"/>
      <c r="AW153" s="2150"/>
      <c r="AX153" s="2150"/>
      <c r="AY153" s="2149"/>
      <c r="AZ153" s="2149"/>
      <c r="BA153" s="2149"/>
      <c r="BB153" s="2149"/>
      <c r="BC153" s="2149"/>
      <c r="BD153" s="2149"/>
      <c r="BE153" s="2149"/>
      <c r="BF153" s="2149"/>
      <c r="BG153" s="2149"/>
      <c r="BH153" s="2149"/>
      <c r="BI153" s="2149"/>
      <c r="BJ153" s="2149"/>
      <c r="BK153" s="2149"/>
      <c r="BL153" s="2149"/>
      <c r="BM153" s="2149"/>
      <c r="BN153" s="2149"/>
      <c r="BO153" s="2150"/>
      <c r="BP153" s="2150"/>
      <c r="BQ153" s="2150"/>
      <c r="BR153" s="2150"/>
      <c r="BS153" s="2150"/>
      <c r="BT153" s="2150"/>
      <c r="BU153" s="2150"/>
      <c r="BV153" s="2150"/>
      <c r="BW153" s="2149"/>
      <c r="BX153" s="2149"/>
      <c r="BY153" s="3885"/>
      <c r="BZ153" s="3885"/>
      <c r="CA153" s="3885"/>
      <c r="CB153" s="1865" t="str">
        <f t="shared" ref="CB153:CB156" si="380">IF(D153&gt;=E153,"","* Los Exámenes Reactivos de Hepatitis B NO DEBEN ser mayor a los Exámenes Procesados. ")</f>
        <v xml:space="preserve">* Los Exámenes Reactivos de Hepatitis B NO DEBEN ser mayor a los Exámenes Procesados. </v>
      </c>
      <c r="CC153" s="1865" t="str">
        <f t="shared" ref="CC153:CC156" si="381">IF(D153&gt;=F153,"","* Los Exámenes Confirmados de Hepatitis B NO DEBEN ser mayor a los exámenes Procesados. ")</f>
        <v xml:space="preserve">* Los Exámenes Confirmados de Hepatitis B NO DEBEN ser mayor a los exámenes Procesados. </v>
      </c>
      <c r="CD153" s="1865" t="str">
        <f t="shared" ref="CD153:CD156" si="382">IF(G153&gt;=H153,"","* Los Exámenes Reactivos de Hepatitis C NO DEBEN ser mayor a los Exámenes Procesados. ")</f>
        <v xml:space="preserve">* Los Exámenes Reactivos de Hepatitis C NO DEBEN ser mayor a los Exámenes Procesados. </v>
      </c>
      <c r="CE153" s="1865" t="str">
        <f t="shared" ref="CE153:CE156" si="383">IF(G153&gt;=I153,"","* Los Exámenes Confirmados de Hepatitis C NO DEBEN ser mayor a los Exámenes Procesados. ")</f>
        <v xml:space="preserve">* Los Exámenes Confirmados de Hepatitis C NO DEBEN ser mayor a los Exámenes Procesados. </v>
      </c>
      <c r="CF153" s="1865" t="str">
        <f t="shared" ref="CF153:CF156" si="384">IF(J153&gt;=K153,"","* Los Exámenes Reactivos de CHAGAS NO DEBEN ser mayor a los Exámenes Procesados. ")</f>
        <v xml:space="preserve">* Los Exámenes Reactivos de CHAGAS NO DEBEN ser mayor a los Exámenes Procesados. </v>
      </c>
      <c r="CG153" s="1865" t="str">
        <f t="shared" ref="CG153:CG156" si="385">IF(J153&gt;=L153,"","* Los Exámenes Confirmados de CHAGAS NO DEBEN ser mayor a los Exámenes Procesados. ")</f>
        <v xml:space="preserve">* Los Exámenes Confirmados de CHAGAS NO DEBEN ser mayor a los Exámenes Procesados. </v>
      </c>
      <c r="CH153" s="1865" t="str">
        <f t="shared" ref="CH153:CH156" si="386">IF(M153&gt;=N153,"","* Los Exámenes Reactivos de HTLV1 NO DEBEN ser mayor a los Exámenes Procesados. ")</f>
        <v xml:space="preserve">* Los Exámenes Reactivos de HTLV1 NO DEBEN ser mayor a los Exámenes Procesados. </v>
      </c>
      <c r="CI153" s="1865" t="str">
        <f t="shared" ref="CI153:CI156" si="387">IF(M153&gt;=O153,"","* Los Exámenes Confirmados de HTLV1 NO DEBEN ser mayor a los Exámenes Procesados. ")</f>
        <v xml:space="preserve">* Los Exámenes Confirmados de HTLV1 NO DEBEN ser mayor a los Exámenes Procesados. </v>
      </c>
      <c r="CJ153" s="1865" t="str">
        <f t="shared" ref="CJ153:CJ156" si="388">IF(P153&gt;=Q153,"","* Los exámenes Reactivos de SIFILIS NO DEBEN ser mayor a los exámenes Procesados. ")</f>
        <v xml:space="preserve">* Los exámenes Reactivos de SIFILIS NO DEBEN ser mayor a los exámenes Procesados. </v>
      </c>
      <c r="CK153" s="3886"/>
      <c r="DG153" s="3906">
        <f>IF(D153&gt;=E153,0,1)</f>
        <v>1</v>
      </c>
      <c r="DH153" s="3906">
        <f>IF(F153&gt;D153,1,0)</f>
        <v>1</v>
      </c>
      <c r="DI153" s="3906">
        <f>IF(G153&gt;=H153,0,1)</f>
        <v>1</v>
      </c>
      <c r="DJ153" s="3906">
        <f>IF(G153&gt;=I153,0,1)</f>
        <v>1</v>
      </c>
      <c r="DK153" s="3906">
        <f>IF(J153&gt;=K153,0,1)</f>
        <v>1</v>
      </c>
      <c r="DL153" s="3906">
        <f>IF(J153&gt;=L153,0,1)</f>
        <v>1</v>
      </c>
      <c r="DM153" s="3906">
        <f>IF(M153&gt;=N153,0,1)</f>
        <v>1</v>
      </c>
      <c r="DN153" s="3906">
        <f>IF(M153&gt;=O153,0,1)</f>
        <v>1</v>
      </c>
      <c r="DO153" s="3906">
        <f>IF(P153&gt;=Q153,0,1)</f>
        <v>1</v>
      </c>
    </row>
    <row r="154" spans="1:119" x14ac:dyDescent="0.25">
      <c r="A154" s="5601">
        <v>11055150</v>
      </c>
      <c r="B154" s="7126"/>
      <c r="C154" s="3935" t="s">
        <v>1901</v>
      </c>
      <c r="D154" s="326" t="s">
        <v>4567</v>
      </c>
      <c r="E154" s="1014" t="s">
        <v>4568</v>
      </c>
      <c r="F154" s="142" t="s">
        <v>4569</v>
      </c>
      <c r="G154" s="326" t="s">
        <v>4570</v>
      </c>
      <c r="H154" s="1014" t="s">
        <v>4571</v>
      </c>
      <c r="I154" s="142" t="s">
        <v>4572</v>
      </c>
      <c r="J154" s="326" t="s">
        <v>4573</v>
      </c>
      <c r="K154" s="1014" t="s">
        <v>4574</v>
      </c>
      <c r="L154" s="142" t="s">
        <v>4575</v>
      </c>
      <c r="M154" s="326" t="s">
        <v>4576</v>
      </c>
      <c r="N154" s="1014" t="s">
        <v>4577</v>
      </c>
      <c r="O154" s="142" t="s">
        <v>4578</v>
      </c>
      <c r="P154" s="326" t="s">
        <v>4579</v>
      </c>
      <c r="Q154" s="882" t="s">
        <v>4580</v>
      </c>
      <c r="R154" s="1864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4" s="1864"/>
      <c r="T154" s="1864"/>
      <c r="U154" s="1864"/>
      <c r="V154" s="1864"/>
      <c r="W154" s="1864"/>
      <c r="X154" s="1864"/>
      <c r="Y154" s="1864"/>
      <c r="Z154" s="1864"/>
      <c r="AA154" s="1864"/>
      <c r="AB154" s="1864"/>
      <c r="AC154" s="1864"/>
      <c r="AD154" s="2149"/>
      <c r="AE154" s="2149"/>
      <c r="AF154" s="2150"/>
      <c r="AG154" s="2150"/>
      <c r="AH154" s="2150"/>
      <c r="AI154" s="2150"/>
      <c r="AJ154" s="2150"/>
      <c r="AK154" s="2150"/>
      <c r="AL154" s="2150"/>
      <c r="AM154" s="2150"/>
      <c r="AN154" s="2150"/>
      <c r="AO154" s="2150"/>
      <c r="AP154" s="2150"/>
      <c r="AQ154" s="2150"/>
      <c r="AR154" s="2150"/>
      <c r="AS154" s="2150"/>
      <c r="AT154" s="2150"/>
      <c r="AU154" s="2150"/>
      <c r="AV154" s="2150"/>
      <c r="AW154" s="2150"/>
      <c r="AX154" s="2150"/>
      <c r="AY154" s="2149"/>
      <c r="AZ154" s="2149"/>
      <c r="BA154" s="2149"/>
      <c r="BB154" s="2149"/>
      <c r="BC154" s="2149"/>
      <c r="BD154" s="2149"/>
      <c r="BE154" s="2149"/>
      <c r="BF154" s="2149"/>
      <c r="BG154" s="2149"/>
      <c r="BH154" s="2149"/>
      <c r="BI154" s="2149"/>
      <c r="BJ154" s="2149"/>
      <c r="BK154" s="2149"/>
      <c r="BL154" s="2149"/>
      <c r="BM154" s="2149"/>
      <c r="BN154" s="2149"/>
      <c r="BO154" s="2150"/>
      <c r="BP154" s="2150"/>
      <c r="BQ154" s="2150"/>
      <c r="BR154" s="2150"/>
      <c r="BS154" s="2150"/>
      <c r="BT154" s="2150"/>
      <c r="BU154" s="2150"/>
      <c r="BV154" s="2150"/>
      <c r="BW154" s="2149"/>
      <c r="BX154" s="2149"/>
      <c r="BY154" s="3885"/>
      <c r="BZ154" s="3885"/>
      <c r="CA154" s="3885"/>
      <c r="CB154" s="1865" t="str">
        <f t="shared" si="380"/>
        <v xml:space="preserve">* Los Exámenes Reactivos de Hepatitis B NO DEBEN ser mayor a los Exámenes Procesados. </v>
      </c>
      <c r="CC154" s="1865" t="str">
        <f t="shared" si="381"/>
        <v xml:space="preserve">* Los Exámenes Confirmados de Hepatitis B NO DEBEN ser mayor a los exámenes Procesados. </v>
      </c>
      <c r="CD154" s="1865" t="str">
        <f t="shared" si="382"/>
        <v xml:space="preserve">* Los Exámenes Reactivos de Hepatitis C NO DEBEN ser mayor a los Exámenes Procesados. </v>
      </c>
      <c r="CE154" s="1865" t="str">
        <f t="shared" si="383"/>
        <v xml:space="preserve">* Los Exámenes Confirmados de Hepatitis C NO DEBEN ser mayor a los Exámenes Procesados. </v>
      </c>
      <c r="CF154" s="1865" t="str">
        <f t="shared" si="384"/>
        <v xml:space="preserve">* Los Exámenes Reactivos de CHAGAS NO DEBEN ser mayor a los Exámenes Procesados. </v>
      </c>
      <c r="CG154" s="1865" t="str">
        <f t="shared" si="385"/>
        <v xml:space="preserve">* Los Exámenes Confirmados de CHAGAS NO DEBEN ser mayor a los Exámenes Procesados. </v>
      </c>
      <c r="CH154" s="1865" t="str">
        <f t="shared" si="386"/>
        <v xml:space="preserve">* Los Exámenes Reactivos de HTLV1 NO DEBEN ser mayor a los Exámenes Procesados. </v>
      </c>
      <c r="CI154" s="1865" t="str">
        <f t="shared" si="387"/>
        <v xml:space="preserve">* Los Exámenes Confirmados de HTLV1 NO DEBEN ser mayor a los Exámenes Procesados. </v>
      </c>
      <c r="CJ154" s="1865" t="str">
        <f t="shared" si="388"/>
        <v xml:space="preserve">* Los exámenes Reactivos de SIFILIS NO DEBEN ser mayor a los exámenes Procesados. </v>
      </c>
      <c r="CK154" s="3886"/>
      <c r="DG154" s="3906">
        <f>IF(D154&gt;=E154,0,1)</f>
        <v>1</v>
      </c>
      <c r="DH154" s="3906">
        <f>IF(F154&gt;D154,1,0)</f>
        <v>1</v>
      </c>
      <c r="DI154" s="3906">
        <f>IF(G154&gt;=H154,0,1)</f>
        <v>1</v>
      </c>
      <c r="DJ154" s="3906">
        <f>IF(G154&gt;=I154,0,1)</f>
        <v>1</v>
      </c>
      <c r="DK154" s="3906">
        <f>IF(J154&gt;=K154,0,1)</f>
        <v>1</v>
      </c>
      <c r="DL154" s="3906">
        <f>IF(J154&gt;=L154,0,1)</f>
        <v>1</v>
      </c>
      <c r="DM154" s="3906">
        <f>IF(M154&gt;=N154,0,1)</f>
        <v>1</v>
      </c>
      <c r="DN154" s="3906">
        <f>IF(M154&gt;=O154,0,1)</f>
        <v>1</v>
      </c>
      <c r="DO154" s="3906">
        <f>IF(P154&gt;=Q154,0,1)</f>
        <v>1</v>
      </c>
    </row>
    <row r="155" spans="1:119" x14ac:dyDescent="0.25">
      <c r="A155" s="5601">
        <v>11055160</v>
      </c>
      <c r="B155" s="6312"/>
      <c r="C155" s="3432" t="s">
        <v>1902</v>
      </c>
      <c r="D155" s="874" t="s">
        <v>4567</v>
      </c>
      <c r="E155" s="1880" t="s">
        <v>4568</v>
      </c>
      <c r="F155" s="3416" t="s">
        <v>4569</v>
      </c>
      <c r="G155" s="874" t="s">
        <v>4570</v>
      </c>
      <c r="H155" s="1880" t="s">
        <v>4571</v>
      </c>
      <c r="I155" s="3416" t="s">
        <v>4572</v>
      </c>
      <c r="J155" s="874" t="s">
        <v>4573</v>
      </c>
      <c r="K155" s="1880" t="s">
        <v>4574</v>
      </c>
      <c r="L155" s="3416" t="s">
        <v>4575</v>
      </c>
      <c r="M155" s="874" t="s">
        <v>4576</v>
      </c>
      <c r="N155" s="1880" t="s">
        <v>4577</v>
      </c>
      <c r="O155" s="3416" t="s">
        <v>4578</v>
      </c>
      <c r="P155" s="874" t="s">
        <v>4579</v>
      </c>
      <c r="Q155" s="324" t="s">
        <v>4580</v>
      </c>
      <c r="R155" s="1864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5" s="1864"/>
      <c r="T155" s="1864"/>
      <c r="U155" s="1864"/>
      <c r="V155" s="1864"/>
      <c r="W155" s="1864"/>
      <c r="X155" s="1864"/>
      <c r="Y155" s="1864"/>
      <c r="Z155" s="1864"/>
      <c r="AA155" s="1864"/>
      <c r="AB155" s="1864"/>
      <c r="AC155" s="1864"/>
      <c r="AD155" s="2149"/>
      <c r="AE155" s="2149"/>
      <c r="AF155" s="2150"/>
      <c r="AG155" s="2150"/>
      <c r="AH155" s="2150"/>
      <c r="AI155" s="2150"/>
      <c r="AJ155" s="2150"/>
      <c r="AK155" s="2150"/>
      <c r="AL155" s="2150"/>
      <c r="AM155" s="2150"/>
      <c r="AN155" s="2150"/>
      <c r="AO155" s="2150"/>
      <c r="AP155" s="2150"/>
      <c r="AQ155" s="2150"/>
      <c r="AR155" s="2150"/>
      <c r="AS155" s="2150"/>
      <c r="AT155" s="2150"/>
      <c r="AU155" s="2150"/>
      <c r="AV155" s="2150"/>
      <c r="AW155" s="2150"/>
      <c r="AX155" s="2150"/>
      <c r="AY155" s="2149"/>
      <c r="AZ155" s="2149"/>
      <c r="BA155" s="2149"/>
      <c r="BB155" s="2149"/>
      <c r="BC155" s="2149"/>
      <c r="BD155" s="2149"/>
      <c r="BE155" s="2149"/>
      <c r="BF155" s="2149"/>
      <c r="BG155" s="2149"/>
      <c r="BH155" s="2149"/>
      <c r="BI155" s="2149"/>
      <c r="BJ155" s="2149"/>
      <c r="BK155" s="2149"/>
      <c r="BL155" s="2149"/>
      <c r="BM155" s="2149"/>
      <c r="BN155" s="2149"/>
      <c r="BO155" s="2150"/>
      <c r="BP155" s="2150"/>
      <c r="BQ155" s="2150"/>
      <c r="BR155" s="2150"/>
      <c r="BS155" s="2150"/>
      <c r="BT155" s="2150"/>
      <c r="BU155" s="2150"/>
      <c r="BV155" s="2150"/>
      <c r="BW155" s="2149"/>
      <c r="BX155" s="2149"/>
      <c r="BY155" s="3885"/>
      <c r="BZ155" s="3885"/>
      <c r="CA155" s="3885"/>
      <c r="CB155" s="1865" t="str">
        <f t="shared" si="380"/>
        <v xml:space="preserve">* Los Exámenes Reactivos de Hepatitis B NO DEBEN ser mayor a los Exámenes Procesados. </v>
      </c>
      <c r="CC155" s="1865" t="str">
        <f t="shared" si="381"/>
        <v xml:space="preserve">* Los Exámenes Confirmados de Hepatitis B NO DEBEN ser mayor a los exámenes Procesados. </v>
      </c>
      <c r="CD155" s="1865" t="str">
        <f t="shared" si="382"/>
        <v xml:space="preserve">* Los Exámenes Reactivos de Hepatitis C NO DEBEN ser mayor a los Exámenes Procesados. </v>
      </c>
      <c r="CE155" s="1865" t="str">
        <f t="shared" si="383"/>
        <v xml:space="preserve">* Los Exámenes Confirmados de Hepatitis C NO DEBEN ser mayor a los Exámenes Procesados. </v>
      </c>
      <c r="CF155" s="1865" t="str">
        <f t="shared" si="384"/>
        <v xml:space="preserve">* Los Exámenes Reactivos de CHAGAS NO DEBEN ser mayor a los Exámenes Procesados. </v>
      </c>
      <c r="CG155" s="1865" t="str">
        <f t="shared" si="385"/>
        <v xml:space="preserve">* Los Exámenes Confirmados de CHAGAS NO DEBEN ser mayor a los Exámenes Procesados. </v>
      </c>
      <c r="CH155" s="1865" t="str">
        <f t="shared" si="386"/>
        <v xml:space="preserve">* Los Exámenes Reactivos de HTLV1 NO DEBEN ser mayor a los Exámenes Procesados. </v>
      </c>
      <c r="CI155" s="1865" t="str">
        <f t="shared" si="387"/>
        <v xml:space="preserve">* Los Exámenes Confirmados de HTLV1 NO DEBEN ser mayor a los Exámenes Procesados. </v>
      </c>
      <c r="CJ155" s="1865" t="str">
        <f t="shared" si="388"/>
        <v xml:space="preserve">* Los exámenes Reactivos de SIFILIS NO DEBEN ser mayor a los exámenes Procesados. </v>
      </c>
      <c r="CK155" s="3886"/>
      <c r="DG155" s="3906">
        <f>IF(D155&gt;=E155,0,1)</f>
        <v>1</v>
      </c>
      <c r="DH155" s="3906">
        <f>IF(F155&gt;D155,1,0)</f>
        <v>1</v>
      </c>
      <c r="DI155" s="3906">
        <f>IF(G155&gt;=H155,0,1)</f>
        <v>1</v>
      </c>
      <c r="DJ155" s="3906">
        <f>IF(G155&gt;=I155,0,1)</f>
        <v>1</v>
      </c>
      <c r="DK155" s="3906">
        <f>IF(J155&gt;=K155,0,1)</f>
        <v>1</v>
      </c>
      <c r="DL155" s="3906">
        <f>IF(J155&gt;=L155,0,1)</f>
        <v>1</v>
      </c>
      <c r="DM155" s="3906">
        <f>IF(M155&gt;=N155,0,1)</f>
        <v>1</v>
      </c>
      <c r="DN155" s="3906">
        <f>IF(M155&gt;=O155,0,1)</f>
        <v>1</v>
      </c>
      <c r="DO155" s="3906">
        <f>IF(P155&gt;=Q155,0,1)</f>
        <v>1</v>
      </c>
    </row>
    <row r="156" spans="1:119" x14ac:dyDescent="0.25">
      <c r="A156" s="5601">
        <v>11055170</v>
      </c>
      <c r="B156" s="7131" t="s">
        <v>1903</v>
      </c>
      <c r="C156" s="7132"/>
      <c r="D156" s="874" t="s">
        <v>4567</v>
      </c>
      <c r="E156" s="1880" t="s">
        <v>4568</v>
      </c>
      <c r="F156" s="3416" t="s">
        <v>4569</v>
      </c>
      <c r="G156" s="874" t="s">
        <v>4570</v>
      </c>
      <c r="H156" s="1880" t="s">
        <v>4571</v>
      </c>
      <c r="I156" s="3416" t="s">
        <v>4572</v>
      </c>
      <c r="J156" s="874" t="s">
        <v>4573</v>
      </c>
      <c r="K156" s="1880" t="s">
        <v>4574</v>
      </c>
      <c r="L156" s="3416" t="s">
        <v>4575</v>
      </c>
      <c r="M156" s="874" t="s">
        <v>4576</v>
      </c>
      <c r="N156" s="1880" t="s">
        <v>4577</v>
      </c>
      <c r="O156" s="3416" t="s">
        <v>4578</v>
      </c>
      <c r="P156" s="874" t="s">
        <v>4579</v>
      </c>
      <c r="Q156" s="324" t="s">
        <v>4580</v>
      </c>
      <c r="R156" s="1864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6" s="1864"/>
      <c r="T156" s="1864"/>
      <c r="U156" s="1864"/>
      <c r="V156" s="1864"/>
      <c r="W156" s="1864"/>
      <c r="X156" s="1864"/>
      <c r="Y156" s="1864"/>
      <c r="Z156" s="1864"/>
      <c r="AA156" s="1864"/>
      <c r="AB156" s="1864"/>
      <c r="AC156" s="1864"/>
      <c r="AD156" s="2149"/>
      <c r="AE156" s="2149"/>
      <c r="AF156" s="2150"/>
      <c r="AG156" s="2150"/>
      <c r="AH156" s="2150"/>
      <c r="AI156" s="2150"/>
      <c r="AJ156" s="2150"/>
      <c r="AK156" s="2150"/>
      <c r="AL156" s="2150"/>
      <c r="AM156" s="2150"/>
      <c r="AN156" s="2150"/>
      <c r="AO156" s="2150"/>
      <c r="AP156" s="2150"/>
      <c r="AQ156" s="2150"/>
      <c r="AR156" s="2150"/>
      <c r="AS156" s="2150"/>
      <c r="AT156" s="2150"/>
      <c r="AU156" s="2150"/>
      <c r="AV156" s="2150"/>
      <c r="AW156" s="2150"/>
      <c r="AX156" s="2150"/>
      <c r="AY156" s="2149"/>
      <c r="AZ156" s="2149"/>
      <c r="BA156" s="2149"/>
      <c r="BB156" s="2149"/>
      <c r="BC156" s="2149"/>
      <c r="BD156" s="2149"/>
      <c r="BE156" s="2149"/>
      <c r="BF156" s="2149"/>
      <c r="BG156" s="2149"/>
      <c r="BH156" s="2149"/>
      <c r="BI156" s="2149"/>
      <c r="BJ156" s="2149"/>
      <c r="BK156" s="2149"/>
      <c r="BL156" s="2149"/>
      <c r="BM156" s="2149"/>
      <c r="BN156" s="2149"/>
      <c r="BO156" s="2150"/>
      <c r="BP156" s="2150"/>
      <c r="BQ156" s="2150"/>
      <c r="BR156" s="2150"/>
      <c r="BS156" s="2150"/>
      <c r="BT156" s="2150"/>
      <c r="BU156" s="2150"/>
      <c r="BV156" s="2150"/>
      <c r="BW156" s="2149"/>
      <c r="BX156" s="2149"/>
      <c r="BY156" s="3885"/>
      <c r="BZ156" s="3885"/>
      <c r="CA156" s="3885"/>
      <c r="CB156" s="1865" t="str">
        <f t="shared" si="380"/>
        <v xml:space="preserve">* Los Exámenes Reactivos de Hepatitis B NO DEBEN ser mayor a los Exámenes Procesados. </v>
      </c>
      <c r="CC156" s="1865" t="str">
        <f t="shared" si="381"/>
        <v xml:space="preserve">* Los Exámenes Confirmados de Hepatitis B NO DEBEN ser mayor a los exámenes Procesados. </v>
      </c>
      <c r="CD156" s="1865" t="str">
        <f t="shared" si="382"/>
        <v xml:space="preserve">* Los Exámenes Reactivos de Hepatitis C NO DEBEN ser mayor a los Exámenes Procesados. </v>
      </c>
      <c r="CE156" s="1865" t="str">
        <f t="shared" si="383"/>
        <v xml:space="preserve">* Los Exámenes Confirmados de Hepatitis C NO DEBEN ser mayor a los Exámenes Procesados. </v>
      </c>
      <c r="CF156" s="1865" t="str">
        <f t="shared" si="384"/>
        <v xml:space="preserve">* Los Exámenes Reactivos de CHAGAS NO DEBEN ser mayor a los Exámenes Procesados. </v>
      </c>
      <c r="CG156" s="1865" t="str">
        <f t="shared" si="385"/>
        <v xml:space="preserve">* Los Exámenes Confirmados de CHAGAS NO DEBEN ser mayor a los Exámenes Procesados. </v>
      </c>
      <c r="CH156" s="1865" t="str">
        <f t="shared" si="386"/>
        <v xml:space="preserve">* Los Exámenes Reactivos de HTLV1 NO DEBEN ser mayor a los Exámenes Procesados. </v>
      </c>
      <c r="CI156" s="1865" t="str">
        <f t="shared" si="387"/>
        <v xml:space="preserve">* Los Exámenes Confirmados de HTLV1 NO DEBEN ser mayor a los Exámenes Procesados. </v>
      </c>
      <c r="CJ156" s="1865" t="str">
        <f t="shared" si="388"/>
        <v xml:space="preserve">* Los exámenes Reactivos de SIFILIS NO DEBEN ser mayor a los exámenes Procesados. </v>
      </c>
      <c r="CK156" s="3886"/>
      <c r="DG156" s="3906">
        <f>IF(D156&gt;=E156,0,1)</f>
        <v>1</v>
      </c>
      <c r="DH156" s="3906">
        <f>IF(F156&gt;D156,1,0)</f>
        <v>1</v>
      </c>
      <c r="DI156" s="3906">
        <f>IF(G156&gt;=H156,0,1)</f>
        <v>1</v>
      </c>
      <c r="DJ156" s="3906">
        <f>IF(G156&gt;=I156,0,1)</f>
        <v>1</v>
      </c>
      <c r="DK156" s="3906">
        <f>IF(J156&gt;=K156,0,1)</f>
        <v>1</v>
      </c>
      <c r="DL156" s="3906">
        <f>IF(J156&gt;=L156,0,1)</f>
        <v>1</v>
      </c>
      <c r="DM156" s="3906">
        <f>IF(M156&gt;=N156,0,1)</f>
        <v>1</v>
      </c>
      <c r="DN156" s="3906">
        <f>IF(M156&gt;=O156,0,1)</f>
        <v>1</v>
      </c>
      <c r="DO156" s="3906">
        <f>IF(P156&gt;=Q156,0,1)</f>
        <v>1</v>
      </c>
    </row>
    <row r="157" spans="1:119" ht="18" customHeight="1" x14ac:dyDescent="0.25">
      <c r="A157" s="25"/>
      <c r="B157" s="7120" t="s">
        <v>1905</v>
      </c>
      <c r="C157" s="7120"/>
      <c r="D157" s="7120"/>
      <c r="E157" s="7120"/>
      <c r="F157" s="7120"/>
      <c r="G157" s="7120"/>
      <c r="H157" s="7120"/>
      <c r="I157" s="7120"/>
      <c r="J157" s="3936"/>
      <c r="K157" s="3936"/>
      <c r="L157" s="3936"/>
      <c r="M157" s="3936"/>
      <c r="N157" s="3936"/>
      <c r="O157" s="3936"/>
      <c r="P157" s="3936"/>
      <c r="Q157" s="3936"/>
      <c r="R157" s="3936"/>
      <c r="S157" s="3936"/>
      <c r="T157" s="3936"/>
      <c r="U157" s="3936"/>
      <c r="V157" s="3936"/>
      <c r="W157" s="3936"/>
      <c r="X157" s="3936"/>
      <c r="Y157" s="3936"/>
      <c r="Z157" s="3936"/>
      <c r="AA157" s="3936"/>
      <c r="AB157" s="3936"/>
      <c r="AC157" s="3936"/>
      <c r="AD157" s="3936"/>
      <c r="AE157" s="3936"/>
      <c r="AF157" s="3936"/>
      <c r="AG157" s="3936"/>
      <c r="AH157" s="3936"/>
      <c r="AI157" s="3936"/>
      <c r="AJ157" s="3936"/>
      <c r="AK157" s="3936"/>
      <c r="AL157" s="1937"/>
      <c r="AM157" s="1937"/>
      <c r="AN157" s="1937"/>
      <c r="AO157" s="1937"/>
      <c r="AP157" s="1937"/>
      <c r="AQ157" s="1937"/>
      <c r="AR157" s="1937"/>
      <c r="AS157" s="1937"/>
      <c r="AT157" s="1937"/>
      <c r="AU157" s="1937"/>
      <c r="AV157" s="1937"/>
      <c r="AW157" s="1937"/>
      <c r="AX157" s="1937"/>
      <c r="AY157" s="1937"/>
    </row>
    <row r="158" spans="1:119" x14ac:dyDescent="0.25">
      <c r="A158" s="25"/>
      <c r="B158" s="7121" t="s">
        <v>1892</v>
      </c>
      <c r="C158" s="6511"/>
      <c r="D158" s="6491" t="s">
        <v>77</v>
      </c>
      <c r="E158" s="6576"/>
      <c r="F158" s="7107" t="s">
        <v>29</v>
      </c>
      <c r="G158" s="7108"/>
      <c r="H158" s="7108"/>
      <c r="I158" s="7108"/>
      <c r="J158" s="7108"/>
      <c r="K158" s="7108"/>
      <c r="L158" s="7108"/>
      <c r="M158" s="7108"/>
      <c r="N158" s="7108"/>
      <c r="O158" s="7108"/>
      <c r="P158" s="7108"/>
      <c r="Q158" s="7108"/>
      <c r="R158" s="7108"/>
      <c r="S158" s="7108"/>
      <c r="T158" s="7108"/>
      <c r="U158" s="7108"/>
      <c r="V158" s="7108"/>
      <c r="W158" s="7108"/>
      <c r="X158" s="7108"/>
      <c r="Y158" s="7108"/>
      <c r="Z158" s="7108"/>
      <c r="AA158" s="7108"/>
      <c r="AB158" s="7108"/>
      <c r="AC158" s="7108"/>
      <c r="AD158" s="7108"/>
      <c r="AE158" s="7108"/>
      <c r="AF158" s="7108"/>
      <c r="AG158" s="7108"/>
      <c r="AH158" s="7108"/>
      <c r="AI158" s="7108"/>
      <c r="AJ158" s="7108"/>
      <c r="AK158" s="7109"/>
      <c r="AL158" s="7133" t="s">
        <v>1906</v>
      </c>
      <c r="AM158" s="7133"/>
      <c r="AN158" s="7133"/>
      <c r="AO158" s="7134"/>
      <c r="AP158" s="7135" t="s">
        <v>457</v>
      </c>
      <c r="AQ158" s="7133"/>
      <c r="AR158" s="7133"/>
      <c r="AS158" s="7134"/>
      <c r="AT158" s="7112" t="s">
        <v>322</v>
      </c>
      <c r="AU158" s="7113"/>
      <c r="AV158" s="7112" t="s">
        <v>37</v>
      </c>
      <c r="AW158" s="7113"/>
      <c r="AX158" s="6510" t="s">
        <v>1907</v>
      </c>
      <c r="AY158" s="6511"/>
    </row>
    <row r="159" spans="1:119" x14ac:dyDescent="0.25">
      <c r="A159" s="25"/>
      <c r="B159" s="6044"/>
      <c r="C159" s="6027"/>
      <c r="D159" s="6749"/>
      <c r="E159" s="6913"/>
      <c r="F159" s="7116" t="s">
        <v>1908</v>
      </c>
      <c r="G159" s="7110"/>
      <c r="H159" s="7116" t="s">
        <v>1863</v>
      </c>
      <c r="I159" s="7110"/>
      <c r="J159" s="7116" t="s">
        <v>937</v>
      </c>
      <c r="K159" s="7110"/>
      <c r="L159" s="7107" t="s">
        <v>326</v>
      </c>
      <c r="M159" s="7122"/>
      <c r="N159" s="7107" t="s">
        <v>94</v>
      </c>
      <c r="O159" s="7122"/>
      <c r="P159" s="7107" t="s">
        <v>44</v>
      </c>
      <c r="Q159" s="7122"/>
      <c r="R159" s="7107" t="s">
        <v>45</v>
      </c>
      <c r="S159" s="7122"/>
      <c r="T159" s="7107" t="s">
        <v>46</v>
      </c>
      <c r="U159" s="7122"/>
      <c r="V159" s="7107" t="s">
        <v>47</v>
      </c>
      <c r="W159" s="7122"/>
      <c r="X159" s="7107" t="s">
        <v>48</v>
      </c>
      <c r="Y159" s="7122"/>
      <c r="Z159" s="7107" t="s">
        <v>49</v>
      </c>
      <c r="AA159" s="7122"/>
      <c r="AB159" s="7107" t="s">
        <v>50</v>
      </c>
      <c r="AC159" s="7122"/>
      <c r="AD159" s="7107" t="s">
        <v>51</v>
      </c>
      <c r="AE159" s="7122"/>
      <c r="AF159" s="7107" t="s">
        <v>52</v>
      </c>
      <c r="AG159" s="7122"/>
      <c r="AH159" s="7107" t="s">
        <v>53</v>
      </c>
      <c r="AI159" s="7122"/>
      <c r="AJ159" s="7107" t="s">
        <v>1909</v>
      </c>
      <c r="AK159" s="7109"/>
      <c r="AL159" s="7138" t="s">
        <v>58</v>
      </c>
      <c r="AM159" s="7139"/>
      <c r="AN159" s="7136" t="s">
        <v>59</v>
      </c>
      <c r="AO159" s="7137"/>
      <c r="AP159" s="7138" t="s">
        <v>462</v>
      </c>
      <c r="AQ159" s="7139"/>
      <c r="AR159" s="7140" t="s">
        <v>463</v>
      </c>
      <c r="AS159" s="7137"/>
      <c r="AT159" s="7114"/>
      <c r="AU159" s="7115"/>
      <c r="AV159" s="7114"/>
      <c r="AW159" s="7115"/>
      <c r="AX159" s="6735"/>
      <c r="AY159" s="6955"/>
    </row>
    <row r="160" spans="1:119" ht="31.5" x14ac:dyDescent="0.25">
      <c r="A160" s="25"/>
      <c r="B160" s="6734"/>
      <c r="C160" s="6955"/>
      <c r="D160" s="3894" t="s">
        <v>1864</v>
      </c>
      <c r="E160" s="3895" t="s">
        <v>1910</v>
      </c>
      <c r="F160" s="3894" t="s">
        <v>1864</v>
      </c>
      <c r="G160" s="3895" t="s">
        <v>1910</v>
      </c>
      <c r="H160" s="3894" t="s">
        <v>1864</v>
      </c>
      <c r="I160" s="3895" t="s">
        <v>1910</v>
      </c>
      <c r="J160" s="3894" t="s">
        <v>1864</v>
      </c>
      <c r="K160" s="3895" t="s">
        <v>1910</v>
      </c>
      <c r="L160" s="3894" t="s">
        <v>1864</v>
      </c>
      <c r="M160" s="3895" t="s">
        <v>1910</v>
      </c>
      <c r="N160" s="3894" t="s">
        <v>1864</v>
      </c>
      <c r="O160" s="3895" t="s">
        <v>1910</v>
      </c>
      <c r="P160" s="3894" t="s">
        <v>1864</v>
      </c>
      <c r="Q160" s="3895" t="s">
        <v>1910</v>
      </c>
      <c r="R160" s="3894" t="s">
        <v>1864</v>
      </c>
      <c r="S160" s="3895" t="s">
        <v>1910</v>
      </c>
      <c r="T160" s="3894" t="s">
        <v>1864</v>
      </c>
      <c r="U160" s="3895" t="s">
        <v>1910</v>
      </c>
      <c r="V160" s="3894" t="s">
        <v>1864</v>
      </c>
      <c r="W160" s="3895" t="s">
        <v>1910</v>
      </c>
      <c r="X160" s="3894" t="s">
        <v>1864</v>
      </c>
      <c r="Y160" s="3895" t="s">
        <v>1910</v>
      </c>
      <c r="Z160" s="3894" t="s">
        <v>1864</v>
      </c>
      <c r="AA160" s="3895" t="s">
        <v>1910</v>
      </c>
      <c r="AB160" s="3894" t="s">
        <v>1864</v>
      </c>
      <c r="AC160" s="3895" t="s">
        <v>1910</v>
      </c>
      <c r="AD160" s="3894" t="s">
        <v>1864</v>
      </c>
      <c r="AE160" s="3895" t="s">
        <v>1910</v>
      </c>
      <c r="AF160" s="3894" t="s">
        <v>1864</v>
      </c>
      <c r="AG160" s="3895" t="s">
        <v>1910</v>
      </c>
      <c r="AH160" s="3894" t="s">
        <v>1864</v>
      </c>
      <c r="AI160" s="3895" t="s">
        <v>1910</v>
      </c>
      <c r="AJ160" s="3894" t="s">
        <v>1864</v>
      </c>
      <c r="AK160" s="3898" t="s">
        <v>1910</v>
      </c>
      <c r="AL160" s="3897" t="s">
        <v>1864</v>
      </c>
      <c r="AM160" s="3895" t="s">
        <v>1910</v>
      </c>
      <c r="AN160" s="3894" t="s">
        <v>1864</v>
      </c>
      <c r="AO160" s="3895" t="s">
        <v>1910</v>
      </c>
      <c r="AP160" s="3939" t="s">
        <v>1864</v>
      </c>
      <c r="AQ160" s="3895" t="s">
        <v>1910</v>
      </c>
      <c r="AR160" s="3894" t="s">
        <v>1864</v>
      </c>
      <c r="AS160" s="3895" t="s">
        <v>1910</v>
      </c>
      <c r="AT160" s="3939" t="s">
        <v>1864</v>
      </c>
      <c r="AU160" s="3895" t="s">
        <v>1910</v>
      </c>
      <c r="AV160" s="3939" t="s">
        <v>1864</v>
      </c>
      <c r="AW160" s="3896" t="s">
        <v>1910</v>
      </c>
      <c r="AX160" s="3939" t="s">
        <v>1864</v>
      </c>
      <c r="AY160" s="3896" t="s">
        <v>1910</v>
      </c>
    </row>
    <row r="161" spans="1:131" x14ac:dyDescent="0.25">
      <c r="A161" s="5601">
        <v>11052500</v>
      </c>
      <c r="B161" s="7141" t="s">
        <v>1911</v>
      </c>
      <c r="C161" s="7142"/>
      <c r="D161" s="3908" t="s">
        <v>4567</v>
      </c>
      <c r="E161" s="3037" t="s">
        <v>4568</v>
      </c>
      <c r="F161" s="3940" t="s">
        <v>4569</v>
      </c>
      <c r="G161" s="3127" t="s">
        <v>4570</v>
      </c>
      <c r="H161" s="3940" t="s">
        <v>4571</v>
      </c>
      <c r="I161" s="3127" t="s">
        <v>4572</v>
      </c>
      <c r="J161" s="3940" t="s">
        <v>4573</v>
      </c>
      <c r="K161" s="3127" t="s">
        <v>4574</v>
      </c>
      <c r="L161" s="3940" t="s">
        <v>4575</v>
      </c>
      <c r="M161" s="3127" t="s">
        <v>4576</v>
      </c>
      <c r="N161" s="3278" t="s">
        <v>4577</v>
      </c>
      <c r="O161" s="935" t="s">
        <v>4578</v>
      </c>
      <c r="P161" s="3278" t="s">
        <v>4579</v>
      </c>
      <c r="Q161" s="935" t="s">
        <v>4580</v>
      </c>
      <c r="R161" s="3278" t="s">
        <v>4581</v>
      </c>
      <c r="S161" s="935" t="s">
        <v>4582</v>
      </c>
      <c r="T161" s="3278" t="s">
        <v>4583</v>
      </c>
      <c r="U161" s="935" t="s">
        <v>4584</v>
      </c>
      <c r="V161" s="3278" t="s">
        <v>4585</v>
      </c>
      <c r="W161" s="935" t="s">
        <v>4586</v>
      </c>
      <c r="X161" s="3278" t="s">
        <v>4587</v>
      </c>
      <c r="Y161" s="935" t="s">
        <v>4588</v>
      </c>
      <c r="Z161" s="3278" t="s">
        <v>4589</v>
      </c>
      <c r="AA161" s="935" t="s">
        <v>4590</v>
      </c>
      <c r="AB161" s="3278" t="s">
        <v>4591</v>
      </c>
      <c r="AC161" s="935" t="s">
        <v>4592</v>
      </c>
      <c r="AD161" s="3278" t="s">
        <v>4593</v>
      </c>
      <c r="AE161" s="935" t="s">
        <v>4594</v>
      </c>
      <c r="AF161" s="3278" t="s">
        <v>4595</v>
      </c>
      <c r="AG161" s="935" t="s">
        <v>4596</v>
      </c>
      <c r="AH161" s="3940" t="s">
        <v>4597</v>
      </c>
      <c r="AI161" s="1008" t="s">
        <v>4598</v>
      </c>
      <c r="AJ161" s="3940" t="s">
        <v>4599</v>
      </c>
      <c r="AK161" s="989" t="s">
        <v>4600</v>
      </c>
      <c r="AL161" s="3941" t="s">
        <v>4601</v>
      </c>
      <c r="AM161" s="3942" t="s">
        <v>4602</v>
      </c>
      <c r="AN161" s="326" t="s">
        <v>4603</v>
      </c>
      <c r="AO161" s="1884" t="s">
        <v>4604</v>
      </c>
      <c r="AP161" s="3903" t="s">
        <v>4605</v>
      </c>
      <c r="AQ161" s="329" t="s">
        <v>4606</v>
      </c>
      <c r="AR161" s="3904" t="s">
        <v>4934</v>
      </c>
      <c r="AS161" s="3943" t="s">
        <v>4935</v>
      </c>
      <c r="AT161" s="3903" t="s">
        <v>4936</v>
      </c>
      <c r="AU161" s="3943" t="s">
        <v>4937</v>
      </c>
      <c r="AV161" s="3903" t="s">
        <v>5234</v>
      </c>
      <c r="AW161" s="329" t="s">
        <v>5235</v>
      </c>
      <c r="AX161" s="3903" t="s">
        <v>5236</v>
      </c>
      <c r="AY161" s="329" t="s">
        <v>5237</v>
      </c>
      <c r="AZ161" s="1864" t="e">
        <f>$CB161&amp;$CD161&amp;CE161&amp;CF161&amp;CG161&amp;CH161&amp;CI161&amp;CJ161&amp;CK161&amp;CL161&amp;CM161&amp;CN161&amp;CO161&amp;CP161&amp;CQ161&amp;CR161&amp;CS161&amp;CT161&amp;CU161&amp;CV161&amp;CW161&amp;CX161</f>
        <v>#VALUE!</v>
      </c>
      <c r="CB161" s="3944" t="str">
        <f>IF(E161&gt;D161," * El Total de Exámenes Confirmados Positivos por ISP NO DEBE SUPERAR los  Exámenes Procesados. ","")</f>
        <v xml:space="preserve"> * El Total de Exámenes Confirmados Positivos por ISP NO DEBE SUPERAR los  Exámenes Procesados. </v>
      </c>
      <c r="CC161" s="3945"/>
      <c r="CD161" s="1865" t="str">
        <f>IF(AO161&gt;AN161,"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61" s="1936"/>
      <c r="CF161" s="1936"/>
      <c r="CG161" s="1936"/>
      <c r="CH161" s="1936"/>
      <c r="CI161" s="1936"/>
      <c r="CJ161" s="1865" t="e">
        <f>IF(AND(D161&gt;0,AND(AP161="",AR161=""))," * No olvide digitar los exámenes procesados Trans (Masculino y Femenino). Digite Cero si no tiene.",IF((AP161+AR161)&gt;D161," * Los exámenes procesados en Trans (Masculino y Femenino) no pueden ser mayor que el Total de exámenes procesados.",""))</f>
        <v>#VALUE!</v>
      </c>
      <c r="CK161" s="1937"/>
      <c r="CL161" s="1865" t="e">
        <f>IF((AN161+AL161)&lt;&gt;D161," * El N° de exámenes Procesados por SEXO (Hombres + Mujeres)no puede ser distinto al Total de exámenes procesados","")</f>
        <v>#VALUE!</v>
      </c>
      <c r="CM161" s="1865" t="e">
        <f>IF((AO161+AM161)&lt;&gt;E161," * El N° de exámenes Confirmados positivos por ISP por Sexo (Hombres+Mujeres) no puede ser distinto al N° Total de exámenes Confirmados positivos por ISP ","")</f>
        <v>#VALUE!</v>
      </c>
      <c r="CN161" s="1865" t="str">
        <f>IF(AND(D161&gt;0,AT161="")," * No olvide digitar los examanes de Pueblos Originarios Procesados. Digite Cero si no tiene.",IF(AT161&gt;D161,"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61" s="1865" t="str">
        <f>IF(AND(D161&gt;0,AV161="")," * No olvide digitar los exámenes Procesados de Migrantes. Digite Cero si no tiene.",IF(AV161&gt;D161," * Los exámenes procesados de Migrantes no pueden ser mayor que el Total de exámenes procesados.",""))</f>
        <v xml:space="preserve"> * Los exámenes procesados de Migrantes no pueden ser mayor que el Total de exámenes procesados.</v>
      </c>
      <c r="CP161" s="1865" t="e">
        <f>IF(AND(E161&gt;0,AND(AQ161="",AS161=""))," * No olvide digitar los exámenes Confirmados positivos por ISP de Trans (Masculino y Femenino). Digite Cero si no tiene.",IF((AQ161+AS161)&gt;E161," * Los exámenes confirmados positivos por ISP de Trans (Masculino y Femenino) no pueden ser mayor que el Total de exámenes Confirmados positivos por ISP.",""))</f>
        <v>#VALUE!</v>
      </c>
      <c r="CQ161" s="1865" t="str">
        <f>IF(AND(E161&gt;0,AU161="")," * No olvide digitar los exámenes Confirmados positivos por ISP de Pueblos Originarios. Digite Cero si no tiene.",IF(AU161&gt;E161,"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61" s="1865" t="str">
        <f>IF(AND(E161&gt;0,AW161="")," * No olvide digitar los exámenes Confirmados positivos por ISP de Migrantes. Digite Cero si no tiene.",IF(AW161&gt;E161,"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61" s="1936"/>
      <c r="CT161" s="1936"/>
      <c r="CU161" s="2946" t="e">
        <f>IF(AND((N161+P161)&gt;0,AX161=""),"*No olvide digitar los Exámenes Procesados de 14-18 años. Digite cero si no tiene.",IF(AX161&gt;(N161+P161),"* El Total de Procesados de 14-18 años NO DEBE ser mayor al Total de Procesados registrados en los grupos de edad 10 a 14 + 15 a 19 años. ",""))</f>
        <v>#VALUE!</v>
      </c>
      <c r="CV161" s="2946" t="e">
        <f>IF(AND((O161+Q161)&gt;0,AY161=""),"*No olvide digitar los Exámenes Confirmados Positivos por ISP de 14-18 años. Digite cero si no tiene.",IF(AY161&gt;(O161+Q161),"* El Total de Confirmados de 14-18 años NO DEBE ser mayor al Total de Confirmados Positivos por ISP registrados en los grupos de edad 10 a 14 + 15 a 19 años. ",""))</f>
        <v>#VALUE!</v>
      </c>
      <c r="DG161" s="3946">
        <f t="shared" ref="DG161:DG183" si="389">IF(E161&gt;D161,1,0)</f>
        <v>1</v>
      </c>
      <c r="DH161" s="3945"/>
      <c r="DI161" s="3922">
        <f t="shared" ref="DI161:DI183" si="390">IF(AO161&gt;AN161,1,0)</f>
        <v>1</v>
      </c>
      <c r="DJ161" s="1936"/>
      <c r="DK161" s="1936"/>
      <c r="DL161" s="1936"/>
      <c r="DM161" s="1936"/>
      <c r="DN161" s="1936"/>
      <c r="DO161" s="3922" t="e">
        <f t="shared" ref="DO161:DO183" si="391">IF(AND(D161&gt;0,AND(AP161="",AR161="")),1,IF((AP161+AR161)&gt;D161,1,0))</f>
        <v>#VALUE!</v>
      </c>
      <c r="DP161" s="1937"/>
      <c r="DQ161" s="3922" t="e">
        <f t="shared" ref="DQ161:DQ183" si="392">IF((AN161+AL161)&lt;&gt;D161,1,0)</f>
        <v>#VALUE!</v>
      </c>
      <c r="DR161" s="3922" t="e">
        <f t="shared" ref="DR161:DR183" si="393">IF((AO161+AM161)&lt;&gt;E161,1,0)</f>
        <v>#VALUE!</v>
      </c>
      <c r="DS161" s="3922">
        <f t="shared" ref="DS161:DS183" si="394">IF(AND(D161&gt;0,AT161=""),1,IF(AT161&gt;D161,1,0))</f>
        <v>1</v>
      </c>
      <c r="DT161" s="3922">
        <f t="shared" ref="DT161:DT183" si="395">IF(AND(D161&gt;0,AV161=""),1,IF(AV161&gt;D161,1,0))</f>
        <v>1</v>
      </c>
      <c r="DU161" s="3922" t="e">
        <f t="shared" ref="DU161:DU183" si="396">IF(AND(E161&gt;0,AND(AQ161="",AS161="")),1,IF((AQ161+AS161)&gt;E161,1,0))</f>
        <v>#VALUE!</v>
      </c>
      <c r="DV161" s="3922">
        <f t="shared" ref="DV161:DV183" si="397">IF(AND(E161&gt;0,AU161=""),1,IF(AU161&gt;E161,1,0))</f>
        <v>1</v>
      </c>
      <c r="DW161" s="3922">
        <f t="shared" ref="DW161:DW183" si="398">IF(AND(E161&gt;0,AW161=""),1,IF(AW161&gt;E161,1,0))</f>
        <v>1</v>
      </c>
      <c r="DX161" s="1936"/>
      <c r="DY161" s="1936"/>
      <c r="DZ161" s="2948" t="e">
        <f>IF(AND((N161+P161)&gt;0,AX161=""),1,IF(AX161&gt;(N161+P161),1,0))</f>
        <v>#VALUE!</v>
      </c>
      <c r="EA161" s="2948" t="e">
        <f>IF(AND((O161+Q161)&gt;0,AY161=""),1,IF(AY161&gt;(O161+Q161),1,0))</f>
        <v>#VALUE!</v>
      </c>
    </row>
    <row r="162" spans="1:131" x14ac:dyDescent="0.25">
      <c r="A162" s="5601">
        <v>11052600</v>
      </c>
      <c r="B162" s="7143" t="s">
        <v>1912</v>
      </c>
      <c r="C162" s="7144"/>
      <c r="D162" s="3908" t="s">
        <v>4567</v>
      </c>
      <c r="E162" s="3041" t="s">
        <v>4568</v>
      </c>
      <c r="F162" s="3909" t="s">
        <v>4569</v>
      </c>
      <c r="G162" s="3910" t="s">
        <v>4570</v>
      </c>
      <c r="H162" s="3909" t="s">
        <v>4571</v>
      </c>
      <c r="I162" s="3910" t="s">
        <v>4572</v>
      </c>
      <c r="J162" s="3909" t="s">
        <v>4573</v>
      </c>
      <c r="K162" s="3910" t="s">
        <v>4574</v>
      </c>
      <c r="L162" s="3909" t="s">
        <v>4575</v>
      </c>
      <c r="M162" s="3910" t="s">
        <v>4576</v>
      </c>
      <c r="N162" s="326" t="s">
        <v>4577</v>
      </c>
      <c r="O162" s="1014" t="s">
        <v>4578</v>
      </c>
      <c r="P162" s="326" t="s">
        <v>4579</v>
      </c>
      <c r="Q162" s="1014" t="s">
        <v>4580</v>
      </c>
      <c r="R162" s="326" t="s">
        <v>4581</v>
      </c>
      <c r="S162" s="1014" t="s">
        <v>4582</v>
      </c>
      <c r="T162" s="326" t="s">
        <v>4583</v>
      </c>
      <c r="U162" s="1014" t="s">
        <v>4584</v>
      </c>
      <c r="V162" s="326" t="s">
        <v>4585</v>
      </c>
      <c r="W162" s="1014" t="s">
        <v>4586</v>
      </c>
      <c r="X162" s="326" t="s">
        <v>4587</v>
      </c>
      <c r="Y162" s="1014" t="s">
        <v>4588</v>
      </c>
      <c r="Z162" s="326" t="s">
        <v>4589</v>
      </c>
      <c r="AA162" s="1014" t="s">
        <v>4590</v>
      </c>
      <c r="AB162" s="326" t="s">
        <v>4591</v>
      </c>
      <c r="AC162" s="1014" t="s">
        <v>4592</v>
      </c>
      <c r="AD162" s="326" t="s">
        <v>4593</v>
      </c>
      <c r="AE162" s="1014" t="s">
        <v>4594</v>
      </c>
      <c r="AF162" s="326" t="s">
        <v>4595</v>
      </c>
      <c r="AG162" s="1014" t="s">
        <v>4596</v>
      </c>
      <c r="AH162" s="3909" t="s">
        <v>4597</v>
      </c>
      <c r="AI162" s="3911" t="s">
        <v>4598</v>
      </c>
      <c r="AJ162" s="3909" t="s">
        <v>4599</v>
      </c>
      <c r="AK162" s="3920" t="s">
        <v>4600</v>
      </c>
      <c r="AL162" s="3901" t="s">
        <v>4601</v>
      </c>
      <c r="AM162" s="2318" t="s">
        <v>4602</v>
      </c>
      <c r="AN162" s="3913" t="s">
        <v>4603</v>
      </c>
      <c r="AO162" s="3943" t="s">
        <v>4604</v>
      </c>
      <c r="AP162" s="3903" t="s">
        <v>4605</v>
      </c>
      <c r="AQ162" s="329" t="s">
        <v>4606</v>
      </c>
      <c r="AR162" s="3904" t="s">
        <v>4934</v>
      </c>
      <c r="AS162" s="3943" t="s">
        <v>4935</v>
      </c>
      <c r="AT162" s="3903" t="s">
        <v>4936</v>
      </c>
      <c r="AU162" s="3943" t="s">
        <v>4937</v>
      </c>
      <c r="AV162" s="3903" t="s">
        <v>5234</v>
      </c>
      <c r="AW162" s="329" t="s">
        <v>5235</v>
      </c>
      <c r="AX162" s="3903" t="s">
        <v>5236</v>
      </c>
      <c r="AY162" s="329" t="s">
        <v>5237</v>
      </c>
      <c r="AZ162" s="1864" t="e">
        <f t="shared" ref="AZ162:AZ163" si="399">$CB162&amp;$CD162&amp;CE162&amp;CF162&amp;CG162&amp;CH162&amp;CI162&amp;CJ162&amp;CK162&amp;CL162&amp;CM162&amp;CN162&amp;CO162&amp;CP162&amp;CQ162&amp;CR162&amp;CS162&amp;CT162&amp;CU162&amp;CV162&amp;CW162&amp;CX162</f>
        <v>#VALUE!</v>
      </c>
      <c r="CB162" s="3944" t="str">
        <f t="shared" ref="CB162:CB183" si="400">IF(E162&gt;D162," * El Total de Exámenes Confirmados Positivos por ISP NO DEBE SUPERAR los  Exámenes Procesados. ","")</f>
        <v xml:space="preserve"> * El Total de Exámenes Confirmados Positivos por ISP NO DEBE SUPERAR los  Exámenes Procesados. </v>
      </c>
      <c r="CC162" s="3945"/>
      <c r="CD162" s="1865" t="str">
        <f t="shared" ref="CD162:CD183" si="401">IF(AO162&gt;AN162,"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62" s="1936"/>
      <c r="CF162" s="1936"/>
      <c r="CG162" s="1936"/>
      <c r="CH162" s="1936"/>
      <c r="CI162" s="1936"/>
      <c r="CJ162" s="1865" t="e">
        <f t="shared" ref="CJ162:CJ183" si="402">IF(AND(D162&gt;0,AND(AP162="",AR162=""))," * No olvide digitar los exámenes procesados Trans (Masculino y Femenino). Digite Cero si no tiene.",IF((AP162+AR162)&gt;D162," * Los exámenes procesados en Trans (Masculino y Femenino) no pueden ser mayor que el Total de exámenes procesados.",""))</f>
        <v>#VALUE!</v>
      </c>
      <c r="CK162" s="1937"/>
      <c r="CL162" s="1865" t="e">
        <f t="shared" ref="CL162:CL169" si="403">IF((AN162+AL162)&lt;&gt;D162," * El N° de exámenes Procesados por SEXO (Hombres + Mujeres)no puede ser distinto al Total de exámenes procesados","")</f>
        <v>#VALUE!</v>
      </c>
      <c r="CM162" s="1865" t="e">
        <f t="shared" ref="CM162:CM169" si="404">IF((AO162+AM162)&lt;&gt;E162," * El N° de exámenes Confirmados positivos por ISP por Sexo (Hombres+Mujeres) no puede ser distinto al N° Total de exámenes Confirmados positivos por ISP ","")</f>
        <v>#VALUE!</v>
      </c>
      <c r="CN162" s="1865" t="str">
        <f t="shared" ref="CN162:CN169" si="405">IF(AND(D162&gt;0,AT162="")," * No olvide digitar los examanes de Pueblos Originarios Procesados. Digite Cero si no tiene.",IF(AT162&gt;D162,"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62" s="1865" t="str">
        <f t="shared" ref="CO162:CO169" si="406">IF(AND(D162&gt;0,AV162="")," * No olvide digitar los exámenes Procesados de Migrantes. Digite Cero si no tiene.",IF(AV162&gt;D162," * Los exámenes procesados de Migrantes no pueden ser mayor que el Total de exámenes procesados.",""))</f>
        <v xml:space="preserve"> * Los exámenes procesados de Migrantes no pueden ser mayor que el Total de exámenes procesados.</v>
      </c>
      <c r="CP162" s="1865" t="e">
        <f t="shared" ref="CP162:CP169" si="407">IF(AND(E162&gt;0,AND(AQ162="",AS162=""))," * No olvide digitar los exámenes Confirmados positivos por ISP de Trans (Masculino y Femenino). Digite Cero si no tiene.",IF((AQ162+AS162)&gt;E162," * Los exámenes confirmados positivos por ISP de Trans (Masculino y Femenino) no pueden ser mayor que el Total de exámenes Confirmados positivos por ISP.",""))</f>
        <v>#VALUE!</v>
      </c>
      <c r="CQ162" s="1865" t="str">
        <f t="shared" ref="CQ162:CQ169" si="408">IF(AND(E162&gt;0,AU162="")," * No olvide digitar los exámenes Confirmados positivos por ISP de Pueblos Originarios. Digite Cero si no tiene.",IF(AU162&gt;E162,"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62" s="1865" t="str">
        <f t="shared" ref="CR162:CR169" si="409">IF(AND(E162&gt;0,AW162="")," * No olvide digitar los exámenes Confirmados positivos por ISP de Migrantes. Digite Cero si no tiene.",IF(AW162&gt;E162,"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62" s="1936"/>
      <c r="CT162" s="1936"/>
      <c r="CU162" s="2946" t="e">
        <f t="shared" ref="CU162:CU169" si="410">IF(AND((N162+P162)&gt;0,AX162=""),"*No olvide digitar los Exámenes Procesados de 14-18 años. Digite cero si no tiene.",IF(AX162&gt;(N162+P162),"* El Total de Procesados de 14-18 años NO DEBE ser mayor al Total de Procesados registrados en los grupos de edad 10 a 14 + 15 a 19 años. ",""))</f>
        <v>#VALUE!</v>
      </c>
      <c r="CV162" s="2946" t="e">
        <f t="shared" ref="CV162:CV169" si="411">IF(AND((O162+Q162)&gt;0,AY162=""),"*No olvide digitar los Exámenes Confirmados Positivos por ISP de 14-18 años. Digite cero si no tiene.",IF(AY162&gt;(O162+Q162),"* El Total de Confirmados de 14-18 años NO DEBE ser mayor al Total de Confirmados Positivos por ISP registrados en los grupos de edad 10 a 14 + 15 a 19 años. ",""))</f>
        <v>#VALUE!</v>
      </c>
      <c r="DG162" s="3946">
        <f t="shared" si="389"/>
        <v>1</v>
      </c>
      <c r="DH162" s="3945"/>
      <c r="DI162" s="3922">
        <f t="shared" si="390"/>
        <v>1</v>
      </c>
      <c r="DJ162" s="1936"/>
      <c r="DK162" s="1936"/>
      <c r="DL162" s="1936"/>
      <c r="DM162" s="1936"/>
      <c r="DN162" s="1936"/>
      <c r="DO162" s="3922" t="e">
        <f t="shared" si="391"/>
        <v>#VALUE!</v>
      </c>
      <c r="DP162" s="1937"/>
      <c r="DQ162" s="3922" t="e">
        <f t="shared" si="392"/>
        <v>#VALUE!</v>
      </c>
      <c r="DR162" s="3922" t="e">
        <f t="shared" si="393"/>
        <v>#VALUE!</v>
      </c>
      <c r="DS162" s="3922">
        <f t="shared" si="394"/>
        <v>1</v>
      </c>
      <c r="DT162" s="3922">
        <f t="shared" si="395"/>
        <v>1</v>
      </c>
      <c r="DU162" s="3922" t="e">
        <f t="shared" si="396"/>
        <v>#VALUE!</v>
      </c>
      <c r="DV162" s="3922">
        <f t="shared" si="397"/>
        <v>1</v>
      </c>
      <c r="DW162" s="3922">
        <f t="shared" si="398"/>
        <v>1</v>
      </c>
      <c r="DX162" s="1936"/>
      <c r="DY162" s="1936"/>
      <c r="DZ162" s="2948" t="e">
        <f t="shared" ref="DZ162:DZ169" si="412">IF(AND((N162+P162)&gt;0,AX162=""),1,IF(AX162&gt;(N162+P162),1,0))</f>
        <v>#VALUE!</v>
      </c>
      <c r="EA162" s="2948" t="e">
        <f t="shared" ref="EA162:EA169" si="413">IF(AND((O162+Q162)&gt;0,AY162=""),1,IF(AY162&gt;(O162+Q162),1,0))</f>
        <v>#VALUE!</v>
      </c>
    </row>
    <row r="163" spans="1:131" x14ac:dyDescent="0.25">
      <c r="A163" s="5601">
        <v>11052700</v>
      </c>
      <c r="B163" s="7143" t="s">
        <v>1913</v>
      </c>
      <c r="C163" s="7144"/>
      <c r="D163" s="3908" t="s">
        <v>4567</v>
      </c>
      <c r="E163" s="3041" t="s">
        <v>4568</v>
      </c>
      <c r="F163" s="3909" t="s">
        <v>4569</v>
      </c>
      <c r="G163" s="3910" t="s">
        <v>4570</v>
      </c>
      <c r="H163" s="3909" t="s">
        <v>4571</v>
      </c>
      <c r="I163" s="3910" t="s">
        <v>4572</v>
      </c>
      <c r="J163" s="3909" t="s">
        <v>4573</v>
      </c>
      <c r="K163" s="3910" t="s">
        <v>4574</v>
      </c>
      <c r="L163" s="3909" t="s">
        <v>4575</v>
      </c>
      <c r="M163" s="3910" t="s">
        <v>4576</v>
      </c>
      <c r="N163" s="3913" t="s">
        <v>4577</v>
      </c>
      <c r="O163" s="3912" t="s">
        <v>4578</v>
      </c>
      <c r="P163" s="3913" t="s">
        <v>4579</v>
      </c>
      <c r="Q163" s="3912" t="s">
        <v>4580</v>
      </c>
      <c r="R163" s="3913" t="s">
        <v>4581</v>
      </c>
      <c r="S163" s="3912" t="s">
        <v>4582</v>
      </c>
      <c r="T163" s="3913" t="s">
        <v>4583</v>
      </c>
      <c r="U163" s="3912" t="s">
        <v>4584</v>
      </c>
      <c r="V163" s="3913" t="s">
        <v>4585</v>
      </c>
      <c r="W163" s="3912" t="s">
        <v>4586</v>
      </c>
      <c r="X163" s="3913" t="s">
        <v>4587</v>
      </c>
      <c r="Y163" s="3912" t="s">
        <v>4588</v>
      </c>
      <c r="Z163" s="3913" t="s">
        <v>4589</v>
      </c>
      <c r="AA163" s="3912" t="s">
        <v>4590</v>
      </c>
      <c r="AB163" s="3913" t="s">
        <v>4591</v>
      </c>
      <c r="AC163" s="3912" t="s">
        <v>4592</v>
      </c>
      <c r="AD163" s="3913" t="s">
        <v>4593</v>
      </c>
      <c r="AE163" s="3912" t="s">
        <v>4594</v>
      </c>
      <c r="AF163" s="3913" t="s">
        <v>4595</v>
      </c>
      <c r="AG163" s="3912" t="s">
        <v>4596</v>
      </c>
      <c r="AH163" s="3909" t="s">
        <v>4597</v>
      </c>
      <c r="AI163" s="3911" t="s">
        <v>4598</v>
      </c>
      <c r="AJ163" s="3909" t="s">
        <v>4599</v>
      </c>
      <c r="AK163" s="3920" t="s">
        <v>4600</v>
      </c>
      <c r="AL163" s="3901" t="s">
        <v>4601</v>
      </c>
      <c r="AM163" s="2318" t="s">
        <v>4602</v>
      </c>
      <c r="AN163" s="3913" t="s">
        <v>4603</v>
      </c>
      <c r="AO163" s="3943" t="s">
        <v>4604</v>
      </c>
      <c r="AP163" s="3903" t="s">
        <v>4605</v>
      </c>
      <c r="AQ163" s="329" t="s">
        <v>4606</v>
      </c>
      <c r="AR163" s="3904" t="s">
        <v>4934</v>
      </c>
      <c r="AS163" s="3943" t="s">
        <v>4935</v>
      </c>
      <c r="AT163" s="3903" t="s">
        <v>4936</v>
      </c>
      <c r="AU163" s="3943" t="s">
        <v>4937</v>
      </c>
      <c r="AV163" s="3903" t="s">
        <v>5234</v>
      </c>
      <c r="AW163" s="329" t="s">
        <v>5235</v>
      </c>
      <c r="AX163" s="3903" t="s">
        <v>5236</v>
      </c>
      <c r="AY163" s="329" t="s">
        <v>5237</v>
      </c>
      <c r="AZ163" s="1864" t="e">
        <f t="shared" si="399"/>
        <v>#VALUE!</v>
      </c>
      <c r="CB163" s="3944" t="str">
        <f t="shared" si="400"/>
        <v xml:space="preserve"> * El Total de Exámenes Confirmados Positivos por ISP NO DEBE SUPERAR los  Exámenes Procesados. </v>
      </c>
      <c r="CC163" s="3945"/>
      <c r="CD163" s="1865" t="str">
        <f t="shared" si="401"/>
        <v xml:space="preserve"> * El número de Exámenes por Sexo Mujeres Confirmados positivos por ISP NO PUEDE Superar al número de Procesados. </v>
      </c>
      <c r="CE163" s="1936"/>
      <c r="CF163" s="1936"/>
      <c r="CG163" s="1936"/>
      <c r="CH163" s="1936"/>
      <c r="CI163" s="1936"/>
      <c r="CJ163" s="1865" t="e">
        <f t="shared" si="402"/>
        <v>#VALUE!</v>
      </c>
      <c r="CK163" s="1937"/>
      <c r="CL163" s="1865" t="e">
        <f t="shared" si="403"/>
        <v>#VALUE!</v>
      </c>
      <c r="CM163" s="1865" t="e">
        <f t="shared" si="404"/>
        <v>#VALUE!</v>
      </c>
      <c r="CN163" s="1865" t="str">
        <f t="shared" si="405"/>
        <v xml:space="preserve"> * Los exámenes de Pueblos originarios Procesados no pueden ser mayor que el Total de exámenes procesados.</v>
      </c>
      <c r="CO163" s="1865" t="str">
        <f t="shared" si="406"/>
        <v xml:space="preserve"> * Los exámenes procesados de Migrantes no pueden ser mayor que el Total de exámenes procesados.</v>
      </c>
      <c r="CP163" s="1865" t="e">
        <f t="shared" si="407"/>
        <v>#VALUE!</v>
      </c>
      <c r="CQ163" s="1865" t="str">
        <f t="shared" si="408"/>
        <v xml:space="preserve"> * Los exámenes Confirmados positivos por ISP de Pueblos originarios no pueden ser mayor que el Total de exámenes Procesados por ISP.</v>
      </c>
      <c r="CR163" s="1865" t="str">
        <f t="shared" si="409"/>
        <v xml:space="preserve"> * Los exámenes Confirmados positivos por ISP de Migrantes no pueden ser mayor que el Total de exámenes Procesados por ISP.</v>
      </c>
      <c r="CS163" s="1936"/>
      <c r="CT163" s="1936"/>
      <c r="CU163" s="2946" t="e">
        <f t="shared" si="410"/>
        <v>#VALUE!</v>
      </c>
      <c r="CV163" s="2946" t="e">
        <f t="shared" si="411"/>
        <v>#VALUE!</v>
      </c>
      <c r="DG163" s="3946">
        <f t="shared" si="389"/>
        <v>1</v>
      </c>
      <c r="DH163" s="3945"/>
      <c r="DI163" s="3922">
        <f t="shared" si="390"/>
        <v>1</v>
      </c>
      <c r="DJ163" s="1936"/>
      <c r="DK163" s="1936"/>
      <c r="DL163" s="1936"/>
      <c r="DM163" s="1936"/>
      <c r="DN163" s="1936"/>
      <c r="DO163" s="3922" t="e">
        <f t="shared" si="391"/>
        <v>#VALUE!</v>
      </c>
      <c r="DP163" s="1937"/>
      <c r="DQ163" s="3922" t="e">
        <f t="shared" si="392"/>
        <v>#VALUE!</v>
      </c>
      <c r="DR163" s="3922" t="e">
        <f t="shared" si="393"/>
        <v>#VALUE!</v>
      </c>
      <c r="DS163" s="3922">
        <f t="shared" si="394"/>
        <v>1</v>
      </c>
      <c r="DT163" s="3922">
        <f t="shared" si="395"/>
        <v>1</v>
      </c>
      <c r="DU163" s="3922" t="e">
        <f t="shared" si="396"/>
        <v>#VALUE!</v>
      </c>
      <c r="DV163" s="3922">
        <f t="shared" si="397"/>
        <v>1</v>
      </c>
      <c r="DW163" s="3922">
        <f t="shared" si="398"/>
        <v>1</v>
      </c>
      <c r="DX163" s="1936"/>
      <c r="DY163" s="1936"/>
      <c r="DZ163" s="2948" t="e">
        <f t="shared" si="412"/>
        <v>#VALUE!</v>
      </c>
      <c r="EA163" s="2948" t="e">
        <f t="shared" si="413"/>
        <v>#VALUE!</v>
      </c>
    </row>
    <row r="164" spans="1:131" x14ac:dyDescent="0.25">
      <c r="A164" s="5601">
        <v>11052800</v>
      </c>
      <c r="B164" s="7143" t="s">
        <v>1876</v>
      </c>
      <c r="C164" s="7144"/>
      <c r="D164" s="3908" t="s">
        <v>4567</v>
      </c>
      <c r="E164" s="3947" t="s">
        <v>4568</v>
      </c>
      <c r="F164" s="3909" t="s">
        <v>4569</v>
      </c>
      <c r="G164" s="3910" t="s">
        <v>4570</v>
      </c>
      <c r="H164" s="3909" t="s">
        <v>4571</v>
      </c>
      <c r="I164" s="3910" t="s">
        <v>4572</v>
      </c>
      <c r="J164" s="3909" t="s">
        <v>4573</v>
      </c>
      <c r="K164" s="3910" t="s">
        <v>4574</v>
      </c>
      <c r="L164" s="3909" t="s">
        <v>4575</v>
      </c>
      <c r="M164" s="3910" t="s">
        <v>4576</v>
      </c>
      <c r="N164" s="3909" t="s">
        <v>4577</v>
      </c>
      <c r="O164" s="3910" t="s">
        <v>4578</v>
      </c>
      <c r="P164" s="3913" t="s">
        <v>4579</v>
      </c>
      <c r="Q164" s="3912" t="s">
        <v>4580</v>
      </c>
      <c r="R164" s="3913" t="s">
        <v>4581</v>
      </c>
      <c r="S164" s="3912" t="s">
        <v>4582</v>
      </c>
      <c r="T164" s="3913" t="s">
        <v>4583</v>
      </c>
      <c r="U164" s="3912" t="s">
        <v>4584</v>
      </c>
      <c r="V164" s="3913" t="s">
        <v>4585</v>
      </c>
      <c r="W164" s="3912" t="s">
        <v>4586</v>
      </c>
      <c r="X164" s="3913" t="s">
        <v>4587</v>
      </c>
      <c r="Y164" s="3912" t="s">
        <v>4588</v>
      </c>
      <c r="Z164" s="3913" t="s">
        <v>4589</v>
      </c>
      <c r="AA164" s="3912" t="s">
        <v>4590</v>
      </c>
      <c r="AB164" s="3913" t="s">
        <v>4591</v>
      </c>
      <c r="AC164" s="3912" t="s">
        <v>4592</v>
      </c>
      <c r="AD164" s="3913" t="s">
        <v>4593</v>
      </c>
      <c r="AE164" s="3912" t="s">
        <v>4594</v>
      </c>
      <c r="AF164" s="3913" t="s">
        <v>4595</v>
      </c>
      <c r="AG164" s="3912" t="s">
        <v>4596</v>
      </c>
      <c r="AH164" s="3913" t="s">
        <v>4597</v>
      </c>
      <c r="AI164" s="3912" t="s">
        <v>4598</v>
      </c>
      <c r="AJ164" s="3913" t="s">
        <v>4599</v>
      </c>
      <c r="AK164" s="3912" t="s">
        <v>4600</v>
      </c>
      <c r="AL164" s="3903" t="s">
        <v>4601</v>
      </c>
      <c r="AM164" s="329" t="s">
        <v>4602</v>
      </c>
      <c r="AN164" s="3913" t="s">
        <v>4603</v>
      </c>
      <c r="AO164" s="3943" t="s">
        <v>4604</v>
      </c>
      <c r="AP164" s="3903" t="s">
        <v>4605</v>
      </c>
      <c r="AQ164" s="329" t="s">
        <v>4606</v>
      </c>
      <c r="AR164" s="3904" t="s">
        <v>4934</v>
      </c>
      <c r="AS164" s="3943" t="s">
        <v>4935</v>
      </c>
      <c r="AT164" s="3903" t="s">
        <v>4936</v>
      </c>
      <c r="AU164" s="3943" t="s">
        <v>4937</v>
      </c>
      <c r="AV164" s="3903" t="s">
        <v>5234</v>
      </c>
      <c r="AW164" s="329" t="s">
        <v>5235</v>
      </c>
      <c r="AX164" s="3903" t="s">
        <v>5236</v>
      </c>
      <c r="AY164" s="329" t="s">
        <v>5237</v>
      </c>
      <c r="AZ164" s="1864" t="e">
        <f>$CB164&amp;CC164&amp;$CD164&amp;CE164&amp;CF164&amp;CG164&amp;CH164&amp;CI164&amp;CJ164&amp;CK164&amp;CL164&amp;CM164&amp;CN164&amp;CO164&amp;CP164&amp;CQ164&amp;CR164&amp;CS164&amp;CT164&amp;CU164&amp;CV164&amp;CW164&amp;CX164</f>
        <v>#VALUE!</v>
      </c>
      <c r="CB164" s="3944" t="str">
        <f t="shared" si="400"/>
        <v xml:space="preserve"> * El Total de Exámenes Confirmados Positivos por ISP NO DEBE SUPERAR los  Exámenes Procesados. </v>
      </c>
      <c r="CC164" s="1865" t="str">
        <f>IF(AM164&gt;AL164,"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64" s="1865" t="str">
        <f t="shared" si="401"/>
        <v xml:space="preserve"> * El número de Exámenes por Sexo Mujeres Confirmados positivos por ISP NO PUEDE Superar al número de Procesados. </v>
      </c>
      <c r="CE164" s="1936"/>
      <c r="CF164" s="1936"/>
      <c r="CG164" s="1936"/>
      <c r="CH164" s="1936"/>
      <c r="CI164" s="1936"/>
      <c r="CJ164" s="1865" t="e">
        <f t="shared" si="402"/>
        <v>#VALUE!</v>
      </c>
      <c r="CK164" s="1937"/>
      <c r="CL164" s="1865" t="e">
        <f t="shared" si="403"/>
        <v>#VALUE!</v>
      </c>
      <c r="CM164" s="1865" t="e">
        <f t="shared" si="404"/>
        <v>#VALUE!</v>
      </c>
      <c r="CN164" s="1865" t="str">
        <f t="shared" si="405"/>
        <v xml:space="preserve"> * Los exámenes de Pueblos originarios Procesados no pueden ser mayor que el Total de exámenes procesados.</v>
      </c>
      <c r="CO164" s="1865" t="str">
        <f t="shared" si="406"/>
        <v xml:space="preserve"> * Los exámenes procesados de Migrantes no pueden ser mayor que el Total de exámenes procesados.</v>
      </c>
      <c r="CP164" s="1865" t="e">
        <f t="shared" si="407"/>
        <v>#VALUE!</v>
      </c>
      <c r="CQ164" s="1865" t="str">
        <f t="shared" si="408"/>
        <v xml:space="preserve"> * Los exámenes Confirmados positivos por ISP de Pueblos originarios no pueden ser mayor que el Total de exámenes Procesados por ISP.</v>
      </c>
      <c r="CR164" s="1865" t="str">
        <f t="shared" si="409"/>
        <v xml:space="preserve"> * Los exámenes Confirmados positivos por ISP de Migrantes no pueden ser mayor que el Total de exámenes Procesados por ISP.</v>
      </c>
      <c r="CS164" s="1936"/>
      <c r="CT164" s="1936"/>
      <c r="CU164" s="2946" t="e">
        <f t="shared" si="410"/>
        <v>#VALUE!</v>
      </c>
      <c r="CV164" s="2946" t="e">
        <f t="shared" si="411"/>
        <v>#VALUE!</v>
      </c>
      <c r="DG164" s="3946">
        <f t="shared" si="389"/>
        <v>1</v>
      </c>
      <c r="DH164" s="3922">
        <f t="shared" ref="DH164:DH183" si="414">IF(AM164&gt;AL164,1,0)</f>
        <v>1</v>
      </c>
      <c r="DI164" s="3922">
        <f t="shared" si="390"/>
        <v>1</v>
      </c>
      <c r="DJ164" s="1936"/>
      <c r="DK164" s="1936"/>
      <c r="DL164" s="1936"/>
      <c r="DM164" s="1936"/>
      <c r="DN164" s="1936"/>
      <c r="DO164" s="3922" t="e">
        <f t="shared" si="391"/>
        <v>#VALUE!</v>
      </c>
      <c r="DP164" s="1937"/>
      <c r="DQ164" s="3922" t="e">
        <f t="shared" si="392"/>
        <v>#VALUE!</v>
      </c>
      <c r="DR164" s="3922" t="e">
        <f t="shared" si="393"/>
        <v>#VALUE!</v>
      </c>
      <c r="DS164" s="3922">
        <f t="shared" si="394"/>
        <v>1</v>
      </c>
      <c r="DT164" s="3922">
        <f t="shared" si="395"/>
        <v>1</v>
      </c>
      <c r="DU164" s="3922" t="e">
        <f t="shared" si="396"/>
        <v>#VALUE!</v>
      </c>
      <c r="DV164" s="3922">
        <f t="shared" si="397"/>
        <v>1</v>
      </c>
      <c r="DW164" s="3922">
        <f t="shared" si="398"/>
        <v>1</v>
      </c>
      <c r="DX164" s="1936"/>
      <c r="DY164" s="1936"/>
      <c r="DZ164" s="2948" t="e">
        <f t="shared" si="412"/>
        <v>#VALUE!</v>
      </c>
      <c r="EA164" s="2948" t="e">
        <f t="shared" si="413"/>
        <v>#VALUE!</v>
      </c>
    </row>
    <row r="165" spans="1:131" x14ac:dyDescent="0.25">
      <c r="A165" s="5601">
        <v>11052900</v>
      </c>
      <c r="B165" s="7143" t="s">
        <v>1882</v>
      </c>
      <c r="C165" s="7144"/>
      <c r="D165" s="3908" t="s">
        <v>4567</v>
      </c>
      <c r="E165" s="3947" t="s">
        <v>4568</v>
      </c>
      <c r="F165" s="3913" t="s">
        <v>4569</v>
      </c>
      <c r="G165" s="3912" t="s">
        <v>4570</v>
      </c>
      <c r="H165" s="3913" t="s">
        <v>4571</v>
      </c>
      <c r="I165" s="3912" t="s">
        <v>4572</v>
      </c>
      <c r="J165" s="3913" t="s">
        <v>4573</v>
      </c>
      <c r="K165" s="3912" t="s">
        <v>4574</v>
      </c>
      <c r="L165" s="3913" t="s">
        <v>4575</v>
      </c>
      <c r="M165" s="3912" t="s">
        <v>4576</v>
      </c>
      <c r="N165" s="3913" t="s">
        <v>4577</v>
      </c>
      <c r="O165" s="3912" t="s">
        <v>4578</v>
      </c>
      <c r="P165" s="3913" t="s">
        <v>4579</v>
      </c>
      <c r="Q165" s="3912" t="s">
        <v>4580</v>
      </c>
      <c r="R165" s="3913" t="s">
        <v>4581</v>
      </c>
      <c r="S165" s="3912" t="s">
        <v>4582</v>
      </c>
      <c r="T165" s="3913" t="s">
        <v>4583</v>
      </c>
      <c r="U165" s="3912" t="s">
        <v>4584</v>
      </c>
      <c r="V165" s="3913" t="s">
        <v>4585</v>
      </c>
      <c r="W165" s="3912" t="s">
        <v>4586</v>
      </c>
      <c r="X165" s="3913" t="s">
        <v>4587</v>
      </c>
      <c r="Y165" s="3912" t="s">
        <v>4588</v>
      </c>
      <c r="Z165" s="3913" t="s">
        <v>4589</v>
      </c>
      <c r="AA165" s="3912" t="s">
        <v>4590</v>
      </c>
      <c r="AB165" s="3913" t="s">
        <v>4591</v>
      </c>
      <c r="AC165" s="3912" t="s">
        <v>4592</v>
      </c>
      <c r="AD165" s="3913" t="s">
        <v>4593</v>
      </c>
      <c r="AE165" s="3912" t="s">
        <v>4594</v>
      </c>
      <c r="AF165" s="3913" t="s">
        <v>4595</v>
      </c>
      <c r="AG165" s="3912" t="s">
        <v>4596</v>
      </c>
      <c r="AH165" s="3913" t="s">
        <v>4597</v>
      </c>
      <c r="AI165" s="3912" t="s">
        <v>4598</v>
      </c>
      <c r="AJ165" s="3913" t="s">
        <v>4599</v>
      </c>
      <c r="AK165" s="3912" t="s">
        <v>4600</v>
      </c>
      <c r="AL165" s="3948" t="s">
        <v>4601</v>
      </c>
      <c r="AM165" s="851" t="s">
        <v>4602</v>
      </c>
      <c r="AN165" s="3949" t="s">
        <v>4603</v>
      </c>
      <c r="AO165" s="3943" t="s">
        <v>4604</v>
      </c>
      <c r="AP165" s="3903" t="s">
        <v>4605</v>
      </c>
      <c r="AQ165" s="329" t="s">
        <v>4606</v>
      </c>
      <c r="AR165" s="3904" t="s">
        <v>4934</v>
      </c>
      <c r="AS165" s="3943" t="s">
        <v>4935</v>
      </c>
      <c r="AT165" s="3903" t="s">
        <v>4936</v>
      </c>
      <c r="AU165" s="3943" t="s">
        <v>4937</v>
      </c>
      <c r="AV165" s="3903" t="s">
        <v>5234</v>
      </c>
      <c r="AW165" s="329" t="s">
        <v>5235</v>
      </c>
      <c r="AX165" s="3903" t="s">
        <v>5236</v>
      </c>
      <c r="AY165" s="329" t="s">
        <v>5237</v>
      </c>
      <c r="AZ165" s="1864" t="e">
        <f t="shared" ref="AZ165:AZ182" si="415">$CB165&amp;CC165&amp;$CD165&amp;CE165&amp;CF165&amp;CG165&amp;CH165&amp;CI165&amp;CJ165&amp;CK165&amp;CL165&amp;CM165&amp;CN165&amp;CO165&amp;CP165&amp;CQ165&amp;CR165&amp;CS165&amp;CT165&amp;CU165&amp;CV165&amp;CW165&amp;CX165</f>
        <v>#VALUE!</v>
      </c>
      <c r="CB165" s="3944" t="str">
        <f t="shared" si="400"/>
        <v xml:space="preserve"> * El Total de Exámenes Confirmados Positivos por ISP NO DEBE SUPERAR los  Exámenes Procesados. </v>
      </c>
      <c r="CC165" s="1865" t="str">
        <f t="shared" ref="CC165:CC183" si="416">IF(AM165&gt;AL165,"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65" s="1865" t="str">
        <f t="shared" si="401"/>
        <v xml:space="preserve"> * El número de Exámenes por Sexo Mujeres Confirmados positivos por ISP NO PUEDE Superar al número de Procesados. </v>
      </c>
      <c r="CE165" s="1936"/>
      <c r="CF165" s="1936"/>
      <c r="CG165" s="1936"/>
      <c r="CH165" s="1936"/>
      <c r="CI165" s="1936"/>
      <c r="CJ165" s="1865" t="e">
        <f t="shared" si="402"/>
        <v>#VALUE!</v>
      </c>
      <c r="CK165" s="1937"/>
      <c r="CL165" s="1865" t="e">
        <f t="shared" si="403"/>
        <v>#VALUE!</v>
      </c>
      <c r="CM165" s="1865" t="e">
        <f t="shared" si="404"/>
        <v>#VALUE!</v>
      </c>
      <c r="CN165" s="1865" t="str">
        <f t="shared" si="405"/>
        <v xml:space="preserve"> * Los exámenes de Pueblos originarios Procesados no pueden ser mayor que el Total de exámenes procesados.</v>
      </c>
      <c r="CO165" s="1865" t="str">
        <f t="shared" si="406"/>
        <v xml:space="preserve"> * Los exámenes procesados de Migrantes no pueden ser mayor que el Total de exámenes procesados.</v>
      </c>
      <c r="CP165" s="1865" t="e">
        <f t="shared" si="407"/>
        <v>#VALUE!</v>
      </c>
      <c r="CQ165" s="1865" t="str">
        <f t="shared" si="408"/>
        <v xml:space="preserve"> * Los exámenes Confirmados positivos por ISP de Pueblos originarios no pueden ser mayor que el Total de exámenes Procesados por ISP.</v>
      </c>
      <c r="CR165" s="1865" t="str">
        <f t="shared" si="409"/>
        <v xml:space="preserve"> * Los exámenes Confirmados positivos por ISP de Migrantes no pueden ser mayor que el Total de exámenes Procesados por ISP.</v>
      </c>
      <c r="CS165" s="1936"/>
      <c r="CT165" s="1936"/>
      <c r="CU165" s="2946" t="e">
        <f t="shared" si="410"/>
        <v>#VALUE!</v>
      </c>
      <c r="CV165" s="2946" t="e">
        <f t="shared" si="411"/>
        <v>#VALUE!</v>
      </c>
      <c r="DG165" s="3946">
        <f t="shared" si="389"/>
        <v>1</v>
      </c>
      <c r="DH165" s="3922">
        <f t="shared" si="414"/>
        <v>1</v>
      </c>
      <c r="DI165" s="3922">
        <f t="shared" si="390"/>
        <v>1</v>
      </c>
      <c r="DJ165" s="1936"/>
      <c r="DK165" s="1936"/>
      <c r="DL165" s="1936"/>
      <c r="DM165" s="1936"/>
      <c r="DN165" s="1936"/>
      <c r="DO165" s="3922" t="e">
        <f t="shared" si="391"/>
        <v>#VALUE!</v>
      </c>
      <c r="DP165" s="1937"/>
      <c r="DQ165" s="3922" t="e">
        <f t="shared" si="392"/>
        <v>#VALUE!</v>
      </c>
      <c r="DR165" s="3922" t="e">
        <f t="shared" si="393"/>
        <v>#VALUE!</v>
      </c>
      <c r="DS165" s="3922">
        <f t="shared" si="394"/>
        <v>1</v>
      </c>
      <c r="DT165" s="3922">
        <f t="shared" si="395"/>
        <v>1</v>
      </c>
      <c r="DU165" s="3922" t="e">
        <f t="shared" si="396"/>
        <v>#VALUE!</v>
      </c>
      <c r="DV165" s="3922">
        <f t="shared" si="397"/>
        <v>1</v>
      </c>
      <c r="DW165" s="3922">
        <f t="shared" si="398"/>
        <v>1</v>
      </c>
      <c r="DX165" s="1936"/>
      <c r="DY165" s="1936"/>
      <c r="DZ165" s="2948" t="e">
        <f t="shared" si="412"/>
        <v>#VALUE!</v>
      </c>
      <c r="EA165" s="2948" t="e">
        <f t="shared" si="413"/>
        <v>#VALUE!</v>
      </c>
    </row>
    <row r="166" spans="1:131" x14ac:dyDescent="0.25">
      <c r="A166" s="5601">
        <v>11053000</v>
      </c>
      <c r="B166" s="7143" t="s">
        <v>1914</v>
      </c>
      <c r="C166" s="7144"/>
      <c r="D166" s="3908" t="s">
        <v>4567</v>
      </c>
      <c r="E166" s="3041" t="s">
        <v>4568</v>
      </c>
      <c r="F166" s="3913" t="s">
        <v>4569</v>
      </c>
      <c r="G166" s="3912" t="s">
        <v>4570</v>
      </c>
      <c r="H166" s="3913" t="s">
        <v>4571</v>
      </c>
      <c r="I166" s="3912" t="s">
        <v>4572</v>
      </c>
      <c r="J166" s="3913" t="s">
        <v>4573</v>
      </c>
      <c r="K166" s="3912" t="s">
        <v>4574</v>
      </c>
      <c r="L166" s="3913" t="s">
        <v>4575</v>
      </c>
      <c r="M166" s="3912" t="s">
        <v>4576</v>
      </c>
      <c r="N166" s="3913" t="s">
        <v>4577</v>
      </c>
      <c r="O166" s="3912" t="s">
        <v>4578</v>
      </c>
      <c r="P166" s="3913" t="s">
        <v>4579</v>
      </c>
      <c r="Q166" s="3912" t="s">
        <v>4580</v>
      </c>
      <c r="R166" s="3913" t="s">
        <v>4581</v>
      </c>
      <c r="S166" s="3912" t="s">
        <v>4582</v>
      </c>
      <c r="T166" s="3913" t="s">
        <v>4583</v>
      </c>
      <c r="U166" s="3912" t="s">
        <v>4584</v>
      </c>
      <c r="V166" s="3913" t="s">
        <v>4585</v>
      </c>
      <c r="W166" s="3912" t="s">
        <v>4586</v>
      </c>
      <c r="X166" s="3913" t="s">
        <v>4587</v>
      </c>
      <c r="Y166" s="3912" t="s">
        <v>4588</v>
      </c>
      <c r="Z166" s="3913" t="s">
        <v>4589</v>
      </c>
      <c r="AA166" s="3912" t="s">
        <v>4590</v>
      </c>
      <c r="AB166" s="3913" t="s">
        <v>4591</v>
      </c>
      <c r="AC166" s="3912" t="s">
        <v>4592</v>
      </c>
      <c r="AD166" s="3913" t="s">
        <v>4593</v>
      </c>
      <c r="AE166" s="3912" t="s">
        <v>4594</v>
      </c>
      <c r="AF166" s="3913" t="s">
        <v>4595</v>
      </c>
      <c r="AG166" s="3912" t="s">
        <v>4596</v>
      </c>
      <c r="AH166" s="3913" t="s">
        <v>4597</v>
      </c>
      <c r="AI166" s="3912" t="s">
        <v>4598</v>
      </c>
      <c r="AJ166" s="3913" t="s">
        <v>4599</v>
      </c>
      <c r="AK166" s="3912" t="s">
        <v>4600</v>
      </c>
      <c r="AL166" s="3903" t="s">
        <v>4601</v>
      </c>
      <c r="AM166" s="329" t="s">
        <v>4602</v>
      </c>
      <c r="AN166" s="3913" t="s">
        <v>4603</v>
      </c>
      <c r="AO166" s="3943" t="s">
        <v>4604</v>
      </c>
      <c r="AP166" s="3903" t="s">
        <v>4605</v>
      </c>
      <c r="AQ166" s="329" t="s">
        <v>4606</v>
      </c>
      <c r="AR166" s="3904" t="s">
        <v>4934</v>
      </c>
      <c r="AS166" s="3943" t="s">
        <v>4935</v>
      </c>
      <c r="AT166" s="3903" t="s">
        <v>4936</v>
      </c>
      <c r="AU166" s="3943" t="s">
        <v>4937</v>
      </c>
      <c r="AV166" s="3903" t="s">
        <v>5234</v>
      </c>
      <c r="AW166" s="329" t="s">
        <v>5235</v>
      </c>
      <c r="AX166" s="3903" t="s">
        <v>5236</v>
      </c>
      <c r="AY166" s="329" t="s">
        <v>5237</v>
      </c>
      <c r="AZ166" s="1864" t="e">
        <f t="shared" si="415"/>
        <v>#VALUE!</v>
      </c>
      <c r="CB166" s="3944" t="str">
        <f t="shared" si="400"/>
        <v xml:space="preserve"> * El Total de Exámenes Confirmados Positivos por ISP NO DEBE SUPERAR los  Exámenes Procesados. </v>
      </c>
      <c r="CC166" s="1865" t="str">
        <f t="shared" si="416"/>
        <v xml:space="preserve"> * El número de Exámenes por Sexo Hombres Confirmados positivos por ISP NO PUEDE Superar al número de Procesados. </v>
      </c>
      <c r="CD166" s="1865" t="str">
        <f t="shared" si="401"/>
        <v xml:space="preserve"> * El número de Exámenes por Sexo Mujeres Confirmados positivos por ISP NO PUEDE Superar al número de Procesados. </v>
      </c>
      <c r="CE166" s="1936"/>
      <c r="CF166" s="1936"/>
      <c r="CG166" s="1936"/>
      <c r="CH166" s="1936"/>
      <c r="CI166" s="1936"/>
      <c r="CJ166" s="1865" t="e">
        <f t="shared" si="402"/>
        <v>#VALUE!</v>
      </c>
      <c r="CK166" s="1937"/>
      <c r="CL166" s="1865" t="e">
        <f t="shared" si="403"/>
        <v>#VALUE!</v>
      </c>
      <c r="CM166" s="1865" t="e">
        <f t="shared" si="404"/>
        <v>#VALUE!</v>
      </c>
      <c r="CN166" s="1865" t="str">
        <f t="shared" si="405"/>
        <v xml:space="preserve"> * Los exámenes de Pueblos originarios Procesados no pueden ser mayor que el Total de exámenes procesados.</v>
      </c>
      <c r="CO166" s="1865" t="str">
        <f t="shared" si="406"/>
        <v xml:space="preserve"> * Los exámenes procesados de Migrantes no pueden ser mayor que el Total de exámenes procesados.</v>
      </c>
      <c r="CP166" s="1865" t="e">
        <f t="shared" si="407"/>
        <v>#VALUE!</v>
      </c>
      <c r="CQ166" s="1865" t="str">
        <f t="shared" si="408"/>
        <v xml:space="preserve"> * Los exámenes Confirmados positivos por ISP de Pueblos originarios no pueden ser mayor que el Total de exámenes Procesados por ISP.</v>
      </c>
      <c r="CR166" s="1865" t="str">
        <f t="shared" si="409"/>
        <v xml:space="preserve"> * Los exámenes Confirmados positivos por ISP de Migrantes no pueden ser mayor que el Total de exámenes Procesados por ISP.</v>
      </c>
      <c r="CS166" s="1936"/>
      <c r="CT166" s="1936"/>
      <c r="CU166" s="2946" t="e">
        <f t="shared" si="410"/>
        <v>#VALUE!</v>
      </c>
      <c r="CV166" s="2946" t="e">
        <f t="shared" si="411"/>
        <v>#VALUE!</v>
      </c>
      <c r="DG166" s="3946">
        <f t="shared" si="389"/>
        <v>1</v>
      </c>
      <c r="DH166" s="3922">
        <f t="shared" si="414"/>
        <v>1</v>
      </c>
      <c r="DI166" s="3922">
        <f t="shared" si="390"/>
        <v>1</v>
      </c>
      <c r="DJ166" s="1936"/>
      <c r="DK166" s="1936"/>
      <c r="DL166" s="1936"/>
      <c r="DM166" s="1936"/>
      <c r="DN166" s="1936"/>
      <c r="DO166" s="3922" t="e">
        <f t="shared" si="391"/>
        <v>#VALUE!</v>
      </c>
      <c r="DP166" s="1937"/>
      <c r="DQ166" s="3922" t="e">
        <f t="shared" si="392"/>
        <v>#VALUE!</v>
      </c>
      <c r="DR166" s="3922" t="e">
        <f t="shared" si="393"/>
        <v>#VALUE!</v>
      </c>
      <c r="DS166" s="3922">
        <f t="shared" si="394"/>
        <v>1</v>
      </c>
      <c r="DT166" s="3922">
        <f t="shared" si="395"/>
        <v>1</v>
      </c>
      <c r="DU166" s="3922" t="e">
        <f t="shared" si="396"/>
        <v>#VALUE!</v>
      </c>
      <c r="DV166" s="3922">
        <f t="shared" si="397"/>
        <v>1</v>
      </c>
      <c r="DW166" s="3922">
        <f t="shared" si="398"/>
        <v>1</v>
      </c>
      <c r="DX166" s="1936"/>
      <c r="DY166" s="1936"/>
      <c r="DZ166" s="2948" t="e">
        <f t="shared" si="412"/>
        <v>#VALUE!</v>
      </c>
      <c r="EA166" s="2948" t="e">
        <f t="shared" si="413"/>
        <v>#VALUE!</v>
      </c>
    </row>
    <row r="167" spans="1:131" x14ac:dyDescent="0.25">
      <c r="A167" s="5601">
        <v>11054500</v>
      </c>
      <c r="B167" s="7143" t="s">
        <v>1915</v>
      </c>
      <c r="C167" s="7144"/>
      <c r="D167" s="3908" t="s">
        <v>4567</v>
      </c>
      <c r="E167" s="3041" t="s">
        <v>4568</v>
      </c>
      <c r="F167" s="3909" t="s">
        <v>4569</v>
      </c>
      <c r="G167" s="3910" t="s">
        <v>4570</v>
      </c>
      <c r="H167" s="3909" t="s">
        <v>4571</v>
      </c>
      <c r="I167" s="3910" t="s">
        <v>4572</v>
      </c>
      <c r="J167" s="3909" t="s">
        <v>4573</v>
      </c>
      <c r="K167" s="3910" t="s">
        <v>4574</v>
      </c>
      <c r="L167" s="3909" t="s">
        <v>4575</v>
      </c>
      <c r="M167" s="3910" t="s">
        <v>4576</v>
      </c>
      <c r="N167" s="3909" t="s">
        <v>4577</v>
      </c>
      <c r="O167" s="3910" t="s">
        <v>4578</v>
      </c>
      <c r="P167" s="3913" t="s">
        <v>4579</v>
      </c>
      <c r="Q167" s="3912" t="s">
        <v>4580</v>
      </c>
      <c r="R167" s="3913" t="s">
        <v>4581</v>
      </c>
      <c r="S167" s="3912" t="s">
        <v>4582</v>
      </c>
      <c r="T167" s="3913" t="s">
        <v>4583</v>
      </c>
      <c r="U167" s="3912" t="s">
        <v>4584</v>
      </c>
      <c r="V167" s="3913" t="s">
        <v>4585</v>
      </c>
      <c r="W167" s="3912" t="s">
        <v>4586</v>
      </c>
      <c r="X167" s="3913" t="s">
        <v>4587</v>
      </c>
      <c r="Y167" s="3912" t="s">
        <v>4588</v>
      </c>
      <c r="Z167" s="3913" t="s">
        <v>4589</v>
      </c>
      <c r="AA167" s="3912" t="s">
        <v>4590</v>
      </c>
      <c r="AB167" s="3913" t="s">
        <v>4591</v>
      </c>
      <c r="AC167" s="3912" t="s">
        <v>4592</v>
      </c>
      <c r="AD167" s="3913" t="s">
        <v>4593</v>
      </c>
      <c r="AE167" s="3912" t="s">
        <v>4594</v>
      </c>
      <c r="AF167" s="3913" t="s">
        <v>4595</v>
      </c>
      <c r="AG167" s="3912" t="s">
        <v>4596</v>
      </c>
      <c r="AH167" s="3913" t="s">
        <v>4597</v>
      </c>
      <c r="AI167" s="3912" t="s">
        <v>4598</v>
      </c>
      <c r="AJ167" s="3913" t="s">
        <v>4599</v>
      </c>
      <c r="AK167" s="3912" t="s">
        <v>4600</v>
      </c>
      <c r="AL167" s="3903" t="s">
        <v>4601</v>
      </c>
      <c r="AM167" s="329" t="s">
        <v>4602</v>
      </c>
      <c r="AN167" s="3913" t="s">
        <v>4603</v>
      </c>
      <c r="AO167" s="3943" t="s">
        <v>4604</v>
      </c>
      <c r="AP167" s="3903" t="s">
        <v>4605</v>
      </c>
      <c r="AQ167" s="329" t="s">
        <v>4606</v>
      </c>
      <c r="AR167" s="3904" t="s">
        <v>4934</v>
      </c>
      <c r="AS167" s="3943" t="s">
        <v>4935</v>
      </c>
      <c r="AT167" s="3903" t="s">
        <v>4936</v>
      </c>
      <c r="AU167" s="3943" t="s">
        <v>4937</v>
      </c>
      <c r="AV167" s="3903" t="s">
        <v>5234</v>
      </c>
      <c r="AW167" s="329" t="s">
        <v>5235</v>
      </c>
      <c r="AX167" s="3903" t="s">
        <v>5236</v>
      </c>
      <c r="AY167" s="329" t="s">
        <v>5237</v>
      </c>
      <c r="AZ167" s="1864" t="e">
        <f t="shared" si="415"/>
        <v>#VALUE!</v>
      </c>
      <c r="CB167" s="3944" t="str">
        <f t="shared" si="400"/>
        <v xml:space="preserve"> * El Total de Exámenes Confirmados Positivos por ISP NO DEBE SUPERAR los  Exámenes Procesados. </v>
      </c>
      <c r="CC167" s="1865" t="str">
        <f t="shared" si="416"/>
        <v xml:space="preserve"> * El número de Exámenes por Sexo Hombres Confirmados positivos por ISP NO PUEDE Superar al número de Procesados. </v>
      </c>
      <c r="CD167" s="1865" t="str">
        <f t="shared" si="401"/>
        <v xml:space="preserve"> * El número de Exámenes por Sexo Mujeres Confirmados positivos por ISP NO PUEDE Superar al número de Procesados. </v>
      </c>
      <c r="CE167" s="1936"/>
      <c r="CF167" s="1936"/>
      <c r="CG167" s="1936"/>
      <c r="CH167" s="1936"/>
      <c r="CI167" s="1936"/>
      <c r="CJ167" s="1865" t="e">
        <f t="shared" si="402"/>
        <v>#VALUE!</v>
      </c>
      <c r="CK167" s="1937"/>
      <c r="CL167" s="1865" t="e">
        <f t="shared" si="403"/>
        <v>#VALUE!</v>
      </c>
      <c r="CM167" s="1865" t="e">
        <f t="shared" si="404"/>
        <v>#VALUE!</v>
      </c>
      <c r="CN167" s="1865" t="str">
        <f t="shared" si="405"/>
        <v xml:space="preserve"> * Los exámenes de Pueblos originarios Procesados no pueden ser mayor que el Total de exámenes procesados.</v>
      </c>
      <c r="CO167" s="1865" t="str">
        <f t="shared" si="406"/>
        <v xml:space="preserve"> * Los exámenes procesados de Migrantes no pueden ser mayor que el Total de exámenes procesados.</v>
      </c>
      <c r="CP167" s="1865" t="e">
        <f t="shared" si="407"/>
        <v>#VALUE!</v>
      </c>
      <c r="CQ167" s="1865" t="str">
        <f t="shared" si="408"/>
        <v xml:space="preserve"> * Los exámenes Confirmados positivos por ISP de Pueblos originarios no pueden ser mayor que el Total de exámenes Procesados por ISP.</v>
      </c>
      <c r="CR167" s="1865" t="str">
        <f t="shared" si="409"/>
        <v xml:space="preserve"> * Los exámenes Confirmados positivos por ISP de Migrantes no pueden ser mayor que el Total de exámenes Procesados por ISP.</v>
      </c>
      <c r="CS167" s="1936"/>
      <c r="CT167" s="1936"/>
      <c r="CU167" s="2946" t="e">
        <f t="shared" si="410"/>
        <v>#VALUE!</v>
      </c>
      <c r="CV167" s="2946" t="e">
        <f t="shared" si="411"/>
        <v>#VALUE!</v>
      </c>
      <c r="DG167" s="3946">
        <f t="shared" si="389"/>
        <v>1</v>
      </c>
      <c r="DH167" s="3922">
        <f t="shared" si="414"/>
        <v>1</v>
      </c>
      <c r="DI167" s="3922">
        <f t="shared" si="390"/>
        <v>1</v>
      </c>
      <c r="DJ167" s="1936"/>
      <c r="DK167" s="1936"/>
      <c r="DL167" s="1936"/>
      <c r="DM167" s="1936"/>
      <c r="DN167" s="1936"/>
      <c r="DO167" s="3922" t="e">
        <f t="shared" si="391"/>
        <v>#VALUE!</v>
      </c>
      <c r="DP167" s="1937"/>
      <c r="DQ167" s="3922" t="e">
        <f t="shared" si="392"/>
        <v>#VALUE!</v>
      </c>
      <c r="DR167" s="3922" t="e">
        <f t="shared" si="393"/>
        <v>#VALUE!</v>
      </c>
      <c r="DS167" s="3922">
        <f t="shared" si="394"/>
        <v>1</v>
      </c>
      <c r="DT167" s="3922">
        <f t="shared" si="395"/>
        <v>1</v>
      </c>
      <c r="DU167" s="3922" t="e">
        <f t="shared" si="396"/>
        <v>#VALUE!</v>
      </c>
      <c r="DV167" s="3922">
        <f t="shared" si="397"/>
        <v>1</v>
      </c>
      <c r="DW167" s="3922">
        <f t="shared" si="398"/>
        <v>1</v>
      </c>
      <c r="DX167" s="1936"/>
      <c r="DY167" s="1936"/>
      <c r="DZ167" s="2948" t="e">
        <f t="shared" si="412"/>
        <v>#VALUE!</v>
      </c>
      <c r="EA167" s="2948" t="e">
        <f t="shared" si="413"/>
        <v>#VALUE!</v>
      </c>
    </row>
    <row r="168" spans="1:131" x14ac:dyDescent="0.25">
      <c r="A168" s="5601">
        <v>11054600</v>
      </c>
      <c r="B168" s="7143" t="s">
        <v>1879</v>
      </c>
      <c r="C168" s="7144"/>
      <c r="D168" s="3908" t="s">
        <v>4567</v>
      </c>
      <c r="E168" s="3041" t="s">
        <v>4568</v>
      </c>
      <c r="F168" s="3909" t="s">
        <v>4569</v>
      </c>
      <c r="G168" s="3910" t="s">
        <v>4570</v>
      </c>
      <c r="H168" s="3909" t="s">
        <v>4571</v>
      </c>
      <c r="I168" s="3910" t="s">
        <v>4572</v>
      </c>
      <c r="J168" s="3909" t="s">
        <v>4573</v>
      </c>
      <c r="K168" s="3910" t="s">
        <v>4574</v>
      </c>
      <c r="L168" s="3909" t="s">
        <v>4575</v>
      </c>
      <c r="M168" s="3910" t="s">
        <v>4576</v>
      </c>
      <c r="N168" s="3909" t="s">
        <v>4577</v>
      </c>
      <c r="O168" s="3910" t="s">
        <v>4578</v>
      </c>
      <c r="P168" s="3913" t="s">
        <v>4579</v>
      </c>
      <c r="Q168" s="3912" t="s">
        <v>4580</v>
      </c>
      <c r="R168" s="3913" t="s">
        <v>4581</v>
      </c>
      <c r="S168" s="3912" t="s">
        <v>4582</v>
      </c>
      <c r="T168" s="3913" t="s">
        <v>4583</v>
      </c>
      <c r="U168" s="3912" t="s">
        <v>4584</v>
      </c>
      <c r="V168" s="3913" t="s">
        <v>4585</v>
      </c>
      <c r="W168" s="3912" t="s">
        <v>4586</v>
      </c>
      <c r="X168" s="3913" t="s">
        <v>4587</v>
      </c>
      <c r="Y168" s="3912" t="s">
        <v>4588</v>
      </c>
      <c r="Z168" s="3913" t="s">
        <v>4589</v>
      </c>
      <c r="AA168" s="3912" t="s">
        <v>4590</v>
      </c>
      <c r="AB168" s="3913" t="s">
        <v>4591</v>
      </c>
      <c r="AC168" s="3912" t="s">
        <v>4592</v>
      </c>
      <c r="AD168" s="3913" t="s">
        <v>4593</v>
      </c>
      <c r="AE168" s="3912" t="s">
        <v>4594</v>
      </c>
      <c r="AF168" s="3913" t="s">
        <v>4595</v>
      </c>
      <c r="AG168" s="3912" t="s">
        <v>4596</v>
      </c>
      <c r="AH168" s="3913" t="s">
        <v>4597</v>
      </c>
      <c r="AI168" s="3912" t="s">
        <v>4598</v>
      </c>
      <c r="AJ168" s="3913" t="s">
        <v>4599</v>
      </c>
      <c r="AK168" s="3912" t="s">
        <v>4600</v>
      </c>
      <c r="AL168" s="3903" t="s">
        <v>4601</v>
      </c>
      <c r="AM168" s="329" t="s">
        <v>4602</v>
      </c>
      <c r="AN168" s="3913" t="s">
        <v>4603</v>
      </c>
      <c r="AO168" s="3943" t="s">
        <v>4604</v>
      </c>
      <c r="AP168" s="3903" t="s">
        <v>4605</v>
      </c>
      <c r="AQ168" s="329" t="s">
        <v>4606</v>
      </c>
      <c r="AR168" s="3904" t="s">
        <v>4934</v>
      </c>
      <c r="AS168" s="3943" t="s">
        <v>4935</v>
      </c>
      <c r="AT168" s="3903" t="s">
        <v>4936</v>
      </c>
      <c r="AU168" s="3943" t="s">
        <v>4937</v>
      </c>
      <c r="AV168" s="3903" t="s">
        <v>5234</v>
      </c>
      <c r="AW168" s="329" t="s">
        <v>5235</v>
      </c>
      <c r="AX168" s="3903" t="s">
        <v>5236</v>
      </c>
      <c r="AY168" s="329" t="s">
        <v>5237</v>
      </c>
      <c r="AZ168" s="1864" t="e">
        <f t="shared" si="415"/>
        <v>#VALUE!</v>
      </c>
      <c r="CB168" s="3944" t="str">
        <f t="shared" si="400"/>
        <v xml:space="preserve"> * El Total de Exámenes Confirmados Positivos por ISP NO DEBE SUPERAR los  Exámenes Procesados. </v>
      </c>
      <c r="CC168" s="1865" t="str">
        <f t="shared" si="416"/>
        <v xml:space="preserve"> * El número de Exámenes por Sexo Hombres Confirmados positivos por ISP NO PUEDE Superar al número de Procesados. </v>
      </c>
      <c r="CD168" s="1865" t="str">
        <f t="shared" si="401"/>
        <v xml:space="preserve"> * El número de Exámenes por Sexo Mujeres Confirmados positivos por ISP NO PUEDE Superar al número de Procesados. </v>
      </c>
      <c r="CE168" s="1936"/>
      <c r="CF168" s="1936"/>
      <c r="CG168" s="1936"/>
      <c r="CH168" s="1936"/>
      <c r="CI168" s="1936"/>
      <c r="CJ168" s="1865" t="e">
        <f t="shared" si="402"/>
        <v>#VALUE!</v>
      </c>
      <c r="CK168" s="1937"/>
      <c r="CL168" s="1865" t="e">
        <f t="shared" si="403"/>
        <v>#VALUE!</v>
      </c>
      <c r="CM168" s="1865" t="e">
        <f t="shared" si="404"/>
        <v>#VALUE!</v>
      </c>
      <c r="CN168" s="1865" t="str">
        <f t="shared" si="405"/>
        <v xml:space="preserve"> * Los exámenes de Pueblos originarios Procesados no pueden ser mayor que el Total de exámenes procesados.</v>
      </c>
      <c r="CO168" s="1865" t="str">
        <f t="shared" si="406"/>
        <v xml:space="preserve"> * Los exámenes procesados de Migrantes no pueden ser mayor que el Total de exámenes procesados.</v>
      </c>
      <c r="CP168" s="1865" t="e">
        <f t="shared" si="407"/>
        <v>#VALUE!</v>
      </c>
      <c r="CQ168" s="1865" t="str">
        <f t="shared" si="408"/>
        <v xml:space="preserve"> * Los exámenes Confirmados positivos por ISP de Pueblos originarios no pueden ser mayor que el Total de exámenes Procesados por ISP.</v>
      </c>
      <c r="CR168" s="1865" t="str">
        <f t="shared" si="409"/>
        <v xml:space="preserve"> * Los exámenes Confirmados positivos por ISP de Migrantes no pueden ser mayor que el Total de exámenes Procesados por ISP.</v>
      </c>
      <c r="CS168" s="1936"/>
      <c r="CT168" s="1936"/>
      <c r="CU168" s="2946" t="e">
        <f t="shared" si="410"/>
        <v>#VALUE!</v>
      </c>
      <c r="CV168" s="2946" t="e">
        <f t="shared" si="411"/>
        <v>#VALUE!</v>
      </c>
      <c r="DG168" s="3946">
        <f t="shared" si="389"/>
        <v>1</v>
      </c>
      <c r="DH168" s="3922">
        <f t="shared" si="414"/>
        <v>1</v>
      </c>
      <c r="DI168" s="3922">
        <f t="shared" si="390"/>
        <v>1</v>
      </c>
      <c r="DJ168" s="1936"/>
      <c r="DK168" s="1936"/>
      <c r="DL168" s="1936"/>
      <c r="DM168" s="1936"/>
      <c r="DN168" s="1936"/>
      <c r="DO168" s="3922" t="e">
        <f t="shared" si="391"/>
        <v>#VALUE!</v>
      </c>
      <c r="DP168" s="1937"/>
      <c r="DQ168" s="3922" t="e">
        <f t="shared" si="392"/>
        <v>#VALUE!</v>
      </c>
      <c r="DR168" s="3922" t="e">
        <f t="shared" si="393"/>
        <v>#VALUE!</v>
      </c>
      <c r="DS168" s="3922">
        <f t="shared" si="394"/>
        <v>1</v>
      </c>
      <c r="DT168" s="3922">
        <f t="shared" si="395"/>
        <v>1</v>
      </c>
      <c r="DU168" s="3922" t="e">
        <f t="shared" si="396"/>
        <v>#VALUE!</v>
      </c>
      <c r="DV168" s="3922">
        <f t="shared" si="397"/>
        <v>1</v>
      </c>
      <c r="DW168" s="3922">
        <f t="shared" si="398"/>
        <v>1</v>
      </c>
      <c r="DX168" s="1936"/>
      <c r="DY168" s="1936"/>
      <c r="DZ168" s="2948" t="e">
        <f t="shared" si="412"/>
        <v>#VALUE!</v>
      </c>
      <c r="EA168" s="2948" t="e">
        <f t="shared" si="413"/>
        <v>#VALUE!</v>
      </c>
    </row>
    <row r="169" spans="1:131" x14ac:dyDescent="0.25">
      <c r="A169" s="5601">
        <v>11053100</v>
      </c>
      <c r="B169" s="7145" t="s">
        <v>1916</v>
      </c>
      <c r="C169" s="7146"/>
      <c r="D169" s="623" t="s">
        <v>4567</v>
      </c>
      <c r="E169" s="3230" t="s">
        <v>4568</v>
      </c>
      <c r="F169" s="212" t="s">
        <v>4569</v>
      </c>
      <c r="G169" s="993" t="s">
        <v>4570</v>
      </c>
      <c r="H169" s="212" t="s">
        <v>4571</v>
      </c>
      <c r="I169" s="993" t="s">
        <v>4572</v>
      </c>
      <c r="J169" s="212" t="s">
        <v>4573</v>
      </c>
      <c r="K169" s="993" t="s">
        <v>4574</v>
      </c>
      <c r="L169" s="212" t="s">
        <v>4575</v>
      </c>
      <c r="M169" s="993" t="s">
        <v>4576</v>
      </c>
      <c r="N169" s="212" t="s">
        <v>4577</v>
      </c>
      <c r="O169" s="993" t="s">
        <v>4578</v>
      </c>
      <c r="P169" s="212" t="s">
        <v>4579</v>
      </c>
      <c r="Q169" s="993" t="s">
        <v>4580</v>
      </c>
      <c r="R169" s="212" t="s">
        <v>4581</v>
      </c>
      <c r="S169" s="993" t="s">
        <v>4582</v>
      </c>
      <c r="T169" s="212" t="s">
        <v>4583</v>
      </c>
      <c r="U169" s="993" t="s">
        <v>4584</v>
      </c>
      <c r="V169" s="212" t="s">
        <v>4585</v>
      </c>
      <c r="W169" s="993" t="s">
        <v>4586</v>
      </c>
      <c r="X169" s="212" t="s">
        <v>4587</v>
      </c>
      <c r="Y169" s="993" t="s">
        <v>4588</v>
      </c>
      <c r="Z169" s="212" t="s">
        <v>4589</v>
      </c>
      <c r="AA169" s="993" t="s">
        <v>4590</v>
      </c>
      <c r="AB169" s="212" t="s">
        <v>4591</v>
      </c>
      <c r="AC169" s="993" t="s">
        <v>4592</v>
      </c>
      <c r="AD169" s="212" t="s">
        <v>4593</v>
      </c>
      <c r="AE169" s="993" t="s">
        <v>4594</v>
      </c>
      <c r="AF169" s="212" t="s">
        <v>4595</v>
      </c>
      <c r="AG169" s="993" t="s">
        <v>4596</v>
      </c>
      <c r="AH169" s="212" t="s">
        <v>4597</v>
      </c>
      <c r="AI169" s="993" t="s">
        <v>4598</v>
      </c>
      <c r="AJ169" s="212" t="s">
        <v>4599</v>
      </c>
      <c r="AK169" s="993" t="s">
        <v>4600</v>
      </c>
      <c r="AL169" s="992" t="s">
        <v>4601</v>
      </c>
      <c r="AM169" s="34" t="s">
        <v>4602</v>
      </c>
      <c r="AN169" s="212" t="s">
        <v>4603</v>
      </c>
      <c r="AO169" s="3443" t="s">
        <v>4604</v>
      </c>
      <c r="AP169" s="992" t="s">
        <v>4605</v>
      </c>
      <c r="AQ169" s="34" t="s">
        <v>4606</v>
      </c>
      <c r="AR169" s="1137" t="s">
        <v>4934</v>
      </c>
      <c r="AS169" s="3443" t="s">
        <v>4935</v>
      </c>
      <c r="AT169" s="1879" t="s">
        <v>4936</v>
      </c>
      <c r="AU169" s="1878" t="s">
        <v>4937</v>
      </c>
      <c r="AV169" s="992" t="s">
        <v>5234</v>
      </c>
      <c r="AW169" s="34" t="s">
        <v>5235</v>
      </c>
      <c r="AX169" s="992" t="s">
        <v>5236</v>
      </c>
      <c r="AY169" s="34" t="s">
        <v>5237</v>
      </c>
      <c r="AZ169" s="1864" t="e">
        <f t="shared" si="415"/>
        <v>#VALUE!</v>
      </c>
      <c r="CB169" s="3944" t="str">
        <f t="shared" si="400"/>
        <v xml:space="preserve"> * El Total de Exámenes Confirmados Positivos por ISP NO DEBE SUPERAR los  Exámenes Procesados. </v>
      </c>
      <c r="CC169" s="1865" t="str">
        <f t="shared" si="416"/>
        <v xml:space="preserve"> * El número de Exámenes por Sexo Hombres Confirmados positivos por ISP NO PUEDE Superar al número de Procesados. </v>
      </c>
      <c r="CD169" s="1865" t="str">
        <f t="shared" si="401"/>
        <v xml:space="preserve"> * El número de Exámenes por Sexo Mujeres Confirmados positivos por ISP NO PUEDE Superar al número de Procesados. </v>
      </c>
      <c r="CE169" s="1936"/>
      <c r="CF169" s="1936"/>
      <c r="CG169" s="1936"/>
      <c r="CH169" s="1936"/>
      <c r="CI169" s="1936"/>
      <c r="CJ169" s="1865" t="e">
        <f t="shared" si="402"/>
        <v>#VALUE!</v>
      </c>
      <c r="CK169" s="1937"/>
      <c r="CL169" s="1865" t="e">
        <f t="shared" si="403"/>
        <v>#VALUE!</v>
      </c>
      <c r="CM169" s="1865" t="e">
        <f t="shared" si="404"/>
        <v>#VALUE!</v>
      </c>
      <c r="CN169" s="1865" t="str">
        <f t="shared" si="405"/>
        <v xml:space="preserve"> * Los exámenes de Pueblos originarios Procesados no pueden ser mayor que el Total de exámenes procesados.</v>
      </c>
      <c r="CO169" s="1865" t="str">
        <f t="shared" si="406"/>
        <v xml:space="preserve"> * Los exámenes procesados de Migrantes no pueden ser mayor que el Total de exámenes procesados.</v>
      </c>
      <c r="CP169" s="1865" t="e">
        <f t="shared" si="407"/>
        <v>#VALUE!</v>
      </c>
      <c r="CQ169" s="1865" t="str">
        <f t="shared" si="408"/>
        <v xml:space="preserve"> * Los exámenes Confirmados positivos por ISP de Pueblos originarios no pueden ser mayor que el Total de exámenes Procesados por ISP.</v>
      </c>
      <c r="CR169" s="1865" t="str">
        <f t="shared" si="409"/>
        <v xml:space="preserve"> * Los exámenes Confirmados positivos por ISP de Migrantes no pueden ser mayor que el Total de exámenes Procesados por ISP.</v>
      </c>
      <c r="CS169" s="1936"/>
      <c r="CT169" s="1936"/>
      <c r="CU169" s="2946" t="e">
        <f t="shared" si="410"/>
        <v>#VALUE!</v>
      </c>
      <c r="CV169" s="2946" t="e">
        <f t="shared" si="411"/>
        <v>#VALUE!</v>
      </c>
      <c r="DG169" s="3946">
        <f t="shared" si="389"/>
        <v>1</v>
      </c>
      <c r="DH169" s="3922">
        <f t="shared" si="414"/>
        <v>1</v>
      </c>
      <c r="DI169" s="3922">
        <f t="shared" si="390"/>
        <v>1</v>
      </c>
      <c r="DJ169" s="1936"/>
      <c r="DK169" s="1936"/>
      <c r="DL169" s="1936"/>
      <c r="DM169" s="1936"/>
      <c r="DN169" s="1936"/>
      <c r="DO169" s="3922" t="e">
        <f t="shared" si="391"/>
        <v>#VALUE!</v>
      </c>
      <c r="DP169" s="1937"/>
      <c r="DQ169" s="3922" t="e">
        <f t="shared" si="392"/>
        <v>#VALUE!</v>
      </c>
      <c r="DR169" s="3922" t="e">
        <f t="shared" si="393"/>
        <v>#VALUE!</v>
      </c>
      <c r="DS169" s="3922">
        <f t="shared" si="394"/>
        <v>1</v>
      </c>
      <c r="DT169" s="3922">
        <f t="shared" si="395"/>
        <v>1</v>
      </c>
      <c r="DU169" s="3922" t="e">
        <f t="shared" si="396"/>
        <v>#VALUE!</v>
      </c>
      <c r="DV169" s="3922">
        <f t="shared" si="397"/>
        <v>1</v>
      </c>
      <c r="DW169" s="3922">
        <f t="shared" si="398"/>
        <v>1</v>
      </c>
      <c r="DX169" s="1936"/>
      <c r="DY169" s="1936"/>
      <c r="DZ169" s="2948" t="e">
        <f t="shared" si="412"/>
        <v>#VALUE!</v>
      </c>
      <c r="EA169" s="2948" t="e">
        <f t="shared" si="413"/>
        <v>#VALUE!</v>
      </c>
    </row>
    <row r="170" spans="1:131" x14ac:dyDescent="0.25">
      <c r="A170" s="5601">
        <v>11055180</v>
      </c>
      <c r="B170" s="6927" t="s">
        <v>1899</v>
      </c>
      <c r="C170" s="3721" t="s">
        <v>1900</v>
      </c>
      <c r="D170" s="302" t="s">
        <v>4567</v>
      </c>
      <c r="E170" s="3037" t="s">
        <v>4568</v>
      </c>
      <c r="F170" s="3940" t="s">
        <v>4569</v>
      </c>
      <c r="G170" s="3127" t="s">
        <v>4570</v>
      </c>
      <c r="H170" s="3940" t="s">
        <v>4571</v>
      </c>
      <c r="I170" s="3127" t="s">
        <v>4572</v>
      </c>
      <c r="J170" s="3940" t="s">
        <v>4573</v>
      </c>
      <c r="K170" s="3127" t="s">
        <v>4574</v>
      </c>
      <c r="L170" s="3940" t="s">
        <v>4575</v>
      </c>
      <c r="M170" s="3127" t="s">
        <v>4576</v>
      </c>
      <c r="N170" s="3940" t="s">
        <v>4577</v>
      </c>
      <c r="O170" s="3127" t="s">
        <v>4578</v>
      </c>
      <c r="P170" s="3278" t="s">
        <v>4579</v>
      </c>
      <c r="Q170" s="935" t="s">
        <v>4580</v>
      </c>
      <c r="R170" s="3278" t="s">
        <v>4581</v>
      </c>
      <c r="S170" s="935" t="s">
        <v>4582</v>
      </c>
      <c r="T170" s="3278" t="s">
        <v>4583</v>
      </c>
      <c r="U170" s="935" t="s">
        <v>4584</v>
      </c>
      <c r="V170" s="3278" t="s">
        <v>4585</v>
      </c>
      <c r="W170" s="935" t="s">
        <v>4586</v>
      </c>
      <c r="X170" s="3278" t="s">
        <v>4587</v>
      </c>
      <c r="Y170" s="935" t="s">
        <v>4588</v>
      </c>
      <c r="Z170" s="3278" t="s">
        <v>4589</v>
      </c>
      <c r="AA170" s="935" t="s">
        <v>4590</v>
      </c>
      <c r="AB170" s="3278" t="s">
        <v>4591</v>
      </c>
      <c r="AC170" s="935" t="s">
        <v>4592</v>
      </c>
      <c r="AD170" s="3278" t="s">
        <v>4593</v>
      </c>
      <c r="AE170" s="935" t="s">
        <v>4594</v>
      </c>
      <c r="AF170" s="3278" t="s">
        <v>4595</v>
      </c>
      <c r="AG170" s="935" t="s">
        <v>4596</v>
      </c>
      <c r="AH170" s="3278" t="s">
        <v>4597</v>
      </c>
      <c r="AI170" s="935" t="s">
        <v>4598</v>
      </c>
      <c r="AJ170" s="3950" t="s">
        <v>4599</v>
      </c>
      <c r="AK170" s="3951" t="s">
        <v>4600</v>
      </c>
      <c r="AL170" s="3044" t="s">
        <v>4601</v>
      </c>
      <c r="AM170" s="3930" t="s">
        <v>4602</v>
      </c>
      <c r="AN170" s="3278" t="s">
        <v>4603</v>
      </c>
      <c r="AO170" s="3952" t="s">
        <v>4604</v>
      </c>
      <c r="AP170" s="3044" t="s">
        <v>4605</v>
      </c>
      <c r="AQ170" s="3930" t="s">
        <v>4606</v>
      </c>
      <c r="AR170" s="3953" t="s">
        <v>4934</v>
      </c>
      <c r="AS170" s="3952" t="s">
        <v>4935</v>
      </c>
      <c r="AT170" s="336" t="s">
        <v>4936</v>
      </c>
      <c r="AU170" s="1884" t="s">
        <v>4937</v>
      </c>
      <c r="AV170" s="3953" t="s">
        <v>5234</v>
      </c>
      <c r="AW170" s="3952" t="s">
        <v>5235</v>
      </c>
      <c r="AX170" s="3954" t="s">
        <v>5236</v>
      </c>
      <c r="AY170" s="3955" t="s">
        <v>5237</v>
      </c>
      <c r="AZ170" s="1864" t="e">
        <f>$CB170&amp;CC170&amp;$CD170&amp;CE170&amp;CF170&amp;CG170&amp;CH170&amp;CI170&amp;CJ170&amp;CK170&amp;CL170&amp;CM170&amp;CN170&amp;CO170&amp;CP170&amp;CQ170&amp;CR170&amp;CS170&amp;CT170</f>
        <v>#VALUE!</v>
      </c>
      <c r="CB170" s="3944" t="str">
        <f t="shared" si="400"/>
        <v xml:space="preserve"> * El Total de Exámenes Confirmados Positivos por ISP NO DEBE SUPERAR los  Exámenes Procesados. </v>
      </c>
      <c r="CC170" s="1865" t="str">
        <f t="shared" si="416"/>
        <v xml:space="preserve"> * El número de Exámenes por Sexo Hombres Confirmados positivos por ISP NO PUEDE Superar al número de Procesados. </v>
      </c>
      <c r="CD170" s="1865" t="str">
        <f t="shared" si="401"/>
        <v xml:space="preserve"> * El número de Exámenes por Sexo Mujeres Confirmados positivos por ISP NO PUEDE Superar al número de Procesados. </v>
      </c>
      <c r="CE170" s="1936"/>
      <c r="CF170" s="1936"/>
      <c r="CG170" s="1936"/>
      <c r="CH170" s="1936"/>
      <c r="CI170" s="1936"/>
      <c r="CJ170" s="1865" t="e">
        <f t="shared" si="402"/>
        <v>#VALUE!</v>
      </c>
      <c r="CK170" s="1937"/>
      <c r="CL170" s="1865" t="e">
        <f t="shared" ref="CL170:CL183" si="417">IF((AN170+AL170)&lt;&gt;D170," * El N° de exámenes Procesados por SEXO (Hombres + Mujeres)no puede ser distinto al Total de exámenes procesados","")</f>
        <v>#VALUE!</v>
      </c>
      <c r="CM170" s="1865" t="e">
        <f t="shared" ref="CM170:CM183" si="418">IF((AO170+AM170)&lt;&gt;E170," * El N° de exámenes Confirmados positivos por ISP por Sexo (Hombres+Mujeres) no puede ser distinto al N° Total de exámenes Confirmados positivos por ISP ","")</f>
        <v>#VALUE!</v>
      </c>
      <c r="CN170" s="1865" t="str">
        <f t="shared" ref="CN170:CN183" si="419">IF(AND(D170&gt;0,AT170="")," * No olvide digitar los examanes de Pueblos Originarios Procesados. Digite Cero si no tiene.",IF(AT170&gt;D170,"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70" s="1865" t="str">
        <f t="shared" ref="CO170:CO183" si="420">IF(AND(D170&gt;0,AV170="")," * No olvide digitar los exámenes Procesados de Migrantes. Digite Cero si no tiene.",IF(AV170&gt;D170," * Los exámenes procesados de Migrantes no pueden ser mayor que el Total de exámenes procesados.",""))</f>
        <v xml:space="preserve"> * Los exámenes procesados de Migrantes no pueden ser mayor que el Total de exámenes procesados.</v>
      </c>
      <c r="CP170" s="1865" t="e">
        <f t="shared" ref="CP170:CP183" si="421">IF(AND(E170&gt;0,AND(AQ170="",AS170=""))," * No olvide digitar los exámenes Confirmados positivos por ISP de Trans (Masculino y Femenino). Digite Cero si no tiene.",IF((AQ170+AS170)&gt;E170," * Los exámenes confirmados positivos por ISP de Trans (Masculino y Femenino) no pueden ser mayor que el Total de exámenes Confirmados positivos por ISP.",""))</f>
        <v>#VALUE!</v>
      </c>
      <c r="CQ170" s="1865" t="str">
        <f t="shared" ref="CQ170:CQ183" si="422">IF(AND(E170&gt;0,AU170="")," * No olvide digitar los exámenes Confirmados positivos por ISP de Pueblos Originarios. Digite Cero si no tiene.",IF(AU170&gt;E170,"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70" s="1865" t="str">
        <f t="shared" ref="CR170:CR183" si="423">IF(AND(E170&gt;0,AW170="")," * No olvide digitar los exámenes Confirmados positivos por ISP de Migrantes. Digite Cero si no tiene.",IF(AW170&gt;E170,"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70" s="1936"/>
      <c r="CT170" s="1936"/>
      <c r="CU170" s="1869"/>
      <c r="CV170" s="1869"/>
      <c r="DG170" s="3946">
        <f t="shared" si="389"/>
        <v>1</v>
      </c>
      <c r="DH170" s="3922">
        <f t="shared" si="414"/>
        <v>1</v>
      </c>
      <c r="DI170" s="3922">
        <f t="shared" si="390"/>
        <v>1</v>
      </c>
      <c r="DJ170" s="1936"/>
      <c r="DK170" s="1936"/>
      <c r="DL170" s="1936"/>
      <c r="DM170" s="1936"/>
      <c r="DN170" s="1936"/>
      <c r="DO170" s="3922" t="e">
        <f t="shared" si="391"/>
        <v>#VALUE!</v>
      </c>
      <c r="DP170" s="1937"/>
      <c r="DQ170" s="3922" t="e">
        <f t="shared" si="392"/>
        <v>#VALUE!</v>
      </c>
      <c r="DR170" s="3922" t="e">
        <f t="shared" si="393"/>
        <v>#VALUE!</v>
      </c>
      <c r="DS170" s="3922">
        <f t="shared" si="394"/>
        <v>1</v>
      </c>
      <c r="DT170" s="3922">
        <f t="shared" si="395"/>
        <v>1</v>
      </c>
      <c r="DU170" s="3922" t="e">
        <f t="shared" si="396"/>
        <v>#VALUE!</v>
      </c>
      <c r="DV170" s="3922">
        <f t="shared" si="397"/>
        <v>1</v>
      </c>
      <c r="DW170" s="3922">
        <f t="shared" si="398"/>
        <v>1</v>
      </c>
      <c r="DX170" s="1936"/>
      <c r="DY170" s="1936"/>
      <c r="DZ170" s="1869"/>
      <c r="EA170" s="1869"/>
    </row>
    <row r="171" spans="1:131" x14ac:dyDescent="0.25">
      <c r="A171" s="5601">
        <v>11055190</v>
      </c>
      <c r="B171" s="7126"/>
      <c r="C171" s="3935" t="s">
        <v>1901</v>
      </c>
      <c r="D171" s="3908" t="s">
        <v>4567</v>
      </c>
      <c r="E171" s="3041" t="s">
        <v>4568</v>
      </c>
      <c r="F171" s="3909" t="s">
        <v>4569</v>
      </c>
      <c r="G171" s="3910" t="s">
        <v>4570</v>
      </c>
      <c r="H171" s="3909" t="s">
        <v>4571</v>
      </c>
      <c r="I171" s="3910" t="s">
        <v>4572</v>
      </c>
      <c r="J171" s="3909" t="s">
        <v>4573</v>
      </c>
      <c r="K171" s="3910" t="s">
        <v>4574</v>
      </c>
      <c r="L171" s="3909" t="s">
        <v>4575</v>
      </c>
      <c r="M171" s="3910" t="s">
        <v>4576</v>
      </c>
      <c r="N171" s="3909" t="s">
        <v>4577</v>
      </c>
      <c r="O171" s="3910" t="s">
        <v>4578</v>
      </c>
      <c r="P171" s="3913" t="s">
        <v>4579</v>
      </c>
      <c r="Q171" s="3912" t="s">
        <v>4580</v>
      </c>
      <c r="R171" s="3913" t="s">
        <v>4581</v>
      </c>
      <c r="S171" s="3912" t="s">
        <v>4582</v>
      </c>
      <c r="T171" s="3913" t="s">
        <v>4583</v>
      </c>
      <c r="U171" s="3912" t="s">
        <v>4584</v>
      </c>
      <c r="V171" s="3913" t="s">
        <v>4585</v>
      </c>
      <c r="W171" s="3912" t="s">
        <v>4586</v>
      </c>
      <c r="X171" s="3913" t="s">
        <v>4587</v>
      </c>
      <c r="Y171" s="3912" t="s">
        <v>4588</v>
      </c>
      <c r="Z171" s="3913" t="s">
        <v>4589</v>
      </c>
      <c r="AA171" s="3912" t="s">
        <v>4590</v>
      </c>
      <c r="AB171" s="3913" t="s">
        <v>4591</v>
      </c>
      <c r="AC171" s="3912" t="s">
        <v>4592</v>
      </c>
      <c r="AD171" s="3913" t="s">
        <v>4593</v>
      </c>
      <c r="AE171" s="3912" t="s">
        <v>4594</v>
      </c>
      <c r="AF171" s="3913" t="s">
        <v>4595</v>
      </c>
      <c r="AG171" s="3912" t="s">
        <v>4596</v>
      </c>
      <c r="AH171" s="3913" t="s">
        <v>4597</v>
      </c>
      <c r="AI171" s="3912" t="s">
        <v>4598</v>
      </c>
      <c r="AJ171" s="3909" t="s">
        <v>4599</v>
      </c>
      <c r="AK171" s="3911" t="s">
        <v>4600</v>
      </c>
      <c r="AL171" s="3903" t="s">
        <v>4601</v>
      </c>
      <c r="AM171" s="329" t="s">
        <v>4602</v>
      </c>
      <c r="AN171" s="3913" t="s">
        <v>4603</v>
      </c>
      <c r="AO171" s="3943" t="s">
        <v>4604</v>
      </c>
      <c r="AP171" s="3903" t="s">
        <v>4605</v>
      </c>
      <c r="AQ171" s="329" t="s">
        <v>4606</v>
      </c>
      <c r="AR171" s="3904" t="s">
        <v>4934</v>
      </c>
      <c r="AS171" s="3943" t="s">
        <v>4935</v>
      </c>
      <c r="AT171" s="3903" t="s">
        <v>4936</v>
      </c>
      <c r="AU171" s="3943" t="s">
        <v>4937</v>
      </c>
      <c r="AV171" s="3904" t="s">
        <v>5234</v>
      </c>
      <c r="AW171" s="3943" t="s">
        <v>5235</v>
      </c>
      <c r="AX171" s="3956" t="s">
        <v>5236</v>
      </c>
      <c r="AY171" s="2318" t="s">
        <v>5237</v>
      </c>
      <c r="AZ171" s="1864" t="e">
        <f t="shared" ref="AZ171" si="424">$CB171&amp;CC171&amp;$CD171&amp;CE171&amp;CF171&amp;CG171&amp;CH171&amp;CI171&amp;CJ171&amp;CK171&amp;CL171&amp;CM171&amp;CN171&amp;CO171&amp;CP171&amp;CQ171&amp;CR171&amp;CS171&amp;CT171</f>
        <v>#VALUE!</v>
      </c>
      <c r="CB171" s="3944" t="str">
        <f t="shared" si="400"/>
        <v xml:space="preserve"> * El Total de Exámenes Confirmados Positivos por ISP NO DEBE SUPERAR los  Exámenes Procesados. </v>
      </c>
      <c r="CC171" s="1865" t="str">
        <f t="shared" si="416"/>
        <v xml:space="preserve"> * El número de Exámenes por Sexo Hombres Confirmados positivos por ISP NO PUEDE Superar al número de Procesados. </v>
      </c>
      <c r="CD171" s="1865" t="str">
        <f t="shared" si="401"/>
        <v xml:space="preserve"> * El número de Exámenes por Sexo Mujeres Confirmados positivos por ISP NO PUEDE Superar al número de Procesados. </v>
      </c>
      <c r="CE171" s="1936"/>
      <c r="CF171" s="1936"/>
      <c r="CG171" s="1936"/>
      <c r="CH171" s="1936"/>
      <c r="CI171" s="1936"/>
      <c r="CJ171" s="1865" t="e">
        <f t="shared" si="402"/>
        <v>#VALUE!</v>
      </c>
      <c r="CK171" s="1937"/>
      <c r="CL171" s="1865" t="e">
        <f t="shared" si="417"/>
        <v>#VALUE!</v>
      </c>
      <c r="CM171" s="1865" t="e">
        <f t="shared" si="418"/>
        <v>#VALUE!</v>
      </c>
      <c r="CN171" s="1865" t="str">
        <f t="shared" si="419"/>
        <v xml:space="preserve"> * Los exámenes de Pueblos originarios Procesados no pueden ser mayor que el Total de exámenes procesados.</v>
      </c>
      <c r="CO171" s="1865" t="str">
        <f t="shared" si="420"/>
        <v xml:space="preserve"> * Los exámenes procesados de Migrantes no pueden ser mayor que el Total de exámenes procesados.</v>
      </c>
      <c r="CP171" s="1865" t="e">
        <f t="shared" si="421"/>
        <v>#VALUE!</v>
      </c>
      <c r="CQ171" s="1865" t="str">
        <f t="shared" si="422"/>
        <v xml:space="preserve"> * Los exámenes Confirmados positivos por ISP de Pueblos originarios no pueden ser mayor que el Total de exámenes Procesados por ISP.</v>
      </c>
      <c r="CR171" s="1865" t="str">
        <f t="shared" si="423"/>
        <v xml:space="preserve"> * Los exámenes Confirmados positivos por ISP de Migrantes no pueden ser mayor que el Total de exámenes Procesados por ISP.</v>
      </c>
      <c r="CS171" s="1936"/>
      <c r="CT171" s="1936"/>
      <c r="CU171" s="1869"/>
      <c r="CV171" s="1869"/>
      <c r="DG171" s="3946">
        <f t="shared" si="389"/>
        <v>1</v>
      </c>
      <c r="DH171" s="3922">
        <f t="shared" si="414"/>
        <v>1</v>
      </c>
      <c r="DI171" s="3922">
        <f t="shared" si="390"/>
        <v>1</v>
      </c>
      <c r="DJ171" s="1936"/>
      <c r="DK171" s="1936"/>
      <c r="DL171" s="1936"/>
      <c r="DM171" s="1936"/>
      <c r="DN171" s="1936"/>
      <c r="DO171" s="3922" t="e">
        <f t="shared" si="391"/>
        <v>#VALUE!</v>
      </c>
      <c r="DP171" s="1937"/>
      <c r="DQ171" s="3922" t="e">
        <f t="shared" si="392"/>
        <v>#VALUE!</v>
      </c>
      <c r="DR171" s="3922" t="e">
        <f t="shared" si="393"/>
        <v>#VALUE!</v>
      </c>
      <c r="DS171" s="3922">
        <f t="shared" si="394"/>
        <v>1</v>
      </c>
      <c r="DT171" s="3922">
        <f t="shared" si="395"/>
        <v>1</v>
      </c>
      <c r="DU171" s="3922" t="e">
        <f t="shared" si="396"/>
        <v>#VALUE!</v>
      </c>
      <c r="DV171" s="3922">
        <f t="shared" si="397"/>
        <v>1</v>
      </c>
      <c r="DW171" s="3922">
        <f t="shared" si="398"/>
        <v>1</v>
      </c>
      <c r="DX171" s="1936"/>
      <c r="DY171" s="1936"/>
      <c r="DZ171" s="1869"/>
      <c r="EA171" s="1869"/>
    </row>
    <row r="172" spans="1:131" x14ac:dyDescent="0.25">
      <c r="A172" s="5601">
        <v>11053200</v>
      </c>
      <c r="B172" s="6312"/>
      <c r="C172" s="416" t="s">
        <v>1902</v>
      </c>
      <c r="D172" s="623" t="s">
        <v>4567</v>
      </c>
      <c r="E172" s="3039" t="s">
        <v>4568</v>
      </c>
      <c r="F172" s="1871" t="s">
        <v>4569</v>
      </c>
      <c r="G172" s="1875" t="s">
        <v>4570</v>
      </c>
      <c r="H172" s="1871" t="s">
        <v>4571</v>
      </c>
      <c r="I172" s="1875" t="s">
        <v>4572</v>
      </c>
      <c r="J172" s="1871" t="s">
        <v>4573</v>
      </c>
      <c r="K172" s="1875" t="s">
        <v>4574</v>
      </c>
      <c r="L172" s="1871" t="s">
        <v>4575</v>
      </c>
      <c r="M172" s="1875" t="s">
        <v>4576</v>
      </c>
      <c r="N172" s="1871" t="s">
        <v>4577</v>
      </c>
      <c r="O172" s="1875" t="s">
        <v>4578</v>
      </c>
      <c r="P172" s="853" t="s">
        <v>4579</v>
      </c>
      <c r="Q172" s="1873" t="s">
        <v>4580</v>
      </c>
      <c r="R172" s="853" t="s">
        <v>4581</v>
      </c>
      <c r="S172" s="1873" t="s">
        <v>4582</v>
      </c>
      <c r="T172" s="853" t="s">
        <v>4583</v>
      </c>
      <c r="U172" s="1873" t="s">
        <v>4584</v>
      </c>
      <c r="V172" s="853" t="s">
        <v>4585</v>
      </c>
      <c r="W172" s="1873" t="s">
        <v>4586</v>
      </c>
      <c r="X172" s="853" t="s">
        <v>4587</v>
      </c>
      <c r="Y172" s="1873" t="s">
        <v>4588</v>
      </c>
      <c r="Z172" s="853" t="s">
        <v>4589</v>
      </c>
      <c r="AA172" s="1873" t="s">
        <v>4590</v>
      </c>
      <c r="AB172" s="853" t="s">
        <v>4591</v>
      </c>
      <c r="AC172" s="1873" t="s">
        <v>4592</v>
      </c>
      <c r="AD172" s="853" t="s">
        <v>4593</v>
      </c>
      <c r="AE172" s="1873" t="s">
        <v>4594</v>
      </c>
      <c r="AF172" s="853" t="s">
        <v>4595</v>
      </c>
      <c r="AG172" s="1873" t="s">
        <v>4596</v>
      </c>
      <c r="AH172" s="853" t="s">
        <v>4597</v>
      </c>
      <c r="AI172" s="1873" t="s">
        <v>4598</v>
      </c>
      <c r="AJ172" s="1871" t="s">
        <v>4599</v>
      </c>
      <c r="AK172" s="1876" t="s">
        <v>4600</v>
      </c>
      <c r="AL172" s="1879" t="s">
        <v>4601</v>
      </c>
      <c r="AM172" s="854" t="s">
        <v>4602</v>
      </c>
      <c r="AN172" s="853" t="s">
        <v>4603</v>
      </c>
      <c r="AO172" s="1878" t="s">
        <v>4604</v>
      </c>
      <c r="AP172" s="1879" t="s">
        <v>4605</v>
      </c>
      <c r="AQ172" s="854" t="s">
        <v>4606</v>
      </c>
      <c r="AR172" s="1877" t="s">
        <v>4934</v>
      </c>
      <c r="AS172" s="1878" t="s">
        <v>4935</v>
      </c>
      <c r="AT172" s="1879" t="s">
        <v>4936</v>
      </c>
      <c r="AU172" s="1878" t="s">
        <v>4937</v>
      </c>
      <c r="AV172" s="1877" t="s">
        <v>5234</v>
      </c>
      <c r="AW172" s="1878" t="s">
        <v>5235</v>
      </c>
      <c r="AX172" s="3957" t="s">
        <v>5236</v>
      </c>
      <c r="AY172" s="1909" t="s">
        <v>5237</v>
      </c>
      <c r="AZ172" s="1864" t="e">
        <f>$CB172&amp;CC172&amp;$CD172&amp;CE172&amp;CF172&amp;CG172&amp;CH172&amp;CI172&amp;CJ172&amp;CK172&amp;CL172&amp;CM172&amp;CN172&amp;CO172&amp;CP172&amp;CQ172&amp;CR172&amp;CS172&amp;CT172</f>
        <v>#VALUE!</v>
      </c>
      <c r="CB172" s="3944" t="str">
        <f t="shared" si="400"/>
        <v xml:space="preserve"> * El Total de Exámenes Confirmados Positivos por ISP NO DEBE SUPERAR los  Exámenes Procesados. </v>
      </c>
      <c r="CC172" s="1865" t="str">
        <f t="shared" si="416"/>
        <v xml:space="preserve"> * El número de Exámenes por Sexo Hombres Confirmados positivos por ISP NO PUEDE Superar al número de Procesados. </v>
      </c>
      <c r="CD172" s="1865" t="str">
        <f t="shared" si="401"/>
        <v xml:space="preserve"> * El número de Exámenes por Sexo Mujeres Confirmados positivos por ISP NO PUEDE Superar al número de Procesados. </v>
      </c>
      <c r="CE172" s="1936"/>
      <c r="CF172" s="1936"/>
      <c r="CG172" s="1936"/>
      <c r="CH172" s="1936"/>
      <c r="CI172" s="1936"/>
      <c r="CJ172" s="1865" t="e">
        <f t="shared" si="402"/>
        <v>#VALUE!</v>
      </c>
      <c r="CK172" s="1937"/>
      <c r="CL172" s="1865" t="e">
        <f t="shared" si="417"/>
        <v>#VALUE!</v>
      </c>
      <c r="CM172" s="1865" t="e">
        <f t="shared" si="418"/>
        <v>#VALUE!</v>
      </c>
      <c r="CN172" s="1865" t="str">
        <f t="shared" si="419"/>
        <v xml:space="preserve"> * Los exámenes de Pueblos originarios Procesados no pueden ser mayor que el Total de exámenes procesados.</v>
      </c>
      <c r="CO172" s="1865" t="str">
        <f t="shared" si="420"/>
        <v xml:space="preserve"> * Los exámenes procesados de Migrantes no pueden ser mayor que el Total de exámenes procesados.</v>
      </c>
      <c r="CP172" s="1865" t="e">
        <f t="shared" si="421"/>
        <v>#VALUE!</v>
      </c>
      <c r="CQ172" s="1865" t="str">
        <f t="shared" si="422"/>
        <v xml:space="preserve"> * Los exámenes Confirmados positivos por ISP de Pueblos originarios no pueden ser mayor que el Total de exámenes Procesados por ISP.</v>
      </c>
      <c r="CR172" s="1865" t="str">
        <f t="shared" si="423"/>
        <v xml:space="preserve"> * Los exámenes Confirmados positivos por ISP de Migrantes no pueden ser mayor que el Total de exámenes Procesados por ISP.</v>
      </c>
      <c r="CS172" s="1936"/>
      <c r="CT172" s="1936"/>
      <c r="CU172" s="1869"/>
      <c r="CV172" s="1869"/>
      <c r="DG172" s="3946">
        <f t="shared" si="389"/>
        <v>1</v>
      </c>
      <c r="DH172" s="3922">
        <f t="shared" si="414"/>
        <v>1</v>
      </c>
      <c r="DI172" s="3922">
        <f t="shared" si="390"/>
        <v>1</v>
      </c>
      <c r="DJ172" s="1936"/>
      <c r="DK172" s="1936"/>
      <c r="DL172" s="1936"/>
      <c r="DM172" s="1936"/>
      <c r="DN172" s="1936"/>
      <c r="DO172" s="3922" t="e">
        <f t="shared" si="391"/>
        <v>#VALUE!</v>
      </c>
      <c r="DP172" s="1937"/>
      <c r="DQ172" s="3922" t="e">
        <f t="shared" si="392"/>
        <v>#VALUE!</v>
      </c>
      <c r="DR172" s="3922" t="e">
        <f t="shared" si="393"/>
        <v>#VALUE!</v>
      </c>
      <c r="DS172" s="3922">
        <f t="shared" si="394"/>
        <v>1</v>
      </c>
      <c r="DT172" s="3922">
        <f t="shared" si="395"/>
        <v>1</v>
      </c>
      <c r="DU172" s="3922" t="e">
        <f t="shared" si="396"/>
        <v>#VALUE!</v>
      </c>
      <c r="DV172" s="3922">
        <f t="shared" si="397"/>
        <v>1</v>
      </c>
      <c r="DW172" s="3922">
        <f t="shared" si="398"/>
        <v>1</v>
      </c>
      <c r="DX172" s="1936"/>
      <c r="DY172" s="1936"/>
      <c r="DZ172" s="1869"/>
      <c r="EA172" s="1869"/>
    </row>
    <row r="173" spans="1:131" x14ac:dyDescent="0.25">
      <c r="A173" s="5601">
        <v>11050700</v>
      </c>
      <c r="B173" s="7147" t="s">
        <v>1881</v>
      </c>
      <c r="C173" s="7148"/>
      <c r="D173" s="302" t="s">
        <v>4567</v>
      </c>
      <c r="E173" s="3041" t="s">
        <v>4568</v>
      </c>
      <c r="F173" s="326" t="s">
        <v>4569</v>
      </c>
      <c r="G173" s="1014" t="s">
        <v>4570</v>
      </c>
      <c r="H173" s="326" t="s">
        <v>4571</v>
      </c>
      <c r="I173" s="1014" t="s">
        <v>4572</v>
      </c>
      <c r="J173" s="326" t="s">
        <v>4573</v>
      </c>
      <c r="K173" s="1014" t="s">
        <v>4574</v>
      </c>
      <c r="L173" s="326" t="s">
        <v>4575</v>
      </c>
      <c r="M173" s="1014" t="s">
        <v>4576</v>
      </c>
      <c r="N173" s="20" t="s">
        <v>4577</v>
      </c>
      <c r="O173" s="232" t="s">
        <v>4578</v>
      </c>
      <c r="P173" s="20" t="s">
        <v>4579</v>
      </c>
      <c r="Q173" s="232" t="s">
        <v>4580</v>
      </c>
      <c r="R173" s="20" t="s">
        <v>4581</v>
      </c>
      <c r="S173" s="232" t="s">
        <v>4582</v>
      </c>
      <c r="T173" s="20" t="s">
        <v>4583</v>
      </c>
      <c r="U173" s="232" t="s">
        <v>4584</v>
      </c>
      <c r="V173" s="20" t="s">
        <v>4585</v>
      </c>
      <c r="W173" s="232" t="s">
        <v>4586</v>
      </c>
      <c r="X173" s="20" t="s">
        <v>4587</v>
      </c>
      <c r="Y173" s="232" t="s">
        <v>4588</v>
      </c>
      <c r="Z173" s="20" t="s">
        <v>4589</v>
      </c>
      <c r="AA173" s="232" t="s">
        <v>4590</v>
      </c>
      <c r="AB173" s="20" t="s">
        <v>4591</v>
      </c>
      <c r="AC173" s="232" t="s">
        <v>4592</v>
      </c>
      <c r="AD173" s="20" t="s">
        <v>4593</v>
      </c>
      <c r="AE173" s="2397" t="s">
        <v>4594</v>
      </c>
      <c r="AF173" s="20" t="s">
        <v>4595</v>
      </c>
      <c r="AG173" s="2397" t="s">
        <v>4596</v>
      </c>
      <c r="AH173" s="3927" t="s">
        <v>4597</v>
      </c>
      <c r="AI173" s="3929" t="s">
        <v>4598</v>
      </c>
      <c r="AJ173" s="20" t="s">
        <v>4599</v>
      </c>
      <c r="AK173" s="232" t="s">
        <v>4600</v>
      </c>
      <c r="AL173" s="336" t="s">
        <v>4601</v>
      </c>
      <c r="AM173" s="142" t="s">
        <v>4602</v>
      </c>
      <c r="AN173" s="326" t="s">
        <v>4603</v>
      </c>
      <c r="AO173" s="1884" t="s">
        <v>4604</v>
      </c>
      <c r="AP173" s="336" t="s">
        <v>4605</v>
      </c>
      <c r="AQ173" s="142" t="s">
        <v>4606</v>
      </c>
      <c r="AR173" s="44" t="s">
        <v>4934</v>
      </c>
      <c r="AS173" s="1884" t="s">
        <v>4935</v>
      </c>
      <c r="AT173" s="336" t="s">
        <v>4936</v>
      </c>
      <c r="AU173" s="1884" t="s">
        <v>4937</v>
      </c>
      <c r="AV173" s="336" t="s">
        <v>5234</v>
      </c>
      <c r="AW173" s="142" t="s">
        <v>5235</v>
      </c>
      <c r="AX173" s="336" t="s">
        <v>5236</v>
      </c>
      <c r="AY173" s="142" t="s">
        <v>5237</v>
      </c>
      <c r="AZ173" s="1864" t="e">
        <f t="shared" si="415"/>
        <v>#VALUE!</v>
      </c>
      <c r="CB173" s="3944" t="str">
        <f t="shared" si="400"/>
        <v xml:space="preserve"> * El Total de Exámenes Confirmados Positivos por ISP NO DEBE SUPERAR los  Exámenes Procesados. </v>
      </c>
      <c r="CC173" s="1865" t="str">
        <f t="shared" si="416"/>
        <v xml:space="preserve"> * El número de Exámenes por Sexo Hombres Confirmados positivos por ISP NO PUEDE Superar al número de Procesados. </v>
      </c>
      <c r="CD173" s="1865" t="str">
        <f t="shared" si="401"/>
        <v xml:space="preserve"> * El número de Exámenes por Sexo Mujeres Confirmados positivos por ISP NO PUEDE Superar al número de Procesados. </v>
      </c>
      <c r="CE173" s="1936"/>
      <c r="CF173" s="1936"/>
      <c r="CG173" s="1936"/>
      <c r="CH173" s="1936"/>
      <c r="CI173" s="1936"/>
      <c r="CJ173" s="1865" t="e">
        <f t="shared" si="402"/>
        <v>#VALUE!</v>
      </c>
      <c r="CK173" s="1937"/>
      <c r="CL173" s="1865" t="e">
        <f t="shared" si="417"/>
        <v>#VALUE!</v>
      </c>
      <c r="CM173" s="1865" t="e">
        <f t="shared" si="418"/>
        <v>#VALUE!</v>
      </c>
      <c r="CN173" s="1865" t="str">
        <f t="shared" si="419"/>
        <v xml:space="preserve"> * Los exámenes de Pueblos originarios Procesados no pueden ser mayor que el Total de exámenes procesados.</v>
      </c>
      <c r="CO173" s="1865" t="str">
        <f t="shared" si="420"/>
        <v xml:space="preserve"> * Los exámenes procesados de Migrantes no pueden ser mayor que el Total de exámenes procesados.</v>
      </c>
      <c r="CP173" s="1865" t="e">
        <f t="shared" si="421"/>
        <v>#VALUE!</v>
      </c>
      <c r="CQ173" s="1865" t="str">
        <f t="shared" si="422"/>
        <v xml:space="preserve"> * Los exámenes Confirmados positivos por ISP de Pueblos originarios no pueden ser mayor que el Total de exámenes Procesados por ISP.</v>
      </c>
      <c r="CR173" s="1865" t="str">
        <f t="shared" si="423"/>
        <v xml:space="preserve"> * Los exámenes Confirmados positivos por ISP de Migrantes no pueden ser mayor que el Total de exámenes Procesados por ISP.</v>
      </c>
      <c r="CS173" s="1936"/>
      <c r="CT173" s="1936"/>
      <c r="CU173" s="2946" t="e">
        <f t="shared" ref="CU173:CU183" si="425">IF(AND((N173+P173)&gt;0,AX173=""),"*No olvide digitar los Exámenes Procesados de 14-18 años. Digite cero si no tiene.",IF(AX173&gt;(N173+P173),"* El Total de Procesados de 14-18 años NO DEBE ser mayor al Total de Procesados registrados en los grupos de edad 10 a 14 + 15 a 19 años. ",""))</f>
        <v>#VALUE!</v>
      </c>
      <c r="CV173" s="2946" t="e">
        <f>IF(AND((O173+Q173)&gt;0,AY173=""),"*No olvide digitar los Exámenes Confirmados Positivos por ISP de 14-18 años. Digite cero si no tiene.",IF(AY173&gt;(O173+Q173),"* El Total de Confirmados de 14-18 años NO DEBE ser mayor al Total de Confirmados Positivos por ISP registrados en los grupos de edad 10 a 14 + 15 a 19 años. ",""))</f>
        <v>#VALUE!</v>
      </c>
      <c r="DG173" s="3946">
        <f t="shared" si="389"/>
        <v>1</v>
      </c>
      <c r="DH173" s="3922">
        <f t="shared" si="414"/>
        <v>1</v>
      </c>
      <c r="DI173" s="3922">
        <f t="shared" si="390"/>
        <v>1</v>
      </c>
      <c r="DJ173" s="1936"/>
      <c r="DK173" s="1936"/>
      <c r="DL173" s="1936"/>
      <c r="DM173" s="1936"/>
      <c r="DN173" s="1936"/>
      <c r="DO173" s="3922" t="e">
        <f t="shared" si="391"/>
        <v>#VALUE!</v>
      </c>
      <c r="DP173" s="1937"/>
      <c r="DQ173" s="3922" t="e">
        <f t="shared" si="392"/>
        <v>#VALUE!</v>
      </c>
      <c r="DR173" s="3922" t="e">
        <f t="shared" si="393"/>
        <v>#VALUE!</v>
      </c>
      <c r="DS173" s="3922">
        <f t="shared" si="394"/>
        <v>1</v>
      </c>
      <c r="DT173" s="3922">
        <f t="shared" si="395"/>
        <v>1</v>
      </c>
      <c r="DU173" s="3922" t="e">
        <f t="shared" si="396"/>
        <v>#VALUE!</v>
      </c>
      <c r="DV173" s="3922">
        <f t="shared" si="397"/>
        <v>1</v>
      </c>
      <c r="DW173" s="3922">
        <f t="shared" si="398"/>
        <v>1</v>
      </c>
      <c r="DX173" s="1936"/>
      <c r="DY173" s="1936"/>
      <c r="DZ173" s="2948" t="e">
        <f t="shared" ref="DZ173:DZ183" si="426">IF(AND((N173+P173)&gt;0,AX173=""),1,IF(AX173&gt;(N173+P173),1,0))</f>
        <v>#VALUE!</v>
      </c>
      <c r="EA173" s="2948" t="e">
        <f t="shared" ref="EA173:EA183" si="427">IF(AND((O173+Q173)&gt;0,AY173=""),1,IF(AY173&gt;(O173+Q173),1,0))</f>
        <v>#VALUE!</v>
      </c>
    </row>
    <row r="174" spans="1:131" x14ac:dyDescent="0.25">
      <c r="A174" s="5601">
        <v>11053300</v>
      </c>
      <c r="B174" s="7143" t="s">
        <v>1917</v>
      </c>
      <c r="C174" s="7144"/>
      <c r="D174" s="3908" t="s">
        <v>4567</v>
      </c>
      <c r="E174" s="3947" t="s">
        <v>4568</v>
      </c>
      <c r="F174" s="3913" t="s">
        <v>4569</v>
      </c>
      <c r="G174" s="3912" t="s">
        <v>4570</v>
      </c>
      <c r="H174" s="3913" t="s">
        <v>4571</v>
      </c>
      <c r="I174" s="3912" t="s">
        <v>4572</v>
      </c>
      <c r="J174" s="3913" t="s">
        <v>4573</v>
      </c>
      <c r="K174" s="3912" t="s">
        <v>4574</v>
      </c>
      <c r="L174" s="3913" t="s">
        <v>4575</v>
      </c>
      <c r="M174" s="3912" t="s">
        <v>4576</v>
      </c>
      <c r="N174" s="3913" t="s">
        <v>4577</v>
      </c>
      <c r="O174" s="3912" t="s">
        <v>4578</v>
      </c>
      <c r="P174" s="212" t="s">
        <v>4579</v>
      </c>
      <c r="Q174" s="993" t="s">
        <v>4580</v>
      </c>
      <c r="R174" s="212" t="s">
        <v>4581</v>
      </c>
      <c r="S174" s="993" t="s">
        <v>4582</v>
      </c>
      <c r="T174" s="212" t="s">
        <v>4583</v>
      </c>
      <c r="U174" s="993" t="s">
        <v>4584</v>
      </c>
      <c r="V174" s="212" t="s">
        <v>4585</v>
      </c>
      <c r="W174" s="993" t="s">
        <v>4586</v>
      </c>
      <c r="X174" s="212" t="s">
        <v>4587</v>
      </c>
      <c r="Y174" s="993" t="s">
        <v>4588</v>
      </c>
      <c r="Z174" s="212" t="s">
        <v>4589</v>
      </c>
      <c r="AA174" s="993" t="s">
        <v>4590</v>
      </c>
      <c r="AB174" s="212" t="s">
        <v>4591</v>
      </c>
      <c r="AC174" s="993" t="s">
        <v>4592</v>
      </c>
      <c r="AD174" s="212" t="s">
        <v>4593</v>
      </c>
      <c r="AE174" s="1138" t="s">
        <v>4594</v>
      </c>
      <c r="AF174" s="212" t="s">
        <v>4595</v>
      </c>
      <c r="AG174" s="1138" t="s">
        <v>4596</v>
      </c>
      <c r="AH174" s="212" t="s">
        <v>4597</v>
      </c>
      <c r="AI174" s="1136" t="s">
        <v>4598</v>
      </c>
      <c r="AJ174" s="212" t="s">
        <v>4599</v>
      </c>
      <c r="AK174" s="993" t="s">
        <v>4600</v>
      </c>
      <c r="AL174" s="992" t="s">
        <v>4601</v>
      </c>
      <c r="AM174" s="34" t="s">
        <v>4602</v>
      </c>
      <c r="AN174" s="212" t="s">
        <v>4603</v>
      </c>
      <c r="AO174" s="3443" t="s">
        <v>4604</v>
      </c>
      <c r="AP174" s="992" t="s">
        <v>4605</v>
      </c>
      <c r="AQ174" s="34" t="s">
        <v>4606</v>
      </c>
      <c r="AR174" s="1137" t="s">
        <v>4934</v>
      </c>
      <c r="AS174" s="3443" t="s">
        <v>4935</v>
      </c>
      <c r="AT174" s="992" t="s">
        <v>4936</v>
      </c>
      <c r="AU174" s="3443" t="s">
        <v>4937</v>
      </c>
      <c r="AV174" s="992" t="s">
        <v>5234</v>
      </c>
      <c r="AW174" s="34" t="s">
        <v>5235</v>
      </c>
      <c r="AX174" s="992" t="s">
        <v>5236</v>
      </c>
      <c r="AY174" s="34" t="s">
        <v>5237</v>
      </c>
      <c r="AZ174" s="1864" t="e">
        <f t="shared" si="415"/>
        <v>#VALUE!</v>
      </c>
      <c r="CB174" s="3944" t="str">
        <f t="shared" si="400"/>
        <v xml:space="preserve"> * El Total de Exámenes Confirmados Positivos por ISP NO DEBE SUPERAR los  Exámenes Procesados. </v>
      </c>
      <c r="CC174" s="1865" t="str">
        <f t="shared" si="416"/>
        <v xml:space="preserve"> * El número de Exámenes por Sexo Hombres Confirmados positivos por ISP NO PUEDE Superar al número de Procesados. </v>
      </c>
      <c r="CD174" s="1865" t="str">
        <f t="shared" si="401"/>
        <v xml:space="preserve"> * El número de Exámenes por Sexo Mujeres Confirmados positivos por ISP NO PUEDE Superar al número de Procesados. </v>
      </c>
      <c r="CE174" s="1936"/>
      <c r="CF174" s="1936"/>
      <c r="CG174" s="1936"/>
      <c r="CH174" s="1936"/>
      <c r="CI174" s="1936"/>
      <c r="CJ174" s="1865" t="e">
        <f t="shared" si="402"/>
        <v>#VALUE!</v>
      </c>
      <c r="CK174" s="1937"/>
      <c r="CL174" s="1865" t="e">
        <f t="shared" si="417"/>
        <v>#VALUE!</v>
      </c>
      <c r="CM174" s="1865" t="e">
        <f t="shared" si="418"/>
        <v>#VALUE!</v>
      </c>
      <c r="CN174" s="1865" t="str">
        <f t="shared" si="419"/>
        <v xml:space="preserve"> * Los exámenes de Pueblos originarios Procesados no pueden ser mayor que el Total de exámenes procesados.</v>
      </c>
      <c r="CO174" s="1865" t="str">
        <f t="shared" si="420"/>
        <v xml:space="preserve"> * Los exámenes procesados de Migrantes no pueden ser mayor que el Total de exámenes procesados.</v>
      </c>
      <c r="CP174" s="1865" t="e">
        <f t="shared" si="421"/>
        <v>#VALUE!</v>
      </c>
      <c r="CQ174" s="1865" t="str">
        <f t="shared" si="422"/>
        <v xml:space="preserve"> * Los exámenes Confirmados positivos por ISP de Pueblos originarios no pueden ser mayor que el Total de exámenes Procesados por ISP.</v>
      </c>
      <c r="CR174" s="1865" t="str">
        <f t="shared" si="423"/>
        <v xml:space="preserve"> * Los exámenes Confirmados positivos por ISP de Migrantes no pueden ser mayor que el Total de exámenes Procesados por ISP.</v>
      </c>
      <c r="CS174" s="1936"/>
      <c r="CT174" s="1936"/>
      <c r="CU174" s="2946" t="e">
        <f t="shared" si="425"/>
        <v>#VALUE!</v>
      </c>
      <c r="CV174" s="2946" t="e">
        <f t="shared" ref="CV174:CV183" si="428">IF(AND((O174+Q174)&gt;0,AY174=""),"*No olvide digitar los Exámenes Confirmados Positivos por ISP de 14-18 años. Digite cero si no tiene.",IF(AY174&gt;(O174+Q174),"* El Total de Confirmados de 14-18 años NO DEBE ser mayor al Total de Confirmados Positivos por ISP registrados en los grupos de edad 10 a 14 + 15 a 19 años. ",""))</f>
        <v>#VALUE!</v>
      </c>
      <c r="DG174" s="3946">
        <f t="shared" si="389"/>
        <v>1</v>
      </c>
      <c r="DH174" s="3922">
        <f t="shared" si="414"/>
        <v>1</v>
      </c>
      <c r="DI174" s="3922">
        <f t="shared" si="390"/>
        <v>1</v>
      </c>
      <c r="DJ174" s="1936"/>
      <c r="DK174" s="1936"/>
      <c r="DL174" s="1936"/>
      <c r="DM174" s="1936"/>
      <c r="DN174" s="1936"/>
      <c r="DO174" s="3922" t="e">
        <f t="shared" si="391"/>
        <v>#VALUE!</v>
      </c>
      <c r="DP174" s="1937"/>
      <c r="DQ174" s="3922" t="e">
        <f t="shared" si="392"/>
        <v>#VALUE!</v>
      </c>
      <c r="DR174" s="3922" t="e">
        <f t="shared" si="393"/>
        <v>#VALUE!</v>
      </c>
      <c r="DS174" s="3922">
        <f t="shared" si="394"/>
        <v>1</v>
      </c>
      <c r="DT174" s="3922">
        <f t="shared" si="395"/>
        <v>1</v>
      </c>
      <c r="DU174" s="3922" t="e">
        <f t="shared" si="396"/>
        <v>#VALUE!</v>
      </c>
      <c r="DV174" s="3922">
        <f t="shared" si="397"/>
        <v>1</v>
      </c>
      <c r="DW174" s="3922">
        <f t="shared" si="398"/>
        <v>1</v>
      </c>
      <c r="DX174" s="1936"/>
      <c r="DY174" s="1936"/>
      <c r="DZ174" s="2948" t="e">
        <f>IF(AND((N174+P174)&gt;0,AX174=""),1,IF(AX174&gt;(N174+P174),1,0))</f>
        <v>#VALUE!</v>
      </c>
      <c r="EA174" s="2948" t="e">
        <f t="shared" si="427"/>
        <v>#VALUE!</v>
      </c>
    </row>
    <row r="175" spans="1:131" x14ac:dyDescent="0.25">
      <c r="A175" s="5601">
        <v>11053400</v>
      </c>
      <c r="B175" s="7143" t="s">
        <v>1883</v>
      </c>
      <c r="C175" s="7144"/>
      <c r="D175" s="3908" t="s">
        <v>4567</v>
      </c>
      <c r="E175" s="3947" t="s">
        <v>4568</v>
      </c>
      <c r="F175" s="3913" t="s">
        <v>4569</v>
      </c>
      <c r="G175" s="3912" t="s">
        <v>4570</v>
      </c>
      <c r="H175" s="3913" t="s">
        <v>4571</v>
      </c>
      <c r="I175" s="3912" t="s">
        <v>4572</v>
      </c>
      <c r="J175" s="3913" t="s">
        <v>4573</v>
      </c>
      <c r="K175" s="3912" t="s">
        <v>4574</v>
      </c>
      <c r="L175" s="3913" t="s">
        <v>4575</v>
      </c>
      <c r="M175" s="3912" t="s">
        <v>4576</v>
      </c>
      <c r="N175" s="3913" t="s">
        <v>4577</v>
      </c>
      <c r="O175" s="3912" t="s">
        <v>4578</v>
      </c>
      <c r="P175" s="212" t="s">
        <v>4579</v>
      </c>
      <c r="Q175" s="993" t="s">
        <v>4580</v>
      </c>
      <c r="R175" s="212" t="s">
        <v>4581</v>
      </c>
      <c r="S175" s="993" t="s">
        <v>4582</v>
      </c>
      <c r="T175" s="212" t="s">
        <v>4583</v>
      </c>
      <c r="U175" s="993" t="s">
        <v>4584</v>
      </c>
      <c r="V175" s="212" t="s">
        <v>4585</v>
      </c>
      <c r="W175" s="993" t="s">
        <v>4586</v>
      </c>
      <c r="X175" s="212" t="s">
        <v>4587</v>
      </c>
      <c r="Y175" s="993" t="s">
        <v>4588</v>
      </c>
      <c r="Z175" s="212" t="s">
        <v>4589</v>
      </c>
      <c r="AA175" s="993" t="s">
        <v>4590</v>
      </c>
      <c r="AB175" s="212" t="s">
        <v>4591</v>
      </c>
      <c r="AC175" s="993" t="s">
        <v>4592</v>
      </c>
      <c r="AD175" s="212" t="s">
        <v>4593</v>
      </c>
      <c r="AE175" s="1138" t="s">
        <v>4594</v>
      </c>
      <c r="AF175" s="212" t="s">
        <v>4595</v>
      </c>
      <c r="AG175" s="1138" t="s">
        <v>4596</v>
      </c>
      <c r="AH175" s="212" t="s">
        <v>4597</v>
      </c>
      <c r="AI175" s="1136" t="s">
        <v>4598</v>
      </c>
      <c r="AJ175" s="212" t="s">
        <v>4599</v>
      </c>
      <c r="AK175" s="993" t="s">
        <v>4600</v>
      </c>
      <c r="AL175" s="992" t="s">
        <v>4601</v>
      </c>
      <c r="AM175" s="34" t="s">
        <v>4602</v>
      </c>
      <c r="AN175" s="212" t="s">
        <v>4603</v>
      </c>
      <c r="AO175" s="3443" t="s">
        <v>4604</v>
      </c>
      <c r="AP175" s="992" t="s">
        <v>4605</v>
      </c>
      <c r="AQ175" s="34" t="s">
        <v>4606</v>
      </c>
      <c r="AR175" s="1137" t="s">
        <v>4934</v>
      </c>
      <c r="AS175" s="3443" t="s">
        <v>4935</v>
      </c>
      <c r="AT175" s="992" t="s">
        <v>4936</v>
      </c>
      <c r="AU175" s="3443" t="s">
        <v>4937</v>
      </c>
      <c r="AV175" s="992" t="s">
        <v>5234</v>
      </c>
      <c r="AW175" s="34" t="s">
        <v>5235</v>
      </c>
      <c r="AX175" s="992" t="s">
        <v>5236</v>
      </c>
      <c r="AY175" s="34" t="s">
        <v>5237</v>
      </c>
      <c r="AZ175" s="1864" t="e">
        <f t="shared" si="415"/>
        <v>#VALUE!</v>
      </c>
      <c r="CB175" s="3944" t="str">
        <f t="shared" si="400"/>
        <v xml:space="preserve"> * El Total de Exámenes Confirmados Positivos por ISP NO DEBE SUPERAR los  Exámenes Procesados. </v>
      </c>
      <c r="CC175" s="1865" t="str">
        <f t="shared" si="416"/>
        <v xml:space="preserve"> * El número de Exámenes por Sexo Hombres Confirmados positivos por ISP NO PUEDE Superar al número de Procesados. </v>
      </c>
      <c r="CD175" s="1865" t="str">
        <f t="shared" si="401"/>
        <v xml:space="preserve"> * El número de Exámenes por Sexo Mujeres Confirmados positivos por ISP NO PUEDE Superar al número de Procesados. </v>
      </c>
      <c r="CE175" s="1936"/>
      <c r="CF175" s="1936"/>
      <c r="CG175" s="1936"/>
      <c r="CH175" s="1936"/>
      <c r="CI175" s="1936"/>
      <c r="CJ175" s="1865" t="e">
        <f t="shared" si="402"/>
        <v>#VALUE!</v>
      </c>
      <c r="CK175" s="1937"/>
      <c r="CL175" s="1865" t="e">
        <f t="shared" si="417"/>
        <v>#VALUE!</v>
      </c>
      <c r="CM175" s="1865" t="e">
        <f t="shared" si="418"/>
        <v>#VALUE!</v>
      </c>
      <c r="CN175" s="1865" t="str">
        <f t="shared" si="419"/>
        <v xml:space="preserve"> * Los exámenes de Pueblos originarios Procesados no pueden ser mayor que el Total de exámenes procesados.</v>
      </c>
      <c r="CO175" s="1865" t="str">
        <f t="shared" si="420"/>
        <v xml:space="preserve"> * Los exámenes procesados de Migrantes no pueden ser mayor que el Total de exámenes procesados.</v>
      </c>
      <c r="CP175" s="1865" t="e">
        <f t="shared" si="421"/>
        <v>#VALUE!</v>
      </c>
      <c r="CQ175" s="1865" t="str">
        <f t="shared" si="422"/>
        <v xml:space="preserve"> * Los exámenes Confirmados positivos por ISP de Pueblos originarios no pueden ser mayor que el Total de exámenes Procesados por ISP.</v>
      </c>
      <c r="CR175" s="1865" t="str">
        <f t="shared" si="423"/>
        <v xml:space="preserve"> * Los exámenes Confirmados positivos por ISP de Migrantes no pueden ser mayor que el Total de exámenes Procesados por ISP.</v>
      </c>
      <c r="CS175" s="1936"/>
      <c r="CT175" s="1936"/>
      <c r="CU175" s="2946" t="e">
        <f t="shared" si="425"/>
        <v>#VALUE!</v>
      </c>
      <c r="CV175" s="2946" t="e">
        <f t="shared" si="428"/>
        <v>#VALUE!</v>
      </c>
      <c r="DG175" s="3946">
        <f t="shared" si="389"/>
        <v>1</v>
      </c>
      <c r="DH175" s="3922">
        <f t="shared" si="414"/>
        <v>1</v>
      </c>
      <c r="DI175" s="3922">
        <f t="shared" si="390"/>
        <v>1</v>
      </c>
      <c r="DJ175" s="1936"/>
      <c r="DK175" s="1936"/>
      <c r="DL175" s="1936"/>
      <c r="DM175" s="1936"/>
      <c r="DN175" s="1936"/>
      <c r="DO175" s="3922" t="e">
        <f t="shared" si="391"/>
        <v>#VALUE!</v>
      </c>
      <c r="DP175" s="1937"/>
      <c r="DQ175" s="3922" t="e">
        <f t="shared" si="392"/>
        <v>#VALUE!</v>
      </c>
      <c r="DR175" s="3922" t="e">
        <f t="shared" si="393"/>
        <v>#VALUE!</v>
      </c>
      <c r="DS175" s="3922">
        <f t="shared" si="394"/>
        <v>1</v>
      </c>
      <c r="DT175" s="3922">
        <f t="shared" si="395"/>
        <v>1</v>
      </c>
      <c r="DU175" s="3922" t="e">
        <f t="shared" si="396"/>
        <v>#VALUE!</v>
      </c>
      <c r="DV175" s="3922">
        <f t="shared" si="397"/>
        <v>1</v>
      </c>
      <c r="DW175" s="3922">
        <f t="shared" si="398"/>
        <v>1</v>
      </c>
      <c r="DX175" s="1936"/>
      <c r="DY175" s="1936"/>
      <c r="DZ175" s="2948" t="e">
        <f t="shared" si="426"/>
        <v>#VALUE!</v>
      </c>
      <c r="EA175" s="2948" t="e">
        <f t="shared" si="427"/>
        <v>#VALUE!</v>
      </c>
    </row>
    <row r="176" spans="1:131" x14ac:dyDescent="0.25">
      <c r="A176" s="5601">
        <v>11053401</v>
      </c>
      <c r="B176" s="7143" t="s">
        <v>1918</v>
      </c>
      <c r="C176" s="7144"/>
      <c r="D176" s="3908" t="s">
        <v>4567</v>
      </c>
      <c r="E176" s="3958" t="s">
        <v>4568</v>
      </c>
      <c r="F176" s="3909" t="s">
        <v>4569</v>
      </c>
      <c r="G176" s="3910" t="s">
        <v>4570</v>
      </c>
      <c r="H176" s="3909" t="s">
        <v>4571</v>
      </c>
      <c r="I176" s="3910" t="s">
        <v>4572</v>
      </c>
      <c r="J176" s="3909" t="s">
        <v>4573</v>
      </c>
      <c r="K176" s="3910" t="s">
        <v>4574</v>
      </c>
      <c r="L176" s="3909" t="s">
        <v>4575</v>
      </c>
      <c r="M176" s="3910" t="s">
        <v>4576</v>
      </c>
      <c r="N176" s="3909" t="s">
        <v>4577</v>
      </c>
      <c r="O176" s="3910" t="s">
        <v>4578</v>
      </c>
      <c r="P176" s="212" t="s">
        <v>4579</v>
      </c>
      <c r="Q176" s="993" t="s">
        <v>4580</v>
      </c>
      <c r="R176" s="212" t="s">
        <v>4581</v>
      </c>
      <c r="S176" s="993" t="s">
        <v>4582</v>
      </c>
      <c r="T176" s="212" t="s">
        <v>4583</v>
      </c>
      <c r="U176" s="993" t="s">
        <v>4584</v>
      </c>
      <c r="V176" s="212" t="s">
        <v>4585</v>
      </c>
      <c r="W176" s="993" t="s">
        <v>4586</v>
      </c>
      <c r="X176" s="212" t="s">
        <v>4587</v>
      </c>
      <c r="Y176" s="993" t="s">
        <v>4588</v>
      </c>
      <c r="Z176" s="212" t="s">
        <v>4589</v>
      </c>
      <c r="AA176" s="993" t="s">
        <v>4590</v>
      </c>
      <c r="AB176" s="212" t="s">
        <v>4591</v>
      </c>
      <c r="AC176" s="993" t="s">
        <v>4592</v>
      </c>
      <c r="AD176" s="212" t="s">
        <v>4593</v>
      </c>
      <c r="AE176" s="1138" t="s">
        <v>4594</v>
      </c>
      <c r="AF176" s="212" t="s">
        <v>4595</v>
      </c>
      <c r="AG176" s="1138" t="s">
        <v>4596</v>
      </c>
      <c r="AH176" s="212" t="s">
        <v>4597</v>
      </c>
      <c r="AI176" s="1136" t="s">
        <v>4598</v>
      </c>
      <c r="AJ176" s="212" t="s">
        <v>4599</v>
      </c>
      <c r="AK176" s="993" t="s">
        <v>4600</v>
      </c>
      <c r="AL176" s="992" t="s">
        <v>4601</v>
      </c>
      <c r="AM176" s="34" t="s">
        <v>4602</v>
      </c>
      <c r="AN176" s="212" t="s">
        <v>4603</v>
      </c>
      <c r="AO176" s="3443" t="s">
        <v>4604</v>
      </c>
      <c r="AP176" s="992" t="s">
        <v>4605</v>
      </c>
      <c r="AQ176" s="34" t="s">
        <v>4606</v>
      </c>
      <c r="AR176" s="1137" t="s">
        <v>4934</v>
      </c>
      <c r="AS176" s="3443" t="s">
        <v>4935</v>
      </c>
      <c r="AT176" s="992" t="s">
        <v>4936</v>
      </c>
      <c r="AU176" s="3443" t="s">
        <v>4937</v>
      </c>
      <c r="AV176" s="992" t="s">
        <v>5234</v>
      </c>
      <c r="AW176" s="34" t="s">
        <v>5235</v>
      </c>
      <c r="AX176" s="992" t="s">
        <v>5236</v>
      </c>
      <c r="AY176" s="34" t="s">
        <v>5237</v>
      </c>
      <c r="AZ176" s="1864" t="e">
        <f t="shared" si="415"/>
        <v>#VALUE!</v>
      </c>
      <c r="CB176" s="3944" t="str">
        <f t="shared" si="400"/>
        <v xml:space="preserve"> * El Total de Exámenes Confirmados Positivos por ISP NO DEBE SUPERAR los  Exámenes Procesados. </v>
      </c>
      <c r="CC176" s="1865" t="str">
        <f t="shared" si="416"/>
        <v xml:space="preserve"> * El número de Exámenes por Sexo Hombres Confirmados positivos por ISP NO PUEDE Superar al número de Procesados. </v>
      </c>
      <c r="CD176" s="1865" t="str">
        <f t="shared" si="401"/>
        <v xml:space="preserve"> * El número de Exámenes por Sexo Mujeres Confirmados positivos por ISP NO PUEDE Superar al número de Procesados. </v>
      </c>
      <c r="CE176" s="1936"/>
      <c r="CF176" s="1936"/>
      <c r="CG176" s="1936"/>
      <c r="CH176" s="1936"/>
      <c r="CI176" s="1936"/>
      <c r="CJ176" s="1865" t="e">
        <f t="shared" si="402"/>
        <v>#VALUE!</v>
      </c>
      <c r="CK176" s="1937"/>
      <c r="CL176" s="1865" t="e">
        <f t="shared" si="417"/>
        <v>#VALUE!</v>
      </c>
      <c r="CM176" s="1865" t="e">
        <f t="shared" si="418"/>
        <v>#VALUE!</v>
      </c>
      <c r="CN176" s="1865" t="str">
        <f t="shared" si="419"/>
        <v xml:space="preserve"> * Los exámenes de Pueblos originarios Procesados no pueden ser mayor que el Total de exámenes procesados.</v>
      </c>
      <c r="CO176" s="1865" t="str">
        <f t="shared" si="420"/>
        <v xml:space="preserve"> * Los exámenes procesados de Migrantes no pueden ser mayor que el Total de exámenes procesados.</v>
      </c>
      <c r="CP176" s="1865" t="e">
        <f t="shared" si="421"/>
        <v>#VALUE!</v>
      </c>
      <c r="CQ176" s="1865" t="str">
        <f t="shared" si="422"/>
        <v xml:space="preserve"> * Los exámenes Confirmados positivos por ISP de Pueblos originarios no pueden ser mayor que el Total de exámenes Procesados por ISP.</v>
      </c>
      <c r="CR176" s="1865" t="str">
        <f t="shared" si="423"/>
        <v xml:space="preserve"> * Los exámenes Confirmados positivos por ISP de Migrantes no pueden ser mayor que el Total de exámenes Procesados por ISP.</v>
      </c>
      <c r="CS176" s="1936"/>
      <c r="CT176" s="1936"/>
      <c r="CU176" s="2946" t="e">
        <f t="shared" si="425"/>
        <v>#VALUE!</v>
      </c>
      <c r="CV176" s="2946" t="e">
        <f t="shared" si="428"/>
        <v>#VALUE!</v>
      </c>
      <c r="DG176" s="3946">
        <f t="shared" si="389"/>
        <v>1</v>
      </c>
      <c r="DH176" s="3922">
        <f t="shared" si="414"/>
        <v>1</v>
      </c>
      <c r="DI176" s="3922">
        <f t="shared" si="390"/>
        <v>1</v>
      </c>
      <c r="DJ176" s="1936"/>
      <c r="DK176" s="1936"/>
      <c r="DL176" s="1936"/>
      <c r="DM176" s="1936"/>
      <c r="DN176" s="1936"/>
      <c r="DO176" s="3922" t="e">
        <f t="shared" si="391"/>
        <v>#VALUE!</v>
      </c>
      <c r="DP176" s="1937"/>
      <c r="DQ176" s="3922" t="e">
        <f t="shared" si="392"/>
        <v>#VALUE!</v>
      </c>
      <c r="DR176" s="3922" t="e">
        <f t="shared" si="393"/>
        <v>#VALUE!</v>
      </c>
      <c r="DS176" s="3922">
        <f t="shared" si="394"/>
        <v>1</v>
      </c>
      <c r="DT176" s="3922">
        <f t="shared" si="395"/>
        <v>1</v>
      </c>
      <c r="DU176" s="3922" t="e">
        <f t="shared" si="396"/>
        <v>#VALUE!</v>
      </c>
      <c r="DV176" s="3922">
        <f t="shared" si="397"/>
        <v>1</v>
      </c>
      <c r="DW176" s="3922">
        <f t="shared" si="398"/>
        <v>1</v>
      </c>
      <c r="DX176" s="1936"/>
      <c r="DY176" s="1936"/>
      <c r="DZ176" s="2948" t="e">
        <f t="shared" si="426"/>
        <v>#VALUE!</v>
      </c>
      <c r="EA176" s="2948" t="e">
        <f t="shared" si="427"/>
        <v>#VALUE!</v>
      </c>
    </row>
    <row r="177" spans="1:131" x14ac:dyDescent="0.25">
      <c r="A177" s="5601">
        <v>11053402</v>
      </c>
      <c r="B177" s="7143" t="s">
        <v>1919</v>
      </c>
      <c r="C177" s="7144"/>
      <c r="D177" s="3908" t="s">
        <v>4567</v>
      </c>
      <c r="E177" s="3958" t="s">
        <v>4568</v>
      </c>
      <c r="F177" s="3909" t="s">
        <v>4569</v>
      </c>
      <c r="G177" s="3910" t="s">
        <v>4570</v>
      </c>
      <c r="H177" s="3909" t="s">
        <v>4571</v>
      </c>
      <c r="I177" s="3910" t="s">
        <v>4572</v>
      </c>
      <c r="J177" s="3909" t="s">
        <v>4573</v>
      </c>
      <c r="K177" s="3910" t="s">
        <v>4574</v>
      </c>
      <c r="L177" s="3909" t="s">
        <v>4575</v>
      </c>
      <c r="M177" s="3910" t="s">
        <v>4576</v>
      </c>
      <c r="N177" s="3909" t="s">
        <v>4577</v>
      </c>
      <c r="O177" s="3910" t="s">
        <v>4578</v>
      </c>
      <c r="P177" s="212" t="s">
        <v>4579</v>
      </c>
      <c r="Q177" s="993" t="s">
        <v>4580</v>
      </c>
      <c r="R177" s="212" t="s">
        <v>4581</v>
      </c>
      <c r="S177" s="993" t="s">
        <v>4582</v>
      </c>
      <c r="T177" s="212" t="s">
        <v>4583</v>
      </c>
      <c r="U177" s="993" t="s">
        <v>4584</v>
      </c>
      <c r="V177" s="212" t="s">
        <v>4585</v>
      </c>
      <c r="W177" s="993" t="s">
        <v>4586</v>
      </c>
      <c r="X177" s="212" t="s">
        <v>4587</v>
      </c>
      <c r="Y177" s="993" t="s">
        <v>4588</v>
      </c>
      <c r="Z177" s="212" t="s">
        <v>4589</v>
      </c>
      <c r="AA177" s="993" t="s">
        <v>4590</v>
      </c>
      <c r="AB177" s="212" t="s">
        <v>4591</v>
      </c>
      <c r="AC177" s="993" t="s">
        <v>4592</v>
      </c>
      <c r="AD177" s="212" t="s">
        <v>4593</v>
      </c>
      <c r="AE177" s="1138" t="s">
        <v>4594</v>
      </c>
      <c r="AF177" s="212" t="s">
        <v>4595</v>
      </c>
      <c r="AG177" s="1138" t="s">
        <v>4596</v>
      </c>
      <c r="AH177" s="3913" t="s">
        <v>4597</v>
      </c>
      <c r="AI177" s="34" t="s">
        <v>4598</v>
      </c>
      <c r="AJ177" s="3913" t="s">
        <v>4599</v>
      </c>
      <c r="AK177" s="1137" t="s">
        <v>4600</v>
      </c>
      <c r="AL177" s="992" t="s">
        <v>4601</v>
      </c>
      <c r="AM177" s="34" t="s">
        <v>4602</v>
      </c>
      <c r="AN177" s="212" t="s">
        <v>4603</v>
      </c>
      <c r="AO177" s="3443" t="s">
        <v>4604</v>
      </c>
      <c r="AP177" s="992" t="s">
        <v>4605</v>
      </c>
      <c r="AQ177" s="34" t="s">
        <v>4606</v>
      </c>
      <c r="AR177" s="1137" t="s">
        <v>4934</v>
      </c>
      <c r="AS177" s="3443" t="s">
        <v>4935</v>
      </c>
      <c r="AT177" s="992" t="s">
        <v>4936</v>
      </c>
      <c r="AU177" s="3443" t="s">
        <v>4937</v>
      </c>
      <c r="AV177" s="992" t="s">
        <v>5234</v>
      </c>
      <c r="AW177" s="34" t="s">
        <v>5235</v>
      </c>
      <c r="AX177" s="992" t="s">
        <v>5236</v>
      </c>
      <c r="AY177" s="34" t="s">
        <v>5237</v>
      </c>
      <c r="AZ177" s="1864" t="e">
        <f t="shared" si="415"/>
        <v>#VALUE!</v>
      </c>
      <c r="CB177" s="3944" t="str">
        <f t="shared" si="400"/>
        <v xml:space="preserve"> * El Total de Exámenes Confirmados Positivos por ISP NO DEBE SUPERAR los  Exámenes Procesados. </v>
      </c>
      <c r="CC177" s="1865" t="str">
        <f t="shared" si="416"/>
        <v xml:space="preserve"> * El número de Exámenes por Sexo Hombres Confirmados positivos por ISP NO PUEDE Superar al número de Procesados. </v>
      </c>
      <c r="CD177" s="1865" t="str">
        <f t="shared" si="401"/>
        <v xml:space="preserve"> * El número de Exámenes por Sexo Mujeres Confirmados positivos por ISP NO PUEDE Superar al número de Procesados. </v>
      </c>
      <c r="CE177" s="1936"/>
      <c r="CF177" s="1936"/>
      <c r="CG177" s="1936"/>
      <c r="CH177" s="1936"/>
      <c r="CI177" s="1936"/>
      <c r="CJ177" s="1865" t="e">
        <f t="shared" si="402"/>
        <v>#VALUE!</v>
      </c>
      <c r="CK177" s="1937"/>
      <c r="CL177" s="1865" t="e">
        <f t="shared" si="417"/>
        <v>#VALUE!</v>
      </c>
      <c r="CM177" s="1865" t="e">
        <f t="shared" si="418"/>
        <v>#VALUE!</v>
      </c>
      <c r="CN177" s="1865" t="str">
        <f t="shared" si="419"/>
        <v xml:space="preserve"> * Los exámenes de Pueblos originarios Procesados no pueden ser mayor que el Total de exámenes procesados.</v>
      </c>
      <c r="CO177" s="1865" t="str">
        <f t="shared" si="420"/>
        <v xml:space="preserve"> * Los exámenes procesados de Migrantes no pueden ser mayor que el Total de exámenes procesados.</v>
      </c>
      <c r="CP177" s="1865" t="e">
        <f t="shared" si="421"/>
        <v>#VALUE!</v>
      </c>
      <c r="CQ177" s="1865" t="str">
        <f t="shared" si="422"/>
        <v xml:space="preserve"> * Los exámenes Confirmados positivos por ISP de Pueblos originarios no pueden ser mayor que el Total de exámenes Procesados por ISP.</v>
      </c>
      <c r="CR177" s="1865" t="str">
        <f t="shared" si="423"/>
        <v xml:space="preserve"> * Los exámenes Confirmados positivos por ISP de Migrantes no pueden ser mayor que el Total de exámenes Procesados por ISP.</v>
      </c>
      <c r="CS177" s="1936"/>
      <c r="CT177" s="1936"/>
      <c r="CU177" s="2946" t="e">
        <f t="shared" si="425"/>
        <v>#VALUE!</v>
      </c>
      <c r="CV177" s="2946" t="e">
        <f t="shared" si="428"/>
        <v>#VALUE!</v>
      </c>
      <c r="DG177" s="3946">
        <f t="shared" si="389"/>
        <v>1</v>
      </c>
      <c r="DH177" s="3922">
        <f t="shared" si="414"/>
        <v>1</v>
      </c>
      <c r="DI177" s="3922">
        <f t="shared" si="390"/>
        <v>1</v>
      </c>
      <c r="DJ177" s="1936"/>
      <c r="DK177" s="1936"/>
      <c r="DL177" s="1936"/>
      <c r="DM177" s="1936"/>
      <c r="DN177" s="1936"/>
      <c r="DO177" s="3922" t="e">
        <f t="shared" si="391"/>
        <v>#VALUE!</v>
      </c>
      <c r="DP177" s="1937"/>
      <c r="DQ177" s="3922" t="e">
        <f t="shared" si="392"/>
        <v>#VALUE!</v>
      </c>
      <c r="DR177" s="3922" t="e">
        <f t="shared" si="393"/>
        <v>#VALUE!</v>
      </c>
      <c r="DS177" s="3922">
        <f t="shared" si="394"/>
        <v>1</v>
      </c>
      <c r="DT177" s="3922">
        <f t="shared" si="395"/>
        <v>1</v>
      </c>
      <c r="DU177" s="3922" t="e">
        <f t="shared" si="396"/>
        <v>#VALUE!</v>
      </c>
      <c r="DV177" s="3922">
        <f t="shared" si="397"/>
        <v>1</v>
      </c>
      <c r="DW177" s="3922">
        <f t="shared" si="398"/>
        <v>1</v>
      </c>
      <c r="DX177" s="1936"/>
      <c r="DY177" s="1936"/>
      <c r="DZ177" s="2948" t="e">
        <f t="shared" si="426"/>
        <v>#VALUE!</v>
      </c>
      <c r="EA177" s="2948" t="e">
        <f t="shared" si="427"/>
        <v>#VALUE!</v>
      </c>
    </row>
    <row r="178" spans="1:131" x14ac:dyDescent="0.25">
      <c r="A178" s="5601">
        <v>11053500</v>
      </c>
      <c r="B178" s="7143" t="s">
        <v>1920</v>
      </c>
      <c r="C178" s="7144"/>
      <c r="D178" s="3908" t="s">
        <v>4567</v>
      </c>
      <c r="E178" s="3958" t="s">
        <v>4568</v>
      </c>
      <c r="F178" s="3909" t="s">
        <v>4569</v>
      </c>
      <c r="G178" s="3910" t="s">
        <v>4570</v>
      </c>
      <c r="H178" s="3909" t="s">
        <v>4571</v>
      </c>
      <c r="I178" s="3910" t="s">
        <v>4572</v>
      </c>
      <c r="J178" s="3909" t="s">
        <v>4573</v>
      </c>
      <c r="K178" s="3910" t="s">
        <v>4574</v>
      </c>
      <c r="L178" s="3909" t="s">
        <v>4575</v>
      </c>
      <c r="M178" s="3910" t="s">
        <v>4576</v>
      </c>
      <c r="N178" s="3909" t="s">
        <v>4577</v>
      </c>
      <c r="O178" s="3910" t="s">
        <v>4578</v>
      </c>
      <c r="P178" s="212" t="s">
        <v>4579</v>
      </c>
      <c r="Q178" s="993" t="s">
        <v>4580</v>
      </c>
      <c r="R178" s="212" t="s">
        <v>4581</v>
      </c>
      <c r="S178" s="993" t="s">
        <v>4582</v>
      </c>
      <c r="T178" s="212" t="s">
        <v>4583</v>
      </c>
      <c r="U178" s="993" t="s">
        <v>4584</v>
      </c>
      <c r="V178" s="212" t="s">
        <v>4585</v>
      </c>
      <c r="W178" s="993" t="s">
        <v>4586</v>
      </c>
      <c r="X178" s="212" t="s">
        <v>4587</v>
      </c>
      <c r="Y178" s="993" t="s">
        <v>4588</v>
      </c>
      <c r="Z178" s="212" t="s">
        <v>4589</v>
      </c>
      <c r="AA178" s="993" t="s">
        <v>4590</v>
      </c>
      <c r="AB178" s="212" t="s">
        <v>4591</v>
      </c>
      <c r="AC178" s="993" t="s">
        <v>4592</v>
      </c>
      <c r="AD178" s="212" t="s">
        <v>4593</v>
      </c>
      <c r="AE178" s="1138" t="s">
        <v>4594</v>
      </c>
      <c r="AF178" s="212" t="s">
        <v>4595</v>
      </c>
      <c r="AG178" s="1138" t="s">
        <v>4596</v>
      </c>
      <c r="AH178" s="212" t="s">
        <v>4597</v>
      </c>
      <c r="AI178" s="1136" t="s">
        <v>4598</v>
      </c>
      <c r="AJ178" s="212" t="s">
        <v>4599</v>
      </c>
      <c r="AK178" s="993" t="s">
        <v>4600</v>
      </c>
      <c r="AL178" s="992" t="s">
        <v>4601</v>
      </c>
      <c r="AM178" s="34" t="s">
        <v>4602</v>
      </c>
      <c r="AN178" s="212" t="s">
        <v>4603</v>
      </c>
      <c r="AO178" s="3443" t="s">
        <v>4604</v>
      </c>
      <c r="AP178" s="992" t="s">
        <v>4605</v>
      </c>
      <c r="AQ178" s="34" t="s">
        <v>4606</v>
      </c>
      <c r="AR178" s="1137" t="s">
        <v>4934</v>
      </c>
      <c r="AS178" s="3443" t="s">
        <v>4935</v>
      </c>
      <c r="AT178" s="992" t="s">
        <v>4936</v>
      </c>
      <c r="AU178" s="3443" t="s">
        <v>4937</v>
      </c>
      <c r="AV178" s="992" t="s">
        <v>5234</v>
      </c>
      <c r="AW178" s="34" t="s">
        <v>5235</v>
      </c>
      <c r="AX178" s="992" t="s">
        <v>5236</v>
      </c>
      <c r="AY178" s="34" t="s">
        <v>5237</v>
      </c>
      <c r="AZ178" s="1864" t="e">
        <f t="shared" si="415"/>
        <v>#VALUE!</v>
      </c>
      <c r="CB178" s="3944" t="str">
        <f t="shared" si="400"/>
        <v xml:space="preserve"> * El Total de Exámenes Confirmados Positivos por ISP NO DEBE SUPERAR los  Exámenes Procesados. </v>
      </c>
      <c r="CC178" s="1865" t="str">
        <f t="shared" si="416"/>
        <v xml:space="preserve"> * El número de Exámenes por Sexo Hombres Confirmados positivos por ISP NO PUEDE Superar al número de Procesados. </v>
      </c>
      <c r="CD178" s="1865" t="str">
        <f t="shared" si="401"/>
        <v xml:space="preserve"> * El número de Exámenes por Sexo Mujeres Confirmados positivos por ISP NO PUEDE Superar al número de Procesados. </v>
      </c>
      <c r="CE178" s="1936"/>
      <c r="CF178" s="1936"/>
      <c r="CG178" s="1936"/>
      <c r="CH178" s="1936"/>
      <c r="CI178" s="1936"/>
      <c r="CJ178" s="1865" t="e">
        <f t="shared" si="402"/>
        <v>#VALUE!</v>
      </c>
      <c r="CK178" s="1937"/>
      <c r="CL178" s="1865" t="e">
        <f t="shared" si="417"/>
        <v>#VALUE!</v>
      </c>
      <c r="CM178" s="1865" t="e">
        <f t="shared" si="418"/>
        <v>#VALUE!</v>
      </c>
      <c r="CN178" s="1865" t="str">
        <f t="shared" si="419"/>
        <v xml:space="preserve"> * Los exámenes de Pueblos originarios Procesados no pueden ser mayor que el Total de exámenes procesados.</v>
      </c>
      <c r="CO178" s="1865" t="str">
        <f t="shared" si="420"/>
        <v xml:space="preserve"> * Los exámenes procesados de Migrantes no pueden ser mayor que el Total de exámenes procesados.</v>
      </c>
      <c r="CP178" s="1865" t="e">
        <f t="shared" si="421"/>
        <v>#VALUE!</v>
      </c>
      <c r="CQ178" s="1865" t="str">
        <f t="shared" si="422"/>
        <v xml:space="preserve"> * Los exámenes Confirmados positivos por ISP de Pueblos originarios no pueden ser mayor que el Total de exámenes Procesados por ISP.</v>
      </c>
      <c r="CR178" s="1865" t="str">
        <f t="shared" si="423"/>
        <v xml:space="preserve"> * Los exámenes Confirmados positivos por ISP de Migrantes no pueden ser mayor que el Total de exámenes Procesados por ISP.</v>
      </c>
      <c r="CS178" s="1936"/>
      <c r="CT178" s="1936"/>
      <c r="CU178" s="2946" t="e">
        <f t="shared" si="425"/>
        <v>#VALUE!</v>
      </c>
      <c r="CV178" s="2946" t="e">
        <f t="shared" si="428"/>
        <v>#VALUE!</v>
      </c>
      <c r="DG178" s="3946">
        <f t="shared" si="389"/>
        <v>1</v>
      </c>
      <c r="DH178" s="3922">
        <f t="shared" si="414"/>
        <v>1</v>
      </c>
      <c r="DI178" s="3922">
        <f t="shared" si="390"/>
        <v>1</v>
      </c>
      <c r="DJ178" s="1936"/>
      <c r="DK178" s="1936"/>
      <c r="DL178" s="1936"/>
      <c r="DM178" s="1936"/>
      <c r="DN178" s="1936"/>
      <c r="DO178" s="3922" t="e">
        <f t="shared" si="391"/>
        <v>#VALUE!</v>
      </c>
      <c r="DP178" s="1937"/>
      <c r="DQ178" s="3922" t="e">
        <f t="shared" si="392"/>
        <v>#VALUE!</v>
      </c>
      <c r="DR178" s="3922" t="e">
        <f t="shared" si="393"/>
        <v>#VALUE!</v>
      </c>
      <c r="DS178" s="3922">
        <f t="shared" si="394"/>
        <v>1</v>
      </c>
      <c r="DT178" s="3922">
        <f t="shared" si="395"/>
        <v>1</v>
      </c>
      <c r="DU178" s="3922" t="e">
        <f t="shared" si="396"/>
        <v>#VALUE!</v>
      </c>
      <c r="DV178" s="3922">
        <f t="shared" si="397"/>
        <v>1</v>
      </c>
      <c r="DW178" s="3922">
        <f t="shared" si="398"/>
        <v>1</v>
      </c>
      <c r="DX178" s="1936"/>
      <c r="DY178" s="1936"/>
      <c r="DZ178" s="2948" t="e">
        <f t="shared" si="426"/>
        <v>#VALUE!</v>
      </c>
      <c r="EA178" s="2948" t="e">
        <f t="shared" si="427"/>
        <v>#VALUE!</v>
      </c>
    </row>
    <row r="179" spans="1:131" x14ac:dyDescent="0.25">
      <c r="A179" s="5601">
        <v>11053501</v>
      </c>
      <c r="B179" s="7143" t="s">
        <v>1921</v>
      </c>
      <c r="C179" s="7144"/>
      <c r="D179" s="3908" t="s">
        <v>4567</v>
      </c>
      <c r="E179" s="3958" t="s">
        <v>4568</v>
      </c>
      <c r="F179" s="212" t="s">
        <v>4569</v>
      </c>
      <c r="G179" s="993" t="s">
        <v>4570</v>
      </c>
      <c r="H179" s="212" t="s">
        <v>4571</v>
      </c>
      <c r="I179" s="993" t="s">
        <v>4572</v>
      </c>
      <c r="J179" s="212" t="s">
        <v>4573</v>
      </c>
      <c r="K179" s="993" t="s">
        <v>4574</v>
      </c>
      <c r="L179" s="212" t="s">
        <v>4575</v>
      </c>
      <c r="M179" s="993" t="s">
        <v>4576</v>
      </c>
      <c r="N179" s="212" t="s">
        <v>4577</v>
      </c>
      <c r="O179" s="993" t="s">
        <v>4578</v>
      </c>
      <c r="P179" s="212" t="s">
        <v>4579</v>
      </c>
      <c r="Q179" s="993" t="s">
        <v>4580</v>
      </c>
      <c r="R179" s="212" t="s">
        <v>4581</v>
      </c>
      <c r="S179" s="993" t="s">
        <v>4582</v>
      </c>
      <c r="T179" s="212" t="s">
        <v>4583</v>
      </c>
      <c r="U179" s="993" t="s">
        <v>4584</v>
      </c>
      <c r="V179" s="212" t="s">
        <v>4585</v>
      </c>
      <c r="W179" s="993" t="s">
        <v>4586</v>
      </c>
      <c r="X179" s="212" t="s">
        <v>4587</v>
      </c>
      <c r="Y179" s="993" t="s">
        <v>4588</v>
      </c>
      <c r="Z179" s="212" t="s">
        <v>4589</v>
      </c>
      <c r="AA179" s="993" t="s">
        <v>4590</v>
      </c>
      <c r="AB179" s="212" t="s">
        <v>4591</v>
      </c>
      <c r="AC179" s="993" t="s">
        <v>4592</v>
      </c>
      <c r="AD179" s="212" t="s">
        <v>4593</v>
      </c>
      <c r="AE179" s="1138" t="s">
        <v>4594</v>
      </c>
      <c r="AF179" s="212" t="s">
        <v>4595</v>
      </c>
      <c r="AG179" s="1138" t="s">
        <v>4596</v>
      </c>
      <c r="AH179" s="212" t="s">
        <v>4597</v>
      </c>
      <c r="AI179" s="1136" t="s">
        <v>4598</v>
      </c>
      <c r="AJ179" s="212" t="s">
        <v>4599</v>
      </c>
      <c r="AK179" s="993" t="s">
        <v>4600</v>
      </c>
      <c r="AL179" s="992" t="s">
        <v>4601</v>
      </c>
      <c r="AM179" s="34" t="s">
        <v>4602</v>
      </c>
      <c r="AN179" s="212" t="s">
        <v>4603</v>
      </c>
      <c r="AO179" s="3443" t="s">
        <v>4604</v>
      </c>
      <c r="AP179" s="992" t="s">
        <v>4605</v>
      </c>
      <c r="AQ179" s="34" t="s">
        <v>4606</v>
      </c>
      <c r="AR179" s="1137" t="s">
        <v>4934</v>
      </c>
      <c r="AS179" s="3443" t="s">
        <v>4935</v>
      </c>
      <c r="AT179" s="992" t="s">
        <v>4936</v>
      </c>
      <c r="AU179" s="3443" t="s">
        <v>4937</v>
      </c>
      <c r="AV179" s="992" t="s">
        <v>5234</v>
      </c>
      <c r="AW179" s="34" t="s">
        <v>5235</v>
      </c>
      <c r="AX179" s="992" t="s">
        <v>5236</v>
      </c>
      <c r="AY179" s="34" t="s">
        <v>5237</v>
      </c>
      <c r="AZ179" s="1864" t="e">
        <f t="shared" si="415"/>
        <v>#VALUE!</v>
      </c>
      <c r="CB179" s="3944" t="str">
        <f t="shared" si="400"/>
        <v xml:space="preserve"> * El Total de Exámenes Confirmados Positivos por ISP NO DEBE SUPERAR los  Exámenes Procesados. </v>
      </c>
      <c r="CC179" s="1865" t="str">
        <f t="shared" si="416"/>
        <v xml:space="preserve"> * El número de Exámenes por Sexo Hombres Confirmados positivos por ISP NO PUEDE Superar al número de Procesados. </v>
      </c>
      <c r="CD179" s="1865" t="str">
        <f t="shared" si="401"/>
        <v xml:space="preserve"> * El número de Exámenes por Sexo Mujeres Confirmados positivos por ISP NO PUEDE Superar al número de Procesados. </v>
      </c>
      <c r="CE179" s="1936"/>
      <c r="CF179" s="1936"/>
      <c r="CG179" s="1936"/>
      <c r="CH179" s="1936"/>
      <c r="CI179" s="1936"/>
      <c r="CJ179" s="1865" t="e">
        <f t="shared" si="402"/>
        <v>#VALUE!</v>
      </c>
      <c r="CK179" s="1937"/>
      <c r="CL179" s="1865" t="e">
        <f t="shared" si="417"/>
        <v>#VALUE!</v>
      </c>
      <c r="CM179" s="1865" t="e">
        <f t="shared" si="418"/>
        <v>#VALUE!</v>
      </c>
      <c r="CN179" s="1865" t="str">
        <f t="shared" si="419"/>
        <v xml:space="preserve"> * Los exámenes de Pueblos originarios Procesados no pueden ser mayor que el Total de exámenes procesados.</v>
      </c>
      <c r="CO179" s="1865" t="str">
        <f t="shared" si="420"/>
        <v xml:space="preserve"> * Los exámenes procesados de Migrantes no pueden ser mayor que el Total de exámenes procesados.</v>
      </c>
      <c r="CP179" s="1865" t="e">
        <f t="shared" si="421"/>
        <v>#VALUE!</v>
      </c>
      <c r="CQ179" s="1865" t="str">
        <f t="shared" si="422"/>
        <v xml:space="preserve"> * Los exámenes Confirmados positivos por ISP de Pueblos originarios no pueden ser mayor que el Total de exámenes Procesados por ISP.</v>
      </c>
      <c r="CR179" s="1865" t="str">
        <f t="shared" si="423"/>
        <v xml:space="preserve"> * Los exámenes Confirmados positivos por ISP de Migrantes no pueden ser mayor que el Total de exámenes Procesados por ISP.</v>
      </c>
      <c r="CS179" s="1936"/>
      <c r="CT179" s="1936"/>
      <c r="CU179" s="2946" t="e">
        <f t="shared" si="425"/>
        <v>#VALUE!</v>
      </c>
      <c r="CV179" s="2946" t="e">
        <f t="shared" si="428"/>
        <v>#VALUE!</v>
      </c>
      <c r="DG179" s="3946">
        <f t="shared" si="389"/>
        <v>1</v>
      </c>
      <c r="DH179" s="3922">
        <f t="shared" si="414"/>
        <v>1</v>
      </c>
      <c r="DI179" s="3922">
        <f t="shared" si="390"/>
        <v>1</v>
      </c>
      <c r="DJ179" s="1936"/>
      <c r="DK179" s="1936"/>
      <c r="DL179" s="1936"/>
      <c r="DM179" s="1936"/>
      <c r="DN179" s="1936"/>
      <c r="DO179" s="3922" t="e">
        <f t="shared" si="391"/>
        <v>#VALUE!</v>
      </c>
      <c r="DP179" s="1937"/>
      <c r="DQ179" s="3922" t="e">
        <f t="shared" si="392"/>
        <v>#VALUE!</v>
      </c>
      <c r="DR179" s="3922" t="e">
        <f t="shared" si="393"/>
        <v>#VALUE!</v>
      </c>
      <c r="DS179" s="3922">
        <f t="shared" si="394"/>
        <v>1</v>
      </c>
      <c r="DT179" s="3922">
        <f t="shared" si="395"/>
        <v>1</v>
      </c>
      <c r="DU179" s="3922" t="e">
        <f t="shared" si="396"/>
        <v>#VALUE!</v>
      </c>
      <c r="DV179" s="3922">
        <f t="shared" si="397"/>
        <v>1</v>
      </c>
      <c r="DW179" s="3922">
        <f t="shared" si="398"/>
        <v>1</v>
      </c>
      <c r="DX179" s="1936"/>
      <c r="DY179" s="1936"/>
      <c r="DZ179" s="2948" t="e">
        <f t="shared" si="426"/>
        <v>#VALUE!</v>
      </c>
      <c r="EA179" s="2948" t="e">
        <f t="shared" si="427"/>
        <v>#VALUE!</v>
      </c>
    </row>
    <row r="180" spans="1:131" x14ac:dyDescent="0.25">
      <c r="A180" s="5601">
        <v>11053502</v>
      </c>
      <c r="B180" s="7143" t="s">
        <v>1922</v>
      </c>
      <c r="C180" s="7144"/>
      <c r="D180" s="3908" t="s">
        <v>4567</v>
      </c>
      <c r="E180" s="3958" t="s">
        <v>4568</v>
      </c>
      <c r="F180" s="212" t="s">
        <v>4569</v>
      </c>
      <c r="G180" s="993" t="s">
        <v>4570</v>
      </c>
      <c r="H180" s="212" t="s">
        <v>4571</v>
      </c>
      <c r="I180" s="993" t="s">
        <v>4572</v>
      </c>
      <c r="J180" s="212" t="s">
        <v>4573</v>
      </c>
      <c r="K180" s="993" t="s">
        <v>4574</v>
      </c>
      <c r="L180" s="212" t="s">
        <v>4575</v>
      </c>
      <c r="M180" s="993" t="s">
        <v>4576</v>
      </c>
      <c r="N180" s="212" t="s">
        <v>4577</v>
      </c>
      <c r="O180" s="993" t="s">
        <v>4578</v>
      </c>
      <c r="P180" s="212" t="s">
        <v>4579</v>
      </c>
      <c r="Q180" s="993" t="s">
        <v>4580</v>
      </c>
      <c r="R180" s="212" t="s">
        <v>4581</v>
      </c>
      <c r="S180" s="993" t="s">
        <v>4582</v>
      </c>
      <c r="T180" s="212" t="s">
        <v>4583</v>
      </c>
      <c r="U180" s="993" t="s">
        <v>4584</v>
      </c>
      <c r="V180" s="212" t="s">
        <v>4585</v>
      </c>
      <c r="W180" s="993" t="s">
        <v>4586</v>
      </c>
      <c r="X180" s="212" t="s">
        <v>4587</v>
      </c>
      <c r="Y180" s="993" t="s">
        <v>4588</v>
      </c>
      <c r="Z180" s="212" t="s">
        <v>4589</v>
      </c>
      <c r="AA180" s="993" t="s">
        <v>4590</v>
      </c>
      <c r="AB180" s="212" t="s">
        <v>4591</v>
      </c>
      <c r="AC180" s="993" t="s">
        <v>4592</v>
      </c>
      <c r="AD180" s="212" t="s">
        <v>4593</v>
      </c>
      <c r="AE180" s="1138" t="s">
        <v>4594</v>
      </c>
      <c r="AF180" s="212" t="s">
        <v>4595</v>
      </c>
      <c r="AG180" s="1138" t="s">
        <v>4596</v>
      </c>
      <c r="AH180" s="212" t="s">
        <v>4597</v>
      </c>
      <c r="AI180" s="1136" t="s">
        <v>4598</v>
      </c>
      <c r="AJ180" s="212" t="s">
        <v>4599</v>
      </c>
      <c r="AK180" s="993" t="s">
        <v>4600</v>
      </c>
      <c r="AL180" s="992" t="s">
        <v>4601</v>
      </c>
      <c r="AM180" s="34" t="s">
        <v>4602</v>
      </c>
      <c r="AN180" s="212" t="s">
        <v>4603</v>
      </c>
      <c r="AO180" s="3443" t="s">
        <v>4604</v>
      </c>
      <c r="AP180" s="992" t="s">
        <v>4605</v>
      </c>
      <c r="AQ180" s="34" t="s">
        <v>4606</v>
      </c>
      <c r="AR180" s="1137" t="s">
        <v>4934</v>
      </c>
      <c r="AS180" s="3443" t="s">
        <v>4935</v>
      </c>
      <c r="AT180" s="992" t="s">
        <v>4936</v>
      </c>
      <c r="AU180" s="3443" t="s">
        <v>4937</v>
      </c>
      <c r="AV180" s="992" t="s">
        <v>5234</v>
      </c>
      <c r="AW180" s="34" t="s">
        <v>5235</v>
      </c>
      <c r="AX180" s="992" t="s">
        <v>5236</v>
      </c>
      <c r="AY180" s="34" t="s">
        <v>5237</v>
      </c>
      <c r="AZ180" s="1864" t="e">
        <f t="shared" si="415"/>
        <v>#VALUE!</v>
      </c>
      <c r="CB180" s="3944" t="str">
        <f t="shared" si="400"/>
        <v xml:space="preserve"> * El Total de Exámenes Confirmados Positivos por ISP NO DEBE SUPERAR los  Exámenes Procesados. </v>
      </c>
      <c r="CC180" s="1865" t="str">
        <f t="shared" si="416"/>
        <v xml:space="preserve"> * El número de Exámenes por Sexo Hombres Confirmados positivos por ISP NO PUEDE Superar al número de Procesados. </v>
      </c>
      <c r="CD180" s="1865" t="str">
        <f t="shared" si="401"/>
        <v xml:space="preserve"> * El número de Exámenes por Sexo Mujeres Confirmados positivos por ISP NO PUEDE Superar al número de Procesados. </v>
      </c>
      <c r="CE180" s="1936"/>
      <c r="CF180" s="1936"/>
      <c r="CG180" s="1936"/>
      <c r="CH180" s="1936"/>
      <c r="CI180" s="1936"/>
      <c r="CJ180" s="1865" t="e">
        <f t="shared" si="402"/>
        <v>#VALUE!</v>
      </c>
      <c r="CK180" s="1937"/>
      <c r="CL180" s="1865" t="e">
        <f t="shared" si="417"/>
        <v>#VALUE!</v>
      </c>
      <c r="CM180" s="1865" t="e">
        <f t="shared" si="418"/>
        <v>#VALUE!</v>
      </c>
      <c r="CN180" s="1865" t="str">
        <f t="shared" si="419"/>
        <v xml:space="preserve"> * Los exámenes de Pueblos originarios Procesados no pueden ser mayor que el Total de exámenes procesados.</v>
      </c>
      <c r="CO180" s="1865" t="str">
        <f t="shared" si="420"/>
        <v xml:space="preserve"> * Los exámenes procesados de Migrantes no pueden ser mayor que el Total de exámenes procesados.</v>
      </c>
      <c r="CP180" s="1865" t="e">
        <f t="shared" si="421"/>
        <v>#VALUE!</v>
      </c>
      <c r="CQ180" s="1865" t="str">
        <f t="shared" si="422"/>
        <v xml:space="preserve"> * Los exámenes Confirmados positivos por ISP de Pueblos originarios no pueden ser mayor que el Total de exámenes Procesados por ISP.</v>
      </c>
      <c r="CR180" s="1865" t="str">
        <f t="shared" si="423"/>
        <v xml:space="preserve"> * Los exámenes Confirmados positivos por ISP de Migrantes no pueden ser mayor que el Total de exámenes Procesados por ISP.</v>
      </c>
      <c r="CS180" s="1936"/>
      <c r="CT180" s="1936"/>
      <c r="CU180" s="2946" t="e">
        <f t="shared" si="425"/>
        <v>#VALUE!</v>
      </c>
      <c r="CV180" s="2946" t="e">
        <f t="shared" si="428"/>
        <v>#VALUE!</v>
      </c>
      <c r="DG180" s="3946">
        <f t="shared" si="389"/>
        <v>1</v>
      </c>
      <c r="DH180" s="3922">
        <f t="shared" si="414"/>
        <v>1</v>
      </c>
      <c r="DI180" s="3922">
        <f t="shared" si="390"/>
        <v>1</v>
      </c>
      <c r="DJ180" s="1936"/>
      <c r="DK180" s="1936"/>
      <c r="DL180" s="1936"/>
      <c r="DM180" s="1936"/>
      <c r="DN180" s="1936"/>
      <c r="DO180" s="3922" t="e">
        <f t="shared" si="391"/>
        <v>#VALUE!</v>
      </c>
      <c r="DP180" s="1937"/>
      <c r="DQ180" s="3922" t="e">
        <f t="shared" si="392"/>
        <v>#VALUE!</v>
      </c>
      <c r="DR180" s="3922" t="e">
        <f t="shared" si="393"/>
        <v>#VALUE!</v>
      </c>
      <c r="DS180" s="3922">
        <f t="shared" si="394"/>
        <v>1</v>
      </c>
      <c r="DT180" s="3922">
        <f t="shared" si="395"/>
        <v>1</v>
      </c>
      <c r="DU180" s="3922" t="e">
        <f t="shared" si="396"/>
        <v>#VALUE!</v>
      </c>
      <c r="DV180" s="3922">
        <f t="shared" si="397"/>
        <v>1</v>
      </c>
      <c r="DW180" s="3922">
        <f t="shared" si="398"/>
        <v>1</v>
      </c>
      <c r="DX180" s="1936"/>
      <c r="DY180" s="1936"/>
      <c r="DZ180" s="2948" t="e">
        <f t="shared" si="426"/>
        <v>#VALUE!</v>
      </c>
      <c r="EA180" s="2948" t="e">
        <f t="shared" si="427"/>
        <v>#VALUE!</v>
      </c>
    </row>
    <row r="181" spans="1:131" x14ac:dyDescent="0.25">
      <c r="A181" s="5601">
        <v>11053503</v>
      </c>
      <c r="B181" s="7143" t="s">
        <v>1923</v>
      </c>
      <c r="C181" s="7144"/>
      <c r="D181" s="3908" t="s">
        <v>4567</v>
      </c>
      <c r="E181" s="3958" t="s">
        <v>4568</v>
      </c>
      <c r="F181" s="212" t="s">
        <v>4569</v>
      </c>
      <c r="G181" s="993" t="s">
        <v>4570</v>
      </c>
      <c r="H181" s="212" t="s">
        <v>4571</v>
      </c>
      <c r="I181" s="993" t="s">
        <v>4572</v>
      </c>
      <c r="J181" s="212" t="s">
        <v>4573</v>
      </c>
      <c r="K181" s="993" t="s">
        <v>4574</v>
      </c>
      <c r="L181" s="212" t="s">
        <v>4575</v>
      </c>
      <c r="M181" s="993" t="s">
        <v>4576</v>
      </c>
      <c r="N181" s="212" t="s">
        <v>4577</v>
      </c>
      <c r="O181" s="993" t="s">
        <v>4578</v>
      </c>
      <c r="P181" s="212" t="s">
        <v>4579</v>
      </c>
      <c r="Q181" s="993" t="s">
        <v>4580</v>
      </c>
      <c r="R181" s="212" t="s">
        <v>4581</v>
      </c>
      <c r="S181" s="993" t="s">
        <v>4582</v>
      </c>
      <c r="T181" s="212" t="s">
        <v>4583</v>
      </c>
      <c r="U181" s="993" t="s">
        <v>4584</v>
      </c>
      <c r="V181" s="212" t="s">
        <v>4585</v>
      </c>
      <c r="W181" s="993" t="s">
        <v>4586</v>
      </c>
      <c r="X181" s="212" t="s">
        <v>4587</v>
      </c>
      <c r="Y181" s="993" t="s">
        <v>4588</v>
      </c>
      <c r="Z181" s="212" t="s">
        <v>4589</v>
      </c>
      <c r="AA181" s="993" t="s">
        <v>4590</v>
      </c>
      <c r="AB181" s="212" t="s">
        <v>4591</v>
      </c>
      <c r="AC181" s="993" t="s">
        <v>4592</v>
      </c>
      <c r="AD181" s="212" t="s">
        <v>4593</v>
      </c>
      <c r="AE181" s="1138" t="s">
        <v>4594</v>
      </c>
      <c r="AF181" s="212" t="s">
        <v>4595</v>
      </c>
      <c r="AG181" s="1138" t="s">
        <v>4596</v>
      </c>
      <c r="AH181" s="212" t="s">
        <v>4597</v>
      </c>
      <c r="AI181" s="1136" t="s">
        <v>4598</v>
      </c>
      <c r="AJ181" s="212" t="s">
        <v>4599</v>
      </c>
      <c r="AK181" s="993" t="s">
        <v>4600</v>
      </c>
      <c r="AL181" s="992" t="s">
        <v>4601</v>
      </c>
      <c r="AM181" s="34" t="s">
        <v>4602</v>
      </c>
      <c r="AN181" s="212" t="s">
        <v>4603</v>
      </c>
      <c r="AO181" s="3443" t="s">
        <v>4604</v>
      </c>
      <c r="AP181" s="992" t="s">
        <v>4605</v>
      </c>
      <c r="AQ181" s="34" t="s">
        <v>4606</v>
      </c>
      <c r="AR181" s="1137" t="s">
        <v>4934</v>
      </c>
      <c r="AS181" s="3443" t="s">
        <v>4935</v>
      </c>
      <c r="AT181" s="992" t="s">
        <v>4936</v>
      </c>
      <c r="AU181" s="3443" t="s">
        <v>4937</v>
      </c>
      <c r="AV181" s="992" t="s">
        <v>5234</v>
      </c>
      <c r="AW181" s="34" t="s">
        <v>5235</v>
      </c>
      <c r="AX181" s="992" t="s">
        <v>5236</v>
      </c>
      <c r="AY181" s="34" t="s">
        <v>5237</v>
      </c>
      <c r="AZ181" s="1864" t="e">
        <f t="shared" si="415"/>
        <v>#VALUE!</v>
      </c>
      <c r="CB181" s="3944" t="str">
        <f t="shared" si="400"/>
        <v xml:space="preserve"> * El Total de Exámenes Confirmados Positivos por ISP NO DEBE SUPERAR los  Exámenes Procesados. </v>
      </c>
      <c r="CC181" s="1865" t="str">
        <f t="shared" si="416"/>
        <v xml:space="preserve"> * El número de Exámenes por Sexo Hombres Confirmados positivos por ISP NO PUEDE Superar al número de Procesados. </v>
      </c>
      <c r="CD181" s="1865" t="str">
        <f t="shared" si="401"/>
        <v xml:space="preserve"> * El número de Exámenes por Sexo Mujeres Confirmados positivos por ISP NO PUEDE Superar al número de Procesados. </v>
      </c>
      <c r="CE181" s="1936"/>
      <c r="CF181" s="1936"/>
      <c r="CG181" s="1936"/>
      <c r="CH181" s="1936"/>
      <c r="CI181" s="1936"/>
      <c r="CJ181" s="1865" t="e">
        <f t="shared" si="402"/>
        <v>#VALUE!</v>
      </c>
      <c r="CK181" s="1937"/>
      <c r="CL181" s="1865" t="e">
        <f t="shared" si="417"/>
        <v>#VALUE!</v>
      </c>
      <c r="CM181" s="1865" t="e">
        <f t="shared" si="418"/>
        <v>#VALUE!</v>
      </c>
      <c r="CN181" s="1865" t="str">
        <f t="shared" si="419"/>
        <v xml:space="preserve"> * Los exámenes de Pueblos originarios Procesados no pueden ser mayor que el Total de exámenes procesados.</v>
      </c>
      <c r="CO181" s="1865" t="str">
        <f t="shared" si="420"/>
        <v xml:space="preserve"> * Los exámenes procesados de Migrantes no pueden ser mayor que el Total de exámenes procesados.</v>
      </c>
      <c r="CP181" s="1865" t="e">
        <f t="shared" si="421"/>
        <v>#VALUE!</v>
      </c>
      <c r="CQ181" s="1865" t="str">
        <f t="shared" si="422"/>
        <v xml:space="preserve"> * Los exámenes Confirmados positivos por ISP de Pueblos originarios no pueden ser mayor que el Total de exámenes Procesados por ISP.</v>
      </c>
      <c r="CR181" s="1865" t="str">
        <f t="shared" si="423"/>
        <v xml:space="preserve"> * Los exámenes Confirmados positivos por ISP de Migrantes no pueden ser mayor que el Total de exámenes Procesados por ISP.</v>
      </c>
      <c r="CS181" s="1936"/>
      <c r="CT181" s="1936"/>
      <c r="CU181" s="2946" t="e">
        <f t="shared" si="425"/>
        <v>#VALUE!</v>
      </c>
      <c r="CV181" s="2946" t="e">
        <f t="shared" si="428"/>
        <v>#VALUE!</v>
      </c>
      <c r="DG181" s="3946">
        <f t="shared" si="389"/>
        <v>1</v>
      </c>
      <c r="DH181" s="3922">
        <f t="shared" si="414"/>
        <v>1</v>
      </c>
      <c r="DI181" s="3922">
        <f t="shared" si="390"/>
        <v>1</v>
      </c>
      <c r="DJ181" s="1936"/>
      <c r="DK181" s="1936"/>
      <c r="DL181" s="1936"/>
      <c r="DM181" s="1936"/>
      <c r="DN181" s="1936"/>
      <c r="DO181" s="3922" t="e">
        <f t="shared" si="391"/>
        <v>#VALUE!</v>
      </c>
      <c r="DP181" s="1937"/>
      <c r="DQ181" s="3922" t="e">
        <f t="shared" si="392"/>
        <v>#VALUE!</v>
      </c>
      <c r="DR181" s="3922" t="e">
        <f t="shared" si="393"/>
        <v>#VALUE!</v>
      </c>
      <c r="DS181" s="3922">
        <f t="shared" si="394"/>
        <v>1</v>
      </c>
      <c r="DT181" s="3922">
        <f t="shared" si="395"/>
        <v>1</v>
      </c>
      <c r="DU181" s="3922" t="e">
        <f t="shared" si="396"/>
        <v>#VALUE!</v>
      </c>
      <c r="DV181" s="3922">
        <f t="shared" si="397"/>
        <v>1</v>
      </c>
      <c r="DW181" s="3922">
        <f t="shared" si="398"/>
        <v>1</v>
      </c>
      <c r="DX181" s="1936"/>
      <c r="DY181" s="1936"/>
      <c r="DZ181" s="2948" t="e">
        <f t="shared" si="426"/>
        <v>#VALUE!</v>
      </c>
      <c r="EA181" s="2948" t="e">
        <f t="shared" si="427"/>
        <v>#VALUE!</v>
      </c>
    </row>
    <row r="182" spans="1:131" x14ac:dyDescent="0.25">
      <c r="A182" s="5601">
        <v>11053600</v>
      </c>
      <c r="B182" s="7143" t="s">
        <v>1924</v>
      </c>
      <c r="C182" s="7144"/>
      <c r="D182" s="3908" t="s">
        <v>4567</v>
      </c>
      <c r="E182" s="3958" t="s">
        <v>4568</v>
      </c>
      <c r="F182" s="212" t="s">
        <v>4569</v>
      </c>
      <c r="G182" s="993" t="s">
        <v>4570</v>
      </c>
      <c r="H182" s="212" t="s">
        <v>4571</v>
      </c>
      <c r="I182" s="993" t="s">
        <v>4572</v>
      </c>
      <c r="J182" s="212" t="s">
        <v>4573</v>
      </c>
      <c r="K182" s="993" t="s">
        <v>4574</v>
      </c>
      <c r="L182" s="212" t="s">
        <v>4575</v>
      </c>
      <c r="M182" s="993" t="s">
        <v>4576</v>
      </c>
      <c r="N182" s="212" t="s">
        <v>4577</v>
      </c>
      <c r="O182" s="993" t="s">
        <v>4578</v>
      </c>
      <c r="P182" s="212" t="s">
        <v>4579</v>
      </c>
      <c r="Q182" s="993" t="s">
        <v>4580</v>
      </c>
      <c r="R182" s="212" t="s">
        <v>4581</v>
      </c>
      <c r="S182" s="993" t="s">
        <v>4582</v>
      </c>
      <c r="T182" s="212" t="s">
        <v>4583</v>
      </c>
      <c r="U182" s="993" t="s">
        <v>4584</v>
      </c>
      <c r="V182" s="212" t="s">
        <v>4585</v>
      </c>
      <c r="W182" s="993" t="s">
        <v>4586</v>
      </c>
      <c r="X182" s="212" t="s">
        <v>4587</v>
      </c>
      <c r="Y182" s="993" t="s">
        <v>4588</v>
      </c>
      <c r="Z182" s="212" t="s">
        <v>4589</v>
      </c>
      <c r="AA182" s="993" t="s">
        <v>4590</v>
      </c>
      <c r="AB182" s="212" t="s">
        <v>4591</v>
      </c>
      <c r="AC182" s="993" t="s">
        <v>4592</v>
      </c>
      <c r="AD182" s="212" t="s">
        <v>4593</v>
      </c>
      <c r="AE182" s="1138" t="s">
        <v>4594</v>
      </c>
      <c r="AF182" s="212" t="s">
        <v>4595</v>
      </c>
      <c r="AG182" s="1138" t="s">
        <v>4596</v>
      </c>
      <c r="AH182" s="212" t="s">
        <v>4597</v>
      </c>
      <c r="AI182" s="1136" t="s">
        <v>4598</v>
      </c>
      <c r="AJ182" s="212" t="s">
        <v>4599</v>
      </c>
      <c r="AK182" s="993" t="s">
        <v>4600</v>
      </c>
      <c r="AL182" s="992" t="s">
        <v>4601</v>
      </c>
      <c r="AM182" s="34" t="s">
        <v>4602</v>
      </c>
      <c r="AN182" s="212" t="s">
        <v>4603</v>
      </c>
      <c r="AO182" s="3443" t="s">
        <v>4604</v>
      </c>
      <c r="AP182" s="992" t="s">
        <v>4605</v>
      </c>
      <c r="AQ182" s="34" t="s">
        <v>4606</v>
      </c>
      <c r="AR182" s="1137" t="s">
        <v>4934</v>
      </c>
      <c r="AS182" s="3443" t="s">
        <v>4935</v>
      </c>
      <c r="AT182" s="992" t="s">
        <v>4936</v>
      </c>
      <c r="AU182" s="3443" t="s">
        <v>4937</v>
      </c>
      <c r="AV182" s="992" t="s">
        <v>5234</v>
      </c>
      <c r="AW182" s="34" t="s">
        <v>5235</v>
      </c>
      <c r="AX182" s="992" t="s">
        <v>5236</v>
      </c>
      <c r="AY182" s="34" t="s">
        <v>5237</v>
      </c>
      <c r="AZ182" s="1864" t="e">
        <f t="shared" si="415"/>
        <v>#VALUE!</v>
      </c>
      <c r="CB182" s="3944" t="str">
        <f t="shared" si="400"/>
        <v xml:space="preserve"> * El Total de Exámenes Confirmados Positivos por ISP NO DEBE SUPERAR los  Exámenes Procesados. </v>
      </c>
      <c r="CC182" s="1865" t="str">
        <f t="shared" si="416"/>
        <v xml:space="preserve"> * El número de Exámenes por Sexo Hombres Confirmados positivos por ISP NO PUEDE Superar al número de Procesados. </v>
      </c>
      <c r="CD182" s="1865" t="str">
        <f t="shared" si="401"/>
        <v xml:space="preserve"> * El número de Exámenes por Sexo Mujeres Confirmados positivos por ISP NO PUEDE Superar al número de Procesados. </v>
      </c>
      <c r="CE182" s="1936"/>
      <c r="CF182" s="1936"/>
      <c r="CG182" s="1936"/>
      <c r="CH182" s="1936"/>
      <c r="CI182" s="1936"/>
      <c r="CJ182" s="1865" t="e">
        <f t="shared" si="402"/>
        <v>#VALUE!</v>
      </c>
      <c r="CK182" s="1937"/>
      <c r="CL182" s="1865" t="e">
        <f t="shared" si="417"/>
        <v>#VALUE!</v>
      </c>
      <c r="CM182" s="1865" t="e">
        <f t="shared" si="418"/>
        <v>#VALUE!</v>
      </c>
      <c r="CN182" s="1865" t="str">
        <f t="shared" si="419"/>
        <v xml:space="preserve"> * Los exámenes de Pueblos originarios Procesados no pueden ser mayor que el Total de exámenes procesados.</v>
      </c>
      <c r="CO182" s="1865" t="str">
        <f t="shared" si="420"/>
        <v xml:space="preserve"> * Los exámenes procesados de Migrantes no pueden ser mayor que el Total de exámenes procesados.</v>
      </c>
      <c r="CP182" s="1865" t="e">
        <f t="shared" si="421"/>
        <v>#VALUE!</v>
      </c>
      <c r="CQ182" s="1865" t="str">
        <f t="shared" si="422"/>
        <v xml:space="preserve"> * Los exámenes Confirmados positivos por ISP de Pueblos originarios no pueden ser mayor que el Total de exámenes Procesados por ISP.</v>
      </c>
      <c r="CR182" s="1865" t="str">
        <f t="shared" si="423"/>
        <v xml:space="preserve"> * Los exámenes Confirmados positivos por ISP de Migrantes no pueden ser mayor que el Total de exámenes Procesados por ISP.</v>
      </c>
      <c r="CS182" s="1936"/>
      <c r="CT182" s="1936"/>
      <c r="CU182" s="2946" t="e">
        <f t="shared" si="425"/>
        <v>#VALUE!</v>
      </c>
      <c r="CV182" s="2946" t="e">
        <f t="shared" si="428"/>
        <v>#VALUE!</v>
      </c>
      <c r="DG182" s="3946">
        <f t="shared" si="389"/>
        <v>1</v>
      </c>
      <c r="DH182" s="3922">
        <f t="shared" si="414"/>
        <v>1</v>
      </c>
      <c r="DI182" s="3922">
        <f t="shared" si="390"/>
        <v>1</v>
      </c>
      <c r="DJ182" s="1936"/>
      <c r="DK182" s="1936"/>
      <c r="DL182" s="1936"/>
      <c r="DM182" s="1936"/>
      <c r="DN182" s="1936"/>
      <c r="DO182" s="3922" t="e">
        <f t="shared" si="391"/>
        <v>#VALUE!</v>
      </c>
      <c r="DP182" s="1937"/>
      <c r="DQ182" s="3922" t="e">
        <f t="shared" si="392"/>
        <v>#VALUE!</v>
      </c>
      <c r="DR182" s="3922" t="e">
        <f t="shared" si="393"/>
        <v>#VALUE!</v>
      </c>
      <c r="DS182" s="3922">
        <f t="shared" si="394"/>
        <v>1</v>
      </c>
      <c r="DT182" s="3922">
        <f t="shared" si="395"/>
        <v>1</v>
      </c>
      <c r="DU182" s="3922" t="e">
        <f t="shared" si="396"/>
        <v>#VALUE!</v>
      </c>
      <c r="DV182" s="3922">
        <f t="shared" si="397"/>
        <v>1</v>
      </c>
      <c r="DW182" s="3922">
        <f t="shared" si="398"/>
        <v>1</v>
      </c>
      <c r="DX182" s="1936"/>
      <c r="DY182" s="1936"/>
      <c r="DZ182" s="2948" t="e">
        <f t="shared" si="426"/>
        <v>#VALUE!</v>
      </c>
      <c r="EA182" s="2948" t="e">
        <f t="shared" si="427"/>
        <v>#VALUE!</v>
      </c>
    </row>
    <row r="183" spans="1:131" x14ac:dyDescent="0.25">
      <c r="A183" s="5601">
        <v>11055380</v>
      </c>
      <c r="B183" s="7149" t="s">
        <v>1925</v>
      </c>
      <c r="C183" s="7150"/>
      <c r="D183" s="623" t="s">
        <v>4567</v>
      </c>
      <c r="E183" s="3039" t="s">
        <v>4568</v>
      </c>
      <c r="F183" s="853" t="s">
        <v>4569</v>
      </c>
      <c r="G183" s="1873" t="s">
        <v>4570</v>
      </c>
      <c r="H183" s="853" t="s">
        <v>4571</v>
      </c>
      <c r="I183" s="1873" t="s">
        <v>4572</v>
      </c>
      <c r="J183" s="853" t="s">
        <v>4573</v>
      </c>
      <c r="K183" s="1873" t="s">
        <v>4574</v>
      </c>
      <c r="L183" s="853" t="s">
        <v>4575</v>
      </c>
      <c r="M183" s="1873" t="s">
        <v>4576</v>
      </c>
      <c r="N183" s="853" t="s">
        <v>4577</v>
      </c>
      <c r="O183" s="1975" t="s">
        <v>4578</v>
      </c>
      <c r="P183" s="853" t="s">
        <v>4579</v>
      </c>
      <c r="Q183" s="1873" t="s">
        <v>4580</v>
      </c>
      <c r="R183" s="853" t="s">
        <v>4581</v>
      </c>
      <c r="S183" s="1873" t="s">
        <v>4582</v>
      </c>
      <c r="T183" s="853" t="s">
        <v>4583</v>
      </c>
      <c r="U183" s="1873" t="s">
        <v>4584</v>
      </c>
      <c r="V183" s="853" t="s">
        <v>4585</v>
      </c>
      <c r="W183" s="1873" t="s">
        <v>4586</v>
      </c>
      <c r="X183" s="853" t="s">
        <v>4587</v>
      </c>
      <c r="Y183" s="1873" t="s">
        <v>4588</v>
      </c>
      <c r="Z183" s="853" t="s">
        <v>4589</v>
      </c>
      <c r="AA183" s="1873" t="s">
        <v>4590</v>
      </c>
      <c r="AB183" s="853" t="s">
        <v>4591</v>
      </c>
      <c r="AC183" s="1873" t="s">
        <v>4592</v>
      </c>
      <c r="AD183" s="853" t="s">
        <v>4593</v>
      </c>
      <c r="AE183" s="2203" t="s">
        <v>4594</v>
      </c>
      <c r="AF183" s="853" t="s">
        <v>4595</v>
      </c>
      <c r="AG183" s="2203" t="s">
        <v>4596</v>
      </c>
      <c r="AH183" s="853" t="s">
        <v>4597</v>
      </c>
      <c r="AI183" s="1975" t="s">
        <v>4598</v>
      </c>
      <c r="AJ183" s="853" t="s">
        <v>4599</v>
      </c>
      <c r="AK183" s="1873" t="s">
        <v>4600</v>
      </c>
      <c r="AL183" s="1879" t="s">
        <v>4601</v>
      </c>
      <c r="AM183" s="854" t="s">
        <v>4602</v>
      </c>
      <c r="AN183" s="853" t="s">
        <v>4603</v>
      </c>
      <c r="AO183" s="1878" t="s">
        <v>4604</v>
      </c>
      <c r="AP183" s="1879" t="s">
        <v>4605</v>
      </c>
      <c r="AQ183" s="854" t="s">
        <v>4606</v>
      </c>
      <c r="AR183" s="1877" t="s">
        <v>4934</v>
      </c>
      <c r="AS183" s="1878" t="s">
        <v>4935</v>
      </c>
      <c r="AT183" s="1879" t="s">
        <v>4936</v>
      </c>
      <c r="AU183" s="1878" t="s">
        <v>4937</v>
      </c>
      <c r="AV183" s="1879" t="s">
        <v>5234</v>
      </c>
      <c r="AW183" s="854" t="s">
        <v>5235</v>
      </c>
      <c r="AX183" s="1879" t="s">
        <v>5236</v>
      </c>
      <c r="AY183" s="854" t="s">
        <v>5237</v>
      </c>
      <c r="AZ183" s="1864" t="e">
        <f>$CB183&amp;CC183&amp;$CD183&amp;CE183&amp;CF183&amp;CG183&amp;CH183&amp;CI183&amp;CJ183&amp;CK183&amp;CL183&amp;CM183&amp;CN183&amp;CO183&amp;CP183&amp;CQ183&amp;CR183&amp;CS183&amp;CT183&amp;CU183&amp;CV183&amp;CW183&amp;CX183</f>
        <v>#VALUE!</v>
      </c>
      <c r="CB183" s="3944" t="str">
        <f t="shared" si="400"/>
        <v xml:space="preserve"> * El Total de Exámenes Confirmados Positivos por ISP NO DEBE SUPERAR los  Exámenes Procesados. </v>
      </c>
      <c r="CC183" s="1865" t="str">
        <f t="shared" si="416"/>
        <v xml:space="preserve"> * El número de Exámenes por Sexo Hombres Confirmados positivos por ISP NO PUEDE Superar al número de Procesados. </v>
      </c>
      <c r="CD183" s="1865" t="str">
        <f t="shared" si="401"/>
        <v xml:space="preserve"> * El número de Exámenes por Sexo Mujeres Confirmados positivos por ISP NO PUEDE Superar al número de Procesados. </v>
      </c>
      <c r="CE183" s="1936"/>
      <c r="CF183" s="1936"/>
      <c r="CG183" s="1936"/>
      <c r="CH183" s="1936"/>
      <c r="CI183" s="1936"/>
      <c r="CJ183" s="1865" t="e">
        <f t="shared" si="402"/>
        <v>#VALUE!</v>
      </c>
      <c r="CK183" s="1937"/>
      <c r="CL183" s="1865" t="e">
        <f t="shared" si="417"/>
        <v>#VALUE!</v>
      </c>
      <c r="CM183" s="1865" t="e">
        <f t="shared" si="418"/>
        <v>#VALUE!</v>
      </c>
      <c r="CN183" s="1865" t="str">
        <f t="shared" si="419"/>
        <v xml:space="preserve"> * Los exámenes de Pueblos originarios Procesados no pueden ser mayor que el Total de exámenes procesados.</v>
      </c>
      <c r="CO183" s="1865" t="str">
        <f t="shared" si="420"/>
        <v xml:space="preserve"> * Los exámenes procesados de Migrantes no pueden ser mayor que el Total de exámenes procesados.</v>
      </c>
      <c r="CP183" s="1865" t="e">
        <f t="shared" si="421"/>
        <v>#VALUE!</v>
      </c>
      <c r="CQ183" s="1865" t="str">
        <f t="shared" si="422"/>
        <v xml:space="preserve"> * Los exámenes Confirmados positivos por ISP de Pueblos originarios no pueden ser mayor que el Total de exámenes Procesados por ISP.</v>
      </c>
      <c r="CR183" s="1865" t="str">
        <f t="shared" si="423"/>
        <v xml:space="preserve"> * Los exámenes Confirmados positivos por ISP de Migrantes no pueden ser mayor que el Total de exámenes Procesados por ISP.</v>
      </c>
      <c r="CS183" s="1936"/>
      <c r="CT183" s="1936"/>
      <c r="CU183" s="2946" t="e">
        <f t="shared" si="425"/>
        <v>#VALUE!</v>
      </c>
      <c r="CV183" s="2946" t="e">
        <f t="shared" si="428"/>
        <v>#VALUE!</v>
      </c>
      <c r="DG183" s="3946">
        <f t="shared" si="389"/>
        <v>1</v>
      </c>
      <c r="DH183" s="3922">
        <f t="shared" si="414"/>
        <v>1</v>
      </c>
      <c r="DI183" s="3922">
        <f t="shared" si="390"/>
        <v>1</v>
      </c>
      <c r="DJ183" s="1936"/>
      <c r="DK183" s="1936"/>
      <c r="DL183" s="1936"/>
      <c r="DM183" s="1936"/>
      <c r="DN183" s="1936"/>
      <c r="DO183" s="3922" t="e">
        <f t="shared" si="391"/>
        <v>#VALUE!</v>
      </c>
      <c r="DP183" s="1937"/>
      <c r="DQ183" s="3922" t="e">
        <f t="shared" si="392"/>
        <v>#VALUE!</v>
      </c>
      <c r="DR183" s="3922" t="e">
        <f t="shared" si="393"/>
        <v>#VALUE!</v>
      </c>
      <c r="DS183" s="3922">
        <f t="shared" si="394"/>
        <v>1</v>
      </c>
      <c r="DT183" s="3922">
        <f t="shared" si="395"/>
        <v>1</v>
      </c>
      <c r="DU183" s="3922" t="e">
        <f t="shared" si="396"/>
        <v>#VALUE!</v>
      </c>
      <c r="DV183" s="3922">
        <f t="shared" si="397"/>
        <v>1</v>
      </c>
      <c r="DW183" s="3922">
        <f t="shared" si="398"/>
        <v>1</v>
      </c>
      <c r="DX183" s="1936"/>
      <c r="DY183" s="1936"/>
      <c r="DZ183" s="2948" t="e">
        <f t="shared" si="426"/>
        <v>#VALUE!</v>
      </c>
      <c r="EA183" s="2948" t="e">
        <f t="shared" si="427"/>
        <v>#VALUE!</v>
      </c>
    </row>
    <row r="184" spans="1:131" ht="18" customHeight="1" x14ac:dyDescent="0.25">
      <c r="A184" s="5797"/>
      <c r="B184" s="7120" t="s">
        <v>1926</v>
      </c>
      <c r="C184" s="7120"/>
      <c r="D184" s="7120"/>
      <c r="E184" s="7120"/>
      <c r="F184" s="7120"/>
      <c r="G184" s="7120"/>
      <c r="H184" s="7120"/>
      <c r="I184" s="7120"/>
      <c r="J184" s="3959"/>
      <c r="K184" s="3959"/>
      <c r="L184" s="3959"/>
      <c r="M184" s="3959"/>
      <c r="N184" s="3959"/>
      <c r="O184" s="3959"/>
      <c r="P184" s="3959"/>
      <c r="Q184" s="3959"/>
      <c r="R184" s="3959"/>
      <c r="S184" s="3959"/>
      <c r="T184" s="3959"/>
      <c r="U184" s="3959"/>
      <c r="V184" s="3959"/>
      <c r="W184" s="3959"/>
      <c r="X184" s="3959"/>
      <c r="Y184" s="3959"/>
      <c r="Z184" s="3959"/>
      <c r="AA184" s="3959"/>
      <c r="AB184" s="3959"/>
      <c r="AC184" s="3959"/>
      <c r="AD184" s="3959"/>
      <c r="AE184" s="3959"/>
      <c r="AF184" s="3959"/>
      <c r="AG184" s="3959"/>
      <c r="AH184" s="3959"/>
      <c r="AI184" s="3959"/>
      <c r="AJ184" s="3959"/>
      <c r="AK184" s="3959"/>
      <c r="AL184" s="3960"/>
      <c r="AM184" s="3960"/>
      <c r="AN184" s="3960"/>
      <c r="AO184" s="3960"/>
      <c r="AP184" s="3960"/>
      <c r="AQ184" s="3960"/>
      <c r="AR184" s="3960"/>
      <c r="AS184" s="3960"/>
      <c r="AT184" s="3960"/>
      <c r="AU184" s="3960"/>
      <c r="AV184" s="3960"/>
      <c r="AW184" s="3960"/>
      <c r="AX184" s="3960"/>
      <c r="AY184" s="3960"/>
    </row>
    <row r="185" spans="1:131" x14ac:dyDescent="0.25">
      <c r="A185" s="5797"/>
      <c r="B185" s="7121" t="s">
        <v>1892</v>
      </c>
      <c r="C185" s="6511"/>
      <c r="D185" s="6491" t="s">
        <v>77</v>
      </c>
      <c r="E185" s="6576"/>
      <c r="F185" s="7107" t="s">
        <v>29</v>
      </c>
      <c r="G185" s="7108"/>
      <c r="H185" s="7108"/>
      <c r="I185" s="7108"/>
      <c r="J185" s="7108"/>
      <c r="K185" s="7108"/>
      <c r="L185" s="7108"/>
      <c r="M185" s="7108"/>
      <c r="N185" s="7108"/>
      <c r="O185" s="7108"/>
      <c r="P185" s="7108"/>
      <c r="Q185" s="7108"/>
      <c r="R185" s="7108"/>
      <c r="S185" s="7108"/>
      <c r="T185" s="7108"/>
      <c r="U185" s="7108"/>
      <c r="V185" s="7108"/>
      <c r="W185" s="7108"/>
      <c r="X185" s="7108"/>
      <c r="Y185" s="7108"/>
      <c r="Z185" s="7108"/>
      <c r="AA185" s="7108"/>
      <c r="AB185" s="7108"/>
      <c r="AC185" s="7108"/>
      <c r="AD185" s="7108"/>
      <c r="AE185" s="7108"/>
      <c r="AF185" s="7108"/>
      <c r="AG185" s="7108"/>
      <c r="AH185" s="7108"/>
      <c r="AI185" s="7108"/>
      <c r="AJ185" s="7108"/>
      <c r="AK185" s="7109"/>
      <c r="AL185" s="7133" t="s">
        <v>1906</v>
      </c>
      <c r="AM185" s="7133"/>
      <c r="AN185" s="7133"/>
      <c r="AO185" s="7134"/>
      <c r="AP185" s="7135" t="s">
        <v>457</v>
      </c>
      <c r="AQ185" s="7133"/>
      <c r="AR185" s="7133"/>
      <c r="AS185" s="7134"/>
      <c r="AT185" s="7112" t="s">
        <v>322</v>
      </c>
      <c r="AU185" s="7113"/>
      <c r="AV185" s="7112" t="s">
        <v>37</v>
      </c>
      <c r="AW185" s="7113"/>
      <c r="AX185" s="6510" t="s">
        <v>1907</v>
      </c>
      <c r="AY185" s="6511"/>
    </row>
    <row r="186" spans="1:131" x14ac:dyDescent="0.25">
      <c r="A186" s="5797"/>
      <c r="B186" s="6044"/>
      <c r="C186" s="6027"/>
      <c r="D186" s="6749"/>
      <c r="E186" s="6913"/>
      <c r="F186" s="7116" t="s">
        <v>1908</v>
      </c>
      <c r="G186" s="7110"/>
      <c r="H186" s="7116" t="s">
        <v>1863</v>
      </c>
      <c r="I186" s="7110"/>
      <c r="J186" s="7116" t="s">
        <v>937</v>
      </c>
      <c r="K186" s="7110"/>
      <c r="L186" s="7107" t="s">
        <v>326</v>
      </c>
      <c r="M186" s="7122"/>
      <c r="N186" s="7107" t="s">
        <v>94</v>
      </c>
      <c r="O186" s="7122"/>
      <c r="P186" s="7107" t="s">
        <v>44</v>
      </c>
      <c r="Q186" s="7122"/>
      <c r="R186" s="7107" t="s">
        <v>45</v>
      </c>
      <c r="S186" s="7122"/>
      <c r="T186" s="7107" t="s">
        <v>46</v>
      </c>
      <c r="U186" s="7122"/>
      <c r="V186" s="7107" t="s">
        <v>47</v>
      </c>
      <c r="W186" s="7122"/>
      <c r="X186" s="7107" t="s">
        <v>48</v>
      </c>
      <c r="Y186" s="7122"/>
      <c r="Z186" s="7107" t="s">
        <v>49</v>
      </c>
      <c r="AA186" s="7122"/>
      <c r="AB186" s="7107" t="s">
        <v>50</v>
      </c>
      <c r="AC186" s="7122"/>
      <c r="AD186" s="7107" t="s">
        <v>51</v>
      </c>
      <c r="AE186" s="7122"/>
      <c r="AF186" s="7107" t="s">
        <v>52</v>
      </c>
      <c r="AG186" s="7122"/>
      <c r="AH186" s="7107" t="s">
        <v>53</v>
      </c>
      <c r="AI186" s="7122"/>
      <c r="AJ186" s="7107" t="s">
        <v>1909</v>
      </c>
      <c r="AK186" s="7109"/>
      <c r="AL186" s="7138" t="s">
        <v>58</v>
      </c>
      <c r="AM186" s="7139"/>
      <c r="AN186" s="7136" t="s">
        <v>59</v>
      </c>
      <c r="AO186" s="7137"/>
      <c r="AP186" s="7138" t="s">
        <v>463</v>
      </c>
      <c r="AQ186" s="7139"/>
      <c r="AR186" s="7140" t="s">
        <v>462</v>
      </c>
      <c r="AS186" s="7137"/>
      <c r="AT186" s="7114"/>
      <c r="AU186" s="7115"/>
      <c r="AV186" s="7114"/>
      <c r="AW186" s="7115"/>
      <c r="AX186" s="6735"/>
      <c r="AY186" s="6955"/>
    </row>
    <row r="187" spans="1:131" ht="31.5" x14ac:dyDescent="0.25">
      <c r="A187" s="5797"/>
      <c r="B187" s="6734"/>
      <c r="C187" s="6955"/>
      <c r="D187" s="3894" t="s">
        <v>1864</v>
      </c>
      <c r="E187" s="3895" t="s">
        <v>1910</v>
      </c>
      <c r="F187" s="3894" t="s">
        <v>1864</v>
      </c>
      <c r="G187" s="3895" t="s">
        <v>1910</v>
      </c>
      <c r="H187" s="3894" t="s">
        <v>1864</v>
      </c>
      <c r="I187" s="3895" t="s">
        <v>1910</v>
      </c>
      <c r="J187" s="3894" t="s">
        <v>1864</v>
      </c>
      <c r="K187" s="3895" t="s">
        <v>1910</v>
      </c>
      <c r="L187" s="3894" t="s">
        <v>1864</v>
      </c>
      <c r="M187" s="3895" t="s">
        <v>1910</v>
      </c>
      <c r="N187" s="3894" t="s">
        <v>1864</v>
      </c>
      <c r="O187" s="3895" t="s">
        <v>1910</v>
      </c>
      <c r="P187" s="3894" t="s">
        <v>1864</v>
      </c>
      <c r="Q187" s="3895" t="s">
        <v>1910</v>
      </c>
      <c r="R187" s="3894" t="s">
        <v>1864</v>
      </c>
      <c r="S187" s="3895" t="s">
        <v>1910</v>
      </c>
      <c r="T187" s="3894" t="s">
        <v>1864</v>
      </c>
      <c r="U187" s="3895" t="s">
        <v>1910</v>
      </c>
      <c r="V187" s="3894" t="s">
        <v>1864</v>
      </c>
      <c r="W187" s="3895" t="s">
        <v>1910</v>
      </c>
      <c r="X187" s="3894" t="s">
        <v>1864</v>
      </c>
      <c r="Y187" s="3895" t="s">
        <v>1910</v>
      </c>
      <c r="Z187" s="3894" t="s">
        <v>1864</v>
      </c>
      <c r="AA187" s="3895" t="s">
        <v>1910</v>
      </c>
      <c r="AB187" s="3894" t="s">
        <v>1864</v>
      </c>
      <c r="AC187" s="3895" t="s">
        <v>1910</v>
      </c>
      <c r="AD187" s="3894" t="s">
        <v>1864</v>
      </c>
      <c r="AE187" s="3895" t="s">
        <v>1910</v>
      </c>
      <c r="AF187" s="3894" t="s">
        <v>1864</v>
      </c>
      <c r="AG187" s="3895" t="s">
        <v>1910</v>
      </c>
      <c r="AH187" s="3894" t="s">
        <v>1864</v>
      </c>
      <c r="AI187" s="3895" t="s">
        <v>1910</v>
      </c>
      <c r="AJ187" s="3894" t="s">
        <v>1864</v>
      </c>
      <c r="AK187" s="3898" t="s">
        <v>1910</v>
      </c>
      <c r="AL187" s="3897" t="s">
        <v>1864</v>
      </c>
      <c r="AM187" s="3895" t="s">
        <v>1910</v>
      </c>
      <c r="AN187" s="3894" t="s">
        <v>1864</v>
      </c>
      <c r="AO187" s="3895" t="s">
        <v>1910</v>
      </c>
      <c r="AP187" s="3939" t="s">
        <v>1864</v>
      </c>
      <c r="AQ187" s="3895" t="s">
        <v>1910</v>
      </c>
      <c r="AR187" s="3894" t="s">
        <v>1864</v>
      </c>
      <c r="AS187" s="3895" t="s">
        <v>1910</v>
      </c>
      <c r="AT187" s="3939" t="s">
        <v>1864</v>
      </c>
      <c r="AU187" s="3895" t="s">
        <v>1910</v>
      </c>
      <c r="AV187" s="3939" t="s">
        <v>1864</v>
      </c>
      <c r="AW187" s="3896" t="s">
        <v>1910</v>
      </c>
      <c r="AX187" s="3939" t="s">
        <v>1864</v>
      </c>
      <c r="AY187" s="3896" t="s">
        <v>1910</v>
      </c>
    </row>
    <row r="188" spans="1:131" x14ac:dyDescent="0.25">
      <c r="A188" s="5601">
        <v>11055200</v>
      </c>
      <c r="B188" s="7141" t="s">
        <v>1911</v>
      </c>
      <c r="C188" s="7142"/>
      <c r="D188" s="3225" t="s">
        <v>4567</v>
      </c>
      <c r="E188" s="3037" t="s">
        <v>4568</v>
      </c>
      <c r="F188" s="3940" t="s">
        <v>4569</v>
      </c>
      <c r="G188" s="3127" t="s">
        <v>4570</v>
      </c>
      <c r="H188" s="3940" t="s">
        <v>4571</v>
      </c>
      <c r="I188" s="3127" t="s">
        <v>4572</v>
      </c>
      <c r="J188" s="3940" t="s">
        <v>4573</v>
      </c>
      <c r="K188" s="3127" t="s">
        <v>4574</v>
      </c>
      <c r="L188" s="3940" t="s">
        <v>4575</v>
      </c>
      <c r="M188" s="3127" t="s">
        <v>4576</v>
      </c>
      <c r="N188" s="3278" t="s">
        <v>4577</v>
      </c>
      <c r="O188" s="935" t="s">
        <v>4578</v>
      </c>
      <c r="P188" s="3278" t="s">
        <v>4579</v>
      </c>
      <c r="Q188" s="935" t="s">
        <v>4580</v>
      </c>
      <c r="R188" s="3278" t="s">
        <v>4581</v>
      </c>
      <c r="S188" s="935" t="s">
        <v>4582</v>
      </c>
      <c r="T188" s="3278" t="s">
        <v>4583</v>
      </c>
      <c r="U188" s="935" t="s">
        <v>4584</v>
      </c>
      <c r="V188" s="3278" t="s">
        <v>4585</v>
      </c>
      <c r="W188" s="935" t="s">
        <v>4586</v>
      </c>
      <c r="X188" s="3278" t="s">
        <v>4587</v>
      </c>
      <c r="Y188" s="935" t="s">
        <v>4588</v>
      </c>
      <c r="Z188" s="3278" t="s">
        <v>4589</v>
      </c>
      <c r="AA188" s="935" t="s">
        <v>4590</v>
      </c>
      <c r="AB188" s="3278" t="s">
        <v>4591</v>
      </c>
      <c r="AC188" s="935" t="s">
        <v>4592</v>
      </c>
      <c r="AD188" s="3278" t="s">
        <v>4593</v>
      </c>
      <c r="AE188" s="935" t="s">
        <v>4594</v>
      </c>
      <c r="AF188" s="3278" t="s">
        <v>4595</v>
      </c>
      <c r="AG188" s="935" t="s">
        <v>4596</v>
      </c>
      <c r="AH188" s="3940" t="s">
        <v>4597</v>
      </c>
      <c r="AI188" s="1008" t="s">
        <v>4598</v>
      </c>
      <c r="AJ188" s="3940" t="s">
        <v>4599</v>
      </c>
      <c r="AK188" s="989" t="s">
        <v>4600</v>
      </c>
      <c r="AL188" s="3941" t="s">
        <v>4601</v>
      </c>
      <c r="AM188" s="3942" t="s">
        <v>4602</v>
      </c>
      <c r="AN188" s="326" t="s">
        <v>4603</v>
      </c>
      <c r="AO188" s="1884" t="s">
        <v>4604</v>
      </c>
      <c r="AP188" s="3903" t="s">
        <v>4605</v>
      </c>
      <c r="AQ188" s="329" t="s">
        <v>4606</v>
      </c>
      <c r="AR188" s="3904" t="s">
        <v>4934</v>
      </c>
      <c r="AS188" s="3943" t="s">
        <v>4935</v>
      </c>
      <c r="AT188" s="3903" t="s">
        <v>4936</v>
      </c>
      <c r="AU188" s="3943" t="s">
        <v>4937</v>
      </c>
      <c r="AV188" s="3903" t="s">
        <v>5234</v>
      </c>
      <c r="AW188" s="329" t="s">
        <v>5235</v>
      </c>
      <c r="AX188" s="3903" t="s">
        <v>5236</v>
      </c>
      <c r="AY188" s="329" t="s">
        <v>5237</v>
      </c>
      <c r="AZ188" s="1864" t="e">
        <f>$CB188&amp;$CD188&amp;CE188&amp;CF188&amp;CG188&amp;CH188&amp;CI188&amp;CJ188&amp;CK188&amp;CL188&amp;CM188&amp;CN188&amp;CO188&amp;CP188&amp;CQ188&amp;CR188&amp;CS188&amp;CT188&amp;CU188&amp;CV188</f>
        <v>#VALUE!</v>
      </c>
      <c r="CB188" s="3944" t="str">
        <f>IF(E188&gt;D188," * El Total de Exámenes Confirmados Positivos por ISP NO DEBE SUPERAR los Exámenes Procesados. ","")</f>
        <v xml:space="preserve"> * El Total de Exámenes Confirmados Positivos por ISP NO DEBE SUPERAR los Exámenes Procesados. </v>
      </c>
      <c r="CC188" s="3945"/>
      <c r="CD188" s="1865" t="str">
        <f>IF(AO188&gt;AN188,"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88" s="1936"/>
      <c r="CF188" s="1936"/>
      <c r="CG188" s="1936"/>
      <c r="CH188" s="1936"/>
      <c r="CI188" s="1936"/>
      <c r="CJ188" s="1865" t="e">
        <f>IF(AND(D188&gt;0,AND(AP188="",AR188=""))," * No olvide digitar los exámenes procesados Trans (Masculino y femenino) Digite Cero si no tiene.",IF((AP188+AR188)&gt;D188," * Los exámenes procesados en Trans (Masculino y femenino) no pueden ser mayor que el Total de exámenes procesados.",""))</f>
        <v>#VALUE!</v>
      </c>
      <c r="CK188" s="1937"/>
      <c r="CL188" s="1865" t="e">
        <f t="shared" ref="CL188:CL210" si="429">IF((AN188+AL188)&lt;&gt;D188," * El N° de exámenes Procesados por SEXO (Hombres + Mujeres)no puede ser distinto al Total de exámenes procesados","")</f>
        <v>#VALUE!</v>
      </c>
      <c r="CM188" s="1865" t="e">
        <f t="shared" ref="CM188:CM210" si="430">IF((AO188+AM188)&lt;&gt;E188," * El N° de exámenes Confirmados positivos por ISP por Sexo (Hombres+Mujeres) no puede ser distinto al N° Total de exámenes Confirmados positivos por ISP ","")</f>
        <v>#VALUE!</v>
      </c>
      <c r="CN188" s="1865" t="str">
        <f t="shared" ref="CN188:CN210" si="431">IF(AND(D188&gt;0,AT188="")," * No olvide digitar los examanes de Pueblos Originarios Procesados. Digite Cero si no tiene.",IF(AT188&gt;D188,"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88" s="1865" t="str">
        <f t="shared" ref="CO188:CO210" si="432">IF(AND(D188&gt;0,AV188="")," * No olvide digitar los exámenes Procesados de Migrantes. Digite Cero si no tiene.",IF(AV188&gt;D188," * Los exámenes procesados de Migrantes no pueden ser mayor que el Total de exámenes procesados.",""))</f>
        <v xml:space="preserve"> * Los exámenes procesados de Migrantes no pueden ser mayor que el Total de exámenes procesados.</v>
      </c>
      <c r="CP188" s="1865" t="e">
        <f t="shared" ref="CP188:CP210" si="433">IF(AND(E188&gt;0,AND(AQ188="",AS188=""))," * No olvide digitar los exámenes Confirmados positivos por ISP de Trans (Masculino y Femenino). Digite Cero si no tiene.",IF((AQ188+AS188)&gt;E188," * Los exámenes confirmados positivos por ISP de Trans (Masculino y Femenino) no pueden ser mayor que el Total de exámenes Confirmados positivos por ISP.",""))</f>
        <v>#VALUE!</v>
      </c>
      <c r="CQ188" s="1865" t="str">
        <f t="shared" ref="CQ188:CQ210" si="434">IF(AND(E188&gt;0,AU188="")," * No olvide digitar los exámenes Confirmados positivos por ISP de Pueblos Originarios. Digite Cero si no tiene.",IF(AU188&gt;E188,"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88" s="1865" t="str">
        <f t="shared" ref="CR188:CR210" si="435">IF(AND(E188&gt;0,AW188="")," * No olvide digitar los exámenes Confirmados positivos por ISP de Migrantes. Digite Cero si no tiene.",IF(AW188&gt;E188,"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88" s="1936"/>
      <c r="CT188" s="1936"/>
      <c r="CU188" s="2946" t="e">
        <f t="shared" ref="CU188:CU196" si="436">IF(AND((N188+P188)&gt;0,AX188=""),"*No olvide digitar los Exámenes Procesados de 14-18 años. Digite cero si no tiene.",IF(AX188&gt;(N188+P188),"* El Total de Procesados de 14-18 años NO DEBE ser mayor al Total de Procesados registrados en los grupos de edad 10 a 14 + 15 a 19 años. ",""))</f>
        <v>#VALUE!</v>
      </c>
      <c r="CV188" s="2946" t="e">
        <f t="shared" ref="CV188:CV196" si="437">IF(AND((O188+Q188)&gt;0,AY188=""),"*No olvide digitar los Exámenes Confirmados Positivos por ISP de 14-18 años. Digite cero si no tiene.",IF(AY188&gt;(O188+Q188),"* El Total de Confirmados de 14-18 años NO DEBE ser mayor al Total de Confirmados Positivos por ISP registrados en los grupos de edad 10 a 14 + 15 a 19 años. ",""))</f>
        <v>#VALUE!</v>
      </c>
      <c r="DG188" s="3946">
        <f t="shared" ref="DG188:DG210" si="438">IF(E188&gt;D188,1,0)</f>
        <v>1</v>
      </c>
      <c r="DH188" s="3945"/>
      <c r="DI188" s="3922">
        <f t="shared" ref="DI188:DI210" si="439">IF(AO188&gt;AN188,1,0)</f>
        <v>1</v>
      </c>
      <c r="DJ188" s="1936"/>
      <c r="DK188" s="1936"/>
      <c r="DL188" s="1936"/>
      <c r="DM188" s="1936"/>
      <c r="DN188" s="1936"/>
      <c r="DO188" s="3922" t="e">
        <f t="shared" ref="DO188:DO210" si="440">IF(AND(D188&gt;0,AND(AP188="",AR188="")),1,IF((AP188+AR188)&gt;D188,1,0))</f>
        <v>#VALUE!</v>
      </c>
      <c r="DP188" s="1937"/>
      <c r="DQ188" s="3922" t="e">
        <f t="shared" ref="DQ188:DQ210" si="441">IF((AN188+AL188)&lt;&gt;D188,1,0)</f>
        <v>#VALUE!</v>
      </c>
      <c r="DR188" s="3922" t="e">
        <f t="shared" ref="DR188:DR210" si="442">IF((AO188+AM188)&lt;&gt;E188,1,0)</f>
        <v>#VALUE!</v>
      </c>
      <c r="DS188" s="3922">
        <f t="shared" ref="DS188:DS210" si="443">IF(AND(D188&gt;0,AT188=""),1,IF(AT188&gt;D188,1,0))</f>
        <v>1</v>
      </c>
      <c r="DT188" s="3922">
        <f t="shared" ref="DT188:DT210" si="444">IF(AND(D188&gt;0,AV188=""),1,IF(AV188&gt;D188,1,0))</f>
        <v>1</v>
      </c>
      <c r="DU188" s="3922" t="e">
        <f t="shared" ref="DU188:DU210" si="445">IF(AND(E188&gt;0,OR(AQ188="",AS188="")),1,IF((AQ188+AS188)&gt;E188,1,0))</f>
        <v>#VALUE!</v>
      </c>
      <c r="DV188" s="3922">
        <f t="shared" ref="DV188:DV210" si="446">IF(AND(E188&gt;0,AU188=""),1,IF(AU188&gt;E188,1,0))</f>
        <v>1</v>
      </c>
      <c r="DW188" s="3922">
        <f t="shared" ref="DW188:DW210" si="447">IF(AND(E188&gt;0,AW188=""),1,IF(AW188&gt;E188,1,0))</f>
        <v>1</v>
      </c>
      <c r="DX188" s="1936"/>
      <c r="DY188" s="1936"/>
      <c r="DZ188" s="3922" t="e">
        <f t="shared" ref="DZ188:DZ196" si="448">IF(AND((N188+P188)&gt;0,AX188=""),1,IF(AX188&gt;(N188+P188),1,0))</f>
        <v>#VALUE!</v>
      </c>
      <c r="EA188" s="3922" t="e">
        <f t="shared" ref="EA188:EA196" si="449">IF(AND((O188+Q188)&gt;0,AY188=""),1,IF(AY188&gt;(O188+Q188),1,0))</f>
        <v>#VALUE!</v>
      </c>
    </row>
    <row r="189" spans="1:131" x14ac:dyDescent="0.25">
      <c r="A189" s="5601">
        <v>11055210</v>
      </c>
      <c r="B189" s="7143" t="s">
        <v>1912</v>
      </c>
      <c r="C189" s="7144"/>
      <c r="D189" s="3908" t="s">
        <v>4567</v>
      </c>
      <c r="E189" s="3041" t="s">
        <v>4568</v>
      </c>
      <c r="F189" s="3909" t="s">
        <v>4569</v>
      </c>
      <c r="G189" s="3910" t="s">
        <v>4570</v>
      </c>
      <c r="H189" s="3909" t="s">
        <v>4571</v>
      </c>
      <c r="I189" s="3910" t="s">
        <v>4572</v>
      </c>
      <c r="J189" s="3909" t="s">
        <v>4573</v>
      </c>
      <c r="K189" s="3910" t="s">
        <v>4574</v>
      </c>
      <c r="L189" s="3909" t="s">
        <v>4575</v>
      </c>
      <c r="M189" s="3910" t="s">
        <v>4576</v>
      </c>
      <c r="N189" s="326" t="s">
        <v>4577</v>
      </c>
      <c r="O189" s="1014" t="s">
        <v>4578</v>
      </c>
      <c r="P189" s="326" t="s">
        <v>4579</v>
      </c>
      <c r="Q189" s="1014" t="s">
        <v>4580</v>
      </c>
      <c r="R189" s="326" t="s">
        <v>4581</v>
      </c>
      <c r="S189" s="1014" t="s">
        <v>4582</v>
      </c>
      <c r="T189" s="326" t="s">
        <v>4583</v>
      </c>
      <c r="U189" s="1014" t="s">
        <v>4584</v>
      </c>
      <c r="V189" s="326" t="s">
        <v>4585</v>
      </c>
      <c r="W189" s="1014" t="s">
        <v>4586</v>
      </c>
      <c r="X189" s="326" t="s">
        <v>4587</v>
      </c>
      <c r="Y189" s="1014" t="s">
        <v>4588</v>
      </c>
      <c r="Z189" s="326" t="s">
        <v>4589</v>
      </c>
      <c r="AA189" s="1014" t="s">
        <v>4590</v>
      </c>
      <c r="AB189" s="326" t="s">
        <v>4591</v>
      </c>
      <c r="AC189" s="1014" t="s">
        <v>4592</v>
      </c>
      <c r="AD189" s="326" t="s">
        <v>4593</v>
      </c>
      <c r="AE189" s="1014" t="s">
        <v>4594</v>
      </c>
      <c r="AF189" s="326" t="s">
        <v>4595</v>
      </c>
      <c r="AG189" s="1014" t="s">
        <v>4596</v>
      </c>
      <c r="AH189" s="3909" t="s">
        <v>4597</v>
      </c>
      <c r="AI189" s="3911" t="s">
        <v>4598</v>
      </c>
      <c r="AJ189" s="3909" t="s">
        <v>4599</v>
      </c>
      <c r="AK189" s="3920" t="s">
        <v>4600</v>
      </c>
      <c r="AL189" s="3901" t="s">
        <v>4601</v>
      </c>
      <c r="AM189" s="2318" t="s">
        <v>4602</v>
      </c>
      <c r="AN189" s="3913" t="s">
        <v>4603</v>
      </c>
      <c r="AO189" s="3943" t="s">
        <v>4604</v>
      </c>
      <c r="AP189" s="3903" t="s">
        <v>4605</v>
      </c>
      <c r="AQ189" s="329" t="s">
        <v>4606</v>
      </c>
      <c r="AR189" s="3904" t="s">
        <v>4934</v>
      </c>
      <c r="AS189" s="3943" t="s">
        <v>4935</v>
      </c>
      <c r="AT189" s="3903" t="s">
        <v>4936</v>
      </c>
      <c r="AU189" s="3943" t="s">
        <v>4937</v>
      </c>
      <c r="AV189" s="3903" t="s">
        <v>5234</v>
      </c>
      <c r="AW189" s="329" t="s">
        <v>5235</v>
      </c>
      <c r="AX189" s="3903" t="s">
        <v>5236</v>
      </c>
      <c r="AY189" s="329" t="s">
        <v>5237</v>
      </c>
      <c r="AZ189" s="1864" t="e">
        <f>$CB189&amp;$CD189&amp;CE189&amp;CF189&amp;CG189&amp;CH189&amp;CI189&amp;CJ189&amp;CK189&amp;CL189&amp;CM189&amp;CN189&amp;CO189&amp;CP189&amp;CQ189&amp;CR189&amp;CS189&amp;CT189&amp;CU189</f>
        <v>#VALUE!</v>
      </c>
      <c r="CB189" s="3944" t="str">
        <f t="shared" ref="CB189:CB210" si="450">IF(E189&gt;D189," * El Total de Exámenes Confirmados Positivos por ISP NO DEBE SUPERAR los Exámenes Procesados. ","")</f>
        <v xml:space="preserve"> * El Total de Exámenes Confirmados Positivos por ISP NO DEBE SUPERAR los Exámenes Procesados. </v>
      </c>
      <c r="CC189" s="3945"/>
      <c r="CD189" s="1865" t="str">
        <f t="shared" ref="CD189:CD210" si="451">IF(AO189&gt;AN189,"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89" s="1936"/>
      <c r="CF189" s="1936"/>
      <c r="CG189" s="1936"/>
      <c r="CH189" s="1936"/>
      <c r="CI189" s="1936"/>
      <c r="CJ189" s="1865" t="e">
        <f t="shared" ref="CJ189:CJ210" si="452">IF(AND(D189&gt;0,AND(AP189="",AR189=""))," * No olvide digitar los exámenes procesados Trans (Masculino y femenino) Digite Cero si no tiene.",IF((AP189+AR189)&gt;D189," * Los exámenes procesados en Trans (Masculino y femenino) no pueden ser mayor que el Total de exámenes procesados.",""))</f>
        <v>#VALUE!</v>
      </c>
      <c r="CK189" s="1937"/>
      <c r="CL189" s="1865" t="e">
        <f t="shared" si="429"/>
        <v>#VALUE!</v>
      </c>
      <c r="CM189" s="1865" t="e">
        <f t="shared" si="430"/>
        <v>#VALUE!</v>
      </c>
      <c r="CN189" s="1865" t="str">
        <f t="shared" si="431"/>
        <v xml:space="preserve"> * Los exámenes de Pueblos originarios Procesados no pueden ser mayor que el Total de exámenes procesados.</v>
      </c>
      <c r="CO189" s="1865" t="str">
        <f t="shared" si="432"/>
        <v xml:space="preserve"> * Los exámenes procesados de Migrantes no pueden ser mayor que el Total de exámenes procesados.</v>
      </c>
      <c r="CP189" s="1865" t="e">
        <f t="shared" si="433"/>
        <v>#VALUE!</v>
      </c>
      <c r="CQ189" s="1865" t="str">
        <f t="shared" si="434"/>
        <v xml:space="preserve"> * Los exámenes Confirmados positivos por ISP de Pueblos originarios no pueden ser mayor que el Total de exámenes Procesados por ISP.</v>
      </c>
      <c r="CR189" s="1865" t="str">
        <f t="shared" si="435"/>
        <v xml:space="preserve"> * Los exámenes Confirmados positivos por ISP de Migrantes no pueden ser mayor que el Total de exámenes Procesados por ISP.</v>
      </c>
      <c r="CS189" s="1936"/>
      <c r="CT189" s="1936"/>
      <c r="CU189" s="2946" t="e">
        <f t="shared" si="436"/>
        <v>#VALUE!</v>
      </c>
      <c r="CV189" s="2946" t="e">
        <f t="shared" si="437"/>
        <v>#VALUE!</v>
      </c>
      <c r="DG189" s="3946">
        <f t="shared" si="438"/>
        <v>1</v>
      </c>
      <c r="DH189" s="3945"/>
      <c r="DI189" s="3922">
        <f t="shared" si="439"/>
        <v>1</v>
      </c>
      <c r="DJ189" s="1936"/>
      <c r="DK189" s="1936"/>
      <c r="DL189" s="1936"/>
      <c r="DM189" s="1936"/>
      <c r="DN189" s="1936"/>
      <c r="DO189" s="3922" t="e">
        <f t="shared" si="440"/>
        <v>#VALUE!</v>
      </c>
      <c r="DP189" s="1937"/>
      <c r="DQ189" s="3922" t="e">
        <f t="shared" si="441"/>
        <v>#VALUE!</v>
      </c>
      <c r="DR189" s="3922" t="e">
        <f t="shared" si="442"/>
        <v>#VALUE!</v>
      </c>
      <c r="DS189" s="3922">
        <f t="shared" si="443"/>
        <v>1</v>
      </c>
      <c r="DT189" s="3922">
        <f t="shared" si="444"/>
        <v>1</v>
      </c>
      <c r="DU189" s="3922" t="e">
        <f t="shared" si="445"/>
        <v>#VALUE!</v>
      </c>
      <c r="DV189" s="3922">
        <f t="shared" si="446"/>
        <v>1</v>
      </c>
      <c r="DW189" s="3922">
        <f t="shared" si="447"/>
        <v>1</v>
      </c>
      <c r="DX189" s="1936"/>
      <c r="DY189" s="1936"/>
      <c r="DZ189" s="3922" t="e">
        <f t="shared" si="448"/>
        <v>#VALUE!</v>
      </c>
      <c r="EA189" s="3922" t="e">
        <f t="shared" si="449"/>
        <v>#VALUE!</v>
      </c>
    </row>
    <row r="190" spans="1:131" x14ac:dyDescent="0.25">
      <c r="A190" s="5601">
        <v>11055220</v>
      </c>
      <c r="B190" s="7143" t="s">
        <v>1913</v>
      </c>
      <c r="C190" s="7144"/>
      <c r="D190" s="3908" t="s">
        <v>4567</v>
      </c>
      <c r="E190" s="3041" t="s">
        <v>4568</v>
      </c>
      <c r="F190" s="3909" t="s">
        <v>4569</v>
      </c>
      <c r="G190" s="3910" t="s">
        <v>4570</v>
      </c>
      <c r="H190" s="3909" t="s">
        <v>4571</v>
      </c>
      <c r="I190" s="3910" t="s">
        <v>4572</v>
      </c>
      <c r="J190" s="3909" t="s">
        <v>4573</v>
      </c>
      <c r="K190" s="3910" t="s">
        <v>4574</v>
      </c>
      <c r="L190" s="3909" t="s">
        <v>4575</v>
      </c>
      <c r="M190" s="3910" t="s">
        <v>4576</v>
      </c>
      <c r="N190" s="3913" t="s">
        <v>4577</v>
      </c>
      <c r="O190" s="3912" t="s">
        <v>4578</v>
      </c>
      <c r="P190" s="3913" t="s">
        <v>4579</v>
      </c>
      <c r="Q190" s="3912" t="s">
        <v>4580</v>
      </c>
      <c r="R190" s="3913" t="s">
        <v>4581</v>
      </c>
      <c r="S190" s="3912" t="s">
        <v>4582</v>
      </c>
      <c r="T190" s="3913" t="s">
        <v>4583</v>
      </c>
      <c r="U190" s="3912" t="s">
        <v>4584</v>
      </c>
      <c r="V190" s="3913" t="s">
        <v>4585</v>
      </c>
      <c r="W190" s="3912" t="s">
        <v>4586</v>
      </c>
      <c r="X190" s="3913" t="s">
        <v>4587</v>
      </c>
      <c r="Y190" s="3912" t="s">
        <v>4588</v>
      </c>
      <c r="Z190" s="3913" t="s">
        <v>4589</v>
      </c>
      <c r="AA190" s="3912" t="s">
        <v>4590</v>
      </c>
      <c r="AB190" s="3913" t="s">
        <v>4591</v>
      </c>
      <c r="AC190" s="3912" t="s">
        <v>4592</v>
      </c>
      <c r="AD190" s="3913" t="s">
        <v>4593</v>
      </c>
      <c r="AE190" s="3912" t="s">
        <v>4594</v>
      </c>
      <c r="AF190" s="3913" t="s">
        <v>4595</v>
      </c>
      <c r="AG190" s="3912" t="s">
        <v>4596</v>
      </c>
      <c r="AH190" s="3909" t="s">
        <v>4597</v>
      </c>
      <c r="AI190" s="3911" t="s">
        <v>4598</v>
      </c>
      <c r="AJ190" s="3909" t="s">
        <v>4599</v>
      </c>
      <c r="AK190" s="3920" t="s">
        <v>4600</v>
      </c>
      <c r="AL190" s="3901" t="s">
        <v>4601</v>
      </c>
      <c r="AM190" s="2318" t="s">
        <v>4602</v>
      </c>
      <c r="AN190" s="3913" t="s">
        <v>4603</v>
      </c>
      <c r="AO190" s="3943" t="s">
        <v>4604</v>
      </c>
      <c r="AP190" s="3903" t="s">
        <v>4605</v>
      </c>
      <c r="AQ190" s="329" t="s">
        <v>4606</v>
      </c>
      <c r="AR190" s="3904" t="s">
        <v>4934</v>
      </c>
      <c r="AS190" s="3943" t="s">
        <v>4935</v>
      </c>
      <c r="AT190" s="3903" t="s">
        <v>4936</v>
      </c>
      <c r="AU190" s="3943" t="s">
        <v>4937</v>
      </c>
      <c r="AV190" s="3903" t="s">
        <v>5234</v>
      </c>
      <c r="AW190" s="329" t="s">
        <v>5235</v>
      </c>
      <c r="AX190" s="3903" t="s">
        <v>5236</v>
      </c>
      <c r="AY190" s="329" t="s">
        <v>5237</v>
      </c>
      <c r="AZ190" s="1864" t="e">
        <f t="shared" ref="AZ190" si="453">$CB190&amp;$CD190&amp;CE190&amp;CF190&amp;CG190&amp;CH190&amp;CI190&amp;CJ190&amp;CK190&amp;CL190&amp;CM190&amp;CN190&amp;CO190&amp;CP190&amp;CQ190&amp;CR190&amp;CS190&amp;CT190&amp;CU190</f>
        <v>#VALUE!</v>
      </c>
      <c r="CB190" s="3944" t="str">
        <f t="shared" si="450"/>
        <v xml:space="preserve"> * El Total de Exámenes Confirmados Positivos por ISP NO DEBE SUPERAR los Exámenes Procesados. </v>
      </c>
      <c r="CC190" s="3945"/>
      <c r="CD190" s="1865" t="str">
        <f t="shared" si="451"/>
        <v xml:space="preserve"> * El número de Exámenes por Sexo Mujeres Confirmados positivos por ISP NO PUEDE Superar al número de Procesados. </v>
      </c>
      <c r="CE190" s="1936"/>
      <c r="CF190" s="1936"/>
      <c r="CG190" s="1936"/>
      <c r="CH190" s="1936"/>
      <c r="CI190" s="1936"/>
      <c r="CJ190" s="1865" t="e">
        <f t="shared" si="452"/>
        <v>#VALUE!</v>
      </c>
      <c r="CK190" s="1937"/>
      <c r="CL190" s="1865" t="e">
        <f t="shared" si="429"/>
        <v>#VALUE!</v>
      </c>
      <c r="CM190" s="1865" t="e">
        <f t="shared" si="430"/>
        <v>#VALUE!</v>
      </c>
      <c r="CN190" s="1865" t="str">
        <f t="shared" si="431"/>
        <v xml:space="preserve"> * Los exámenes de Pueblos originarios Procesados no pueden ser mayor que el Total de exámenes procesados.</v>
      </c>
      <c r="CO190" s="1865" t="str">
        <f t="shared" si="432"/>
        <v xml:space="preserve"> * Los exámenes procesados de Migrantes no pueden ser mayor que el Total de exámenes procesados.</v>
      </c>
      <c r="CP190" s="1865" t="e">
        <f t="shared" si="433"/>
        <v>#VALUE!</v>
      </c>
      <c r="CQ190" s="1865" t="str">
        <f t="shared" si="434"/>
        <v xml:space="preserve"> * Los exámenes Confirmados positivos por ISP de Pueblos originarios no pueden ser mayor que el Total de exámenes Procesados por ISP.</v>
      </c>
      <c r="CR190" s="1865" t="str">
        <f t="shared" si="435"/>
        <v xml:space="preserve"> * Los exámenes Confirmados positivos por ISP de Migrantes no pueden ser mayor que el Total de exámenes Procesados por ISP.</v>
      </c>
      <c r="CS190" s="1936"/>
      <c r="CT190" s="1936"/>
      <c r="CU190" s="2946" t="e">
        <f t="shared" si="436"/>
        <v>#VALUE!</v>
      </c>
      <c r="CV190" s="2946" t="e">
        <f t="shared" si="437"/>
        <v>#VALUE!</v>
      </c>
      <c r="DG190" s="3946">
        <f t="shared" si="438"/>
        <v>1</v>
      </c>
      <c r="DH190" s="3945"/>
      <c r="DI190" s="3922">
        <f t="shared" si="439"/>
        <v>1</v>
      </c>
      <c r="DJ190" s="1936"/>
      <c r="DK190" s="1936"/>
      <c r="DL190" s="1936"/>
      <c r="DM190" s="1936"/>
      <c r="DN190" s="1936"/>
      <c r="DO190" s="3922" t="e">
        <f t="shared" si="440"/>
        <v>#VALUE!</v>
      </c>
      <c r="DP190" s="1937"/>
      <c r="DQ190" s="3922" t="e">
        <f t="shared" si="441"/>
        <v>#VALUE!</v>
      </c>
      <c r="DR190" s="3922" t="e">
        <f t="shared" si="442"/>
        <v>#VALUE!</v>
      </c>
      <c r="DS190" s="3922">
        <f t="shared" si="443"/>
        <v>1</v>
      </c>
      <c r="DT190" s="3922">
        <f t="shared" si="444"/>
        <v>1</v>
      </c>
      <c r="DU190" s="3922" t="e">
        <f t="shared" si="445"/>
        <v>#VALUE!</v>
      </c>
      <c r="DV190" s="3922">
        <f t="shared" si="446"/>
        <v>1</v>
      </c>
      <c r="DW190" s="3922">
        <f t="shared" si="447"/>
        <v>1</v>
      </c>
      <c r="DX190" s="1936"/>
      <c r="DY190" s="1936"/>
      <c r="DZ190" s="3922" t="e">
        <f t="shared" si="448"/>
        <v>#VALUE!</v>
      </c>
      <c r="EA190" s="3922" t="e">
        <f t="shared" si="449"/>
        <v>#VALUE!</v>
      </c>
    </row>
    <row r="191" spans="1:131" x14ac:dyDescent="0.25">
      <c r="A191" s="5601">
        <v>11055230</v>
      </c>
      <c r="B191" s="7143" t="s">
        <v>1876</v>
      </c>
      <c r="C191" s="7144"/>
      <c r="D191" s="3908" t="s">
        <v>4567</v>
      </c>
      <c r="E191" s="3947" t="s">
        <v>4568</v>
      </c>
      <c r="F191" s="3909" t="s">
        <v>4569</v>
      </c>
      <c r="G191" s="3910" t="s">
        <v>4570</v>
      </c>
      <c r="H191" s="3909" t="s">
        <v>4571</v>
      </c>
      <c r="I191" s="3910" t="s">
        <v>4572</v>
      </c>
      <c r="J191" s="3909" t="s">
        <v>4573</v>
      </c>
      <c r="K191" s="3910" t="s">
        <v>4574</v>
      </c>
      <c r="L191" s="3909" t="s">
        <v>4575</v>
      </c>
      <c r="M191" s="3910" t="s">
        <v>4576</v>
      </c>
      <c r="N191" s="3909" t="s">
        <v>4577</v>
      </c>
      <c r="O191" s="3910" t="s">
        <v>4578</v>
      </c>
      <c r="P191" s="3913" t="s">
        <v>4579</v>
      </c>
      <c r="Q191" s="3912" t="s">
        <v>4580</v>
      </c>
      <c r="R191" s="3913" t="s">
        <v>4581</v>
      </c>
      <c r="S191" s="3912" t="s">
        <v>4582</v>
      </c>
      <c r="T191" s="3913" t="s">
        <v>4583</v>
      </c>
      <c r="U191" s="3912" t="s">
        <v>4584</v>
      </c>
      <c r="V191" s="3913" t="s">
        <v>4585</v>
      </c>
      <c r="W191" s="3912" t="s">
        <v>4586</v>
      </c>
      <c r="X191" s="3913" t="s">
        <v>4587</v>
      </c>
      <c r="Y191" s="3912" t="s">
        <v>4588</v>
      </c>
      <c r="Z191" s="3913" t="s">
        <v>4589</v>
      </c>
      <c r="AA191" s="3912" t="s">
        <v>4590</v>
      </c>
      <c r="AB191" s="3913" t="s">
        <v>4591</v>
      </c>
      <c r="AC191" s="3912" t="s">
        <v>4592</v>
      </c>
      <c r="AD191" s="3913" t="s">
        <v>4593</v>
      </c>
      <c r="AE191" s="3912" t="s">
        <v>4594</v>
      </c>
      <c r="AF191" s="3913" t="s">
        <v>4595</v>
      </c>
      <c r="AG191" s="3912" t="s">
        <v>4596</v>
      </c>
      <c r="AH191" s="3913" t="s">
        <v>4597</v>
      </c>
      <c r="AI191" s="3912" t="s">
        <v>4598</v>
      </c>
      <c r="AJ191" s="3913" t="s">
        <v>4599</v>
      </c>
      <c r="AK191" s="3912" t="s">
        <v>4600</v>
      </c>
      <c r="AL191" s="3903" t="s">
        <v>4601</v>
      </c>
      <c r="AM191" s="329" t="s">
        <v>4602</v>
      </c>
      <c r="AN191" s="3913" t="s">
        <v>4603</v>
      </c>
      <c r="AO191" s="3943" t="s">
        <v>4604</v>
      </c>
      <c r="AP191" s="3903" t="s">
        <v>4605</v>
      </c>
      <c r="AQ191" s="329" t="s">
        <v>4606</v>
      </c>
      <c r="AR191" s="3904" t="s">
        <v>4934</v>
      </c>
      <c r="AS191" s="3943" t="s">
        <v>4935</v>
      </c>
      <c r="AT191" s="3903" t="s">
        <v>4936</v>
      </c>
      <c r="AU191" s="3943" t="s">
        <v>4937</v>
      </c>
      <c r="AV191" s="3903" t="s">
        <v>5234</v>
      </c>
      <c r="AW191" s="329" t="s">
        <v>5235</v>
      </c>
      <c r="AX191" s="3903" t="s">
        <v>5236</v>
      </c>
      <c r="AY191" s="329" t="s">
        <v>5237</v>
      </c>
      <c r="AZ191" s="1864" t="e">
        <f>$CB191&amp;CC191&amp;$CD191&amp;CE191&amp;CF191&amp;CG191&amp;CH191&amp;CI191&amp;CJ191&amp;CK191&amp;CL191&amp;CM191&amp;CN191&amp;CO191&amp;CP191&amp;CQ191&amp;CR191&amp;CS191&amp;CT191&amp;CU191&amp;CV191</f>
        <v>#VALUE!</v>
      </c>
      <c r="CB191" s="3944" t="str">
        <f t="shared" si="450"/>
        <v xml:space="preserve"> * El Total de Exámenes Confirmados Positivos por ISP NO DEBE SUPERAR los Exámenes Procesados. </v>
      </c>
      <c r="CC191" s="1865" t="str">
        <f>IF(AM191&gt;AL191,"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91" s="1865" t="str">
        <f t="shared" si="451"/>
        <v xml:space="preserve"> * El número de Exámenes por Sexo Mujeres Confirmados positivos por ISP NO PUEDE Superar al número de Procesados. </v>
      </c>
      <c r="CE191" s="1936"/>
      <c r="CF191" s="1936"/>
      <c r="CG191" s="1936"/>
      <c r="CH191" s="1936"/>
      <c r="CI191" s="1936"/>
      <c r="CJ191" s="1865" t="e">
        <f t="shared" si="452"/>
        <v>#VALUE!</v>
      </c>
      <c r="CK191" s="1937"/>
      <c r="CL191" s="1865" t="e">
        <f t="shared" si="429"/>
        <v>#VALUE!</v>
      </c>
      <c r="CM191" s="1865" t="e">
        <f t="shared" si="430"/>
        <v>#VALUE!</v>
      </c>
      <c r="CN191" s="1865" t="str">
        <f t="shared" si="431"/>
        <v xml:space="preserve"> * Los exámenes de Pueblos originarios Procesados no pueden ser mayor que el Total de exámenes procesados.</v>
      </c>
      <c r="CO191" s="1865" t="str">
        <f t="shared" si="432"/>
        <v xml:space="preserve"> * Los exámenes procesados de Migrantes no pueden ser mayor que el Total de exámenes procesados.</v>
      </c>
      <c r="CP191" s="1865" t="e">
        <f t="shared" si="433"/>
        <v>#VALUE!</v>
      </c>
      <c r="CQ191" s="1865" t="str">
        <f t="shared" si="434"/>
        <v xml:space="preserve"> * Los exámenes Confirmados positivos por ISP de Pueblos originarios no pueden ser mayor que el Total de exámenes Procesados por ISP.</v>
      </c>
      <c r="CR191" s="1865" t="str">
        <f t="shared" si="435"/>
        <v xml:space="preserve"> * Los exámenes Confirmados positivos por ISP de Migrantes no pueden ser mayor que el Total de exámenes Procesados por ISP.</v>
      </c>
      <c r="CS191" s="1936"/>
      <c r="CT191" s="1936"/>
      <c r="CU191" s="2946" t="e">
        <f t="shared" si="436"/>
        <v>#VALUE!</v>
      </c>
      <c r="CV191" s="2946" t="e">
        <f t="shared" si="437"/>
        <v>#VALUE!</v>
      </c>
      <c r="DG191" s="3946">
        <f t="shared" si="438"/>
        <v>1</v>
      </c>
      <c r="DH191" s="3922">
        <f t="shared" ref="DH191:DH210" si="454">IF(AM191&gt;AL191,1,0)</f>
        <v>1</v>
      </c>
      <c r="DI191" s="3922">
        <f t="shared" si="439"/>
        <v>1</v>
      </c>
      <c r="DJ191" s="1936"/>
      <c r="DK191" s="1936"/>
      <c r="DL191" s="1936"/>
      <c r="DM191" s="1936"/>
      <c r="DN191" s="1936"/>
      <c r="DO191" s="3922" t="e">
        <f t="shared" si="440"/>
        <v>#VALUE!</v>
      </c>
      <c r="DP191" s="1937"/>
      <c r="DQ191" s="3922" t="e">
        <f t="shared" si="441"/>
        <v>#VALUE!</v>
      </c>
      <c r="DR191" s="3922" t="e">
        <f t="shared" si="442"/>
        <v>#VALUE!</v>
      </c>
      <c r="DS191" s="3922">
        <f t="shared" si="443"/>
        <v>1</v>
      </c>
      <c r="DT191" s="3922">
        <f t="shared" si="444"/>
        <v>1</v>
      </c>
      <c r="DU191" s="3922" t="e">
        <f t="shared" si="445"/>
        <v>#VALUE!</v>
      </c>
      <c r="DV191" s="3922">
        <f t="shared" si="446"/>
        <v>1</v>
      </c>
      <c r="DW191" s="3922">
        <f t="shared" si="447"/>
        <v>1</v>
      </c>
      <c r="DX191" s="1936"/>
      <c r="DY191" s="1936"/>
      <c r="DZ191" s="3922" t="e">
        <f t="shared" si="448"/>
        <v>#VALUE!</v>
      </c>
      <c r="EA191" s="3922" t="e">
        <f t="shared" si="449"/>
        <v>#VALUE!</v>
      </c>
    </row>
    <row r="192" spans="1:131" x14ac:dyDescent="0.25">
      <c r="A192" s="5601">
        <v>11055240</v>
      </c>
      <c r="B192" s="7143" t="s">
        <v>1882</v>
      </c>
      <c r="C192" s="7144"/>
      <c r="D192" s="3908" t="s">
        <v>4567</v>
      </c>
      <c r="E192" s="3947" t="s">
        <v>4568</v>
      </c>
      <c r="F192" s="3913" t="s">
        <v>4569</v>
      </c>
      <c r="G192" s="3912" t="s">
        <v>4570</v>
      </c>
      <c r="H192" s="3913" t="s">
        <v>4571</v>
      </c>
      <c r="I192" s="3912" t="s">
        <v>4572</v>
      </c>
      <c r="J192" s="3913" t="s">
        <v>4573</v>
      </c>
      <c r="K192" s="3912" t="s">
        <v>4574</v>
      </c>
      <c r="L192" s="3913" t="s">
        <v>4575</v>
      </c>
      <c r="M192" s="3912" t="s">
        <v>4576</v>
      </c>
      <c r="N192" s="3913" t="s">
        <v>4577</v>
      </c>
      <c r="O192" s="3912" t="s">
        <v>4578</v>
      </c>
      <c r="P192" s="3913" t="s">
        <v>4579</v>
      </c>
      <c r="Q192" s="3912" t="s">
        <v>4580</v>
      </c>
      <c r="R192" s="3913" t="s">
        <v>4581</v>
      </c>
      <c r="S192" s="3912" t="s">
        <v>4582</v>
      </c>
      <c r="T192" s="3913" t="s">
        <v>4583</v>
      </c>
      <c r="U192" s="3912" t="s">
        <v>4584</v>
      </c>
      <c r="V192" s="3913" t="s">
        <v>4585</v>
      </c>
      <c r="W192" s="3912" t="s">
        <v>4586</v>
      </c>
      <c r="X192" s="3913" t="s">
        <v>4587</v>
      </c>
      <c r="Y192" s="3912" t="s">
        <v>4588</v>
      </c>
      <c r="Z192" s="3913" t="s">
        <v>4589</v>
      </c>
      <c r="AA192" s="3912" t="s">
        <v>4590</v>
      </c>
      <c r="AB192" s="3913" t="s">
        <v>4591</v>
      </c>
      <c r="AC192" s="3912" t="s">
        <v>4592</v>
      </c>
      <c r="AD192" s="3913" t="s">
        <v>4593</v>
      </c>
      <c r="AE192" s="3912" t="s">
        <v>4594</v>
      </c>
      <c r="AF192" s="3913" t="s">
        <v>4595</v>
      </c>
      <c r="AG192" s="3912" t="s">
        <v>4596</v>
      </c>
      <c r="AH192" s="3913" t="s">
        <v>4597</v>
      </c>
      <c r="AI192" s="3912" t="s">
        <v>4598</v>
      </c>
      <c r="AJ192" s="3913" t="s">
        <v>4599</v>
      </c>
      <c r="AK192" s="3912" t="s">
        <v>4600</v>
      </c>
      <c r="AL192" s="3948" t="s">
        <v>4601</v>
      </c>
      <c r="AM192" s="851" t="s">
        <v>4602</v>
      </c>
      <c r="AN192" s="3949" t="s">
        <v>4603</v>
      </c>
      <c r="AO192" s="3943" t="s">
        <v>4604</v>
      </c>
      <c r="AP192" s="3903" t="s">
        <v>4605</v>
      </c>
      <c r="AQ192" s="329" t="s">
        <v>4606</v>
      </c>
      <c r="AR192" s="3904" t="s">
        <v>4934</v>
      </c>
      <c r="AS192" s="3943" t="s">
        <v>4935</v>
      </c>
      <c r="AT192" s="3903" t="s">
        <v>4936</v>
      </c>
      <c r="AU192" s="3943" t="s">
        <v>4937</v>
      </c>
      <c r="AV192" s="3903" t="s">
        <v>5234</v>
      </c>
      <c r="AW192" s="329" t="s">
        <v>5235</v>
      </c>
      <c r="AX192" s="3903" t="s">
        <v>5236</v>
      </c>
      <c r="AY192" s="329" t="s">
        <v>5237</v>
      </c>
      <c r="AZ192" s="1864" t="e">
        <f t="shared" ref="AZ192:AZ210" si="455">$CB192&amp;CC192&amp;$CD192&amp;CE192&amp;CF192&amp;CG192&amp;CH192&amp;CI192&amp;CJ192&amp;CK192&amp;CL192&amp;CM192&amp;CN192&amp;CO192&amp;CP192&amp;CQ192&amp;CR192&amp;CS192&amp;CT192&amp;CU192&amp;CV192</f>
        <v>#VALUE!</v>
      </c>
      <c r="CB192" s="3944" t="str">
        <f t="shared" si="450"/>
        <v xml:space="preserve"> * El Total de Exámenes Confirmados Positivos por ISP NO DEBE SUPERAR los Exámenes Procesados. </v>
      </c>
      <c r="CC192" s="1865" t="str">
        <f t="shared" ref="CC192:CC210" si="456">IF(AM192&gt;AL192,"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92" s="1865" t="str">
        <f t="shared" si="451"/>
        <v xml:space="preserve"> * El número de Exámenes por Sexo Mujeres Confirmados positivos por ISP NO PUEDE Superar al número de Procesados. </v>
      </c>
      <c r="CE192" s="1936"/>
      <c r="CF192" s="1936"/>
      <c r="CG192" s="1936"/>
      <c r="CH192" s="1936"/>
      <c r="CI192" s="1936"/>
      <c r="CJ192" s="1865" t="e">
        <f t="shared" si="452"/>
        <v>#VALUE!</v>
      </c>
      <c r="CK192" s="1937"/>
      <c r="CL192" s="1865" t="e">
        <f t="shared" si="429"/>
        <v>#VALUE!</v>
      </c>
      <c r="CM192" s="1865" t="e">
        <f t="shared" si="430"/>
        <v>#VALUE!</v>
      </c>
      <c r="CN192" s="1865" t="str">
        <f t="shared" si="431"/>
        <v xml:space="preserve"> * Los exámenes de Pueblos originarios Procesados no pueden ser mayor que el Total de exámenes procesados.</v>
      </c>
      <c r="CO192" s="1865" t="str">
        <f t="shared" si="432"/>
        <v xml:space="preserve"> * Los exámenes procesados de Migrantes no pueden ser mayor que el Total de exámenes procesados.</v>
      </c>
      <c r="CP192" s="1865" t="e">
        <f t="shared" si="433"/>
        <v>#VALUE!</v>
      </c>
      <c r="CQ192" s="1865" t="str">
        <f t="shared" si="434"/>
        <v xml:space="preserve"> * Los exámenes Confirmados positivos por ISP de Pueblos originarios no pueden ser mayor que el Total de exámenes Procesados por ISP.</v>
      </c>
      <c r="CR192" s="1865" t="str">
        <f t="shared" si="435"/>
        <v xml:space="preserve"> * Los exámenes Confirmados positivos por ISP de Migrantes no pueden ser mayor que el Total de exámenes Procesados por ISP.</v>
      </c>
      <c r="CS192" s="1936"/>
      <c r="CT192" s="1936"/>
      <c r="CU192" s="2946" t="e">
        <f t="shared" si="436"/>
        <v>#VALUE!</v>
      </c>
      <c r="CV192" s="2946" t="e">
        <f t="shared" si="437"/>
        <v>#VALUE!</v>
      </c>
      <c r="DG192" s="3946">
        <f t="shared" si="438"/>
        <v>1</v>
      </c>
      <c r="DH192" s="3922">
        <f t="shared" si="454"/>
        <v>1</v>
      </c>
      <c r="DI192" s="3922">
        <f t="shared" si="439"/>
        <v>1</v>
      </c>
      <c r="DJ192" s="1936"/>
      <c r="DK192" s="1936"/>
      <c r="DL192" s="1936"/>
      <c r="DM192" s="1936"/>
      <c r="DN192" s="1936"/>
      <c r="DO192" s="3922" t="e">
        <f t="shared" si="440"/>
        <v>#VALUE!</v>
      </c>
      <c r="DP192" s="1937"/>
      <c r="DQ192" s="3922" t="e">
        <f t="shared" si="441"/>
        <v>#VALUE!</v>
      </c>
      <c r="DR192" s="3922" t="e">
        <f t="shared" si="442"/>
        <v>#VALUE!</v>
      </c>
      <c r="DS192" s="3922">
        <f t="shared" si="443"/>
        <v>1</v>
      </c>
      <c r="DT192" s="3922">
        <f t="shared" si="444"/>
        <v>1</v>
      </c>
      <c r="DU192" s="3922" t="e">
        <f t="shared" si="445"/>
        <v>#VALUE!</v>
      </c>
      <c r="DV192" s="3922">
        <f t="shared" si="446"/>
        <v>1</v>
      </c>
      <c r="DW192" s="3922">
        <f t="shared" si="447"/>
        <v>1</v>
      </c>
      <c r="DX192" s="1936"/>
      <c r="DY192" s="1936"/>
      <c r="DZ192" s="3922" t="e">
        <f t="shared" si="448"/>
        <v>#VALUE!</v>
      </c>
      <c r="EA192" s="3922" t="e">
        <f t="shared" si="449"/>
        <v>#VALUE!</v>
      </c>
    </row>
    <row r="193" spans="1:131" x14ac:dyDescent="0.25">
      <c r="A193" s="5601">
        <v>11055250</v>
      </c>
      <c r="B193" s="7143" t="s">
        <v>1914</v>
      </c>
      <c r="C193" s="7144"/>
      <c r="D193" s="3908" t="s">
        <v>4567</v>
      </c>
      <c r="E193" s="3041" t="s">
        <v>4568</v>
      </c>
      <c r="F193" s="3913" t="s">
        <v>4569</v>
      </c>
      <c r="G193" s="3912" t="s">
        <v>4570</v>
      </c>
      <c r="H193" s="3913" t="s">
        <v>4571</v>
      </c>
      <c r="I193" s="3912" t="s">
        <v>4572</v>
      </c>
      <c r="J193" s="3913" t="s">
        <v>4573</v>
      </c>
      <c r="K193" s="3912" t="s">
        <v>4574</v>
      </c>
      <c r="L193" s="3913" t="s">
        <v>4575</v>
      </c>
      <c r="M193" s="3912" t="s">
        <v>4576</v>
      </c>
      <c r="N193" s="3913" t="s">
        <v>4577</v>
      </c>
      <c r="O193" s="3912" t="s">
        <v>4578</v>
      </c>
      <c r="P193" s="3913" t="s">
        <v>4579</v>
      </c>
      <c r="Q193" s="3912" t="s">
        <v>4580</v>
      </c>
      <c r="R193" s="3913" t="s">
        <v>4581</v>
      </c>
      <c r="S193" s="3912" t="s">
        <v>4582</v>
      </c>
      <c r="T193" s="3913" t="s">
        <v>4583</v>
      </c>
      <c r="U193" s="3912" t="s">
        <v>4584</v>
      </c>
      <c r="V193" s="3913" t="s">
        <v>4585</v>
      </c>
      <c r="W193" s="3912" t="s">
        <v>4586</v>
      </c>
      <c r="X193" s="3913" t="s">
        <v>4587</v>
      </c>
      <c r="Y193" s="3912" t="s">
        <v>4588</v>
      </c>
      <c r="Z193" s="3913" t="s">
        <v>4589</v>
      </c>
      <c r="AA193" s="3912" t="s">
        <v>4590</v>
      </c>
      <c r="AB193" s="3913" t="s">
        <v>4591</v>
      </c>
      <c r="AC193" s="3912" t="s">
        <v>4592</v>
      </c>
      <c r="AD193" s="3913" t="s">
        <v>4593</v>
      </c>
      <c r="AE193" s="3912" t="s">
        <v>4594</v>
      </c>
      <c r="AF193" s="3913" t="s">
        <v>4595</v>
      </c>
      <c r="AG193" s="3912" t="s">
        <v>4596</v>
      </c>
      <c r="AH193" s="3913" t="s">
        <v>4597</v>
      </c>
      <c r="AI193" s="3912" t="s">
        <v>4598</v>
      </c>
      <c r="AJ193" s="3913" t="s">
        <v>4599</v>
      </c>
      <c r="AK193" s="3912" t="s">
        <v>4600</v>
      </c>
      <c r="AL193" s="3903" t="s">
        <v>4601</v>
      </c>
      <c r="AM193" s="329" t="s">
        <v>4602</v>
      </c>
      <c r="AN193" s="3913" t="s">
        <v>4603</v>
      </c>
      <c r="AO193" s="3943" t="s">
        <v>4604</v>
      </c>
      <c r="AP193" s="3903" t="s">
        <v>4605</v>
      </c>
      <c r="AQ193" s="329" t="s">
        <v>4606</v>
      </c>
      <c r="AR193" s="3904" t="s">
        <v>4934</v>
      </c>
      <c r="AS193" s="3943" t="s">
        <v>4935</v>
      </c>
      <c r="AT193" s="3903" t="s">
        <v>4936</v>
      </c>
      <c r="AU193" s="3943" t="s">
        <v>4937</v>
      </c>
      <c r="AV193" s="3903" t="s">
        <v>5234</v>
      </c>
      <c r="AW193" s="329" t="s">
        <v>5235</v>
      </c>
      <c r="AX193" s="3903" t="s">
        <v>5236</v>
      </c>
      <c r="AY193" s="329" t="s">
        <v>5237</v>
      </c>
      <c r="AZ193" s="1864" t="e">
        <f t="shared" si="455"/>
        <v>#VALUE!</v>
      </c>
      <c r="CB193" s="3944" t="str">
        <f t="shared" si="450"/>
        <v xml:space="preserve"> * El Total de Exámenes Confirmados Positivos por ISP NO DEBE SUPERAR los Exámenes Procesados. </v>
      </c>
      <c r="CC193" s="1865" t="str">
        <f t="shared" si="456"/>
        <v xml:space="preserve"> * El número de Exámenes por Sexo Hombres Confirmados positivos por ISP NO PUEDE Superar al número de Procesados. </v>
      </c>
      <c r="CD193" s="1865" t="str">
        <f t="shared" si="451"/>
        <v xml:space="preserve"> * El número de Exámenes por Sexo Mujeres Confirmados positivos por ISP NO PUEDE Superar al número de Procesados. </v>
      </c>
      <c r="CE193" s="1936"/>
      <c r="CF193" s="1936"/>
      <c r="CG193" s="1936"/>
      <c r="CH193" s="1936"/>
      <c r="CI193" s="1936"/>
      <c r="CJ193" s="1865" t="e">
        <f t="shared" si="452"/>
        <v>#VALUE!</v>
      </c>
      <c r="CK193" s="1937"/>
      <c r="CL193" s="1865" t="e">
        <f t="shared" si="429"/>
        <v>#VALUE!</v>
      </c>
      <c r="CM193" s="1865" t="e">
        <f t="shared" si="430"/>
        <v>#VALUE!</v>
      </c>
      <c r="CN193" s="1865" t="str">
        <f t="shared" si="431"/>
        <v xml:space="preserve"> * Los exámenes de Pueblos originarios Procesados no pueden ser mayor que el Total de exámenes procesados.</v>
      </c>
      <c r="CO193" s="1865" t="str">
        <f t="shared" si="432"/>
        <v xml:space="preserve"> * Los exámenes procesados de Migrantes no pueden ser mayor que el Total de exámenes procesados.</v>
      </c>
      <c r="CP193" s="1865" t="e">
        <f t="shared" si="433"/>
        <v>#VALUE!</v>
      </c>
      <c r="CQ193" s="1865" t="str">
        <f t="shared" si="434"/>
        <v xml:space="preserve"> * Los exámenes Confirmados positivos por ISP de Pueblos originarios no pueden ser mayor que el Total de exámenes Procesados por ISP.</v>
      </c>
      <c r="CR193" s="1865" t="str">
        <f t="shared" si="435"/>
        <v xml:space="preserve"> * Los exámenes Confirmados positivos por ISP de Migrantes no pueden ser mayor que el Total de exámenes Procesados por ISP.</v>
      </c>
      <c r="CS193" s="1936"/>
      <c r="CT193" s="1936"/>
      <c r="CU193" s="2946" t="e">
        <f t="shared" si="436"/>
        <v>#VALUE!</v>
      </c>
      <c r="CV193" s="2946" t="e">
        <f t="shared" si="437"/>
        <v>#VALUE!</v>
      </c>
      <c r="DG193" s="3946">
        <f t="shared" si="438"/>
        <v>1</v>
      </c>
      <c r="DH193" s="3922">
        <f t="shared" si="454"/>
        <v>1</v>
      </c>
      <c r="DI193" s="3922">
        <f t="shared" si="439"/>
        <v>1</v>
      </c>
      <c r="DJ193" s="1936"/>
      <c r="DK193" s="1936"/>
      <c r="DL193" s="1936"/>
      <c r="DM193" s="1936"/>
      <c r="DN193" s="1936"/>
      <c r="DO193" s="3922" t="e">
        <f t="shared" si="440"/>
        <v>#VALUE!</v>
      </c>
      <c r="DP193" s="1937"/>
      <c r="DQ193" s="3922" t="e">
        <f t="shared" si="441"/>
        <v>#VALUE!</v>
      </c>
      <c r="DR193" s="3922" t="e">
        <f t="shared" si="442"/>
        <v>#VALUE!</v>
      </c>
      <c r="DS193" s="3922">
        <f t="shared" si="443"/>
        <v>1</v>
      </c>
      <c r="DT193" s="3922">
        <f t="shared" si="444"/>
        <v>1</v>
      </c>
      <c r="DU193" s="3922" t="e">
        <f t="shared" si="445"/>
        <v>#VALUE!</v>
      </c>
      <c r="DV193" s="3922">
        <f t="shared" si="446"/>
        <v>1</v>
      </c>
      <c r="DW193" s="3922">
        <f t="shared" si="447"/>
        <v>1</v>
      </c>
      <c r="DX193" s="1936"/>
      <c r="DY193" s="1936"/>
      <c r="DZ193" s="3922" t="e">
        <f t="shared" si="448"/>
        <v>#VALUE!</v>
      </c>
      <c r="EA193" s="3922" t="e">
        <f t="shared" si="449"/>
        <v>#VALUE!</v>
      </c>
    </row>
    <row r="194" spans="1:131" x14ac:dyDescent="0.25">
      <c r="A194" s="5601">
        <v>11055260</v>
      </c>
      <c r="B194" s="7143" t="s">
        <v>1915</v>
      </c>
      <c r="C194" s="7144"/>
      <c r="D194" s="3908" t="s">
        <v>4567</v>
      </c>
      <c r="E194" s="3041" t="s">
        <v>4568</v>
      </c>
      <c r="F194" s="3909" t="s">
        <v>4569</v>
      </c>
      <c r="G194" s="3910" t="s">
        <v>4570</v>
      </c>
      <c r="H194" s="3909" t="s">
        <v>4571</v>
      </c>
      <c r="I194" s="3910" t="s">
        <v>4572</v>
      </c>
      <c r="J194" s="3909" t="s">
        <v>4573</v>
      </c>
      <c r="K194" s="3910" t="s">
        <v>4574</v>
      </c>
      <c r="L194" s="3909" t="s">
        <v>4575</v>
      </c>
      <c r="M194" s="3910" t="s">
        <v>4576</v>
      </c>
      <c r="N194" s="3909" t="s">
        <v>4577</v>
      </c>
      <c r="O194" s="3910" t="s">
        <v>4578</v>
      </c>
      <c r="P194" s="3913" t="s">
        <v>4579</v>
      </c>
      <c r="Q194" s="3912" t="s">
        <v>4580</v>
      </c>
      <c r="R194" s="3913" t="s">
        <v>4581</v>
      </c>
      <c r="S194" s="3912" t="s">
        <v>4582</v>
      </c>
      <c r="T194" s="3913" t="s">
        <v>4583</v>
      </c>
      <c r="U194" s="3912" t="s">
        <v>4584</v>
      </c>
      <c r="V194" s="3913" t="s">
        <v>4585</v>
      </c>
      <c r="W194" s="3912" t="s">
        <v>4586</v>
      </c>
      <c r="X194" s="3913" t="s">
        <v>4587</v>
      </c>
      <c r="Y194" s="3912" t="s">
        <v>4588</v>
      </c>
      <c r="Z194" s="3913" t="s">
        <v>4589</v>
      </c>
      <c r="AA194" s="3912" t="s">
        <v>4590</v>
      </c>
      <c r="AB194" s="3913" t="s">
        <v>4591</v>
      </c>
      <c r="AC194" s="3912" t="s">
        <v>4592</v>
      </c>
      <c r="AD194" s="3913" t="s">
        <v>4593</v>
      </c>
      <c r="AE194" s="3912" t="s">
        <v>4594</v>
      </c>
      <c r="AF194" s="3913" t="s">
        <v>4595</v>
      </c>
      <c r="AG194" s="3912" t="s">
        <v>4596</v>
      </c>
      <c r="AH194" s="3913" t="s">
        <v>4597</v>
      </c>
      <c r="AI194" s="3912" t="s">
        <v>4598</v>
      </c>
      <c r="AJ194" s="3913" t="s">
        <v>4599</v>
      </c>
      <c r="AK194" s="3912" t="s">
        <v>4600</v>
      </c>
      <c r="AL194" s="3903" t="s">
        <v>4601</v>
      </c>
      <c r="AM194" s="329" t="s">
        <v>4602</v>
      </c>
      <c r="AN194" s="3913" t="s">
        <v>4603</v>
      </c>
      <c r="AO194" s="3943" t="s">
        <v>4604</v>
      </c>
      <c r="AP194" s="3903" t="s">
        <v>4605</v>
      </c>
      <c r="AQ194" s="329" t="s">
        <v>4606</v>
      </c>
      <c r="AR194" s="3904" t="s">
        <v>4934</v>
      </c>
      <c r="AS194" s="3943" t="s">
        <v>4935</v>
      </c>
      <c r="AT194" s="3903" t="s">
        <v>4936</v>
      </c>
      <c r="AU194" s="3943" t="s">
        <v>4937</v>
      </c>
      <c r="AV194" s="3903" t="s">
        <v>5234</v>
      </c>
      <c r="AW194" s="329" t="s">
        <v>5235</v>
      </c>
      <c r="AX194" s="3903" t="s">
        <v>5236</v>
      </c>
      <c r="AY194" s="329" t="s">
        <v>5237</v>
      </c>
      <c r="AZ194" s="1864" t="e">
        <f t="shared" si="455"/>
        <v>#VALUE!</v>
      </c>
      <c r="CB194" s="3944" t="str">
        <f t="shared" si="450"/>
        <v xml:space="preserve"> * El Total de Exámenes Confirmados Positivos por ISP NO DEBE SUPERAR los Exámenes Procesados. </v>
      </c>
      <c r="CC194" s="1865" t="str">
        <f t="shared" si="456"/>
        <v xml:space="preserve"> * El número de Exámenes por Sexo Hombres Confirmados positivos por ISP NO PUEDE Superar al número de Procesados. </v>
      </c>
      <c r="CD194" s="1865" t="str">
        <f t="shared" si="451"/>
        <v xml:space="preserve"> * El número de Exámenes por Sexo Mujeres Confirmados positivos por ISP NO PUEDE Superar al número de Procesados. </v>
      </c>
      <c r="CE194" s="1936"/>
      <c r="CF194" s="1936"/>
      <c r="CG194" s="1936"/>
      <c r="CH194" s="1936"/>
      <c r="CI194" s="1936"/>
      <c r="CJ194" s="1865" t="e">
        <f t="shared" si="452"/>
        <v>#VALUE!</v>
      </c>
      <c r="CK194" s="1937"/>
      <c r="CL194" s="1865" t="e">
        <f t="shared" si="429"/>
        <v>#VALUE!</v>
      </c>
      <c r="CM194" s="1865" t="e">
        <f t="shared" si="430"/>
        <v>#VALUE!</v>
      </c>
      <c r="CN194" s="1865" t="str">
        <f t="shared" si="431"/>
        <v xml:space="preserve"> * Los exámenes de Pueblos originarios Procesados no pueden ser mayor que el Total de exámenes procesados.</v>
      </c>
      <c r="CO194" s="1865" t="str">
        <f t="shared" si="432"/>
        <v xml:space="preserve"> * Los exámenes procesados de Migrantes no pueden ser mayor que el Total de exámenes procesados.</v>
      </c>
      <c r="CP194" s="1865" t="e">
        <f t="shared" si="433"/>
        <v>#VALUE!</v>
      </c>
      <c r="CQ194" s="1865" t="str">
        <f t="shared" si="434"/>
        <v xml:space="preserve"> * Los exámenes Confirmados positivos por ISP de Pueblos originarios no pueden ser mayor que el Total de exámenes Procesados por ISP.</v>
      </c>
      <c r="CR194" s="1865" t="str">
        <f t="shared" si="435"/>
        <v xml:space="preserve"> * Los exámenes Confirmados positivos por ISP de Migrantes no pueden ser mayor que el Total de exámenes Procesados por ISP.</v>
      </c>
      <c r="CS194" s="1936"/>
      <c r="CT194" s="1936"/>
      <c r="CU194" s="2946" t="e">
        <f t="shared" si="436"/>
        <v>#VALUE!</v>
      </c>
      <c r="CV194" s="2946" t="e">
        <f t="shared" si="437"/>
        <v>#VALUE!</v>
      </c>
      <c r="DG194" s="3946">
        <f t="shared" si="438"/>
        <v>1</v>
      </c>
      <c r="DH194" s="3922">
        <f t="shared" si="454"/>
        <v>1</v>
      </c>
      <c r="DI194" s="3922">
        <f t="shared" si="439"/>
        <v>1</v>
      </c>
      <c r="DJ194" s="1936"/>
      <c r="DK194" s="1936"/>
      <c r="DL194" s="1936"/>
      <c r="DM194" s="1936"/>
      <c r="DN194" s="1936"/>
      <c r="DO194" s="3922" t="e">
        <f t="shared" si="440"/>
        <v>#VALUE!</v>
      </c>
      <c r="DP194" s="1937"/>
      <c r="DQ194" s="3922" t="e">
        <f t="shared" si="441"/>
        <v>#VALUE!</v>
      </c>
      <c r="DR194" s="3922" t="e">
        <f t="shared" si="442"/>
        <v>#VALUE!</v>
      </c>
      <c r="DS194" s="3922">
        <f t="shared" si="443"/>
        <v>1</v>
      </c>
      <c r="DT194" s="3922">
        <f t="shared" si="444"/>
        <v>1</v>
      </c>
      <c r="DU194" s="3922" t="e">
        <f t="shared" si="445"/>
        <v>#VALUE!</v>
      </c>
      <c r="DV194" s="3922">
        <f t="shared" si="446"/>
        <v>1</v>
      </c>
      <c r="DW194" s="3922">
        <f t="shared" si="447"/>
        <v>1</v>
      </c>
      <c r="DX194" s="1936"/>
      <c r="DY194" s="1936"/>
      <c r="DZ194" s="3922" t="e">
        <f t="shared" si="448"/>
        <v>#VALUE!</v>
      </c>
      <c r="EA194" s="3922" t="e">
        <f t="shared" si="449"/>
        <v>#VALUE!</v>
      </c>
    </row>
    <row r="195" spans="1:131" x14ac:dyDescent="0.25">
      <c r="A195" s="5601">
        <v>11055270</v>
      </c>
      <c r="B195" s="7143" t="s">
        <v>1879</v>
      </c>
      <c r="C195" s="7144"/>
      <c r="D195" s="3908" t="s">
        <v>4567</v>
      </c>
      <c r="E195" s="3041" t="s">
        <v>4568</v>
      </c>
      <c r="F195" s="3909" t="s">
        <v>4569</v>
      </c>
      <c r="G195" s="3910" t="s">
        <v>4570</v>
      </c>
      <c r="H195" s="3909" t="s">
        <v>4571</v>
      </c>
      <c r="I195" s="3910" t="s">
        <v>4572</v>
      </c>
      <c r="J195" s="3909" t="s">
        <v>4573</v>
      </c>
      <c r="K195" s="3910" t="s">
        <v>4574</v>
      </c>
      <c r="L195" s="3909" t="s">
        <v>4575</v>
      </c>
      <c r="M195" s="3910" t="s">
        <v>4576</v>
      </c>
      <c r="N195" s="3909" t="s">
        <v>4577</v>
      </c>
      <c r="O195" s="3910" t="s">
        <v>4578</v>
      </c>
      <c r="P195" s="3913" t="s">
        <v>4579</v>
      </c>
      <c r="Q195" s="3912" t="s">
        <v>4580</v>
      </c>
      <c r="R195" s="3913" t="s">
        <v>4581</v>
      </c>
      <c r="S195" s="3912" t="s">
        <v>4582</v>
      </c>
      <c r="T195" s="3913" t="s">
        <v>4583</v>
      </c>
      <c r="U195" s="3912" t="s">
        <v>4584</v>
      </c>
      <c r="V195" s="3913" t="s">
        <v>4585</v>
      </c>
      <c r="W195" s="3912" t="s">
        <v>4586</v>
      </c>
      <c r="X195" s="3913" t="s">
        <v>4587</v>
      </c>
      <c r="Y195" s="3912" t="s">
        <v>4588</v>
      </c>
      <c r="Z195" s="3913" t="s">
        <v>4589</v>
      </c>
      <c r="AA195" s="3912" t="s">
        <v>4590</v>
      </c>
      <c r="AB195" s="3913" t="s">
        <v>4591</v>
      </c>
      <c r="AC195" s="3912" t="s">
        <v>4592</v>
      </c>
      <c r="AD195" s="3913" t="s">
        <v>4593</v>
      </c>
      <c r="AE195" s="3912" t="s">
        <v>4594</v>
      </c>
      <c r="AF195" s="3913" t="s">
        <v>4595</v>
      </c>
      <c r="AG195" s="3912" t="s">
        <v>4596</v>
      </c>
      <c r="AH195" s="3913" t="s">
        <v>4597</v>
      </c>
      <c r="AI195" s="3912" t="s">
        <v>4598</v>
      </c>
      <c r="AJ195" s="3913" t="s">
        <v>4599</v>
      </c>
      <c r="AK195" s="3912" t="s">
        <v>4600</v>
      </c>
      <c r="AL195" s="3903" t="s">
        <v>4601</v>
      </c>
      <c r="AM195" s="329" t="s">
        <v>4602</v>
      </c>
      <c r="AN195" s="3913" t="s">
        <v>4603</v>
      </c>
      <c r="AO195" s="3943" t="s">
        <v>4604</v>
      </c>
      <c r="AP195" s="3903" t="s">
        <v>4605</v>
      </c>
      <c r="AQ195" s="329" t="s">
        <v>4606</v>
      </c>
      <c r="AR195" s="3904" t="s">
        <v>4934</v>
      </c>
      <c r="AS195" s="3943" t="s">
        <v>4935</v>
      </c>
      <c r="AT195" s="3903" t="s">
        <v>4936</v>
      </c>
      <c r="AU195" s="3943" t="s">
        <v>4937</v>
      </c>
      <c r="AV195" s="3903" t="s">
        <v>5234</v>
      </c>
      <c r="AW195" s="329" t="s">
        <v>5235</v>
      </c>
      <c r="AX195" s="3903" t="s">
        <v>5236</v>
      </c>
      <c r="AY195" s="329" t="s">
        <v>5237</v>
      </c>
      <c r="AZ195" s="1864" t="e">
        <f t="shared" si="455"/>
        <v>#VALUE!</v>
      </c>
      <c r="CB195" s="3944" t="str">
        <f t="shared" si="450"/>
        <v xml:space="preserve"> * El Total de Exámenes Confirmados Positivos por ISP NO DEBE SUPERAR los Exámenes Procesados. </v>
      </c>
      <c r="CC195" s="1865" t="str">
        <f t="shared" si="456"/>
        <v xml:space="preserve"> * El número de Exámenes por Sexo Hombres Confirmados positivos por ISP NO PUEDE Superar al número de Procesados. </v>
      </c>
      <c r="CD195" s="1865" t="str">
        <f t="shared" si="451"/>
        <v xml:space="preserve"> * El número de Exámenes por Sexo Mujeres Confirmados positivos por ISP NO PUEDE Superar al número de Procesados. </v>
      </c>
      <c r="CE195" s="1936"/>
      <c r="CF195" s="1936"/>
      <c r="CG195" s="1936"/>
      <c r="CH195" s="1936"/>
      <c r="CI195" s="1936"/>
      <c r="CJ195" s="1865" t="e">
        <f t="shared" si="452"/>
        <v>#VALUE!</v>
      </c>
      <c r="CK195" s="1937"/>
      <c r="CL195" s="1865" t="e">
        <f t="shared" si="429"/>
        <v>#VALUE!</v>
      </c>
      <c r="CM195" s="1865" t="e">
        <f t="shared" si="430"/>
        <v>#VALUE!</v>
      </c>
      <c r="CN195" s="1865" t="str">
        <f t="shared" si="431"/>
        <v xml:space="preserve"> * Los exámenes de Pueblos originarios Procesados no pueden ser mayor que el Total de exámenes procesados.</v>
      </c>
      <c r="CO195" s="1865" t="str">
        <f t="shared" si="432"/>
        <v xml:space="preserve"> * Los exámenes procesados de Migrantes no pueden ser mayor que el Total de exámenes procesados.</v>
      </c>
      <c r="CP195" s="1865" t="e">
        <f t="shared" si="433"/>
        <v>#VALUE!</v>
      </c>
      <c r="CQ195" s="1865" t="str">
        <f t="shared" si="434"/>
        <v xml:space="preserve"> * Los exámenes Confirmados positivos por ISP de Pueblos originarios no pueden ser mayor que el Total de exámenes Procesados por ISP.</v>
      </c>
      <c r="CR195" s="1865" t="str">
        <f t="shared" si="435"/>
        <v xml:space="preserve"> * Los exámenes Confirmados positivos por ISP de Migrantes no pueden ser mayor que el Total de exámenes Procesados por ISP.</v>
      </c>
      <c r="CS195" s="1936"/>
      <c r="CT195" s="1936"/>
      <c r="CU195" s="2946" t="e">
        <f t="shared" si="436"/>
        <v>#VALUE!</v>
      </c>
      <c r="CV195" s="2946" t="e">
        <f t="shared" si="437"/>
        <v>#VALUE!</v>
      </c>
      <c r="DG195" s="3946">
        <f t="shared" si="438"/>
        <v>1</v>
      </c>
      <c r="DH195" s="3922">
        <f t="shared" si="454"/>
        <v>1</v>
      </c>
      <c r="DI195" s="3922">
        <f t="shared" si="439"/>
        <v>1</v>
      </c>
      <c r="DJ195" s="1936"/>
      <c r="DK195" s="1936"/>
      <c r="DL195" s="1936"/>
      <c r="DM195" s="1936"/>
      <c r="DN195" s="1936"/>
      <c r="DO195" s="3922" t="e">
        <f t="shared" si="440"/>
        <v>#VALUE!</v>
      </c>
      <c r="DP195" s="1937"/>
      <c r="DQ195" s="3922" t="e">
        <f t="shared" si="441"/>
        <v>#VALUE!</v>
      </c>
      <c r="DR195" s="3922" t="e">
        <f t="shared" si="442"/>
        <v>#VALUE!</v>
      </c>
      <c r="DS195" s="3922">
        <f t="shared" si="443"/>
        <v>1</v>
      </c>
      <c r="DT195" s="3922">
        <f t="shared" si="444"/>
        <v>1</v>
      </c>
      <c r="DU195" s="3922" t="e">
        <f t="shared" si="445"/>
        <v>#VALUE!</v>
      </c>
      <c r="DV195" s="3922">
        <f t="shared" si="446"/>
        <v>1</v>
      </c>
      <c r="DW195" s="3922">
        <f t="shared" si="447"/>
        <v>1</v>
      </c>
      <c r="DX195" s="1936"/>
      <c r="DY195" s="1936"/>
      <c r="DZ195" s="3922" t="e">
        <f t="shared" si="448"/>
        <v>#VALUE!</v>
      </c>
      <c r="EA195" s="3922" t="e">
        <f t="shared" si="449"/>
        <v>#VALUE!</v>
      </c>
    </row>
    <row r="196" spans="1:131" x14ac:dyDescent="0.25">
      <c r="A196" s="5601">
        <v>11055280</v>
      </c>
      <c r="B196" s="7145" t="s">
        <v>1916</v>
      </c>
      <c r="C196" s="7146"/>
      <c r="D196" s="623" t="s">
        <v>4567</v>
      </c>
      <c r="E196" s="3230" t="s">
        <v>4568</v>
      </c>
      <c r="F196" s="212" t="s">
        <v>4569</v>
      </c>
      <c r="G196" s="993" t="s">
        <v>4570</v>
      </c>
      <c r="H196" s="212" t="s">
        <v>4571</v>
      </c>
      <c r="I196" s="993" t="s">
        <v>4572</v>
      </c>
      <c r="J196" s="212" t="s">
        <v>4573</v>
      </c>
      <c r="K196" s="993" t="s">
        <v>4574</v>
      </c>
      <c r="L196" s="212" t="s">
        <v>4575</v>
      </c>
      <c r="M196" s="993" t="s">
        <v>4576</v>
      </c>
      <c r="N196" s="212" t="s">
        <v>4577</v>
      </c>
      <c r="O196" s="993" t="s">
        <v>4578</v>
      </c>
      <c r="P196" s="212" t="s">
        <v>4579</v>
      </c>
      <c r="Q196" s="993" t="s">
        <v>4580</v>
      </c>
      <c r="R196" s="212" t="s">
        <v>4581</v>
      </c>
      <c r="S196" s="993" t="s">
        <v>4582</v>
      </c>
      <c r="T196" s="212" t="s">
        <v>4583</v>
      </c>
      <c r="U196" s="993" t="s">
        <v>4584</v>
      </c>
      <c r="V196" s="212" t="s">
        <v>4585</v>
      </c>
      <c r="W196" s="993" t="s">
        <v>4586</v>
      </c>
      <c r="X196" s="212" t="s">
        <v>4587</v>
      </c>
      <c r="Y196" s="993" t="s">
        <v>4588</v>
      </c>
      <c r="Z196" s="212" t="s">
        <v>4589</v>
      </c>
      <c r="AA196" s="993" t="s">
        <v>4590</v>
      </c>
      <c r="AB196" s="212" t="s">
        <v>4591</v>
      </c>
      <c r="AC196" s="993" t="s">
        <v>4592</v>
      </c>
      <c r="AD196" s="212" t="s">
        <v>4593</v>
      </c>
      <c r="AE196" s="993" t="s">
        <v>4594</v>
      </c>
      <c r="AF196" s="212" t="s">
        <v>4595</v>
      </c>
      <c r="AG196" s="993" t="s">
        <v>4596</v>
      </c>
      <c r="AH196" s="212" t="s">
        <v>4597</v>
      </c>
      <c r="AI196" s="993" t="s">
        <v>4598</v>
      </c>
      <c r="AJ196" s="212" t="s">
        <v>4599</v>
      </c>
      <c r="AK196" s="993" t="s">
        <v>4600</v>
      </c>
      <c r="AL196" s="992" t="s">
        <v>4601</v>
      </c>
      <c r="AM196" s="34" t="s">
        <v>4602</v>
      </c>
      <c r="AN196" s="212" t="s">
        <v>4603</v>
      </c>
      <c r="AO196" s="3443" t="s">
        <v>4604</v>
      </c>
      <c r="AP196" s="992" t="s">
        <v>4605</v>
      </c>
      <c r="AQ196" s="34" t="s">
        <v>4606</v>
      </c>
      <c r="AR196" s="1137" t="s">
        <v>4934</v>
      </c>
      <c r="AS196" s="3443" t="s">
        <v>4935</v>
      </c>
      <c r="AT196" s="1879" t="s">
        <v>4936</v>
      </c>
      <c r="AU196" s="1878" t="s">
        <v>4937</v>
      </c>
      <c r="AV196" s="992" t="s">
        <v>5234</v>
      </c>
      <c r="AW196" s="34" t="s">
        <v>5235</v>
      </c>
      <c r="AX196" s="992" t="s">
        <v>5236</v>
      </c>
      <c r="AY196" s="34" t="s">
        <v>5237</v>
      </c>
      <c r="AZ196" s="1864" t="e">
        <f t="shared" si="455"/>
        <v>#VALUE!</v>
      </c>
      <c r="CB196" s="3944" t="str">
        <f t="shared" si="450"/>
        <v xml:space="preserve"> * El Total de Exámenes Confirmados Positivos por ISP NO DEBE SUPERAR los Exámenes Procesados. </v>
      </c>
      <c r="CC196" s="1865" t="str">
        <f t="shared" si="456"/>
        <v xml:space="preserve"> * El número de Exámenes por Sexo Hombres Confirmados positivos por ISP NO PUEDE Superar al número de Procesados. </v>
      </c>
      <c r="CD196" s="1865" t="str">
        <f t="shared" si="451"/>
        <v xml:space="preserve"> * El número de Exámenes por Sexo Mujeres Confirmados positivos por ISP NO PUEDE Superar al número de Procesados. </v>
      </c>
      <c r="CE196" s="1936"/>
      <c r="CF196" s="1936"/>
      <c r="CG196" s="1936"/>
      <c r="CH196" s="1936"/>
      <c r="CI196" s="1936"/>
      <c r="CJ196" s="1865" t="e">
        <f t="shared" si="452"/>
        <v>#VALUE!</v>
      </c>
      <c r="CK196" s="1937"/>
      <c r="CL196" s="1865" t="e">
        <f t="shared" si="429"/>
        <v>#VALUE!</v>
      </c>
      <c r="CM196" s="1865" t="e">
        <f t="shared" si="430"/>
        <v>#VALUE!</v>
      </c>
      <c r="CN196" s="1865" t="str">
        <f t="shared" si="431"/>
        <v xml:space="preserve"> * Los exámenes de Pueblos originarios Procesados no pueden ser mayor que el Total de exámenes procesados.</v>
      </c>
      <c r="CO196" s="1865" t="str">
        <f t="shared" si="432"/>
        <v xml:space="preserve"> * Los exámenes procesados de Migrantes no pueden ser mayor que el Total de exámenes procesados.</v>
      </c>
      <c r="CP196" s="1865" t="e">
        <f t="shared" si="433"/>
        <v>#VALUE!</v>
      </c>
      <c r="CQ196" s="1865" t="str">
        <f t="shared" si="434"/>
        <v xml:space="preserve"> * Los exámenes Confirmados positivos por ISP de Pueblos originarios no pueden ser mayor que el Total de exámenes Procesados por ISP.</v>
      </c>
      <c r="CR196" s="1865" t="str">
        <f t="shared" si="435"/>
        <v xml:space="preserve"> * Los exámenes Confirmados positivos por ISP de Migrantes no pueden ser mayor que el Total de exámenes Procesados por ISP.</v>
      </c>
      <c r="CS196" s="1936"/>
      <c r="CT196" s="1936"/>
      <c r="CU196" s="2946" t="e">
        <f t="shared" si="436"/>
        <v>#VALUE!</v>
      </c>
      <c r="CV196" s="2946" t="e">
        <f t="shared" si="437"/>
        <v>#VALUE!</v>
      </c>
      <c r="DG196" s="3946">
        <f t="shared" si="438"/>
        <v>1</v>
      </c>
      <c r="DH196" s="3922">
        <f t="shared" si="454"/>
        <v>1</v>
      </c>
      <c r="DI196" s="3922">
        <f t="shared" si="439"/>
        <v>1</v>
      </c>
      <c r="DJ196" s="1936"/>
      <c r="DK196" s="1936"/>
      <c r="DL196" s="1936"/>
      <c r="DM196" s="1936"/>
      <c r="DN196" s="1936"/>
      <c r="DO196" s="3922" t="e">
        <f t="shared" si="440"/>
        <v>#VALUE!</v>
      </c>
      <c r="DP196" s="1937"/>
      <c r="DQ196" s="3922" t="e">
        <f t="shared" si="441"/>
        <v>#VALUE!</v>
      </c>
      <c r="DR196" s="3922" t="e">
        <f t="shared" si="442"/>
        <v>#VALUE!</v>
      </c>
      <c r="DS196" s="3922">
        <f t="shared" si="443"/>
        <v>1</v>
      </c>
      <c r="DT196" s="3922">
        <f t="shared" si="444"/>
        <v>1</v>
      </c>
      <c r="DU196" s="3922" t="e">
        <f t="shared" si="445"/>
        <v>#VALUE!</v>
      </c>
      <c r="DV196" s="3922">
        <f t="shared" si="446"/>
        <v>1</v>
      </c>
      <c r="DW196" s="3922">
        <f t="shared" si="447"/>
        <v>1</v>
      </c>
      <c r="DX196" s="1936"/>
      <c r="DY196" s="1936"/>
      <c r="DZ196" s="3922" t="e">
        <f t="shared" si="448"/>
        <v>#VALUE!</v>
      </c>
      <c r="EA196" s="3922" t="e">
        <f t="shared" si="449"/>
        <v>#VALUE!</v>
      </c>
    </row>
    <row r="197" spans="1:131" x14ac:dyDescent="0.25">
      <c r="A197" s="5601">
        <v>11055290</v>
      </c>
      <c r="B197" s="6927" t="s">
        <v>1899</v>
      </c>
      <c r="C197" s="3721" t="s">
        <v>1900</v>
      </c>
      <c r="D197" s="302" t="s">
        <v>4567</v>
      </c>
      <c r="E197" s="3037" t="s">
        <v>4568</v>
      </c>
      <c r="F197" s="3940" t="s">
        <v>4569</v>
      </c>
      <c r="G197" s="3127" t="s">
        <v>4570</v>
      </c>
      <c r="H197" s="3940" t="s">
        <v>4571</v>
      </c>
      <c r="I197" s="3127" t="s">
        <v>4572</v>
      </c>
      <c r="J197" s="3940" t="s">
        <v>4573</v>
      </c>
      <c r="K197" s="3127" t="s">
        <v>4574</v>
      </c>
      <c r="L197" s="3940" t="s">
        <v>4575</v>
      </c>
      <c r="M197" s="3127" t="s">
        <v>4576</v>
      </c>
      <c r="N197" s="3940" t="s">
        <v>4577</v>
      </c>
      <c r="O197" s="3127" t="s">
        <v>4578</v>
      </c>
      <c r="P197" s="3278" t="s">
        <v>4579</v>
      </c>
      <c r="Q197" s="935" t="s">
        <v>4580</v>
      </c>
      <c r="R197" s="3278" t="s">
        <v>4581</v>
      </c>
      <c r="S197" s="935" t="s">
        <v>4582</v>
      </c>
      <c r="T197" s="3278" t="s">
        <v>4583</v>
      </c>
      <c r="U197" s="935" t="s">
        <v>4584</v>
      </c>
      <c r="V197" s="3278" t="s">
        <v>4585</v>
      </c>
      <c r="W197" s="935" t="s">
        <v>4586</v>
      </c>
      <c r="X197" s="3278" t="s">
        <v>4587</v>
      </c>
      <c r="Y197" s="935" t="s">
        <v>4588</v>
      </c>
      <c r="Z197" s="3278" t="s">
        <v>4589</v>
      </c>
      <c r="AA197" s="935" t="s">
        <v>4590</v>
      </c>
      <c r="AB197" s="3278" t="s">
        <v>4591</v>
      </c>
      <c r="AC197" s="935" t="s">
        <v>4592</v>
      </c>
      <c r="AD197" s="3278" t="s">
        <v>4593</v>
      </c>
      <c r="AE197" s="935" t="s">
        <v>4594</v>
      </c>
      <c r="AF197" s="3278" t="s">
        <v>4595</v>
      </c>
      <c r="AG197" s="935" t="s">
        <v>4596</v>
      </c>
      <c r="AH197" s="3278" t="s">
        <v>4597</v>
      </c>
      <c r="AI197" s="935" t="s">
        <v>4598</v>
      </c>
      <c r="AJ197" s="3950" t="s">
        <v>4599</v>
      </c>
      <c r="AK197" s="3951" t="s">
        <v>4600</v>
      </c>
      <c r="AL197" s="3044" t="s">
        <v>4601</v>
      </c>
      <c r="AM197" s="3930" t="s">
        <v>4602</v>
      </c>
      <c r="AN197" s="3278" t="s">
        <v>4603</v>
      </c>
      <c r="AO197" s="3952" t="s">
        <v>4604</v>
      </c>
      <c r="AP197" s="3044" t="s">
        <v>4605</v>
      </c>
      <c r="AQ197" s="3930" t="s">
        <v>4606</v>
      </c>
      <c r="AR197" s="3953" t="s">
        <v>4934</v>
      </c>
      <c r="AS197" s="3952" t="s">
        <v>4935</v>
      </c>
      <c r="AT197" s="336" t="s">
        <v>4936</v>
      </c>
      <c r="AU197" s="1884" t="s">
        <v>4937</v>
      </c>
      <c r="AV197" s="3953" t="s">
        <v>5234</v>
      </c>
      <c r="AW197" s="3952" t="s">
        <v>5235</v>
      </c>
      <c r="AX197" s="3954" t="s">
        <v>5236</v>
      </c>
      <c r="AY197" s="3955" t="s">
        <v>5237</v>
      </c>
      <c r="AZ197" s="1864" t="e">
        <f>$CB197&amp;CC197&amp;$CD197&amp;CE197&amp;CF197&amp;CG197&amp;CH197&amp;CI197&amp;CJ197&amp;CK197&amp;CL197&amp;CM197&amp;CN197&amp;CO197&amp;CP197&amp;CQ197&amp;CR197&amp;CS197&amp;CT197</f>
        <v>#VALUE!</v>
      </c>
      <c r="CB197" s="3944" t="str">
        <f t="shared" si="450"/>
        <v xml:space="preserve"> * El Total de Exámenes Confirmados Positivos por ISP NO DEBE SUPERAR los Exámenes Procesados. </v>
      </c>
      <c r="CC197" s="1865" t="str">
        <f t="shared" si="456"/>
        <v xml:space="preserve"> * El número de Exámenes por Sexo Hombres Confirmados positivos por ISP NO PUEDE Superar al número de Procesados. </v>
      </c>
      <c r="CD197" s="1865" t="str">
        <f t="shared" si="451"/>
        <v xml:space="preserve"> * El número de Exámenes por Sexo Mujeres Confirmados positivos por ISP NO PUEDE Superar al número de Procesados. </v>
      </c>
      <c r="CE197" s="1936"/>
      <c r="CF197" s="1936"/>
      <c r="CG197" s="1936"/>
      <c r="CH197" s="1936"/>
      <c r="CI197" s="1936"/>
      <c r="CJ197" s="1865" t="e">
        <f t="shared" si="452"/>
        <v>#VALUE!</v>
      </c>
      <c r="CK197" s="1937"/>
      <c r="CL197" s="1865" t="e">
        <f t="shared" si="429"/>
        <v>#VALUE!</v>
      </c>
      <c r="CM197" s="1865" t="e">
        <f t="shared" si="430"/>
        <v>#VALUE!</v>
      </c>
      <c r="CN197" s="1865" t="str">
        <f t="shared" si="431"/>
        <v xml:space="preserve"> * Los exámenes de Pueblos originarios Procesados no pueden ser mayor que el Total de exámenes procesados.</v>
      </c>
      <c r="CO197" s="1865" t="str">
        <f t="shared" si="432"/>
        <v xml:space="preserve"> * Los exámenes procesados de Migrantes no pueden ser mayor que el Total de exámenes procesados.</v>
      </c>
      <c r="CP197" s="1865" t="e">
        <f t="shared" si="433"/>
        <v>#VALUE!</v>
      </c>
      <c r="CQ197" s="1865" t="str">
        <f t="shared" si="434"/>
        <v xml:space="preserve"> * Los exámenes Confirmados positivos por ISP de Pueblos originarios no pueden ser mayor que el Total de exámenes Procesados por ISP.</v>
      </c>
      <c r="CR197" s="1865" t="str">
        <f t="shared" si="435"/>
        <v xml:space="preserve"> * Los exámenes Confirmados positivos por ISP de Migrantes no pueden ser mayor que el Total de exámenes Procesados por ISP.</v>
      </c>
      <c r="CS197" s="1936"/>
      <c r="CT197" s="1936"/>
      <c r="CU197" s="1868"/>
      <c r="CV197" s="1868"/>
      <c r="DG197" s="3946">
        <f t="shared" si="438"/>
        <v>1</v>
      </c>
      <c r="DH197" s="3922">
        <f t="shared" si="454"/>
        <v>1</v>
      </c>
      <c r="DI197" s="3922">
        <f t="shared" si="439"/>
        <v>1</v>
      </c>
      <c r="DJ197" s="1936"/>
      <c r="DK197" s="1936"/>
      <c r="DL197" s="1936"/>
      <c r="DM197" s="1936"/>
      <c r="DN197" s="1936"/>
      <c r="DO197" s="3922" t="e">
        <f t="shared" si="440"/>
        <v>#VALUE!</v>
      </c>
      <c r="DP197" s="1937"/>
      <c r="DQ197" s="3922" t="e">
        <f t="shared" si="441"/>
        <v>#VALUE!</v>
      </c>
      <c r="DR197" s="3922" t="e">
        <f t="shared" si="442"/>
        <v>#VALUE!</v>
      </c>
      <c r="DS197" s="3922">
        <f t="shared" si="443"/>
        <v>1</v>
      </c>
      <c r="DT197" s="3922">
        <f t="shared" si="444"/>
        <v>1</v>
      </c>
      <c r="DU197" s="3922" t="e">
        <f t="shared" si="445"/>
        <v>#VALUE!</v>
      </c>
      <c r="DV197" s="3922">
        <f t="shared" si="446"/>
        <v>1</v>
      </c>
      <c r="DW197" s="3922">
        <f t="shared" si="447"/>
        <v>1</v>
      </c>
      <c r="DX197" s="1936"/>
      <c r="DY197" s="1936"/>
      <c r="DZ197" s="1869"/>
      <c r="EA197" s="1869"/>
    </row>
    <row r="198" spans="1:131" x14ac:dyDescent="0.25">
      <c r="A198" s="5601">
        <v>11055300</v>
      </c>
      <c r="B198" s="7126"/>
      <c r="C198" s="3935" t="s">
        <v>1901</v>
      </c>
      <c r="D198" s="3908" t="s">
        <v>4567</v>
      </c>
      <c r="E198" s="3041" t="s">
        <v>4568</v>
      </c>
      <c r="F198" s="3909" t="s">
        <v>4569</v>
      </c>
      <c r="G198" s="3910" t="s">
        <v>4570</v>
      </c>
      <c r="H198" s="3909" t="s">
        <v>4571</v>
      </c>
      <c r="I198" s="3910" t="s">
        <v>4572</v>
      </c>
      <c r="J198" s="3909" t="s">
        <v>4573</v>
      </c>
      <c r="K198" s="3910" t="s">
        <v>4574</v>
      </c>
      <c r="L198" s="3909" t="s">
        <v>4575</v>
      </c>
      <c r="M198" s="3910" t="s">
        <v>4576</v>
      </c>
      <c r="N198" s="3909" t="s">
        <v>4577</v>
      </c>
      <c r="O198" s="3910" t="s">
        <v>4578</v>
      </c>
      <c r="P198" s="3913" t="s">
        <v>4579</v>
      </c>
      <c r="Q198" s="3912" t="s">
        <v>4580</v>
      </c>
      <c r="R198" s="3913" t="s">
        <v>4581</v>
      </c>
      <c r="S198" s="3912" t="s">
        <v>4582</v>
      </c>
      <c r="T198" s="3913" t="s">
        <v>4583</v>
      </c>
      <c r="U198" s="3912" t="s">
        <v>4584</v>
      </c>
      <c r="V198" s="3913" t="s">
        <v>4585</v>
      </c>
      <c r="W198" s="3912" t="s">
        <v>4586</v>
      </c>
      <c r="X198" s="3913" t="s">
        <v>4587</v>
      </c>
      <c r="Y198" s="3912" t="s">
        <v>4588</v>
      </c>
      <c r="Z198" s="3913" t="s">
        <v>4589</v>
      </c>
      <c r="AA198" s="3912" t="s">
        <v>4590</v>
      </c>
      <c r="AB198" s="3913" t="s">
        <v>4591</v>
      </c>
      <c r="AC198" s="3912" t="s">
        <v>4592</v>
      </c>
      <c r="AD198" s="3913" t="s">
        <v>4593</v>
      </c>
      <c r="AE198" s="3912" t="s">
        <v>4594</v>
      </c>
      <c r="AF198" s="3913" t="s">
        <v>4595</v>
      </c>
      <c r="AG198" s="3912" t="s">
        <v>4596</v>
      </c>
      <c r="AH198" s="3913" t="s">
        <v>4597</v>
      </c>
      <c r="AI198" s="3912" t="s">
        <v>4598</v>
      </c>
      <c r="AJ198" s="3909" t="s">
        <v>4599</v>
      </c>
      <c r="AK198" s="3911" t="s">
        <v>4600</v>
      </c>
      <c r="AL198" s="3903" t="s">
        <v>4601</v>
      </c>
      <c r="AM198" s="329" t="s">
        <v>4602</v>
      </c>
      <c r="AN198" s="3913" t="s">
        <v>4603</v>
      </c>
      <c r="AO198" s="3943" t="s">
        <v>4604</v>
      </c>
      <c r="AP198" s="3903" t="s">
        <v>4605</v>
      </c>
      <c r="AQ198" s="329" t="s">
        <v>4606</v>
      </c>
      <c r="AR198" s="3904" t="s">
        <v>4934</v>
      </c>
      <c r="AS198" s="3943" t="s">
        <v>4935</v>
      </c>
      <c r="AT198" s="3903" t="s">
        <v>4936</v>
      </c>
      <c r="AU198" s="3943" t="s">
        <v>4937</v>
      </c>
      <c r="AV198" s="3904" t="s">
        <v>5234</v>
      </c>
      <c r="AW198" s="3943" t="s">
        <v>5235</v>
      </c>
      <c r="AX198" s="3956" t="s">
        <v>5236</v>
      </c>
      <c r="AY198" s="2318" t="s">
        <v>5237</v>
      </c>
      <c r="AZ198" s="1864" t="e">
        <f>$CB198&amp;CC198&amp;$CD198&amp;CE198&amp;CF198&amp;CG198&amp;CH198&amp;CI198&amp;CJ198&amp;CK198&amp;CL198&amp;CM198&amp;CN198&amp;CO198&amp;CP198&amp;CQ198&amp;CR198&amp;CS198&amp;CT198</f>
        <v>#VALUE!</v>
      </c>
      <c r="CB198" s="3944" t="str">
        <f t="shared" si="450"/>
        <v xml:space="preserve"> * El Total de Exámenes Confirmados Positivos por ISP NO DEBE SUPERAR los Exámenes Procesados. </v>
      </c>
      <c r="CC198" s="1865" t="str">
        <f t="shared" si="456"/>
        <v xml:space="preserve"> * El número de Exámenes por Sexo Hombres Confirmados positivos por ISP NO PUEDE Superar al número de Procesados. </v>
      </c>
      <c r="CD198" s="1865" t="str">
        <f t="shared" si="451"/>
        <v xml:space="preserve"> * El número de Exámenes por Sexo Mujeres Confirmados positivos por ISP NO PUEDE Superar al número de Procesados. </v>
      </c>
      <c r="CE198" s="1936"/>
      <c r="CF198" s="1936"/>
      <c r="CG198" s="1936"/>
      <c r="CH198" s="1936"/>
      <c r="CI198" s="1936"/>
      <c r="CJ198" s="1865" t="e">
        <f t="shared" si="452"/>
        <v>#VALUE!</v>
      </c>
      <c r="CK198" s="1937"/>
      <c r="CL198" s="1865" t="e">
        <f t="shared" si="429"/>
        <v>#VALUE!</v>
      </c>
      <c r="CM198" s="1865" t="e">
        <f t="shared" si="430"/>
        <v>#VALUE!</v>
      </c>
      <c r="CN198" s="1865" t="str">
        <f t="shared" si="431"/>
        <v xml:space="preserve"> * Los exámenes de Pueblos originarios Procesados no pueden ser mayor que el Total de exámenes procesados.</v>
      </c>
      <c r="CO198" s="1865" t="str">
        <f t="shared" si="432"/>
        <v xml:space="preserve"> * Los exámenes procesados de Migrantes no pueden ser mayor que el Total de exámenes procesados.</v>
      </c>
      <c r="CP198" s="1865" t="e">
        <f t="shared" si="433"/>
        <v>#VALUE!</v>
      </c>
      <c r="CQ198" s="1865" t="str">
        <f t="shared" si="434"/>
        <v xml:space="preserve"> * Los exámenes Confirmados positivos por ISP de Pueblos originarios no pueden ser mayor que el Total de exámenes Procesados por ISP.</v>
      </c>
      <c r="CR198" s="1865" t="str">
        <f t="shared" si="435"/>
        <v xml:space="preserve"> * Los exámenes Confirmados positivos por ISP de Migrantes no pueden ser mayor que el Total de exámenes Procesados por ISP.</v>
      </c>
      <c r="CS198" s="1936"/>
      <c r="CT198" s="1936"/>
      <c r="CU198" s="1868"/>
      <c r="CV198" s="1868"/>
      <c r="DG198" s="3946">
        <f t="shared" si="438"/>
        <v>1</v>
      </c>
      <c r="DH198" s="3922">
        <f t="shared" si="454"/>
        <v>1</v>
      </c>
      <c r="DI198" s="3922">
        <f t="shared" si="439"/>
        <v>1</v>
      </c>
      <c r="DJ198" s="1936"/>
      <c r="DK198" s="1936"/>
      <c r="DL198" s="1936"/>
      <c r="DM198" s="1936"/>
      <c r="DN198" s="1936"/>
      <c r="DO198" s="3922" t="e">
        <f t="shared" si="440"/>
        <v>#VALUE!</v>
      </c>
      <c r="DP198" s="1937"/>
      <c r="DQ198" s="3922" t="e">
        <f t="shared" si="441"/>
        <v>#VALUE!</v>
      </c>
      <c r="DR198" s="3922" t="e">
        <f t="shared" si="442"/>
        <v>#VALUE!</v>
      </c>
      <c r="DS198" s="3922">
        <f t="shared" si="443"/>
        <v>1</v>
      </c>
      <c r="DT198" s="3922">
        <f t="shared" si="444"/>
        <v>1</v>
      </c>
      <c r="DU198" s="3922" t="e">
        <f t="shared" si="445"/>
        <v>#VALUE!</v>
      </c>
      <c r="DV198" s="3922">
        <f t="shared" si="446"/>
        <v>1</v>
      </c>
      <c r="DW198" s="3922">
        <f t="shared" si="447"/>
        <v>1</v>
      </c>
      <c r="DX198" s="1936"/>
      <c r="DY198" s="1936"/>
      <c r="DZ198" s="1869"/>
      <c r="EA198" s="1869"/>
    </row>
    <row r="199" spans="1:131" x14ac:dyDescent="0.25">
      <c r="A199" s="5601">
        <v>11055310</v>
      </c>
      <c r="B199" s="6312"/>
      <c r="C199" s="416" t="s">
        <v>1902</v>
      </c>
      <c r="D199" s="623" t="s">
        <v>4567</v>
      </c>
      <c r="E199" s="3039" t="s">
        <v>4568</v>
      </c>
      <c r="F199" s="1871" t="s">
        <v>4569</v>
      </c>
      <c r="G199" s="1875" t="s">
        <v>4570</v>
      </c>
      <c r="H199" s="1871" t="s">
        <v>4571</v>
      </c>
      <c r="I199" s="1875" t="s">
        <v>4572</v>
      </c>
      <c r="J199" s="1871" t="s">
        <v>4573</v>
      </c>
      <c r="K199" s="1875" t="s">
        <v>4574</v>
      </c>
      <c r="L199" s="1871" t="s">
        <v>4575</v>
      </c>
      <c r="M199" s="1875" t="s">
        <v>4576</v>
      </c>
      <c r="N199" s="1871" t="s">
        <v>4577</v>
      </c>
      <c r="O199" s="1875" t="s">
        <v>4578</v>
      </c>
      <c r="P199" s="853" t="s">
        <v>4579</v>
      </c>
      <c r="Q199" s="1873" t="s">
        <v>4580</v>
      </c>
      <c r="R199" s="853" t="s">
        <v>4581</v>
      </c>
      <c r="S199" s="1873" t="s">
        <v>4582</v>
      </c>
      <c r="T199" s="853" t="s">
        <v>4583</v>
      </c>
      <c r="U199" s="1873" t="s">
        <v>4584</v>
      </c>
      <c r="V199" s="853" t="s">
        <v>4585</v>
      </c>
      <c r="W199" s="1873" t="s">
        <v>4586</v>
      </c>
      <c r="X199" s="853" t="s">
        <v>4587</v>
      </c>
      <c r="Y199" s="1873" t="s">
        <v>4588</v>
      </c>
      <c r="Z199" s="853" t="s">
        <v>4589</v>
      </c>
      <c r="AA199" s="1873" t="s">
        <v>4590</v>
      </c>
      <c r="AB199" s="853" t="s">
        <v>4591</v>
      </c>
      <c r="AC199" s="1873" t="s">
        <v>4592</v>
      </c>
      <c r="AD199" s="853" t="s">
        <v>4593</v>
      </c>
      <c r="AE199" s="1873" t="s">
        <v>4594</v>
      </c>
      <c r="AF199" s="853" t="s">
        <v>4595</v>
      </c>
      <c r="AG199" s="1873" t="s">
        <v>4596</v>
      </c>
      <c r="AH199" s="853" t="s">
        <v>4597</v>
      </c>
      <c r="AI199" s="1873" t="s">
        <v>4598</v>
      </c>
      <c r="AJ199" s="1871" t="s">
        <v>4599</v>
      </c>
      <c r="AK199" s="1876" t="s">
        <v>4600</v>
      </c>
      <c r="AL199" s="1879" t="s">
        <v>4601</v>
      </c>
      <c r="AM199" s="854" t="s">
        <v>4602</v>
      </c>
      <c r="AN199" s="853" t="s">
        <v>4603</v>
      </c>
      <c r="AO199" s="1878" t="s">
        <v>4604</v>
      </c>
      <c r="AP199" s="1879" t="s">
        <v>4605</v>
      </c>
      <c r="AQ199" s="854" t="s">
        <v>4606</v>
      </c>
      <c r="AR199" s="1877" t="s">
        <v>4934</v>
      </c>
      <c r="AS199" s="1878" t="s">
        <v>4935</v>
      </c>
      <c r="AT199" s="1879" t="s">
        <v>4936</v>
      </c>
      <c r="AU199" s="1878" t="s">
        <v>4937</v>
      </c>
      <c r="AV199" s="1877" t="s">
        <v>5234</v>
      </c>
      <c r="AW199" s="1878" t="s">
        <v>5235</v>
      </c>
      <c r="AX199" s="3957" t="s">
        <v>5236</v>
      </c>
      <c r="AY199" s="1909" t="s">
        <v>5237</v>
      </c>
      <c r="AZ199" s="1864" t="e">
        <f t="shared" ref="AZ199" si="457">$CB199&amp;CC199&amp;$CD199&amp;CE199&amp;CF199&amp;CG199&amp;CH199&amp;CI199&amp;CJ199&amp;CK199&amp;CL199&amp;CM199&amp;CN199&amp;CO199&amp;CP199&amp;CQ199&amp;CR199&amp;CS199&amp;CT199</f>
        <v>#VALUE!</v>
      </c>
      <c r="CB199" s="3944" t="str">
        <f t="shared" si="450"/>
        <v xml:space="preserve"> * El Total de Exámenes Confirmados Positivos por ISP NO DEBE SUPERAR los Exámenes Procesados. </v>
      </c>
      <c r="CC199" s="1865" t="str">
        <f t="shared" si="456"/>
        <v xml:space="preserve"> * El número de Exámenes por Sexo Hombres Confirmados positivos por ISP NO PUEDE Superar al número de Procesados. </v>
      </c>
      <c r="CD199" s="1865" t="str">
        <f t="shared" si="451"/>
        <v xml:space="preserve"> * El número de Exámenes por Sexo Mujeres Confirmados positivos por ISP NO PUEDE Superar al número de Procesados. </v>
      </c>
      <c r="CE199" s="1936"/>
      <c r="CF199" s="1936"/>
      <c r="CG199" s="1936"/>
      <c r="CH199" s="1936"/>
      <c r="CI199" s="1936"/>
      <c r="CJ199" s="1865" t="e">
        <f t="shared" si="452"/>
        <v>#VALUE!</v>
      </c>
      <c r="CK199" s="1937"/>
      <c r="CL199" s="1865" t="e">
        <f t="shared" si="429"/>
        <v>#VALUE!</v>
      </c>
      <c r="CM199" s="1865" t="e">
        <f t="shared" si="430"/>
        <v>#VALUE!</v>
      </c>
      <c r="CN199" s="1865" t="str">
        <f t="shared" si="431"/>
        <v xml:space="preserve"> * Los exámenes de Pueblos originarios Procesados no pueden ser mayor que el Total de exámenes procesados.</v>
      </c>
      <c r="CO199" s="1865" t="str">
        <f t="shared" si="432"/>
        <v xml:space="preserve"> * Los exámenes procesados de Migrantes no pueden ser mayor que el Total de exámenes procesados.</v>
      </c>
      <c r="CP199" s="1865" t="e">
        <f t="shared" si="433"/>
        <v>#VALUE!</v>
      </c>
      <c r="CQ199" s="1865" t="str">
        <f t="shared" si="434"/>
        <v xml:space="preserve"> * Los exámenes Confirmados positivos por ISP de Pueblos originarios no pueden ser mayor que el Total de exámenes Procesados por ISP.</v>
      </c>
      <c r="CR199" s="1865" t="str">
        <f t="shared" si="435"/>
        <v xml:space="preserve"> * Los exámenes Confirmados positivos por ISP de Migrantes no pueden ser mayor que el Total de exámenes Procesados por ISP.</v>
      </c>
      <c r="CS199" s="1936"/>
      <c r="CT199" s="1936"/>
      <c r="CU199" s="1868"/>
      <c r="CV199" s="1868"/>
      <c r="DG199" s="3946">
        <f t="shared" si="438"/>
        <v>1</v>
      </c>
      <c r="DH199" s="3922">
        <f t="shared" si="454"/>
        <v>1</v>
      </c>
      <c r="DI199" s="3922">
        <f t="shared" si="439"/>
        <v>1</v>
      </c>
      <c r="DJ199" s="1936"/>
      <c r="DK199" s="1936"/>
      <c r="DL199" s="1936"/>
      <c r="DM199" s="1936"/>
      <c r="DN199" s="1936"/>
      <c r="DO199" s="3922" t="e">
        <f t="shared" si="440"/>
        <v>#VALUE!</v>
      </c>
      <c r="DP199" s="1937"/>
      <c r="DQ199" s="3922" t="e">
        <f t="shared" si="441"/>
        <v>#VALUE!</v>
      </c>
      <c r="DR199" s="3922" t="e">
        <f t="shared" si="442"/>
        <v>#VALUE!</v>
      </c>
      <c r="DS199" s="3922">
        <f t="shared" si="443"/>
        <v>1</v>
      </c>
      <c r="DT199" s="3922">
        <f t="shared" si="444"/>
        <v>1</v>
      </c>
      <c r="DU199" s="3922" t="e">
        <f t="shared" si="445"/>
        <v>#VALUE!</v>
      </c>
      <c r="DV199" s="3922">
        <f t="shared" si="446"/>
        <v>1</v>
      </c>
      <c r="DW199" s="3922">
        <f t="shared" si="447"/>
        <v>1</v>
      </c>
      <c r="DX199" s="1936"/>
      <c r="DY199" s="1936"/>
      <c r="DZ199" s="1869"/>
      <c r="EA199" s="1869"/>
    </row>
    <row r="200" spans="1:131" x14ac:dyDescent="0.25">
      <c r="A200" s="5601">
        <v>11055320</v>
      </c>
      <c r="B200" s="7147" t="s">
        <v>1881</v>
      </c>
      <c r="C200" s="7148"/>
      <c r="D200" s="302" t="s">
        <v>4567</v>
      </c>
      <c r="E200" s="3041" t="s">
        <v>4568</v>
      </c>
      <c r="F200" s="326" t="s">
        <v>4569</v>
      </c>
      <c r="G200" s="1014" t="s">
        <v>4570</v>
      </c>
      <c r="H200" s="326" t="s">
        <v>4571</v>
      </c>
      <c r="I200" s="1014" t="s">
        <v>4572</v>
      </c>
      <c r="J200" s="326" t="s">
        <v>4573</v>
      </c>
      <c r="K200" s="1014" t="s">
        <v>4574</v>
      </c>
      <c r="L200" s="326" t="s">
        <v>4575</v>
      </c>
      <c r="M200" s="1014" t="s">
        <v>4576</v>
      </c>
      <c r="N200" s="20" t="s">
        <v>4577</v>
      </c>
      <c r="O200" s="232" t="s">
        <v>4578</v>
      </c>
      <c r="P200" s="20" t="s">
        <v>4579</v>
      </c>
      <c r="Q200" s="232" t="s">
        <v>4580</v>
      </c>
      <c r="R200" s="20" t="s">
        <v>4581</v>
      </c>
      <c r="S200" s="232" t="s">
        <v>4582</v>
      </c>
      <c r="T200" s="20" t="s">
        <v>4583</v>
      </c>
      <c r="U200" s="232" t="s">
        <v>4584</v>
      </c>
      <c r="V200" s="20" t="s">
        <v>4585</v>
      </c>
      <c r="W200" s="232" t="s">
        <v>4586</v>
      </c>
      <c r="X200" s="20" t="s">
        <v>4587</v>
      </c>
      <c r="Y200" s="232" t="s">
        <v>4588</v>
      </c>
      <c r="Z200" s="20" t="s">
        <v>4589</v>
      </c>
      <c r="AA200" s="232" t="s">
        <v>4590</v>
      </c>
      <c r="AB200" s="20" t="s">
        <v>4591</v>
      </c>
      <c r="AC200" s="232" t="s">
        <v>4592</v>
      </c>
      <c r="AD200" s="20" t="s">
        <v>4593</v>
      </c>
      <c r="AE200" s="2397" t="s">
        <v>4594</v>
      </c>
      <c r="AF200" s="20" t="s">
        <v>4595</v>
      </c>
      <c r="AG200" s="2397" t="s">
        <v>4596</v>
      </c>
      <c r="AH200" s="3927" t="s">
        <v>4597</v>
      </c>
      <c r="AI200" s="3929" t="s">
        <v>4598</v>
      </c>
      <c r="AJ200" s="20" t="s">
        <v>4599</v>
      </c>
      <c r="AK200" s="232" t="s">
        <v>4600</v>
      </c>
      <c r="AL200" s="336" t="s">
        <v>4601</v>
      </c>
      <c r="AM200" s="142" t="s">
        <v>4602</v>
      </c>
      <c r="AN200" s="326" t="s">
        <v>4603</v>
      </c>
      <c r="AO200" s="1884" t="s">
        <v>4604</v>
      </c>
      <c r="AP200" s="336" t="s">
        <v>4605</v>
      </c>
      <c r="AQ200" s="142" t="s">
        <v>4606</v>
      </c>
      <c r="AR200" s="44" t="s">
        <v>4934</v>
      </c>
      <c r="AS200" s="1884" t="s">
        <v>4935</v>
      </c>
      <c r="AT200" s="336" t="s">
        <v>4936</v>
      </c>
      <c r="AU200" s="1884" t="s">
        <v>4937</v>
      </c>
      <c r="AV200" s="336" t="s">
        <v>5234</v>
      </c>
      <c r="AW200" s="142" t="s">
        <v>5235</v>
      </c>
      <c r="AX200" s="336" t="s">
        <v>5236</v>
      </c>
      <c r="AY200" s="142" t="s">
        <v>5237</v>
      </c>
      <c r="AZ200" s="1864" t="e">
        <f t="shared" si="455"/>
        <v>#VALUE!</v>
      </c>
      <c r="CB200" s="3944" t="str">
        <f t="shared" si="450"/>
        <v xml:space="preserve"> * El Total de Exámenes Confirmados Positivos por ISP NO DEBE SUPERAR los Exámenes Procesados. </v>
      </c>
      <c r="CC200" s="1865" t="str">
        <f t="shared" si="456"/>
        <v xml:space="preserve"> * El número de Exámenes por Sexo Hombres Confirmados positivos por ISP NO PUEDE Superar al número de Procesados. </v>
      </c>
      <c r="CD200" s="1865" t="str">
        <f t="shared" si="451"/>
        <v xml:space="preserve"> * El número de Exámenes por Sexo Mujeres Confirmados positivos por ISP NO PUEDE Superar al número de Procesados. </v>
      </c>
      <c r="CE200" s="1936"/>
      <c r="CF200" s="1936"/>
      <c r="CG200" s="1936"/>
      <c r="CH200" s="1936"/>
      <c r="CI200" s="1936"/>
      <c r="CJ200" s="1865" t="e">
        <f t="shared" si="452"/>
        <v>#VALUE!</v>
      </c>
      <c r="CK200" s="1937"/>
      <c r="CL200" s="1865" t="e">
        <f t="shared" si="429"/>
        <v>#VALUE!</v>
      </c>
      <c r="CM200" s="1865" t="e">
        <f t="shared" si="430"/>
        <v>#VALUE!</v>
      </c>
      <c r="CN200" s="1865" t="str">
        <f t="shared" si="431"/>
        <v xml:space="preserve"> * Los exámenes de Pueblos originarios Procesados no pueden ser mayor que el Total de exámenes procesados.</v>
      </c>
      <c r="CO200" s="1865" t="str">
        <f t="shared" si="432"/>
        <v xml:space="preserve"> * Los exámenes procesados de Migrantes no pueden ser mayor que el Total de exámenes procesados.</v>
      </c>
      <c r="CP200" s="1865" t="e">
        <f t="shared" si="433"/>
        <v>#VALUE!</v>
      </c>
      <c r="CQ200" s="1865" t="str">
        <f t="shared" si="434"/>
        <v xml:space="preserve"> * Los exámenes Confirmados positivos por ISP de Pueblos originarios no pueden ser mayor que el Total de exámenes Procesados por ISP.</v>
      </c>
      <c r="CR200" s="1865" t="str">
        <f t="shared" si="435"/>
        <v xml:space="preserve"> * Los exámenes Confirmados positivos por ISP de Migrantes no pueden ser mayor que el Total de exámenes Procesados por ISP.</v>
      </c>
      <c r="CS200" s="1936"/>
      <c r="CT200" s="1936"/>
      <c r="CU200" s="2946" t="e">
        <f t="shared" ref="CU200:CU210" si="458">IF(AND((N200+P200)&gt;0,AX200=""),"*No olvide digitar los Exámenes Procesados de 14-18 años. Digite cero si no tiene.",IF(AX200&gt;(N200+P200),"* El Total de Procesados de 14-18 años NO DEBE ser mayor al Total de Procesados registrados en los grupos de edad 10 a 14 + 15 a 19 años. ",""))</f>
        <v>#VALUE!</v>
      </c>
      <c r="CV200" s="2946" t="e">
        <f t="shared" ref="CV200:CV210" si="459">IF(AND((O200+Q200)&gt;0,AY200=""),"*No olvide digitar los Exámenes Confirmados Positivos por ISP de 14-18 años. Digite cero si no tiene.",IF(AY200&gt;(O200+Q200),"* El Total de Confirmados de 14-18 años NO DEBE ser mayor al Total de Confirmados Positivos por ISP registrados en los grupos de edad 10 a 14 + 15 a 19 años. ",""))</f>
        <v>#VALUE!</v>
      </c>
      <c r="DG200" s="3946">
        <f t="shared" si="438"/>
        <v>1</v>
      </c>
      <c r="DH200" s="3922">
        <f t="shared" si="454"/>
        <v>1</v>
      </c>
      <c r="DI200" s="3922">
        <f t="shared" si="439"/>
        <v>1</v>
      </c>
      <c r="DJ200" s="1936"/>
      <c r="DK200" s="1936"/>
      <c r="DL200" s="1936"/>
      <c r="DM200" s="1936"/>
      <c r="DN200" s="1936"/>
      <c r="DO200" s="3922" t="e">
        <f t="shared" si="440"/>
        <v>#VALUE!</v>
      </c>
      <c r="DP200" s="1937"/>
      <c r="DQ200" s="3922" t="e">
        <f t="shared" si="441"/>
        <v>#VALUE!</v>
      </c>
      <c r="DR200" s="3922" t="e">
        <f t="shared" si="442"/>
        <v>#VALUE!</v>
      </c>
      <c r="DS200" s="3922">
        <f t="shared" si="443"/>
        <v>1</v>
      </c>
      <c r="DT200" s="3922">
        <f t="shared" si="444"/>
        <v>1</v>
      </c>
      <c r="DU200" s="3922" t="e">
        <f t="shared" si="445"/>
        <v>#VALUE!</v>
      </c>
      <c r="DV200" s="3922">
        <f t="shared" si="446"/>
        <v>1</v>
      </c>
      <c r="DW200" s="3922">
        <f t="shared" si="447"/>
        <v>1</v>
      </c>
      <c r="DX200" s="1936"/>
      <c r="DY200" s="1936"/>
      <c r="DZ200" s="3922" t="e">
        <f t="shared" ref="DZ200:DZ210" si="460">IF(AND((N200+P200)&gt;0,AX200=""),1,IF(AX200&gt;(N200+P200),1,0))</f>
        <v>#VALUE!</v>
      </c>
      <c r="EA200" s="3922" t="e">
        <f t="shared" ref="EA200:EA210" si="461">IF(AND((O200+Q200)&gt;0,AY200=""),1,IF(AY200&gt;(O200+Q200),1,0))</f>
        <v>#VALUE!</v>
      </c>
    </row>
    <row r="201" spans="1:131" x14ac:dyDescent="0.25">
      <c r="A201" s="5601">
        <v>11055330</v>
      </c>
      <c r="B201" s="7143" t="s">
        <v>1917</v>
      </c>
      <c r="C201" s="7144"/>
      <c r="D201" s="3908" t="s">
        <v>4567</v>
      </c>
      <c r="E201" s="3947" t="s">
        <v>4568</v>
      </c>
      <c r="F201" s="3913" t="s">
        <v>4569</v>
      </c>
      <c r="G201" s="3912" t="s">
        <v>4570</v>
      </c>
      <c r="H201" s="3913" t="s">
        <v>4571</v>
      </c>
      <c r="I201" s="3912" t="s">
        <v>4572</v>
      </c>
      <c r="J201" s="3913" t="s">
        <v>4573</v>
      </c>
      <c r="K201" s="3912" t="s">
        <v>4574</v>
      </c>
      <c r="L201" s="3913" t="s">
        <v>4575</v>
      </c>
      <c r="M201" s="3912" t="s">
        <v>4576</v>
      </c>
      <c r="N201" s="3913" t="s">
        <v>4577</v>
      </c>
      <c r="O201" s="3912" t="s">
        <v>4578</v>
      </c>
      <c r="P201" s="212" t="s">
        <v>4579</v>
      </c>
      <c r="Q201" s="993" t="s">
        <v>4580</v>
      </c>
      <c r="R201" s="212" t="s">
        <v>4581</v>
      </c>
      <c r="S201" s="993" t="s">
        <v>4582</v>
      </c>
      <c r="T201" s="212" t="s">
        <v>4583</v>
      </c>
      <c r="U201" s="993" t="s">
        <v>4584</v>
      </c>
      <c r="V201" s="212" t="s">
        <v>4585</v>
      </c>
      <c r="W201" s="993" t="s">
        <v>4586</v>
      </c>
      <c r="X201" s="212" t="s">
        <v>4587</v>
      </c>
      <c r="Y201" s="993" t="s">
        <v>4588</v>
      </c>
      <c r="Z201" s="212" t="s">
        <v>4589</v>
      </c>
      <c r="AA201" s="993" t="s">
        <v>4590</v>
      </c>
      <c r="AB201" s="212" t="s">
        <v>4591</v>
      </c>
      <c r="AC201" s="993" t="s">
        <v>4592</v>
      </c>
      <c r="AD201" s="212" t="s">
        <v>4593</v>
      </c>
      <c r="AE201" s="1138" t="s">
        <v>4594</v>
      </c>
      <c r="AF201" s="212" t="s">
        <v>4595</v>
      </c>
      <c r="AG201" s="1138" t="s">
        <v>4596</v>
      </c>
      <c r="AH201" s="212" t="s">
        <v>4597</v>
      </c>
      <c r="AI201" s="1136" t="s">
        <v>4598</v>
      </c>
      <c r="AJ201" s="212" t="s">
        <v>4599</v>
      </c>
      <c r="AK201" s="993" t="s">
        <v>4600</v>
      </c>
      <c r="AL201" s="992" t="s">
        <v>4601</v>
      </c>
      <c r="AM201" s="34" t="s">
        <v>4602</v>
      </c>
      <c r="AN201" s="212" t="s">
        <v>4603</v>
      </c>
      <c r="AO201" s="3443" t="s">
        <v>4604</v>
      </c>
      <c r="AP201" s="992" t="s">
        <v>4605</v>
      </c>
      <c r="AQ201" s="34" t="s">
        <v>4606</v>
      </c>
      <c r="AR201" s="1137" t="s">
        <v>4934</v>
      </c>
      <c r="AS201" s="3443" t="s">
        <v>4935</v>
      </c>
      <c r="AT201" s="992" t="s">
        <v>4936</v>
      </c>
      <c r="AU201" s="3443" t="s">
        <v>4937</v>
      </c>
      <c r="AV201" s="992" t="s">
        <v>5234</v>
      </c>
      <c r="AW201" s="34" t="s">
        <v>5235</v>
      </c>
      <c r="AX201" s="992" t="s">
        <v>5236</v>
      </c>
      <c r="AY201" s="34" t="s">
        <v>5237</v>
      </c>
      <c r="AZ201" s="1864" t="e">
        <f>$CB201&amp;CC201&amp;$CD201&amp;CE201&amp;CF201&amp;CG201&amp;CH201&amp;CI201&amp;CJ201&amp;CK201&amp;CL201&amp;CM201&amp;CN201&amp;CO201&amp;CP201&amp;CQ201&amp;CR201&amp;CS201&amp;CT201&amp;CU201&amp;CV201</f>
        <v>#VALUE!</v>
      </c>
      <c r="CB201" s="3944" t="str">
        <f t="shared" si="450"/>
        <v xml:space="preserve"> * El Total de Exámenes Confirmados Positivos por ISP NO DEBE SUPERAR los Exámenes Procesados. </v>
      </c>
      <c r="CC201" s="1865" t="str">
        <f t="shared" si="456"/>
        <v xml:space="preserve"> * El número de Exámenes por Sexo Hombres Confirmados positivos por ISP NO PUEDE Superar al número de Procesados. </v>
      </c>
      <c r="CD201" s="1865" t="str">
        <f t="shared" si="451"/>
        <v xml:space="preserve"> * El número de Exámenes por Sexo Mujeres Confirmados positivos por ISP NO PUEDE Superar al número de Procesados. </v>
      </c>
      <c r="CE201" s="1936"/>
      <c r="CF201" s="1936"/>
      <c r="CG201" s="1936"/>
      <c r="CH201" s="1936"/>
      <c r="CI201" s="1936"/>
      <c r="CJ201" s="1865" t="e">
        <f t="shared" si="452"/>
        <v>#VALUE!</v>
      </c>
      <c r="CK201" s="1937"/>
      <c r="CL201" s="1865" t="e">
        <f t="shared" si="429"/>
        <v>#VALUE!</v>
      </c>
      <c r="CM201" s="1865" t="e">
        <f t="shared" si="430"/>
        <v>#VALUE!</v>
      </c>
      <c r="CN201" s="1865" t="str">
        <f t="shared" si="431"/>
        <v xml:space="preserve"> * Los exámenes de Pueblos originarios Procesados no pueden ser mayor que el Total de exámenes procesados.</v>
      </c>
      <c r="CO201" s="1865" t="str">
        <f t="shared" si="432"/>
        <v xml:space="preserve"> * Los exámenes procesados de Migrantes no pueden ser mayor que el Total de exámenes procesados.</v>
      </c>
      <c r="CP201" s="1865" t="e">
        <f t="shared" si="433"/>
        <v>#VALUE!</v>
      </c>
      <c r="CQ201" s="1865" t="str">
        <f t="shared" si="434"/>
        <v xml:space="preserve"> * Los exámenes Confirmados positivos por ISP de Pueblos originarios no pueden ser mayor que el Total de exámenes Procesados por ISP.</v>
      </c>
      <c r="CR201" s="1865" t="str">
        <f t="shared" si="435"/>
        <v xml:space="preserve"> * Los exámenes Confirmados positivos por ISP de Migrantes no pueden ser mayor que el Total de exámenes Procesados por ISP.</v>
      </c>
      <c r="CS201" s="1936"/>
      <c r="CT201" s="1936"/>
      <c r="CU201" s="2946" t="e">
        <f t="shared" si="458"/>
        <v>#VALUE!</v>
      </c>
      <c r="CV201" s="2946" t="e">
        <f t="shared" si="459"/>
        <v>#VALUE!</v>
      </c>
      <c r="DG201" s="3946">
        <f t="shared" si="438"/>
        <v>1</v>
      </c>
      <c r="DH201" s="3922">
        <f t="shared" si="454"/>
        <v>1</v>
      </c>
      <c r="DI201" s="3922">
        <f t="shared" si="439"/>
        <v>1</v>
      </c>
      <c r="DJ201" s="1936"/>
      <c r="DK201" s="1936"/>
      <c r="DL201" s="1936"/>
      <c r="DM201" s="1936"/>
      <c r="DN201" s="1936"/>
      <c r="DO201" s="3922" t="e">
        <f t="shared" si="440"/>
        <v>#VALUE!</v>
      </c>
      <c r="DP201" s="1937"/>
      <c r="DQ201" s="3922" t="e">
        <f t="shared" si="441"/>
        <v>#VALUE!</v>
      </c>
      <c r="DR201" s="3922" t="e">
        <f t="shared" si="442"/>
        <v>#VALUE!</v>
      </c>
      <c r="DS201" s="3922">
        <f t="shared" si="443"/>
        <v>1</v>
      </c>
      <c r="DT201" s="3922">
        <f t="shared" si="444"/>
        <v>1</v>
      </c>
      <c r="DU201" s="3922" t="e">
        <f t="shared" si="445"/>
        <v>#VALUE!</v>
      </c>
      <c r="DV201" s="3922">
        <f t="shared" si="446"/>
        <v>1</v>
      </c>
      <c r="DW201" s="3922">
        <f t="shared" si="447"/>
        <v>1</v>
      </c>
      <c r="DX201" s="1936"/>
      <c r="DY201" s="1936"/>
      <c r="DZ201" s="3922" t="e">
        <f t="shared" si="460"/>
        <v>#VALUE!</v>
      </c>
      <c r="EA201" s="3922" t="e">
        <f t="shared" si="461"/>
        <v>#VALUE!</v>
      </c>
    </row>
    <row r="202" spans="1:131" x14ac:dyDescent="0.25">
      <c r="A202" s="5601">
        <v>11055340</v>
      </c>
      <c r="B202" s="7143" t="s">
        <v>1883</v>
      </c>
      <c r="C202" s="7144"/>
      <c r="D202" s="3908" t="s">
        <v>4567</v>
      </c>
      <c r="E202" s="3947" t="s">
        <v>4568</v>
      </c>
      <c r="F202" s="3913" t="s">
        <v>4569</v>
      </c>
      <c r="G202" s="3912" t="s">
        <v>4570</v>
      </c>
      <c r="H202" s="3913" t="s">
        <v>4571</v>
      </c>
      <c r="I202" s="3912" t="s">
        <v>4572</v>
      </c>
      <c r="J202" s="3913" t="s">
        <v>4573</v>
      </c>
      <c r="K202" s="3912" t="s">
        <v>4574</v>
      </c>
      <c r="L202" s="3913" t="s">
        <v>4575</v>
      </c>
      <c r="M202" s="3912" t="s">
        <v>4576</v>
      </c>
      <c r="N202" s="3913" t="s">
        <v>4577</v>
      </c>
      <c r="O202" s="3912" t="s">
        <v>4578</v>
      </c>
      <c r="P202" s="212" t="s">
        <v>4579</v>
      </c>
      <c r="Q202" s="993" t="s">
        <v>4580</v>
      </c>
      <c r="R202" s="212" t="s">
        <v>4581</v>
      </c>
      <c r="S202" s="993" t="s">
        <v>4582</v>
      </c>
      <c r="T202" s="212" t="s">
        <v>4583</v>
      </c>
      <c r="U202" s="993" t="s">
        <v>4584</v>
      </c>
      <c r="V202" s="212" t="s">
        <v>4585</v>
      </c>
      <c r="W202" s="993" t="s">
        <v>4586</v>
      </c>
      <c r="X202" s="212" t="s">
        <v>4587</v>
      </c>
      <c r="Y202" s="993" t="s">
        <v>4588</v>
      </c>
      <c r="Z202" s="212" t="s">
        <v>4589</v>
      </c>
      <c r="AA202" s="993" t="s">
        <v>4590</v>
      </c>
      <c r="AB202" s="212" t="s">
        <v>4591</v>
      </c>
      <c r="AC202" s="993" t="s">
        <v>4592</v>
      </c>
      <c r="AD202" s="212" t="s">
        <v>4593</v>
      </c>
      <c r="AE202" s="1138" t="s">
        <v>4594</v>
      </c>
      <c r="AF202" s="212" t="s">
        <v>4595</v>
      </c>
      <c r="AG202" s="1138" t="s">
        <v>4596</v>
      </c>
      <c r="AH202" s="212" t="s">
        <v>4597</v>
      </c>
      <c r="AI202" s="1136" t="s">
        <v>4598</v>
      </c>
      <c r="AJ202" s="212" t="s">
        <v>4599</v>
      </c>
      <c r="AK202" s="993" t="s">
        <v>4600</v>
      </c>
      <c r="AL202" s="992" t="s">
        <v>4601</v>
      </c>
      <c r="AM202" s="34" t="s">
        <v>4602</v>
      </c>
      <c r="AN202" s="212" t="s">
        <v>4603</v>
      </c>
      <c r="AO202" s="3443" t="s">
        <v>4604</v>
      </c>
      <c r="AP202" s="992" t="s">
        <v>4605</v>
      </c>
      <c r="AQ202" s="34" t="s">
        <v>4606</v>
      </c>
      <c r="AR202" s="1137" t="s">
        <v>4934</v>
      </c>
      <c r="AS202" s="3443" t="s">
        <v>4935</v>
      </c>
      <c r="AT202" s="992" t="s">
        <v>4936</v>
      </c>
      <c r="AU202" s="3443" t="s">
        <v>4937</v>
      </c>
      <c r="AV202" s="992" t="s">
        <v>5234</v>
      </c>
      <c r="AW202" s="34" t="s">
        <v>5235</v>
      </c>
      <c r="AX202" s="992" t="s">
        <v>5236</v>
      </c>
      <c r="AY202" s="34" t="s">
        <v>5237</v>
      </c>
      <c r="AZ202" s="1864" t="e">
        <f t="shared" si="455"/>
        <v>#VALUE!</v>
      </c>
      <c r="CB202" s="3944" t="str">
        <f t="shared" si="450"/>
        <v xml:space="preserve"> * El Total de Exámenes Confirmados Positivos por ISP NO DEBE SUPERAR los Exámenes Procesados. </v>
      </c>
      <c r="CC202" s="1865" t="str">
        <f t="shared" si="456"/>
        <v xml:space="preserve"> * El número de Exámenes por Sexo Hombres Confirmados positivos por ISP NO PUEDE Superar al número de Procesados. </v>
      </c>
      <c r="CD202" s="1865" t="str">
        <f t="shared" si="451"/>
        <v xml:space="preserve"> * El número de Exámenes por Sexo Mujeres Confirmados positivos por ISP NO PUEDE Superar al número de Procesados. </v>
      </c>
      <c r="CE202" s="1936"/>
      <c r="CF202" s="1936"/>
      <c r="CG202" s="1936"/>
      <c r="CH202" s="1936"/>
      <c r="CI202" s="1936"/>
      <c r="CJ202" s="1865" t="e">
        <f t="shared" si="452"/>
        <v>#VALUE!</v>
      </c>
      <c r="CK202" s="1937"/>
      <c r="CL202" s="1865" t="e">
        <f t="shared" si="429"/>
        <v>#VALUE!</v>
      </c>
      <c r="CM202" s="1865" t="e">
        <f t="shared" si="430"/>
        <v>#VALUE!</v>
      </c>
      <c r="CN202" s="1865" t="str">
        <f t="shared" si="431"/>
        <v xml:space="preserve"> * Los exámenes de Pueblos originarios Procesados no pueden ser mayor que el Total de exámenes procesados.</v>
      </c>
      <c r="CO202" s="1865" t="str">
        <f t="shared" si="432"/>
        <v xml:space="preserve"> * Los exámenes procesados de Migrantes no pueden ser mayor que el Total de exámenes procesados.</v>
      </c>
      <c r="CP202" s="1865" t="e">
        <f t="shared" si="433"/>
        <v>#VALUE!</v>
      </c>
      <c r="CQ202" s="1865" t="str">
        <f t="shared" si="434"/>
        <v xml:space="preserve"> * Los exámenes Confirmados positivos por ISP de Pueblos originarios no pueden ser mayor que el Total de exámenes Procesados por ISP.</v>
      </c>
      <c r="CR202" s="1865" t="str">
        <f t="shared" si="435"/>
        <v xml:space="preserve"> * Los exámenes Confirmados positivos por ISP de Migrantes no pueden ser mayor que el Total de exámenes Procesados por ISP.</v>
      </c>
      <c r="CS202" s="1936"/>
      <c r="CT202" s="1936"/>
      <c r="CU202" s="2946" t="e">
        <f t="shared" si="458"/>
        <v>#VALUE!</v>
      </c>
      <c r="CV202" s="2946" t="e">
        <f t="shared" si="459"/>
        <v>#VALUE!</v>
      </c>
      <c r="DG202" s="3946">
        <f t="shared" si="438"/>
        <v>1</v>
      </c>
      <c r="DH202" s="3922">
        <f t="shared" si="454"/>
        <v>1</v>
      </c>
      <c r="DI202" s="3922">
        <f t="shared" si="439"/>
        <v>1</v>
      </c>
      <c r="DJ202" s="1936"/>
      <c r="DK202" s="1936"/>
      <c r="DL202" s="1936"/>
      <c r="DM202" s="1936"/>
      <c r="DN202" s="1936"/>
      <c r="DO202" s="3922" t="e">
        <f t="shared" si="440"/>
        <v>#VALUE!</v>
      </c>
      <c r="DP202" s="1937"/>
      <c r="DQ202" s="3922" t="e">
        <f t="shared" si="441"/>
        <v>#VALUE!</v>
      </c>
      <c r="DR202" s="3922" t="e">
        <f t="shared" si="442"/>
        <v>#VALUE!</v>
      </c>
      <c r="DS202" s="3922">
        <f t="shared" si="443"/>
        <v>1</v>
      </c>
      <c r="DT202" s="3922">
        <f t="shared" si="444"/>
        <v>1</v>
      </c>
      <c r="DU202" s="3922" t="e">
        <f t="shared" si="445"/>
        <v>#VALUE!</v>
      </c>
      <c r="DV202" s="3922">
        <f t="shared" si="446"/>
        <v>1</v>
      </c>
      <c r="DW202" s="3922">
        <f t="shared" si="447"/>
        <v>1</v>
      </c>
      <c r="DX202" s="1936"/>
      <c r="DY202" s="1936"/>
      <c r="DZ202" s="3922" t="e">
        <f t="shared" si="460"/>
        <v>#VALUE!</v>
      </c>
      <c r="EA202" s="3922" t="e">
        <f t="shared" si="461"/>
        <v>#VALUE!</v>
      </c>
    </row>
    <row r="203" spans="1:131" x14ac:dyDescent="0.25">
      <c r="A203" s="5601">
        <v>11055341</v>
      </c>
      <c r="B203" s="7143" t="s">
        <v>1918</v>
      </c>
      <c r="C203" s="7144"/>
      <c r="D203" s="3908" t="s">
        <v>4567</v>
      </c>
      <c r="E203" s="3958" t="s">
        <v>4568</v>
      </c>
      <c r="F203" s="3909" t="s">
        <v>4569</v>
      </c>
      <c r="G203" s="3910" t="s">
        <v>4570</v>
      </c>
      <c r="H203" s="3909" t="s">
        <v>4571</v>
      </c>
      <c r="I203" s="3910" t="s">
        <v>4572</v>
      </c>
      <c r="J203" s="3909" t="s">
        <v>4573</v>
      </c>
      <c r="K203" s="3910" t="s">
        <v>4574</v>
      </c>
      <c r="L203" s="3909" t="s">
        <v>4575</v>
      </c>
      <c r="M203" s="3910" t="s">
        <v>4576</v>
      </c>
      <c r="N203" s="3909" t="s">
        <v>4577</v>
      </c>
      <c r="O203" s="3910" t="s">
        <v>4578</v>
      </c>
      <c r="P203" s="212" t="s">
        <v>4579</v>
      </c>
      <c r="Q203" s="993" t="s">
        <v>4580</v>
      </c>
      <c r="R203" s="212" t="s">
        <v>4581</v>
      </c>
      <c r="S203" s="993" t="s">
        <v>4582</v>
      </c>
      <c r="T203" s="212" t="s">
        <v>4583</v>
      </c>
      <c r="U203" s="993" t="s">
        <v>4584</v>
      </c>
      <c r="V203" s="212" t="s">
        <v>4585</v>
      </c>
      <c r="W203" s="993" t="s">
        <v>4586</v>
      </c>
      <c r="X203" s="212" t="s">
        <v>4587</v>
      </c>
      <c r="Y203" s="993" t="s">
        <v>4588</v>
      </c>
      <c r="Z203" s="212" t="s">
        <v>4589</v>
      </c>
      <c r="AA203" s="993" t="s">
        <v>4590</v>
      </c>
      <c r="AB203" s="212" t="s">
        <v>4591</v>
      </c>
      <c r="AC203" s="993" t="s">
        <v>4592</v>
      </c>
      <c r="AD203" s="212" t="s">
        <v>4593</v>
      </c>
      <c r="AE203" s="1138" t="s">
        <v>4594</v>
      </c>
      <c r="AF203" s="212" t="s">
        <v>4595</v>
      </c>
      <c r="AG203" s="1138" t="s">
        <v>4596</v>
      </c>
      <c r="AH203" s="212" t="s">
        <v>4597</v>
      </c>
      <c r="AI203" s="1136" t="s">
        <v>4598</v>
      </c>
      <c r="AJ203" s="212" t="s">
        <v>4599</v>
      </c>
      <c r="AK203" s="993" t="s">
        <v>4600</v>
      </c>
      <c r="AL203" s="992" t="s">
        <v>4601</v>
      </c>
      <c r="AM203" s="34" t="s">
        <v>4602</v>
      </c>
      <c r="AN203" s="212" t="s">
        <v>4603</v>
      </c>
      <c r="AO203" s="3443" t="s">
        <v>4604</v>
      </c>
      <c r="AP203" s="992" t="s">
        <v>4605</v>
      </c>
      <c r="AQ203" s="34" t="s">
        <v>4606</v>
      </c>
      <c r="AR203" s="1137" t="s">
        <v>4934</v>
      </c>
      <c r="AS203" s="3443" t="s">
        <v>4935</v>
      </c>
      <c r="AT203" s="992" t="s">
        <v>4936</v>
      </c>
      <c r="AU203" s="3443" t="s">
        <v>4937</v>
      </c>
      <c r="AV203" s="992" t="s">
        <v>5234</v>
      </c>
      <c r="AW203" s="34" t="s">
        <v>5235</v>
      </c>
      <c r="AX203" s="992" t="s">
        <v>5236</v>
      </c>
      <c r="AY203" s="34" t="s">
        <v>5237</v>
      </c>
      <c r="AZ203" s="1864" t="e">
        <f t="shared" si="455"/>
        <v>#VALUE!</v>
      </c>
      <c r="CB203" s="3944" t="str">
        <f t="shared" si="450"/>
        <v xml:space="preserve"> * El Total de Exámenes Confirmados Positivos por ISP NO DEBE SUPERAR los Exámenes Procesados. </v>
      </c>
      <c r="CC203" s="1865" t="str">
        <f t="shared" si="456"/>
        <v xml:space="preserve"> * El número de Exámenes por Sexo Hombres Confirmados positivos por ISP NO PUEDE Superar al número de Procesados. </v>
      </c>
      <c r="CD203" s="1865" t="str">
        <f t="shared" si="451"/>
        <v xml:space="preserve"> * El número de Exámenes por Sexo Mujeres Confirmados positivos por ISP NO PUEDE Superar al número de Procesados. </v>
      </c>
      <c r="CE203" s="1936"/>
      <c r="CF203" s="1936"/>
      <c r="CG203" s="1936"/>
      <c r="CH203" s="1936"/>
      <c r="CI203" s="1936"/>
      <c r="CJ203" s="1865" t="e">
        <f t="shared" si="452"/>
        <v>#VALUE!</v>
      </c>
      <c r="CK203" s="1937"/>
      <c r="CL203" s="1865" t="e">
        <f t="shared" si="429"/>
        <v>#VALUE!</v>
      </c>
      <c r="CM203" s="1865" t="e">
        <f t="shared" si="430"/>
        <v>#VALUE!</v>
      </c>
      <c r="CN203" s="1865" t="str">
        <f t="shared" si="431"/>
        <v xml:space="preserve"> * Los exámenes de Pueblos originarios Procesados no pueden ser mayor que el Total de exámenes procesados.</v>
      </c>
      <c r="CO203" s="1865" t="str">
        <f t="shared" si="432"/>
        <v xml:space="preserve"> * Los exámenes procesados de Migrantes no pueden ser mayor que el Total de exámenes procesados.</v>
      </c>
      <c r="CP203" s="1865" t="e">
        <f t="shared" si="433"/>
        <v>#VALUE!</v>
      </c>
      <c r="CQ203" s="1865" t="str">
        <f t="shared" si="434"/>
        <v xml:space="preserve"> * Los exámenes Confirmados positivos por ISP de Pueblos originarios no pueden ser mayor que el Total de exámenes Procesados por ISP.</v>
      </c>
      <c r="CR203" s="1865" t="str">
        <f t="shared" si="435"/>
        <v xml:space="preserve"> * Los exámenes Confirmados positivos por ISP de Migrantes no pueden ser mayor que el Total de exámenes Procesados por ISP.</v>
      </c>
      <c r="CS203" s="1936"/>
      <c r="CT203" s="1936"/>
      <c r="CU203" s="2946" t="e">
        <f t="shared" si="458"/>
        <v>#VALUE!</v>
      </c>
      <c r="CV203" s="2946" t="e">
        <f t="shared" si="459"/>
        <v>#VALUE!</v>
      </c>
      <c r="DG203" s="3946">
        <f t="shared" si="438"/>
        <v>1</v>
      </c>
      <c r="DH203" s="3922">
        <f t="shared" si="454"/>
        <v>1</v>
      </c>
      <c r="DI203" s="3922">
        <f t="shared" si="439"/>
        <v>1</v>
      </c>
      <c r="DJ203" s="1936"/>
      <c r="DK203" s="1936"/>
      <c r="DL203" s="1936"/>
      <c r="DM203" s="1936"/>
      <c r="DN203" s="1936"/>
      <c r="DO203" s="3922" t="e">
        <f t="shared" si="440"/>
        <v>#VALUE!</v>
      </c>
      <c r="DP203" s="1937"/>
      <c r="DQ203" s="3922" t="e">
        <f t="shared" si="441"/>
        <v>#VALUE!</v>
      </c>
      <c r="DR203" s="3922" t="e">
        <f t="shared" si="442"/>
        <v>#VALUE!</v>
      </c>
      <c r="DS203" s="3922">
        <f t="shared" si="443"/>
        <v>1</v>
      </c>
      <c r="DT203" s="3922">
        <f t="shared" si="444"/>
        <v>1</v>
      </c>
      <c r="DU203" s="3922" t="e">
        <f t="shared" si="445"/>
        <v>#VALUE!</v>
      </c>
      <c r="DV203" s="3922">
        <f t="shared" si="446"/>
        <v>1</v>
      </c>
      <c r="DW203" s="3922">
        <f t="shared" si="447"/>
        <v>1</v>
      </c>
      <c r="DX203" s="1936"/>
      <c r="DY203" s="1936"/>
      <c r="DZ203" s="3922" t="e">
        <f t="shared" si="460"/>
        <v>#VALUE!</v>
      </c>
      <c r="EA203" s="3922" t="e">
        <f t="shared" si="461"/>
        <v>#VALUE!</v>
      </c>
    </row>
    <row r="204" spans="1:131" x14ac:dyDescent="0.25">
      <c r="A204" s="5601">
        <v>11055342</v>
      </c>
      <c r="B204" s="7143" t="s">
        <v>1919</v>
      </c>
      <c r="C204" s="7144"/>
      <c r="D204" s="3908" t="s">
        <v>4567</v>
      </c>
      <c r="E204" s="3958" t="s">
        <v>4568</v>
      </c>
      <c r="F204" s="3909" t="s">
        <v>4569</v>
      </c>
      <c r="G204" s="3910" t="s">
        <v>4570</v>
      </c>
      <c r="H204" s="3909" t="s">
        <v>4571</v>
      </c>
      <c r="I204" s="3910" t="s">
        <v>4572</v>
      </c>
      <c r="J204" s="3909" t="s">
        <v>4573</v>
      </c>
      <c r="K204" s="3910" t="s">
        <v>4574</v>
      </c>
      <c r="L204" s="3909" t="s">
        <v>4575</v>
      </c>
      <c r="M204" s="3910" t="s">
        <v>4576</v>
      </c>
      <c r="N204" s="3909" t="s">
        <v>4577</v>
      </c>
      <c r="O204" s="3910" t="s">
        <v>4578</v>
      </c>
      <c r="P204" s="212" t="s">
        <v>4579</v>
      </c>
      <c r="Q204" s="993" t="s">
        <v>4580</v>
      </c>
      <c r="R204" s="212" t="s">
        <v>4581</v>
      </c>
      <c r="S204" s="993" t="s">
        <v>4582</v>
      </c>
      <c r="T204" s="212" t="s">
        <v>4583</v>
      </c>
      <c r="U204" s="993" t="s">
        <v>4584</v>
      </c>
      <c r="V204" s="212" t="s">
        <v>4585</v>
      </c>
      <c r="W204" s="993" t="s">
        <v>4586</v>
      </c>
      <c r="X204" s="212" t="s">
        <v>4587</v>
      </c>
      <c r="Y204" s="993" t="s">
        <v>4588</v>
      </c>
      <c r="Z204" s="212" t="s">
        <v>4589</v>
      </c>
      <c r="AA204" s="993" t="s">
        <v>4590</v>
      </c>
      <c r="AB204" s="212" t="s">
        <v>4591</v>
      </c>
      <c r="AC204" s="993" t="s">
        <v>4592</v>
      </c>
      <c r="AD204" s="212" t="s">
        <v>4593</v>
      </c>
      <c r="AE204" s="1138" t="s">
        <v>4594</v>
      </c>
      <c r="AF204" s="212" t="s">
        <v>4595</v>
      </c>
      <c r="AG204" s="1138" t="s">
        <v>4596</v>
      </c>
      <c r="AH204" s="3913" t="s">
        <v>4597</v>
      </c>
      <c r="AI204" s="34" t="s">
        <v>4598</v>
      </c>
      <c r="AJ204" s="3913" t="s">
        <v>4599</v>
      </c>
      <c r="AK204" s="1137" t="s">
        <v>4600</v>
      </c>
      <c r="AL204" s="992" t="s">
        <v>4601</v>
      </c>
      <c r="AM204" s="34" t="s">
        <v>4602</v>
      </c>
      <c r="AN204" s="212" t="s">
        <v>4603</v>
      </c>
      <c r="AO204" s="3443" t="s">
        <v>4604</v>
      </c>
      <c r="AP204" s="992" t="s">
        <v>4605</v>
      </c>
      <c r="AQ204" s="34" t="s">
        <v>4606</v>
      </c>
      <c r="AR204" s="1137" t="s">
        <v>4934</v>
      </c>
      <c r="AS204" s="3443" t="s">
        <v>4935</v>
      </c>
      <c r="AT204" s="992" t="s">
        <v>4936</v>
      </c>
      <c r="AU204" s="3443" t="s">
        <v>4937</v>
      </c>
      <c r="AV204" s="992" t="s">
        <v>5234</v>
      </c>
      <c r="AW204" s="34" t="s">
        <v>5235</v>
      </c>
      <c r="AX204" s="992" t="s">
        <v>5236</v>
      </c>
      <c r="AY204" s="34" t="s">
        <v>5237</v>
      </c>
      <c r="AZ204" s="1864" t="e">
        <f t="shared" si="455"/>
        <v>#VALUE!</v>
      </c>
      <c r="CB204" s="3944" t="str">
        <f t="shared" si="450"/>
        <v xml:space="preserve"> * El Total de Exámenes Confirmados Positivos por ISP NO DEBE SUPERAR los Exámenes Procesados. </v>
      </c>
      <c r="CC204" s="1865" t="str">
        <f t="shared" si="456"/>
        <v xml:space="preserve"> * El número de Exámenes por Sexo Hombres Confirmados positivos por ISP NO PUEDE Superar al número de Procesados. </v>
      </c>
      <c r="CD204" s="1865" t="str">
        <f t="shared" si="451"/>
        <v xml:space="preserve"> * El número de Exámenes por Sexo Mujeres Confirmados positivos por ISP NO PUEDE Superar al número de Procesados. </v>
      </c>
      <c r="CE204" s="1936"/>
      <c r="CF204" s="1936"/>
      <c r="CG204" s="1936"/>
      <c r="CH204" s="1936"/>
      <c r="CI204" s="1936"/>
      <c r="CJ204" s="1865" t="e">
        <f t="shared" si="452"/>
        <v>#VALUE!</v>
      </c>
      <c r="CK204" s="1937"/>
      <c r="CL204" s="1865" t="e">
        <f t="shared" si="429"/>
        <v>#VALUE!</v>
      </c>
      <c r="CM204" s="1865" t="e">
        <f t="shared" si="430"/>
        <v>#VALUE!</v>
      </c>
      <c r="CN204" s="1865" t="str">
        <f t="shared" si="431"/>
        <v xml:space="preserve"> * Los exámenes de Pueblos originarios Procesados no pueden ser mayor que el Total de exámenes procesados.</v>
      </c>
      <c r="CO204" s="1865" t="str">
        <f t="shared" si="432"/>
        <v xml:space="preserve"> * Los exámenes procesados de Migrantes no pueden ser mayor que el Total de exámenes procesados.</v>
      </c>
      <c r="CP204" s="1865" t="e">
        <f t="shared" si="433"/>
        <v>#VALUE!</v>
      </c>
      <c r="CQ204" s="1865" t="str">
        <f t="shared" si="434"/>
        <v xml:space="preserve"> * Los exámenes Confirmados positivos por ISP de Pueblos originarios no pueden ser mayor que el Total de exámenes Procesados por ISP.</v>
      </c>
      <c r="CR204" s="1865" t="str">
        <f t="shared" si="435"/>
        <v xml:space="preserve"> * Los exámenes Confirmados positivos por ISP de Migrantes no pueden ser mayor que el Total de exámenes Procesados por ISP.</v>
      </c>
      <c r="CS204" s="1936"/>
      <c r="CT204" s="1936"/>
      <c r="CU204" s="2946" t="e">
        <f t="shared" si="458"/>
        <v>#VALUE!</v>
      </c>
      <c r="CV204" s="2946" t="e">
        <f t="shared" si="459"/>
        <v>#VALUE!</v>
      </c>
      <c r="DG204" s="3946">
        <f t="shared" si="438"/>
        <v>1</v>
      </c>
      <c r="DH204" s="3922">
        <f t="shared" si="454"/>
        <v>1</v>
      </c>
      <c r="DI204" s="3922">
        <f t="shared" si="439"/>
        <v>1</v>
      </c>
      <c r="DJ204" s="1936"/>
      <c r="DK204" s="1936"/>
      <c r="DL204" s="1936"/>
      <c r="DM204" s="1936"/>
      <c r="DN204" s="1936"/>
      <c r="DO204" s="3922" t="e">
        <f t="shared" si="440"/>
        <v>#VALUE!</v>
      </c>
      <c r="DP204" s="1937"/>
      <c r="DQ204" s="3922" t="e">
        <f t="shared" si="441"/>
        <v>#VALUE!</v>
      </c>
      <c r="DR204" s="3922" t="e">
        <f t="shared" si="442"/>
        <v>#VALUE!</v>
      </c>
      <c r="DS204" s="3922">
        <f t="shared" si="443"/>
        <v>1</v>
      </c>
      <c r="DT204" s="3922">
        <f t="shared" si="444"/>
        <v>1</v>
      </c>
      <c r="DU204" s="3922" t="e">
        <f t="shared" si="445"/>
        <v>#VALUE!</v>
      </c>
      <c r="DV204" s="3922">
        <f t="shared" si="446"/>
        <v>1</v>
      </c>
      <c r="DW204" s="3922">
        <f t="shared" si="447"/>
        <v>1</v>
      </c>
      <c r="DX204" s="1936"/>
      <c r="DY204" s="1936"/>
      <c r="DZ204" s="3922" t="e">
        <f t="shared" si="460"/>
        <v>#VALUE!</v>
      </c>
      <c r="EA204" s="3922" t="e">
        <f t="shared" si="461"/>
        <v>#VALUE!</v>
      </c>
    </row>
    <row r="205" spans="1:131" x14ac:dyDescent="0.25">
      <c r="A205" s="5601">
        <v>11055350</v>
      </c>
      <c r="B205" s="7143" t="s">
        <v>1920</v>
      </c>
      <c r="C205" s="7144"/>
      <c r="D205" s="3908" t="s">
        <v>4567</v>
      </c>
      <c r="E205" s="3958" t="s">
        <v>4568</v>
      </c>
      <c r="F205" s="3909" t="s">
        <v>4569</v>
      </c>
      <c r="G205" s="3910" t="s">
        <v>4570</v>
      </c>
      <c r="H205" s="3909" t="s">
        <v>4571</v>
      </c>
      <c r="I205" s="3910" t="s">
        <v>4572</v>
      </c>
      <c r="J205" s="3909" t="s">
        <v>4573</v>
      </c>
      <c r="K205" s="3910" t="s">
        <v>4574</v>
      </c>
      <c r="L205" s="3909" t="s">
        <v>4575</v>
      </c>
      <c r="M205" s="3910" t="s">
        <v>4576</v>
      </c>
      <c r="N205" s="3909" t="s">
        <v>4577</v>
      </c>
      <c r="O205" s="3910" t="s">
        <v>4578</v>
      </c>
      <c r="P205" s="212" t="s">
        <v>4579</v>
      </c>
      <c r="Q205" s="993" t="s">
        <v>4580</v>
      </c>
      <c r="R205" s="212" t="s">
        <v>4581</v>
      </c>
      <c r="S205" s="993" t="s">
        <v>4582</v>
      </c>
      <c r="T205" s="212" t="s">
        <v>4583</v>
      </c>
      <c r="U205" s="993" t="s">
        <v>4584</v>
      </c>
      <c r="V205" s="212" t="s">
        <v>4585</v>
      </c>
      <c r="W205" s="993" t="s">
        <v>4586</v>
      </c>
      <c r="X205" s="212" t="s">
        <v>4587</v>
      </c>
      <c r="Y205" s="993" t="s">
        <v>4588</v>
      </c>
      <c r="Z205" s="212" t="s">
        <v>4589</v>
      </c>
      <c r="AA205" s="993" t="s">
        <v>4590</v>
      </c>
      <c r="AB205" s="212" t="s">
        <v>4591</v>
      </c>
      <c r="AC205" s="993" t="s">
        <v>4592</v>
      </c>
      <c r="AD205" s="212" t="s">
        <v>4593</v>
      </c>
      <c r="AE205" s="1138" t="s">
        <v>4594</v>
      </c>
      <c r="AF205" s="212" t="s">
        <v>4595</v>
      </c>
      <c r="AG205" s="1138" t="s">
        <v>4596</v>
      </c>
      <c r="AH205" s="212" t="s">
        <v>4597</v>
      </c>
      <c r="AI205" s="1136" t="s">
        <v>4598</v>
      </c>
      <c r="AJ205" s="212" t="s">
        <v>4599</v>
      </c>
      <c r="AK205" s="993" t="s">
        <v>4600</v>
      </c>
      <c r="AL205" s="992" t="s">
        <v>4601</v>
      </c>
      <c r="AM205" s="34" t="s">
        <v>4602</v>
      </c>
      <c r="AN205" s="212" t="s">
        <v>4603</v>
      </c>
      <c r="AO205" s="3443" t="s">
        <v>4604</v>
      </c>
      <c r="AP205" s="992" t="s">
        <v>4605</v>
      </c>
      <c r="AQ205" s="34" t="s">
        <v>4606</v>
      </c>
      <c r="AR205" s="1137" t="s">
        <v>4934</v>
      </c>
      <c r="AS205" s="3443" t="s">
        <v>4935</v>
      </c>
      <c r="AT205" s="992" t="s">
        <v>4936</v>
      </c>
      <c r="AU205" s="3443" t="s">
        <v>4937</v>
      </c>
      <c r="AV205" s="992" t="s">
        <v>5234</v>
      </c>
      <c r="AW205" s="34" t="s">
        <v>5235</v>
      </c>
      <c r="AX205" s="992" t="s">
        <v>5236</v>
      </c>
      <c r="AY205" s="34" t="s">
        <v>5237</v>
      </c>
      <c r="AZ205" s="1864" t="e">
        <f t="shared" si="455"/>
        <v>#VALUE!</v>
      </c>
      <c r="CB205" s="3944" t="str">
        <f t="shared" si="450"/>
        <v xml:space="preserve"> * El Total de Exámenes Confirmados Positivos por ISP NO DEBE SUPERAR los Exámenes Procesados. </v>
      </c>
      <c r="CC205" s="1865" t="str">
        <f t="shared" si="456"/>
        <v xml:space="preserve"> * El número de Exámenes por Sexo Hombres Confirmados positivos por ISP NO PUEDE Superar al número de Procesados. </v>
      </c>
      <c r="CD205" s="1865" t="str">
        <f t="shared" si="451"/>
        <v xml:space="preserve"> * El número de Exámenes por Sexo Mujeres Confirmados positivos por ISP NO PUEDE Superar al número de Procesados. </v>
      </c>
      <c r="CE205" s="1936"/>
      <c r="CF205" s="1936"/>
      <c r="CG205" s="1936"/>
      <c r="CH205" s="1936"/>
      <c r="CI205" s="1936"/>
      <c r="CJ205" s="1865" t="e">
        <f t="shared" si="452"/>
        <v>#VALUE!</v>
      </c>
      <c r="CK205" s="1937"/>
      <c r="CL205" s="1865" t="e">
        <f t="shared" si="429"/>
        <v>#VALUE!</v>
      </c>
      <c r="CM205" s="1865" t="e">
        <f t="shared" si="430"/>
        <v>#VALUE!</v>
      </c>
      <c r="CN205" s="1865" t="str">
        <f t="shared" si="431"/>
        <v xml:space="preserve"> * Los exámenes de Pueblos originarios Procesados no pueden ser mayor que el Total de exámenes procesados.</v>
      </c>
      <c r="CO205" s="1865" t="str">
        <f t="shared" si="432"/>
        <v xml:space="preserve"> * Los exámenes procesados de Migrantes no pueden ser mayor que el Total de exámenes procesados.</v>
      </c>
      <c r="CP205" s="1865" t="e">
        <f t="shared" si="433"/>
        <v>#VALUE!</v>
      </c>
      <c r="CQ205" s="1865" t="str">
        <f t="shared" si="434"/>
        <v xml:space="preserve"> * Los exámenes Confirmados positivos por ISP de Pueblos originarios no pueden ser mayor que el Total de exámenes Procesados por ISP.</v>
      </c>
      <c r="CR205" s="1865" t="str">
        <f t="shared" si="435"/>
        <v xml:space="preserve"> * Los exámenes Confirmados positivos por ISP de Migrantes no pueden ser mayor que el Total de exámenes Procesados por ISP.</v>
      </c>
      <c r="CS205" s="1936"/>
      <c r="CT205" s="1936"/>
      <c r="CU205" s="2946" t="e">
        <f t="shared" si="458"/>
        <v>#VALUE!</v>
      </c>
      <c r="CV205" s="2946" t="e">
        <f t="shared" si="459"/>
        <v>#VALUE!</v>
      </c>
      <c r="DG205" s="3946">
        <f t="shared" si="438"/>
        <v>1</v>
      </c>
      <c r="DH205" s="3922">
        <f t="shared" si="454"/>
        <v>1</v>
      </c>
      <c r="DI205" s="3922">
        <f t="shared" si="439"/>
        <v>1</v>
      </c>
      <c r="DJ205" s="1936"/>
      <c r="DK205" s="1936"/>
      <c r="DL205" s="1936"/>
      <c r="DM205" s="1936"/>
      <c r="DN205" s="1936"/>
      <c r="DO205" s="3922" t="e">
        <f t="shared" si="440"/>
        <v>#VALUE!</v>
      </c>
      <c r="DP205" s="1937"/>
      <c r="DQ205" s="3922" t="e">
        <f t="shared" si="441"/>
        <v>#VALUE!</v>
      </c>
      <c r="DR205" s="3922" t="e">
        <f t="shared" si="442"/>
        <v>#VALUE!</v>
      </c>
      <c r="DS205" s="3922">
        <f t="shared" si="443"/>
        <v>1</v>
      </c>
      <c r="DT205" s="3922">
        <f t="shared" si="444"/>
        <v>1</v>
      </c>
      <c r="DU205" s="3922" t="e">
        <f t="shared" si="445"/>
        <v>#VALUE!</v>
      </c>
      <c r="DV205" s="3922">
        <f t="shared" si="446"/>
        <v>1</v>
      </c>
      <c r="DW205" s="3922">
        <f t="shared" si="447"/>
        <v>1</v>
      </c>
      <c r="DX205" s="1936"/>
      <c r="DY205" s="1936"/>
      <c r="DZ205" s="3922" t="e">
        <f t="shared" si="460"/>
        <v>#VALUE!</v>
      </c>
      <c r="EA205" s="3922" t="e">
        <f t="shared" si="461"/>
        <v>#VALUE!</v>
      </c>
    </row>
    <row r="206" spans="1:131" x14ac:dyDescent="0.25">
      <c r="A206" s="5601">
        <v>11055351</v>
      </c>
      <c r="B206" s="7143" t="s">
        <v>1921</v>
      </c>
      <c r="C206" s="7144"/>
      <c r="D206" s="3908" t="s">
        <v>4567</v>
      </c>
      <c r="E206" s="3958" t="s">
        <v>4568</v>
      </c>
      <c r="F206" s="212" t="s">
        <v>4569</v>
      </c>
      <c r="G206" s="993" t="s">
        <v>4570</v>
      </c>
      <c r="H206" s="212" t="s">
        <v>4571</v>
      </c>
      <c r="I206" s="993" t="s">
        <v>4572</v>
      </c>
      <c r="J206" s="212" t="s">
        <v>4573</v>
      </c>
      <c r="K206" s="993" t="s">
        <v>4574</v>
      </c>
      <c r="L206" s="212" t="s">
        <v>4575</v>
      </c>
      <c r="M206" s="993" t="s">
        <v>4576</v>
      </c>
      <c r="N206" s="212" t="s">
        <v>4577</v>
      </c>
      <c r="O206" s="993" t="s">
        <v>4578</v>
      </c>
      <c r="P206" s="212" t="s">
        <v>4579</v>
      </c>
      <c r="Q206" s="993" t="s">
        <v>4580</v>
      </c>
      <c r="R206" s="212" t="s">
        <v>4581</v>
      </c>
      <c r="S206" s="993" t="s">
        <v>4582</v>
      </c>
      <c r="T206" s="212" t="s">
        <v>4583</v>
      </c>
      <c r="U206" s="993" t="s">
        <v>4584</v>
      </c>
      <c r="V206" s="212" t="s">
        <v>4585</v>
      </c>
      <c r="W206" s="993" t="s">
        <v>4586</v>
      </c>
      <c r="X206" s="212" t="s">
        <v>4587</v>
      </c>
      <c r="Y206" s="993" t="s">
        <v>4588</v>
      </c>
      <c r="Z206" s="212" t="s">
        <v>4589</v>
      </c>
      <c r="AA206" s="993" t="s">
        <v>4590</v>
      </c>
      <c r="AB206" s="212" t="s">
        <v>4591</v>
      </c>
      <c r="AC206" s="993" t="s">
        <v>4592</v>
      </c>
      <c r="AD206" s="212" t="s">
        <v>4593</v>
      </c>
      <c r="AE206" s="1138" t="s">
        <v>4594</v>
      </c>
      <c r="AF206" s="212" t="s">
        <v>4595</v>
      </c>
      <c r="AG206" s="1138" t="s">
        <v>4596</v>
      </c>
      <c r="AH206" s="212" t="s">
        <v>4597</v>
      </c>
      <c r="AI206" s="1136" t="s">
        <v>4598</v>
      </c>
      <c r="AJ206" s="212" t="s">
        <v>4599</v>
      </c>
      <c r="AK206" s="993" t="s">
        <v>4600</v>
      </c>
      <c r="AL206" s="992" t="s">
        <v>4601</v>
      </c>
      <c r="AM206" s="34" t="s">
        <v>4602</v>
      </c>
      <c r="AN206" s="212" t="s">
        <v>4603</v>
      </c>
      <c r="AO206" s="3443" t="s">
        <v>4604</v>
      </c>
      <c r="AP206" s="992" t="s">
        <v>4605</v>
      </c>
      <c r="AQ206" s="34" t="s">
        <v>4606</v>
      </c>
      <c r="AR206" s="1137" t="s">
        <v>4934</v>
      </c>
      <c r="AS206" s="3443" t="s">
        <v>4935</v>
      </c>
      <c r="AT206" s="992" t="s">
        <v>4936</v>
      </c>
      <c r="AU206" s="3443" t="s">
        <v>4937</v>
      </c>
      <c r="AV206" s="992" t="s">
        <v>5234</v>
      </c>
      <c r="AW206" s="34" t="s">
        <v>5235</v>
      </c>
      <c r="AX206" s="992" t="s">
        <v>5236</v>
      </c>
      <c r="AY206" s="34" t="s">
        <v>5237</v>
      </c>
      <c r="AZ206" s="1864" t="e">
        <f t="shared" si="455"/>
        <v>#VALUE!</v>
      </c>
      <c r="CB206" s="3944" t="str">
        <f t="shared" si="450"/>
        <v xml:space="preserve"> * El Total de Exámenes Confirmados Positivos por ISP NO DEBE SUPERAR los Exámenes Procesados. </v>
      </c>
      <c r="CC206" s="1865" t="str">
        <f t="shared" si="456"/>
        <v xml:space="preserve"> * El número de Exámenes por Sexo Hombres Confirmados positivos por ISP NO PUEDE Superar al número de Procesados. </v>
      </c>
      <c r="CD206" s="1865" t="str">
        <f t="shared" si="451"/>
        <v xml:space="preserve"> * El número de Exámenes por Sexo Mujeres Confirmados positivos por ISP NO PUEDE Superar al número de Procesados. </v>
      </c>
      <c r="CE206" s="1936"/>
      <c r="CF206" s="1936"/>
      <c r="CG206" s="1936"/>
      <c r="CH206" s="1936"/>
      <c r="CI206" s="1936"/>
      <c r="CJ206" s="1865" t="e">
        <f t="shared" si="452"/>
        <v>#VALUE!</v>
      </c>
      <c r="CK206" s="1937"/>
      <c r="CL206" s="1865" t="e">
        <f t="shared" si="429"/>
        <v>#VALUE!</v>
      </c>
      <c r="CM206" s="1865" t="e">
        <f t="shared" si="430"/>
        <v>#VALUE!</v>
      </c>
      <c r="CN206" s="1865" t="str">
        <f t="shared" si="431"/>
        <v xml:space="preserve"> * Los exámenes de Pueblos originarios Procesados no pueden ser mayor que el Total de exámenes procesados.</v>
      </c>
      <c r="CO206" s="1865" t="str">
        <f t="shared" si="432"/>
        <v xml:space="preserve"> * Los exámenes procesados de Migrantes no pueden ser mayor que el Total de exámenes procesados.</v>
      </c>
      <c r="CP206" s="1865" t="e">
        <f t="shared" si="433"/>
        <v>#VALUE!</v>
      </c>
      <c r="CQ206" s="1865" t="str">
        <f t="shared" si="434"/>
        <v xml:space="preserve"> * Los exámenes Confirmados positivos por ISP de Pueblos originarios no pueden ser mayor que el Total de exámenes Procesados por ISP.</v>
      </c>
      <c r="CR206" s="1865" t="str">
        <f t="shared" si="435"/>
        <v xml:space="preserve"> * Los exámenes Confirmados positivos por ISP de Migrantes no pueden ser mayor que el Total de exámenes Procesados por ISP.</v>
      </c>
      <c r="CS206" s="1936"/>
      <c r="CT206" s="1936"/>
      <c r="CU206" s="2946" t="e">
        <f t="shared" si="458"/>
        <v>#VALUE!</v>
      </c>
      <c r="CV206" s="2946" t="e">
        <f t="shared" si="459"/>
        <v>#VALUE!</v>
      </c>
      <c r="DG206" s="3946">
        <f t="shared" si="438"/>
        <v>1</v>
      </c>
      <c r="DH206" s="3922">
        <f t="shared" si="454"/>
        <v>1</v>
      </c>
      <c r="DI206" s="3922">
        <f t="shared" si="439"/>
        <v>1</v>
      </c>
      <c r="DJ206" s="1936"/>
      <c r="DK206" s="1936"/>
      <c r="DL206" s="1936"/>
      <c r="DM206" s="1936"/>
      <c r="DN206" s="1936"/>
      <c r="DO206" s="3922" t="e">
        <f t="shared" si="440"/>
        <v>#VALUE!</v>
      </c>
      <c r="DP206" s="1937"/>
      <c r="DQ206" s="3922" t="e">
        <f t="shared" si="441"/>
        <v>#VALUE!</v>
      </c>
      <c r="DR206" s="3922" t="e">
        <f t="shared" si="442"/>
        <v>#VALUE!</v>
      </c>
      <c r="DS206" s="3922">
        <f t="shared" si="443"/>
        <v>1</v>
      </c>
      <c r="DT206" s="3922">
        <f t="shared" si="444"/>
        <v>1</v>
      </c>
      <c r="DU206" s="3922" t="e">
        <f t="shared" si="445"/>
        <v>#VALUE!</v>
      </c>
      <c r="DV206" s="3922">
        <f t="shared" si="446"/>
        <v>1</v>
      </c>
      <c r="DW206" s="3922">
        <f t="shared" si="447"/>
        <v>1</v>
      </c>
      <c r="DX206" s="1936"/>
      <c r="DY206" s="1936"/>
      <c r="DZ206" s="3922" t="e">
        <f t="shared" si="460"/>
        <v>#VALUE!</v>
      </c>
      <c r="EA206" s="3922" t="e">
        <f t="shared" si="461"/>
        <v>#VALUE!</v>
      </c>
    </row>
    <row r="207" spans="1:131" x14ac:dyDescent="0.25">
      <c r="A207" s="5601">
        <v>11055352</v>
      </c>
      <c r="B207" s="7143" t="s">
        <v>1922</v>
      </c>
      <c r="C207" s="7144"/>
      <c r="D207" s="3908" t="s">
        <v>4567</v>
      </c>
      <c r="E207" s="3958" t="s">
        <v>4568</v>
      </c>
      <c r="F207" s="212" t="s">
        <v>4569</v>
      </c>
      <c r="G207" s="993" t="s">
        <v>4570</v>
      </c>
      <c r="H207" s="212" t="s">
        <v>4571</v>
      </c>
      <c r="I207" s="993" t="s">
        <v>4572</v>
      </c>
      <c r="J207" s="212" t="s">
        <v>4573</v>
      </c>
      <c r="K207" s="993" t="s">
        <v>4574</v>
      </c>
      <c r="L207" s="212" t="s">
        <v>4575</v>
      </c>
      <c r="M207" s="993" t="s">
        <v>4576</v>
      </c>
      <c r="N207" s="212" t="s">
        <v>4577</v>
      </c>
      <c r="O207" s="993" t="s">
        <v>4578</v>
      </c>
      <c r="P207" s="212" t="s">
        <v>4579</v>
      </c>
      <c r="Q207" s="993" t="s">
        <v>4580</v>
      </c>
      <c r="R207" s="212" t="s">
        <v>4581</v>
      </c>
      <c r="S207" s="993" t="s">
        <v>4582</v>
      </c>
      <c r="T207" s="212" t="s">
        <v>4583</v>
      </c>
      <c r="U207" s="993" t="s">
        <v>4584</v>
      </c>
      <c r="V207" s="212" t="s">
        <v>4585</v>
      </c>
      <c r="W207" s="993" t="s">
        <v>4586</v>
      </c>
      <c r="X207" s="212" t="s">
        <v>4587</v>
      </c>
      <c r="Y207" s="993" t="s">
        <v>4588</v>
      </c>
      <c r="Z207" s="212" t="s">
        <v>4589</v>
      </c>
      <c r="AA207" s="993" t="s">
        <v>4590</v>
      </c>
      <c r="AB207" s="212" t="s">
        <v>4591</v>
      </c>
      <c r="AC207" s="993" t="s">
        <v>4592</v>
      </c>
      <c r="AD207" s="212" t="s">
        <v>4593</v>
      </c>
      <c r="AE207" s="1138" t="s">
        <v>4594</v>
      </c>
      <c r="AF207" s="212" t="s">
        <v>4595</v>
      </c>
      <c r="AG207" s="1138" t="s">
        <v>4596</v>
      </c>
      <c r="AH207" s="212" t="s">
        <v>4597</v>
      </c>
      <c r="AI207" s="1136" t="s">
        <v>4598</v>
      </c>
      <c r="AJ207" s="212" t="s">
        <v>4599</v>
      </c>
      <c r="AK207" s="993" t="s">
        <v>4600</v>
      </c>
      <c r="AL207" s="992" t="s">
        <v>4601</v>
      </c>
      <c r="AM207" s="34" t="s">
        <v>4602</v>
      </c>
      <c r="AN207" s="212" t="s">
        <v>4603</v>
      </c>
      <c r="AO207" s="3443" t="s">
        <v>4604</v>
      </c>
      <c r="AP207" s="992" t="s">
        <v>4605</v>
      </c>
      <c r="AQ207" s="34" t="s">
        <v>4606</v>
      </c>
      <c r="AR207" s="1137" t="s">
        <v>4934</v>
      </c>
      <c r="AS207" s="3443" t="s">
        <v>4935</v>
      </c>
      <c r="AT207" s="992" t="s">
        <v>4936</v>
      </c>
      <c r="AU207" s="3443" t="s">
        <v>4937</v>
      </c>
      <c r="AV207" s="992" t="s">
        <v>5234</v>
      </c>
      <c r="AW207" s="34" t="s">
        <v>5235</v>
      </c>
      <c r="AX207" s="992" t="s">
        <v>5236</v>
      </c>
      <c r="AY207" s="34" t="s">
        <v>5237</v>
      </c>
      <c r="AZ207" s="1864" t="e">
        <f t="shared" si="455"/>
        <v>#VALUE!</v>
      </c>
      <c r="CB207" s="3944" t="str">
        <f t="shared" si="450"/>
        <v xml:space="preserve"> * El Total de Exámenes Confirmados Positivos por ISP NO DEBE SUPERAR los Exámenes Procesados. </v>
      </c>
      <c r="CC207" s="1865" t="str">
        <f t="shared" si="456"/>
        <v xml:space="preserve"> * El número de Exámenes por Sexo Hombres Confirmados positivos por ISP NO PUEDE Superar al número de Procesados. </v>
      </c>
      <c r="CD207" s="1865" t="str">
        <f t="shared" si="451"/>
        <v xml:space="preserve"> * El número de Exámenes por Sexo Mujeres Confirmados positivos por ISP NO PUEDE Superar al número de Procesados. </v>
      </c>
      <c r="CE207" s="1936"/>
      <c r="CF207" s="1936"/>
      <c r="CG207" s="1936"/>
      <c r="CH207" s="1936"/>
      <c r="CI207" s="1936"/>
      <c r="CJ207" s="1865" t="e">
        <f t="shared" si="452"/>
        <v>#VALUE!</v>
      </c>
      <c r="CK207" s="1937"/>
      <c r="CL207" s="1865" t="e">
        <f t="shared" si="429"/>
        <v>#VALUE!</v>
      </c>
      <c r="CM207" s="1865" t="e">
        <f t="shared" si="430"/>
        <v>#VALUE!</v>
      </c>
      <c r="CN207" s="1865" t="str">
        <f t="shared" si="431"/>
        <v xml:space="preserve"> * Los exámenes de Pueblos originarios Procesados no pueden ser mayor que el Total de exámenes procesados.</v>
      </c>
      <c r="CO207" s="1865" t="str">
        <f t="shared" si="432"/>
        <v xml:space="preserve"> * Los exámenes procesados de Migrantes no pueden ser mayor que el Total de exámenes procesados.</v>
      </c>
      <c r="CP207" s="1865" t="e">
        <f t="shared" si="433"/>
        <v>#VALUE!</v>
      </c>
      <c r="CQ207" s="1865" t="str">
        <f t="shared" si="434"/>
        <v xml:space="preserve"> * Los exámenes Confirmados positivos por ISP de Pueblos originarios no pueden ser mayor que el Total de exámenes Procesados por ISP.</v>
      </c>
      <c r="CR207" s="1865" t="str">
        <f t="shared" si="435"/>
        <v xml:space="preserve"> * Los exámenes Confirmados positivos por ISP de Migrantes no pueden ser mayor que el Total de exámenes Procesados por ISP.</v>
      </c>
      <c r="CS207" s="1936"/>
      <c r="CT207" s="1936"/>
      <c r="CU207" s="2946" t="e">
        <f t="shared" si="458"/>
        <v>#VALUE!</v>
      </c>
      <c r="CV207" s="2946" t="e">
        <f t="shared" si="459"/>
        <v>#VALUE!</v>
      </c>
      <c r="DG207" s="3946">
        <f t="shared" si="438"/>
        <v>1</v>
      </c>
      <c r="DH207" s="3922">
        <f t="shared" si="454"/>
        <v>1</v>
      </c>
      <c r="DI207" s="3922">
        <f t="shared" si="439"/>
        <v>1</v>
      </c>
      <c r="DJ207" s="1936"/>
      <c r="DK207" s="1936"/>
      <c r="DL207" s="1936"/>
      <c r="DM207" s="1936"/>
      <c r="DN207" s="1936"/>
      <c r="DO207" s="3922" t="e">
        <f t="shared" si="440"/>
        <v>#VALUE!</v>
      </c>
      <c r="DP207" s="1937"/>
      <c r="DQ207" s="3922" t="e">
        <f t="shared" si="441"/>
        <v>#VALUE!</v>
      </c>
      <c r="DR207" s="3922" t="e">
        <f t="shared" si="442"/>
        <v>#VALUE!</v>
      </c>
      <c r="DS207" s="3922">
        <f t="shared" si="443"/>
        <v>1</v>
      </c>
      <c r="DT207" s="3922">
        <f t="shared" si="444"/>
        <v>1</v>
      </c>
      <c r="DU207" s="3922" t="e">
        <f t="shared" si="445"/>
        <v>#VALUE!</v>
      </c>
      <c r="DV207" s="3922">
        <f t="shared" si="446"/>
        <v>1</v>
      </c>
      <c r="DW207" s="3922">
        <f t="shared" si="447"/>
        <v>1</v>
      </c>
      <c r="DX207" s="1936"/>
      <c r="DY207" s="1936"/>
      <c r="DZ207" s="3922" t="e">
        <f t="shared" si="460"/>
        <v>#VALUE!</v>
      </c>
      <c r="EA207" s="3922" t="e">
        <f t="shared" si="461"/>
        <v>#VALUE!</v>
      </c>
    </row>
    <row r="208" spans="1:131" x14ac:dyDescent="0.25">
      <c r="A208" s="5601">
        <v>11055353</v>
      </c>
      <c r="B208" s="7143" t="s">
        <v>1923</v>
      </c>
      <c r="C208" s="7144"/>
      <c r="D208" s="3908" t="s">
        <v>4567</v>
      </c>
      <c r="E208" s="3958" t="s">
        <v>4568</v>
      </c>
      <c r="F208" s="212" t="s">
        <v>4569</v>
      </c>
      <c r="G208" s="993" t="s">
        <v>4570</v>
      </c>
      <c r="H208" s="212" t="s">
        <v>4571</v>
      </c>
      <c r="I208" s="993" t="s">
        <v>4572</v>
      </c>
      <c r="J208" s="212" t="s">
        <v>4573</v>
      </c>
      <c r="K208" s="993" t="s">
        <v>4574</v>
      </c>
      <c r="L208" s="212" t="s">
        <v>4575</v>
      </c>
      <c r="M208" s="993" t="s">
        <v>4576</v>
      </c>
      <c r="N208" s="212" t="s">
        <v>4577</v>
      </c>
      <c r="O208" s="993" t="s">
        <v>4578</v>
      </c>
      <c r="P208" s="212" t="s">
        <v>4579</v>
      </c>
      <c r="Q208" s="993" t="s">
        <v>4580</v>
      </c>
      <c r="R208" s="212" t="s">
        <v>4581</v>
      </c>
      <c r="S208" s="993" t="s">
        <v>4582</v>
      </c>
      <c r="T208" s="212" t="s">
        <v>4583</v>
      </c>
      <c r="U208" s="993" t="s">
        <v>4584</v>
      </c>
      <c r="V208" s="212" t="s">
        <v>4585</v>
      </c>
      <c r="W208" s="993" t="s">
        <v>4586</v>
      </c>
      <c r="X208" s="212" t="s">
        <v>4587</v>
      </c>
      <c r="Y208" s="993" t="s">
        <v>4588</v>
      </c>
      <c r="Z208" s="212" t="s">
        <v>4589</v>
      </c>
      <c r="AA208" s="993" t="s">
        <v>4590</v>
      </c>
      <c r="AB208" s="212" t="s">
        <v>4591</v>
      </c>
      <c r="AC208" s="993" t="s">
        <v>4592</v>
      </c>
      <c r="AD208" s="212" t="s">
        <v>4593</v>
      </c>
      <c r="AE208" s="1138" t="s">
        <v>4594</v>
      </c>
      <c r="AF208" s="212" t="s">
        <v>4595</v>
      </c>
      <c r="AG208" s="1138" t="s">
        <v>4596</v>
      </c>
      <c r="AH208" s="212" t="s">
        <v>4597</v>
      </c>
      <c r="AI208" s="1136" t="s">
        <v>4598</v>
      </c>
      <c r="AJ208" s="212" t="s">
        <v>4599</v>
      </c>
      <c r="AK208" s="993" t="s">
        <v>4600</v>
      </c>
      <c r="AL208" s="992" t="s">
        <v>4601</v>
      </c>
      <c r="AM208" s="34" t="s">
        <v>4602</v>
      </c>
      <c r="AN208" s="212" t="s">
        <v>4603</v>
      </c>
      <c r="AO208" s="3443" t="s">
        <v>4604</v>
      </c>
      <c r="AP208" s="992" t="s">
        <v>4605</v>
      </c>
      <c r="AQ208" s="34" t="s">
        <v>4606</v>
      </c>
      <c r="AR208" s="1137" t="s">
        <v>4934</v>
      </c>
      <c r="AS208" s="3443" t="s">
        <v>4935</v>
      </c>
      <c r="AT208" s="992" t="s">
        <v>4936</v>
      </c>
      <c r="AU208" s="3443" t="s">
        <v>4937</v>
      </c>
      <c r="AV208" s="992" t="s">
        <v>5234</v>
      </c>
      <c r="AW208" s="34" t="s">
        <v>5235</v>
      </c>
      <c r="AX208" s="992" t="s">
        <v>5236</v>
      </c>
      <c r="AY208" s="34" t="s">
        <v>5237</v>
      </c>
      <c r="AZ208" s="1864" t="e">
        <f t="shared" si="455"/>
        <v>#VALUE!</v>
      </c>
      <c r="CB208" s="3944" t="str">
        <f t="shared" si="450"/>
        <v xml:space="preserve"> * El Total de Exámenes Confirmados Positivos por ISP NO DEBE SUPERAR los Exámenes Procesados. </v>
      </c>
      <c r="CC208" s="1865" t="str">
        <f t="shared" si="456"/>
        <v xml:space="preserve"> * El número de Exámenes por Sexo Hombres Confirmados positivos por ISP NO PUEDE Superar al número de Procesados. </v>
      </c>
      <c r="CD208" s="1865" t="str">
        <f t="shared" si="451"/>
        <v xml:space="preserve"> * El número de Exámenes por Sexo Mujeres Confirmados positivos por ISP NO PUEDE Superar al número de Procesados. </v>
      </c>
      <c r="CE208" s="1936"/>
      <c r="CF208" s="1936"/>
      <c r="CG208" s="1936"/>
      <c r="CH208" s="1936"/>
      <c r="CI208" s="1936"/>
      <c r="CJ208" s="1865" t="e">
        <f t="shared" si="452"/>
        <v>#VALUE!</v>
      </c>
      <c r="CK208" s="1937"/>
      <c r="CL208" s="1865" t="e">
        <f t="shared" si="429"/>
        <v>#VALUE!</v>
      </c>
      <c r="CM208" s="1865" t="e">
        <f t="shared" si="430"/>
        <v>#VALUE!</v>
      </c>
      <c r="CN208" s="1865" t="str">
        <f t="shared" si="431"/>
        <v xml:space="preserve"> * Los exámenes de Pueblos originarios Procesados no pueden ser mayor que el Total de exámenes procesados.</v>
      </c>
      <c r="CO208" s="1865" t="str">
        <f t="shared" si="432"/>
        <v xml:space="preserve"> * Los exámenes procesados de Migrantes no pueden ser mayor que el Total de exámenes procesados.</v>
      </c>
      <c r="CP208" s="1865" t="e">
        <f t="shared" si="433"/>
        <v>#VALUE!</v>
      </c>
      <c r="CQ208" s="1865" t="str">
        <f t="shared" si="434"/>
        <v xml:space="preserve"> * Los exámenes Confirmados positivos por ISP de Pueblos originarios no pueden ser mayor que el Total de exámenes Procesados por ISP.</v>
      </c>
      <c r="CR208" s="1865" t="str">
        <f t="shared" si="435"/>
        <v xml:space="preserve"> * Los exámenes Confirmados positivos por ISP de Migrantes no pueden ser mayor que el Total de exámenes Procesados por ISP.</v>
      </c>
      <c r="CS208" s="1936"/>
      <c r="CT208" s="1936"/>
      <c r="CU208" s="2946" t="e">
        <f t="shared" si="458"/>
        <v>#VALUE!</v>
      </c>
      <c r="CV208" s="2946" t="e">
        <f t="shared" si="459"/>
        <v>#VALUE!</v>
      </c>
      <c r="DG208" s="3946">
        <f t="shared" si="438"/>
        <v>1</v>
      </c>
      <c r="DH208" s="3922">
        <f t="shared" si="454"/>
        <v>1</v>
      </c>
      <c r="DI208" s="3922">
        <f t="shared" si="439"/>
        <v>1</v>
      </c>
      <c r="DJ208" s="1936"/>
      <c r="DK208" s="1936"/>
      <c r="DL208" s="1936"/>
      <c r="DM208" s="1936"/>
      <c r="DN208" s="1936"/>
      <c r="DO208" s="3922" t="e">
        <f t="shared" si="440"/>
        <v>#VALUE!</v>
      </c>
      <c r="DP208" s="1937"/>
      <c r="DQ208" s="3922" t="e">
        <f t="shared" si="441"/>
        <v>#VALUE!</v>
      </c>
      <c r="DR208" s="3922" t="e">
        <f t="shared" si="442"/>
        <v>#VALUE!</v>
      </c>
      <c r="DS208" s="3922">
        <f t="shared" si="443"/>
        <v>1</v>
      </c>
      <c r="DT208" s="3922">
        <f t="shared" si="444"/>
        <v>1</v>
      </c>
      <c r="DU208" s="3922" t="e">
        <f t="shared" si="445"/>
        <v>#VALUE!</v>
      </c>
      <c r="DV208" s="3922">
        <f t="shared" si="446"/>
        <v>1</v>
      </c>
      <c r="DW208" s="3922">
        <f t="shared" si="447"/>
        <v>1</v>
      </c>
      <c r="DX208" s="1936"/>
      <c r="DY208" s="1936"/>
      <c r="DZ208" s="3922" t="e">
        <f t="shared" si="460"/>
        <v>#VALUE!</v>
      </c>
      <c r="EA208" s="3922" t="e">
        <f t="shared" si="461"/>
        <v>#VALUE!</v>
      </c>
    </row>
    <row r="209" spans="1:131" x14ac:dyDescent="0.25">
      <c r="A209" s="5601">
        <v>11055360</v>
      </c>
      <c r="B209" s="7143" t="s">
        <v>1924</v>
      </c>
      <c r="C209" s="7144"/>
      <c r="D209" s="3908" t="s">
        <v>4567</v>
      </c>
      <c r="E209" s="3958" t="s">
        <v>4568</v>
      </c>
      <c r="F209" s="212" t="s">
        <v>4569</v>
      </c>
      <c r="G209" s="993" t="s">
        <v>4570</v>
      </c>
      <c r="H209" s="212" t="s">
        <v>4571</v>
      </c>
      <c r="I209" s="993" t="s">
        <v>4572</v>
      </c>
      <c r="J209" s="212" t="s">
        <v>4573</v>
      </c>
      <c r="K209" s="993" t="s">
        <v>4574</v>
      </c>
      <c r="L209" s="212" t="s">
        <v>4575</v>
      </c>
      <c r="M209" s="993" t="s">
        <v>4576</v>
      </c>
      <c r="N209" s="212" t="s">
        <v>4577</v>
      </c>
      <c r="O209" s="993" t="s">
        <v>4578</v>
      </c>
      <c r="P209" s="212" t="s">
        <v>4579</v>
      </c>
      <c r="Q209" s="993" t="s">
        <v>4580</v>
      </c>
      <c r="R209" s="212" t="s">
        <v>4581</v>
      </c>
      <c r="S209" s="993" t="s">
        <v>4582</v>
      </c>
      <c r="T209" s="212" t="s">
        <v>4583</v>
      </c>
      <c r="U209" s="993" t="s">
        <v>4584</v>
      </c>
      <c r="V209" s="212" t="s">
        <v>4585</v>
      </c>
      <c r="W209" s="993" t="s">
        <v>4586</v>
      </c>
      <c r="X209" s="212" t="s">
        <v>4587</v>
      </c>
      <c r="Y209" s="993" t="s">
        <v>4588</v>
      </c>
      <c r="Z209" s="212" t="s">
        <v>4589</v>
      </c>
      <c r="AA209" s="993" t="s">
        <v>4590</v>
      </c>
      <c r="AB209" s="212" t="s">
        <v>4591</v>
      </c>
      <c r="AC209" s="993" t="s">
        <v>4592</v>
      </c>
      <c r="AD209" s="212" t="s">
        <v>4593</v>
      </c>
      <c r="AE209" s="1138" t="s">
        <v>4594</v>
      </c>
      <c r="AF209" s="212" t="s">
        <v>4595</v>
      </c>
      <c r="AG209" s="1138" t="s">
        <v>4596</v>
      </c>
      <c r="AH209" s="212" t="s">
        <v>4597</v>
      </c>
      <c r="AI209" s="1136" t="s">
        <v>4598</v>
      </c>
      <c r="AJ209" s="212" t="s">
        <v>4599</v>
      </c>
      <c r="AK209" s="993" t="s">
        <v>4600</v>
      </c>
      <c r="AL209" s="992" t="s">
        <v>4601</v>
      </c>
      <c r="AM209" s="34" t="s">
        <v>4602</v>
      </c>
      <c r="AN209" s="212" t="s">
        <v>4603</v>
      </c>
      <c r="AO209" s="3443" t="s">
        <v>4604</v>
      </c>
      <c r="AP209" s="992" t="s">
        <v>4605</v>
      </c>
      <c r="AQ209" s="34" t="s">
        <v>4606</v>
      </c>
      <c r="AR209" s="1137" t="s">
        <v>4934</v>
      </c>
      <c r="AS209" s="3443" t="s">
        <v>4935</v>
      </c>
      <c r="AT209" s="992" t="s">
        <v>4936</v>
      </c>
      <c r="AU209" s="3443" t="s">
        <v>4937</v>
      </c>
      <c r="AV209" s="992" t="s">
        <v>5234</v>
      </c>
      <c r="AW209" s="34" t="s">
        <v>5235</v>
      </c>
      <c r="AX209" s="992" t="s">
        <v>5236</v>
      </c>
      <c r="AY209" s="34" t="s">
        <v>5237</v>
      </c>
      <c r="AZ209" s="1864" t="e">
        <f t="shared" si="455"/>
        <v>#VALUE!</v>
      </c>
      <c r="CB209" s="3944" t="str">
        <f t="shared" si="450"/>
        <v xml:space="preserve"> * El Total de Exámenes Confirmados Positivos por ISP NO DEBE SUPERAR los Exámenes Procesados. </v>
      </c>
      <c r="CC209" s="1865" t="str">
        <f t="shared" si="456"/>
        <v xml:space="preserve"> * El número de Exámenes por Sexo Hombres Confirmados positivos por ISP NO PUEDE Superar al número de Procesados. </v>
      </c>
      <c r="CD209" s="1865" t="str">
        <f t="shared" si="451"/>
        <v xml:space="preserve"> * El número de Exámenes por Sexo Mujeres Confirmados positivos por ISP NO PUEDE Superar al número de Procesados. </v>
      </c>
      <c r="CE209" s="1936"/>
      <c r="CF209" s="1936"/>
      <c r="CG209" s="1936"/>
      <c r="CH209" s="1936"/>
      <c r="CI209" s="1936"/>
      <c r="CJ209" s="1865" t="e">
        <f t="shared" si="452"/>
        <v>#VALUE!</v>
      </c>
      <c r="CK209" s="1937"/>
      <c r="CL209" s="1865" t="e">
        <f t="shared" si="429"/>
        <v>#VALUE!</v>
      </c>
      <c r="CM209" s="1865" t="e">
        <f t="shared" si="430"/>
        <v>#VALUE!</v>
      </c>
      <c r="CN209" s="1865" t="str">
        <f t="shared" si="431"/>
        <v xml:space="preserve"> * Los exámenes de Pueblos originarios Procesados no pueden ser mayor que el Total de exámenes procesados.</v>
      </c>
      <c r="CO209" s="1865" t="str">
        <f t="shared" si="432"/>
        <v xml:space="preserve"> * Los exámenes procesados de Migrantes no pueden ser mayor que el Total de exámenes procesados.</v>
      </c>
      <c r="CP209" s="1865" t="e">
        <f t="shared" si="433"/>
        <v>#VALUE!</v>
      </c>
      <c r="CQ209" s="1865" t="str">
        <f t="shared" si="434"/>
        <v xml:space="preserve"> * Los exámenes Confirmados positivos por ISP de Pueblos originarios no pueden ser mayor que el Total de exámenes Procesados por ISP.</v>
      </c>
      <c r="CR209" s="1865" t="str">
        <f t="shared" si="435"/>
        <v xml:space="preserve"> * Los exámenes Confirmados positivos por ISP de Migrantes no pueden ser mayor que el Total de exámenes Procesados por ISP.</v>
      </c>
      <c r="CS209" s="1936"/>
      <c r="CT209" s="1936"/>
      <c r="CU209" s="2946" t="e">
        <f t="shared" si="458"/>
        <v>#VALUE!</v>
      </c>
      <c r="CV209" s="2946" t="e">
        <f t="shared" si="459"/>
        <v>#VALUE!</v>
      </c>
      <c r="DG209" s="3946">
        <f t="shared" si="438"/>
        <v>1</v>
      </c>
      <c r="DH209" s="3922">
        <f t="shared" si="454"/>
        <v>1</v>
      </c>
      <c r="DI209" s="3922">
        <f t="shared" si="439"/>
        <v>1</v>
      </c>
      <c r="DJ209" s="1936"/>
      <c r="DK209" s="1936"/>
      <c r="DL209" s="1936"/>
      <c r="DM209" s="1936"/>
      <c r="DN209" s="1936"/>
      <c r="DO209" s="3922" t="e">
        <f t="shared" si="440"/>
        <v>#VALUE!</v>
      </c>
      <c r="DP209" s="1937"/>
      <c r="DQ209" s="3922" t="e">
        <f t="shared" si="441"/>
        <v>#VALUE!</v>
      </c>
      <c r="DR209" s="3922" t="e">
        <f t="shared" si="442"/>
        <v>#VALUE!</v>
      </c>
      <c r="DS209" s="3922">
        <f t="shared" si="443"/>
        <v>1</v>
      </c>
      <c r="DT209" s="3922">
        <f t="shared" si="444"/>
        <v>1</v>
      </c>
      <c r="DU209" s="3922" t="e">
        <f t="shared" si="445"/>
        <v>#VALUE!</v>
      </c>
      <c r="DV209" s="3922">
        <f t="shared" si="446"/>
        <v>1</v>
      </c>
      <c r="DW209" s="3922">
        <f t="shared" si="447"/>
        <v>1</v>
      </c>
      <c r="DX209" s="1936"/>
      <c r="DY209" s="1936"/>
      <c r="DZ209" s="3922" t="e">
        <f t="shared" si="460"/>
        <v>#VALUE!</v>
      </c>
      <c r="EA209" s="3922" t="e">
        <f t="shared" si="461"/>
        <v>#VALUE!</v>
      </c>
    </row>
    <row r="210" spans="1:131" x14ac:dyDescent="0.25">
      <c r="A210" s="5601">
        <v>11055370</v>
      </c>
      <c r="B210" s="7149" t="s">
        <v>1925</v>
      </c>
      <c r="C210" s="7150"/>
      <c r="D210" s="623" t="s">
        <v>4567</v>
      </c>
      <c r="E210" s="3039" t="s">
        <v>4568</v>
      </c>
      <c r="F210" s="853" t="s">
        <v>4569</v>
      </c>
      <c r="G210" s="1873" t="s">
        <v>4570</v>
      </c>
      <c r="H210" s="853" t="s">
        <v>4571</v>
      </c>
      <c r="I210" s="1873" t="s">
        <v>4572</v>
      </c>
      <c r="J210" s="853" t="s">
        <v>4573</v>
      </c>
      <c r="K210" s="1873" t="s">
        <v>4574</v>
      </c>
      <c r="L210" s="853" t="s">
        <v>4575</v>
      </c>
      <c r="M210" s="1873" t="s">
        <v>4576</v>
      </c>
      <c r="N210" s="853" t="s">
        <v>4577</v>
      </c>
      <c r="O210" s="1975" t="s">
        <v>4578</v>
      </c>
      <c r="P210" s="853" t="s">
        <v>4579</v>
      </c>
      <c r="Q210" s="1873" t="s">
        <v>4580</v>
      </c>
      <c r="R210" s="853" t="s">
        <v>4581</v>
      </c>
      <c r="S210" s="1873" t="s">
        <v>4582</v>
      </c>
      <c r="T210" s="853" t="s">
        <v>4583</v>
      </c>
      <c r="U210" s="1873" t="s">
        <v>4584</v>
      </c>
      <c r="V210" s="853" t="s">
        <v>4585</v>
      </c>
      <c r="W210" s="1873" t="s">
        <v>4586</v>
      </c>
      <c r="X210" s="853" t="s">
        <v>4587</v>
      </c>
      <c r="Y210" s="1873" t="s">
        <v>4588</v>
      </c>
      <c r="Z210" s="853" t="s">
        <v>4589</v>
      </c>
      <c r="AA210" s="1873" t="s">
        <v>4590</v>
      </c>
      <c r="AB210" s="853" t="s">
        <v>4591</v>
      </c>
      <c r="AC210" s="1873" t="s">
        <v>4592</v>
      </c>
      <c r="AD210" s="853" t="s">
        <v>4593</v>
      </c>
      <c r="AE210" s="2203" t="s">
        <v>4594</v>
      </c>
      <c r="AF210" s="853" t="s">
        <v>4595</v>
      </c>
      <c r="AG210" s="2203" t="s">
        <v>4596</v>
      </c>
      <c r="AH210" s="853" t="s">
        <v>4597</v>
      </c>
      <c r="AI210" s="1975" t="s">
        <v>4598</v>
      </c>
      <c r="AJ210" s="853" t="s">
        <v>4599</v>
      </c>
      <c r="AK210" s="1873" t="s">
        <v>4600</v>
      </c>
      <c r="AL210" s="1879" t="s">
        <v>4601</v>
      </c>
      <c r="AM210" s="854" t="s">
        <v>4602</v>
      </c>
      <c r="AN210" s="853" t="s">
        <v>4603</v>
      </c>
      <c r="AO210" s="1878" t="s">
        <v>4604</v>
      </c>
      <c r="AP210" s="1879" t="s">
        <v>4605</v>
      </c>
      <c r="AQ210" s="854" t="s">
        <v>4606</v>
      </c>
      <c r="AR210" s="1877" t="s">
        <v>4934</v>
      </c>
      <c r="AS210" s="1878" t="s">
        <v>4935</v>
      </c>
      <c r="AT210" s="1879" t="s">
        <v>4936</v>
      </c>
      <c r="AU210" s="1878" t="s">
        <v>4937</v>
      </c>
      <c r="AV210" s="1879" t="s">
        <v>5234</v>
      </c>
      <c r="AW210" s="854" t="s">
        <v>5235</v>
      </c>
      <c r="AX210" s="1879" t="s">
        <v>5236</v>
      </c>
      <c r="AY210" s="854" t="s">
        <v>5237</v>
      </c>
      <c r="AZ210" s="1864" t="e">
        <f t="shared" si="455"/>
        <v>#VALUE!</v>
      </c>
      <c r="CB210" s="3944" t="str">
        <f t="shared" si="450"/>
        <v xml:space="preserve"> * El Total de Exámenes Confirmados Positivos por ISP NO DEBE SUPERAR los Exámenes Procesados. </v>
      </c>
      <c r="CC210" s="1865" t="str">
        <f t="shared" si="456"/>
        <v xml:space="preserve"> * El número de Exámenes por Sexo Hombres Confirmados positivos por ISP NO PUEDE Superar al número de Procesados. </v>
      </c>
      <c r="CD210" s="1865" t="str">
        <f t="shared" si="451"/>
        <v xml:space="preserve"> * El número de Exámenes por Sexo Mujeres Confirmados positivos por ISP NO PUEDE Superar al número de Procesados. </v>
      </c>
      <c r="CE210" s="1936"/>
      <c r="CF210" s="1936"/>
      <c r="CG210" s="1936"/>
      <c r="CH210" s="1936"/>
      <c r="CI210" s="1936"/>
      <c r="CJ210" s="1865" t="e">
        <f t="shared" si="452"/>
        <v>#VALUE!</v>
      </c>
      <c r="CK210" s="1937"/>
      <c r="CL210" s="1865" t="e">
        <f t="shared" si="429"/>
        <v>#VALUE!</v>
      </c>
      <c r="CM210" s="1865" t="e">
        <f t="shared" si="430"/>
        <v>#VALUE!</v>
      </c>
      <c r="CN210" s="1865" t="str">
        <f t="shared" si="431"/>
        <v xml:space="preserve"> * Los exámenes de Pueblos originarios Procesados no pueden ser mayor que el Total de exámenes procesados.</v>
      </c>
      <c r="CO210" s="1865" t="str">
        <f t="shared" si="432"/>
        <v xml:space="preserve"> * Los exámenes procesados de Migrantes no pueden ser mayor que el Total de exámenes procesados.</v>
      </c>
      <c r="CP210" s="1865" t="e">
        <f t="shared" si="433"/>
        <v>#VALUE!</v>
      </c>
      <c r="CQ210" s="1865" t="str">
        <f t="shared" si="434"/>
        <v xml:space="preserve"> * Los exámenes Confirmados positivos por ISP de Pueblos originarios no pueden ser mayor que el Total de exámenes Procesados por ISP.</v>
      </c>
      <c r="CR210" s="1865" t="str">
        <f t="shared" si="435"/>
        <v xml:space="preserve"> * Los exámenes Confirmados positivos por ISP de Migrantes no pueden ser mayor que el Total de exámenes Procesados por ISP.</v>
      </c>
      <c r="CS210" s="1936"/>
      <c r="CT210" s="1936"/>
      <c r="CU210" s="2946" t="e">
        <f t="shared" si="458"/>
        <v>#VALUE!</v>
      </c>
      <c r="CV210" s="2946" t="e">
        <f t="shared" si="459"/>
        <v>#VALUE!</v>
      </c>
      <c r="DG210" s="3946">
        <f t="shared" si="438"/>
        <v>1</v>
      </c>
      <c r="DH210" s="3922">
        <f t="shared" si="454"/>
        <v>1</v>
      </c>
      <c r="DI210" s="3922">
        <f t="shared" si="439"/>
        <v>1</v>
      </c>
      <c r="DJ210" s="1936"/>
      <c r="DK210" s="1936"/>
      <c r="DL210" s="1936"/>
      <c r="DM210" s="1936"/>
      <c r="DN210" s="1936"/>
      <c r="DO210" s="3922" t="e">
        <f t="shared" si="440"/>
        <v>#VALUE!</v>
      </c>
      <c r="DP210" s="1937"/>
      <c r="DQ210" s="3922" t="e">
        <f t="shared" si="441"/>
        <v>#VALUE!</v>
      </c>
      <c r="DR210" s="3922" t="e">
        <f t="shared" si="442"/>
        <v>#VALUE!</v>
      </c>
      <c r="DS210" s="3922">
        <f t="shared" si="443"/>
        <v>1</v>
      </c>
      <c r="DT210" s="3922">
        <f t="shared" si="444"/>
        <v>1</v>
      </c>
      <c r="DU210" s="3922" t="e">
        <f t="shared" si="445"/>
        <v>#VALUE!</v>
      </c>
      <c r="DV210" s="3922">
        <f t="shared" si="446"/>
        <v>1</v>
      </c>
      <c r="DW210" s="3922">
        <f t="shared" si="447"/>
        <v>1</v>
      </c>
      <c r="DX210" s="1936"/>
      <c r="DY210" s="1936"/>
      <c r="DZ210" s="3922" t="e">
        <f t="shared" si="460"/>
        <v>#VALUE!</v>
      </c>
      <c r="EA210" s="3922" t="e">
        <f t="shared" si="461"/>
        <v>#VALUE!</v>
      </c>
    </row>
    <row r="211" spans="1:131" ht="18" customHeight="1" x14ac:dyDescent="0.25">
      <c r="A211" s="25"/>
      <c r="B211" s="3961" t="s">
        <v>1927</v>
      </c>
      <c r="C211" s="3961"/>
      <c r="D211" s="3961"/>
      <c r="E211" s="3961"/>
      <c r="F211" s="3961"/>
      <c r="G211" s="3961"/>
      <c r="H211" s="3961"/>
      <c r="I211" s="3961"/>
      <c r="J211" s="3961"/>
      <c r="K211" s="3961"/>
      <c r="L211" s="3961"/>
      <c r="M211" s="3961"/>
      <c r="N211" s="3961"/>
      <c r="O211" s="3961"/>
      <c r="P211" s="3961"/>
      <c r="Q211" s="3961"/>
      <c r="R211" s="3961"/>
      <c r="S211" s="3961"/>
      <c r="T211" s="3961"/>
      <c r="U211" s="3961"/>
      <c r="V211" s="3961"/>
      <c r="W211" s="3961"/>
      <c r="X211" s="3961"/>
      <c r="Y211" s="3961"/>
      <c r="Z211" s="3961"/>
      <c r="AA211" s="3961"/>
      <c r="AB211" s="3961"/>
      <c r="AC211" s="3961"/>
      <c r="AD211" s="3961"/>
      <c r="AE211" s="3961"/>
      <c r="AF211" s="3961"/>
      <c r="AG211" s="3961"/>
      <c r="AH211" s="3961"/>
      <c r="AI211" s="3961"/>
      <c r="AJ211" s="3961"/>
      <c r="AK211" s="3961"/>
      <c r="AL211" s="3961"/>
      <c r="AM211" s="1937"/>
      <c r="AN211" s="1937"/>
      <c r="AO211" s="1937"/>
      <c r="AP211" s="1937"/>
      <c r="AQ211" s="1937"/>
      <c r="AR211" s="1937"/>
    </row>
    <row r="212" spans="1:131" ht="23.25" customHeight="1" x14ac:dyDescent="0.25">
      <c r="A212" s="25"/>
      <c r="B212" s="7151" t="s">
        <v>1892</v>
      </c>
      <c r="C212" s="7154" t="s">
        <v>77</v>
      </c>
      <c r="D212" s="7154"/>
      <c r="E212" s="7154" t="s">
        <v>29</v>
      </c>
      <c r="F212" s="7154"/>
      <c r="G212" s="7154"/>
      <c r="H212" s="7154"/>
      <c r="I212" s="7154"/>
      <c r="J212" s="7154"/>
      <c r="K212" s="7154"/>
      <c r="L212" s="7154"/>
      <c r="M212" s="7154"/>
      <c r="N212" s="7154"/>
      <c r="O212" s="7154"/>
      <c r="P212" s="7154"/>
      <c r="Q212" s="7154"/>
      <c r="R212" s="7154"/>
      <c r="S212" s="7154"/>
      <c r="T212" s="7154"/>
      <c r="U212" s="7154"/>
      <c r="V212" s="7154"/>
      <c r="W212" s="7154"/>
      <c r="X212" s="7154"/>
      <c r="Y212" s="7154"/>
      <c r="Z212" s="7154"/>
      <c r="AA212" s="7154"/>
      <c r="AB212" s="7154"/>
      <c r="AC212" s="7154"/>
      <c r="AD212" s="7154"/>
      <c r="AE212" s="7154"/>
      <c r="AF212" s="7154"/>
      <c r="AG212" s="7154"/>
      <c r="AH212" s="7154"/>
      <c r="AI212" s="7154"/>
      <c r="AJ212" s="7154"/>
      <c r="AK212" s="7154"/>
      <c r="AL212" s="7155"/>
      <c r="AM212" s="7139" t="s">
        <v>1928</v>
      </c>
      <c r="AN212" s="7156"/>
      <c r="AO212" s="7157" t="s">
        <v>457</v>
      </c>
      <c r="AP212" s="7111"/>
      <c r="AQ212" s="7139" t="s">
        <v>36</v>
      </c>
      <c r="AR212" s="7158" t="s">
        <v>37</v>
      </c>
    </row>
    <row r="213" spans="1:131" x14ac:dyDescent="0.25">
      <c r="A213" s="25"/>
      <c r="B213" s="7152"/>
      <c r="C213" s="7154"/>
      <c r="D213" s="7154"/>
      <c r="E213" s="7154" t="s">
        <v>343</v>
      </c>
      <c r="F213" s="7154"/>
      <c r="G213" s="7154" t="s">
        <v>326</v>
      </c>
      <c r="H213" s="7154"/>
      <c r="I213" s="7154" t="s">
        <v>94</v>
      </c>
      <c r="J213" s="7154"/>
      <c r="K213" s="7154" t="s">
        <v>44</v>
      </c>
      <c r="L213" s="7154"/>
      <c r="M213" s="7154" t="s">
        <v>45</v>
      </c>
      <c r="N213" s="7154"/>
      <c r="O213" s="7154" t="s">
        <v>46</v>
      </c>
      <c r="P213" s="7154"/>
      <c r="Q213" s="7154" t="s">
        <v>47</v>
      </c>
      <c r="R213" s="7154"/>
      <c r="S213" s="7154" t="s">
        <v>48</v>
      </c>
      <c r="T213" s="7154"/>
      <c r="U213" s="7154" t="s">
        <v>49</v>
      </c>
      <c r="V213" s="7154"/>
      <c r="W213" s="7154" t="s">
        <v>50</v>
      </c>
      <c r="X213" s="7154"/>
      <c r="Y213" s="7154" t="s">
        <v>51</v>
      </c>
      <c r="Z213" s="7154"/>
      <c r="AA213" s="7154" t="s">
        <v>52</v>
      </c>
      <c r="AB213" s="7154"/>
      <c r="AC213" s="7154" t="s">
        <v>53</v>
      </c>
      <c r="AD213" s="7154"/>
      <c r="AE213" s="7154" t="s">
        <v>54</v>
      </c>
      <c r="AF213" s="7154"/>
      <c r="AG213" s="7154" t="s">
        <v>55</v>
      </c>
      <c r="AH213" s="7154"/>
      <c r="AI213" s="7154" t="s">
        <v>56</v>
      </c>
      <c r="AJ213" s="7154"/>
      <c r="AK213" s="7154" t="s">
        <v>57</v>
      </c>
      <c r="AL213" s="7155"/>
      <c r="AM213" s="7159" t="s">
        <v>58</v>
      </c>
      <c r="AN213" s="7137" t="s">
        <v>59</v>
      </c>
      <c r="AO213" s="7160" t="s">
        <v>462</v>
      </c>
      <c r="AP213" s="6552" t="s">
        <v>463</v>
      </c>
      <c r="AQ213" s="7139"/>
      <c r="AR213" s="7158"/>
    </row>
    <row r="214" spans="1:131" x14ac:dyDescent="0.25">
      <c r="A214" s="25"/>
      <c r="B214" s="7153"/>
      <c r="C214" s="3965" t="s">
        <v>1864</v>
      </c>
      <c r="D214" s="2922" t="s">
        <v>1865</v>
      </c>
      <c r="E214" s="3966" t="s">
        <v>1864</v>
      </c>
      <c r="F214" s="3937" t="s">
        <v>1865</v>
      </c>
      <c r="G214" s="3966" t="s">
        <v>1864</v>
      </c>
      <c r="H214" s="3937" t="s">
        <v>1865</v>
      </c>
      <c r="I214" s="3966" t="s">
        <v>1864</v>
      </c>
      <c r="J214" s="3937" t="s">
        <v>1865</v>
      </c>
      <c r="K214" s="3966" t="s">
        <v>1864</v>
      </c>
      <c r="L214" s="3937" t="s">
        <v>1865</v>
      </c>
      <c r="M214" s="3966" t="s">
        <v>1864</v>
      </c>
      <c r="N214" s="3937" t="s">
        <v>1865</v>
      </c>
      <c r="O214" s="3966" t="s">
        <v>1864</v>
      </c>
      <c r="P214" s="3937" t="s">
        <v>1865</v>
      </c>
      <c r="Q214" s="3966" t="s">
        <v>1864</v>
      </c>
      <c r="R214" s="3937" t="s">
        <v>1865</v>
      </c>
      <c r="S214" s="3966" t="s">
        <v>1864</v>
      </c>
      <c r="T214" s="3937" t="s">
        <v>1865</v>
      </c>
      <c r="U214" s="3966" t="s">
        <v>1864</v>
      </c>
      <c r="V214" s="3937" t="s">
        <v>1865</v>
      </c>
      <c r="W214" s="3966" t="s">
        <v>1864</v>
      </c>
      <c r="X214" s="3937" t="s">
        <v>1865</v>
      </c>
      <c r="Y214" s="3966" t="s">
        <v>1864</v>
      </c>
      <c r="Z214" s="3937" t="s">
        <v>1865</v>
      </c>
      <c r="AA214" s="3966" t="s">
        <v>1864</v>
      </c>
      <c r="AB214" s="3937" t="s">
        <v>1865</v>
      </c>
      <c r="AC214" s="3966" t="s">
        <v>1864</v>
      </c>
      <c r="AD214" s="3937" t="s">
        <v>1865</v>
      </c>
      <c r="AE214" s="3966" t="s">
        <v>1864</v>
      </c>
      <c r="AF214" s="3937" t="s">
        <v>1865</v>
      </c>
      <c r="AG214" s="3966" t="s">
        <v>1864</v>
      </c>
      <c r="AH214" s="3937" t="s">
        <v>1865</v>
      </c>
      <c r="AI214" s="3966" t="s">
        <v>1864</v>
      </c>
      <c r="AJ214" s="3937" t="s">
        <v>1865</v>
      </c>
      <c r="AK214" s="3966" t="s">
        <v>1864</v>
      </c>
      <c r="AL214" s="3938" t="s">
        <v>1865</v>
      </c>
      <c r="AM214" s="7159"/>
      <c r="AN214" s="7137"/>
      <c r="AO214" s="6035"/>
      <c r="AP214" s="6759"/>
      <c r="AQ214" s="7139"/>
      <c r="AR214" s="7158"/>
      <c r="DG214" s="1937"/>
    </row>
    <row r="215" spans="1:131" x14ac:dyDescent="0.25">
      <c r="A215" s="5601">
        <v>11056472</v>
      </c>
      <c r="B215" s="3967" t="s">
        <v>453</v>
      </c>
      <c r="C215" s="3225" t="s">
        <v>4567</v>
      </c>
      <c r="D215" s="3900" t="s">
        <v>4568</v>
      </c>
      <c r="E215" s="3901" t="s">
        <v>4569</v>
      </c>
      <c r="F215" s="3915" t="s">
        <v>4570</v>
      </c>
      <c r="G215" s="3914" t="s">
        <v>4571</v>
      </c>
      <c r="H215" s="3915" t="s">
        <v>4572</v>
      </c>
      <c r="I215" s="3913" t="s">
        <v>4573</v>
      </c>
      <c r="J215" s="3912" t="s">
        <v>4574</v>
      </c>
      <c r="K215" s="3913" t="s">
        <v>4575</v>
      </c>
      <c r="L215" s="3912" t="s">
        <v>4576</v>
      </c>
      <c r="M215" s="3913" t="s">
        <v>4577</v>
      </c>
      <c r="N215" s="3912" t="s">
        <v>4578</v>
      </c>
      <c r="O215" s="3913" t="s">
        <v>4579</v>
      </c>
      <c r="P215" s="3912" t="s">
        <v>4580</v>
      </c>
      <c r="Q215" s="3913" t="s">
        <v>4581</v>
      </c>
      <c r="R215" s="3912" t="s">
        <v>4582</v>
      </c>
      <c r="S215" s="3913" t="s">
        <v>4583</v>
      </c>
      <c r="T215" s="3912" t="s">
        <v>4584</v>
      </c>
      <c r="U215" s="3913" t="s">
        <v>4585</v>
      </c>
      <c r="V215" s="3912" t="s">
        <v>4586</v>
      </c>
      <c r="W215" s="3913" t="s">
        <v>4587</v>
      </c>
      <c r="X215" s="3912" t="s">
        <v>4588</v>
      </c>
      <c r="Y215" s="3913" t="s">
        <v>4589</v>
      </c>
      <c r="Z215" s="3912" t="s">
        <v>4590</v>
      </c>
      <c r="AA215" s="3914" t="s">
        <v>4591</v>
      </c>
      <c r="AB215" s="3915" t="s">
        <v>4592</v>
      </c>
      <c r="AC215" s="3914" t="s">
        <v>4593</v>
      </c>
      <c r="AD215" s="3915" t="s">
        <v>4594</v>
      </c>
      <c r="AE215" s="3914" t="s">
        <v>4595</v>
      </c>
      <c r="AF215" s="3915" t="s">
        <v>4596</v>
      </c>
      <c r="AG215" s="3914" t="s">
        <v>4597</v>
      </c>
      <c r="AH215" s="3915" t="s">
        <v>4598</v>
      </c>
      <c r="AI215" s="3914" t="s">
        <v>4599</v>
      </c>
      <c r="AJ215" s="3915" t="s">
        <v>4600</v>
      </c>
      <c r="AK215" s="3914" t="s">
        <v>4601</v>
      </c>
      <c r="AL215" s="3916" t="s">
        <v>4602</v>
      </c>
      <c r="AM215" s="3901" t="s">
        <v>4603</v>
      </c>
      <c r="AN215" s="869" t="s">
        <v>4604</v>
      </c>
      <c r="AO215" s="3044" t="s">
        <v>4605</v>
      </c>
      <c r="AP215" s="3943" t="s">
        <v>4606</v>
      </c>
      <c r="AQ215" s="3904" t="s">
        <v>4934</v>
      </c>
      <c r="AR215" s="3968" t="s">
        <v>4935</v>
      </c>
      <c r="AS215" s="1864" t="e">
        <f>$CB215&amp;CC215&amp;CD215&amp;CE215&amp;CF215&amp;CH215&amp;CG215&amp;CI215&amp;CJ215</f>
        <v>#VALUE!</v>
      </c>
      <c r="CB215" s="3944" t="str">
        <f>IF(D215&gt;C215," * El Total de Exámenes reactivos NO DEBE SUPERAR los Exámenes Procesados. ","")</f>
        <v xml:space="preserve"> * El Total de Exámenes reactivos NO DEBE SUPERAR los Exámenes Procesados. </v>
      </c>
      <c r="CC215" s="1865" t="e">
        <f>IF(AND(C215&gt;0,AND(AM215+AN215=""))," * No olvide digitar la variable POR SEXO (Procesados). Digite cero si no tiene.",IF(C215&lt;&gt;(AM215+AN215)," * La suma de las variables POR SEXO (Procesados) debe ser igual al Total de procesados.",""))</f>
        <v>#VALUE!</v>
      </c>
      <c r="CD215" s="1865" t="e">
        <f>IF(AND(C215&gt;0,AND(AO215="",AP215=""))," * No olvide digitar la variable Trans (Masculino o Femenino). Digite cero si no tiene.",IF((AO215+AP215)&gt;C215," *  La suma de exámenes a Trans (Masculino + Femenino) no puede ser mayor que el Total de Procesados .",""))</f>
        <v>#VALUE!</v>
      </c>
      <c r="CE215" s="1865" t="str">
        <f>IF(AND(C215&gt;0,AQ215="")," * No olvide digitar la variable Pueblos originarios. Digite cero si no tiene.",IF(AQ215&gt;C215," * La variable Pueblos originarios no puede ser mayor que el Total de Procesados.",""))</f>
        <v xml:space="preserve"> * La variable Pueblos originarios no puede ser mayor que el Total de Procesados.</v>
      </c>
      <c r="CF215" s="1865" t="str">
        <f>IF(AND(C215&gt;0,AR215="")," * No olvide digitar la variable Migrantes. Digite cero si no tiene.",IF(AR215&gt;C215," * La variable Migrantes no puede ser mayor que el Total de Procesados.",""))</f>
        <v xml:space="preserve"> * La variable Migrantes no puede ser mayor que el Total de Procesados.</v>
      </c>
      <c r="CG215" s="1936"/>
      <c r="CH215" s="1937"/>
      <c r="CI215" s="1937"/>
      <c r="CJ215" s="1937"/>
      <c r="CK215" s="1937"/>
      <c r="DG215" s="3906">
        <f>IF(D215&gt;C215,1,0)</f>
        <v>1</v>
      </c>
      <c r="DH215" s="3906" t="e">
        <f>IF(AND(C215&gt;0,AND(AM215+AN215="")),1,IF(C215&lt;&gt;(AM215+AN215),1,0))</f>
        <v>#VALUE!</v>
      </c>
      <c r="DI215" s="3906" t="e">
        <f>IF(AND(C215&gt;0,AND(AO215="",AP215="")),1,IF((AO215+AP215)&gt;C215,1,0))</f>
        <v>#VALUE!</v>
      </c>
      <c r="DJ215" s="3906">
        <f>IF(AND(C215&gt;0,AQ215=""),1,IF(AQ215&gt;C215,1,0))</f>
        <v>1</v>
      </c>
      <c r="DK215" s="3906">
        <f>IF(AND(C215&gt;0,AR215=""),1,IF(AR215&gt;C215,1,0))</f>
        <v>1</v>
      </c>
      <c r="DL215" s="1936"/>
      <c r="DM215" s="1936"/>
      <c r="DN215" s="1936"/>
      <c r="DO215" s="1936"/>
      <c r="DP215" s="1936"/>
    </row>
    <row r="216" spans="1:131" x14ac:dyDescent="0.25">
      <c r="A216" s="5601">
        <v>11056473</v>
      </c>
      <c r="B216" s="3967" t="s">
        <v>1929</v>
      </c>
      <c r="C216" s="3908" t="s">
        <v>4567</v>
      </c>
      <c r="D216" s="344" t="s">
        <v>4568</v>
      </c>
      <c r="E216" s="3901" t="s">
        <v>4569</v>
      </c>
      <c r="F216" s="3915" t="s">
        <v>4570</v>
      </c>
      <c r="G216" s="3914" t="s">
        <v>4571</v>
      </c>
      <c r="H216" s="3915" t="s">
        <v>4572</v>
      </c>
      <c r="I216" s="3914" t="s">
        <v>4573</v>
      </c>
      <c r="J216" s="3915" t="s">
        <v>4574</v>
      </c>
      <c r="K216" s="3913" t="s">
        <v>4575</v>
      </c>
      <c r="L216" s="3912" t="s">
        <v>4576</v>
      </c>
      <c r="M216" s="3913" t="s">
        <v>4577</v>
      </c>
      <c r="N216" s="3912" t="s">
        <v>4578</v>
      </c>
      <c r="O216" s="3913" t="s">
        <v>4579</v>
      </c>
      <c r="P216" s="3912" t="s">
        <v>4580</v>
      </c>
      <c r="Q216" s="3913" t="s">
        <v>4581</v>
      </c>
      <c r="R216" s="3912" t="s">
        <v>4582</v>
      </c>
      <c r="S216" s="3913" t="s">
        <v>4583</v>
      </c>
      <c r="T216" s="3912" t="s">
        <v>4584</v>
      </c>
      <c r="U216" s="3913" t="s">
        <v>4585</v>
      </c>
      <c r="V216" s="3912" t="s">
        <v>4586</v>
      </c>
      <c r="W216" s="3913" t="s">
        <v>4587</v>
      </c>
      <c r="X216" s="3912" t="s">
        <v>4588</v>
      </c>
      <c r="Y216" s="3913" t="s">
        <v>4589</v>
      </c>
      <c r="Z216" s="3912" t="s">
        <v>4590</v>
      </c>
      <c r="AA216" s="3913" t="s">
        <v>4591</v>
      </c>
      <c r="AB216" s="3912" t="s">
        <v>4592</v>
      </c>
      <c r="AC216" s="3913" t="s">
        <v>4593</v>
      </c>
      <c r="AD216" s="3912" t="s">
        <v>4594</v>
      </c>
      <c r="AE216" s="3913" t="s">
        <v>4595</v>
      </c>
      <c r="AF216" s="3912" t="s">
        <v>4596</v>
      </c>
      <c r="AG216" s="3913" t="s">
        <v>4597</v>
      </c>
      <c r="AH216" s="3912" t="s">
        <v>4598</v>
      </c>
      <c r="AI216" s="3913" t="s">
        <v>4599</v>
      </c>
      <c r="AJ216" s="3912" t="s">
        <v>4600</v>
      </c>
      <c r="AK216" s="3913" t="s">
        <v>4601</v>
      </c>
      <c r="AL216" s="3902" t="s">
        <v>4602</v>
      </c>
      <c r="AM216" s="3904" t="s">
        <v>4603</v>
      </c>
      <c r="AN216" s="3902" t="s">
        <v>4604</v>
      </c>
      <c r="AO216" s="3903" t="s">
        <v>4605</v>
      </c>
      <c r="AP216" s="3943" t="s">
        <v>4606</v>
      </c>
      <c r="AQ216" s="3904" t="s">
        <v>4934</v>
      </c>
      <c r="AR216" s="3968" t="s">
        <v>4935</v>
      </c>
      <c r="AS216" s="1864" t="e">
        <f t="shared" ref="AS216:AS221" si="462">$CB216&amp;CC216&amp;CD216&amp;CE216&amp;CF216&amp;CH216&amp;CG216&amp;CI216&amp;CJ216</f>
        <v>#VALUE!</v>
      </c>
      <c r="CB216" s="3944" t="str">
        <f t="shared" ref="CB216:CB221" si="463">IF(D216&gt;C216," * El Total de Exámenes reactivos NO DEBE SUPERAR los Exámenes Procesados. ","")</f>
        <v xml:space="preserve"> * El Total de Exámenes reactivos NO DEBE SUPERAR los Exámenes Procesados. </v>
      </c>
      <c r="CC216" s="1865" t="e">
        <f t="shared" ref="CC216:CC221" si="464">IF(AND(C216&gt;0,AND(AM216+AN216=""))," * No olvide digitar la variable POR SEXO (Procesados). Digite cero si no tiene.",IF(C216&lt;&gt;(AM216+AN216)," * La suma de las variables POR SEXO (Procesados) debe ser igual al Total de procesados.",""))</f>
        <v>#VALUE!</v>
      </c>
      <c r="CD216" s="1865" t="e">
        <f t="shared" ref="CD216:CD221" si="465">IF(AND(C216&gt;0,AND(AO216="",AP216=""))," * No olvide digitar la variable Trans (Masculino o Femenino). Digite cero si no tiene.",IF((AO216+AP216)&gt;C216," *  La suma de exámenes a Trans (Masculino + Femenino) no puede ser mayor que el Total de Procesados .",""))</f>
        <v>#VALUE!</v>
      </c>
      <c r="CE216" s="1865" t="str">
        <f t="shared" ref="CE216:CE221" si="466">IF(AND(C216&gt;0,AQ216="")," * No olvide digitar la variable Pueblos originarios. Digite cero si no tiene.",IF(AQ216&gt;C216," * La variable Pueblos originarios no puede ser mayor que el Total de Procesados.",""))</f>
        <v xml:space="preserve"> * La variable Pueblos originarios no puede ser mayor que el Total de Procesados.</v>
      </c>
      <c r="CF216" s="1865" t="str">
        <f t="shared" ref="CF216:CF221" si="467">IF(AND(C216&gt;0,AR216="")," * No olvide digitar la variable Migrantes. Digite cero si no tiene.",IF(AR216&gt;C216," * La variable Migrantes no puede ser mayor que el Total de Procesados.",""))</f>
        <v xml:space="preserve"> * La variable Migrantes no puede ser mayor que el Total de Procesados.</v>
      </c>
      <c r="CG216" s="1936"/>
      <c r="CH216" s="1937"/>
      <c r="CI216" s="1937"/>
      <c r="CJ216" s="1937"/>
      <c r="DG216" s="3906">
        <f t="shared" ref="DG216:DG221" si="468">IF(D216&gt;C216,1,0)</f>
        <v>1</v>
      </c>
      <c r="DH216" s="3906" t="e">
        <f t="shared" ref="DH216:DH221" si="469">IF(AND(C216&gt;0,AND(AM216+AN216="")),1,IF(C216&lt;&gt;(AM216+AN216),1,0))</f>
        <v>#VALUE!</v>
      </c>
      <c r="DI216" s="3906" t="e">
        <f t="shared" ref="DI216:DI221" si="470">IF(AND(C216&gt;0,AND(AO216="",AP216="")),1,IF((AO216+AP216)&gt;C216,1,0))</f>
        <v>#VALUE!</v>
      </c>
      <c r="DJ216" s="3906">
        <f t="shared" ref="DJ216:DJ221" si="471">IF(AND(C216&gt;0,AQ216=""),1,IF(AQ216&gt;C216,1,0))</f>
        <v>1</v>
      </c>
      <c r="DK216" s="3906">
        <f t="shared" ref="DK216:DK221" si="472">IF(AND(C216&gt;0,AR216=""),1,IF(AR216&gt;C216,1,0))</f>
        <v>1</v>
      </c>
      <c r="DL216" s="1936"/>
      <c r="DM216" s="1936"/>
      <c r="DN216" s="1936"/>
      <c r="DO216" s="1936"/>
      <c r="DP216" s="1936"/>
    </row>
    <row r="217" spans="1:131" x14ac:dyDescent="0.25">
      <c r="A217" s="5601">
        <v>11056474</v>
      </c>
      <c r="B217" s="3967" t="s">
        <v>1930</v>
      </c>
      <c r="C217" s="3908" t="s">
        <v>4567</v>
      </c>
      <c r="D217" s="344" t="s">
        <v>4568</v>
      </c>
      <c r="E217" s="3904" t="s">
        <v>4569</v>
      </c>
      <c r="F217" s="3912" t="s">
        <v>4570</v>
      </c>
      <c r="G217" s="3913" t="s">
        <v>4571</v>
      </c>
      <c r="H217" s="3912" t="s">
        <v>4572</v>
      </c>
      <c r="I217" s="3913" t="s">
        <v>4573</v>
      </c>
      <c r="J217" s="3912" t="s">
        <v>4574</v>
      </c>
      <c r="K217" s="3913" t="s">
        <v>4575</v>
      </c>
      <c r="L217" s="3912" t="s">
        <v>4576</v>
      </c>
      <c r="M217" s="3913" t="s">
        <v>4577</v>
      </c>
      <c r="N217" s="3912" t="s">
        <v>4578</v>
      </c>
      <c r="O217" s="3913" t="s">
        <v>4579</v>
      </c>
      <c r="P217" s="3912" t="s">
        <v>4580</v>
      </c>
      <c r="Q217" s="3913" t="s">
        <v>4581</v>
      </c>
      <c r="R217" s="3912" t="s">
        <v>4582</v>
      </c>
      <c r="S217" s="3913" t="s">
        <v>4583</v>
      </c>
      <c r="T217" s="3912" t="s">
        <v>4584</v>
      </c>
      <c r="U217" s="3913" t="s">
        <v>4585</v>
      </c>
      <c r="V217" s="3912" t="s">
        <v>4586</v>
      </c>
      <c r="W217" s="3913" t="s">
        <v>4587</v>
      </c>
      <c r="X217" s="3912" t="s">
        <v>4588</v>
      </c>
      <c r="Y217" s="3913" t="s">
        <v>4589</v>
      </c>
      <c r="Z217" s="3912" t="s">
        <v>4590</v>
      </c>
      <c r="AA217" s="3913" t="s">
        <v>4591</v>
      </c>
      <c r="AB217" s="3912" t="s">
        <v>4592</v>
      </c>
      <c r="AC217" s="3913" t="s">
        <v>4593</v>
      </c>
      <c r="AD217" s="3912" t="s">
        <v>4594</v>
      </c>
      <c r="AE217" s="3913" t="s">
        <v>4595</v>
      </c>
      <c r="AF217" s="3912" t="s">
        <v>4596</v>
      </c>
      <c r="AG217" s="3913" t="s">
        <v>4597</v>
      </c>
      <c r="AH217" s="3912" t="s">
        <v>4598</v>
      </c>
      <c r="AI217" s="3913" t="s">
        <v>4599</v>
      </c>
      <c r="AJ217" s="3912" t="s">
        <v>4600</v>
      </c>
      <c r="AK217" s="3913" t="s">
        <v>4601</v>
      </c>
      <c r="AL217" s="3902" t="s">
        <v>4602</v>
      </c>
      <c r="AM217" s="3904" t="s">
        <v>4603</v>
      </c>
      <c r="AN217" s="3902" t="s">
        <v>4604</v>
      </c>
      <c r="AO217" s="3903" t="s">
        <v>4605</v>
      </c>
      <c r="AP217" s="3943" t="s">
        <v>4606</v>
      </c>
      <c r="AQ217" s="3904" t="s">
        <v>4934</v>
      </c>
      <c r="AR217" s="3968" t="s">
        <v>4935</v>
      </c>
      <c r="AS217" s="1864" t="e">
        <f t="shared" si="462"/>
        <v>#VALUE!</v>
      </c>
      <c r="CB217" s="3944" t="str">
        <f t="shared" si="463"/>
        <v xml:space="preserve"> * El Total de Exámenes reactivos NO DEBE SUPERAR los Exámenes Procesados. </v>
      </c>
      <c r="CC217" s="1865" t="e">
        <f t="shared" si="464"/>
        <v>#VALUE!</v>
      </c>
      <c r="CD217" s="1865" t="e">
        <f t="shared" si="465"/>
        <v>#VALUE!</v>
      </c>
      <c r="CE217" s="1865" t="str">
        <f t="shared" si="466"/>
        <v xml:space="preserve"> * La variable Pueblos originarios no puede ser mayor que el Total de Procesados.</v>
      </c>
      <c r="CF217" s="1865" t="str">
        <f t="shared" si="467"/>
        <v xml:space="preserve"> * La variable Migrantes no puede ser mayor que el Total de Procesados.</v>
      </c>
      <c r="CG217" s="1936"/>
      <c r="CH217" s="1937"/>
      <c r="CI217" s="1937"/>
      <c r="CJ217" s="1937"/>
      <c r="DG217" s="3906">
        <f t="shared" si="468"/>
        <v>1</v>
      </c>
      <c r="DH217" s="3906" t="e">
        <f t="shared" si="469"/>
        <v>#VALUE!</v>
      </c>
      <c r="DI217" s="3906" t="e">
        <f t="shared" si="470"/>
        <v>#VALUE!</v>
      </c>
      <c r="DJ217" s="3906">
        <f t="shared" si="471"/>
        <v>1</v>
      </c>
      <c r="DK217" s="3906">
        <f t="shared" si="472"/>
        <v>1</v>
      </c>
      <c r="DL217" s="1936"/>
      <c r="DM217" s="1936"/>
      <c r="DN217" s="1936"/>
      <c r="DO217" s="1936"/>
      <c r="DP217" s="1936"/>
    </row>
    <row r="218" spans="1:131" x14ac:dyDescent="0.25">
      <c r="A218" s="5601">
        <v>11056475</v>
      </c>
      <c r="B218" s="3967" t="s">
        <v>1931</v>
      </c>
      <c r="C218" s="3908" t="s">
        <v>4567</v>
      </c>
      <c r="D218" s="344" t="s">
        <v>4568</v>
      </c>
      <c r="E218" s="3904" t="s">
        <v>4569</v>
      </c>
      <c r="F218" s="3912" t="s">
        <v>4570</v>
      </c>
      <c r="G218" s="3913" t="s">
        <v>4571</v>
      </c>
      <c r="H218" s="3912" t="s">
        <v>4572</v>
      </c>
      <c r="I218" s="3913" t="s">
        <v>4573</v>
      </c>
      <c r="J218" s="3912" t="s">
        <v>4574</v>
      </c>
      <c r="K218" s="3913" t="s">
        <v>4575</v>
      </c>
      <c r="L218" s="3912" t="s">
        <v>4576</v>
      </c>
      <c r="M218" s="3913" t="s">
        <v>4577</v>
      </c>
      <c r="N218" s="3912" t="s">
        <v>4578</v>
      </c>
      <c r="O218" s="3913" t="s">
        <v>4579</v>
      </c>
      <c r="P218" s="3912" t="s">
        <v>4580</v>
      </c>
      <c r="Q218" s="3913" t="s">
        <v>4581</v>
      </c>
      <c r="R218" s="3912" t="s">
        <v>4582</v>
      </c>
      <c r="S218" s="3913" t="s">
        <v>4583</v>
      </c>
      <c r="T218" s="3912" t="s">
        <v>4584</v>
      </c>
      <c r="U218" s="3913" t="s">
        <v>4585</v>
      </c>
      <c r="V218" s="3912" t="s">
        <v>4586</v>
      </c>
      <c r="W218" s="3913" t="s">
        <v>4587</v>
      </c>
      <c r="X218" s="3912" t="s">
        <v>4588</v>
      </c>
      <c r="Y218" s="3913" t="s">
        <v>4589</v>
      </c>
      <c r="Z218" s="3912" t="s">
        <v>4590</v>
      </c>
      <c r="AA218" s="3913" t="s">
        <v>4591</v>
      </c>
      <c r="AB218" s="3912" t="s">
        <v>4592</v>
      </c>
      <c r="AC218" s="3913" t="s">
        <v>4593</v>
      </c>
      <c r="AD218" s="3912" t="s">
        <v>4594</v>
      </c>
      <c r="AE218" s="3913" t="s">
        <v>4595</v>
      </c>
      <c r="AF218" s="3912" t="s">
        <v>4596</v>
      </c>
      <c r="AG218" s="3913" t="s">
        <v>4597</v>
      </c>
      <c r="AH218" s="3912" t="s">
        <v>4598</v>
      </c>
      <c r="AI218" s="3913" t="s">
        <v>4599</v>
      </c>
      <c r="AJ218" s="3912" t="s">
        <v>4600</v>
      </c>
      <c r="AK218" s="3913" t="s">
        <v>4601</v>
      </c>
      <c r="AL218" s="3902" t="s">
        <v>4602</v>
      </c>
      <c r="AM218" s="3904" t="s">
        <v>4603</v>
      </c>
      <c r="AN218" s="3902" t="s">
        <v>4604</v>
      </c>
      <c r="AO218" s="3903" t="s">
        <v>4605</v>
      </c>
      <c r="AP218" s="3943" t="s">
        <v>4606</v>
      </c>
      <c r="AQ218" s="3904" t="s">
        <v>4934</v>
      </c>
      <c r="AR218" s="3968" t="s">
        <v>4935</v>
      </c>
      <c r="AS218" s="1864" t="e">
        <f t="shared" si="462"/>
        <v>#VALUE!</v>
      </c>
      <c r="CB218" s="3944" t="str">
        <f t="shared" si="463"/>
        <v xml:space="preserve"> * El Total de Exámenes reactivos NO DEBE SUPERAR los Exámenes Procesados. </v>
      </c>
      <c r="CC218" s="1865" t="e">
        <f t="shared" si="464"/>
        <v>#VALUE!</v>
      </c>
      <c r="CD218" s="1865" t="e">
        <f t="shared" si="465"/>
        <v>#VALUE!</v>
      </c>
      <c r="CE218" s="1865" t="str">
        <f t="shared" si="466"/>
        <v xml:space="preserve"> * La variable Pueblos originarios no puede ser mayor que el Total de Procesados.</v>
      </c>
      <c r="CF218" s="1865" t="str">
        <f t="shared" si="467"/>
        <v xml:space="preserve"> * La variable Migrantes no puede ser mayor que el Total de Procesados.</v>
      </c>
      <c r="CG218" s="1936"/>
      <c r="CH218" s="1937"/>
      <c r="CI218" s="1937"/>
      <c r="CJ218" s="1937"/>
      <c r="DG218" s="3906">
        <f t="shared" si="468"/>
        <v>1</v>
      </c>
      <c r="DH218" s="3906" t="e">
        <f t="shared" si="469"/>
        <v>#VALUE!</v>
      </c>
      <c r="DI218" s="3906" t="e">
        <f t="shared" si="470"/>
        <v>#VALUE!</v>
      </c>
      <c r="DJ218" s="3906">
        <f t="shared" si="471"/>
        <v>1</v>
      </c>
      <c r="DK218" s="3906">
        <f t="shared" si="472"/>
        <v>1</v>
      </c>
      <c r="DL218" s="1936"/>
      <c r="DM218" s="1936"/>
      <c r="DN218" s="1936"/>
      <c r="DO218" s="1936"/>
      <c r="DP218" s="1936"/>
    </row>
    <row r="219" spans="1:131" x14ac:dyDescent="0.25">
      <c r="A219" s="5601">
        <v>11056476</v>
      </c>
      <c r="B219" s="3969" t="s">
        <v>1932</v>
      </c>
      <c r="C219" s="3908" t="s">
        <v>4567</v>
      </c>
      <c r="D219" s="344" t="s">
        <v>4568</v>
      </c>
      <c r="E219" s="3904" t="s">
        <v>4569</v>
      </c>
      <c r="F219" s="3912" t="s">
        <v>4570</v>
      </c>
      <c r="G219" s="3913" t="s">
        <v>4571</v>
      </c>
      <c r="H219" s="3912" t="s">
        <v>4572</v>
      </c>
      <c r="I219" s="3913" t="s">
        <v>4573</v>
      </c>
      <c r="J219" s="3912" t="s">
        <v>4574</v>
      </c>
      <c r="K219" s="3913" t="s">
        <v>4575</v>
      </c>
      <c r="L219" s="3912" t="s">
        <v>4576</v>
      </c>
      <c r="M219" s="3913" t="s">
        <v>4577</v>
      </c>
      <c r="N219" s="3912" t="s">
        <v>4578</v>
      </c>
      <c r="O219" s="3913" t="s">
        <v>4579</v>
      </c>
      <c r="P219" s="3912" t="s">
        <v>4580</v>
      </c>
      <c r="Q219" s="3913" t="s">
        <v>4581</v>
      </c>
      <c r="R219" s="3912" t="s">
        <v>4582</v>
      </c>
      <c r="S219" s="3913" t="s">
        <v>4583</v>
      </c>
      <c r="T219" s="3912" t="s">
        <v>4584</v>
      </c>
      <c r="U219" s="3913" t="s">
        <v>4585</v>
      </c>
      <c r="V219" s="3912" t="s">
        <v>4586</v>
      </c>
      <c r="W219" s="3913" t="s">
        <v>4587</v>
      </c>
      <c r="X219" s="3912" t="s">
        <v>4588</v>
      </c>
      <c r="Y219" s="3913" t="s">
        <v>4589</v>
      </c>
      <c r="Z219" s="3912" t="s">
        <v>4590</v>
      </c>
      <c r="AA219" s="3913" t="s">
        <v>4591</v>
      </c>
      <c r="AB219" s="3912" t="s">
        <v>4592</v>
      </c>
      <c r="AC219" s="3913" t="s">
        <v>4593</v>
      </c>
      <c r="AD219" s="3912" t="s">
        <v>4594</v>
      </c>
      <c r="AE219" s="3913" t="s">
        <v>4595</v>
      </c>
      <c r="AF219" s="3912" t="s">
        <v>4596</v>
      </c>
      <c r="AG219" s="3913" t="s">
        <v>4597</v>
      </c>
      <c r="AH219" s="3912" t="s">
        <v>4598</v>
      </c>
      <c r="AI219" s="3913" t="s">
        <v>4599</v>
      </c>
      <c r="AJ219" s="3912" t="s">
        <v>4600</v>
      </c>
      <c r="AK219" s="3913" t="s">
        <v>4601</v>
      </c>
      <c r="AL219" s="3902" t="s">
        <v>4602</v>
      </c>
      <c r="AM219" s="3904" t="s">
        <v>4603</v>
      </c>
      <c r="AN219" s="3902" t="s">
        <v>4604</v>
      </c>
      <c r="AO219" s="3903" t="s">
        <v>4605</v>
      </c>
      <c r="AP219" s="3943" t="s">
        <v>4606</v>
      </c>
      <c r="AQ219" s="3904" t="s">
        <v>4934</v>
      </c>
      <c r="AR219" s="3968" t="s">
        <v>4935</v>
      </c>
      <c r="AS219" s="1864" t="e">
        <f t="shared" si="462"/>
        <v>#VALUE!</v>
      </c>
      <c r="CB219" s="3944" t="str">
        <f t="shared" si="463"/>
        <v xml:space="preserve"> * El Total de Exámenes reactivos NO DEBE SUPERAR los Exámenes Procesados. </v>
      </c>
      <c r="CC219" s="1865" t="e">
        <f t="shared" si="464"/>
        <v>#VALUE!</v>
      </c>
      <c r="CD219" s="1865" t="e">
        <f t="shared" si="465"/>
        <v>#VALUE!</v>
      </c>
      <c r="CE219" s="1865" t="str">
        <f t="shared" si="466"/>
        <v xml:space="preserve"> * La variable Pueblos originarios no puede ser mayor que el Total de Procesados.</v>
      </c>
      <c r="CF219" s="1865" t="str">
        <f t="shared" si="467"/>
        <v xml:space="preserve"> * La variable Migrantes no puede ser mayor que el Total de Procesados.</v>
      </c>
      <c r="CG219" s="1936"/>
      <c r="CH219" s="1937"/>
      <c r="CI219" s="1937"/>
      <c r="CJ219" s="1937"/>
      <c r="DG219" s="3906">
        <f t="shared" si="468"/>
        <v>1</v>
      </c>
      <c r="DH219" s="3906" t="e">
        <f t="shared" si="469"/>
        <v>#VALUE!</v>
      </c>
      <c r="DI219" s="3906" t="e">
        <f t="shared" si="470"/>
        <v>#VALUE!</v>
      </c>
      <c r="DJ219" s="3906">
        <f t="shared" si="471"/>
        <v>1</v>
      </c>
      <c r="DK219" s="3906">
        <f t="shared" si="472"/>
        <v>1</v>
      </c>
      <c r="DL219" s="1936"/>
      <c r="DM219" s="1936"/>
      <c r="DN219" s="1936"/>
      <c r="DO219" s="1936"/>
      <c r="DP219" s="1936"/>
    </row>
    <row r="220" spans="1:131" x14ac:dyDescent="0.25">
      <c r="A220" s="5601">
        <v>11056477</v>
      </c>
      <c r="B220" s="3967" t="s">
        <v>1883</v>
      </c>
      <c r="C220" s="3908" t="s">
        <v>4567</v>
      </c>
      <c r="D220" s="344" t="s">
        <v>4568</v>
      </c>
      <c r="E220" s="3904" t="s">
        <v>4569</v>
      </c>
      <c r="F220" s="3912" t="s">
        <v>4570</v>
      </c>
      <c r="G220" s="3913" t="s">
        <v>4571</v>
      </c>
      <c r="H220" s="3912" t="s">
        <v>4572</v>
      </c>
      <c r="I220" s="3913" t="s">
        <v>4573</v>
      </c>
      <c r="J220" s="3912" t="s">
        <v>4574</v>
      </c>
      <c r="K220" s="3913" t="s">
        <v>4575</v>
      </c>
      <c r="L220" s="3912" t="s">
        <v>4576</v>
      </c>
      <c r="M220" s="3913" t="s">
        <v>4577</v>
      </c>
      <c r="N220" s="3912" t="s">
        <v>4578</v>
      </c>
      <c r="O220" s="3913" t="s">
        <v>4579</v>
      </c>
      <c r="P220" s="3912" t="s">
        <v>4580</v>
      </c>
      <c r="Q220" s="3913" t="s">
        <v>4581</v>
      </c>
      <c r="R220" s="3912" t="s">
        <v>4582</v>
      </c>
      <c r="S220" s="3913" t="s">
        <v>4583</v>
      </c>
      <c r="T220" s="3912" t="s">
        <v>4584</v>
      </c>
      <c r="U220" s="3913" t="s">
        <v>4585</v>
      </c>
      <c r="V220" s="3912" t="s">
        <v>4586</v>
      </c>
      <c r="W220" s="3913" t="s">
        <v>4587</v>
      </c>
      <c r="X220" s="3912" t="s">
        <v>4588</v>
      </c>
      <c r="Y220" s="3913" t="s">
        <v>4589</v>
      </c>
      <c r="Z220" s="3912" t="s">
        <v>4590</v>
      </c>
      <c r="AA220" s="3913" t="s">
        <v>4591</v>
      </c>
      <c r="AB220" s="3912" t="s">
        <v>4592</v>
      </c>
      <c r="AC220" s="3913" t="s">
        <v>4593</v>
      </c>
      <c r="AD220" s="3912" t="s">
        <v>4594</v>
      </c>
      <c r="AE220" s="3913" t="s">
        <v>4595</v>
      </c>
      <c r="AF220" s="3912" t="s">
        <v>4596</v>
      </c>
      <c r="AG220" s="3913" t="s">
        <v>4597</v>
      </c>
      <c r="AH220" s="3912" t="s">
        <v>4598</v>
      </c>
      <c r="AI220" s="3913" t="s">
        <v>4599</v>
      </c>
      <c r="AJ220" s="3912" t="s">
        <v>4600</v>
      </c>
      <c r="AK220" s="3913" t="s">
        <v>4601</v>
      </c>
      <c r="AL220" s="3902" t="s">
        <v>4602</v>
      </c>
      <c r="AM220" s="3904" t="s">
        <v>4603</v>
      </c>
      <c r="AN220" s="3902" t="s">
        <v>4604</v>
      </c>
      <c r="AO220" s="3903" t="s">
        <v>4605</v>
      </c>
      <c r="AP220" s="3943" t="s">
        <v>4606</v>
      </c>
      <c r="AQ220" s="3904" t="s">
        <v>4934</v>
      </c>
      <c r="AR220" s="3968" t="s">
        <v>4935</v>
      </c>
      <c r="AS220" s="1864" t="e">
        <f t="shared" si="462"/>
        <v>#VALUE!</v>
      </c>
      <c r="CB220" s="3944" t="str">
        <f t="shared" si="463"/>
        <v xml:space="preserve"> * El Total de Exámenes reactivos NO DEBE SUPERAR los Exámenes Procesados. </v>
      </c>
      <c r="CC220" s="1865" t="e">
        <f t="shared" si="464"/>
        <v>#VALUE!</v>
      </c>
      <c r="CD220" s="1865" t="e">
        <f t="shared" si="465"/>
        <v>#VALUE!</v>
      </c>
      <c r="CE220" s="1865" t="str">
        <f t="shared" si="466"/>
        <v xml:space="preserve"> * La variable Pueblos originarios no puede ser mayor que el Total de Procesados.</v>
      </c>
      <c r="CF220" s="1865" t="str">
        <f t="shared" si="467"/>
        <v xml:space="preserve"> * La variable Migrantes no puede ser mayor que el Total de Procesados.</v>
      </c>
      <c r="CG220" s="1936"/>
      <c r="CH220" s="1937"/>
      <c r="CI220" s="1937"/>
      <c r="CJ220" s="1937"/>
      <c r="DG220" s="3906">
        <f t="shared" si="468"/>
        <v>1</v>
      </c>
      <c r="DH220" s="3906" t="e">
        <f t="shared" si="469"/>
        <v>#VALUE!</v>
      </c>
      <c r="DI220" s="3906" t="e">
        <f t="shared" si="470"/>
        <v>#VALUE!</v>
      </c>
      <c r="DJ220" s="3906">
        <f t="shared" si="471"/>
        <v>1</v>
      </c>
      <c r="DK220" s="3906">
        <f t="shared" si="472"/>
        <v>1</v>
      </c>
      <c r="DL220" s="1936"/>
      <c r="DM220" s="1936"/>
      <c r="DN220" s="1936"/>
      <c r="DO220" s="1936"/>
      <c r="DP220" s="1936"/>
    </row>
    <row r="221" spans="1:131" x14ac:dyDescent="0.25">
      <c r="A221" s="5601">
        <v>11056478</v>
      </c>
      <c r="B221" s="1749" t="s">
        <v>591</v>
      </c>
      <c r="C221" s="1058" t="s">
        <v>4567</v>
      </c>
      <c r="D221" s="3346" t="s">
        <v>4568</v>
      </c>
      <c r="E221" s="1877" t="s">
        <v>4569</v>
      </c>
      <c r="F221" s="1873" t="s">
        <v>4570</v>
      </c>
      <c r="G221" s="853" t="s">
        <v>4571</v>
      </c>
      <c r="H221" s="1873" t="s">
        <v>4572</v>
      </c>
      <c r="I221" s="853" t="s">
        <v>4573</v>
      </c>
      <c r="J221" s="1873" t="s">
        <v>4574</v>
      </c>
      <c r="K221" s="853" t="s">
        <v>4575</v>
      </c>
      <c r="L221" s="1873" t="s">
        <v>4576</v>
      </c>
      <c r="M221" s="853" t="s">
        <v>4577</v>
      </c>
      <c r="N221" s="1873" t="s">
        <v>4578</v>
      </c>
      <c r="O221" s="853" t="s">
        <v>4579</v>
      </c>
      <c r="P221" s="1873" t="s">
        <v>4580</v>
      </c>
      <c r="Q221" s="853" t="s">
        <v>4581</v>
      </c>
      <c r="R221" s="1873" t="s">
        <v>4582</v>
      </c>
      <c r="S221" s="853" t="s">
        <v>4583</v>
      </c>
      <c r="T221" s="1873" t="s">
        <v>4584</v>
      </c>
      <c r="U221" s="853" t="s">
        <v>4585</v>
      </c>
      <c r="V221" s="1873" t="s">
        <v>4586</v>
      </c>
      <c r="W221" s="853" t="s">
        <v>4587</v>
      </c>
      <c r="X221" s="1873" t="s">
        <v>4588</v>
      </c>
      <c r="Y221" s="853" t="s">
        <v>4589</v>
      </c>
      <c r="Z221" s="1873" t="s">
        <v>4590</v>
      </c>
      <c r="AA221" s="853" t="s">
        <v>4591</v>
      </c>
      <c r="AB221" s="1873" t="s">
        <v>4592</v>
      </c>
      <c r="AC221" s="853" t="s">
        <v>4593</v>
      </c>
      <c r="AD221" s="1873" t="s">
        <v>4594</v>
      </c>
      <c r="AE221" s="853" t="s">
        <v>4595</v>
      </c>
      <c r="AF221" s="1873" t="s">
        <v>4596</v>
      </c>
      <c r="AG221" s="853" t="s">
        <v>4597</v>
      </c>
      <c r="AH221" s="1873" t="s">
        <v>4598</v>
      </c>
      <c r="AI221" s="853" t="s">
        <v>4599</v>
      </c>
      <c r="AJ221" s="1873" t="s">
        <v>4600</v>
      </c>
      <c r="AK221" s="853" t="s">
        <v>4601</v>
      </c>
      <c r="AL221" s="1919" t="s">
        <v>4602</v>
      </c>
      <c r="AM221" s="1877" t="s">
        <v>4603</v>
      </c>
      <c r="AN221" s="1919" t="s">
        <v>4604</v>
      </c>
      <c r="AO221" s="1879" t="s">
        <v>4605</v>
      </c>
      <c r="AP221" s="1878" t="s">
        <v>4606</v>
      </c>
      <c r="AQ221" s="1877" t="s">
        <v>4934</v>
      </c>
      <c r="AR221" s="1920" t="s">
        <v>4935</v>
      </c>
      <c r="AS221" s="1864" t="e">
        <f t="shared" si="462"/>
        <v>#VALUE!</v>
      </c>
      <c r="CB221" s="3944" t="str">
        <f t="shared" si="463"/>
        <v xml:space="preserve"> * El Total de Exámenes reactivos NO DEBE SUPERAR los Exámenes Procesados. </v>
      </c>
      <c r="CC221" s="1865" t="e">
        <f t="shared" si="464"/>
        <v>#VALUE!</v>
      </c>
      <c r="CD221" s="1865" t="e">
        <f t="shared" si="465"/>
        <v>#VALUE!</v>
      </c>
      <c r="CE221" s="1865" t="str">
        <f t="shared" si="466"/>
        <v xml:space="preserve"> * La variable Pueblos originarios no puede ser mayor que el Total de Procesados.</v>
      </c>
      <c r="CF221" s="1865" t="str">
        <f t="shared" si="467"/>
        <v xml:space="preserve"> * La variable Migrantes no puede ser mayor que el Total de Procesados.</v>
      </c>
      <c r="CG221" s="1936"/>
      <c r="CH221" s="1937"/>
      <c r="CI221" s="1937"/>
      <c r="CJ221" s="1937"/>
      <c r="DG221" s="3906">
        <f t="shared" si="468"/>
        <v>1</v>
      </c>
      <c r="DH221" s="3906" t="e">
        <f t="shared" si="469"/>
        <v>#VALUE!</v>
      </c>
      <c r="DI221" s="3906" t="e">
        <f t="shared" si="470"/>
        <v>#VALUE!</v>
      </c>
      <c r="DJ221" s="3906">
        <f t="shared" si="471"/>
        <v>1</v>
      </c>
      <c r="DK221" s="3906">
        <f t="shared" si="472"/>
        <v>1</v>
      </c>
      <c r="DL221" s="1936"/>
      <c r="DM221" s="1936"/>
      <c r="DN221" s="1936"/>
      <c r="DO221" s="1936"/>
      <c r="DP221" s="1936"/>
    </row>
    <row r="222" spans="1:131" s="6" customFormat="1" ht="18" customHeight="1" x14ac:dyDescent="0.2">
      <c r="A222" s="5797"/>
      <c r="B222" s="3970" t="s">
        <v>1933</v>
      </c>
      <c r="C222" s="3970"/>
      <c r="D222" s="3970"/>
      <c r="E222" s="3970"/>
      <c r="F222" s="3970"/>
      <c r="G222" s="3970"/>
      <c r="H222" s="3970"/>
      <c r="I222" s="3970"/>
      <c r="J222" s="3970"/>
      <c r="K222" s="3970"/>
      <c r="L222" s="3970"/>
      <c r="M222" s="3970"/>
      <c r="N222" s="3970"/>
      <c r="O222" s="3970"/>
      <c r="P222" s="3970"/>
      <c r="Q222" s="3970"/>
      <c r="R222" s="3970"/>
      <c r="S222" s="3970"/>
      <c r="T222" s="3970"/>
      <c r="U222" s="3970"/>
      <c r="V222" s="3970"/>
      <c r="W222" s="3970"/>
      <c r="X222" s="3970"/>
      <c r="Y222" s="3970"/>
      <c r="Z222" s="3970"/>
      <c r="AA222" s="3970"/>
      <c r="AB222" s="3970"/>
      <c r="AC222" s="3970"/>
      <c r="AD222" s="3970"/>
      <c r="AE222" s="3970"/>
      <c r="AF222" s="3970"/>
      <c r="AG222" s="3970"/>
      <c r="AH222" s="3970"/>
      <c r="AI222" s="3970"/>
      <c r="AJ222" s="3970"/>
      <c r="AK222" s="3970"/>
      <c r="AL222" s="3970"/>
      <c r="AM222" s="3970"/>
      <c r="AN222" s="3970"/>
      <c r="AO222" s="99"/>
      <c r="AP222" s="99"/>
      <c r="AQ222" s="99"/>
      <c r="AR222" s="99"/>
    </row>
    <row r="223" spans="1:131" x14ac:dyDescent="0.25">
      <c r="A223" s="5797"/>
      <c r="B223" s="7151" t="s">
        <v>1892</v>
      </c>
      <c r="C223" s="7154" t="s">
        <v>77</v>
      </c>
      <c r="D223" s="7154"/>
      <c r="E223" s="7154" t="s">
        <v>29</v>
      </c>
      <c r="F223" s="7154"/>
      <c r="G223" s="7154"/>
      <c r="H223" s="7154"/>
      <c r="I223" s="7154"/>
      <c r="J223" s="7154"/>
      <c r="K223" s="7154"/>
      <c r="L223" s="7154"/>
      <c r="M223" s="7154"/>
      <c r="N223" s="7154"/>
      <c r="O223" s="7154"/>
      <c r="P223" s="7154"/>
      <c r="Q223" s="7154"/>
      <c r="R223" s="7154"/>
      <c r="S223" s="7154"/>
      <c r="T223" s="7154"/>
      <c r="U223" s="7154"/>
      <c r="V223" s="7154"/>
      <c r="W223" s="7154"/>
      <c r="X223" s="7154"/>
      <c r="Y223" s="7154"/>
      <c r="Z223" s="7154"/>
      <c r="AA223" s="7154"/>
      <c r="AB223" s="7154"/>
      <c r="AC223" s="7154"/>
      <c r="AD223" s="7154"/>
      <c r="AE223" s="7154"/>
      <c r="AF223" s="7154"/>
      <c r="AG223" s="7154"/>
      <c r="AH223" s="7154"/>
      <c r="AI223" s="7154"/>
      <c r="AJ223" s="7154"/>
      <c r="AK223" s="7154"/>
      <c r="AL223" s="7155"/>
      <c r="AM223" s="7139" t="s">
        <v>1861</v>
      </c>
      <c r="AN223" s="7156"/>
      <c r="AO223" s="7157" t="s">
        <v>457</v>
      </c>
      <c r="AP223" s="7111"/>
      <c r="AQ223" s="7139" t="s">
        <v>36</v>
      </c>
      <c r="AR223" s="7158" t="s">
        <v>37</v>
      </c>
    </row>
    <row r="224" spans="1:131" x14ac:dyDescent="0.25">
      <c r="A224" s="5797"/>
      <c r="B224" s="7152"/>
      <c r="C224" s="7154"/>
      <c r="D224" s="7154"/>
      <c r="E224" s="7154" t="s">
        <v>343</v>
      </c>
      <c r="F224" s="7154"/>
      <c r="G224" s="7154" t="s">
        <v>326</v>
      </c>
      <c r="H224" s="7154"/>
      <c r="I224" s="7154" t="s">
        <v>94</v>
      </c>
      <c r="J224" s="7154"/>
      <c r="K224" s="7154" t="s">
        <v>44</v>
      </c>
      <c r="L224" s="7154"/>
      <c r="M224" s="7154" t="s">
        <v>45</v>
      </c>
      <c r="N224" s="7154"/>
      <c r="O224" s="7154" t="s">
        <v>46</v>
      </c>
      <c r="P224" s="7154"/>
      <c r="Q224" s="7154" t="s">
        <v>47</v>
      </c>
      <c r="R224" s="7154"/>
      <c r="S224" s="7154" t="s">
        <v>48</v>
      </c>
      <c r="T224" s="7154"/>
      <c r="U224" s="7154" t="s">
        <v>49</v>
      </c>
      <c r="V224" s="7154"/>
      <c r="W224" s="7154" t="s">
        <v>50</v>
      </c>
      <c r="X224" s="7154"/>
      <c r="Y224" s="7154" t="s">
        <v>51</v>
      </c>
      <c r="Z224" s="7154"/>
      <c r="AA224" s="7154" t="s">
        <v>52</v>
      </c>
      <c r="AB224" s="7154"/>
      <c r="AC224" s="7154" t="s">
        <v>53</v>
      </c>
      <c r="AD224" s="7154"/>
      <c r="AE224" s="7154" t="s">
        <v>54</v>
      </c>
      <c r="AF224" s="7154"/>
      <c r="AG224" s="7154" t="s">
        <v>55</v>
      </c>
      <c r="AH224" s="7154"/>
      <c r="AI224" s="7154" t="s">
        <v>56</v>
      </c>
      <c r="AJ224" s="7154"/>
      <c r="AK224" s="7154" t="s">
        <v>57</v>
      </c>
      <c r="AL224" s="7155"/>
      <c r="AM224" s="7159" t="s">
        <v>58</v>
      </c>
      <c r="AN224" s="7137" t="s">
        <v>59</v>
      </c>
      <c r="AO224" s="7160" t="s">
        <v>462</v>
      </c>
      <c r="AP224" s="6552" t="s">
        <v>463</v>
      </c>
      <c r="AQ224" s="7139"/>
      <c r="AR224" s="7158"/>
    </row>
    <row r="225" spans="1:133" x14ac:dyDescent="0.25">
      <c r="A225" s="5797"/>
      <c r="B225" s="7153"/>
      <c r="C225" s="3965" t="s">
        <v>1864</v>
      </c>
      <c r="D225" s="2922" t="s">
        <v>1865</v>
      </c>
      <c r="E225" s="3966" t="s">
        <v>1864</v>
      </c>
      <c r="F225" s="3937" t="s">
        <v>1865</v>
      </c>
      <c r="G225" s="3966" t="s">
        <v>1864</v>
      </c>
      <c r="H225" s="3937" t="s">
        <v>1865</v>
      </c>
      <c r="I225" s="3966" t="s">
        <v>1864</v>
      </c>
      <c r="J225" s="3937" t="s">
        <v>1865</v>
      </c>
      <c r="K225" s="3966" t="s">
        <v>1864</v>
      </c>
      <c r="L225" s="3937" t="s">
        <v>1865</v>
      </c>
      <c r="M225" s="3966" t="s">
        <v>1864</v>
      </c>
      <c r="N225" s="3937" t="s">
        <v>1865</v>
      </c>
      <c r="O225" s="3966" t="s">
        <v>1864</v>
      </c>
      <c r="P225" s="3937" t="s">
        <v>1865</v>
      </c>
      <c r="Q225" s="3966" t="s">
        <v>1864</v>
      </c>
      <c r="R225" s="3937" t="s">
        <v>1865</v>
      </c>
      <c r="S225" s="3966" t="s">
        <v>1864</v>
      </c>
      <c r="T225" s="3937" t="s">
        <v>1865</v>
      </c>
      <c r="U225" s="3966" t="s">
        <v>1864</v>
      </c>
      <c r="V225" s="3937" t="s">
        <v>1865</v>
      </c>
      <c r="W225" s="3966" t="s">
        <v>1864</v>
      </c>
      <c r="X225" s="3937" t="s">
        <v>1865</v>
      </c>
      <c r="Y225" s="3966" t="s">
        <v>1864</v>
      </c>
      <c r="Z225" s="3937" t="s">
        <v>1865</v>
      </c>
      <c r="AA225" s="3966" t="s">
        <v>1864</v>
      </c>
      <c r="AB225" s="3937" t="s">
        <v>1865</v>
      </c>
      <c r="AC225" s="3966" t="s">
        <v>1864</v>
      </c>
      <c r="AD225" s="3937" t="s">
        <v>1865</v>
      </c>
      <c r="AE225" s="3966" t="s">
        <v>1864</v>
      </c>
      <c r="AF225" s="3937" t="s">
        <v>1865</v>
      </c>
      <c r="AG225" s="3966" t="s">
        <v>1864</v>
      </c>
      <c r="AH225" s="3937" t="s">
        <v>1865</v>
      </c>
      <c r="AI225" s="3966" t="s">
        <v>1864</v>
      </c>
      <c r="AJ225" s="3937" t="s">
        <v>1865</v>
      </c>
      <c r="AK225" s="3966" t="s">
        <v>1864</v>
      </c>
      <c r="AL225" s="3938" t="s">
        <v>1865</v>
      </c>
      <c r="AM225" s="7159"/>
      <c r="AN225" s="7137"/>
      <c r="AO225" s="6035"/>
      <c r="AP225" s="6759"/>
      <c r="AQ225" s="7139"/>
      <c r="AR225" s="7158"/>
    </row>
    <row r="226" spans="1:133" x14ac:dyDescent="0.25">
      <c r="A226" s="5601">
        <v>11056479</v>
      </c>
      <c r="B226" s="3967" t="s">
        <v>453</v>
      </c>
      <c r="C226" s="3225" t="s">
        <v>4567</v>
      </c>
      <c r="D226" s="3900" t="s">
        <v>4568</v>
      </c>
      <c r="E226" s="3901" t="s">
        <v>4569</v>
      </c>
      <c r="F226" s="3915" t="s">
        <v>4570</v>
      </c>
      <c r="G226" s="3914" t="s">
        <v>4571</v>
      </c>
      <c r="H226" s="3915" t="s">
        <v>4572</v>
      </c>
      <c r="I226" s="3913" t="s">
        <v>4573</v>
      </c>
      <c r="J226" s="3912" t="s">
        <v>4574</v>
      </c>
      <c r="K226" s="3913" t="s">
        <v>4575</v>
      </c>
      <c r="L226" s="3912" t="s">
        <v>4576</v>
      </c>
      <c r="M226" s="3913" t="s">
        <v>4577</v>
      </c>
      <c r="N226" s="3912" t="s">
        <v>4578</v>
      </c>
      <c r="O226" s="3913" t="s">
        <v>4579</v>
      </c>
      <c r="P226" s="3912" t="s">
        <v>4580</v>
      </c>
      <c r="Q226" s="3913" t="s">
        <v>4581</v>
      </c>
      <c r="R226" s="3912" t="s">
        <v>4582</v>
      </c>
      <c r="S226" s="3913" t="s">
        <v>4583</v>
      </c>
      <c r="T226" s="3912" t="s">
        <v>4584</v>
      </c>
      <c r="U226" s="3913" t="s">
        <v>4585</v>
      </c>
      <c r="V226" s="3912" t="s">
        <v>4586</v>
      </c>
      <c r="W226" s="3913" t="s">
        <v>4587</v>
      </c>
      <c r="X226" s="3912" t="s">
        <v>4588</v>
      </c>
      <c r="Y226" s="3913" t="s">
        <v>4589</v>
      </c>
      <c r="Z226" s="3912" t="s">
        <v>4590</v>
      </c>
      <c r="AA226" s="3914" t="s">
        <v>4591</v>
      </c>
      <c r="AB226" s="3915" t="s">
        <v>4592</v>
      </c>
      <c r="AC226" s="3914" t="s">
        <v>4593</v>
      </c>
      <c r="AD226" s="3915" t="s">
        <v>4594</v>
      </c>
      <c r="AE226" s="3914" t="s">
        <v>4595</v>
      </c>
      <c r="AF226" s="3915" t="s">
        <v>4596</v>
      </c>
      <c r="AG226" s="3914" t="s">
        <v>4597</v>
      </c>
      <c r="AH226" s="3915" t="s">
        <v>4598</v>
      </c>
      <c r="AI226" s="3914" t="s">
        <v>4599</v>
      </c>
      <c r="AJ226" s="3915" t="s">
        <v>4600</v>
      </c>
      <c r="AK226" s="3914" t="s">
        <v>4601</v>
      </c>
      <c r="AL226" s="3916" t="s">
        <v>4602</v>
      </c>
      <c r="AM226" s="3901" t="s">
        <v>4603</v>
      </c>
      <c r="AN226" s="869" t="s">
        <v>4604</v>
      </c>
      <c r="AO226" s="3044" t="s">
        <v>4605</v>
      </c>
      <c r="AP226" s="3943" t="s">
        <v>4606</v>
      </c>
      <c r="AQ226" s="3904" t="s">
        <v>4934</v>
      </c>
      <c r="AR226" s="3968" t="s">
        <v>4935</v>
      </c>
      <c r="AS226" s="1864" t="e">
        <f>$CB226&amp;CC226&amp;CD226&amp;CE226&amp;CF226&amp;CH226&amp;CG226</f>
        <v>#VALUE!</v>
      </c>
      <c r="CB226" s="3944" t="str">
        <f>IF(D226&gt;C226," * El Total de Exámenes reactivos NO DEBE SUPERAR los Exámenes Procesados. ","")</f>
        <v xml:space="preserve"> * El Total de Exámenes reactivos NO DEBE SUPERAR los Exámenes Procesados. </v>
      </c>
      <c r="CC226" s="1865" t="e">
        <f>IF(AND(C226&gt;0,AND(AM226+AN226=""))," * No olvide digitar la variable POR SEXO (Procesados). Digite cero si no tiene.",IF(C226&lt;&gt;(AM226+AN226)," * La suma de las variables POR SEXO (Procesados) debe ser igual al Total de procesados.",""))</f>
        <v>#VALUE!</v>
      </c>
      <c r="CD226" s="1865" t="e">
        <f>IF(AND(C226&gt;0,AND(AO226="",AP226=""))," * No olvide digitar la variable Trans (Masculino o Femenino). Digite cero si no tiene.",IF((AO226+AP226)&gt;C226," *  La suma de exámenes a Trans (Masculino + Femenino) no puede ser mayor que el Total de Procesados .",""))</f>
        <v>#VALUE!</v>
      </c>
      <c r="CE226" s="1865" t="str">
        <f>IF(AND(C226&gt;0,AQ226="")," * No olvide digitar la variable Pueblos originarios. Digite cero si no tiene.",IF(AQ226&gt;C226," * La variable Pueblos originarios no puede ser mayor que el Total de Procesados.",""))</f>
        <v xml:space="preserve"> * La variable Pueblos originarios no puede ser mayor que el Total de Procesados.</v>
      </c>
      <c r="CF226" s="1865" t="str">
        <f>IF(AND(C226&gt;0,AR226="")," * No olvide digitar la variable Migrantes. Digite cero si no tiene.",IF(AR226&gt;C226," * La variable Migrantes no puede ser mayor que el Total de Procesados.",""))</f>
        <v xml:space="preserve"> * La variable Migrantes no puede ser mayor que el Total de Procesados.</v>
      </c>
      <c r="CG226" s="1936"/>
      <c r="CH226" s="1937"/>
      <c r="CI226" s="1937"/>
      <c r="CJ226" s="1937"/>
      <c r="CK226" s="1937"/>
      <c r="DG226" s="3906">
        <f>IF(D226&gt;C226,1,0)</f>
        <v>1</v>
      </c>
      <c r="DH226" s="3906" t="e">
        <f>IF(AND(C226&gt;0,AND(AM226+AN226="")),1,IF(C226&lt;&gt;(AM226+AN226),1,0))</f>
        <v>#VALUE!</v>
      </c>
      <c r="DI226" s="3906" t="e">
        <f>IF(AND(C226&gt;0,AND(AO226="",AP226="")),1,IF((AO226+AP226)&gt;C226,1,0))</f>
        <v>#VALUE!</v>
      </c>
      <c r="DJ226" s="3906">
        <f>IF(AND(C226&gt;0,AQ226=""),1,IF(AQ226&gt;C226,1,0))</f>
        <v>1</v>
      </c>
      <c r="DK226" s="3906">
        <f>IF(AND(C226&gt;0,AR226=""),1,IF(AR226&gt;C226,1,0))</f>
        <v>1</v>
      </c>
      <c r="DL226" s="1936"/>
    </row>
    <row r="227" spans="1:133" x14ac:dyDescent="0.25">
      <c r="A227" s="5601">
        <v>11056480</v>
      </c>
      <c r="B227" s="3967" t="s">
        <v>1929</v>
      </c>
      <c r="C227" s="3908" t="s">
        <v>4567</v>
      </c>
      <c r="D227" s="344" t="s">
        <v>4568</v>
      </c>
      <c r="E227" s="3901" t="s">
        <v>4569</v>
      </c>
      <c r="F227" s="3915" t="s">
        <v>4570</v>
      </c>
      <c r="G227" s="3914" t="s">
        <v>4571</v>
      </c>
      <c r="H227" s="3915" t="s">
        <v>4572</v>
      </c>
      <c r="I227" s="3914" t="s">
        <v>4573</v>
      </c>
      <c r="J227" s="3915" t="s">
        <v>4574</v>
      </c>
      <c r="K227" s="3913" t="s">
        <v>4575</v>
      </c>
      <c r="L227" s="3912" t="s">
        <v>4576</v>
      </c>
      <c r="M227" s="3913" t="s">
        <v>4577</v>
      </c>
      <c r="N227" s="3912" t="s">
        <v>4578</v>
      </c>
      <c r="O227" s="3913" t="s">
        <v>4579</v>
      </c>
      <c r="P227" s="3912" t="s">
        <v>4580</v>
      </c>
      <c r="Q227" s="3913" t="s">
        <v>4581</v>
      </c>
      <c r="R227" s="3912" t="s">
        <v>4582</v>
      </c>
      <c r="S227" s="3913" t="s">
        <v>4583</v>
      </c>
      <c r="T227" s="3912" t="s">
        <v>4584</v>
      </c>
      <c r="U227" s="3913" t="s">
        <v>4585</v>
      </c>
      <c r="V227" s="3912" t="s">
        <v>4586</v>
      </c>
      <c r="W227" s="3913" t="s">
        <v>4587</v>
      </c>
      <c r="X227" s="3912" t="s">
        <v>4588</v>
      </c>
      <c r="Y227" s="3913" t="s">
        <v>4589</v>
      </c>
      <c r="Z227" s="3912" t="s">
        <v>4590</v>
      </c>
      <c r="AA227" s="3913" t="s">
        <v>4591</v>
      </c>
      <c r="AB227" s="3912" t="s">
        <v>4592</v>
      </c>
      <c r="AC227" s="3913" t="s">
        <v>4593</v>
      </c>
      <c r="AD227" s="3912" t="s">
        <v>4594</v>
      </c>
      <c r="AE227" s="3913" t="s">
        <v>4595</v>
      </c>
      <c r="AF227" s="3912" t="s">
        <v>4596</v>
      </c>
      <c r="AG227" s="3913" t="s">
        <v>4597</v>
      </c>
      <c r="AH227" s="3912" t="s">
        <v>4598</v>
      </c>
      <c r="AI227" s="3913" t="s">
        <v>4599</v>
      </c>
      <c r="AJ227" s="3912" t="s">
        <v>4600</v>
      </c>
      <c r="AK227" s="3913" t="s">
        <v>4601</v>
      </c>
      <c r="AL227" s="3902" t="s">
        <v>4602</v>
      </c>
      <c r="AM227" s="3904" t="s">
        <v>4603</v>
      </c>
      <c r="AN227" s="3902" t="s">
        <v>4604</v>
      </c>
      <c r="AO227" s="3903" t="s">
        <v>4605</v>
      </c>
      <c r="AP227" s="3943" t="s">
        <v>4606</v>
      </c>
      <c r="AQ227" s="3904" t="s">
        <v>4934</v>
      </c>
      <c r="AR227" s="3968" t="s">
        <v>4935</v>
      </c>
      <c r="AS227" s="1864" t="e">
        <f t="shared" ref="AS227:AS232" si="473">$CB227&amp;CC227&amp;CD227&amp;CE227&amp;CF227&amp;CH227&amp;CG227</f>
        <v>#VALUE!</v>
      </c>
      <c r="CB227" s="3944" t="str">
        <f t="shared" ref="CB227:CB232" si="474">IF(D227&gt;C227," * El Total de Exámenes reactivos NO DEBE SUPERAR los Exámenes Procesados. ","")</f>
        <v xml:space="preserve"> * El Total de Exámenes reactivos NO DEBE SUPERAR los Exámenes Procesados. </v>
      </c>
      <c r="CC227" s="1865" t="e">
        <f t="shared" ref="CC227:CC232" si="475">IF(AND(C227&gt;0,AND(AM227+AN227=""))," * No olvide digitar la variable POR SEXO (Procesados). Digite cero si no tiene.",IF(C227&lt;&gt;(AM227+AN227)," * La suma de las variables POR SEXO (Procesados) debe ser igual al Total de procesados.",""))</f>
        <v>#VALUE!</v>
      </c>
      <c r="CD227" s="1865" t="e">
        <f t="shared" ref="CD227:CD232" si="476">IF(AND(C227&gt;0,AND(AO227="",AP227=""))," * No olvide digitar la variable Trans (Masculino o Femenino). Digite cero si no tiene.",IF((AO227+AP227)&gt;C227," *  La suma de exámenes a Trans (Masculino + Femenino) no puede ser mayor que el Total de Procesados .",""))</f>
        <v>#VALUE!</v>
      </c>
      <c r="CE227" s="1865" t="str">
        <f t="shared" ref="CE227:CE232" si="477">IF(AND(C227&gt;0,AQ227="")," * No olvide digitar la variable Pueblos originarios. Digite cero si no tiene.",IF(AQ227&gt;C227," * La variable Pueblos originarios no puede ser mayor que el Total de Procesados.",""))</f>
        <v xml:space="preserve"> * La variable Pueblos originarios no puede ser mayor que el Total de Procesados.</v>
      </c>
      <c r="CF227" s="1865" t="str">
        <f t="shared" ref="CF227:CF232" si="478">IF(AND(C227&gt;0,AR227="")," * No olvide digitar la variable Migrantes. Digite cero si no tiene.",IF(AR227&gt;C227," * La variable Migrantes no puede ser mayor que el Total de Procesados.",""))</f>
        <v xml:space="preserve"> * La variable Migrantes no puede ser mayor que el Total de Procesados.</v>
      </c>
      <c r="CG227" s="1936"/>
      <c r="CH227" s="1937"/>
      <c r="DG227" s="3906">
        <f t="shared" ref="DG227:DG232" si="479">IF(D227&gt;C227,1,0)</f>
        <v>1</v>
      </c>
      <c r="DH227" s="3906" t="e">
        <f t="shared" ref="DH227:DH232" si="480">IF(AND(C227&gt;0,AND(AM227+AN227="")),1,IF(C227&lt;&gt;(AM227+AN227),1,0))</f>
        <v>#VALUE!</v>
      </c>
      <c r="DI227" s="3906" t="e">
        <f t="shared" ref="DI227:DI232" si="481">IF(AND(C227&gt;0,AND(AO227="",AP227="")),1,IF((AO227+AP227)&gt;C227,1,0))</f>
        <v>#VALUE!</v>
      </c>
      <c r="DJ227" s="3906">
        <f t="shared" ref="DJ227:DJ232" si="482">IF(AND(C227&gt;0,AQ227=""),1,IF(AQ227&gt;C227,1,0))</f>
        <v>1</v>
      </c>
      <c r="DK227" s="3906">
        <f t="shared" ref="DK227:DK232" si="483">IF(AND(C227&gt;0,AR227=""),1,IF(AR227&gt;C227,1,0))</f>
        <v>1</v>
      </c>
      <c r="DL227" s="1936"/>
    </row>
    <row r="228" spans="1:133" x14ac:dyDescent="0.25">
      <c r="A228" s="5601">
        <v>11056481</v>
      </c>
      <c r="B228" s="3967" t="s">
        <v>1930</v>
      </c>
      <c r="C228" s="3908" t="s">
        <v>4567</v>
      </c>
      <c r="D228" s="344" t="s">
        <v>4568</v>
      </c>
      <c r="E228" s="3904" t="s">
        <v>4569</v>
      </c>
      <c r="F228" s="3912" t="s">
        <v>4570</v>
      </c>
      <c r="G228" s="3913" t="s">
        <v>4571</v>
      </c>
      <c r="H228" s="3912" t="s">
        <v>4572</v>
      </c>
      <c r="I228" s="3913" t="s">
        <v>4573</v>
      </c>
      <c r="J228" s="3912" t="s">
        <v>4574</v>
      </c>
      <c r="K228" s="3913" t="s">
        <v>4575</v>
      </c>
      <c r="L228" s="3912" t="s">
        <v>4576</v>
      </c>
      <c r="M228" s="3913" t="s">
        <v>4577</v>
      </c>
      <c r="N228" s="3912" t="s">
        <v>4578</v>
      </c>
      <c r="O228" s="3913" t="s">
        <v>4579</v>
      </c>
      <c r="P228" s="3912" t="s">
        <v>4580</v>
      </c>
      <c r="Q228" s="3913" t="s">
        <v>4581</v>
      </c>
      <c r="R228" s="3912" t="s">
        <v>4582</v>
      </c>
      <c r="S228" s="3913" t="s">
        <v>4583</v>
      </c>
      <c r="T228" s="3912" t="s">
        <v>4584</v>
      </c>
      <c r="U228" s="3913" t="s">
        <v>4585</v>
      </c>
      <c r="V228" s="3912" t="s">
        <v>4586</v>
      </c>
      <c r="W228" s="3913" t="s">
        <v>4587</v>
      </c>
      <c r="X228" s="3912" t="s">
        <v>4588</v>
      </c>
      <c r="Y228" s="3913" t="s">
        <v>4589</v>
      </c>
      <c r="Z228" s="3912" t="s">
        <v>4590</v>
      </c>
      <c r="AA228" s="3913" t="s">
        <v>4591</v>
      </c>
      <c r="AB228" s="3912" t="s">
        <v>4592</v>
      </c>
      <c r="AC228" s="3913" t="s">
        <v>4593</v>
      </c>
      <c r="AD228" s="3912" t="s">
        <v>4594</v>
      </c>
      <c r="AE228" s="3913" t="s">
        <v>4595</v>
      </c>
      <c r="AF228" s="3912" t="s">
        <v>4596</v>
      </c>
      <c r="AG228" s="3913" t="s">
        <v>4597</v>
      </c>
      <c r="AH228" s="3912" t="s">
        <v>4598</v>
      </c>
      <c r="AI228" s="3913" t="s">
        <v>4599</v>
      </c>
      <c r="AJ228" s="3912" t="s">
        <v>4600</v>
      </c>
      <c r="AK228" s="3913" t="s">
        <v>4601</v>
      </c>
      <c r="AL228" s="3902" t="s">
        <v>4602</v>
      </c>
      <c r="AM228" s="3904" t="s">
        <v>4603</v>
      </c>
      <c r="AN228" s="3902" t="s">
        <v>4604</v>
      </c>
      <c r="AO228" s="3903" t="s">
        <v>4605</v>
      </c>
      <c r="AP228" s="3943" t="s">
        <v>4606</v>
      </c>
      <c r="AQ228" s="3904" t="s">
        <v>4934</v>
      </c>
      <c r="AR228" s="3968" t="s">
        <v>4935</v>
      </c>
      <c r="AS228" s="1864" t="e">
        <f t="shared" si="473"/>
        <v>#VALUE!</v>
      </c>
      <c r="CB228" s="3944" t="str">
        <f t="shared" si="474"/>
        <v xml:space="preserve"> * El Total de Exámenes reactivos NO DEBE SUPERAR los Exámenes Procesados. </v>
      </c>
      <c r="CC228" s="1865" t="e">
        <f t="shared" si="475"/>
        <v>#VALUE!</v>
      </c>
      <c r="CD228" s="1865" t="e">
        <f t="shared" si="476"/>
        <v>#VALUE!</v>
      </c>
      <c r="CE228" s="1865" t="str">
        <f t="shared" si="477"/>
        <v xml:space="preserve"> * La variable Pueblos originarios no puede ser mayor que el Total de Procesados.</v>
      </c>
      <c r="CF228" s="1865" t="str">
        <f t="shared" si="478"/>
        <v xml:space="preserve"> * La variable Migrantes no puede ser mayor que el Total de Procesados.</v>
      </c>
      <c r="CG228" s="1936"/>
      <c r="CH228" s="1937"/>
      <c r="DG228" s="3906">
        <f t="shared" si="479"/>
        <v>1</v>
      </c>
      <c r="DH228" s="3906" t="e">
        <f t="shared" si="480"/>
        <v>#VALUE!</v>
      </c>
      <c r="DI228" s="3906" t="e">
        <f t="shared" si="481"/>
        <v>#VALUE!</v>
      </c>
      <c r="DJ228" s="3906">
        <f t="shared" si="482"/>
        <v>1</v>
      </c>
      <c r="DK228" s="3906">
        <f t="shared" si="483"/>
        <v>1</v>
      </c>
      <c r="DL228" s="1936"/>
    </row>
    <row r="229" spans="1:133" x14ac:dyDescent="0.25">
      <c r="A229" s="5601">
        <v>11056482</v>
      </c>
      <c r="B229" s="3967" t="s">
        <v>1931</v>
      </c>
      <c r="C229" s="3908" t="s">
        <v>4567</v>
      </c>
      <c r="D229" s="344" t="s">
        <v>4568</v>
      </c>
      <c r="E229" s="3904" t="s">
        <v>4569</v>
      </c>
      <c r="F229" s="3912" t="s">
        <v>4570</v>
      </c>
      <c r="G229" s="3913" t="s">
        <v>4571</v>
      </c>
      <c r="H229" s="3912" t="s">
        <v>4572</v>
      </c>
      <c r="I229" s="3913" t="s">
        <v>4573</v>
      </c>
      <c r="J229" s="3912" t="s">
        <v>4574</v>
      </c>
      <c r="K229" s="3913" t="s">
        <v>4575</v>
      </c>
      <c r="L229" s="3912" t="s">
        <v>4576</v>
      </c>
      <c r="M229" s="3913" t="s">
        <v>4577</v>
      </c>
      <c r="N229" s="3912" t="s">
        <v>4578</v>
      </c>
      <c r="O229" s="3913" t="s">
        <v>4579</v>
      </c>
      <c r="P229" s="3912" t="s">
        <v>4580</v>
      </c>
      <c r="Q229" s="3913" t="s">
        <v>4581</v>
      </c>
      <c r="R229" s="3912" t="s">
        <v>4582</v>
      </c>
      <c r="S229" s="3913" t="s">
        <v>4583</v>
      </c>
      <c r="T229" s="3912" t="s">
        <v>4584</v>
      </c>
      <c r="U229" s="3913" t="s">
        <v>4585</v>
      </c>
      <c r="V229" s="3912" t="s">
        <v>4586</v>
      </c>
      <c r="W229" s="3913" t="s">
        <v>4587</v>
      </c>
      <c r="X229" s="3912" t="s">
        <v>4588</v>
      </c>
      <c r="Y229" s="3913" t="s">
        <v>4589</v>
      </c>
      <c r="Z229" s="3912" t="s">
        <v>4590</v>
      </c>
      <c r="AA229" s="3913" t="s">
        <v>4591</v>
      </c>
      <c r="AB229" s="3912" t="s">
        <v>4592</v>
      </c>
      <c r="AC229" s="3913" t="s">
        <v>4593</v>
      </c>
      <c r="AD229" s="3912" t="s">
        <v>4594</v>
      </c>
      <c r="AE229" s="3913" t="s">
        <v>4595</v>
      </c>
      <c r="AF229" s="3912" t="s">
        <v>4596</v>
      </c>
      <c r="AG229" s="3913" t="s">
        <v>4597</v>
      </c>
      <c r="AH229" s="3912" t="s">
        <v>4598</v>
      </c>
      <c r="AI229" s="3913" t="s">
        <v>4599</v>
      </c>
      <c r="AJ229" s="3912" t="s">
        <v>4600</v>
      </c>
      <c r="AK229" s="3913" t="s">
        <v>4601</v>
      </c>
      <c r="AL229" s="3902" t="s">
        <v>4602</v>
      </c>
      <c r="AM229" s="3904" t="s">
        <v>4603</v>
      </c>
      <c r="AN229" s="3902" t="s">
        <v>4604</v>
      </c>
      <c r="AO229" s="3903" t="s">
        <v>4605</v>
      </c>
      <c r="AP229" s="3943" t="s">
        <v>4606</v>
      </c>
      <c r="AQ229" s="3904" t="s">
        <v>4934</v>
      </c>
      <c r="AR229" s="3968" t="s">
        <v>4935</v>
      </c>
      <c r="AS229" s="1864" t="e">
        <f t="shared" si="473"/>
        <v>#VALUE!</v>
      </c>
      <c r="CB229" s="3944" t="str">
        <f t="shared" si="474"/>
        <v xml:space="preserve"> * El Total de Exámenes reactivos NO DEBE SUPERAR los Exámenes Procesados. </v>
      </c>
      <c r="CC229" s="1865" t="e">
        <f t="shared" si="475"/>
        <v>#VALUE!</v>
      </c>
      <c r="CD229" s="1865" t="e">
        <f t="shared" si="476"/>
        <v>#VALUE!</v>
      </c>
      <c r="CE229" s="1865" t="str">
        <f t="shared" si="477"/>
        <v xml:space="preserve"> * La variable Pueblos originarios no puede ser mayor que el Total de Procesados.</v>
      </c>
      <c r="CF229" s="1865" t="str">
        <f t="shared" si="478"/>
        <v xml:space="preserve"> * La variable Migrantes no puede ser mayor que el Total de Procesados.</v>
      </c>
      <c r="CG229" s="1936"/>
      <c r="CH229" s="1937"/>
      <c r="DG229" s="3906">
        <f t="shared" si="479"/>
        <v>1</v>
      </c>
      <c r="DH229" s="3906" t="e">
        <f t="shared" si="480"/>
        <v>#VALUE!</v>
      </c>
      <c r="DI229" s="3906" t="e">
        <f t="shared" si="481"/>
        <v>#VALUE!</v>
      </c>
      <c r="DJ229" s="3906">
        <f t="shared" si="482"/>
        <v>1</v>
      </c>
      <c r="DK229" s="3906">
        <f t="shared" si="483"/>
        <v>1</v>
      </c>
      <c r="DL229" s="1936"/>
    </row>
    <row r="230" spans="1:133" x14ac:dyDescent="0.25">
      <c r="A230" s="5601">
        <v>11056483</v>
      </c>
      <c r="B230" s="3969" t="s">
        <v>1934</v>
      </c>
      <c r="C230" s="3908" t="s">
        <v>4567</v>
      </c>
      <c r="D230" s="344" t="s">
        <v>4568</v>
      </c>
      <c r="E230" s="3904" t="s">
        <v>4569</v>
      </c>
      <c r="F230" s="3912" t="s">
        <v>4570</v>
      </c>
      <c r="G230" s="3913" t="s">
        <v>4571</v>
      </c>
      <c r="H230" s="3912" t="s">
        <v>4572</v>
      </c>
      <c r="I230" s="3913" t="s">
        <v>4573</v>
      </c>
      <c r="J230" s="3912" t="s">
        <v>4574</v>
      </c>
      <c r="K230" s="3913" t="s">
        <v>4575</v>
      </c>
      <c r="L230" s="3912" t="s">
        <v>4576</v>
      </c>
      <c r="M230" s="3913" t="s">
        <v>4577</v>
      </c>
      <c r="N230" s="3912" t="s">
        <v>4578</v>
      </c>
      <c r="O230" s="3913" t="s">
        <v>4579</v>
      </c>
      <c r="P230" s="3912" t="s">
        <v>4580</v>
      </c>
      <c r="Q230" s="3913" t="s">
        <v>4581</v>
      </c>
      <c r="R230" s="3912" t="s">
        <v>4582</v>
      </c>
      <c r="S230" s="3913" t="s">
        <v>4583</v>
      </c>
      <c r="T230" s="3912" t="s">
        <v>4584</v>
      </c>
      <c r="U230" s="3913" t="s">
        <v>4585</v>
      </c>
      <c r="V230" s="3912" t="s">
        <v>4586</v>
      </c>
      <c r="W230" s="3913" t="s">
        <v>4587</v>
      </c>
      <c r="X230" s="3912" t="s">
        <v>4588</v>
      </c>
      <c r="Y230" s="3913" t="s">
        <v>4589</v>
      </c>
      <c r="Z230" s="3912" t="s">
        <v>4590</v>
      </c>
      <c r="AA230" s="3913" t="s">
        <v>4591</v>
      </c>
      <c r="AB230" s="3912" t="s">
        <v>4592</v>
      </c>
      <c r="AC230" s="3913" t="s">
        <v>4593</v>
      </c>
      <c r="AD230" s="3912" t="s">
        <v>4594</v>
      </c>
      <c r="AE230" s="3913" t="s">
        <v>4595</v>
      </c>
      <c r="AF230" s="3912" t="s">
        <v>4596</v>
      </c>
      <c r="AG230" s="3913" t="s">
        <v>4597</v>
      </c>
      <c r="AH230" s="3912" t="s">
        <v>4598</v>
      </c>
      <c r="AI230" s="3913" t="s">
        <v>4599</v>
      </c>
      <c r="AJ230" s="3912" t="s">
        <v>4600</v>
      </c>
      <c r="AK230" s="3913" t="s">
        <v>4601</v>
      </c>
      <c r="AL230" s="3902" t="s">
        <v>4602</v>
      </c>
      <c r="AM230" s="3904" t="s">
        <v>4603</v>
      </c>
      <c r="AN230" s="3902" t="s">
        <v>4604</v>
      </c>
      <c r="AO230" s="3903" t="s">
        <v>4605</v>
      </c>
      <c r="AP230" s="3943" t="s">
        <v>4606</v>
      </c>
      <c r="AQ230" s="3904" t="s">
        <v>4934</v>
      </c>
      <c r="AR230" s="3968" t="s">
        <v>4935</v>
      </c>
      <c r="AS230" s="1864" t="e">
        <f t="shared" si="473"/>
        <v>#VALUE!</v>
      </c>
      <c r="CB230" s="3944" t="str">
        <f t="shared" si="474"/>
        <v xml:space="preserve"> * El Total de Exámenes reactivos NO DEBE SUPERAR los Exámenes Procesados. </v>
      </c>
      <c r="CC230" s="1865" t="e">
        <f t="shared" si="475"/>
        <v>#VALUE!</v>
      </c>
      <c r="CD230" s="1865" t="e">
        <f t="shared" si="476"/>
        <v>#VALUE!</v>
      </c>
      <c r="CE230" s="1865" t="str">
        <f t="shared" si="477"/>
        <v xml:space="preserve"> * La variable Pueblos originarios no puede ser mayor que el Total de Procesados.</v>
      </c>
      <c r="CF230" s="1865" t="str">
        <f t="shared" si="478"/>
        <v xml:space="preserve"> * La variable Migrantes no puede ser mayor que el Total de Procesados.</v>
      </c>
      <c r="CG230" s="1936"/>
      <c r="CH230" s="1937"/>
      <c r="DG230" s="3906">
        <f t="shared" si="479"/>
        <v>1</v>
      </c>
      <c r="DH230" s="3906" t="e">
        <f t="shared" si="480"/>
        <v>#VALUE!</v>
      </c>
      <c r="DI230" s="3906" t="e">
        <f t="shared" si="481"/>
        <v>#VALUE!</v>
      </c>
      <c r="DJ230" s="3906">
        <f t="shared" si="482"/>
        <v>1</v>
      </c>
      <c r="DK230" s="3906">
        <f t="shared" si="483"/>
        <v>1</v>
      </c>
      <c r="DL230" s="1936"/>
    </row>
    <row r="231" spans="1:133" x14ac:dyDescent="0.25">
      <c r="A231" s="5601">
        <v>11056484</v>
      </c>
      <c r="B231" s="3967" t="s">
        <v>1883</v>
      </c>
      <c r="C231" s="3908" t="s">
        <v>4567</v>
      </c>
      <c r="D231" s="344" t="s">
        <v>4568</v>
      </c>
      <c r="E231" s="3904" t="s">
        <v>4569</v>
      </c>
      <c r="F231" s="3912" t="s">
        <v>4570</v>
      </c>
      <c r="G231" s="3913" t="s">
        <v>4571</v>
      </c>
      <c r="H231" s="3912" t="s">
        <v>4572</v>
      </c>
      <c r="I231" s="3913" t="s">
        <v>4573</v>
      </c>
      <c r="J231" s="3912" t="s">
        <v>4574</v>
      </c>
      <c r="K231" s="3913" t="s">
        <v>4575</v>
      </c>
      <c r="L231" s="3912" t="s">
        <v>4576</v>
      </c>
      <c r="M231" s="3913" t="s">
        <v>4577</v>
      </c>
      <c r="N231" s="3912" t="s">
        <v>4578</v>
      </c>
      <c r="O231" s="3913" t="s">
        <v>4579</v>
      </c>
      <c r="P231" s="3912" t="s">
        <v>4580</v>
      </c>
      <c r="Q231" s="3913" t="s">
        <v>4581</v>
      </c>
      <c r="R231" s="3912" t="s">
        <v>4582</v>
      </c>
      <c r="S231" s="3913" t="s">
        <v>4583</v>
      </c>
      <c r="T231" s="3912" t="s">
        <v>4584</v>
      </c>
      <c r="U231" s="3913" t="s">
        <v>4585</v>
      </c>
      <c r="V231" s="3912" t="s">
        <v>4586</v>
      </c>
      <c r="W231" s="3913" t="s">
        <v>4587</v>
      </c>
      <c r="X231" s="3912" t="s">
        <v>4588</v>
      </c>
      <c r="Y231" s="3913" t="s">
        <v>4589</v>
      </c>
      <c r="Z231" s="3912" t="s">
        <v>4590</v>
      </c>
      <c r="AA231" s="3913" t="s">
        <v>4591</v>
      </c>
      <c r="AB231" s="3912" t="s">
        <v>4592</v>
      </c>
      <c r="AC231" s="3913" t="s">
        <v>4593</v>
      </c>
      <c r="AD231" s="3912" t="s">
        <v>4594</v>
      </c>
      <c r="AE231" s="3913" t="s">
        <v>4595</v>
      </c>
      <c r="AF231" s="3912" t="s">
        <v>4596</v>
      </c>
      <c r="AG231" s="3913" t="s">
        <v>4597</v>
      </c>
      <c r="AH231" s="3912" t="s">
        <v>4598</v>
      </c>
      <c r="AI231" s="3913" t="s">
        <v>4599</v>
      </c>
      <c r="AJ231" s="3912" t="s">
        <v>4600</v>
      </c>
      <c r="AK231" s="3913" t="s">
        <v>4601</v>
      </c>
      <c r="AL231" s="3902" t="s">
        <v>4602</v>
      </c>
      <c r="AM231" s="3904" t="s">
        <v>4603</v>
      </c>
      <c r="AN231" s="3902" t="s">
        <v>4604</v>
      </c>
      <c r="AO231" s="3903" t="s">
        <v>4605</v>
      </c>
      <c r="AP231" s="3943" t="s">
        <v>4606</v>
      </c>
      <c r="AQ231" s="3904" t="s">
        <v>4934</v>
      </c>
      <c r="AR231" s="3968" t="s">
        <v>4935</v>
      </c>
      <c r="AS231" s="1864" t="e">
        <f t="shared" si="473"/>
        <v>#VALUE!</v>
      </c>
      <c r="CB231" s="3944" t="str">
        <f t="shared" si="474"/>
        <v xml:space="preserve"> * El Total de Exámenes reactivos NO DEBE SUPERAR los Exámenes Procesados. </v>
      </c>
      <c r="CC231" s="1865" t="e">
        <f t="shared" si="475"/>
        <v>#VALUE!</v>
      </c>
      <c r="CD231" s="1865" t="e">
        <f t="shared" si="476"/>
        <v>#VALUE!</v>
      </c>
      <c r="CE231" s="1865" t="str">
        <f t="shared" si="477"/>
        <v xml:space="preserve"> * La variable Pueblos originarios no puede ser mayor que el Total de Procesados.</v>
      </c>
      <c r="CF231" s="1865" t="str">
        <f t="shared" si="478"/>
        <v xml:space="preserve"> * La variable Migrantes no puede ser mayor que el Total de Procesados.</v>
      </c>
      <c r="CG231" s="1936"/>
      <c r="CH231" s="1937"/>
      <c r="DG231" s="3906">
        <f t="shared" si="479"/>
        <v>1</v>
      </c>
      <c r="DH231" s="3906" t="e">
        <f t="shared" si="480"/>
        <v>#VALUE!</v>
      </c>
      <c r="DI231" s="3906" t="e">
        <f t="shared" si="481"/>
        <v>#VALUE!</v>
      </c>
      <c r="DJ231" s="3906">
        <f t="shared" si="482"/>
        <v>1</v>
      </c>
      <c r="DK231" s="3906">
        <f t="shared" si="483"/>
        <v>1</v>
      </c>
      <c r="DL231" s="1936"/>
    </row>
    <row r="232" spans="1:133" x14ac:dyDescent="0.25">
      <c r="A232" s="5601">
        <v>11056485</v>
      </c>
      <c r="B232" s="1749" t="s">
        <v>591</v>
      </c>
      <c r="C232" s="1058" t="s">
        <v>4567</v>
      </c>
      <c r="D232" s="3346" t="s">
        <v>4568</v>
      </c>
      <c r="E232" s="1877" t="s">
        <v>4569</v>
      </c>
      <c r="F232" s="1873" t="s">
        <v>4570</v>
      </c>
      <c r="G232" s="853" t="s">
        <v>4571</v>
      </c>
      <c r="H232" s="1873" t="s">
        <v>4572</v>
      </c>
      <c r="I232" s="853" t="s">
        <v>4573</v>
      </c>
      <c r="J232" s="1873" t="s">
        <v>4574</v>
      </c>
      <c r="K232" s="853" t="s">
        <v>4575</v>
      </c>
      <c r="L232" s="1873" t="s">
        <v>4576</v>
      </c>
      <c r="M232" s="853" t="s">
        <v>4577</v>
      </c>
      <c r="N232" s="1873" t="s">
        <v>4578</v>
      </c>
      <c r="O232" s="853" t="s">
        <v>4579</v>
      </c>
      <c r="P232" s="1873" t="s">
        <v>4580</v>
      </c>
      <c r="Q232" s="853" t="s">
        <v>4581</v>
      </c>
      <c r="R232" s="1873" t="s">
        <v>4582</v>
      </c>
      <c r="S232" s="853" t="s">
        <v>4583</v>
      </c>
      <c r="T232" s="1873" t="s">
        <v>4584</v>
      </c>
      <c r="U232" s="853" t="s">
        <v>4585</v>
      </c>
      <c r="V232" s="1873" t="s">
        <v>4586</v>
      </c>
      <c r="W232" s="853" t="s">
        <v>4587</v>
      </c>
      <c r="X232" s="1873" t="s">
        <v>4588</v>
      </c>
      <c r="Y232" s="853" t="s">
        <v>4589</v>
      </c>
      <c r="Z232" s="1873" t="s">
        <v>4590</v>
      </c>
      <c r="AA232" s="853" t="s">
        <v>4591</v>
      </c>
      <c r="AB232" s="1873" t="s">
        <v>4592</v>
      </c>
      <c r="AC232" s="853" t="s">
        <v>4593</v>
      </c>
      <c r="AD232" s="1873" t="s">
        <v>4594</v>
      </c>
      <c r="AE232" s="853" t="s">
        <v>4595</v>
      </c>
      <c r="AF232" s="1873" t="s">
        <v>4596</v>
      </c>
      <c r="AG232" s="853" t="s">
        <v>4597</v>
      </c>
      <c r="AH232" s="1873" t="s">
        <v>4598</v>
      </c>
      <c r="AI232" s="853" t="s">
        <v>4599</v>
      </c>
      <c r="AJ232" s="1873" t="s">
        <v>4600</v>
      </c>
      <c r="AK232" s="853" t="s">
        <v>4601</v>
      </c>
      <c r="AL232" s="1919" t="s">
        <v>4602</v>
      </c>
      <c r="AM232" s="1877" t="s">
        <v>4603</v>
      </c>
      <c r="AN232" s="1919" t="s">
        <v>4604</v>
      </c>
      <c r="AO232" s="1879" t="s">
        <v>4605</v>
      </c>
      <c r="AP232" s="1878" t="s">
        <v>4606</v>
      </c>
      <c r="AQ232" s="1877" t="s">
        <v>4934</v>
      </c>
      <c r="AR232" s="1920" t="s">
        <v>4935</v>
      </c>
      <c r="AS232" s="1864" t="e">
        <f t="shared" si="473"/>
        <v>#VALUE!</v>
      </c>
      <c r="CB232" s="3944" t="str">
        <f t="shared" si="474"/>
        <v xml:space="preserve"> * El Total de Exámenes reactivos NO DEBE SUPERAR los Exámenes Procesados. </v>
      </c>
      <c r="CC232" s="1865" t="e">
        <f t="shared" si="475"/>
        <v>#VALUE!</v>
      </c>
      <c r="CD232" s="1865" t="e">
        <f t="shared" si="476"/>
        <v>#VALUE!</v>
      </c>
      <c r="CE232" s="1865" t="str">
        <f t="shared" si="477"/>
        <v xml:space="preserve"> * La variable Pueblos originarios no puede ser mayor que el Total de Procesados.</v>
      </c>
      <c r="CF232" s="1865" t="str">
        <f t="shared" si="478"/>
        <v xml:space="preserve"> * La variable Migrantes no puede ser mayor que el Total de Procesados.</v>
      </c>
      <c r="CG232" s="1936"/>
      <c r="CH232" s="1937"/>
      <c r="DG232" s="3906">
        <f t="shared" si="479"/>
        <v>1</v>
      </c>
      <c r="DH232" s="3906" t="e">
        <f t="shared" si="480"/>
        <v>#VALUE!</v>
      </c>
      <c r="DI232" s="3906" t="e">
        <f t="shared" si="481"/>
        <v>#VALUE!</v>
      </c>
      <c r="DJ232" s="3906">
        <f t="shared" si="482"/>
        <v>1</v>
      </c>
      <c r="DK232" s="3906">
        <f t="shared" si="483"/>
        <v>1</v>
      </c>
      <c r="DL232" s="1936"/>
    </row>
    <row r="233" spans="1:133" ht="18" customHeight="1" x14ac:dyDescent="0.25">
      <c r="A233" s="25"/>
      <c r="B233" s="3970" t="s">
        <v>1935</v>
      </c>
      <c r="C233" s="3970"/>
      <c r="D233" s="3970"/>
      <c r="E233" s="3970"/>
      <c r="F233" s="3970"/>
      <c r="G233" s="3970"/>
      <c r="H233" s="3970"/>
      <c r="I233" s="3970"/>
      <c r="J233" s="3970"/>
      <c r="K233" s="3970"/>
      <c r="L233" s="3970"/>
      <c r="M233" s="3970"/>
      <c r="N233" s="3970"/>
      <c r="O233" s="3970"/>
      <c r="P233" s="3970"/>
      <c r="Q233" s="3970"/>
      <c r="R233" s="3970"/>
      <c r="S233" s="3970"/>
      <c r="T233" s="3970"/>
      <c r="U233" s="3970"/>
      <c r="V233" s="3970"/>
      <c r="W233" s="3970"/>
      <c r="X233" s="3970"/>
      <c r="Y233" s="3970"/>
      <c r="Z233" s="3970"/>
      <c r="AA233" s="3970"/>
      <c r="AB233" s="3970"/>
      <c r="AC233" s="3970"/>
      <c r="AD233" s="3970"/>
      <c r="AE233" s="3970"/>
      <c r="AF233" s="3970"/>
      <c r="AG233" s="3970"/>
      <c r="AH233" s="3970"/>
      <c r="AI233" s="3970"/>
      <c r="AJ233" s="3970"/>
      <c r="AK233" s="3970"/>
      <c r="AL233" s="1937"/>
      <c r="AM233" s="1937"/>
      <c r="AN233" s="1937"/>
      <c r="AO233" s="1937"/>
      <c r="AP233" s="1937"/>
      <c r="AQ233" s="1937"/>
      <c r="AR233" s="1937"/>
      <c r="AS233" s="1937"/>
      <c r="AT233" s="1937"/>
      <c r="AU233" s="1937"/>
      <c r="AV233" s="1937"/>
      <c r="AW233" s="1937"/>
      <c r="AX233" s="1937"/>
      <c r="AY233" s="1937"/>
    </row>
    <row r="234" spans="1:133" x14ac:dyDescent="0.25">
      <c r="A234" s="25"/>
      <c r="B234" s="7165" t="s">
        <v>1936</v>
      </c>
      <c r="C234" s="7166"/>
      <c r="D234" s="7168" t="s">
        <v>77</v>
      </c>
      <c r="E234" s="7166"/>
      <c r="F234" s="7170" t="s">
        <v>29</v>
      </c>
      <c r="G234" s="7171"/>
      <c r="H234" s="7171"/>
      <c r="I234" s="7171"/>
      <c r="J234" s="7171"/>
      <c r="K234" s="7171"/>
      <c r="L234" s="7171"/>
      <c r="M234" s="7171"/>
      <c r="N234" s="7171"/>
      <c r="O234" s="7171"/>
      <c r="P234" s="7171"/>
      <c r="Q234" s="7171"/>
      <c r="R234" s="7171"/>
      <c r="S234" s="7171"/>
      <c r="T234" s="7171"/>
      <c r="U234" s="7171"/>
      <c r="V234" s="7171"/>
      <c r="W234" s="7171"/>
      <c r="X234" s="7171"/>
      <c r="Y234" s="7171"/>
      <c r="Z234" s="7171"/>
      <c r="AA234" s="7171"/>
      <c r="AB234" s="7171"/>
      <c r="AC234" s="7171"/>
      <c r="AD234" s="7171"/>
      <c r="AE234" s="7171"/>
      <c r="AF234" s="7171"/>
      <c r="AG234" s="7171"/>
      <c r="AH234" s="7171"/>
      <c r="AI234" s="7171"/>
      <c r="AJ234" s="7171"/>
      <c r="AK234" s="7172"/>
      <c r="AL234" s="7135" t="s">
        <v>1906</v>
      </c>
      <c r="AM234" s="7133"/>
      <c r="AN234" s="7133"/>
      <c r="AO234" s="7134"/>
      <c r="AP234" s="7135" t="s">
        <v>457</v>
      </c>
      <c r="AQ234" s="7133"/>
      <c r="AR234" s="7133"/>
      <c r="AS234" s="7134"/>
      <c r="AT234" s="7161" t="s">
        <v>322</v>
      </c>
      <c r="AU234" s="7162"/>
      <c r="AV234" s="7161" t="s">
        <v>37</v>
      </c>
      <c r="AW234" s="7162"/>
      <c r="AX234" s="6510" t="s">
        <v>1907</v>
      </c>
      <c r="AY234" s="6511"/>
    </row>
    <row r="235" spans="1:133" x14ac:dyDescent="0.25">
      <c r="A235" s="25"/>
      <c r="B235" s="6862"/>
      <c r="C235" s="6144"/>
      <c r="D235" s="7169"/>
      <c r="E235" s="7167"/>
      <c r="F235" s="7116" t="s">
        <v>1908</v>
      </c>
      <c r="G235" s="7110"/>
      <c r="H235" s="7116" t="s">
        <v>1863</v>
      </c>
      <c r="I235" s="7110"/>
      <c r="J235" s="7116" t="s">
        <v>937</v>
      </c>
      <c r="K235" s="7110"/>
      <c r="L235" s="7107" t="s">
        <v>326</v>
      </c>
      <c r="M235" s="7122"/>
      <c r="N235" s="7107" t="s">
        <v>94</v>
      </c>
      <c r="O235" s="7122"/>
      <c r="P235" s="7107" t="s">
        <v>44</v>
      </c>
      <c r="Q235" s="7122"/>
      <c r="R235" s="7107" t="s">
        <v>45</v>
      </c>
      <c r="S235" s="7122"/>
      <c r="T235" s="7107" t="s">
        <v>46</v>
      </c>
      <c r="U235" s="7122"/>
      <c r="V235" s="7107" t="s">
        <v>47</v>
      </c>
      <c r="W235" s="7122"/>
      <c r="X235" s="7108" t="s">
        <v>48</v>
      </c>
      <c r="Y235" s="7122"/>
      <c r="Z235" s="7108" t="s">
        <v>49</v>
      </c>
      <c r="AA235" s="7122"/>
      <c r="AB235" s="7108" t="s">
        <v>50</v>
      </c>
      <c r="AC235" s="7122"/>
      <c r="AD235" s="7107" t="s">
        <v>51</v>
      </c>
      <c r="AE235" s="7122"/>
      <c r="AF235" s="7108" t="s">
        <v>52</v>
      </c>
      <c r="AG235" s="7122"/>
      <c r="AH235" s="7108" t="s">
        <v>53</v>
      </c>
      <c r="AI235" s="7122"/>
      <c r="AJ235" s="7108" t="s">
        <v>1937</v>
      </c>
      <c r="AK235" s="7109"/>
      <c r="AL235" s="7138" t="s">
        <v>58</v>
      </c>
      <c r="AM235" s="7139"/>
      <c r="AN235" s="7140" t="s">
        <v>59</v>
      </c>
      <c r="AO235" s="7137"/>
      <c r="AP235" s="7138" t="s">
        <v>462</v>
      </c>
      <c r="AQ235" s="7139"/>
      <c r="AR235" s="7140" t="s">
        <v>463</v>
      </c>
      <c r="AS235" s="7137"/>
      <c r="AT235" s="6741"/>
      <c r="AU235" s="7163"/>
      <c r="AV235" s="6741"/>
      <c r="AW235" s="7163"/>
      <c r="AX235" s="6735"/>
      <c r="AY235" s="6955"/>
    </row>
    <row r="236" spans="1:133" ht="31.5" x14ac:dyDescent="0.25">
      <c r="A236" s="25"/>
      <c r="B236" s="6853"/>
      <c r="C236" s="7167"/>
      <c r="D236" s="3897" t="s">
        <v>1864</v>
      </c>
      <c r="E236" s="3896" t="s">
        <v>1910</v>
      </c>
      <c r="F236" s="3894" t="s">
        <v>1864</v>
      </c>
      <c r="G236" s="3896" t="s">
        <v>1910</v>
      </c>
      <c r="H236" s="3894" t="s">
        <v>1864</v>
      </c>
      <c r="I236" s="3896" t="s">
        <v>1910</v>
      </c>
      <c r="J236" s="3897" t="s">
        <v>1864</v>
      </c>
      <c r="K236" s="3896" t="s">
        <v>1910</v>
      </c>
      <c r="L236" s="3897" t="s">
        <v>1864</v>
      </c>
      <c r="M236" s="3896" t="s">
        <v>1910</v>
      </c>
      <c r="N236" s="3894" t="s">
        <v>1864</v>
      </c>
      <c r="O236" s="3896" t="s">
        <v>1910</v>
      </c>
      <c r="P236" s="3894" t="s">
        <v>1864</v>
      </c>
      <c r="Q236" s="3896" t="s">
        <v>1910</v>
      </c>
      <c r="R236" s="3894" t="s">
        <v>1864</v>
      </c>
      <c r="S236" s="3896" t="s">
        <v>1910</v>
      </c>
      <c r="T236" s="3894" t="s">
        <v>1864</v>
      </c>
      <c r="U236" s="3896" t="s">
        <v>1910</v>
      </c>
      <c r="V236" s="3894" t="s">
        <v>1864</v>
      </c>
      <c r="W236" s="3896" t="s">
        <v>1910</v>
      </c>
      <c r="X236" s="3897" t="s">
        <v>1864</v>
      </c>
      <c r="Y236" s="3896" t="s">
        <v>1910</v>
      </c>
      <c r="Z236" s="3897" t="s">
        <v>1864</v>
      </c>
      <c r="AA236" s="3896" t="s">
        <v>1910</v>
      </c>
      <c r="AB236" s="3897" t="s">
        <v>1864</v>
      </c>
      <c r="AC236" s="3896" t="s">
        <v>1910</v>
      </c>
      <c r="AD236" s="3894" t="s">
        <v>1864</v>
      </c>
      <c r="AE236" s="3896" t="s">
        <v>1910</v>
      </c>
      <c r="AF236" s="3897" t="s">
        <v>1864</v>
      </c>
      <c r="AG236" s="3896" t="s">
        <v>1910</v>
      </c>
      <c r="AH236" s="3897" t="s">
        <v>1864</v>
      </c>
      <c r="AI236" s="3896" t="s">
        <v>1910</v>
      </c>
      <c r="AJ236" s="3897" t="s">
        <v>1864</v>
      </c>
      <c r="AK236" s="3896" t="s">
        <v>1910</v>
      </c>
      <c r="AL236" s="3939" t="s">
        <v>1864</v>
      </c>
      <c r="AM236" s="3896" t="s">
        <v>1910</v>
      </c>
      <c r="AN236" s="3897" t="s">
        <v>1864</v>
      </c>
      <c r="AO236" s="3898" t="s">
        <v>1910</v>
      </c>
      <c r="AP236" s="3939" t="s">
        <v>1864</v>
      </c>
      <c r="AQ236" s="3896" t="s">
        <v>1910</v>
      </c>
      <c r="AR236" s="3897" t="s">
        <v>1864</v>
      </c>
      <c r="AS236" s="3898" t="s">
        <v>1910</v>
      </c>
      <c r="AT236" s="3939" t="s">
        <v>1864</v>
      </c>
      <c r="AU236" s="3891" t="s">
        <v>1910</v>
      </c>
      <c r="AV236" s="3939" t="s">
        <v>1864</v>
      </c>
      <c r="AW236" s="3891" t="s">
        <v>1910</v>
      </c>
      <c r="AX236" s="3897" t="s">
        <v>1864</v>
      </c>
      <c r="AY236" s="3896" t="s">
        <v>1910</v>
      </c>
    </row>
    <row r="237" spans="1:133" ht="15" customHeight="1" x14ac:dyDescent="0.25">
      <c r="A237" s="5601">
        <v>11057100</v>
      </c>
      <c r="B237" s="7164" t="s">
        <v>1938</v>
      </c>
      <c r="C237" s="3359" t="s">
        <v>1911</v>
      </c>
      <c r="D237" s="3972" t="s">
        <v>4567</v>
      </c>
      <c r="E237" s="3900" t="s">
        <v>4568</v>
      </c>
      <c r="F237" s="3973" t="s">
        <v>4569</v>
      </c>
      <c r="G237" s="3974" t="s">
        <v>4570</v>
      </c>
      <c r="H237" s="3975" t="s">
        <v>4571</v>
      </c>
      <c r="I237" s="3974" t="s">
        <v>4572</v>
      </c>
      <c r="J237" s="3975" t="s">
        <v>4573</v>
      </c>
      <c r="K237" s="3974" t="s">
        <v>4574</v>
      </c>
      <c r="L237" s="3975" t="s">
        <v>4575</v>
      </c>
      <c r="M237" s="3974" t="s">
        <v>4576</v>
      </c>
      <c r="N237" s="3904" t="s">
        <v>4577</v>
      </c>
      <c r="O237" s="329" t="s">
        <v>4578</v>
      </c>
      <c r="P237" s="3912" t="s">
        <v>4579</v>
      </c>
      <c r="Q237" s="329" t="s">
        <v>4580</v>
      </c>
      <c r="R237" s="3913" t="s">
        <v>4581</v>
      </c>
      <c r="S237" s="329" t="s">
        <v>4582</v>
      </c>
      <c r="T237" s="3913" t="s">
        <v>4583</v>
      </c>
      <c r="U237" s="329" t="s">
        <v>4584</v>
      </c>
      <c r="V237" s="3913" t="s">
        <v>4585</v>
      </c>
      <c r="W237" s="329" t="s">
        <v>4586</v>
      </c>
      <c r="X237" s="3904" t="s">
        <v>4587</v>
      </c>
      <c r="Y237" s="329" t="s">
        <v>4588</v>
      </c>
      <c r="Z237" s="3904" t="s">
        <v>4589</v>
      </c>
      <c r="AA237" s="329" t="s">
        <v>4590</v>
      </c>
      <c r="AB237" s="3904" t="s">
        <v>4591</v>
      </c>
      <c r="AC237" s="329" t="s">
        <v>4592</v>
      </c>
      <c r="AD237" s="3913" t="s">
        <v>4593</v>
      </c>
      <c r="AE237" s="329" t="s">
        <v>4594</v>
      </c>
      <c r="AF237" s="3901" t="s">
        <v>4595</v>
      </c>
      <c r="AG237" s="2318" t="s">
        <v>4596</v>
      </c>
      <c r="AH237" s="3901" t="s">
        <v>4597</v>
      </c>
      <c r="AI237" s="2318" t="s">
        <v>4598</v>
      </c>
      <c r="AJ237" s="3901" t="s">
        <v>4599</v>
      </c>
      <c r="AK237" s="3976" t="s">
        <v>4600</v>
      </c>
      <c r="AL237" s="3956" t="s">
        <v>4601</v>
      </c>
      <c r="AM237" s="2318" t="s">
        <v>4602</v>
      </c>
      <c r="AN237" s="3904" t="s">
        <v>4603</v>
      </c>
      <c r="AO237" s="3943" t="s">
        <v>4604</v>
      </c>
      <c r="AP237" s="3903" t="s">
        <v>4605</v>
      </c>
      <c r="AQ237" s="329" t="s">
        <v>4606</v>
      </c>
      <c r="AR237" s="3904" t="s">
        <v>4934</v>
      </c>
      <c r="AS237" s="3943" t="s">
        <v>4935</v>
      </c>
      <c r="AT237" s="3903" t="s">
        <v>4936</v>
      </c>
      <c r="AU237" s="3943" t="s">
        <v>4937</v>
      </c>
      <c r="AV237" s="3903" t="s">
        <v>5234</v>
      </c>
      <c r="AW237" s="3943" t="s">
        <v>5235</v>
      </c>
      <c r="AX237" s="3904" t="s">
        <v>5236</v>
      </c>
      <c r="AY237" s="329" t="s">
        <v>5237</v>
      </c>
      <c r="AZ237" s="1864" t="e">
        <f>$CB237&amp;$CD237&amp;CE237&amp;CF237&amp;CG237&amp;CH237&amp;CI237&amp;CJ237&amp;CK237&amp;CL237&amp;CM237&amp;CN237&amp;CO237&amp;CP237&amp;CQ237&amp;CR237&amp;CS237&amp;CT237&amp;CU237&amp;CV237&amp;CW237&amp;CX237</f>
        <v>#VALUE!</v>
      </c>
      <c r="CB237" s="3944" t="str">
        <f>IF(E237&gt;D237," * El Total de Exámenes Confirmados Positivos por ISP NO DEBE SUPERAR los Exámenes Procesados. ","")</f>
        <v xml:space="preserve"> * El Total de Exámenes Confirmados Positivos por ISP NO DEBE SUPERAR los Exámenes Procesados. </v>
      </c>
      <c r="CC237" s="3945"/>
      <c r="CD237" s="1865" t="str">
        <f>IF(AO237&gt;AN237,"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237" s="1936"/>
      <c r="CF237" s="1936"/>
      <c r="CG237" s="1936"/>
      <c r="CH237" s="1936"/>
      <c r="CI237" s="1936"/>
      <c r="CJ237" s="1865" t="e">
        <f>IF(AND(D237&gt;0,AND(AP237="",AR237=""))," * No olvide digitar los exámenes procesados Trans (Masculino y femenino) Digite Cero si no tiene.",IF((AP237+AR237)&gt;D237," * Los exámenes procesados en Trans (Masculino y femenino) no pueden ser mayor que el Total de exámenes procesados.",""))</f>
        <v>#VALUE!</v>
      </c>
      <c r="CK237" s="1937"/>
      <c r="CL237" s="1865" t="e">
        <f t="shared" ref="CL237:CL259" si="484">IF((AN237+AL237)&lt;&gt;D237," * El N° de exámenes Procesados por SEXO (Hombres + Mujeres)no puede ser distinto al Total de exámenes procesados","")</f>
        <v>#VALUE!</v>
      </c>
      <c r="CM237" s="1865" t="e">
        <f t="shared" ref="CM237:CM259" si="485">IF((AO237+AM237)&lt;&gt;E237," * El N° de exámenes Confirmados positivos por ISP por Sexo (Hombres+Mujeres) no puede ser distinto al N° Total de exámenes Confirmados positivos por ISP ","")</f>
        <v>#VALUE!</v>
      </c>
      <c r="CN237" s="1865" t="str">
        <f t="shared" ref="CN237:CN259" si="486">IF(AND(D237&gt;0,AT237="")," * No olvide digitar los examanes de Pueblos Originarios Procesados. Digite Cero si no tiene.",IF(AT237&gt;D237,"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237" s="1865" t="str">
        <f t="shared" ref="CO237:CO259" si="487">IF(AND(D237&gt;0,AV237="")," * No olvide digitar los exámenes Procesados de Migrantes. Digite Cero si no tiene.",IF(AV237&gt;D237," * Los exámenes procesados de Migrantes no pueden ser mayor que el Total de exámenes procesados.",""))</f>
        <v xml:space="preserve"> * Los exámenes procesados de Migrantes no pueden ser mayor que el Total de exámenes procesados.</v>
      </c>
      <c r="CP237" s="1865" t="e">
        <f t="shared" ref="CP237:CP259" si="488">IF(AND(E237&gt;0,AND(AQ237="",AS237=""))," * No olvide digitar los exámenes Confirmados positivos por ISP de Trans (Masculino y Femenino). Digite Cero si no tiene.",IF((AQ237+AS237)&gt;E237," * Los exámenes confirmados positivos por ISP de Trans (Masculino y Femenino) no pueden ser mayor que el Total de exámenes Confirmados positivos por ISP.",""))</f>
        <v>#VALUE!</v>
      </c>
      <c r="CQ237" s="1865" t="str">
        <f t="shared" ref="CQ237:CQ259" si="489">IF(AND(E237&gt;0,AU237="")," * No olvide digitar los exámenes Confirmados positivos por ISP de Pueblos Originarios. Digite Cero si no tiene.",IF(AU237&gt;E237,"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237" s="1865" t="str">
        <f t="shared" ref="CR237:CR259" si="490">IF(AND(E237&gt;0,AW237="")," * No olvide digitar los exámenes Confirmados positivos por ISP de Migrantes. Digite Cero si no tiene.",IF(AW237&gt;E237,"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237" s="1936"/>
      <c r="CT237" s="1936"/>
      <c r="CU237" s="2946" t="e">
        <f t="shared" ref="CU237:CU244" si="491">IF(AND((N237+P237)&gt;0,AX237=""),"*No olvide digitar los Exámenes Procesados de 14-18 años. Digite cero si no tiene.",IF(AX237&gt;(N237+P237),"* El Total de Procesados de 14-18 años NO DEBE ser mayor al Total de Procesados registrados en los grupos de edad 10 a 14 + 15 a 19 años. ",""))</f>
        <v>#VALUE!</v>
      </c>
      <c r="CV237" s="2946" t="e">
        <f t="shared" ref="CV237:CV245" si="492">IF(AND((O237+Q237)&gt;0,AY237=""),"*No olvide digitar los Exámenes Confirmados Positivos por ISP de 14-18 años. Digite cero si no tiene.",IF(AY237&gt;(O237+Q237),"* El Total de Confirmados de 14-18 años NO DEBE ser mayor al Total de Confirmados Positivos por ISP registrados en los grupos de edad 10 a 14 + 15 a 19 años. ",""))</f>
        <v>#VALUE!</v>
      </c>
      <c r="DG237" s="3946">
        <f t="shared" ref="DG237:DG259" si="493">IF(E237&gt;D237,1,0)</f>
        <v>1</v>
      </c>
      <c r="DH237" s="3945"/>
      <c r="DI237" s="3922">
        <f t="shared" ref="DI237:DI259" si="494">IF(AO237&gt;AN237,1,0)</f>
        <v>1</v>
      </c>
      <c r="DJ237" s="1936"/>
      <c r="DK237" s="1936"/>
      <c r="DL237" s="1936"/>
      <c r="DM237" s="1936"/>
      <c r="DN237" s="1936"/>
      <c r="DO237" s="3922" t="e">
        <f t="shared" ref="DO237:DO259" si="495">IF(AND(D237&gt;0,AND(AP237="",AR237="")),1,IF((AP237+AR237)&gt;D237,1,0))</f>
        <v>#VALUE!</v>
      </c>
      <c r="DP237" s="1937"/>
      <c r="DQ237" s="3922" t="e">
        <f t="shared" ref="DQ237:DQ259" si="496">IF((AN237+AL237)&lt;&gt;D237,1,0)</f>
        <v>#VALUE!</v>
      </c>
      <c r="DR237" s="3922" t="e">
        <f t="shared" ref="DR237:DR259" si="497">IF((AO237+AM237)&lt;&gt;E237,1,0)</f>
        <v>#VALUE!</v>
      </c>
      <c r="DS237" s="3922">
        <f t="shared" ref="DS237:DS259" si="498">IF(AND(D237&gt;0,AT237=""),1,IF(AT237&gt;D237,1,0))</f>
        <v>1</v>
      </c>
      <c r="DT237" s="3922">
        <f t="shared" ref="DT237:DT259" si="499">IF(AND(D237&gt;0,AV237=""),1,IF(AV237&gt;D237,1,0))</f>
        <v>1</v>
      </c>
      <c r="DU237" s="3922" t="e">
        <f t="shared" ref="DU237:DU259" si="500">IF(AND(E237&gt;0,OR(AQ237="",AS237="")),1,IF((AQ237+AS237)&gt;E237,1,0))</f>
        <v>#VALUE!</v>
      </c>
      <c r="DV237" s="3922">
        <f t="shared" ref="DV237:DV259" si="501">IF(AND(E237&gt;0,AU237=""),1,IF(AU237&gt;E237,1,0))</f>
        <v>1</v>
      </c>
      <c r="DW237" s="3922">
        <f t="shared" ref="DW237:DW259" si="502">IF(AND(E237&gt;0,AW237=""),1,IF(AW237&gt;E237,1,0))</f>
        <v>1</v>
      </c>
      <c r="DX237" s="1936"/>
      <c r="DY237" s="1936"/>
      <c r="DZ237" s="3922" t="e">
        <f t="shared" ref="DZ237:DZ245" si="503">IF(AND((N237+P237)&gt;0,AX237=""),1,IF(AX237&gt;(N237+P237),1,0))</f>
        <v>#VALUE!</v>
      </c>
      <c r="EA237" s="3922" t="e">
        <f t="shared" ref="EA237:EA245" si="504">IF(AND((O237+Q237)&gt;0,AY237=""),1,IF(AY237&gt;(O237+Q237),1,0))</f>
        <v>#VALUE!</v>
      </c>
      <c r="EB237" s="2948" t="e">
        <f t="shared" ref="EB237:EB259" si="505">IF(AND((N237+P237)&gt;0,AX237=""),1,0)</f>
        <v>#VALUE!</v>
      </c>
      <c r="EC237" s="2948" t="e">
        <f t="shared" ref="EC237:EC259" si="506">IF(AND((O237+Q237)&gt;0,AY237=""),1,0)</f>
        <v>#VALUE!</v>
      </c>
    </row>
    <row r="238" spans="1:133" ht="15" customHeight="1" x14ac:dyDescent="0.25">
      <c r="A238" s="5601">
        <v>11057101</v>
      </c>
      <c r="B238" s="6058"/>
      <c r="C238" s="3977" t="s">
        <v>1912</v>
      </c>
      <c r="D238" s="3978" t="s">
        <v>4567</v>
      </c>
      <c r="E238" s="344" t="s">
        <v>4568</v>
      </c>
      <c r="F238" s="3979" t="s">
        <v>4569</v>
      </c>
      <c r="G238" s="3980" t="s">
        <v>4570</v>
      </c>
      <c r="H238" s="3981" t="s">
        <v>4571</v>
      </c>
      <c r="I238" s="3980" t="s">
        <v>4572</v>
      </c>
      <c r="J238" s="3981" t="s">
        <v>4573</v>
      </c>
      <c r="K238" s="3980" t="s">
        <v>4574</v>
      </c>
      <c r="L238" s="3981" t="s">
        <v>4575</v>
      </c>
      <c r="M238" s="3980" t="s">
        <v>4576</v>
      </c>
      <c r="N238" s="3904" t="s">
        <v>4577</v>
      </c>
      <c r="O238" s="329" t="s">
        <v>4578</v>
      </c>
      <c r="P238" s="3912" t="s">
        <v>4579</v>
      </c>
      <c r="Q238" s="329" t="s">
        <v>4580</v>
      </c>
      <c r="R238" s="3913" t="s">
        <v>4581</v>
      </c>
      <c r="S238" s="329" t="s">
        <v>4582</v>
      </c>
      <c r="T238" s="3913" t="s">
        <v>4583</v>
      </c>
      <c r="U238" s="329" t="s">
        <v>4584</v>
      </c>
      <c r="V238" s="3913" t="s">
        <v>4585</v>
      </c>
      <c r="W238" s="329" t="s">
        <v>4586</v>
      </c>
      <c r="X238" s="3904" t="s">
        <v>4587</v>
      </c>
      <c r="Y238" s="329" t="s">
        <v>4588</v>
      </c>
      <c r="Z238" s="3904" t="s">
        <v>4589</v>
      </c>
      <c r="AA238" s="329" t="s">
        <v>4590</v>
      </c>
      <c r="AB238" s="3904" t="s">
        <v>4591</v>
      </c>
      <c r="AC238" s="329" t="s">
        <v>4592</v>
      </c>
      <c r="AD238" s="3913" t="s">
        <v>4593</v>
      </c>
      <c r="AE238" s="329" t="s">
        <v>4594</v>
      </c>
      <c r="AF238" s="3901" t="s">
        <v>4595</v>
      </c>
      <c r="AG238" s="2318" t="s">
        <v>4596</v>
      </c>
      <c r="AH238" s="3901" t="s">
        <v>4597</v>
      </c>
      <c r="AI238" s="2318" t="s">
        <v>4598</v>
      </c>
      <c r="AJ238" s="3901" t="s">
        <v>4599</v>
      </c>
      <c r="AK238" s="3976" t="s">
        <v>4600</v>
      </c>
      <c r="AL238" s="3956" t="s">
        <v>4601</v>
      </c>
      <c r="AM238" s="2318" t="s">
        <v>4602</v>
      </c>
      <c r="AN238" s="3904" t="s">
        <v>4603</v>
      </c>
      <c r="AO238" s="3943" t="s">
        <v>4604</v>
      </c>
      <c r="AP238" s="3903" t="s">
        <v>4605</v>
      </c>
      <c r="AQ238" s="329" t="s">
        <v>4606</v>
      </c>
      <c r="AR238" s="3904" t="s">
        <v>4934</v>
      </c>
      <c r="AS238" s="3943" t="s">
        <v>4935</v>
      </c>
      <c r="AT238" s="3903" t="s">
        <v>4936</v>
      </c>
      <c r="AU238" s="3943" t="s">
        <v>4937</v>
      </c>
      <c r="AV238" s="3903" t="s">
        <v>5234</v>
      </c>
      <c r="AW238" s="3943" t="s">
        <v>5235</v>
      </c>
      <c r="AX238" s="3904" t="s">
        <v>5236</v>
      </c>
      <c r="AY238" s="329" t="s">
        <v>5237</v>
      </c>
      <c r="AZ238" s="1864" t="e">
        <f>$CB238&amp;$CD238&amp;CE238&amp;CF238&amp;CG238&amp;CH238&amp;CI238&amp;CJ238&amp;CK238&amp;CL238&amp;CM238&amp;CN238&amp;CO238&amp;CP238&amp;CQ238&amp;CR238&amp;CS238&amp;CT238&amp;CU238&amp;CV238&amp;CW238&amp;CX238</f>
        <v>#VALUE!</v>
      </c>
      <c r="CB238" s="3944" t="str">
        <f t="shared" ref="CB238:CB259" si="507">IF(E238&gt;D238," * El Total de Exámenes Confirmados Positivos por ISP NO DEBE SUPERAR los Exámenes Procesados. ","")</f>
        <v xml:space="preserve"> * El Total de Exámenes Confirmados Positivos por ISP NO DEBE SUPERAR los Exámenes Procesados. </v>
      </c>
      <c r="CC238" s="3945"/>
      <c r="CD238" s="1865" t="str">
        <f t="shared" ref="CD238:CD259" si="508">IF(AO238&gt;AN238,"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238" s="1936"/>
      <c r="CF238" s="1936"/>
      <c r="CG238" s="1936"/>
      <c r="CH238" s="1936"/>
      <c r="CI238" s="1936"/>
      <c r="CJ238" s="1865" t="e">
        <f t="shared" ref="CJ238:CJ259" si="509">IF(AND(D238&gt;0,AND(AP238="",AR238=""))," * No olvide digitar los exámenes procesados Trans (Masculino y femenino) Digite Cero si no tiene.",IF((AP238+AR238)&gt;D238," * Los exámenes procesados en Trans (Masculino y femenino) no pueden ser mayor que el Total de exámenes procesados.",""))</f>
        <v>#VALUE!</v>
      </c>
      <c r="CK238" s="1937"/>
      <c r="CL238" s="1865" t="e">
        <f t="shared" si="484"/>
        <v>#VALUE!</v>
      </c>
      <c r="CM238" s="1865" t="e">
        <f t="shared" si="485"/>
        <v>#VALUE!</v>
      </c>
      <c r="CN238" s="1865" t="str">
        <f t="shared" si="486"/>
        <v xml:space="preserve"> * Los exámenes de Pueblos originarios Procesados no pueden ser mayor que el Total de exámenes procesados.</v>
      </c>
      <c r="CO238" s="1865" t="str">
        <f t="shared" si="487"/>
        <v xml:space="preserve"> * Los exámenes procesados de Migrantes no pueden ser mayor que el Total de exámenes procesados.</v>
      </c>
      <c r="CP238" s="1865" t="e">
        <f t="shared" si="488"/>
        <v>#VALUE!</v>
      </c>
      <c r="CQ238" s="1865" t="str">
        <f t="shared" si="489"/>
        <v xml:space="preserve"> * Los exámenes Confirmados positivos por ISP de Pueblos originarios no pueden ser mayor que el Total de exámenes Procesados por ISP.</v>
      </c>
      <c r="CR238" s="1865" t="str">
        <f t="shared" si="490"/>
        <v xml:space="preserve"> * Los exámenes Confirmados positivos por ISP de Migrantes no pueden ser mayor que el Total de exámenes Procesados por ISP.</v>
      </c>
      <c r="CS238" s="1936"/>
      <c r="CT238" s="1936"/>
      <c r="CU238" s="2946" t="e">
        <f t="shared" si="491"/>
        <v>#VALUE!</v>
      </c>
      <c r="CV238" s="2946" t="e">
        <f t="shared" si="492"/>
        <v>#VALUE!</v>
      </c>
      <c r="DG238" s="3946">
        <f t="shared" si="493"/>
        <v>1</v>
      </c>
      <c r="DH238" s="3945"/>
      <c r="DI238" s="3922">
        <f t="shared" si="494"/>
        <v>1</v>
      </c>
      <c r="DJ238" s="1936"/>
      <c r="DK238" s="1936"/>
      <c r="DL238" s="1936"/>
      <c r="DM238" s="1936"/>
      <c r="DN238" s="1936"/>
      <c r="DO238" s="3922" t="e">
        <f t="shared" si="495"/>
        <v>#VALUE!</v>
      </c>
      <c r="DP238" s="1937"/>
      <c r="DQ238" s="3922" t="e">
        <f t="shared" si="496"/>
        <v>#VALUE!</v>
      </c>
      <c r="DR238" s="3922" t="e">
        <f t="shared" si="497"/>
        <v>#VALUE!</v>
      </c>
      <c r="DS238" s="3922">
        <f t="shared" si="498"/>
        <v>1</v>
      </c>
      <c r="DT238" s="3922">
        <f t="shared" si="499"/>
        <v>1</v>
      </c>
      <c r="DU238" s="3922" t="e">
        <f t="shared" si="500"/>
        <v>#VALUE!</v>
      </c>
      <c r="DV238" s="3922">
        <f t="shared" si="501"/>
        <v>1</v>
      </c>
      <c r="DW238" s="3922">
        <f t="shared" si="502"/>
        <v>1</v>
      </c>
      <c r="DX238" s="1936"/>
      <c r="DY238" s="1936"/>
      <c r="DZ238" s="3922" t="e">
        <f t="shared" si="503"/>
        <v>#VALUE!</v>
      </c>
      <c r="EA238" s="3922" t="e">
        <f t="shared" si="504"/>
        <v>#VALUE!</v>
      </c>
      <c r="EB238" s="2948" t="e">
        <f t="shared" si="505"/>
        <v>#VALUE!</v>
      </c>
      <c r="EC238" s="2948" t="e">
        <f t="shared" si="506"/>
        <v>#VALUE!</v>
      </c>
    </row>
    <row r="239" spans="1:133" ht="15" customHeight="1" x14ac:dyDescent="0.25">
      <c r="A239" s="5601">
        <v>11057102</v>
      </c>
      <c r="B239" s="6058"/>
      <c r="C239" s="3982" t="s">
        <v>1939</v>
      </c>
      <c r="D239" s="3978" t="s">
        <v>4567</v>
      </c>
      <c r="E239" s="344" t="s">
        <v>4568</v>
      </c>
      <c r="F239" s="3979" t="s">
        <v>4569</v>
      </c>
      <c r="G239" s="3980" t="s">
        <v>4570</v>
      </c>
      <c r="H239" s="3981" t="s">
        <v>4571</v>
      </c>
      <c r="I239" s="3980" t="s">
        <v>4572</v>
      </c>
      <c r="J239" s="3981" t="s">
        <v>4573</v>
      </c>
      <c r="K239" s="3980" t="s">
        <v>4574</v>
      </c>
      <c r="L239" s="3981" t="s">
        <v>4575</v>
      </c>
      <c r="M239" s="3980" t="s">
        <v>4576</v>
      </c>
      <c r="N239" s="3983" t="s">
        <v>4577</v>
      </c>
      <c r="O239" s="3984" t="s">
        <v>4578</v>
      </c>
      <c r="P239" s="3912" t="s">
        <v>4579</v>
      </c>
      <c r="Q239" s="329" t="s">
        <v>4580</v>
      </c>
      <c r="R239" s="3913" t="s">
        <v>4581</v>
      </c>
      <c r="S239" s="329" t="s">
        <v>4582</v>
      </c>
      <c r="T239" s="3913" t="s">
        <v>4583</v>
      </c>
      <c r="U239" s="329" t="s">
        <v>4584</v>
      </c>
      <c r="V239" s="3913" t="s">
        <v>4585</v>
      </c>
      <c r="W239" s="329" t="s">
        <v>4586</v>
      </c>
      <c r="X239" s="3904" t="s">
        <v>4587</v>
      </c>
      <c r="Y239" s="329" t="s">
        <v>4588</v>
      </c>
      <c r="Z239" s="3904" t="s">
        <v>4589</v>
      </c>
      <c r="AA239" s="329" t="s">
        <v>4590</v>
      </c>
      <c r="AB239" s="3904" t="s">
        <v>4591</v>
      </c>
      <c r="AC239" s="329" t="s">
        <v>4592</v>
      </c>
      <c r="AD239" s="3913" t="s">
        <v>4593</v>
      </c>
      <c r="AE239" s="329" t="s">
        <v>4594</v>
      </c>
      <c r="AF239" s="3901" t="s">
        <v>4595</v>
      </c>
      <c r="AG239" s="2318" t="s">
        <v>4596</v>
      </c>
      <c r="AH239" s="3901" t="s">
        <v>4597</v>
      </c>
      <c r="AI239" s="2318" t="s">
        <v>4598</v>
      </c>
      <c r="AJ239" s="3901" t="s">
        <v>4599</v>
      </c>
      <c r="AK239" s="3976" t="s">
        <v>4600</v>
      </c>
      <c r="AL239" s="3956" t="s">
        <v>4601</v>
      </c>
      <c r="AM239" s="2318" t="s">
        <v>4602</v>
      </c>
      <c r="AN239" s="3904" t="s">
        <v>4603</v>
      </c>
      <c r="AO239" s="3943" t="s">
        <v>4604</v>
      </c>
      <c r="AP239" s="3903" t="s">
        <v>4605</v>
      </c>
      <c r="AQ239" s="329" t="s">
        <v>4606</v>
      </c>
      <c r="AR239" s="3904" t="s">
        <v>4934</v>
      </c>
      <c r="AS239" s="3943" t="s">
        <v>4935</v>
      </c>
      <c r="AT239" s="3903" t="s">
        <v>4936</v>
      </c>
      <c r="AU239" s="3943" t="s">
        <v>4937</v>
      </c>
      <c r="AV239" s="3903" t="s">
        <v>5234</v>
      </c>
      <c r="AW239" s="3943" t="s">
        <v>5235</v>
      </c>
      <c r="AX239" s="3904" t="s">
        <v>5236</v>
      </c>
      <c r="AY239" s="329" t="s">
        <v>5237</v>
      </c>
      <c r="AZ239" s="1864" t="e">
        <f>$CB239&amp;$CD239&amp;CE239&amp;CF239&amp;CG239&amp;CH239&amp;CI239&amp;CJ239&amp;CK239&amp;CL239&amp;CM239&amp;CN239&amp;CO239&amp;CP239&amp;CQ239&amp;CR239&amp;CS239&amp;CT239&amp;CU239&amp;CV239&amp;CW239&amp;CX239</f>
        <v>#VALUE!</v>
      </c>
      <c r="CB239" s="3944" t="str">
        <f t="shared" si="507"/>
        <v xml:space="preserve"> * El Total de Exámenes Confirmados Positivos por ISP NO DEBE SUPERAR los Exámenes Procesados. </v>
      </c>
      <c r="CC239" s="3945"/>
      <c r="CD239" s="1865" t="str">
        <f t="shared" si="508"/>
        <v xml:space="preserve"> * El número de Exámenes por Sexo Mujeres Confirmados positivos por ISP NO PUEDE Superar al número de Procesados. </v>
      </c>
      <c r="CE239" s="1936"/>
      <c r="CF239" s="1936"/>
      <c r="CG239" s="1936"/>
      <c r="CH239" s="1936"/>
      <c r="CI239" s="1936"/>
      <c r="CJ239" s="1865" t="e">
        <f t="shared" si="509"/>
        <v>#VALUE!</v>
      </c>
      <c r="CK239" s="1937"/>
      <c r="CL239" s="1865" t="e">
        <f t="shared" si="484"/>
        <v>#VALUE!</v>
      </c>
      <c r="CM239" s="1865" t="e">
        <f t="shared" si="485"/>
        <v>#VALUE!</v>
      </c>
      <c r="CN239" s="1865" t="str">
        <f t="shared" si="486"/>
        <v xml:space="preserve"> * Los exámenes de Pueblos originarios Procesados no pueden ser mayor que el Total de exámenes procesados.</v>
      </c>
      <c r="CO239" s="1865" t="str">
        <f t="shared" si="487"/>
        <v xml:space="preserve"> * Los exámenes procesados de Migrantes no pueden ser mayor que el Total de exámenes procesados.</v>
      </c>
      <c r="CP239" s="1865" t="e">
        <f t="shared" si="488"/>
        <v>#VALUE!</v>
      </c>
      <c r="CQ239" s="1865" t="str">
        <f t="shared" si="489"/>
        <v xml:space="preserve"> * Los exámenes Confirmados positivos por ISP de Pueblos originarios no pueden ser mayor que el Total de exámenes Procesados por ISP.</v>
      </c>
      <c r="CR239" s="1865" t="str">
        <f t="shared" si="490"/>
        <v xml:space="preserve"> * Los exámenes Confirmados positivos por ISP de Migrantes no pueden ser mayor que el Total de exámenes Procesados por ISP.</v>
      </c>
      <c r="CS239" s="1936"/>
      <c r="CT239" s="1936"/>
      <c r="CU239" s="2946" t="e">
        <f t="shared" si="491"/>
        <v>#VALUE!</v>
      </c>
      <c r="CV239" s="2946" t="e">
        <f t="shared" si="492"/>
        <v>#VALUE!</v>
      </c>
      <c r="DG239" s="3946">
        <f t="shared" si="493"/>
        <v>1</v>
      </c>
      <c r="DH239" s="3945"/>
      <c r="DI239" s="3922">
        <f t="shared" si="494"/>
        <v>1</v>
      </c>
      <c r="DJ239" s="1936"/>
      <c r="DK239" s="1936"/>
      <c r="DL239" s="1936"/>
      <c r="DM239" s="1936"/>
      <c r="DN239" s="1936"/>
      <c r="DO239" s="3922" t="e">
        <f t="shared" si="495"/>
        <v>#VALUE!</v>
      </c>
      <c r="DP239" s="1937"/>
      <c r="DQ239" s="3922" t="e">
        <f t="shared" si="496"/>
        <v>#VALUE!</v>
      </c>
      <c r="DR239" s="3922" t="e">
        <f t="shared" si="497"/>
        <v>#VALUE!</v>
      </c>
      <c r="DS239" s="3922">
        <f t="shared" si="498"/>
        <v>1</v>
      </c>
      <c r="DT239" s="3922">
        <f t="shared" si="499"/>
        <v>1</v>
      </c>
      <c r="DU239" s="3922" t="e">
        <f t="shared" si="500"/>
        <v>#VALUE!</v>
      </c>
      <c r="DV239" s="3922">
        <f t="shared" si="501"/>
        <v>1</v>
      </c>
      <c r="DW239" s="3922">
        <f t="shared" si="502"/>
        <v>1</v>
      </c>
      <c r="DX239" s="1936"/>
      <c r="DY239" s="1936"/>
      <c r="DZ239" s="3922" t="e">
        <f t="shared" si="503"/>
        <v>#VALUE!</v>
      </c>
      <c r="EA239" s="3922" t="e">
        <f t="shared" si="504"/>
        <v>#VALUE!</v>
      </c>
      <c r="EB239" s="2948" t="e">
        <f t="shared" si="505"/>
        <v>#VALUE!</v>
      </c>
      <c r="EC239" s="2948" t="e">
        <f t="shared" si="506"/>
        <v>#VALUE!</v>
      </c>
    </row>
    <row r="240" spans="1:133" ht="15" customHeight="1" x14ac:dyDescent="0.25">
      <c r="A240" s="5601">
        <v>11057103</v>
      </c>
      <c r="B240" s="6058"/>
      <c r="C240" s="3982" t="s">
        <v>1876</v>
      </c>
      <c r="D240" s="3978" t="s">
        <v>4567</v>
      </c>
      <c r="E240" s="344" t="s">
        <v>4568</v>
      </c>
      <c r="F240" s="3979" t="s">
        <v>4569</v>
      </c>
      <c r="G240" s="3980" t="s">
        <v>4570</v>
      </c>
      <c r="H240" s="3981" t="s">
        <v>4571</v>
      </c>
      <c r="I240" s="3980" t="s">
        <v>4572</v>
      </c>
      <c r="J240" s="3981" t="s">
        <v>4573</v>
      </c>
      <c r="K240" s="3980" t="s">
        <v>4574</v>
      </c>
      <c r="L240" s="3981" t="s">
        <v>4575</v>
      </c>
      <c r="M240" s="3980" t="s">
        <v>4576</v>
      </c>
      <c r="N240" s="3985" t="s">
        <v>4577</v>
      </c>
      <c r="O240" s="3986" t="s">
        <v>4578</v>
      </c>
      <c r="P240" s="3904" t="s">
        <v>4579</v>
      </c>
      <c r="Q240" s="329" t="s">
        <v>4580</v>
      </c>
      <c r="R240" s="3913" t="s">
        <v>4581</v>
      </c>
      <c r="S240" s="329" t="s">
        <v>4582</v>
      </c>
      <c r="T240" s="3913" t="s">
        <v>4583</v>
      </c>
      <c r="U240" s="329" t="s">
        <v>4584</v>
      </c>
      <c r="V240" s="3913" t="s">
        <v>4585</v>
      </c>
      <c r="W240" s="329" t="s">
        <v>4586</v>
      </c>
      <c r="X240" s="3904" t="s">
        <v>4587</v>
      </c>
      <c r="Y240" s="329" t="s">
        <v>4588</v>
      </c>
      <c r="Z240" s="3904" t="s">
        <v>4589</v>
      </c>
      <c r="AA240" s="329" t="s">
        <v>4590</v>
      </c>
      <c r="AB240" s="3904" t="s">
        <v>4591</v>
      </c>
      <c r="AC240" s="329" t="s">
        <v>4592</v>
      </c>
      <c r="AD240" s="3913" t="s">
        <v>4593</v>
      </c>
      <c r="AE240" s="329" t="s">
        <v>4594</v>
      </c>
      <c r="AF240" s="3904" t="s">
        <v>4595</v>
      </c>
      <c r="AG240" s="329" t="s">
        <v>4596</v>
      </c>
      <c r="AH240" s="3904" t="s">
        <v>4597</v>
      </c>
      <c r="AI240" s="329" t="s">
        <v>4598</v>
      </c>
      <c r="AJ240" s="3904" t="s">
        <v>4599</v>
      </c>
      <c r="AK240" s="3943" t="s">
        <v>4600</v>
      </c>
      <c r="AL240" s="3903" t="s">
        <v>4601</v>
      </c>
      <c r="AM240" s="329" t="s">
        <v>4602</v>
      </c>
      <c r="AN240" s="3904" t="s">
        <v>4603</v>
      </c>
      <c r="AO240" s="3943" t="s">
        <v>4604</v>
      </c>
      <c r="AP240" s="3903" t="s">
        <v>4605</v>
      </c>
      <c r="AQ240" s="329" t="s">
        <v>4606</v>
      </c>
      <c r="AR240" s="3904" t="s">
        <v>4934</v>
      </c>
      <c r="AS240" s="3943" t="s">
        <v>4935</v>
      </c>
      <c r="AT240" s="3903" t="s">
        <v>4936</v>
      </c>
      <c r="AU240" s="3943" t="s">
        <v>4937</v>
      </c>
      <c r="AV240" s="3903" t="s">
        <v>5234</v>
      </c>
      <c r="AW240" s="3943" t="s">
        <v>5235</v>
      </c>
      <c r="AX240" s="3904" t="s">
        <v>5236</v>
      </c>
      <c r="AY240" s="329" t="s">
        <v>5237</v>
      </c>
      <c r="AZ240" s="1864" t="e">
        <f>$CB240&amp;CC240&amp;$CD240&amp;CE240&amp;CF240&amp;CG240&amp;CH240&amp;CI240&amp;CJ240&amp;CK240&amp;CL240&amp;CM240&amp;CN240&amp;CO240&amp;CP240&amp;CQ240&amp;CR240&amp;CS240&amp;CT240&amp;CU240&amp;CV240&amp;CW240&amp;CX240</f>
        <v>#VALUE!</v>
      </c>
      <c r="CB240" s="3944" t="str">
        <f t="shared" si="507"/>
        <v xml:space="preserve"> * El Total de Exámenes Confirmados Positivos por ISP NO DEBE SUPERAR los Exámenes Procesados. </v>
      </c>
      <c r="CC240" s="1865" t="str">
        <f>IF(AM240&gt;AL240,"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240" s="1865" t="str">
        <f t="shared" si="508"/>
        <v xml:space="preserve"> * El número de Exámenes por Sexo Mujeres Confirmados positivos por ISP NO PUEDE Superar al número de Procesados. </v>
      </c>
      <c r="CE240" s="1936"/>
      <c r="CF240" s="1936"/>
      <c r="CG240" s="1936"/>
      <c r="CH240" s="1936"/>
      <c r="CI240" s="1936"/>
      <c r="CJ240" s="1865" t="e">
        <f t="shared" si="509"/>
        <v>#VALUE!</v>
      </c>
      <c r="CK240" s="1937"/>
      <c r="CL240" s="1865" t="e">
        <f t="shared" si="484"/>
        <v>#VALUE!</v>
      </c>
      <c r="CM240" s="1865" t="e">
        <f t="shared" si="485"/>
        <v>#VALUE!</v>
      </c>
      <c r="CN240" s="1865" t="str">
        <f t="shared" si="486"/>
        <v xml:space="preserve"> * Los exámenes de Pueblos originarios Procesados no pueden ser mayor que el Total de exámenes procesados.</v>
      </c>
      <c r="CO240" s="1865" t="str">
        <f t="shared" si="487"/>
        <v xml:space="preserve"> * Los exámenes procesados de Migrantes no pueden ser mayor que el Total de exámenes procesados.</v>
      </c>
      <c r="CP240" s="1865" t="e">
        <f t="shared" si="488"/>
        <v>#VALUE!</v>
      </c>
      <c r="CQ240" s="1865" t="str">
        <f t="shared" si="489"/>
        <v xml:space="preserve"> * Los exámenes Confirmados positivos por ISP de Pueblos originarios no pueden ser mayor que el Total de exámenes Procesados por ISP.</v>
      </c>
      <c r="CR240" s="1865" t="str">
        <f t="shared" si="490"/>
        <v xml:space="preserve"> * Los exámenes Confirmados positivos por ISP de Migrantes no pueden ser mayor que el Total de exámenes Procesados por ISP.</v>
      </c>
      <c r="CS240" s="1936"/>
      <c r="CT240" s="1936"/>
      <c r="CU240" s="2946" t="e">
        <f>IF(AND((N240+P240)&gt;0,AX240=""),"*No olvide digitar los Exámenes Procesados de 14-18 años. Digite cero si no tiene.",IF(AX240&gt;(N240+P240),"* El Total de Procesados de 14-18 años NO DEBE ser mayor al Total de Procesados registrados en los grupos de edad 10 a 14 + 15 a 19 años. ",""))</f>
        <v>#VALUE!</v>
      </c>
      <c r="CV240" s="2946" t="e">
        <f t="shared" si="492"/>
        <v>#VALUE!</v>
      </c>
      <c r="DG240" s="3946">
        <f t="shared" si="493"/>
        <v>1</v>
      </c>
      <c r="DH240" s="3922">
        <f t="shared" ref="DH240:DH259" si="510">IF(AM240&gt;AL240,1,0)</f>
        <v>1</v>
      </c>
      <c r="DI240" s="3922">
        <f t="shared" si="494"/>
        <v>1</v>
      </c>
      <c r="DJ240" s="1936"/>
      <c r="DK240" s="1936"/>
      <c r="DL240" s="1936"/>
      <c r="DM240" s="1936"/>
      <c r="DN240" s="1936"/>
      <c r="DO240" s="3922" t="e">
        <f t="shared" si="495"/>
        <v>#VALUE!</v>
      </c>
      <c r="DP240" s="1937"/>
      <c r="DQ240" s="3922" t="e">
        <f t="shared" si="496"/>
        <v>#VALUE!</v>
      </c>
      <c r="DR240" s="3922" t="e">
        <f t="shared" si="497"/>
        <v>#VALUE!</v>
      </c>
      <c r="DS240" s="3922">
        <f t="shared" si="498"/>
        <v>1</v>
      </c>
      <c r="DT240" s="3922">
        <f t="shared" si="499"/>
        <v>1</v>
      </c>
      <c r="DU240" s="3922" t="e">
        <f t="shared" si="500"/>
        <v>#VALUE!</v>
      </c>
      <c r="DV240" s="3922">
        <f t="shared" si="501"/>
        <v>1</v>
      </c>
      <c r="DW240" s="3922">
        <f t="shared" si="502"/>
        <v>1</v>
      </c>
      <c r="DX240" s="1936"/>
      <c r="DY240" s="1936"/>
      <c r="DZ240" s="3922" t="e">
        <f t="shared" si="503"/>
        <v>#VALUE!</v>
      </c>
      <c r="EA240" s="3922" t="e">
        <f t="shared" si="504"/>
        <v>#VALUE!</v>
      </c>
      <c r="EB240" s="2948" t="e">
        <f t="shared" si="505"/>
        <v>#VALUE!</v>
      </c>
      <c r="EC240" s="2948" t="e">
        <f t="shared" si="506"/>
        <v>#VALUE!</v>
      </c>
    </row>
    <row r="241" spans="1:133" ht="15" customHeight="1" x14ac:dyDescent="0.25">
      <c r="A241" s="5601">
        <v>11057104</v>
      </c>
      <c r="B241" s="6058"/>
      <c r="C241" s="3977" t="s">
        <v>1914</v>
      </c>
      <c r="D241" s="3978" t="s">
        <v>4567</v>
      </c>
      <c r="E241" s="3987" t="s">
        <v>4568</v>
      </c>
      <c r="F241" s="44" t="s">
        <v>4569</v>
      </c>
      <c r="G241" s="142" t="s">
        <v>4570</v>
      </c>
      <c r="H241" s="44" t="s">
        <v>4571</v>
      </c>
      <c r="I241" s="142" t="s">
        <v>4572</v>
      </c>
      <c r="J241" s="44" t="s">
        <v>4573</v>
      </c>
      <c r="K241" s="142" t="s">
        <v>4574</v>
      </c>
      <c r="L241" s="44" t="s">
        <v>4575</v>
      </c>
      <c r="M241" s="142" t="s">
        <v>4576</v>
      </c>
      <c r="N241" s="44" t="s">
        <v>4577</v>
      </c>
      <c r="O241" s="142" t="s">
        <v>4578</v>
      </c>
      <c r="P241" s="3912" t="s">
        <v>4579</v>
      </c>
      <c r="Q241" s="329" t="s">
        <v>4580</v>
      </c>
      <c r="R241" s="3913" t="s">
        <v>4581</v>
      </c>
      <c r="S241" s="329" t="s">
        <v>4582</v>
      </c>
      <c r="T241" s="3913" t="s">
        <v>4583</v>
      </c>
      <c r="U241" s="329" t="s">
        <v>4584</v>
      </c>
      <c r="V241" s="3913" t="s">
        <v>4585</v>
      </c>
      <c r="W241" s="329" t="s">
        <v>4586</v>
      </c>
      <c r="X241" s="3904" t="s">
        <v>4587</v>
      </c>
      <c r="Y241" s="329" t="s">
        <v>4588</v>
      </c>
      <c r="Z241" s="3904" t="s">
        <v>4589</v>
      </c>
      <c r="AA241" s="329" t="s">
        <v>4590</v>
      </c>
      <c r="AB241" s="3904" t="s">
        <v>4591</v>
      </c>
      <c r="AC241" s="329" t="s">
        <v>4592</v>
      </c>
      <c r="AD241" s="3913" t="s">
        <v>4593</v>
      </c>
      <c r="AE241" s="329" t="s">
        <v>4594</v>
      </c>
      <c r="AF241" s="3904" t="s">
        <v>4595</v>
      </c>
      <c r="AG241" s="329" t="s">
        <v>4596</v>
      </c>
      <c r="AH241" s="3904" t="s">
        <v>4597</v>
      </c>
      <c r="AI241" s="329" t="s">
        <v>4598</v>
      </c>
      <c r="AJ241" s="3904" t="s">
        <v>4599</v>
      </c>
      <c r="AK241" s="3943" t="s">
        <v>4600</v>
      </c>
      <c r="AL241" s="3903" t="s">
        <v>4601</v>
      </c>
      <c r="AM241" s="329" t="s">
        <v>4602</v>
      </c>
      <c r="AN241" s="3904" t="s">
        <v>4603</v>
      </c>
      <c r="AO241" s="3943" t="s">
        <v>4604</v>
      </c>
      <c r="AP241" s="3903" t="s">
        <v>4605</v>
      </c>
      <c r="AQ241" s="329" t="s">
        <v>4606</v>
      </c>
      <c r="AR241" s="3904" t="s">
        <v>4934</v>
      </c>
      <c r="AS241" s="3943" t="s">
        <v>4935</v>
      </c>
      <c r="AT241" s="3903" t="s">
        <v>4936</v>
      </c>
      <c r="AU241" s="3943" t="s">
        <v>4937</v>
      </c>
      <c r="AV241" s="3903" t="s">
        <v>5234</v>
      </c>
      <c r="AW241" s="3943" t="s">
        <v>5235</v>
      </c>
      <c r="AX241" s="3904" t="s">
        <v>5236</v>
      </c>
      <c r="AY241" s="329" t="s">
        <v>5237</v>
      </c>
      <c r="AZ241" s="1864" t="e">
        <f t="shared" ref="AZ241:AZ259" si="511">$CB241&amp;CC241&amp;$CD241&amp;CE241&amp;CF241&amp;CG241&amp;CH241&amp;CI241&amp;CJ241&amp;CK241&amp;CL241&amp;CM241&amp;CN241&amp;CO241&amp;CP241&amp;CQ241&amp;CR241&amp;CS241&amp;CT241&amp;CU241&amp;CV241&amp;CW241&amp;CX241</f>
        <v>#VALUE!</v>
      </c>
      <c r="CB241" s="3944" t="str">
        <f t="shared" si="507"/>
        <v xml:space="preserve"> * El Total de Exámenes Confirmados Positivos por ISP NO DEBE SUPERAR los Exámenes Procesados. </v>
      </c>
      <c r="CC241" s="1865" t="str">
        <f t="shared" ref="CC241:CC259" si="512">IF(AM241&gt;AL241,"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241" s="1865" t="str">
        <f t="shared" si="508"/>
        <v xml:space="preserve"> * El número de Exámenes por Sexo Mujeres Confirmados positivos por ISP NO PUEDE Superar al número de Procesados. </v>
      </c>
      <c r="CE241" s="1936"/>
      <c r="CF241" s="1936"/>
      <c r="CG241" s="1936"/>
      <c r="CH241" s="1936"/>
      <c r="CI241" s="1936"/>
      <c r="CJ241" s="1865" t="e">
        <f t="shared" si="509"/>
        <v>#VALUE!</v>
      </c>
      <c r="CK241" s="1937"/>
      <c r="CL241" s="1865" t="e">
        <f t="shared" si="484"/>
        <v>#VALUE!</v>
      </c>
      <c r="CM241" s="1865" t="e">
        <f t="shared" si="485"/>
        <v>#VALUE!</v>
      </c>
      <c r="CN241" s="1865" t="str">
        <f t="shared" si="486"/>
        <v xml:space="preserve"> * Los exámenes de Pueblos originarios Procesados no pueden ser mayor que el Total de exámenes procesados.</v>
      </c>
      <c r="CO241" s="1865" t="str">
        <f t="shared" si="487"/>
        <v xml:space="preserve"> * Los exámenes procesados de Migrantes no pueden ser mayor que el Total de exámenes procesados.</v>
      </c>
      <c r="CP241" s="1865" t="e">
        <f t="shared" si="488"/>
        <v>#VALUE!</v>
      </c>
      <c r="CQ241" s="1865" t="str">
        <f t="shared" si="489"/>
        <v xml:space="preserve"> * Los exámenes Confirmados positivos por ISP de Pueblos originarios no pueden ser mayor que el Total de exámenes Procesados por ISP.</v>
      </c>
      <c r="CR241" s="1865" t="str">
        <f t="shared" si="490"/>
        <v xml:space="preserve"> * Los exámenes Confirmados positivos por ISP de Migrantes no pueden ser mayor que el Total de exámenes Procesados por ISP.</v>
      </c>
      <c r="CS241" s="1936"/>
      <c r="CT241" s="1936"/>
      <c r="CU241" s="2946" t="e">
        <f t="shared" si="491"/>
        <v>#VALUE!</v>
      </c>
      <c r="CV241" s="2946" t="e">
        <f t="shared" si="492"/>
        <v>#VALUE!</v>
      </c>
      <c r="DG241" s="3946">
        <f t="shared" si="493"/>
        <v>1</v>
      </c>
      <c r="DH241" s="3922">
        <f t="shared" si="510"/>
        <v>1</v>
      </c>
      <c r="DI241" s="3922">
        <f t="shared" si="494"/>
        <v>1</v>
      </c>
      <c r="DJ241" s="1936"/>
      <c r="DK241" s="1936"/>
      <c r="DL241" s="1936"/>
      <c r="DM241" s="1936"/>
      <c r="DN241" s="1936"/>
      <c r="DO241" s="3922" t="e">
        <f t="shared" si="495"/>
        <v>#VALUE!</v>
      </c>
      <c r="DP241" s="1937"/>
      <c r="DQ241" s="3922" t="e">
        <f t="shared" si="496"/>
        <v>#VALUE!</v>
      </c>
      <c r="DR241" s="3922" t="e">
        <f t="shared" si="497"/>
        <v>#VALUE!</v>
      </c>
      <c r="DS241" s="3922">
        <f t="shared" si="498"/>
        <v>1</v>
      </c>
      <c r="DT241" s="3922">
        <f t="shared" si="499"/>
        <v>1</v>
      </c>
      <c r="DU241" s="3922" t="e">
        <f t="shared" si="500"/>
        <v>#VALUE!</v>
      </c>
      <c r="DV241" s="3922">
        <f t="shared" si="501"/>
        <v>1</v>
      </c>
      <c r="DW241" s="3922">
        <f t="shared" si="502"/>
        <v>1</v>
      </c>
      <c r="DX241" s="1936"/>
      <c r="DY241" s="1936"/>
      <c r="DZ241" s="3922" t="e">
        <f t="shared" si="503"/>
        <v>#VALUE!</v>
      </c>
      <c r="EA241" s="3922" t="e">
        <f t="shared" si="504"/>
        <v>#VALUE!</v>
      </c>
      <c r="EB241" s="2948" t="e">
        <f t="shared" si="505"/>
        <v>#VALUE!</v>
      </c>
      <c r="EC241" s="2948" t="e">
        <f t="shared" si="506"/>
        <v>#VALUE!</v>
      </c>
    </row>
    <row r="242" spans="1:133" ht="24" customHeight="1" x14ac:dyDescent="0.25">
      <c r="A242" s="5601">
        <v>11057105</v>
      </c>
      <c r="B242" s="6058"/>
      <c r="C242" s="3988" t="s">
        <v>1915</v>
      </c>
      <c r="D242" s="3989" t="s">
        <v>4567</v>
      </c>
      <c r="E242" s="344" t="s">
        <v>4568</v>
      </c>
      <c r="F242" s="3979" t="s">
        <v>4569</v>
      </c>
      <c r="G242" s="3980" t="s">
        <v>4570</v>
      </c>
      <c r="H242" s="3981" t="s">
        <v>4571</v>
      </c>
      <c r="I242" s="3980" t="s">
        <v>4572</v>
      </c>
      <c r="J242" s="3981" t="s">
        <v>4573</v>
      </c>
      <c r="K242" s="3980" t="s">
        <v>4574</v>
      </c>
      <c r="L242" s="3981" t="s">
        <v>4575</v>
      </c>
      <c r="M242" s="3980" t="s">
        <v>4576</v>
      </c>
      <c r="N242" s="3913" t="s">
        <v>4577</v>
      </c>
      <c r="O242" s="329" t="s">
        <v>4578</v>
      </c>
      <c r="P242" s="3904" t="s">
        <v>4579</v>
      </c>
      <c r="Q242" s="329" t="s">
        <v>4580</v>
      </c>
      <c r="R242" s="3913" t="s">
        <v>4581</v>
      </c>
      <c r="S242" s="329" t="s">
        <v>4582</v>
      </c>
      <c r="T242" s="3913" t="s">
        <v>4583</v>
      </c>
      <c r="U242" s="329" t="s">
        <v>4584</v>
      </c>
      <c r="V242" s="3913" t="s">
        <v>4585</v>
      </c>
      <c r="W242" s="329" t="s">
        <v>4586</v>
      </c>
      <c r="X242" s="3904" t="s">
        <v>4587</v>
      </c>
      <c r="Y242" s="329" t="s">
        <v>4588</v>
      </c>
      <c r="Z242" s="3904" t="s">
        <v>4589</v>
      </c>
      <c r="AA242" s="329" t="s">
        <v>4590</v>
      </c>
      <c r="AB242" s="3904" t="s">
        <v>4591</v>
      </c>
      <c r="AC242" s="329" t="s">
        <v>4592</v>
      </c>
      <c r="AD242" s="3913" t="s">
        <v>4593</v>
      </c>
      <c r="AE242" s="329" t="s">
        <v>4594</v>
      </c>
      <c r="AF242" s="3904" t="s">
        <v>4595</v>
      </c>
      <c r="AG242" s="329" t="s">
        <v>4596</v>
      </c>
      <c r="AH242" s="3904" t="s">
        <v>4597</v>
      </c>
      <c r="AI242" s="329" t="s">
        <v>4598</v>
      </c>
      <c r="AJ242" s="3904" t="s">
        <v>4599</v>
      </c>
      <c r="AK242" s="3943" t="s">
        <v>4600</v>
      </c>
      <c r="AL242" s="3903" t="s">
        <v>4601</v>
      </c>
      <c r="AM242" s="329" t="s">
        <v>4602</v>
      </c>
      <c r="AN242" s="3904" t="s">
        <v>4603</v>
      </c>
      <c r="AO242" s="3943" t="s">
        <v>4604</v>
      </c>
      <c r="AP242" s="3903" t="s">
        <v>4605</v>
      </c>
      <c r="AQ242" s="329" t="s">
        <v>4606</v>
      </c>
      <c r="AR242" s="3904" t="s">
        <v>4934</v>
      </c>
      <c r="AS242" s="3943" t="s">
        <v>4935</v>
      </c>
      <c r="AT242" s="3903" t="s">
        <v>4936</v>
      </c>
      <c r="AU242" s="3943" t="s">
        <v>4937</v>
      </c>
      <c r="AV242" s="3903" t="s">
        <v>5234</v>
      </c>
      <c r="AW242" s="3943" t="s">
        <v>5235</v>
      </c>
      <c r="AX242" s="3904" t="s">
        <v>5236</v>
      </c>
      <c r="AY242" s="329" t="s">
        <v>5237</v>
      </c>
      <c r="AZ242" s="1864" t="e">
        <f t="shared" si="511"/>
        <v>#VALUE!</v>
      </c>
      <c r="CB242" s="3944" t="str">
        <f t="shared" si="507"/>
        <v xml:space="preserve"> * El Total de Exámenes Confirmados Positivos por ISP NO DEBE SUPERAR los Exámenes Procesados. </v>
      </c>
      <c r="CC242" s="1865" t="str">
        <f t="shared" si="512"/>
        <v xml:space="preserve"> * El número de Exámenes por Sexo Hombres Confirmados positivos por ISP NO PUEDE Superar al número de Procesados. </v>
      </c>
      <c r="CD242" s="1865" t="str">
        <f t="shared" si="508"/>
        <v xml:space="preserve"> * El número de Exámenes por Sexo Mujeres Confirmados positivos por ISP NO PUEDE Superar al número de Procesados. </v>
      </c>
      <c r="CE242" s="1936"/>
      <c r="CF242" s="1936"/>
      <c r="CG242" s="1936"/>
      <c r="CH242" s="1936"/>
      <c r="CI242" s="1936"/>
      <c r="CJ242" s="1865" t="e">
        <f t="shared" si="509"/>
        <v>#VALUE!</v>
      </c>
      <c r="CK242" s="1937"/>
      <c r="CL242" s="1865" t="e">
        <f t="shared" si="484"/>
        <v>#VALUE!</v>
      </c>
      <c r="CM242" s="1865" t="e">
        <f t="shared" si="485"/>
        <v>#VALUE!</v>
      </c>
      <c r="CN242" s="1865" t="str">
        <f t="shared" si="486"/>
        <v xml:space="preserve"> * Los exámenes de Pueblos originarios Procesados no pueden ser mayor que el Total de exámenes procesados.</v>
      </c>
      <c r="CO242" s="1865" t="str">
        <f t="shared" si="487"/>
        <v xml:space="preserve"> * Los exámenes procesados de Migrantes no pueden ser mayor que el Total de exámenes procesados.</v>
      </c>
      <c r="CP242" s="1865" t="e">
        <f t="shared" si="488"/>
        <v>#VALUE!</v>
      </c>
      <c r="CQ242" s="1865" t="str">
        <f t="shared" si="489"/>
        <v xml:space="preserve"> * Los exámenes Confirmados positivos por ISP de Pueblos originarios no pueden ser mayor que el Total de exámenes Procesados por ISP.</v>
      </c>
      <c r="CR242" s="1865" t="str">
        <f t="shared" si="490"/>
        <v xml:space="preserve"> * Los exámenes Confirmados positivos por ISP de Migrantes no pueden ser mayor que el Total de exámenes Procesados por ISP.</v>
      </c>
      <c r="CS242" s="1936"/>
      <c r="CT242" s="1936"/>
      <c r="CU242" s="2946" t="e">
        <f t="shared" si="491"/>
        <v>#VALUE!</v>
      </c>
      <c r="CV242" s="2946" t="e">
        <f t="shared" si="492"/>
        <v>#VALUE!</v>
      </c>
      <c r="DG242" s="3946">
        <f t="shared" si="493"/>
        <v>1</v>
      </c>
      <c r="DH242" s="3922">
        <f t="shared" si="510"/>
        <v>1</v>
      </c>
      <c r="DI242" s="3922">
        <f t="shared" si="494"/>
        <v>1</v>
      </c>
      <c r="DJ242" s="1936"/>
      <c r="DK242" s="1936"/>
      <c r="DL242" s="1936"/>
      <c r="DM242" s="1936"/>
      <c r="DN242" s="1936"/>
      <c r="DO242" s="3922" t="e">
        <f t="shared" si="495"/>
        <v>#VALUE!</v>
      </c>
      <c r="DP242" s="1937"/>
      <c r="DQ242" s="3922" t="e">
        <f t="shared" si="496"/>
        <v>#VALUE!</v>
      </c>
      <c r="DR242" s="3922" t="e">
        <f t="shared" si="497"/>
        <v>#VALUE!</v>
      </c>
      <c r="DS242" s="3922">
        <f t="shared" si="498"/>
        <v>1</v>
      </c>
      <c r="DT242" s="3922">
        <f t="shared" si="499"/>
        <v>1</v>
      </c>
      <c r="DU242" s="3922" t="e">
        <f t="shared" si="500"/>
        <v>#VALUE!</v>
      </c>
      <c r="DV242" s="3922">
        <f t="shared" si="501"/>
        <v>1</v>
      </c>
      <c r="DW242" s="3922">
        <f t="shared" si="502"/>
        <v>1</v>
      </c>
      <c r="DX242" s="1936"/>
      <c r="DY242" s="1936"/>
      <c r="DZ242" s="3922" t="e">
        <f t="shared" si="503"/>
        <v>#VALUE!</v>
      </c>
      <c r="EA242" s="3922" t="e">
        <f t="shared" si="504"/>
        <v>#VALUE!</v>
      </c>
      <c r="EB242" s="2948" t="e">
        <f t="shared" si="505"/>
        <v>#VALUE!</v>
      </c>
      <c r="EC242" s="2948" t="e">
        <f t="shared" si="506"/>
        <v>#VALUE!</v>
      </c>
    </row>
    <row r="243" spans="1:133" ht="15" customHeight="1" x14ac:dyDescent="0.25">
      <c r="A243" s="5601">
        <v>11057106</v>
      </c>
      <c r="B243" s="6058"/>
      <c r="C243" s="3977" t="s">
        <v>1940</v>
      </c>
      <c r="D243" s="3978" t="s">
        <v>4567</v>
      </c>
      <c r="E243" s="344" t="s">
        <v>4568</v>
      </c>
      <c r="F243" s="3979" t="s">
        <v>4569</v>
      </c>
      <c r="G243" s="3980" t="s">
        <v>4570</v>
      </c>
      <c r="H243" s="3981" t="s">
        <v>4571</v>
      </c>
      <c r="I243" s="3980" t="s">
        <v>4572</v>
      </c>
      <c r="J243" s="3981" t="s">
        <v>4573</v>
      </c>
      <c r="K243" s="3980" t="s">
        <v>4574</v>
      </c>
      <c r="L243" s="3981" t="s">
        <v>4575</v>
      </c>
      <c r="M243" s="3980" t="s">
        <v>4576</v>
      </c>
      <c r="N243" s="3990" t="s">
        <v>4577</v>
      </c>
      <c r="O243" s="3991" t="s">
        <v>4578</v>
      </c>
      <c r="P243" s="3904" t="s">
        <v>4579</v>
      </c>
      <c r="Q243" s="329" t="s">
        <v>4580</v>
      </c>
      <c r="R243" s="3913" t="s">
        <v>4581</v>
      </c>
      <c r="S243" s="329" t="s">
        <v>4582</v>
      </c>
      <c r="T243" s="3913" t="s">
        <v>4583</v>
      </c>
      <c r="U243" s="329" t="s">
        <v>4584</v>
      </c>
      <c r="V243" s="3913" t="s">
        <v>4585</v>
      </c>
      <c r="W243" s="329" t="s">
        <v>4586</v>
      </c>
      <c r="X243" s="3904" t="s">
        <v>4587</v>
      </c>
      <c r="Y243" s="329" t="s">
        <v>4588</v>
      </c>
      <c r="Z243" s="3904" t="s">
        <v>4589</v>
      </c>
      <c r="AA243" s="329" t="s">
        <v>4590</v>
      </c>
      <c r="AB243" s="3904" t="s">
        <v>4591</v>
      </c>
      <c r="AC243" s="329" t="s">
        <v>4592</v>
      </c>
      <c r="AD243" s="3913" t="s">
        <v>4593</v>
      </c>
      <c r="AE243" s="329" t="s">
        <v>4594</v>
      </c>
      <c r="AF243" s="3904" t="s">
        <v>4595</v>
      </c>
      <c r="AG243" s="329" t="s">
        <v>4596</v>
      </c>
      <c r="AH243" s="3904" t="s">
        <v>4597</v>
      </c>
      <c r="AI243" s="329" t="s">
        <v>4598</v>
      </c>
      <c r="AJ243" s="3904" t="s">
        <v>4599</v>
      </c>
      <c r="AK243" s="3943" t="s">
        <v>4600</v>
      </c>
      <c r="AL243" s="3903" t="s">
        <v>4601</v>
      </c>
      <c r="AM243" s="329" t="s">
        <v>4602</v>
      </c>
      <c r="AN243" s="3904" t="s">
        <v>4603</v>
      </c>
      <c r="AO243" s="3943" t="s">
        <v>4604</v>
      </c>
      <c r="AP243" s="3903" t="s">
        <v>4605</v>
      </c>
      <c r="AQ243" s="329" t="s">
        <v>4606</v>
      </c>
      <c r="AR243" s="3904" t="s">
        <v>4934</v>
      </c>
      <c r="AS243" s="3943" t="s">
        <v>4935</v>
      </c>
      <c r="AT243" s="3903" t="s">
        <v>4936</v>
      </c>
      <c r="AU243" s="3943" t="s">
        <v>4937</v>
      </c>
      <c r="AV243" s="3903" t="s">
        <v>5234</v>
      </c>
      <c r="AW243" s="3943" t="s">
        <v>5235</v>
      </c>
      <c r="AX243" s="3904" t="s">
        <v>5236</v>
      </c>
      <c r="AY243" s="329" t="s">
        <v>5237</v>
      </c>
      <c r="AZ243" s="1864" t="e">
        <f t="shared" si="511"/>
        <v>#VALUE!</v>
      </c>
      <c r="CB243" s="3944" t="str">
        <f t="shared" si="507"/>
        <v xml:space="preserve"> * El Total de Exámenes Confirmados Positivos por ISP NO DEBE SUPERAR los Exámenes Procesados. </v>
      </c>
      <c r="CC243" s="1865" t="str">
        <f t="shared" si="512"/>
        <v xml:space="preserve"> * El número de Exámenes por Sexo Hombres Confirmados positivos por ISP NO PUEDE Superar al número de Procesados. </v>
      </c>
      <c r="CD243" s="1865" t="str">
        <f t="shared" si="508"/>
        <v xml:space="preserve"> * El número de Exámenes por Sexo Mujeres Confirmados positivos por ISP NO PUEDE Superar al número de Procesados. </v>
      </c>
      <c r="CE243" s="1936"/>
      <c r="CF243" s="1936"/>
      <c r="CG243" s="1936"/>
      <c r="CH243" s="1936"/>
      <c r="CI243" s="1936"/>
      <c r="CJ243" s="1865" t="e">
        <f t="shared" si="509"/>
        <v>#VALUE!</v>
      </c>
      <c r="CK243" s="1937"/>
      <c r="CL243" s="1865" t="e">
        <f t="shared" si="484"/>
        <v>#VALUE!</v>
      </c>
      <c r="CM243" s="1865" t="e">
        <f t="shared" si="485"/>
        <v>#VALUE!</v>
      </c>
      <c r="CN243" s="1865" t="str">
        <f t="shared" si="486"/>
        <v xml:space="preserve"> * Los exámenes de Pueblos originarios Procesados no pueden ser mayor que el Total de exámenes procesados.</v>
      </c>
      <c r="CO243" s="1865" t="str">
        <f t="shared" si="487"/>
        <v xml:space="preserve"> * Los exámenes procesados de Migrantes no pueden ser mayor que el Total de exámenes procesados.</v>
      </c>
      <c r="CP243" s="1865" t="e">
        <f t="shared" si="488"/>
        <v>#VALUE!</v>
      </c>
      <c r="CQ243" s="1865" t="str">
        <f t="shared" si="489"/>
        <v xml:space="preserve"> * Los exámenes Confirmados positivos por ISP de Pueblos originarios no pueden ser mayor que el Total de exámenes Procesados por ISP.</v>
      </c>
      <c r="CR243" s="1865" t="str">
        <f t="shared" si="490"/>
        <v xml:space="preserve"> * Los exámenes Confirmados positivos por ISP de Migrantes no pueden ser mayor que el Total de exámenes Procesados por ISP.</v>
      </c>
      <c r="CS243" s="1936"/>
      <c r="CT243" s="1936"/>
      <c r="CU243" s="2946" t="e">
        <f t="shared" si="491"/>
        <v>#VALUE!</v>
      </c>
      <c r="CV243" s="2946" t="e">
        <f t="shared" si="492"/>
        <v>#VALUE!</v>
      </c>
      <c r="DG243" s="3946">
        <f t="shared" si="493"/>
        <v>1</v>
      </c>
      <c r="DH243" s="3922">
        <f t="shared" si="510"/>
        <v>1</v>
      </c>
      <c r="DI243" s="3922">
        <f t="shared" si="494"/>
        <v>1</v>
      </c>
      <c r="DJ243" s="1936"/>
      <c r="DK243" s="1936"/>
      <c r="DL243" s="1936"/>
      <c r="DM243" s="1936"/>
      <c r="DN243" s="1936"/>
      <c r="DO243" s="3922" t="e">
        <f t="shared" si="495"/>
        <v>#VALUE!</v>
      </c>
      <c r="DP243" s="1937"/>
      <c r="DQ243" s="3922" t="e">
        <f t="shared" si="496"/>
        <v>#VALUE!</v>
      </c>
      <c r="DR243" s="3922" t="e">
        <f t="shared" si="497"/>
        <v>#VALUE!</v>
      </c>
      <c r="DS243" s="3922">
        <f t="shared" si="498"/>
        <v>1</v>
      </c>
      <c r="DT243" s="3922">
        <f t="shared" si="499"/>
        <v>1</v>
      </c>
      <c r="DU243" s="3922" t="e">
        <f t="shared" si="500"/>
        <v>#VALUE!</v>
      </c>
      <c r="DV243" s="3922">
        <f t="shared" si="501"/>
        <v>1</v>
      </c>
      <c r="DW243" s="3922">
        <f t="shared" si="502"/>
        <v>1</v>
      </c>
      <c r="DX243" s="1936"/>
      <c r="DY243" s="1936"/>
      <c r="DZ243" s="3922" t="e">
        <f t="shared" si="503"/>
        <v>#VALUE!</v>
      </c>
      <c r="EA243" s="3922" t="e">
        <f t="shared" si="504"/>
        <v>#VALUE!</v>
      </c>
      <c r="EB243" s="2948" t="e">
        <f t="shared" si="505"/>
        <v>#VALUE!</v>
      </c>
      <c r="EC243" s="2948" t="e">
        <f t="shared" si="506"/>
        <v>#VALUE!</v>
      </c>
    </row>
    <row r="244" spans="1:133" ht="24" customHeight="1" x14ac:dyDescent="0.25">
      <c r="A244" s="5601">
        <v>11057107</v>
      </c>
      <c r="B244" s="6058"/>
      <c r="C244" s="3982" t="s">
        <v>1916</v>
      </c>
      <c r="D244" s="3992" t="s">
        <v>4567</v>
      </c>
      <c r="E244" s="3987" t="s">
        <v>4568</v>
      </c>
      <c r="F244" s="44" t="s">
        <v>4569</v>
      </c>
      <c r="G244" s="142" t="s">
        <v>4570</v>
      </c>
      <c r="H244" s="44" t="s">
        <v>4571</v>
      </c>
      <c r="I244" s="142" t="s">
        <v>4572</v>
      </c>
      <c r="J244" s="44" t="s">
        <v>4573</v>
      </c>
      <c r="K244" s="142" t="s">
        <v>4574</v>
      </c>
      <c r="L244" s="44" t="s">
        <v>4575</v>
      </c>
      <c r="M244" s="142" t="s">
        <v>4576</v>
      </c>
      <c r="N244" s="3913" t="s">
        <v>4577</v>
      </c>
      <c r="O244" s="329" t="s">
        <v>4578</v>
      </c>
      <c r="P244" s="3904" t="s">
        <v>4579</v>
      </c>
      <c r="Q244" s="329" t="s">
        <v>4580</v>
      </c>
      <c r="R244" s="3913" t="s">
        <v>4581</v>
      </c>
      <c r="S244" s="329" t="s">
        <v>4582</v>
      </c>
      <c r="T244" s="3913" t="s">
        <v>4583</v>
      </c>
      <c r="U244" s="329" t="s">
        <v>4584</v>
      </c>
      <c r="V244" s="3913" t="s">
        <v>4585</v>
      </c>
      <c r="W244" s="329" t="s">
        <v>4586</v>
      </c>
      <c r="X244" s="3904" t="s">
        <v>4587</v>
      </c>
      <c r="Y244" s="329" t="s">
        <v>4588</v>
      </c>
      <c r="Z244" s="3904" t="s">
        <v>4589</v>
      </c>
      <c r="AA244" s="329" t="s">
        <v>4590</v>
      </c>
      <c r="AB244" s="3904" t="s">
        <v>4591</v>
      </c>
      <c r="AC244" s="329" t="s">
        <v>4592</v>
      </c>
      <c r="AD244" s="3913" t="s">
        <v>4593</v>
      </c>
      <c r="AE244" s="329" t="s">
        <v>4594</v>
      </c>
      <c r="AF244" s="3904" t="s">
        <v>4595</v>
      </c>
      <c r="AG244" s="329" t="s">
        <v>4596</v>
      </c>
      <c r="AH244" s="3904" t="s">
        <v>4597</v>
      </c>
      <c r="AI244" s="329" t="s">
        <v>4598</v>
      </c>
      <c r="AJ244" s="3904" t="s">
        <v>4599</v>
      </c>
      <c r="AK244" s="3943" t="s">
        <v>4600</v>
      </c>
      <c r="AL244" s="3903" t="s">
        <v>4601</v>
      </c>
      <c r="AM244" s="329" t="s">
        <v>4602</v>
      </c>
      <c r="AN244" s="3904" t="s">
        <v>4603</v>
      </c>
      <c r="AO244" s="3943" t="s">
        <v>4604</v>
      </c>
      <c r="AP244" s="3903" t="s">
        <v>4605</v>
      </c>
      <c r="AQ244" s="329" t="s">
        <v>4606</v>
      </c>
      <c r="AR244" s="3904" t="s">
        <v>4934</v>
      </c>
      <c r="AS244" s="3943" t="s">
        <v>4935</v>
      </c>
      <c r="AT244" s="3903" t="s">
        <v>4936</v>
      </c>
      <c r="AU244" s="3943" t="s">
        <v>4937</v>
      </c>
      <c r="AV244" s="3903" t="s">
        <v>5234</v>
      </c>
      <c r="AW244" s="3943" t="s">
        <v>5235</v>
      </c>
      <c r="AX244" s="3904" t="s">
        <v>5236</v>
      </c>
      <c r="AY244" s="329" t="s">
        <v>5237</v>
      </c>
      <c r="AZ244" s="1864" t="e">
        <f t="shared" si="511"/>
        <v>#VALUE!</v>
      </c>
      <c r="CB244" s="3944" t="str">
        <f t="shared" si="507"/>
        <v xml:space="preserve"> * El Total de Exámenes Confirmados Positivos por ISP NO DEBE SUPERAR los Exámenes Procesados. </v>
      </c>
      <c r="CC244" s="1865" t="str">
        <f t="shared" si="512"/>
        <v xml:space="preserve"> * El número de Exámenes por Sexo Hombres Confirmados positivos por ISP NO PUEDE Superar al número de Procesados. </v>
      </c>
      <c r="CD244" s="1865" t="str">
        <f t="shared" si="508"/>
        <v xml:space="preserve"> * El número de Exámenes por Sexo Mujeres Confirmados positivos por ISP NO PUEDE Superar al número de Procesados. </v>
      </c>
      <c r="CE244" s="1936"/>
      <c r="CF244" s="1936"/>
      <c r="CG244" s="1936"/>
      <c r="CH244" s="1936"/>
      <c r="CI244" s="1936"/>
      <c r="CJ244" s="1865" t="e">
        <f t="shared" si="509"/>
        <v>#VALUE!</v>
      </c>
      <c r="CK244" s="1937"/>
      <c r="CL244" s="1865" t="e">
        <f t="shared" si="484"/>
        <v>#VALUE!</v>
      </c>
      <c r="CM244" s="1865" t="e">
        <f t="shared" si="485"/>
        <v>#VALUE!</v>
      </c>
      <c r="CN244" s="1865" t="str">
        <f t="shared" si="486"/>
        <v xml:space="preserve"> * Los exámenes de Pueblos originarios Procesados no pueden ser mayor que el Total de exámenes procesados.</v>
      </c>
      <c r="CO244" s="1865" t="str">
        <f t="shared" si="487"/>
        <v xml:space="preserve"> * Los exámenes procesados de Migrantes no pueden ser mayor que el Total de exámenes procesados.</v>
      </c>
      <c r="CP244" s="1865" t="e">
        <f t="shared" si="488"/>
        <v>#VALUE!</v>
      </c>
      <c r="CQ244" s="1865" t="str">
        <f t="shared" si="489"/>
        <v xml:space="preserve"> * Los exámenes Confirmados positivos por ISP de Pueblos originarios no pueden ser mayor que el Total de exámenes Procesados por ISP.</v>
      </c>
      <c r="CR244" s="1865" t="str">
        <f t="shared" si="490"/>
        <v xml:space="preserve"> * Los exámenes Confirmados positivos por ISP de Migrantes no pueden ser mayor que el Total de exámenes Procesados por ISP.</v>
      </c>
      <c r="CS244" s="1936"/>
      <c r="CT244" s="1936"/>
      <c r="CU244" s="2946" t="e">
        <f t="shared" si="491"/>
        <v>#VALUE!</v>
      </c>
      <c r="CV244" s="2946" t="e">
        <f t="shared" si="492"/>
        <v>#VALUE!</v>
      </c>
      <c r="DG244" s="3946">
        <f t="shared" si="493"/>
        <v>1</v>
      </c>
      <c r="DH244" s="3922">
        <f t="shared" si="510"/>
        <v>1</v>
      </c>
      <c r="DI244" s="3922">
        <f t="shared" si="494"/>
        <v>1</v>
      </c>
      <c r="DJ244" s="1936"/>
      <c r="DK244" s="1936"/>
      <c r="DL244" s="1936"/>
      <c r="DM244" s="1936"/>
      <c r="DN244" s="1936"/>
      <c r="DO244" s="3922" t="e">
        <f t="shared" si="495"/>
        <v>#VALUE!</v>
      </c>
      <c r="DP244" s="1937"/>
      <c r="DQ244" s="3922" t="e">
        <f t="shared" si="496"/>
        <v>#VALUE!</v>
      </c>
      <c r="DR244" s="3922" t="e">
        <f t="shared" si="497"/>
        <v>#VALUE!</v>
      </c>
      <c r="DS244" s="3922">
        <f t="shared" si="498"/>
        <v>1</v>
      </c>
      <c r="DT244" s="3922">
        <f t="shared" si="499"/>
        <v>1</v>
      </c>
      <c r="DU244" s="3922" t="e">
        <f t="shared" si="500"/>
        <v>#VALUE!</v>
      </c>
      <c r="DV244" s="3922">
        <f t="shared" si="501"/>
        <v>1</v>
      </c>
      <c r="DW244" s="3922">
        <f t="shared" si="502"/>
        <v>1</v>
      </c>
      <c r="DX244" s="1936"/>
      <c r="DY244" s="1936"/>
      <c r="DZ244" s="3922" t="e">
        <f t="shared" si="503"/>
        <v>#VALUE!</v>
      </c>
      <c r="EA244" s="3922" t="e">
        <f t="shared" si="504"/>
        <v>#VALUE!</v>
      </c>
      <c r="EB244" s="2948" t="e">
        <f t="shared" si="505"/>
        <v>#VALUE!</v>
      </c>
      <c r="EC244" s="2948" t="e">
        <f t="shared" si="506"/>
        <v>#VALUE!</v>
      </c>
    </row>
    <row r="245" spans="1:133" ht="15" customHeight="1" x14ac:dyDescent="0.25">
      <c r="A245" s="5601">
        <v>11057108</v>
      </c>
      <c r="B245" s="6058"/>
      <c r="C245" s="3982" t="s">
        <v>1881</v>
      </c>
      <c r="D245" s="3978" t="s">
        <v>4567</v>
      </c>
      <c r="E245" s="3987" t="s">
        <v>4568</v>
      </c>
      <c r="F245" s="3979" t="s">
        <v>4569</v>
      </c>
      <c r="G245" s="3980" t="s">
        <v>4570</v>
      </c>
      <c r="H245" s="3981" t="s">
        <v>4571</v>
      </c>
      <c r="I245" s="3980" t="s">
        <v>4572</v>
      </c>
      <c r="J245" s="3981" t="s">
        <v>4573</v>
      </c>
      <c r="K245" s="3980" t="s">
        <v>4574</v>
      </c>
      <c r="L245" s="3981" t="s">
        <v>4575</v>
      </c>
      <c r="M245" s="3980" t="s">
        <v>4576</v>
      </c>
      <c r="N245" s="3904" t="s">
        <v>4577</v>
      </c>
      <c r="O245" s="329" t="s">
        <v>4578</v>
      </c>
      <c r="P245" s="3912" t="s">
        <v>4579</v>
      </c>
      <c r="Q245" s="329" t="s">
        <v>4580</v>
      </c>
      <c r="R245" s="3913" t="s">
        <v>4581</v>
      </c>
      <c r="S245" s="329" t="s">
        <v>4582</v>
      </c>
      <c r="T245" s="3913" t="s">
        <v>4583</v>
      </c>
      <c r="U245" s="329" t="s">
        <v>4584</v>
      </c>
      <c r="V245" s="3913" t="s">
        <v>4585</v>
      </c>
      <c r="W245" s="329" t="s">
        <v>4586</v>
      </c>
      <c r="X245" s="3904" t="s">
        <v>4587</v>
      </c>
      <c r="Y245" s="329" t="s">
        <v>4588</v>
      </c>
      <c r="Z245" s="3904" t="s">
        <v>4589</v>
      </c>
      <c r="AA245" s="329" t="s">
        <v>4590</v>
      </c>
      <c r="AB245" s="3904" t="s">
        <v>4591</v>
      </c>
      <c r="AC245" s="329" t="s">
        <v>4592</v>
      </c>
      <c r="AD245" s="3913" t="s">
        <v>4593</v>
      </c>
      <c r="AE245" s="329" t="s">
        <v>4594</v>
      </c>
      <c r="AF245" s="3904" t="s">
        <v>4595</v>
      </c>
      <c r="AG245" s="329" t="s">
        <v>4596</v>
      </c>
      <c r="AH245" s="3904" t="s">
        <v>4597</v>
      </c>
      <c r="AI245" s="329" t="s">
        <v>4598</v>
      </c>
      <c r="AJ245" s="3904" t="s">
        <v>4599</v>
      </c>
      <c r="AK245" s="3943" t="s">
        <v>4600</v>
      </c>
      <c r="AL245" s="3903" t="s">
        <v>4601</v>
      </c>
      <c r="AM245" s="329" t="s">
        <v>4602</v>
      </c>
      <c r="AN245" s="3904" t="s">
        <v>4603</v>
      </c>
      <c r="AO245" s="3943" t="s">
        <v>4604</v>
      </c>
      <c r="AP245" s="3903" t="s">
        <v>4605</v>
      </c>
      <c r="AQ245" s="329" t="s">
        <v>4606</v>
      </c>
      <c r="AR245" s="3904" t="s">
        <v>4934</v>
      </c>
      <c r="AS245" s="3943" t="s">
        <v>4935</v>
      </c>
      <c r="AT245" s="3903" t="s">
        <v>4936</v>
      </c>
      <c r="AU245" s="3943" t="s">
        <v>4937</v>
      </c>
      <c r="AV245" s="3903" t="s">
        <v>5234</v>
      </c>
      <c r="AW245" s="3943" t="s">
        <v>5235</v>
      </c>
      <c r="AX245" s="3904" t="s">
        <v>5236</v>
      </c>
      <c r="AY245" s="329" t="s">
        <v>5237</v>
      </c>
      <c r="AZ245" s="1864" t="e">
        <f t="shared" si="511"/>
        <v>#VALUE!</v>
      </c>
      <c r="CB245" s="3944" t="str">
        <f t="shared" si="507"/>
        <v xml:space="preserve"> * El Total de Exámenes Confirmados Positivos por ISP NO DEBE SUPERAR los Exámenes Procesados. </v>
      </c>
      <c r="CC245" s="1865" t="str">
        <f t="shared" si="512"/>
        <v xml:space="preserve"> * El número de Exámenes por Sexo Hombres Confirmados positivos por ISP NO PUEDE Superar al número de Procesados. </v>
      </c>
      <c r="CD245" s="1865" t="str">
        <f t="shared" si="508"/>
        <v xml:space="preserve"> * El número de Exámenes por Sexo Mujeres Confirmados positivos por ISP NO PUEDE Superar al número de Procesados. </v>
      </c>
      <c r="CE245" s="1936"/>
      <c r="CF245" s="1936"/>
      <c r="CG245" s="1936"/>
      <c r="CH245" s="1936"/>
      <c r="CI245" s="1936"/>
      <c r="CJ245" s="1865" t="e">
        <f t="shared" si="509"/>
        <v>#VALUE!</v>
      </c>
      <c r="CK245" s="1937"/>
      <c r="CL245" s="1865" t="e">
        <f t="shared" si="484"/>
        <v>#VALUE!</v>
      </c>
      <c r="CM245" s="1865" t="e">
        <f t="shared" si="485"/>
        <v>#VALUE!</v>
      </c>
      <c r="CN245" s="1865" t="str">
        <f t="shared" si="486"/>
        <v xml:space="preserve"> * Los exámenes de Pueblos originarios Procesados no pueden ser mayor que el Total de exámenes procesados.</v>
      </c>
      <c r="CO245" s="1865" t="str">
        <f t="shared" si="487"/>
        <v xml:space="preserve"> * Los exámenes procesados de Migrantes no pueden ser mayor que el Total de exámenes procesados.</v>
      </c>
      <c r="CP245" s="1865" t="e">
        <f t="shared" si="488"/>
        <v>#VALUE!</v>
      </c>
      <c r="CQ245" s="1865" t="str">
        <f t="shared" si="489"/>
        <v xml:space="preserve"> * Los exámenes Confirmados positivos por ISP de Pueblos originarios no pueden ser mayor que el Total de exámenes Procesados por ISP.</v>
      </c>
      <c r="CR245" s="1865" t="str">
        <f t="shared" si="490"/>
        <v xml:space="preserve"> * Los exámenes Confirmados positivos por ISP de Migrantes no pueden ser mayor que el Total de exámenes Procesados por ISP.</v>
      </c>
      <c r="CS245" s="1936"/>
      <c r="CT245" s="1936"/>
      <c r="CU245" s="2946" t="e">
        <f>IF(AND((N245+P245)&gt;0,AX245=""),"*No olvide digitar los Exámenes Procesados de 14-18 años. Digite cero si no tiene.",IF(AX245&gt;(N245+P245),"* El Total de Procesados de 14-18 años NO DEBE ser mayor al Total de Procesados registrados en los grupos de edad 10 a 14 + 15 a 19 años. ",""))</f>
        <v>#VALUE!</v>
      </c>
      <c r="CV245" s="2946" t="e">
        <f t="shared" si="492"/>
        <v>#VALUE!</v>
      </c>
      <c r="DG245" s="3946">
        <f t="shared" si="493"/>
        <v>1</v>
      </c>
      <c r="DH245" s="3922">
        <f t="shared" si="510"/>
        <v>1</v>
      </c>
      <c r="DI245" s="3922">
        <f t="shared" si="494"/>
        <v>1</v>
      </c>
      <c r="DJ245" s="1936"/>
      <c r="DK245" s="1936"/>
      <c r="DL245" s="1936"/>
      <c r="DM245" s="1936"/>
      <c r="DN245" s="1936"/>
      <c r="DO245" s="3922" t="e">
        <f t="shared" si="495"/>
        <v>#VALUE!</v>
      </c>
      <c r="DP245" s="1937"/>
      <c r="DQ245" s="3922" t="e">
        <f t="shared" si="496"/>
        <v>#VALUE!</v>
      </c>
      <c r="DR245" s="3922" t="e">
        <f t="shared" si="497"/>
        <v>#VALUE!</v>
      </c>
      <c r="DS245" s="3922">
        <f t="shared" si="498"/>
        <v>1</v>
      </c>
      <c r="DT245" s="3922">
        <f t="shared" si="499"/>
        <v>1</v>
      </c>
      <c r="DU245" s="3922" t="e">
        <f t="shared" si="500"/>
        <v>#VALUE!</v>
      </c>
      <c r="DV245" s="3922">
        <f t="shared" si="501"/>
        <v>1</v>
      </c>
      <c r="DW245" s="3922">
        <f t="shared" si="502"/>
        <v>1</v>
      </c>
      <c r="DX245" s="1936"/>
      <c r="DY245" s="1936"/>
      <c r="DZ245" s="3922" t="e">
        <f t="shared" si="503"/>
        <v>#VALUE!</v>
      </c>
      <c r="EA245" s="3922" t="e">
        <f t="shared" si="504"/>
        <v>#VALUE!</v>
      </c>
      <c r="EB245" s="2948" t="e">
        <f t="shared" si="505"/>
        <v>#VALUE!</v>
      </c>
      <c r="EC245" s="2948" t="e">
        <f t="shared" si="506"/>
        <v>#VALUE!</v>
      </c>
    </row>
    <row r="246" spans="1:133" ht="15" customHeight="1" x14ac:dyDescent="0.25">
      <c r="A246" s="5601">
        <v>11057109</v>
      </c>
      <c r="B246" s="6058"/>
      <c r="C246" s="3977" t="s">
        <v>1917</v>
      </c>
      <c r="D246" s="3978" t="s">
        <v>4567</v>
      </c>
      <c r="E246" s="3987" t="s">
        <v>4568</v>
      </c>
      <c r="F246" s="3979" t="s">
        <v>4569</v>
      </c>
      <c r="G246" s="3980" t="s">
        <v>4570</v>
      </c>
      <c r="H246" s="3981" t="s">
        <v>4571</v>
      </c>
      <c r="I246" s="3980" t="s">
        <v>4572</v>
      </c>
      <c r="J246" s="3981" t="s">
        <v>4573</v>
      </c>
      <c r="K246" s="3980" t="s">
        <v>4574</v>
      </c>
      <c r="L246" s="3981" t="s">
        <v>4575</v>
      </c>
      <c r="M246" s="3980" t="s">
        <v>4576</v>
      </c>
      <c r="N246" s="3904" t="s">
        <v>4577</v>
      </c>
      <c r="O246" s="329" t="s">
        <v>4578</v>
      </c>
      <c r="P246" s="3904" t="s">
        <v>4579</v>
      </c>
      <c r="Q246" s="329" t="s">
        <v>4580</v>
      </c>
      <c r="R246" s="3913" t="s">
        <v>4581</v>
      </c>
      <c r="S246" s="329" t="s">
        <v>4582</v>
      </c>
      <c r="T246" s="3913" t="s">
        <v>4583</v>
      </c>
      <c r="U246" s="329" t="s">
        <v>4584</v>
      </c>
      <c r="V246" s="3913" t="s">
        <v>4585</v>
      </c>
      <c r="W246" s="329" t="s">
        <v>4586</v>
      </c>
      <c r="X246" s="3904" t="s">
        <v>4587</v>
      </c>
      <c r="Y246" s="329" t="s">
        <v>4588</v>
      </c>
      <c r="Z246" s="3904" t="s">
        <v>4589</v>
      </c>
      <c r="AA246" s="329" t="s">
        <v>4590</v>
      </c>
      <c r="AB246" s="3904" t="s">
        <v>4591</v>
      </c>
      <c r="AC246" s="329" t="s">
        <v>4592</v>
      </c>
      <c r="AD246" s="3913" t="s">
        <v>4593</v>
      </c>
      <c r="AE246" s="329" t="s">
        <v>4594</v>
      </c>
      <c r="AF246" s="3904" t="s">
        <v>4595</v>
      </c>
      <c r="AG246" s="329" t="s">
        <v>4596</v>
      </c>
      <c r="AH246" s="3904" t="s">
        <v>4597</v>
      </c>
      <c r="AI246" s="329" t="s">
        <v>4598</v>
      </c>
      <c r="AJ246" s="3904" t="s">
        <v>4599</v>
      </c>
      <c r="AK246" s="3943" t="s">
        <v>4600</v>
      </c>
      <c r="AL246" s="3903" t="s">
        <v>4601</v>
      </c>
      <c r="AM246" s="329" t="s">
        <v>4602</v>
      </c>
      <c r="AN246" s="3904" t="s">
        <v>4603</v>
      </c>
      <c r="AO246" s="3943" t="s">
        <v>4604</v>
      </c>
      <c r="AP246" s="3903" t="s">
        <v>4605</v>
      </c>
      <c r="AQ246" s="329" t="s">
        <v>4606</v>
      </c>
      <c r="AR246" s="3904" t="s">
        <v>4934</v>
      </c>
      <c r="AS246" s="3943" t="s">
        <v>4935</v>
      </c>
      <c r="AT246" s="3903" t="s">
        <v>4936</v>
      </c>
      <c r="AU246" s="3943" t="s">
        <v>4937</v>
      </c>
      <c r="AV246" s="3903" t="s">
        <v>5234</v>
      </c>
      <c r="AW246" s="3943" t="s">
        <v>5235</v>
      </c>
      <c r="AX246" s="3904" t="s">
        <v>5236</v>
      </c>
      <c r="AY246" s="329" t="s">
        <v>5237</v>
      </c>
      <c r="AZ246" s="1864" t="e">
        <f t="shared" si="511"/>
        <v>#VALUE!</v>
      </c>
      <c r="CB246" s="3944" t="str">
        <f t="shared" si="507"/>
        <v xml:space="preserve"> * El Total de Exámenes Confirmados Positivos por ISP NO DEBE SUPERAR los Exámenes Procesados. </v>
      </c>
      <c r="CC246" s="1865" t="str">
        <f t="shared" si="512"/>
        <v xml:space="preserve"> * El número de Exámenes por Sexo Hombres Confirmados positivos por ISP NO PUEDE Superar al número de Procesados. </v>
      </c>
      <c r="CD246" s="1865" t="str">
        <f t="shared" si="508"/>
        <v xml:space="preserve"> * El número de Exámenes por Sexo Mujeres Confirmados positivos por ISP NO PUEDE Superar al número de Procesados. </v>
      </c>
      <c r="CE246" s="1936"/>
      <c r="CF246" s="1936"/>
      <c r="CG246" s="1936"/>
      <c r="CH246" s="1936"/>
      <c r="CI246" s="1936"/>
      <c r="CJ246" s="1865" t="e">
        <f t="shared" si="509"/>
        <v>#VALUE!</v>
      </c>
      <c r="CK246" s="1937"/>
      <c r="CL246" s="1865" t="e">
        <f t="shared" si="484"/>
        <v>#VALUE!</v>
      </c>
      <c r="CM246" s="1865" t="e">
        <f t="shared" si="485"/>
        <v>#VALUE!</v>
      </c>
      <c r="CN246" s="1865" t="str">
        <f t="shared" si="486"/>
        <v xml:space="preserve"> * Los exámenes de Pueblos originarios Procesados no pueden ser mayor que el Total de exámenes procesados.</v>
      </c>
      <c r="CO246" s="1865" t="str">
        <f t="shared" si="487"/>
        <v xml:space="preserve"> * Los exámenes procesados de Migrantes no pueden ser mayor que el Total de exámenes procesados.</v>
      </c>
      <c r="CP246" s="1865" t="e">
        <f t="shared" si="488"/>
        <v>#VALUE!</v>
      </c>
      <c r="CQ246" s="1865" t="str">
        <f t="shared" si="489"/>
        <v xml:space="preserve"> * Los exámenes Confirmados positivos por ISP de Pueblos originarios no pueden ser mayor que el Total de exámenes Procesados por ISP.</v>
      </c>
      <c r="CR246" s="1865" t="str">
        <f t="shared" si="490"/>
        <v xml:space="preserve"> * Los exámenes Confirmados positivos por ISP de Migrantes no pueden ser mayor que el Total de exámenes Procesados por ISP.</v>
      </c>
      <c r="CS246" s="1936"/>
      <c r="CT246" s="1936"/>
      <c r="CU246" s="2946" t="e">
        <f t="shared" ref="CU246:CU248" si="513">IF(AND((N246+P246)&gt;0,AX246=""),"*No olvide digitar los Exámenes Procesados de 14-18 años. Digite cero si no tiene.",IF(AX246&gt;(N246+P246),"* El Total de Procesados de 14-18 años NO DEBE ser mayor al Total de Procesados registrados en los grupos de edad 10 a 14 + 15 a 19 años. ",""))</f>
        <v>#VALUE!</v>
      </c>
      <c r="CV246" s="2946" t="e">
        <f t="shared" ref="CV246:CV248" si="514">IF(AND((O246+Q246)&gt;0,AY246=""),"*No olvide digitar los Exámenes Confirmados Positivos por ISP de 14-18 años. Digite cero si no tiene.",IF(AY246&gt;(O246+Q246),"* El Total de Confirmados de 14-18 años NO DEBE ser mayor al Total de Confirmados Positivos por ISP registrados en los grupos de edad 10 a 14 + 15 a 19 años. ",""))</f>
        <v>#VALUE!</v>
      </c>
      <c r="DG246" s="3946">
        <f t="shared" si="493"/>
        <v>1</v>
      </c>
      <c r="DH246" s="3922">
        <f t="shared" si="510"/>
        <v>1</v>
      </c>
      <c r="DI246" s="3922">
        <f t="shared" si="494"/>
        <v>1</v>
      </c>
      <c r="DJ246" s="1936"/>
      <c r="DK246" s="1936"/>
      <c r="DL246" s="1936"/>
      <c r="DM246" s="1936"/>
      <c r="DN246" s="1936"/>
      <c r="DO246" s="3922" t="e">
        <f t="shared" si="495"/>
        <v>#VALUE!</v>
      </c>
      <c r="DP246" s="1937"/>
      <c r="DQ246" s="3922" t="e">
        <f t="shared" si="496"/>
        <v>#VALUE!</v>
      </c>
      <c r="DR246" s="3922" t="e">
        <f t="shared" si="497"/>
        <v>#VALUE!</v>
      </c>
      <c r="DS246" s="3922">
        <f t="shared" si="498"/>
        <v>1</v>
      </c>
      <c r="DT246" s="3922">
        <f t="shared" si="499"/>
        <v>1</v>
      </c>
      <c r="DU246" s="3922" t="e">
        <f t="shared" si="500"/>
        <v>#VALUE!</v>
      </c>
      <c r="DV246" s="3922">
        <f t="shared" si="501"/>
        <v>1</v>
      </c>
      <c r="DW246" s="3922">
        <f t="shared" si="502"/>
        <v>1</v>
      </c>
      <c r="DX246" s="1936"/>
      <c r="DY246" s="1936"/>
      <c r="DZ246" s="3922" t="e">
        <f t="shared" ref="DZ246:DZ248" si="515">IF(AND((N246+P246)&gt;0,AX246=""),1,IF(AX246&gt;(N246+P246),1,0))</f>
        <v>#VALUE!</v>
      </c>
      <c r="EA246" s="3922" t="e">
        <f t="shared" ref="EA246:EA248" si="516">IF(AND((O246+Q246)&gt;0,AY246=""),1,IF(AY246&gt;(O246+Q246),1,0))</f>
        <v>#VALUE!</v>
      </c>
      <c r="EB246" s="2948" t="e">
        <f t="shared" si="505"/>
        <v>#VALUE!</v>
      </c>
      <c r="EC246" s="2948" t="e">
        <f t="shared" si="506"/>
        <v>#VALUE!</v>
      </c>
    </row>
    <row r="247" spans="1:133" ht="15" customHeight="1" x14ac:dyDescent="0.25">
      <c r="A247" s="5601">
        <v>11057110</v>
      </c>
      <c r="B247" s="6058"/>
      <c r="C247" s="3977" t="s">
        <v>1883</v>
      </c>
      <c r="D247" s="3978" t="s">
        <v>4567</v>
      </c>
      <c r="E247" s="3987" t="s">
        <v>4568</v>
      </c>
      <c r="F247" s="44" t="s">
        <v>4569</v>
      </c>
      <c r="G247" s="142" t="s">
        <v>4570</v>
      </c>
      <c r="H247" s="44" t="s">
        <v>4571</v>
      </c>
      <c r="I247" s="142" t="s">
        <v>4572</v>
      </c>
      <c r="J247" s="44" t="s">
        <v>4573</v>
      </c>
      <c r="K247" s="142" t="s">
        <v>4574</v>
      </c>
      <c r="L247" s="44" t="s">
        <v>4575</v>
      </c>
      <c r="M247" s="142" t="s">
        <v>4576</v>
      </c>
      <c r="N247" s="3904" t="s">
        <v>4577</v>
      </c>
      <c r="O247" s="329" t="s">
        <v>4578</v>
      </c>
      <c r="P247" s="3904" t="s">
        <v>4579</v>
      </c>
      <c r="Q247" s="329" t="s">
        <v>4580</v>
      </c>
      <c r="R247" s="3913" t="s">
        <v>4581</v>
      </c>
      <c r="S247" s="329" t="s">
        <v>4582</v>
      </c>
      <c r="T247" s="3913" t="s">
        <v>4583</v>
      </c>
      <c r="U247" s="329" t="s">
        <v>4584</v>
      </c>
      <c r="V247" s="3913" t="s">
        <v>4585</v>
      </c>
      <c r="W247" s="329" t="s">
        <v>4586</v>
      </c>
      <c r="X247" s="3904" t="s">
        <v>4587</v>
      </c>
      <c r="Y247" s="329" t="s">
        <v>4588</v>
      </c>
      <c r="Z247" s="3904" t="s">
        <v>4589</v>
      </c>
      <c r="AA247" s="329" t="s">
        <v>4590</v>
      </c>
      <c r="AB247" s="3904" t="s">
        <v>4591</v>
      </c>
      <c r="AC247" s="329" t="s">
        <v>4592</v>
      </c>
      <c r="AD247" s="3913" t="s">
        <v>4593</v>
      </c>
      <c r="AE247" s="329" t="s">
        <v>4594</v>
      </c>
      <c r="AF247" s="3904" t="s">
        <v>4595</v>
      </c>
      <c r="AG247" s="329" t="s">
        <v>4596</v>
      </c>
      <c r="AH247" s="3904" t="s">
        <v>4597</v>
      </c>
      <c r="AI247" s="329" t="s">
        <v>4598</v>
      </c>
      <c r="AJ247" s="3904" t="s">
        <v>4599</v>
      </c>
      <c r="AK247" s="3943" t="s">
        <v>4600</v>
      </c>
      <c r="AL247" s="3903" t="s">
        <v>4601</v>
      </c>
      <c r="AM247" s="329" t="s">
        <v>4602</v>
      </c>
      <c r="AN247" s="3904" t="s">
        <v>4603</v>
      </c>
      <c r="AO247" s="3943" t="s">
        <v>4604</v>
      </c>
      <c r="AP247" s="3903" t="s">
        <v>4605</v>
      </c>
      <c r="AQ247" s="329" t="s">
        <v>4606</v>
      </c>
      <c r="AR247" s="3904" t="s">
        <v>4934</v>
      </c>
      <c r="AS247" s="3943" t="s">
        <v>4935</v>
      </c>
      <c r="AT247" s="3903" t="s">
        <v>4936</v>
      </c>
      <c r="AU247" s="3943" t="s">
        <v>4937</v>
      </c>
      <c r="AV247" s="3903" t="s">
        <v>5234</v>
      </c>
      <c r="AW247" s="3943" t="s">
        <v>5235</v>
      </c>
      <c r="AX247" s="3904" t="s">
        <v>5236</v>
      </c>
      <c r="AY247" s="329" t="s">
        <v>5237</v>
      </c>
      <c r="AZ247" s="1864" t="e">
        <f t="shared" si="511"/>
        <v>#VALUE!</v>
      </c>
      <c r="CB247" s="3944" t="str">
        <f t="shared" si="507"/>
        <v xml:space="preserve"> * El Total de Exámenes Confirmados Positivos por ISP NO DEBE SUPERAR los Exámenes Procesados. </v>
      </c>
      <c r="CC247" s="1865" t="str">
        <f t="shared" si="512"/>
        <v xml:space="preserve"> * El número de Exámenes por Sexo Hombres Confirmados positivos por ISP NO PUEDE Superar al número de Procesados. </v>
      </c>
      <c r="CD247" s="1865" t="str">
        <f t="shared" si="508"/>
        <v xml:space="preserve"> * El número de Exámenes por Sexo Mujeres Confirmados positivos por ISP NO PUEDE Superar al número de Procesados. </v>
      </c>
      <c r="CE247" s="1936"/>
      <c r="CF247" s="1936"/>
      <c r="CG247" s="1936"/>
      <c r="CH247" s="1936"/>
      <c r="CI247" s="1936"/>
      <c r="CJ247" s="1865" t="e">
        <f t="shared" si="509"/>
        <v>#VALUE!</v>
      </c>
      <c r="CK247" s="1937"/>
      <c r="CL247" s="1865" t="e">
        <f t="shared" si="484"/>
        <v>#VALUE!</v>
      </c>
      <c r="CM247" s="1865" t="e">
        <f t="shared" si="485"/>
        <v>#VALUE!</v>
      </c>
      <c r="CN247" s="1865" t="str">
        <f t="shared" si="486"/>
        <v xml:space="preserve"> * Los exámenes de Pueblos originarios Procesados no pueden ser mayor que el Total de exámenes procesados.</v>
      </c>
      <c r="CO247" s="1865" t="str">
        <f t="shared" si="487"/>
        <v xml:space="preserve"> * Los exámenes procesados de Migrantes no pueden ser mayor que el Total de exámenes procesados.</v>
      </c>
      <c r="CP247" s="1865" t="e">
        <f t="shared" si="488"/>
        <v>#VALUE!</v>
      </c>
      <c r="CQ247" s="1865" t="str">
        <f t="shared" si="489"/>
        <v xml:space="preserve"> * Los exámenes Confirmados positivos por ISP de Pueblos originarios no pueden ser mayor que el Total de exámenes Procesados por ISP.</v>
      </c>
      <c r="CR247" s="1865" t="str">
        <f t="shared" si="490"/>
        <v xml:space="preserve"> * Los exámenes Confirmados positivos por ISP de Migrantes no pueden ser mayor que el Total de exámenes Procesados por ISP.</v>
      </c>
      <c r="CS247" s="1936"/>
      <c r="CT247" s="1936"/>
      <c r="CU247" s="2946" t="e">
        <f t="shared" si="513"/>
        <v>#VALUE!</v>
      </c>
      <c r="CV247" s="2946" t="e">
        <f t="shared" si="514"/>
        <v>#VALUE!</v>
      </c>
      <c r="DG247" s="3946">
        <f t="shared" si="493"/>
        <v>1</v>
      </c>
      <c r="DH247" s="3922">
        <f t="shared" si="510"/>
        <v>1</v>
      </c>
      <c r="DI247" s="3922">
        <f t="shared" si="494"/>
        <v>1</v>
      </c>
      <c r="DJ247" s="1936"/>
      <c r="DK247" s="1936"/>
      <c r="DL247" s="1936"/>
      <c r="DM247" s="1936"/>
      <c r="DN247" s="1936"/>
      <c r="DO247" s="3922" t="e">
        <f t="shared" si="495"/>
        <v>#VALUE!</v>
      </c>
      <c r="DP247" s="1937"/>
      <c r="DQ247" s="3922" t="e">
        <f t="shared" si="496"/>
        <v>#VALUE!</v>
      </c>
      <c r="DR247" s="3922" t="e">
        <f t="shared" si="497"/>
        <v>#VALUE!</v>
      </c>
      <c r="DS247" s="3922">
        <f t="shared" si="498"/>
        <v>1</v>
      </c>
      <c r="DT247" s="3922">
        <f t="shared" si="499"/>
        <v>1</v>
      </c>
      <c r="DU247" s="3922" t="e">
        <f t="shared" si="500"/>
        <v>#VALUE!</v>
      </c>
      <c r="DV247" s="3922">
        <f t="shared" si="501"/>
        <v>1</v>
      </c>
      <c r="DW247" s="3922">
        <f t="shared" si="502"/>
        <v>1</v>
      </c>
      <c r="DX247" s="1936"/>
      <c r="DY247" s="1936"/>
      <c r="DZ247" s="3922" t="e">
        <f t="shared" si="515"/>
        <v>#VALUE!</v>
      </c>
      <c r="EA247" s="3922" t="e">
        <f t="shared" si="516"/>
        <v>#VALUE!</v>
      </c>
      <c r="EB247" s="2948" t="e">
        <f t="shared" si="505"/>
        <v>#VALUE!</v>
      </c>
      <c r="EC247" s="2948" t="e">
        <f t="shared" si="506"/>
        <v>#VALUE!</v>
      </c>
    </row>
    <row r="248" spans="1:133" ht="15" customHeight="1" x14ac:dyDescent="0.25">
      <c r="A248" s="5601">
        <v>11057111</v>
      </c>
      <c r="B248" s="6058"/>
      <c r="C248" s="3977" t="s">
        <v>1918</v>
      </c>
      <c r="D248" s="3978" t="s">
        <v>4567</v>
      </c>
      <c r="E248" s="344" t="s">
        <v>4568</v>
      </c>
      <c r="F248" s="3979" t="s">
        <v>4569</v>
      </c>
      <c r="G248" s="3980" t="s">
        <v>4570</v>
      </c>
      <c r="H248" s="3981" t="s">
        <v>4571</v>
      </c>
      <c r="I248" s="3980" t="s">
        <v>4572</v>
      </c>
      <c r="J248" s="3981" t="s">
        <v>4573</v>
      </c>
      <c r="K248" s="3980" t="s">
        <v>4574</v>
      </c>
      <c r="L248" s="3981" t="s">
        <v>4575</v>
      </c>
      <c r="M248" s="3980" t="s">
        <v>4576</v>
      </c>
      <c r="N248" s="3981" t="s">
        <v>4577</v>
      </c>
      <c r="O248" s="3980" t="s">
        <v>4578</v>
      </c>
      <c r="P248" s="3904" t="s">
        <v>4579</v>
      </c>
      <c r="Q248" s="329" t="s">
        <v>4580</v>
      </c>
      <c r="R248" s="3913" t="s">
        <v>4581</v>
      </c>
      <c r="S248" s="329" t="s">
        <v>4582</v>
      </c>
      <c r="T248" s="3913" t="s">
        <v>4583</v>
      </c>
      <c r="U248" s="329" t="s">
        <v>4584</v>
      </c>
      <c r="V248" s="3913" t="s">
        <v>4585</v>
      </c>
      <c r="W248" s="329" t="s">
        <v>4586</v>
      </c>
      <c r="X248" s="3904" t="s">
        <v>4587</v>
      </c>
      <c r="Y248" s="329" t="s">
        <v>4588</v>
      </c>
      <c r="Z248" s="3904" t="s">
        <v>4589</v>
      </c>
      <c r="AA248" s="329" t="s">
        <v>4590</v>
      </c>
      <c r="AB248" s="3904" t="s">
        <v>4591</v>
      </c>
      <c r="AC248" s="329" t="s">
        <v>4592</v>
      </c>
      <c r="AD248" s="3913" t="s">
        <v>4593</v>
      </c>
      <c r="AE248" s="329" t="s">
        <v>4594</v>
      </c>
      <c r="AF248" s="3904" t="s">
        <v>4595</v>
      </c>
      <c r="AG248" s="329" t="s">
        <v>4596</v>
      </c>
      <c r="AH248" s="3904" t="s">
        <v>4597</v>
      </c>
      <c r="AI248" s="329" t="s">
        <v>4598</v>
      </c>
      <c r="AJ248" s="3904" t="s">
        <v>4599</v>
      </c>
      <c r="AK248" s="3943" t="s">
        <v>4600</v>
      </c>
      <c r="AL248" s="3903" t="s">
        <v>4601</v>
      </c>
      <c r="AM248" s="329" t="s">
        <v>4602</v>
      </c>
      <c r="AN248" s="3904" t="s">
        <v>4603</v>
      </c>
      <c r="AO248" s="3943" t="s">
        <v>4604</v>
      </c>
      <c r="AP248" s="3903" t="s">
        <v>4605</v>
      </c>
      <c r="AQ248" s="329" t="s">
        <v>4606</v>
      </c>
      <c r="AR248" s="3904" t="s">
        <v>4934</v>
      </c>
      <c r="AS248" s="3943" t="s">
        <v>4935</v>
      </c>
      <c r="AT248" s="3903" t="s">
        <v>4936</v>
      </c>
      <c r="AU248" s="3943" t="s">
        <v>4937</v>
      </c>
      <c r="AV248" s="3903" t="s">
        <v>5234</v>
      </c>
      <c r="AW248" s="3943" t="s">
        <v>5235</v>
      </c>
      <c r="AX248" s="3904" t="s">
        <v>5236</v>
      </c>
      <c r="AY248" s="329" t="s">
        <v>5237</v>
      </c>
      <c r="AZ248" s="1864" t="e">
        <f t="shared" si="511"/>
        <v>#VALUE!</v>
      </c>
      <c r="CB248" s="3944" t="str">
        <f t="shared" si="507"/>
        <v xml:space="preserve"> * El Total de Exámenes Confirmados Positivos por ISP NO DEBE SUPERAR los Exámenes Procesados. </v>
      </c>
      <c r="CC248" s="1865" t="str">
        <f t="shared" si="512"/>
        <v xml:space="preserve"> * El número de Exámenes por Sexo Hombres Confirmados positivos por ISP NO PUEDE Superar al número de Procesados. </v>
      </c>
      <c r="CD248" s="1865" t="str">
        <f t="shared" si="508"/>
        <v xml:space="preserve"> * El número de Exámenes por Sexo Mujeres Confirmados positivos por ISP NO PUEDE Superar al número de Procesados. </v>
      </c>
      <c r="CE248" s="1936"/>
      <c r="CF248" s="1936"/>
      <c r="CG248" s="1936"/>
      <c r="CH248" s="1936"/>
      <c r="CI248" s="1936"/>
      <c r="CJ248" s="1865" t="e">
        <f t="shared" si="509"/>
        <v>#VALUE!</v>
      </c>
      <c r="CK248" s="1937"/>
      <c r="CL248" s="1865" t="e">
        <f t="shared" si="484"/>
        <v>#VALUE!</v>
      </c>
      <c r="CM248" s="1865" t="e">
        <f t="shared" si="485"/>
        <v>#VALUE!</v>
      </c>
      <c r="CN248" s="1865" t="str">
        <f t="shared" si="486"/>
        <v xml:space="preserve"> * Los exámenes de Pueblos originarios Procesados no pueden ser mayor que el Total de exámenes procesados.</v>
      </c>
      <c r="CO248" s="1865" t="str">
        <f t="shared" si="487"/>
        <v xml:space="preserve"> * Los exámenes procesados de Migrantes no pueden ser mayor que el Total de exámenes procesados.</v>
      </c>
      <c r="CP248" s="1865" t="e">
        <f t="shared" si="488"/>
        <v>#VALUE!</v>
      </c>
      <c r="CQ248" s="1865" t="str">
        <f t="shared" si="489"/>
        <v xml:space="preserve"> * Los exámenes Confirmados positivos por ISP de Pueblos originarios no pueden ser mayor que el Total de exámenes Procesados por ISP.</v>
      </c>
      <c r="CR248" s="1865" t="str">
        <f t="shared" si="490"/>
        <v xml:space="preserve"> * Los exámenes Confirmados positivos por ISP de Migrantes no pueden ser mayor que el Total de exámenes Procesados por ISP.</v>
      </c>
      <c r="CS248" s="1936"/>
      <c r="CT248" s="1936"/>
      <c r="CU248" s="2946" t="e">
        <f t="shared" si="513"/>
        <v>#VALUE!</v>
      </c>
      <c r="CV248" s="2946" t="e">
        <f t="shared" si="514"/>
        <v>#VALUE!</v>
      </c>
      <c r="DG248" s="3946">
        <f t="shared" si="493"/>
        <v>1</v>
      </c>
      <c r="DH248" s="3922">
        <f t="shared" si="510"/>
        <v>1</v>
      </c>
      <c r="DI248" s="3922">
        <f t="shared" si="494"/>
        <v>1</v>
      </c>
      <c r="DJ248" s="1936"/>
      <c r="DK248" s="1936"/>
      <c r="DL248" s="1936"/>
      <c r="DM248" s="1936"/>
      <c r="DN248" s="1936"/>
      <c r="DO248" s="3922" t="e">
        <f t="shared" si="495"/>
        <v>#VALUE!</v>
      </c>
      <c r="DP248" s="1937"/>
      <c r="DQ248" s="3922" t="e">
        <f t="shared" si="496"/>
        <v>#VALUE!</v>
      </c>
      <c r="DR248" s="3922" t="e">
        <f t="shared" si="497"/>
        <v>#VALUE!</v>
      </c>
      <c r="DS248" s="3922">
        <f t="shared" si="498"/>
        <v>1</v>
      </c>
      <c r="DT248" s="3922">
        <f t="shared" si="499"/>
        <v>1</v>
      </c>
      <c r="DU248" s="3922" t="e">
        <f t="shared" si="500"/>
        <v>#VALUE!</v>
      </c>
      <c r="DV248" s="3922">
        <f t="shared" si="501"/>
        <v>1</v>
      </c>
      <c r="DW248" s="3922">
        <f t="shared" si="502"/>
        <v>1</v>
      </c>
      <c r="DX248" s="1936"/>
      <c r="DY248" s="1936"/>
      <c r="DZ248" s="3922" t="e">
        <f t="shared" si="515"/>
        <v>#VALUE!</v>
      </c>
      <c r="EA248" s="3922" t="e">
        <f t="shared" si="516"/>
        <v>#VALUE!</v>
      </c>
      <c r="EB248" s="2948" t="e">
        <f t="shared" si="505"/>
        <v>#VALUE!</v>
      </c>
      <c r="EC248" s="2948" t="e">
        <f t="shared" si="506"/>
        <v>#VALUE!</v>
      </c>
    </row>
    <row r="249" spans="1:133" ht="15" customHeight="1" x14ac:dyDescent="0.25">
      <c r="A249" s="5601">
        <v>11057112</v>
      </c>
      <c r="B249" s="6058"/>
      <c r="C249" s="3982" t="s">
        <v>1919</v>
      </c>
      <c r="D249" s="3978" t="s">
        <v>4567</v>
      </c>
      <c r="E249" s="344" t="s">
        <v>4568</v>
      </c>
      <c r="F249" s="3979" t="s">
        <v>4569</v>
      </c>
      <c r="G249" s="3993" t="s">
        <v>4570</v>
      </c>
      <c r="H249" s="3981" t="s">
        <v>4571</v>
      </c>
      <c r="I249" s="3980" t="s">
        <v>4572</v>
      </c>
      <c r="J249" s="3981" t="s">
        <v>4573</v>
      </c>
      <c r="K249" s="3980" t="s">
        <v>4574</v>
      </c>
      <c r="L249" s="3981" t="s">
        <v>4575</v>
      </c>
      <c r="M249" s="3980" t="s">
        <v>4576</v>
      </c>
      <c r="N249" s="3913" t="s">
        <v>4577</v>
      </c>
      <c r="O249" s="329" t="s">
        <v>4578</v>
      </c>
      <c r="P249" s="3904" t="s">
        <v>4579</v>
      </c>
      <c r="Q249" s="329" t="s">
        <v>4580</v>
      </c>
      <c r="R249" s="3913" t="s">
        <v>4581</v>
      </c>
      <c r="S249" s="329" t="s">
        <v>4582</v>
      </c>
      <c r="T249" s="3913" t="s">
        <v>4583</v>
      </c>
      <c r="U249" s="329" t="s">
        <v>4584</v>
      </c>
      <c r="V249" s="3913" t="s">
        <v>4585</v>
      </c>
      <c r="W249" s="329" t="s">
        <v>4586</v>
      </c>
      <c r="X249" s="3904" t="s">
        <v>4587</v>
      </c>
      <c r="Y249" s="329" t="s">
        <v>4588</v>
      </c>
      <c r="Z249" s="3904" t="s">
        <v>4589</v>
      </c>
      <c r="AA249" s="329" t="s">
        <v>4590</v>
      </c>
      <c r="AB249" s="3904" t="s">
        <v>4591</v>
      </c>
      <c r="AC249" s="329" t="s">
        <v>4592</v>
      </c>
      <c r="AD249" s="3913" t="s">
        <v>4593</v>
      </c>
      <c r="AE249" s="329" t="s">
        <v>4594</v>
      </c>
      <c r="AF249" s="3904" t="s">
        <v>4595</v>
      </c>
      <c r="AG249" s="329" t="s">
        <v>4596</v>
      </c>
      <c r="AH249" s="3904" t="s">
        <v>4597</v>
      </c>
      <c r="AI249" s="329" t="s">
        <v>4598</v>
      </c>
      <c r="AJ249" s="3904" t="s">
        <v>4599</v>
      </c>
      <c r="AK249" s="3943" t="s">
        <v>4600</v>
      </c>
      <c r="AL249" s="3903" t="s">
        <v>4601</v>
      </c>
      <c r="AM249" s="329" t="s">
        <v>4602</v>
      </c>
      <c r="AN249" s="3904" t="s">
        <v>4603</v>
      </c>
      <c r="AO249" s="3943" t="s">
        <v>4604</v>
      </c>
      <c r="AP249" s="3903" t="s">
        <v>4605</v>
      </c>
      <c r="AQ249" s="329" t="s">
        <v>4606</v>
      </c>
      <c r="AR249" s="3904" t="s">
        <v>4934</v>
      </c>
      <c r="AS249" s="3943" t="s">
        <v>4935</v>
      </c>
      <c r="AT249" s="3903" t="s">
        <v>4936</v>
      </c>
      <c r="AU249" s="3943" t="s">
        <v>4937</v>
      </c>
      <c r="AV249" s="3903" t="s">
        <v>5234</v>
      </c>
      <c r="AW249" s="3943" t="s">
        <v>5235</v>
      </c>
      <c r="AX249" s="3904" t="s">
        <v>5236</v>
      </c>
      <c r="AY249" s="329" t="s">
        <v>5237</v>
      </c>
      <c r="AZ249" s="1864" t="e">
        <f t="shared" si="511"/>
        <v>#VALUE!</v>
      </c>
      <c r="CB249" s="3944" t="str">
        <f t="shared" si="507"/>
        <v xml:space="preserve"> * El Total de Exámenes Confirmados Positivos por ISP NO DEBE SUPERAR los Exámenes Procesados. </v>
      </c>
      <c r="CC249" s="1865" t="str">
        <f t="shared" si="512"/>
        <v xml:space="preserve"> * El número de Exámenes por Sexo Hombres Confirmados positivos por ISP NO PUEDE Superar al número de Procesados. </v>
      </c>
      <c r="CD249" s="1865" t="str">
        <f t="shared" si="508"/>
        <v xml:space="preserve"> * El número de Exámenes por Sexo Mujeres Confirmados positivos por ISP NO PUEDE Superar al número de Procesados. </v>
      </c>
      <c r="CE249" s="1936"/>
      <c r="CF249" s="1936"/>
      <c r="CG249" s="1936"/>
      <c r="CH249" s="1936"/>
      <c r="CI249" s="1936"/>
      <c r="CJ249" s="1865" t="e">
        <f t="shared" si="509"/>
        <v>#VALUE!</v>
      </c>
      <c r="CK249" s="1937"/>
      <c r="CL249" s="1865" t="e">
        <f t="shared" si="484"/>
        <v>#VALUE!</v>
      </c>
      <c r="CM249" s="1865" t="e">
        <f t="shared" si="485"/>
        <v>#VALUE!</v>
      </c>
      <c r="CN249" s="1865" t="str">
        <f t="shared" si="486"/>
        <v xml:space="preserve"> * Los exámenes de Pueblos originarios Procesados no pueden ser mayor que el Total de exámenes procesados.</v>
      </c>
      <c r="CO249" s="1865" t="str">
        <f t="shared" si="487"/>
        <v xml:space="preserve"> * Los exámenes procesados de Migrantes no pueden ser mayor que el Total de exámenes procesados.</v>
      </c>
      <c r="CP249" s="1865" t="e">
        <f t="shared" si="488"/>
        <v>#VALUE!</v>
      </c>
      <c r="CQ249" s="1865" t="str">
        <f t="shared" si="489"/>
        <v xml:space="preserve"> * Los exámenes Confirmados positivos por ISP de Pueblos originarios no pueden ser mayor que el Total de exámenes Procesados por ISP.</v>
      </c>
      <c r="CR249" s="1865" t="str">
        <f t="shared" si="490"/>
        <v xml:space="preserve"> * Los exámenes Confirmados positivos por ISP de Migrantes no pueden ser mayor que el Total de exámenes Procesados por ISP.</v>
      </c>
      <c r="CS249" s="1936"/>
      <c r="CT249" s="1936"/>
      <c r="CU249" s="2946" t="e">
        <f t="shared" ref="CU249:CU259" si="517">IF(AND((N249+P249)&gt;0,AX249=""),"*No olvide digitar los Exámenes Procesados de 14-18 años. Digite cero si no tiene.",IF(AX249&gt;(N249+P249),"* El Total de Procesados de 14-18 años NO DEBE ser mayor al Total de Procesados registrados en los grupos de edad 10 a 14 + 15 a 19 años. ",""))</f>
        <v>#VALUE!</v>
      </c>
      <c r="CV249" s="2946" t="e">
        <f t="shared" ref="CV249:CV259" si="518">IF(AND((O249+Q249)&gt;0,AY249=""),"*No olvide digitar los Exámenes Confirmados Positivos por ISP de 14-18 años. Digite cero si no tiene.",IF(AY249&gt;(O249+Q249),"* El Total de Confirmados de 14-18 años NO DEBE ser mayor al Total de Confirmados Positivos por ISP registrados en los grupos de edad 10 a 14 + 15 a 19 años. ",""))</f>
        <v>#VALUE!</v>
      </c>
      <c r="DG249" s="3946">
        <f t="shared" si="493"/>
        <v>1</v>
      </c>
      <c r="DH249" s="3922">
        <f t="shared" si="510"/>
        <v>1</v>
      </c>
      <c r="DI249" s="3922">
        <f t="shared" si="494"/>
        <v>1</v>
      </c>
      <c r="DJ249" s="1936"/>
      <c r="DK249" s="1936"/>
      <c r="DL249" s="1936"/>
      <c r="DM249" s="1936"/>
      <c r="DN249" s="1936"/>
      <c r="DO249" s="3922" t="e">
        <f t="shared" si="495"/>
        <v>#VALUE!</v>
      </c>
      <c r="DP249" s="1937"/>
      <c r="DQ249" s="3922" t="e">
        <f t="shared" si="496"/>
        <v>#VALUE!</v>
      </c>
      <c r="DR249" s="3922" t="e">
        <f t="shared" si="497"/>
        <v>#VALUE!</v>
      </c>
      <c r="DS249" s="3922">
        <f t="shared" si="498"/>
        <v>1</v>
      </c>
      <c r="DT249" s="3922">
        <f t="shared" si="499"/>
        <v>1</v>
      </c>
      <c r="DU249" s="3922" t="e">
        <f t="shared" si="500"/>
        <v>#VALUE!</v>
      </c>
      <c r="DV249" s="3922">
        <f t="shared" si="501"/>
        <v>1</v>
      </c>
      <c r="DW249" s="3922">
        <f t="shared" si="502"/>
        <v>1</v>
      </c>
      <c r="DX249" s="1936"/>
      <c r="DY249" s="1936"/>
      <c r="DZ249" s="3922" t="e">
        <f t="shared" ref="DZ249:DZ259" si="519">IF(AND((N249+P249)&gt;0,AX249=""),1,IF(AX249&gt;(N249+P249),1,0))</f>
        <v>#VALUE!</v>
      </c>
      <c r="EA249" s="3922" t="e">
        <f t="shared" ref="EA249:EA259" si="520">IF(AND((O249+Q249)&gt;0,AY249=""),1,IF(AY249&gt;(O249+Q249),1,0))</f>
        <v>#VALUE!</v>
      </c>
      <c r="EB249" s="2948" t="e">
        <f t="shared" si="505"/>
        <v>#VALUE!</v>
      </c>
      <c r="EC249" s="2948" t="e">
        <f t="shared" si="506"/>
        <v>#VALUE!</v>
      </c>
    </row>
    <row r="250" spans="1:133" ht="23.25" customHeight="1" x14ac:dyDescent="0.25">
      <c r="A250" s="5601">
        <v>11057113</v>
      </c>
      <c r="B250" s="6058"/>
      <c r="C250" s="3982" t="s">
        <v>1920</v>
      </c>
      <c r="D250" s="3978" t="s">
        <v>4567</v>
      </c>
      <c r="E250" s="344" t="s">
        <v>4568</v>
      </c>
      <c r="F250" s="3979" t="s">
        <v>4569</v>
      </c>
      <c r="G250" s="3980" t="s">
        <v>4570</v>
      </c>
      <c r="H250" s="3981" t="s">
        <v>4571</v>
      </c>
      <c r="I250" s="3993" t="s">
        <v>4572</v>
      </c>
      <c r="J250" s="3981" t="s">
        <v>4573</v>
      </c>
      <c r="K250" s="3980" t="s">
        <v>4574</v>
      </c>
      <c r="L250" s="3981" t="s">
        <v>4575</v>
      </c>
      <c r="M250" s="3980" t="s">
        <v>4576</v>
      </c>
      <c r="N250" s="3990" t="s">
        <v>4577</v>
      </c>
      <c r="O250" s="3991" t="s">
        <v>4578</v>
      </c>
      <c r="P250" s="3904" t="s">
        <v>4579</v>
      </c>
      <c r="Q250" s="329" t="s">
        <v>4580</v>
      </c>
      <c r="R250" s="3913" t="s">
        <v>4581</v>
      </c>
      <c r="S250" s="329" t="s">
        <v>4582</v>
      </c>
      <c r="T250" s="3913" t="s">
        <v>4583</v>
      </c>
      <c r="U250" s="329" t="s">
        <v>4584</v>
      </c>
      <c r="V250" s="3913" t="s">
        <v>4585</v>
      </c>
      <c r="W250" s="329" t="s">
        <v>4586</v>
      </c>
      <c r="X250" s="3904" t="s">
        <v>4587</v>
      </c>
      <c r="Y250" s="329" t="s">
        <v>4588</v>
      </c>
      <c r="Z250" s="3904" t="s">
        <v>4589</v>
      </c>
      <c r="AA250" s="329" t="s">
        <v>4590</v>
      </c>
      <c r="AB250" s="3904" t="s">
        <v>4591</v>
      </c>
      <c r="AC250" s="329" t="s">
        <v>4592</v>
      </c>
      <c r="AD250" s="3913" t="s">
        <v>4593</v>
      </c>
      <c r="AE250" s="329" t="s">
        <v>4594</v>
      </c>
      <c r="AF250" s="3904" t="s">
        <v>4595</v>
      </c>
      <c r="AG250" s="329" t="s">
        <v>4596</v>
      </c>
      <c r="AH250" s="3904" t="s">
        <v>4597</v>
      </c>
      <c r="AI250" s="329" t="s">
        <v>4598</v>
      </c>
      <c r="AJ250" s="3904" t="s">
        <v>4599</v>
      </c>
      <c r="AK250" s="3943" t="s">
        <v>4600</v>
      </c>
      <c r="AL250" s="3903" t="s">
        <v>4601</v>
      </c>
      <c r="AM250" s="329" t="s">
        <v>4602</v>
      </c>
      <c r="AN250" s="3904" t="s">
        <v>4603</v>
      </c>
      <c r="AO250" s="3943" t="s">
        <v>4604</v>
      </c>
      <c r="AP250" s="3903" t="s">
        <v>4605</v>
      </c>
      <c r="AQ250" s="329" t="s">
        <v>4606</v>
      </c>
      <c r="AR250" s="3904" t="s">
        <v>4934</v>
      </c>
      <c r="AS250" s="3943" t="s">
        <v>4935</v>
      </c>
      <c r="AT250" s="3903" t="s">
        <v>4936</v>
      </c>
      <c r="AU250" s="3943" t="s">
        <v>4937</v>
      </c>
      <c r="AV250" s="3903" t="s">
        <v>5234</v>
      </c>
      <c r="AW250" s="3943" t="s">
        <v>5235</v>
      </c>
      <c r="AX250" s="3904" t="s">
        <v>5236</v>
      </c>
      <c r="AY250" s="329" t="s">
        <v>5237</v>
      </c>
      <c r="AZ250" s="1864" t="e">
        <f t="shared" si="511"/>
        <v>#VALUE!</v>
      </c>
      <c r="CB250" s="3944" t="str">
        <f t="shared" si="507"/>
        <v xml:space="preserve"> * El Total de Exámenes Confirmados Positivos por ISP NO DEBE SUPERAR los Exámenes Procesados. </v>
      </c>
      <c r="CC250" s="1865" t="str">
        <f t="shared" si="512"/>
        <v xml:space="preserve"> * El número de Exámenes por Sexo Hombres Confirmados positivos por ISP NO PUEDE Superar al número de Procesados. </v>
      </c>
      <c r="CD250" s="1865" t="str">
        <f t="shared" si="508"/>
        <v xml:space="preserve"> * El número de Exámenes por Sexo Mujeres Confirmados positivos por ISP NO PUEDE Superar al número de Procesados. </v>
      </c>
      <c r="CE250" s="1936"/>
      <c r="CF250" s="1936"/>
      <c r="CG250" s="1936"/>
      <c r="CH250" s="1936"/>
      <c r="CI250" s="1936"/>
      <c r="CJ250" s="1865" t="e">
        <f t="shared" si="509"/>
        <v>#VALUE!</v>
      </c>
      <c r="CK250" s="1937"/>
      <c r="CL250" s="1865" t="e">
        <f t="shared" si="484"/>
        <v>#VALUE!</v>
      </c>
      <c r="CM250" s="1865" t="e">
        <f t="shared" si="485"/>
        <v>#VALUE!</v>
      </c>
      <c r="CN250" s="1865" t="str">
        <f t="shared" si="486"/>
        <v xml:space="preserve"> * Los exámenes de Pueblos originarios Procesados no pueden ser mayor que el Total de exámenes procesados.</v>
      </c>
      <c r="CO250" s="1865" t="str">
        <f t="shared" si="487"/>
        <v xml:space="preserve"> * Los exámenes procesados de Migrantes no pueden ser mayor que el Total de exámenes procesados.</v>
      </c>
      <c r="CP250" s="1865" t="e">
        <f t="shared" si="488"/>
        <v>#VALUE!</v>
      </c>
      <c r="CQ250" s="1865" t="str">
        <f t="shared" si="489"/>
        <v xml:space="preserve"> * Los exámenes Confirmados positivos por ISP de Pueblos originarios no pueden ser mayor que el Total de exámenes Procesados por ISP.</v>
      </c>
      <c r="CR250" s="1865" t="str">
        <f t="shared" si="490"/>
        <v xml:space="preserve"> * Los exámenes Confirmados positivos por ISP de Migrantes no pueden ser mayor que el Total de exámenes Procesados por ISP.</v>
      </c>
      <c r="CS250" s="1936"/>
      <c r="CT250" s="1936"/>
      <c r="CU250" s="2946" t="e">
        <f t="shared" si="517"/>
        <v>#VALUE!</v>
      </c>
      <c r="CV250" s="2946" t="e">
        <f t="shared" si="518"/>
        <v>#VALUE!</v>
      </c>
      <c r="DG250" s="3946">
        <f t="shared" si="493"/>
        <v>1</v>
      </c>
      <c r="DH250" s="3922">
        <f t="shared" si="510"/>
        <v>1</v>
      </c>
      <c r="DI250" s="3922">
        <f t="shared" si="494"/>
        <v>1</v>
      </c>
      <c r="DJ250" s="1936"/>
      <c r="DK250" s="1936"/>
      <c r="DL250" s="1936"/>
      <c r="DM250" s="1936"/>
      <c r="DN250" s="1936"/>
      <c r="DO250" s="3922" t="e">
        <f t="shared" si="495"/>
        <v>#VALUE!</v>
      </c>
      <c r="DP250" s="1937"/>
      <c r="DQ250" s="3922" t="e">
        <f t="shared" si="496"/>
        <v>#VALUE!</v>
      </c>
      <c r="DR250" s="3922" t="e">
        <f t="shared" si="497"/>
        <v>#VALUE!</v>
      </c>
      <c r="DS250" s="3922">
        <f t="shared" si="498"/>
        <v>1</v>
      </c>
      <c r="DT250" s="3922">
        <f t="shared" si="499"/>
        <v>1</v>
      </c>
      <c r="DU250" s="3922" t="e">
        <f t="shared" si="500"/>
        <v>#VALUE!</v>
      </c>
      <c r="DV250" s="3922">
        <f t="shared" si="501"/>
        <v>1</v>
      </c>
      <c r="DW250" s="3922">
        <f t="shared" si="502"/>
        <v>1</v>
      </c>
      <c r="DX250" s="1936"/>
      <c r="DY250" s="1936"/>
      <c r="DZ250" s="3922" t="e">
        <f t="shared" si="519"/>
        <v>#VALUE!</v>
      </c>
      <c r="EA250" s="3922" t="e">
        <f t="shared" si="520"/>
        <v>#VALUE!</v>
      </c>
      <c r="EB250" s="2948" t="e">
        <f t="shared" si="505"/>
        <v>#VALUE!</v>
      </c>
      <c r="EC250" s="2948" t="e">
        <f t="shared" si="506"/>
        <v>#VALUE!</v>
      </c>
    </row>
    <row r="251" spans="1:133" ht="23.25" customHeight="1" x14ac:dyDescent="0.25">
      <c r="A251" s="5601">
        <v>11057114</v>
      </c>
      <c r="B251" s="6058"/>
      <c r="C251" s="3982" t="s">
        <v>1921</v>
      </c>
      <c r="D251" s="3978" t="s">
        <v>4567</v>
      </c>
      <c r="E251" s="3987" t="s">
        <v>4568</v>
      </c>
      <c r="F251" s="3979" t="s">
        <v>4569</v>
      </c>
      <c r="G251" s="3980" t="s">
        <v>4570</v>
      </c>
      <c r="H251" s="3981" t="s">
        <v>4571</v>
      </c>
      <c r="I251" s="3980" t="s">
        <v>4572</v>
      </c>
      <c r="J251" s="3981" t="s">
        <v>4573</v>
      </c>
      <c r="K251" s="3993" t="s">
        <v>4574</v>
      </c>
      <c r="L251" s="3981" t="s">
        <v>4575</v>
      </c>
      <c r="M251" s="3980" t="s">
        <v>4576</v>
      </c>
      <c r="N251" s="44" t="s">
        <v>4577</v>
      </c>
      <c r="O251" s="882" t="s">
        <v>4578</v>
      </c>
      <c r="P251" s="3904" t="s">
        <v>4579</v>
      </c>
      <c r="Q251" s="3905" t="s">
        <v>4580</v>
      </c>
      <c r="R251" s="3913" t="s">
        <v>4581</v>
      </c>
      <c r="S251" s="3905" t="s">
        <v>4582</v>
      </c>
      <c r="T251" s="3913" t="s">
        <v>4583</v>
      </c>
      <c r="U251" s="3905" t="s">
        <v>4584</v>
      </c>
      <c r="V251" s="3913" t="s">
        <v>4585</v>
      </c>
      <c r="W251" s="3905" t="s">
        <v>4586</v>
      </c>
      <c r="X251" s="3904" t="s">
        <v>4587</v>
      </c>
      <c r="Y251" s="3905" t="s">
        <v>4588</v>
      </c>
      <c r="Z251" s="3904" t="s">
        <v>4589</v>
      </c>
      <c r="AA251" s="3905" t="s">
        <v>4590</v>
      </c>
      <c r="AB251" s="3904" t="s">
        <v>4591</v>
      </c>
      <c r="AC251" s="3905" t="s">
        <v>4592</v>
      </c>
      <c r="AD251" s="3913" t="s">
        <v>4593</v>
      </c>
      <c r="AE251" s="3905" t="s">
        <v>4594</v>
      </c>
      <c r="AF251" s="3904" t="s">
        <v>4595</v>
      </c>
      <c r="AG251" s="3905" t="s">
        <v>4596</v>
      </c>
      <c r="AH251" s="3904" t="s">
        <v>4597</v>
      </c>
      <c r="AI251" s="3905" t="s">
        <v>4598</v>
      </c>
      <c r="AJ251" s="3904" t="s">
        <v>4599</v>
      </c>
      <c r="AK251" s="3902" t="s">
        <v>4600</v>
      </c>
      <c r="AL251" s="3903" t="s">
        <v>4601</v>
      </c>
      <c r="AM251" s="3905" t="s">
        <v>4602</v>
      </c>
      <c r="AN251" s="3904" t="s">
        <v>4603</v>
      </c>
      <c r="AO251" s="3902" t="s">
        <v>4604</v>
      </c>
      <c r="AP251" s="3903" t="s">
        <v>4605</v>
      </c>
      <c r="AQ251" s="3905" t="s">
        <v>4606</v>
      </c>
      <c r="AR251" s="3904" t="s">
        <v>4934</v>
      </c>
      <c r="AS251" s="3902" t="s">
        <v>4935</v>
      </c>
      <c r="AT251" s="3903" t="s">
        <v>4936</v>
      </c>
      <c r="AU251" s="3943" t="s">
        <v>4937</v>
      </c>
      <c r="AV251" s="3903" t="s">
        <v>5234</v>
      </c>
      <c r="AW251" s="3943" t="s">
        <v>5235</v>
      </c>
      <c r="AX251" s="3904" t="s">
        <v>5236</v>
      </c>
      <c r="AY251" s="3905" t="s">
        <v>5237</v>
      </c>
      <c r="AZ251" s="1864" t="e">
        <f t="shared" si="511"/>
        <v>#VALUE!</v>
      </c>
      <c r="CB251" s="3944" t="str">
        <f t="shared" si="507"/>
        <v xml:space="preserve"> * El Total de Exámenes Confirmados Positivos por ISP NO DEBE SUPERAR los Exámenes Procesados. </v>
      </c>
      <c r="CC251" s="1865" t="str">
        <f t="shared" si="512"/>
        <v xml:space="preserve"> * El número de Exámenes por Sexo Hombres Confirmados positivos por ISP NO PUEDE Superar al número de Procesados. </v>
      </c>
      <c r="CD251" s="1865" t="str">
        <f t="shared" si="508"/>
        <v xml:space="preserve"> * El número de Exámenes por Sexo Mujeres Confirmados positivos por ISP NO PUEDE Superar al número de Procesados. </v>
      </c>
      <c r="CE251" s="1936"/>
      <c r="CF251" s="1936"/>
      <c r="CG251" s="1936"/>
      <c r="CH251" s="1936"/>
      <c r="CI251" s="1936"/>
      <c r="CJ251" s="1865" t="e">
        <f t="shared" si="509"/>
        <v>#VALUE!</v>
      </c>
      <c r="CK251" s="1937"/>
      <c r="CL251" s="1865" t="e">
        <f t="shared" si="484"/>
        <v>#VALUE!</v>
      </c>
      <c r="CM251" s="1865" t="e">
        <f t="shared" si="485"/>
        <v>#VALUE!</v>
      </c>
      <c r="CN251" s="1865" t="str">
        <f t="shared" si="486"/>
        <v xml:space="preserve"> * Los exámenes de Pueblos originarios Procesados no pueden ser mayor que el Total de exámenes procesados.</v>
      </c>
      <c r="CO251" s="1865" t="str">
        <f t="shared" si="487"/>
        <v xml:space="preserve"> * Los exámenes procesados de Migrantes no pueden ser mayor que el Total de exámenes procesados.</v>
      </c>
      <c r="CP251" s="1865" t="e">
        <f t="shared" si="488"/>
        <v>#VALUE!</v>
      </c>
      <c r="CQ251" s="1865" t="str">
        <f t="shared" si="489"/>
        <v xml:space="preserve"> * Los exámenes Confirmados positivos por ISP de Pueblos originarios no pueden ser mayor que el Total de exámenes Procesados por ISP.</v>
      </c>
      <c r="CR251" s="1865" t="str">
        <f t="shared" si="490"/>
        <v xml:space="preserve"> * Los exámenes Confirmados positivos por ISP de Migrantes no pueden ser mayor que el Total de exámenes Procesados por ISP.</v>
      </c>
      <c r="CS251" s="1936"/>
      <c r="CT251" s="1936"/>
      <c r="CU251" s="2946" t="e">
        <f t="shared" si="517"/>
        <v>#VALUE!</v>
      </c>
      <c r="CV251" s="2946" t="e">
        <f t="shared" si="518"/>
        <v>#VALUE!</v>
      </c>
      <c r="DG251" s="3946">
        <f t="shared" si="493"/>
        <v>1</v>
      </c>
      <c r="DH251" s="3922">
        <f t="shared" si="510"/>
        <v>1</v>
      </c>
      <c r="DI251" s="3922">
        <f t="shared" si="494"/>
        <v>1</v>
      </c>
      <c r="DJ251" s="1936"/>
      <c r="DK251" s="1936"/>
      <c r="DL251" s="1936"/>
      <c r="DM251" s="1936"/>
      <c r="DN251" s="1936"/>
      <c r="DO251" s="3922" t="e">
        <f t="shared" si="495"/>
        <v>#VALUE!</v>
      </c>
      <c r="DP251" s="1937"/>
      <c r="DQ251" s="3922" t="e">
        <f t="shared" si="496"/>
        <v>#VALUE!</v>
      </c>
      <c r="DR251" s="3922" t="e">
        <f t="shared" si="497"/>
        <v>#VALUE!</v>
      </c>
      <c r="DS251" s="3922">
        <f t="shared" si="498"/>
        <v>1</v>
      </c>
      <c r="DT251" s="3922">
        <f t="shared" si="499"/>
        <v>1</v>
      </c>
      <c r="DU251" s="3922" t="e">
        <f t="shared" si="500"/>
        <v>#VALUE!</v>
      </c>
      <c r="DV251" s="3922">
        <f t="shared" si="501"/>
        <v>1</v>
      </c>
      <c r="DW251" s="3922">
        <f t="shared" si="502"/>
        <v>1</v>
      </c>
      <c r="DX251" s="1936"/>
      <c r="DY251" s="1936"/>
      <c r="DZ251" s="3922" t="e">
        <f t="shared" si="519"/>
        <v>#VALUE!</v>
      </c>
      <c r="EA251" s="3922" t="e">
        <f t="shared" si="520"/>
        <v>#VALUE!</v>
      </c>
      <c r="EB251" s="2948" t="e">
        <f t="shared" si="505"/>
        <v>#VALUE!</v>
      </c>
      <c r="EC251" s="2948" t="e">
        <f t="shared" si="506"/>
        <v>#VALUE!</v>
      </c>
    </row>
    <row r="252" spans="1:133" ht="15" customHeight="1" x14ac:dyDescent="0.25">
      <c r="A252" s="5601">
        <v>11057115</v>
      </c>
      <c r="B252" s="6058"/>
      <c r="C252" s="3982" t="s">
        <v>1941</v>
      </c>
      <c r="D252" s="3978" t="s">
        <v>4567</v>
      </c>
      <c r="E252" s="3987" t="s">
        <v>4568</v>
      </c>
      <c r="F252" s="3979" t="s">
        <v>4569</v>
      </c>
      <c r="G252" s="3980" t="s">
        <v>4570</v>
      </c>
      <c r="H252" s="3981" t="s">
        <v>4571</v>
      </c>
      <c r="I252" s="3980" t="s">
        <v>4572</v>
      </c>
      <c r="J252" s="3981" t="s">
        <v>4573</v>
      </c>
      <c r="K252" s="3980" t="s">
        <v>4574</v>
      </c>
      <c r="L252" s="3981" t="s">
        <v>4575</v>
      </c>
      <c r="M252" s="3980" t="s">
        <v>4576</v>
      </c>
      <c r="N252" s="3904" t="s">
        <v>4577</v>
      </c>
      <c r="O252" s="3905" t="s">
        <v>4578</v>
      </c>
      <c r="P252" s="3904" t="s">
        <v>4579</v>
      </c>
      <c r="Q252" s="3905" t="s">
        <v>4580</v>
      </c>
      <c r="R252" s="3913" t="s">
        <v>4581</v>
      </c>
      <c r="S252" s="3905" t="s">
        <v>4582</v>
      </c>
      <c r="T252" s="3913" t="s">
        <v>4583</v>
      </c>
      <c r="U252" s="3905" t="s">
        <v>4584</v>
      </c>
      <c r="V252" s="3913" t="s">
        <v>4585</v>
      </c>
      <c r="W252" s="3905" t="s">
        <v>4586</v>
      </c>
      <c r="X252" s="3904" t="s">
        <v>4587</v>
      </c>
      <c r="Y252" s="3905" t="s">
        <v>4588</v>
      </c>
      <c r="Z252" s="3904" t="s">
        <v>4589</v>
      </c>
      <c r="AA252" s="3905" t="s">
        <v>4590</v>
      </c>
      <c r="AB252" s="3904" t="s">
        <v>4591</v>
      </c>
      <c r="AC252" s="3905" t="s">
        <v>4592</v>
      </c>
      <c r="AD252" s="3913" t="s">
        <v>4593</v>
      </c>
      <c r="AE252" s="3905" t="s">
        <v>4594</v>
      </c>
      <c r="AF252" s="3904" t="s">
        <v>4595</v>
      </c>
      <c r="AG252" s="3905" t="s">
        <v>4596</v>
      </c>
      <c r="AH252" s="3904" t="s">
        <v>4597</v>
      </c>
      <c r="AI252" s="3905" t="s">
        <v>4598</v>
      </c>
      <c r="AJ252" s="3904" t="s">
        <v>4599</v>
      </c>
      <c r="AK252" s="3902" t="s">
        <v>4600</v>
      </c>
      <c r="AL252" s="3903" t="s">
        <v>4601</v>
      </c>
      <c r="AM252" s="3905" t="s">
        <v>4602</v>
      </c>
      <c r="AN252" s="3904" t="s">
        <v>4603</v>
      </c>
      <c r="AO252" s="3902" t="s">
        <v>4604</v>
      </c>
      <c r="AP252" s="3903" t="s">
        <v>4605</v>
      </c>
      <c r="AQ252" s="3905" t="s">
        <v>4606</v>
      </c>
      <c r="AR252" s="3904" t="s">
        <v>4934</v>
      </c>
      <c r="AS252" s="3902" t="s">
        <v>4935</v>
      </c>
      <c r="AT252" s="3903" t="s">
        <v>4936</v>
      </c>
      <c r="AU252" s="3943" t="s">
        <v>4937</v>
      </c>
      <c r="AV252" s="3903" t="s">
        <v>5234</v>
      </c>
      <c r="AW252" s="3943" t="s">
        <v>5235</v>
      </c>
      <c r="AX252" s="3904" t="s">
        <v>5236</v>
      </c>
      <c r="AY252" s="3905" t="s">
        <v>5237</v>
      </c>
      <c r="AZ252" s="1864" t="e">
        <f t="shared" si="511"/>
        <v>#VALUE!</v>
      </c>
      <c r="CB252" s="3944" t="str">
        <f t="shared" si="507"/>
        <v xml:space="preserve"> * El Total de Exámenes Confirmados Positivos por ISP NO DEBE SUPERAR los Exámenes Procesados. </v>
      </c>
      <c r="CC252" s="1865" t="str">
        <f t="shared" si="512"/>
        <v xml:space="preserve"> * El número de Exámenes por Sexo Hombres Confirmados positivos por ISP NO PUEDE Superar al número de Procesados. </v>
      </c>
      <c r="CD252" s="1865" t="str">
        <f t="shared" si="508"/>
        <v xml:space="preserve"> * El número de Exámenes por Sexo Mujeres Confirmados positivos por ISP NO PUEDE Superar al número de Procesados. </v>
      </c>
      <c r="CE252" s="1936"/>
      <c r="CF252" s="1936"/>
      <c r="CG252" s="1936"/>
      <c r="CH252" s="1936"/>
      <c r="CI252" s="1936"/>
      <c r="CJ252" s="1865" t="e">
        <f t="shared" si="509"/>
        <v>#VALUE!</v>
      </c>
      <c r="CK252" s="1937"/>
      <c r="CL252" s="1865" t="e">
        <f t="shared" si="484"/>
        <v>#VALUE!</v>
      </c>
      <c r="CM252" s="1865" t="e">
        <f t="shared" si="485"/>
        <v>#VALUE!</v>
      </c>
      <c r="CN252" s="1865" t="str">
        <f t="shared" si="486"/>
        <v xml:space="preserve"> * Los exámenes de Pueblos originarios Procesados no pueden ser mayor que el Total de exámenes procesados.</v>
      </c>
      <c r="CO252" s="1865" t="str">
        <f t="shared" si="487"/>
        <v xml:space="preserve"> * Los exámenes procesados de Migrantes no pueden ser mayor que el Total de exámenes procesados.</v>
      </c>
      <c r="CP252" s="1865" t="e">
        <f t="shared" si="488"/>
        <v>#VALUE!</v>
      </c>
      <c r="CQ252" s="1865" t="str">
        <f t="shared" si="489"/>
        <v xml:space="preserve"> * Los exámenes Confirmados positivos por ISP de Pueblos originarios no pueden ser mayor que el Total de exámenes Procesados por ISP.</v>
      </c>
      <c r="CR252" s="1865" t="str">
        <f t="shared" si="490"/>
        <v xml:space="preserve"> * Los exámenes Confirmados positivos por ISP de Migrantes no pueden ser mayor que el Total de exámenes Procesados por ISP.</v>
      </c>
      <c r="CS252" s="1936"/>
      <c r="CT252" s="1936"/>
      <c r="CU252" s="2946" t="e">
        <f t="shared" si="517"/>
        <v>#VALUE!</v>
      </c>
      <c r="CV252" s="2946" t="e">
        <f t="shared" si="518"/>
        <v>#VALUE!</v>
      </c>
      <c r="DG252" s="3946">
        <f t="shared" si="493"/>
        <v>1</v>
      </c>
      <c r="DH252" s="3922">
        <f t="shared" si="510"/>
        <v>1</v>
      </c>
      <c r="DI252" s="3922">
        <f t="shared" si="494"/>
        <v>1</v>
      </c>
      <c r="DJ252" s="1936"/>
      <c r="DK252" s="1936"/>
      <c r="DL252" s="1936"/>
      <c r="DM252" s="1936"/>
      <c r="DN252" s="1936"/>
      <c r="DO252" s="3922" t="e">
        <f t="shared" si="495"/>
        <v>#VALUE!</v>
      </c>
      <c r="DP252" s="1937"/>
      <c r="DQ252" s="3922" t="e">
        <f t="shared" si="496"/>
        <v>#VALUE!</v>
      </c>
      <c r="DR252" s="3922" t="e">
        <f t="shared" si="497"/>
        <v>#VALUE!</v>
      </c>
      <c r="DS252" s="3922">
        <f t="shared" si="498"/>
        <v>1</v>
      </c>
      <c r="DT252" s="3922">
        <f t="shared" si="499"/>
        <v>1</v>
      </c>
      <c r="DU252" s="3922" t="e">
        <f t="shared" si="500"/>
        <v>#VALUE!</v>
      </c>
      <c r="DV252" s="3922">
        <f t="shared" si="501"/>
        <v>1</v>
      </c>
      <c r="DW252" s="3922">
        <f t="shared" si="502"/>
        <v>1</v>
      </c>
      <c r="DX252" s="1936"/>
      <c r="DY252" s="1936"/>
      <c r="DZ252" s="3922" t="e">
        <f t="shared" si="519"/>
        <v>#VALUE!</v>
      </c>
      <c r="EA252" s="3922" t="e">
        <f t="shared" si="520"/>
        <v>#VALUE!</v>
      </c>
      <c r="EB252" s="2948" t="e">
        <f t="shared" si="505"/>
        <v>#VALUE!</v>
      </c>
      <c r="EC252" s="2948" t="e">
        <f t="shared" si="506"/>
        <v>#VALUE!</v>
      </c>
    </row>
    <row r="253" spans="1:133" ht="15" customHeight="1" x14ac:dyDescent="0.25">
      <c r="A253" s="5601">
        <v>11057116</v>
      </c>
      <c r="B253" s="6058"/>
      <c r="C253" s="3982" t="s">
        <v>1942</v>
      </c>
      <c r="D253" s="3992" t="s">
        <v>4567</v>
      </c>
      <c r="E253" s="3987" t="s">
        <v>4568</v>
      </c>
      <c r="F253" s="3979" t="s">
        <v>4569</v>
      </c>
      <c r="G253" s="3980" t="s">
        <v>4570</v>
      </c>
      <c r="H253" s="3981" t="s">
        <v>4571</v>
      </c>
      <c r="I253" s="3980" t="s">
        <v>4572</v>
      </c>
      <c r="J253" s="3981" t="s">
        <v>4573</v>
      </c>
      <c r="K253" s="3980" t="s">
        <v>4574</v>
      </c>
      <c r="L253" s="3981" t="s">
        <v>4575</v>
      </c>
      <c r="M253" s="3980" t="s">
        <v>4576</v>
      </c>
      <c r="N253" s="3904" t="s">
        <v>4577</v>
      </c>
      <c r="O253" s="3905" t="s">
        <v>4578</v>
      </c>
      <c r="P253" s="3904" t="s">
        <v>4579</v>
      </c>
      <c r="Q253" s="3905" t="s">
        <v>4580</v>
      </c>
      <c r="R253" s="3913" t="s">
        <v>4581</v>
      </c>
      <c r="S253" s="3905" t="s">
        <v>4582</v>
      </c>
      <c r="T253" s="3913" t="s">
        <v>4583</v>
      </c>
      <c r="U253" s="3905" t="s">
        <v>4584</v>
      </c>
      <c r="V253" s="3913" t="s">
        <v>4585</v>
      </c>
      <c r="W253" s="3905" t="s">
        <v>4586</v>
      </c>
      <c r="X253" s="3904" t="s">
        <v>4587</v>
      </c>
      <c r="Y253" s="3905" t="s">
        <v>4588</v>
      </c>
      <c r="Z253" s="3904" t="s">
        <v>4589</v>
      </c>
      <c r="AA253" s="3905" t="s">
        <v>4590</v>
      </c>
      <c r="AB253" s="3904" t="s">
        <v>4591</v>
      </c>
      <c r="AC253" s="3905" t="s">
        <v>4592</v>
      </c>
      <c r="AD253" s="3913" t="s">
        <v>4593</v>
      </c>
      <c r="AE253" s="3905" t="s">
        <v>4594</v>
      </c>
      <c r="AF253" s="3904" t="s">
        <v>4595</v>
      </c>
      <c r="AG253" s="3905" t="s">
        <v>4596</v>
      </c>
      <c r="AH253" s="3904" t="s">
        <v>4597</v>
      </c>
      <c r="AI253" s="3905" t="s">
        <v>4598</v>
      </c>
      <c r="AJ253" s="3904" t="s">
        <v>4599</v>
      </c>
      <c r="AK253" s="3902" t="s">
        <v>4600</v>
      </c>
      <c r="AL253" s="3903" t="s">
        <v>4601</v>
      </c>
      <c r="AM253" s="3905" t="s">
        <v>4602</v>
      </c>
      <c r="AN253" s="3904" t="s">
        <v>4603</v>
      </c>
      <c r="AO253" s="3902" t="s">
        <v>4604</v>
      </c>
      <c r="AP253" s="3903" t="s">
        <v>4605</v>
      </c>
      <c r="AQ253" s="3905" t="s">
        <v>4606</v>
      </c>
      <c r="AR253" s="3904" t="s">
        <v>4934</v>
      </c>
      <c r="AS253" s="3902" t="s">
        <v>4935</v>
      </c>
      <c r="AT253" s="3903" t="s">
        <v>4936</v>
      </c>
      <c r="AU253" s="3943" t="s">
        <v>4937</v>
      </c>
      <c r="AV253" s="3903" t="s">
        <v>5234</v>
      </c>
      <c r="AW253" s="3943" t="s">
        <v>5235</v>
      </c>
      <c r="AX253" s="3904" t="s">
        <v>5236</v>
      </c>
      <c r="AY253" s="3905" t="s">
        <v>5237</v>
      </c>
      <c r="AZ253" s="1864" t="e">
        <f t="shared" si="511"/>
        <v>#VALUE!</v>
      </c>
      <c r="CB253" s="3944" t="str">
        <f t="shared" si="507"/>
        <v xml:space="preserve"> * El Total de Exámenes Confirmados Positivos por ISP NO DEBE SUPERAR los Exámenes Procesados. </v>
      </c>
      <c r="CC253" s="1865" t="str">
        <f t="shared" si="512"/>
        <v xml:space="preserve"> * El número de Exámenes por Sexo Hombres Confirmados positivos por ISP NO PUEDE Superar al número de Procesados. </v>
      </c>
      <c r="CD253" s="1865" t="str">
        <f t="shared" si="508"/>
        <v xml:space="preserve"> * El número de Exámenes por Sexo Mujeres Confirmados positivos por ISP NO PUEDE Superar al número de Procesados. </v>
      </c>
      <c r="CE253" s="1936"/>
      <c r="CF253" s="1936"/>
      <c r="CG253" s="1936"/>
      <c r="CH253" s="1936"/>
      <c r="CI253" s="1936"/>
      <c r="CJ253" s="1865" t="e">
        <f t="shared" si="509"/>
        <v>#VALUE!</v>
      </c>
      <c r="CK253" s="1937"/>
      <c r="CL253" s="1865" t="e">
        <f t="shared" si="484"/>
        <v>#VALUE!</v>
      </c>
      <c r="CM253" s="1865" t="e">
        <f t="shared" si="485"/>
        <v>#VALUE!</v>
      </c>
      <c r="CN253" s="1865" t="str">
        <f t="shared" si="486"/>
        <v xml:space="preserve"> * Los exámenes de Pueblos originarios Procesados no pueden ser mayor que el Total de exámenes procesados.</v>
      </c>
      <c r="CO253" s="1865" t="str">
        <f t="shared" si="487"/>
        <v xml:space="preserve"> * Los exámenes procesados de Migrantes no pueden ser mayor que el Total de exámenes procesados.</v>
      </c>
      <c r="CP253" s="1865" t="e">
        <f t="shared" si="488"/>
        <v>#VALUE!</v>
      </c>
      <c r="CQ253" s="1865" t="str">
        <f t="shared" si="489"/>
        <v xml:space="preserve"> * Los exámenes Confirmados positivos por ISP de Pueblos originarios no pueden ser mayor que el Total de exámenes Procesados por ISP.</v>
      </c>
      <c r="CR253" s="1865" t="str">
        <f t="shared" si="490"/>
        <v xml:space="preserve"> * Los exámenes Confirmados positivos por ISP de Migrantes no pueden ser mayor que el Total de exámenes Procesados por ISP.</v>
      </c>
      <c r="CS253" s="1936"/>
      <c r="CT253" s="1936"/>
      <c r="CU253" s="2946" t="e">
        <f t="shared" si="517"/>
        <v>#VALUE!</v>
      </c>
      <c r="CV253" s="2946" t="e">
        <f t="shared" si="518"/>
        <v>#VALUE!</v>
      </c>
      <c r="DG253" s="3946">
        <f t="shared" si="493"/>
        <v>1</v>
      </c>
      <c r="DH253" s="3922">
        <f t="shared" si="510"/>
        <v>1</v>
      </c>
      <c r="DI253" s="3922">
        <f t="shared" si="494"/>
        <v>1</v>
      </c>
      <c r="DJ253" s="1936"/>
      <c r="DK253" s="1936"/>
      <c r="DL253" s="1936"/>
      <c r="DM253" s="1936"/>
      <c r="DN253" s="1936"/>
      <c r="DO253" s="3922" t="e">
        <f t="shared" si="495"/>
        <v>#VALUE!</v>
      </c>
      <c r="DP253" s="1937"/>
      <c r="DQ253" s="3922" t="e">
        <f t="shared" si="496"/>
        <v>#VALUE!</v>
      </c>
      <c r="DR253" s="3922" t="e">
        <f t="shared" si="497"/>
        <v>#VALUE!</v>
      </c>
      <c r="DS253" s="3922">
        <f t="shared" si="498"/>
        <v>1</v>
      </c>
      <c r="DT253" s="3922">
        <f t="shared" si="499"/>
        <v>1</v>
      </c>
      <c r="DU253" s="3922" t="e">
        <f t="shared" si="500"/>
        <v>#VALUE!</v>
      </c>
      <c r="DV253" s="3922">
        <f t="shared" si="501"/>
        <v>1</v>
      </c>
      <c r="DW253" s="3922">
        <f t="shared" si="502"/>
        <v>1</v>
      </c>
      <c r="DX253" s="1936"/>
      <c r="DY253" s="1936"/>
      <c r="DZ253" s="3922" t="e">
        <f t="shared" si="519"/>
        <v>#VALUE!</v>
      </c>
      <c r="EA253" s="3922" t="e">
        <f t="shared" si="520"/>
        <v>#VALUE!</v>
      </c>
      <c r="EB253" s="2948" t="e">
        <f t="shared" si="505"/>
        <v>#VALUE!</v>
      </c>
      <c r="EC253" s="2948" t="e">
        <f t="shared" si="506"/>
        <v>#VALUE!</v>
      </c>
    </row>
    <row r="254" spans="1:133" ht="15" customHeight="1" x14ac:dyDescent="0.25">
      <c r="A254" s="5601">
        <v>11057117</v>
      </c>
      <c r="B254" s="6058"/>
      <c r="C254" s="3977" t="s">
        <v>1924</v>
      </c>
      <c r="D254" s="3978" t="s">
        <v>4567</v>
      </c>
      <c r="E254" s="3987" t="s">
        <v>4568</v>
      </c>
      <c r="F254" s="3979" t="s">
        <v>4569</v>
      </c>
      <c r="G254" s="3980" t="s">
        <v>4570</v>
      </c>
      <c r="H254" s="3981" t="s">
        <v>4571</v>
      </c>
      <c r="I254" s="3980" t="s">
        <v>4572</v>
      </c>
      <c r="J254" s="3981" t="s">
        <v>4573</v>
      </c>
      <c r="K254" s="3980" t="s">
        <v>4574</v>
      </c>
      <c r="L254" s="3981" t="s">
        <v>4575</v>
      </c>
      <c r="M254" s="3993" t="s">
        <v>4576</v>
      </c>
      <c r="N254" s="3904" t="s">
        <v>4577</v>
      </c>
      <c r="O254" s="3905" t="s">
        <v>4578</v>
      </c>
      <c r="P254" s="3904" t="s">
        <v>4579</v>
      </c>
      <c r="Q254" s="3905" t="s">
        <v>4580</v>
      </c>
      <c r="R254" s="3913" t="s">
        <v>4581</v>
      </c>
      <c r="S254" s="3905" t="s">
        <v>4582</v>
      </c>
      <c r="T254" s="3913" t="s">
        <v>4583</v>
      </c>
      <c r="U254" s="3905" t="s">
        <v>4584</v>
      </c>
      <c r="V254" s="3913" t="s">
        <v>4585</v>
      </c>
      <c r="W254" s="3905" t="s">
        <v>4586</v>
      </c>
      <c r="X254" s="3904" t="s">
        <v>4587</v>
      </c>
      <c r="Y254" s="3905" t="s">
        <v>4588</v>
      </c>
      <c r="Z254" s="3904" t="s">
        <v>4589</v>
      </c>
      <c r="AA254" s="3905" t="s">
        <v>4590</v>
      </c>
      <c r="AB254" s="3904" t="s">
        <v>4591</v>
      </c>
      <c r="AC254" s="3905" t="s">
        <v>4592</v>
      </c>
      <c r="AD254" s="3913" t="s">
        <v>4593</v>
      </c>
      <c r="AE254" s="3905" t="s">
        <v>4594</v>
      </c>
      <c r="AF254" s="3904" t="s">
        <v>4595</v>
      </c>
      <c r="AG254" s="3905" t="s">
        <v>4596</v>
      </c>
      <c r="AH254" s="3904" t="s">
        <v>4597</v>
      </c>
      <c r="AI254" s="3905" t="s">
        <v>4598</v>
      </c>
      <c r="AJ254" s="3904" t="s">
        <v>4599</v>
      </c>
      <c r="AK254" s="3902" t="s">
        <v>4600</v>
      </c>
      <c r="AL254" s="3903" t="s">
        <v>4601</v>
      </c>
      <c r="AM254" s="3905" t="s">
        <v>4602</v>
      </c>
      <c r="AN254" s="3904" t="s">
        <v>4603</v>
      </c>
      <c r="AO254" s="3902" t="s">
        <v>4604</v>
      </c>
      <c r="AP254" s="3903" t="s">
        <v>4605</v>
      </c>
      <c r="AQ254" s="3905" t="s">
        <v>4606</v>
      </c>
      <c r="AR254" s="3904" t="s">
        <v>4934</v>
      </c>
      <c r="AS254" s="3902" t="s">
        <v>4935</v>
      </c>
      <c r="AT254" s="3903" t="s">
        <v>4936</v>
      </c>
      <c r="AU254" s="3943" t="s">
        <v>4937</v>
      </c>
      <c r="AV254" s="3903" t="s">
        <v>5234</v>
      </c>
      <c r="AW254" s="3943" t="s">
        <v>5235</v>
      </c>
      <c r="AX254" s="3904" t="s">
        <v>5236</v>
      </c>
      <c r="AY254" s="3905" t="s">
        <v>5237</v>
      </c>
      <c r="AZ254" s="1864" t="e">
        <f t="shared" si="511"/>
        <v>#VALUE!</v>
      </c>
      <c r="CB254" s="3944" t="str">
        <f t="shared" si="507"/>
        <v xml:space="preserve"> * El Total de Exámenes Confirmados Positivos por ISP NO DEBE SUPERAR los Exámenes Procesados. </v>
      </c>
      <c r="CC254" s="1865" t="str">
        <f t="shared" si="512"/>
        <v xml:space="preserve"> * El número de Exámenes por Sexo Hombres Confirmados positivos por ISP NO PUEDE Superar al número de Procesados. </v>
      </c>
      <c r="CD254" s="1865" t="str">
        <f t="shared" si="508"/>
        <v xml:space="preserve"> * El número de Exámenes por Sexo Mujeres Confirmados positivos por ISP NO PUEDE Superar al número de Procesados. </v>
      </c>
      <c r="CE254" s="1936"/>
      <c r="CF254" s="1936"/>
      <c r="CG254" s="1936"/>
      <c r="CH254" s="1936"/>
      <c r="CI254" s="1936"/>
      <c r="CJ254" s="1865" t="e">
        <f t="shared" si="509"/>
        <v>#VALUE!</v>
      </c>
      <c r="CK254" s="1937"/>
      <c r="CL254" s="1865" t="e">
        <f t="shared" si="484"/>
        <v>#VALUE!</v>
      </c>
      <c r="CM254" s="1865" t="e">
        <f t="shared" si="485"/>
        <v>#VALUE!</v>
      </c>
      <c r="CN254" s="1865" t="str">
        <f t="shared" si="486"/>
        <v xml:space="preserve"> * Los exámenes de Pueblos originarios Procesados no pueden ser mayor que el Total de exámenes procesados.</v>
      </c>
      <c r="CO254" s="1865" t="str">
        <f t="shared" si="487"/>
        <v xml:space="preserve"> * Los exámenes procesados de Migrantes no pueden ser mayor que el Total de exámenes procesados.</v>
      </c>
      <c r="CP254" s="1865" t="e">
        <f t="shared" si="488"/>
        <v>#VALUE!</v>
      </c>
      <c r="CQ254" s="1865" t="str">
        <f t="shared" si="489"/>
        <v xml:space="preserve"> * Los exámenes Confirmados positivos por ISP de Pueblos originarios no pueden ser mayor que el Total de exámenes Procesados por ISP.</v>
      </c>
      <c r="CR254" s="1865" t="str">
        <f t="shared" si="490"/>
        <v xml:space="preserve"> * Los exámenes Confirmados positivos por ISP de Migrantes no pueden ser mayor que el Total de exámenes Procesados por ISP.</v>
      </c>
      <c r="CS254" s="1936"/>
      <c r="CT254" s="1936"/>
      <c r="CU254" s="2946" t="e">
        <f t="shared" si="517"/>
        <v>#VALUE!</v>
      </c>
      <c r="CV254" s="2946" t="e">
        <f t="shared" si="518"/>
        <v>#VALUE!</v>
      </c>
      <c r="DG254" s="3946">
        <f t="shared" si="493"/>
        <v>1</v>
      </c>
      <c r="DH254" s="3922">
        <f t="shared" si="510"/>
        <v>1</v>
      </c>
      <c r="DI254" s="3922">
        <f t="shared" si="494"/>
        <v>1</v>
      </c>
      <c r="DJ254" s="1936"/>
      <c r="DK254" s="1936"/>
      <c r="DL254" s="1936"/>
      <c r="DM254" s="1936"/>
      <c r="DN254" s="1936"/>
      <c r="DO254" s="3922" t="e">
        <f t="shared" si="495"/>
        <v>#VALUE!</v>
      </c>
      <c r="DP254" s="1937"/>
      <c r="DQ254" s="3922" t="e">
        <f t="shared" si="496"/>
        <v>#VALUE!</v>
      </c>
      <c r="DR254" s="3922" t="e">
        <f t="shared" si="497"/>
        <v>#VALUE!</v>
      </c>
      <c r="DS254" s="3922">
        <f t="shared" si="498"/>
        <v>1</v>
      </c>
      <c r="DT254" s="3922">
        <f t="shared" si="499"/>
        <v>1</v>
      </c>
      <c r="DU254" s="3922" t="e">
        <f t="shared" si="500"/>
        <v>#VALUE!</v>
      </c>
      <c r="DV254" s="3922">
        <f t="shared" si="501"/>
        <v>1</v>
      </c>
      <c r="DW254" s="3922">
        <f t="shared" si="502"/>
        <v>1</v>
      </c>
      <c r="DX254" s="1936"/>
      <c r="DY254" s="1936"/>
      <c r="DZ254" s="3922" t="e">
        <f t="shared" si="519"/>
        <v>#VALUE!</v>
      </c>
      <c r="EA254" s="3922" t="e">
        <f t="shared" si="520"/>
        <v>#VALUE!</v>
      </c>
      <c r="EB254" s="2948" t="e">
        <f t="shared" si="505"/>
        <v>#VALUE!</v>
      </c>
      <c r="EC254" s="2948" t="e">
        <f t="shared" si="506"/>
        <v>#VALUE!</v>
      </c>
    </row>
    <row r="255" spans="1:133" ht="15" customHeight="1" x14ac:dyDescent="0.25">
      <c r="A255" s="5601">
        <v>11057118</v>
      </c>
      <c r="B255" s="6842"/>
      <c r="C255" s="517" t="s">
        <v>1925</v>
      </c>
      <c r="D255" s="3994" t="s">
        <v>4567</v>
      </c>
      <c r="E255" s="625" t="s">
        <v>4568</v>
      </c>
      <c r="F255" s="3995" t="s">
        <v>4569</v>
      </c>
      <c r="G255" s="3996" t="s">
        <v>4570</v>
      </c>
      <c r="H255" s="3997" t="s">
        <v>4571</v>
      </c>
      <c r="I255" s="3996" t="s">
        <v>4572</v>
      </c>
      <c r="J255" s="3997" t="s">
        <v>4573</v>
      </c>
      <c r="K255" s="3996" t="s">
        <v>4574</v>
      </c>
      <c r="L255" s="3997" t="s">
        <v>4575</v>
      </c>
      <c r="M255" s="3996" t="s">
        <v>4576</v>
      </c>
      <c r="N255" s="1877" t="s">
        <v>4577</v>
      </c>
      <c r="O255" s="1975" t="s">
        <v>4578</v>
      </c>
      <c r="P255" s="1877" t="s">
        <v>4579</v>
      </c>
      <c r="Q255" s="1975" t="s">
        <v>4580</v>
      </c>
      <c r="R255" s="853" t="s">
        <v>4581</v>
      </c>
      <c r="S255" s="1975" t="s">
        <v>4582</v>
      </c>
      <c r="T255" s="853" t="s">
        <v>4583</v>
      </c>
      <c r="U255" s="1975" t="s">
        <v>4584</v>
      </c>
      <c r="V255" s="853" t="s">
        <v>4585</v>
      </c>
      <c r="W255" s="1975" t="s">
        <v>4586</v>
      </c>
      <c r="X255" s="1877" t="s">
        <v>4587</v>
      </c>
      <c r="Y255" s="1975" t="s">
        <v>4588</v>
      </c>
      <c r="Z255" s="1877" t="s">
        <v>4589</v>
      </c>
      <c r="AA255" s="1975" t="s">
        <v>4590</v>
      </c>
      <c r="AB255" s="1877" t="s">
        <v>4591</v>
      </c>
      <c r="AC255" s="1975" t="s">
        <v>4592</v>
      </c>
      <c r="AD255" s="853" t="s">
        <v>4593</v>
      </c>
      <c r="AE255" s="1975" t="s">
        <v>4594</v>
      </c>
      <c r="AF255" s="1877" t="s">
        <v>4595</v>
      </c>
      <c r="AG255" s="1975" t="s">
        <v>4596</v>
      </c>
      <c r="AH255" s="1877" t="s">
        <v>4597</v>
      </c>
      <c r="AI255" s="1975" t="s">
        <v>4598</v>
      </c>
      <c r="AJ255" s="1877" t="s">
        <v>4599</v>
      </c>
      <c r="AK255" s="1919" t="s">
        <v>4600</v>
      </c>
      <c r="AL255" s="1879" t="s">
        <v>4601</v>
      </c>
      <c r="AM255" s="1975" t="s">
        <v>4602</v>
      </c>
      <c r="AN255" s="1877" t="s">
        <v>4603</v>
      </c>
      <c r="AO255" s="1919" t="s">
        <v>4604</v>
      </c>
      <c r="AP255" s="1879" t="s">
        <v>4605</v>
      </c>
      <c r="AQ255" s="1975" t="s">
        <v>4606</v>
      </c>
      <c r="AR255" s="1877" t="s">
        <v>4934</v>
      </c>
      <c r="AS255" s="1919" t="s">
        <v>4935</v>
      </c>
      <c r="AT255" s="1879" t="s">
        <v>4936</v>
      </c>
      <c r="AU255" s="1878" t="s">
        <v>4937</v>
      </c>
      <c r="AV255" s="1879" t="s">
        <v>5234</v>
      </c>
      <c r="AW255" s="1878" t="s">
        <v>5235</v>
      </c>
      <c r="AX255" s="1877" t="s">
        <v>5236</v>
      </c>
      <c r="AY255" s="1975" t="s">
        <v>5237</v>
      </c>
      <c r="AZ255" s="1864" t="e">
        <f t="shared" si="511"/>
        <v>#VALUE!</v>
      </c>
      <c r="CB255" s="3944" t="str">
        <f t="shared" si="507"/>
        <v xml:space="preserve"> * El Total de Exámenes Confirmados Positivos por ISP NO DEBE SUPERAR los Exámenes Procesados. </v>
      </c>
      <c r="CC255" s="1865" t="str">
        <f t="shared" si="512"/>
        <v xml:space="preserve"> * El número de Exámenes por Sexo Hombres Confirmados positivos por ISP NO PUEDE Superar al número de Procesados. </v>
      </c>
      <c r="CD255" s="1865" t="str">
        <f t="shared" si="508"/>
        <v xml:space="preserve"> * El número de Exámenes por Sexo Mujeres Confirmados positivos por ISP NO PUEDE Superar al número de Procesados. </v>
      </c>
      <c r="CE255" s="1936"/>
      <c r="CF255" s="1936"/>
      <c r="CG255" s="1936"/>
      <c r="CH255" s="1936"/>
      <c r="CI255" s="1936"/>
      <c r="CJ255" s="1865" t="e">
        <f t="shared" si="509"/>
        <v>#VALUE!</v>
      </c>
      <c r="CK255" s="1937"/>
      <c r="CL255" s="1865" t="e">
        <f t="shared" si="484"/>
        <v>#VALUE!</v>
      </c>
      <c r="CM255" s="1865" t="e">
        <f t="shared" si="485"/>
        <v>#VALUE!</v>
      </c>
      <c r="CN255" s="1865" t="str">
        <f t="shared" si="486"/>
        <v xml:space="preserve"> * Los exámenes de Pueblos originarios Procesados no pueden ser mayor que el Total de exámenes procesados.</v>
      </c>
      <c r="CO255" s="1865" t="str">
        <f t="shared" si="487"/>
        <v xml:space="preserve"> * Los exámenes procesados de Migrantes no pueden ser mayor que el Total de exámenes procesados.</v>
      </c>
      <c r="CP255" s="1865" t="e">
        <f t="shared" si="488"/>
        <v>#VALUE!</v>
      </c>
      <c r="CQ255" s="1865" t="str">
        <f t="shared" si="489"/>
        <v xml:space="preserve"> * Los exámenes Confirmados positivos por ISP de Pueblos originarios no pueden ser mayor que el Total de exámenes Procesados por ISP.</v>
      </c>
      <c r="CR255" s="1865" t="str">
        <f t="shared" si="490"/>
        <v xml:space="preserve"> * Los exámenes Confirmados positivos por ISP de Migrantes no pueden ser mayor que el Total de exámenes Procesados por ISP.</v>
      </c>
      <c r="CS255" s="1936"/>
      <c r="CT255" s="1936"/>
      <c r="CU255" s="2946" t="e">
        <f t="shared" si="517"/>
        <v>#VALUE!</v>
      </c>
      <c r="CV255" s="2946" t="e">
        <f t="shared" si="518"/>
        <v>#VALUE!</v>
      </c>
      <c r="DG255" s="3946">
        <f t="shared" si="493"/>
        <v>1</v>
      </c>
      <c r="DH255" s="3922">
        <f t="shared" si="510"/>
        <v>1</v>
      </c>
      <c r="DI255" s="3922">
        <f t="shared" si="494"/>
        <v>1</v>
      </c>
      <c r="DJ255" s="1936"/>
      <c r="DK255" s="1936"/>
      <c r="DL255" s="1936"/>
      <c r="DM255" s="1936"/>
      <c r="DN255" s="1936"/>
      <c r="DO255" s="3922" t="e">
        <f t="shared" si="495"/>
        <v>#VALUE!</v>
      </c>
      <c r="DP255" s="1937"/>
      <c r="DQ255" s="3922" t="e">
        <f t="shared" si="496"/>
        <v>#VALUE!</v>
      </c>
      <c r="DR255" s="3922" t="e">
        <f t="shared" si="497"/>
        <v>#VALUE!</v>
      </c>
      <c r="DS255" s="3922">
        <f t="shared" si="498"/>
        <v>1</v>
      </c>
      <c r="DT255" s="3922">
        <f t="shared" si="499"/>
        <v>1</v>
      </c>
      <c r="DU255" s="3922" t="e">
        <f t="shared" si="500"/>
        <v>#VALUE!</v>
      </c>
      <c r="DV255" s="3922">
        <f t="shared" si="501"/>
        <v>1</v>
      </c>
      <c r="DW255" s="3922">
        <f t="shared" si="502"/>
        <v>1</v>
      </c>
      <c r="DX255" s="1936"/>
      <c r="DY255" s="1936"/>
      <c r="DZ255" s="3922" t="e">
        <f t="shared" si="519"/>
        <v>#VALUE!</v>
      </c>
      <c r="EA255" s="3922" t="e">
        <f t="shared" si="520"/>
        <v>#VALUE!</v>
      </c>
      <c r="EB255" s="2948" t="e">
        <f t="shared" si="505"/>
        <v>#VALUE!</v>
      </c>
      <c r="EC255" s="2948" t="e">
        <f t="shared" si="506"/>
        <v>#VALUE!</v>
      </c>
    </row>
    <row r="256" spans="1:133" ht="15" customHeight="1" x14ac:dyDescent="0.25">
      <c r="A256" s="5601">
        <v>11057119</v>
      </c>
      <c r="B256" s="7164" t="s">
        <v>1943</v>
      </c>
      <c r="C256" s="295" t="s">
        <v>1944</v>
      </c>
      <c r="D256" s="3998" t="s">
        <v>4567</v>
      </c>
      <c r="E256" s="3999" t="s">
        <v>4568</v>
      </c>
      <c r="F256" s="44" t="s">
        <v>4569</v>
      </c>
      <c r="G256" s="882" t="s">
        <v>4570</v>
      </c>
      <c r="H256" s="44" t="s">
        <v>4571</v>
      </c>
      <c r="I256" s="882" t="s">
        <v>4572</v>
      </c>
      <c r="J256" s="44" t="s">
        <v>4573</v>
      </c>
      <c r="K256" s="882" t="s">
        <v>4574</v>
      </c>
      <c r="L256" s="44" t="s">
        <v>4575</v>
      </c>
      <c r="M256" s="882" t="s">
        <v>4576</v>
      </c>
      <c r="N256" s="44" t="s">
        <v>4577</v>
      </c>
      <c r="O256" s="882" t="s">
        <v>4578</v>
      </c>
      <c r="P256" s="44" t="s">
        <v>4579</v>
      </c>
      <c r="Q256" s="882" t="s">
        <v>4580</v>
      </c>
      <c r="R256" s="326" t="s">
        <v>4581</v>
      </c>
      <c r="S256" s="882" t="s">
        <v>4582</v>
      </c>
      <c r="T256" s="326" t="s">
        <v>4583</v>
      </c>
      <c r="U256" s="882" t="s">
        <v>4584</v>
      </c>
      <c r="V256" s="326" t="s">
        <v>4585</v>
      </c>
      <c r="W256" s="882" t="s">
        <v>4586</v>
      </c>
      <c r="X256" s="44" t="s">
        <v>4587</v>
      </c>
      <c r="Y256" s="882" t="s">
        <v>4588</v>
      </c>
      <c r="Z256" s="44" t="s">
        <v>4589</v>
      </c>
      <c r="AA256" s="882" t="s">
        <v>4590</v>
      </c>
      <c r="AB256" s="44" t="s">
        <v>4591</v>
      </c>
      <c r="AC256" s="882" t="s">
        <v>4592</v>
      </c>
      <c r="AD256" s="326" t="s">
        <v>4593</v>
      </c>
      <c r="AE256" s="882" t="s">
        <v>4594</v>
      </c>
      <c r="AF256" s="44" t="s">
        <v>4595</v>
      </c>
      <c r="AG256" s="882" t="s">
        <v>4596</v>
      </c>
      <c r="AH256" s="44" t="s">
        <v>4597</v>
      </c>
      <c r="AI256" s="882" t="s">
        <v>4598</v>
      </c>
      <c r="AJ256" s="44" t="s">
        <v>4599</v>
      </c>
      <c r="AK256" s="1001" t="s">
        <v>4600</v>
      </c>
      <c r="AL256" s="336" t="s">
        <v>4601</v>
      </c>
      <c r="AM256" s="882" t="s">
        <v>4602</v>
      </c>
      <c r="AN256" s="44" t="s">
        <v>4603</v>
      </c>
      <c r="AO256" s="1001" t="s">
        <v>4604</v>
      </c>
      <c r="AP256" s="336" t="s">
        <v>4605</v>
      </c>
      <c r="AQ256" s="882" t="s">
        <v>4606</v>
      </c>
      <c r="AR256" s="44" t="s">
        <v>4934</v>
      </c>
      <c r="AS256" s="1001" t="s">
        <v>4935</v>
      </c>
      <c r="AT256" s="336" t="s">
        <v>4936</v>
      </c>
      <c r="AU256" s="1884" t="s">
        <v>4937</v>
      </c>
      <c r="AV256" s="336" t="s">
        <v>5234</v>
      </c>
      <c r="AW256" s="1884" t="s">
        <v>5235</v>
      </c>
      <c r="AX256" s="44" t="s">
        <v>5236</v>
      </c>
      <c r="AY256" s="882" t="s">
        <v>5237</v>
      </c>
      <c r="AZ256" s="1864" t="e">
        <f t="shared" si="511"/>
        <v>#VALUE!</v>
      </c>
      <c r="CB256" s="3944" t="str">
        <f t="shared" si="507"/>
        <v xml:space="preserve"> * El Total de Exámenes Confirmados Positivos por ISP NO DEBE SUPERAR los Exámenes Procesados. </v>
      </c>
      <c r="CC256" s="1865" t="str">
        <f t="shared" si="512"/>
        <v xml:space="preserve"> * El número de Exámenes por Sexo Hombres Confirmados positivos por ISP NO PUEDE Superar al número de Procesados. </v>
      </c>
      <c r="CD256" s="1865" t="str">
        <f t="shared" si="508"/>
        <v xml:space="preserve"> * El número de Exámenes por Sexo Mujeres Confirmados positivos por ISP NO PUEDE Superar al número de Procesados. </v>
      </c>
      <c r="CE256" s="1936"/>
      <c r="CF256" s="1936"/>
      <c r="CG256" s="1936"/>
      <c r="CH256" s="1936"/>
      <c r="CI256" s="1936"/>
      <c r="CJ256" s="1865" t="e">
        <f t="shared" si="509"/>
        <v>#VALUE!</v>
      </c>
      <c r="CK256" s="1937"/>
      <c r="CL256" s="1865" t="e">
        <f t="shared" si="484"/>
        <v>#VALUE!</v>
      </c>
      <c r="CM256" s="1865" t="e">
        <f t="shared" si="485"/>
        <v>#VALUE!</v>
      </c>
      <c r="CN256" s="1865" t="str">
        <f t="shared" si="486"/>
        <v xml:space="preserve"> * Los exámenes de Pueblos originarios Procesados no pueden ser mayor que el Total de exámenes procesados.</v>
      </c>
      <c r="CO256" s="1865" t="str">
        <f t="shared" si="487"/>
        <v xml:space="preserve"> * Los exámenes procesados de Migrantes no pueden ser mayor que el Total de exámenes procesados.</v>
      </c>
      <c r="CP256" s="1865" t="e">
        <f t="shared" si="488"/>
        <v>#VALUE!</v>
      </c>
      <c r="CQ256" s="1865" t="str">
        <f t="shared" si="489"/>
        <v xml:space="preserve"> * Los exámenes Confirmados positivos por ISP de Pueblos originarios no pueden ser mayor que el Total de exámenes Procesados por ISP.</v>
      </c>
      <c r="CR256" s="1865" t="str">
        <f t="shared" si="490"/>
        <v xml:space="preserve"> * Los exámenes Confirmados positivos por ISP de Migrantes no pueden ser mayor que el Total de exámenes Procesados por ISP.</v>
      </c>
      <c r="CS256" s="1936"/>
      <c r="CT256" s="1936"/>
      <c r="CU256" s="2946" t="e">
        <f t="shared" si="517"/>
        <v>#VALUE!</v>
      </c>
      <c r="CV256" s="2946" t="e">
        <f t="shared" si="518"/>
        <v>#VALUE!</v>
      </c>
      <c r="DG256" s="3946">
        <f t="shared" si="493"/>
        <v>1</v>
      </c>
      <c r="DH256" s="3922">
        <f t="shared" si="510"/>
        <v>1</v>
      </c>
      <c r="DI256" s="3922">
        <f t="shared" si="494"/>
        <v>1</v>
      </c>
      <c r="DJ256" s="1936"/>
      <c r="DK256" s="1936"/>
      <c r="DL256" s="1936"/>
      <c r="DM256" s="1936"/>
      <c r="DN256" s="1936"/>
      <c r="DO256" s="3922" t="e">
        <f t="shared" si="495"/>
        <v>#VALUE!</v>
      </c>
      <c r="DP256" s="1937"/>
      <c r="DQ256" s="3922" t="e">
        <f t="shared" si="496"/>
        <v>#VALUE!</v>
      </c>
      <c r="DR256" s="3922" t="e">
        <f t="shared" si="497"/>
        <v>#VALUE!</v>
      </c>
      <c r="DS256" s="3922">
        <f t="shared" si="498"/>
        <v>1</v>
      </c>
      <c r="DT256" s="3922">
        <f t="shared" si="499"/>
        <v>1</v>
      </c>
      <c r="DU256" s="3922" t="e">
        <f t="shared" si="500"/>
        <v>#VALUE!</v>
      </c>
      <c r="DV256" s="3922">
        <f t="shared" si="501"/>
        <v>1</v>
      </c>
      <c r="DW256" s="3922">
        <f t="shared" si="502"/>
        <v>1</v>
      </c>
      <c r="DX256" s="1936"/>
      <c r="DY256" s="1936"/>
      <c r="DZ256" s="3922" t="e">
        <f t="shared" si="519"/>
        <v>#VALUE!</v>
      </c>
      <c r="EA256" s="3922" t="e">
        <f t="shared" si="520"/>
        <v>#VALUE!</v>
      </c>
      <c r="EB256" s="2948" t="e">
        <f t="shared" si="505"/>
        <v>#VALUE!</v>
      </c>
      <c r="EC256" s="2948" t="e">
        <f t="shared" si="506"/>
        <v>#VALUE!</v>
      </c>
    </row>
    <row r="257" spans="1:133" ht="15" customHeight="1" x14ac:dyDescent="0.25">
      <c r="A257" s="5601">
        <v>11057120</v>
      </c>
      <c r="B257" s="6058"/>
      <c r="C257" s="3977" t="s">
        <v>1945</v>
      </c>
      <c r="D257" s="3992" t="s">
        <v>4567</v>
      </c>
      <c r="E257" s="3987" t="s">
        <v>4568</v>
      </c>
      <c r="F257" s="3904" t="s">
        <v>4569</v>
      </c>
      <c r="G257" s="3905" t="s">
        <v>4570</v>
      </c>
      <c r="H257" s="3904" t="s">
        <v>4571</v>
      </c>
      <c r="I257" s="3905" t="s">
        <v>4572</v>
      </c>
      <c r="J257" s="3904" t="s">
        <v>4573</v>
      </c>
      <c r="K257" s="3905" t="s">
        <v>4574</v>
      </c>
      <c r="L257" s="3904" t="s">
        <v>4575</v>
      </c>
      <c r="M257" s="3905" t="s">
        <v>4576</v>
      </c>
      <c r="N257" s="3904" t="s">
        <v>4577</v>
      </c>
      <c r="O257" s="3905" t="s">
        <v>4578</v>
      </c>
      <c r="P257" s="3904" t="s">
        <v>4579</v>
      </c>
      <c r="Q257" s="3905" t="s">
        <v>4580</v>
      </c>
      <c r="R257" s="3913" t="s">
        <v>4581</v>
      </c>
      <c r="S257" s="3905" t="s">
        <v>4582</v>
      </c>
      <c r="T257" s="3913" t="s">
        <v>4583</v>
      </c>
      <c r="U257" s="3905" t="s">
        <v>4584</v>
      </c>
      <c r="V257" s="3913" t="s">
        <v>4585</v>
      </c>
      <c r="W257" s="3905" t="s">
        <v>4586</v>
      </c>
      <c r="X257" s="3904" t="s">
        <v>4587</v>
      </c>
      <c r="Y257" s="3905" t="s">
        <v>4588</v>
      </c>
      <c r="Z257" s="3904" t="s">
        <v>4589</v>
      </c>
      <c r="AA257" s="3905" t="s">
        <v>4590</v>
      </c>
      <c r="AB257" s="3904" t="s">
        <v>4591</v>
      </c>
      <c r="AC257" s="3905" t="s">
        <v>4592</v>
      </c>
      <c r="AD257" s="3913" t="s">
        <v>4593</v>
      </c>
      <c r="AE257" s="3905" t="s">
        <v>4594</v>
      </c>
      <c r="AF257" s="3904" t="s">
        <v>4595</v>
      </c>
      <c r="AG257" s="3905" t="s">
        <v>4596</v>
      </c>
      <c r="AH257" s="3904" t="s">
        <v>4597</v>
      </c>
      <c r="AI257" s="3905" t="s">
        <v>4598</v>
      </c>
      <c r="AJ257" s="3904" t="s">
        <v>4599</v>
      </c>
      <c r="AK257" s="3902" t="s">
        <v>4600</v>
      </c>
      <c r="AL257" s="3903" t="s">
        <v>4601</v>
      </c>
      <c r="AM257" s="3905" t="s">
        <v>4602</v>
      </c>
      <c r="AN257" s="3904" t="s">
        <v>4603</v>
      </c>
      <c r="AO257" s="3902" t="s">
        <v>4604</v>
      </c>
      <c r="AP257" s="3903" t="s">
        <v>4605</v>
      </c>
      <c r="AQ257" s="3905" t="s">
        <v>4606</v>
      </c>
      <c r="AR257" s="3904" t="s">
        <v>4934</v>
      </c>
      <c r="AS257" s="3902" t="s">
        <v>4935</v>
      </c>
      <c r="AT257" s="3903" t="s">
        <v>4936</v>
      </c>
      <c r="AU257" s="3943" t="s">
        <v>4937</v>
      </c>
      <c r="AV257" s="3903" t="s">
        <v>5234</v>
      </c>
      <c r="AW257" s="3943" t="s">
        <v>5235</v>
      </c>
      <c r="AX257" s="3904" t="s">
        <v>5236</v>
      </c>
      <c r="AY257" s="3905" t="s">
        <v>5237</v>
      </c>
      <c r="AZ257" s="1864" t="e">
        <f t="shared" si="511"/>
        <v>#VALUE!</v>
      </c>
      <c r="CB257" s="3944" t="str">
        <f t="shared" si="507"/>
        <v xml:space="preserve"> * El Total de Exámenes Confirmados Positivos por ISP NO DEBE SUPERAR los Exámenes Procesados. </v>
      </c>
      <c r="CC257" s="1865" t="str">
        <f t="shared" si="512"/>
        <v xml:space="preserve"> * El número de Exámenes por Sexo Hombres Confirmados positivos por ISP NO PUEDE Superar al número de Procesados. </v>
      </c>
      <c r="CD257" s="1865" t="str">
        <f t="shared" si="508"/>
        <v xml:space="preserve"> * El número de Exámenes por Sexo Mujeres Confirmados positivos por ISP NO PUEDE Superar al número de Procesados. </v>
      </c>
      <c r="CE257" s="1936"/>
      <c r="CF257" s="1936"/>
      <c r="CG257" s="1936"/>
      <c r="CH257" s="1936"/>
      <c r="CI257" s="1936"/>
      <c r="CJ257" s="1865" t="e">
        <f t="shared" si="509"/>
        <v>#VALUE!</v>
      </c>
      <c r="CK257" s="1937"/>
      <c r="CL257" s="1865" t="e">
        <f t="shared" si="484"/>
        <v>#VALUE!</v>
      </c>
      <c r="CM257" s="1865" t="e">
        <f t="shared" si="485"/>
        <v>#VALUE!</v>
      </c>
      <c r="CN257" s="1865" t="str">
        <f t="shared" si="486"/>
        <v xml:space="preserve"> * Los exámenes de Pueblos originarios Procesados no pueden ser mayor que el Total de exámenes procesados.</v>
      </c>
      <c r="CO257" s="1865" t="str">
        <f t="shared" si="487"/>
        <v xml:space="preserve"> * Los exámenes procesados de Migrantes no pueden ser mayor que el Total de exámenes procesados.</v>
      </c>
      <c r="CP257" s="1865" t="e">
        <f t="shared" si="488"/>
        <v>#VALUE!</v>
      </c>
      <c r="CQ257" s="1865" t="str">
        <f t="shared" si="489"/>
        <v xml:space="preserve"> * Los exámenes Confirmados positivos por ISP de Pueblos originarios no pueden ser mayor que el Total de exámenes Procesados por ISP.</v>
      </c>
      <c r="CR257" s="1865" t="str">
        <f t="shared" si="490"/>
        <v xml:space="preserve"> * Los exámenes Confirmados positivos por ISP de Migrantes no pueden ser mayor que el Total de exámenes Procesados por ISP.</v>
      </c>
      <c r="CS257" s="1936"/>
      <c r="CT257" s="1936"/>
      <c r="CU257" s="2946" t="e">
        <f t="shared" si="517"/>
        <v>#VALUE!</v>
      </c>
      <c r="CV257" s="2946" t="e">
        <f t="shared" si="518"/>
        <v>#VALUE!</v>
      </c>
      <c r="DG257" s="3946">
        <f t="shared" si="493"/>
        <v>1</v>
      </c>
      <c r="DH257" s="3922">
        <f t="shared" si="510"/>
        <v>1</v>
      </c>
      <c r="DI257" s="3922">
        <f t="shared" si="494"/>
        <v>1</v>
      </c>
      <c r="DJ257" s="1936"/>
      <c r="DK257" s="1936"/>
      <c r="DL257" s="1936"/>
      <c r="DM257" s="1936"/>
      <c r="DN257" s="1936"/>
      <c r="DO257" s="3922" t="e">
        <f t="shared" si="495"/>
        <v>#VALUE!</v>
      </c>
      <c r="DP257" s="1937"/>
      <c r="DQ257" s="3922" t="e">
        <f t="shared" si="496"/>
        <v>#VALUE!</v>
      </c>
      <c r="DR257" s="3922" t="e">
        <f t="shared" si="497"/>
        <v>#VALUE!</v>
      </c>
      <c r="DS257" s="3922">
        <f t="shared" si="498"/>
        <v>1</v>
      </c>
      <c r="DT257" s="3922">
        <f t="shared" si="499"/>
        <v>1</v>
      </c>
      <c r="DU257" s="3922" t="e">
        <f t="shared" si="500"/>
        <v>#VALUE!</v>
      </c>
      <c r="DV257" s="3922">
        <f t="shared" si="501"/>
        <v>1</v>
      </c>
      <c r="DW257" s="3922">
        <f t="shared" si="502"/>
        <v>1</v>
      </c>
      <c r="DX257" s="1936"/>
      <c r="DY257" s="1936"/>
      <c r="DZ257" s="3922" t="e">
        <f t="shared" si="519"/>
        <v>#VALUE!</v>
      </c>
      <c r="EA257" s="3922" t="e">
        <f t="shared" si="520"/>
        <v>#VALUE!</v>
      </c>
      <c r="EB257" s="2948" t="e">
        <f t="shared" si="505"/>
        <v>#VALUE!</v>
      </c>
      <c r="EC257" s="2948" t="e">
        <f t="shared" si="506"/>
        <v>#VALUE!</v>
      </c>
    </row>
    <row r="258" spans="1:133" ht="15" customHeight="1" x14ac:dyDescent="0.25">
      <c r="A258" s="5601">
        <v>11057121</v>
      </c>
      <c r="B258" s="6058"/>
      <c r="C258" s="3977" t="s">
        <v>1946</v>
      </c>
      <c r="D258" s="3992" t="s">
        <v>4567</v>
      </c>
      <c r="E258" s="3987" t="s">
        <v>4568</v>
      </c>
      <c r="F258" s="3904" t="s">
        <v>4569</v>
      </c>
      <c r="G258" s="3905" t="s">
        <v>4570</v>
      </c>
      <c r="H258" s="3904" t="s">
        <v>4571</v>
      </c>
      <c r="I258" s="3905" t="s">
        <v>4572</v>
      </c>
      <c r="J258" s="3904" t="s">
        <v>4573</v>
      </c>
      <c r="K258" s="3905" t="s">
        <v>4574</v>
      </c>
      <c r="L258" s="3904" t="s">
        <v>4575</v>
      </c>
      <c r="M258" s="3905" t="s">
        <v>4576</v>
      </c>
      <c r="N258" s="3904" t="s">
        <v>4577</v>
      </c>
      <c r="O258" s="3905" t="s">
        <v>4578</v>
      </c>
      <c r="P258" s="3904" t="s">
        <v>4579</v>
      </c>
      <c r="Q258" s="3905" t="s">
        <v>4580</v>
      </c>
      <c r="R258" s="3913" t="s">
        <v>4581</v>
      </c>
      <c r="S258" s="3905" t="s">
        <v>4582</v>
      </c>
      <c r="T258" s="3913" t="s">
        <v>4583</v>
      </c>
      <c r="U258" s="3905" t="s">
        <v>4584</v>
      </c>
      <c r="V258" s="3913" t="s">
        <v>4585</v>
      </c>
      <c r="W258" s="3905" t="s">
        <v>4586</v>
      </c>
      <c r="X258" s="3904" t="s">
        <v>4587</v>
      </c>
      <c r="Y258" s="3905" t="s">
        <v>4588</v>
      </c>
      <c r="Z258" s="3904" t="s">
        <v>4589</v>
      </c>
      <c r="AA258" s="3905" t="s">
        <v>4590</v>
      </c>
      <c r="AB258" s="3904" t="s">
        <v>4591</v>
      </c>
      <c r="AC258" s="3905" t="s">
        <v>4592</v>
      </c>
      <c r="AD258" s="3913" t="s">
        <v>4593</v>
      </c>
      <c r="AE258" s="3905" t="s">
        <v>4594</v>
      </c>
      <c r="AF258" s="3904" t="s">
        <v>4595</v>
      </c>
      <c r="AG258" s="3905" t="s">
        <v>4596</v>
      </c>
      <c r="AH258" s="3904" t="s">
        <v>4597</v>
      </c>
      <c r="AI258" s="3905" t="s">
        <v>4598</v>
      </c>
      <c r="AJ258" s="3904" t="s">
        <v>4599</v>
      </c>
      <c r="AK258" s="3902" t="s">
        <v>4600</v>
      </c>
      <c r="AL258" s="3903" t="s">
        <v>4601</v>
      </c>
      <c r="AM258" s="3905" t="s">
        <v>4602</v>
      </c>
      <c r="AN258" s="3904" t="s">
        <v>4603</v>
      </c>
      <c r="AO258" s="3902" t="s">
        <v>4604</v>
      </c>
      <c r="AP258" s="3903" t="s">
        <v>4605</v>
      </c>
      <c r="AQ258" s="3905" t="s">
        <v>4606</v>
      </c>
      <c r="AR258" s="3904" t="s">
        <v>4934</v>
      </c>
      <c r="AS258" s="3902" t="s">
        <v>4935</v>
      </c>
      <c r="AT258" s="3903" t="s">
        <v>4936</v>
      </c>
      <c r="AU258" s="3943" t="s">
        <v>4937</v>
      </c>
      <c r="AV258" s="3903" t="s">
        <v>5234</v>
      </c>
      <c r="AW258" s="3943" t="s">
        <v>5235</v>
      </c>
      <c r="AX258" s="3904" t="s">
        <v>5236</v>
      </c>
      <c r="AY258" s="3905" t="s">
        <v>5237</v>
      </c>
      <c r="AZ258" s="1864" t="e">
        <f t="shared" si="511"/>
        <v>#VALUE!</v>
      </c>
      <c r="CB258" s="3944" t="str">
        <f t="shared" si="507"/>
        <v xml:space="preserve"> * El Total de Exámenes Confirmados Positivos por ISP NO DEBE SUPERAR los Exámenes Procesados. </v>
      </c>
      <c r="CC258" s="1865" t="str">
        <f t="shared" si="512"/>
        <v xml:space="preserve"> * El número de Exámenes por Sexo Hombres Confirmados positivos por ISP NO PUEDE Superar al número de Procesados. </v>
      </c>
      <c r="CD258" s="1865" t="str">
        <f t="shared" si="508"/>
        <v xml:space="preserve"> * El número de Exámenes por Sexo Mujeres Confirmados positivos por ISP NO PUEDE Superar al número de Procesados. </v>
      </c>
      <c r="CE258" s="1936"/>
      <c r="CF258" s="1936"/>
      <c r="CG258" s="1936"/>
      <c r="CH258" s="1936"/>
      <c r="CI258" s="1936"/>
      <c r="CJ258" s="1865" t="e">
        <f t="shared" si="509"/>
        <v>#VALUE!</v>
      </c>
      <c r="CK258" s="1937"/>
      <c r="CL258" s="1865" t="e">
        <f t="shared" si="484"/>
        <v>#VALUE!</v>
      </c>
      <c r="CM258" s="1865" t="e">
        <f t="shared" si="485"/>
        <v>#VALUE!</v>
      </c>
      <c r="CN258" s="1865" t="str">
        <f t="shared" si="486"/>
        <v xml:space="preserve"> * Los exámenes de Pueblos originarios Procesados no pueden ser mayor que el Total de exámenes procesados.</v>
      </c>
      <c r="CO258" s="1865" t="str">
        <f t="shared" si="487"/>
        <v xml:space="preserve"> * Los exámenes procesados de Migrantes no pueden ser mayor que el Total de exámenes procesados.</v>
      </c>
      <c r="CP258" s="1865" t="e">
        <f t="shared" si="488"/>
        <v>#VALUE!</v>
      </c>
      <c r="CQ258" s="1865" t="str">
        <f t="shared" si="489"/>
        <v xml:space="preserve"> * Los exámenes Confirmados positivos por ISP de Pueblos originarios no pueden ser mayor que el Total de exámenes Procesados por ISP.</v>
      </c>
      <c r="CR258" s="1865" t="str">
        <f t="shared" si="490"/>
        <v xml:space="preserve"> * Los exámenes Confirmados positivos por ISP de Migrantes no pueden ser mayor que el Total de exámenes Procesados por ISP.</v>
      </c>
      <c r="CS258" s="1936"/>
      <c r="CT258" s="1936"/>
      <c r="CU258" s="2946" t="e">
        <f t="shared" si="517"/>
        <v>#VALUE!</v>
      </c>
      <c r="CV258" s="2946" t="e">
        <f t="shared" si="518"/>
        <v>#VALUE!</v>
      </c>
      <c r="DG258" s="3946">
        <f t="shared" si="493"/>
        <v>1</v>
      </c>
      <c r="DH258" s="3922">
        <f t="shared" si="510"/>
        <v>1</v>
      </c>
      <c r="DI258" s="3922">
        <f t="shared" si="494"/>
        <v>1</v>
      </c>
      <c r="DJ258" s="1936"/>
      <c r="DK258" s="1936"/>
      <c r="DL258" s="1936"/>
      <c r="DM258" s="1936"/>
      <c r="DN258" s="1936"/>
      <c r="DO258" s="3922" t="e">
        <f t="shared" si="495"/>
        <v>#VALUE!</v>
      </c>
      <c r="DP258" s="1937"/>
      <c r="DQ258" s="3922" t="e">
        <f t="shared" si="496"/>
        <v>#VALUE!</v>
      </c>
      <c r="DR258" s="3922" t="e">
        <f t="shared" si="497"/>
        <v>#VALUE!</v>
      </c>
      <c r="DS258" s="3922">
        <f t="shared" si="498"/>
        <v>1</v>
      </c>
      <c r="DT258" s="3922">
        <f t="shared" si="499"/>
        <v>1</v>
      </c>
      <c r="DU258" s="3922" t="e">
        <f t="shared" si="500"/>
        <v>#VALUE!</v>
      </c>
      <c r="DV258" s="3922">
        <f t="shared" si="501"/>
        <v>1</v>
      </c>
      <c r="DW258" s="3922">
        <f t="shared" si="502"/>
        <v>1</v>
      </c>
      <c r="DX258" s="1936"/>
      <c r="DY258" s="1936"/>
      <c r="DZ258" s="3922" t="e">
        <f t="shared" si="519"/>
        <v>#VALUE!</v>
      </c>
      <c r="EA258" s="3922" t="e">
        <f t="shared" si="520"/>
        <v>#VALUE!</v>
      </c>
      <c r="EB258" s="2948" t="e">
        <f t="shared" si="505"/>
        <v>#VALUE!</v>
      </c>
      <c r="EC258" s="2948" t="e">
        <f t="shared" si="506"/>
        <v>#VALUE!</v>
      </c>
    </row>
    <row r="259" spans="1:133" ht="15" customHeight="1" x14ac:dyDescent="0.25">
      <c r="A259" s="5601">
        <v>11057122</v>
      </c>
      <c r="B259" s="6842"/>
      <c r="C259" s="2212" t="s">
        <v>1947</v>
      </c>
      <c r="D259" s="4000" t="s">
        <v>4567</v>
      </c>
      <c r="E259" s="4001" t="s">
        <v>4568</v>
      </c>
      <c r="F259" s="1877" t="s">
        <v>4569</v>
      </c>
      <c r="G259" s="1975" t="s">
        <v>4570</v>
      </c>
      <c r="H259" s="1877" t="s">
        <v>4571</v>
      </c>
      <c r="I259" s="1975" t="s">
        <v>4572</v>
      </c>
      <c r="J259" s="1877" t="s">
        <v>4573</v>
      </c>
      <c r="K259" s="1975" t="s">
        <v>4574</v>
      </c>
      <c r="L259" s="1877" t="s">
        <v>4575</v>
      </c>
      <c r="M259" s="1975" t="s">
        <v>4576</v>
      </c>
      <c r="N259" s="1877" t="s">
        <v>4577</v>
      </c>
      <c r="O259" s="1975" t="s">
        <v>4578</v>
      </c>
      <c r="P259" s="1877" t="s">
        <v>4579</v>
      </c>
      <c r="Q259" s="1975" t="s">
        <v>4580</v>
      </c>
      <c r="R259" s="853" t="s">
        <v>4581</v>
      </c>
      <c r="S259" s="1975" t="s">
        <v>4582</v>
      </c>
      <c r="T259" s="853" t="s">
        <v>4583</v>
      </c>
      <c r="U259" s="1975" t="s">
        <v>4584</v>
      </c>
      <c r="V259" s="853" t="s">
        <v>4585</v>
      </c>
      <c r="W259" s="1975" t="s">
        <v>4586</v>
      </c>
      <c r="X259" s="1877" t="s">
        <v>4587</v>
      </c>
      <c r="Y259" s="1975" t="s">
        <v>4588</v>
      </c>
      <c r="Z259" s="1877" t="s">
        <v>4589</v>
      </c>
      <c r="AA259" s="1975" t="s">
        <v>4590</v>
      </c>
      <c r="AB259" s="1877" t="s">
        <v>4591</v>
      </c>
      <c r="AC259" s="1975" t="s">
        <v>4592</v>
      </c>
      <c r="AD259" s="853" t="s">
        <v>4593</v>
      </c>
      <c r="AE259" s="1975" t="s">
        <v>4594</v>
      </c>
      <c r="AF259" s="1877" t="s">
        <v>4595</v>
      </c>
      <c r="AG259" s="1975" t="s">
        <v>4596</v>
      </c>
      <c r="AH259" s="1877" t="s">
        <v>4597</v>
      </c>
      <c r="AI259" s="1975" t="s">
        <v>4598</v>
      </c>
      <c r="AJ259" s="1877" t="s">
        <v>4599</v>
      </c>
      <c r="AK259" s="1919" t="s">
        <v>4600</v>
      </c>
      <c r="AL259" s="1879" t="s">
        <v>4601</v>
      </c>
      <c r="AM259" s="1975" t="s">
        <v>4602</v>
      </c>
      <c r="AN259" s="1877" t="s">
        <v>4603</v>
      </c>
      <c r="AO259" s="1919" t="s">
        <v>4604</v>
      </c>
      <c r="AP259" s="1879" t="s">
        <v>4605</v>
      </c>
      <c r="AQ259" s="1975" t="s">
        <v>4606</v>
      </c>
      <c r="AR259" s="1877" t="s">
        <v>4934</v>
      </c>
      <c r="AS259" s="1919" t="s">
        <v>4935</v>
      </c>
      <c r="AT259" s="1879" t="s">
        <v>4936</v>
      </c>
      <c r="AU259" s="1878" t="s">
        <v>4937</v>
      </c>
      <c r="AV259" s="1879" t="s">
        <v>5234</v>
      </c>
      <c r="AW259" s="1878" t="s">
        <v>5235</v>
      </c>
      <c r="AX259" s="1877" t="s">
        <v>5236</v>
      </c>
      <c r="AY259" s="1975" t="s">
        <v>5237</v>
      </c>
      <c r="AZ259" s="1864" t="e">
        <f t="shared" si="511"/>
        <v>#VALUE!</v>
      </c>
      <c r="CB259" s="3944" t="str">
        <f t="shared" si="507"/>
        <v xml:space="preserve"> * El Total de Exámenes Confirmados Positivos por ISP NO DEBE SUPERAR los Exámenes Procesados. </v>
      </c>
      <c r="CC259" s="1865" t="str">
        <f t="shared" si="512"/>
        <v xml:space="preserve"> * El número de Exámenes por Sexo Hombres Confirmados positivos por ISP NO PUEDE Superar al número de Procesados. </v>
      </c>
      <c r="CD259" s="1865" t="str">
        <f t="shared" si="508"/>
        <v xml:space="preserve"> * El número de Exámenes por Sexo Mujeres Confirmados positivos por ISP NO PUEDE Superar al número de Procesados. </v>
      </c>
      <c r="CE259" s="1936"/>
      <c r="CF259" s="1936"/>
      <c r="CG259" s="1936"/>
      <c r="CH259" s="1936"/>
      <c r="CI259" s="1936"/>
      <c r="CJ259" s="1865" t="e">
        <f t="shared" si="509"/>
        <v>#VALUE!</v>
      </c>
      <c r="CK259" s="1937"/>
      <c r="CL259" s="1865" t="e">
        <f t="shared" si="484"/>
        <v>#VALUE!</v>
      </c>
      <c r="CM259" s="1865" t="e">
        <f t="shared" si="485"/>
        <v>#VALUE!</v>
      </c>
      <c r="CN259" s="1865" t="str">
        <f t="shared" si="486"/>
        <v xml:space="preserve"> * Los exámenes de Pueblos originarios Procesados no pueden ser mayor que el Total de exámenes procesados.</v>
      </c>
      <c r="CO259" s="1865" t="str">
        <f t="shared" si="487"/>
        <v xml:space="preserve"> * Los exámenes procesados de Migrantes no pueden ser mayor que el Total de exámenes procesados.</v>
      </c>
      <c r="CP259" s="1865" t="e">
        <f t="shared" si="488"/>
        <v>#VALUE!</v>
      </c>
      <c r="CQ259" s="1865" t="str">
        <f t="shared" si="489"/>
        <v xml:space="preserve"> * Los exámenes Confirmados positivos por ISP de Pueblos originarios no pueden ser mayor que el Total de exámenes Procesados por ISP.</v>
      </c>
      <c r="CR259" s="1865" t="str">
        <f t="shared" si="490"/>
        <v xml:space="preserve"> * Los exámenes Confirmados positivos por ISP de Migrantes no pueden ser mayor que el Total de exámenes Procesados por ISP.</v>
      </c>
      <c r="CS259" s="1936"/>
      <c r="CT259" s="1936"/>
      <c r="CU259" s="2946" t="e">
        <f t="shared" si="517"/>
        <v>#VALUE!</v>
      </c>
      <c r="CV259" s="2946" t="e">
        <f t="shared" si="518"/>
        <v>#VALUE!</v>
      </c>
      <c r="DG259" s="3946">
        <f t="shared" si="493"/>
        <v>1</v>
      </c>
      <c r="DH259" s="3922">
        <f t="shared" si="510"/>
        <v>1</v>
      </c>
      <c r="DI259" s="3922">
        <f t="shared" si="494"/>
        <v>1</v>
      </c>
      <c r="DJ259" s="1936"/>
      <c r="DK259" s="1936"/>
      <c r="DL259" s="1936"/>
      <c r="DM259" s="1936"/>
      <c r="DN259" s="1936"/>
      <c r="DO259" s="3922" t="e">
        <f t="shared" si="495"/>
        <v>#VALUE!</v>
      </c>
      <c r="DP259" s="1937"/>
      <c r="DQ259" s="3922" t="e">
        <f t="shared" si="496"/>
        <v>#VALUE!</v>
      </c>
      <c r="DR259" s="3922" t="e">
        <f t="shared" si="497"/>
        <v>#VALUE!</v>
      </c>
      <c r="DS259" s="3922">
        <f t="shared" si="498"/>
        <v>1</v>
      </c>
      <c r="DT259" s="3922">
        <f t="shared" si="499"/>
        <v>1</v>
      </c>
      <c r="DU259" s="3922" t="e">
        <f t="shared" si="500"/>
        <v>#VALUE!</v>
      </c>
      <c r="DV259" s="3922">
        <f t="shared" si="501"/>
        <v>1</v>
      </c>
      <c r="DW259" s="3922">
        <f t="shared" si="502"/>
        <v>1</v>
      </c>
      <c r="DX259" s="1936"/>
      <c r="DY259" s="1936"/>
      <c r="DZ259" s="3922" t="e">
        <f t="shared" si="519"/>
        <v>#VALUE!</v>
      </c>
      <c r="EA259" s="3922" t="e">
        <f t="shared" si="520"/>
        <v>#VALUE!</v>
      </c>
      <c r="EB259" s="2948" t="e">
        <f t="shared" si="505"/>
        <v>#VALUE!</v>
      </c>
      <c r="EC259" s="2948" t="e">
        <f t="shared" si="506"/>
        <v>#VALUE!</v>
      </c>
    </row>
    <row r="260" spans="1:133" ht="18" customHeight="1" x14ac:dyDescent="0.25">
      <c r="A260" s="5822"/>
      <c r="B260" s="7173" t="s">
        <v>1948</v>
      </c>
      <c r="C260" s="7173"/>
      <c r="D260" s="7173"/>
      <c r="E260" s="7173"/>
      <c r="F260" s="7173"/>
      <c r="G260" s="7173"/>
      <c r="H260" s="7173"/>
      <c r="I260" s="7173"/>
      <c r="J260" s="7173"/>
      <c r="K260" s="7173"/>
      <c r="L260" s="7173"/>
      <c r="M260" s="7173"/>
      <c r="N260" s="7173"/>
      <c r="O260" s="7173"/>
      <c r="P260" s="7173"/>
      <c r="Q260" s="7173"/>
      <c r="R260" s="7173"/>
      <c r="S260" s="7173"/>
      <c r="T260" s="7173"/>
      <c r="U260" s="7173"/>
      <c r="V260" s="7173"/>
      <c r="W260" s="7173"/>
      <c r="X260" s="7173"/>
      <c r="Y260" s="7173"/>
      <c r="Z260" s="7173"/>
      <c r="AA260" s="7173"/>
      <c r="AB260" s="7173"/>
      <c r="AC260" s="7173"/>
      <c r="AD260" s="1937"/>
      <c r="AE260" s="1937"/>
    </row>
    <row r="261" spans="1:133" x14ac:dyDescent="0.25">
      <c r="A261" s="5822"/>
      <c r="B261" s="7151" t="s">
        <v>697</v>
      </c>
      <c r="C261" s="7174" t="s">
        <v>77</v>
      </c>
      <c r="D261" s="6665"/>
      <c r="E261" s="6598"/>
      <c r="F261" s="7170" t="s">
        <v>101</v>
      </c>
      <c r="G261" s="7171"/>
      <c r="H261" s="7171"/>
      <c r="I261" s="7171"/>
      <c r="J261" s="7171"/>
      <c r="K261" s="7171"/>
      <c r="L261" s="7171"/>
      <c r="M261" s="7171"/>
      <c r="N261" s="7171"/>
      <c r="O261" s="7171"/>
      <c r="P261" s="7171"/>
      <c r="Q261" s="7171"/>
      <c r="R261" s="7171"/>
      <c r="S261" s="7171"/>
      <c r="T261" s="7171"/>
      <c r="U261" s="7171"/>
      <c r="V261" s="7171"/>
      <c r="W261" s="7171"/>
      <c r="X261" s="7171"/>
      <c r="Y261" s="7171"/>
      <c r="Z261" s="7171"/>
      <c r="AA261" s="7171"/>
      <c r="AB261" s="7171"/>
      <c r="AC261" s="7172"/>
      <c r="AD261" s="7175" t="s">
        <v>36</v>
      </c>
      <c r="AE261" s="6598" t="s">
        <v>37</v>
      </c>
    </row>
    <row r="262" spans="1:133" ht="15" customHeight="1" x14ac:dyDescent="0.25">
      <c r="A262" s="5822"/>
      <c r="B262" s="7152"/>
      <c r="C262" s="6599"/>
      <c r="D262" s="6469"/>
      <c r="E262" s="6391"/>
      <c r="F262" s="7136" t="s">
        <v>1204</v>
      </c>
      <c r="G262" s="7139"/>
      <c r="H262" s="7136" t="s">
        <v>45</v>
      </c>
      <c r="I262" s="7139"/>
      <c r="J262" s="7136" t="s">
        <v>46</v>
      </c>
      <c r="K262" s="7139"/>
      <c r="L262" s="7136" t="s">
        <v>47</v>
      </c>
      <c r="M262" s="7139"/>
      <c r="N262" s="7136" t="s">
        <v>48</v>
      </c>
      <c r="O262" s="7139"/>
      <c r="P262" s="7136" t="s">
        <v>49</v>
      </c>
      <c r="Q262" s="7139"/>
      <c r="R262" s="7136" t="s">
        <v>50</v>
      </c>
      <c r="S262" s="7139"/>
      <c r="T262" s="7136" t="s">
        <v>51</v>
      </c>
      <c r="U262" s="7139"/>
      <c r="V262" s="7136" t="s">
        <v>1949</v>
      </c>
      <c r="W262" s="7139"/>
      <c r="X262" s="7136" t="s">
        <v>1583</v>
      </c>
      <c r="Y262" s="7139"/>
      <c r="Z262" s="7136" t="s">
        <v>308</v>
      </c>
      <c r="AA262" s="7139"/>
      <c r="AB262" s="7136" t="s">
        <v>737</v>
      </c>
      <c r="AC262" s="7137"/>
      <c r="AD262" s="7176"/>
      <c r="AE262" s="6391"/>
    </row>
    <row r="263" spans="1:133" x14ac:dyDescent="0.25">
      <c r="A263" s="5822"/>
      <c r="B263" s="7153"/>
      <c r="C263" s="4002" t="s">
        <v>389</v>
      </c>
      <c r="D263" s="3897" t="s">
        <v>58</v>
      </c>
      <c r="E263" s="3893" t="s">
        <v>59</v>
      </c>
      <c r="F263" s="3894" t="s">
        <v>58</v>
      </c>
      <c r="G263" s="3893" t="s">
        <v>59</v>
      </c>
      <c r="H263" s="3894" t="s">
        <v>58</v>
      </c>
      <c r="I263" s="3893" t="s">
        <v>59</v>
      </c>
      <c r="J263" s="3894" t="s">
        <v>58</v>
      </c>
      <c r="K263" s="3893" t="s">
        <v>59</v>
      </c>
      <c r="L263" s="3894" t="s">
        <v>58</v>
      </c>
      <c r="M263" s="3893" t="s">
        <v>59</v>
      </c>
      <c r="N263" s="3894" t="s">
        <v>58</v>
      </c>
      <c r="O263" s="3893" t="s">
        <v>59</v>
      </c>
      <c r="P263" s="3894" t="s">
        <v>58</v>
      </c>
      <c r="Q263" s="3893" t="s">
        <v>59</v>
      </c>
      <c r="R263" s="3894" t="s">
        <v>58</v>
      </c>
      <c r="S263" s="3893" t="s">
        <v>59</v>
      </c>
      <c r="T263" s="3894" t="s">
        <v>58</v>
      </c>
      <c r="U263" s="3893" t="s">
        <v>59</v>
      </c>
      <c r="V263" s="3894" t="s">
        <v>58</v>
      </c>
      <c r="W263" s="3893" t="s">
        <v>59</v>
      </c>
      <c r="X263" s="3894" t="s">
        <v>58</v>
      </c>
      <c r="Y263" s="3893" t="s">
        <v>59</v>
      </c>
      <c r="Z263" s="3894" t="s">
        <v>58</v>
      </c>
      <c r="AA263" s="3893" t="s">
        <v>59</v>
      </c>
      <c r="AB263" s="3894" t="s">
        <v>58</v>
      </c>
      <c r="AC263" s="3898" t="s">
        <v>59</v>
      </c>
      <c r="AD263" s="7177"/>
      <c r="AE263" s="7178"/>
    </row>
    <row r="264" spans="1:133" ht="22.5" x14ac:dyDescent="0.25">
      <c r="A264" s="5601">
        <v>11057139</v>
      </c>
      <c r="B264" s="4003" t="s">
        <v>1950</v>
      </c>
      <c r="C264" s="3254" t="s">
        <v>4567</v>
      </c>
      <c r="D264" s="4004" t="s">
        <v>4568</v>
      </c>
      <c r="E264" s="4005" t="s">
        <v>4569</v>
      </c>
      <c r="F264" s="4006" t="s">
        <v>4570</v>
      </c>
      <c r="G264" s="3875" t="s">
        <v>4571</v>
      </c>
      <c r="H264" s="4006" t="s">
        <v>4572</v>
      </c>
      <c r="I264" s="3875" t="s">
        <v>4573</v>
      </c>
      <c r="J264" s="4006" t="s">
        <v>4574</v>
      </c>
      <c r="K264" s="3875" t="s">
        <v>4575</v>
      </c>
      <c r="L264" s="4006" t="s">
        <v>4576</v>
      </c>
      <c r="M264" s="3875" t="s">
        <v>4577</v>
      </c>
      <c r="N264" s="4006" t="s">
        <v>4578</v>
      </c>
      <c r="O264" s="3875" t="s">
        <v>4579</v>
      </c>
      <c r="P264" s="4006" t="s">
        <v>4580</v>
      </c>
      <c r="Q264" s="3875" t="s">
        <v>4581</v>
      </c>
      <c r="R264" s="4006" t="s">
        <v>4582</v>
      </c>
      <c r="S264" s="3875" t="s">
        <v>4583</v>
      </c>
      <c r="T264" s="4006" t="s">
        <v>4584</v>
      </c>
      <c r="U264" s="3875" t="s">
        <v>4585</v>
      </c>
      <c r="V264" s="4006" t="s">
        <v>4586</v>
      </c>
      <c r="W264" s="3875" t="s">
        <v>4587</v>
      </c>
      <c r="X264" s="4006" t="s">
        <v>4588</v>
      </c>
      <c r="Y264" s="3875" t="s">
        <v>4589</v>
      </c>
      <c r="Z264" s="4006" t="s">
        <v>4590</v>
      </c>
      <c r="AA264" s="3875" t="s">
        <v>4591</v>
      </c>
      <c r="AB264" s="4006" t="s">
        <v>4592</v>
      </c>
      <c r="AC264" s="351" t="s">
        <v>4593</v>
      </c>
      <c r="AD264" s="22" t="s">
        <v>4594</v>
      </c>
      <c r="AE264" s="622" t="s">
        <v>4595</v>
      </c>
      <c r="AF264" s="1936" t="str">
        <f>$CB264&amp;CC264</f>
        <v xml:space="preserve"> * La variable Pueblos originarios No puede ser mayor al Total Ambos Sexos. * La variable Migrantes No puede ser mayor al Total Ambos Sexos.</v>
      </c>
      <c r="CB264" s="3944" t="str">
        <f>IF(AND(C264&gt;0,AD264="")," * No olvide digitar la variable Pueblos originarios. Digite Cero si no tiene.",IF(AD264&gt;C264," * La variable Pueblos originarios No puede ser mayor al Total Ambos Sexos.",""))</f>
        <v xml:space="preserve"> * La variable Pueblos originarios No puede ser mayor al Total Ambos Sexos.</v>
      </c>
      <c r="CC264" s="3944" t="str">
        <f>IF(AND(C264&gt;0,AE264="")," * No olvide digitar la variable Migrantes. Digite Cero si no tiene.",IF(AE264&gt;C264," * La variable Migrantes No puede ser mayor al Total Ambos Sexos.",""))</f>
        <v xml:space="preserve"> * La variable Migrantes No puede ser mayor al Total Ambos Sexos.</v>
      </c>
      <c r="CD264" s="1936"/>
      <c r="CE264" s="1936"/>
      <c r="DG264" s="1867">
        <f>IF(AND(C264&gt;0,AD264=""),1,IF(AD264&gt;C264,1,0))</f>
        <v>1</v>
      </c>
      <c r="DH264" s="1867">
        <f>IF(AND(C264&gt;0,AE264=""),1,IF(AE264&gt;C264,1,0))</f>
        <v>1</v>
      </c>
    </row>
    <row r="265" spans="1:133" ht="22.5" x14ac:dyDescent="0.25">
      <c r="A265" s="5601">
        <v>11057140</v>
      </c>
      <c r="B265" s="3209" t="s">
        <v>1951</v>
      </c>
      <c r="C265" s="4007" t="s">
        <v>4567</v>
      </c>
      <c r="D265" s="4008" t="s">
        <v>4568</v>
      </c>
      <c r="E265" s="4009" t="s">
        <v>4569</v>
      </c>
      <c r="F265" s="379" t="s">
        <v>4570</v>
      </c>
      <c r="G265" s="387" t="s">
        <v>4571</v>
      </c>
      <c r="H265" s="379" t="s">
        <v>4572</v>
      </c>
      <c r="I265" s="387" t="s">
        <v>4573</v>
      </c>
      <c r="J265" s="379" t="s">
        <v>4574</v>
      </c>
      <c r="K265" s="387" t="s">
        <v>4575</v>
      </c>
      <c r="L265" s="379" t="s">
        <v>4576</v>
      </c>
      <c r="M265" s="387" t="s">
        <v>4577</v>
      </c>
      <c r="N265" s="379" t="s">
        <v>4578</v>
      </c>
      <c r="O265" s="387" t="s">
        <v>4579</v>
      </c>
      <c r="P265" s="379" t="s">
        <v>4580</v>
      </c>
      <c r="Q265" s="387" t="s">
        <v>4581</v>
      </c>
      <c r="R265" s="379" t="s">
        <v>4582</v>
      </c>
      <c r="S265" s="387" t="s">
        <v>4583</v>
      </c>
      <c r="T265" s="379" t="s">
        <v>4584</v>
      </c>
      <c r="U265" s="387" t="s">
        <v>4585</v>
      </c>
      <c r="V265" s="379" t="s">
        <v>4586</v>
      </c>
      <c r="W265" s="387" t="s">
        <v>4587</v>
      </c>
      <c r="X265" s="379" t="s">
        <v>4588</v>
      </c>
      <c r="Y265" s="387" t="s">
        <v>4589</v>
      </c>
      <c r="Z265" s="379" t="s">
        <v>4590</v>
      </c>
      <c r="AA265" s="387" t="s">
        <v>4591</v>
      </c>
      <c r="AB265" s="379" t="s">
        <v>4592</v>
      </c>
      <c r="AC265" s="389" t="s">
        <v>4593</v>
      </c>
      <c r="AD265" s="428" t="s">
        <v>4594</v>
      </c>
      <c r="AE265" s="388" t="s">
        <v>4595</v>
      </c>
      <c r="AF265" s="1936" t="str">
        <f>$CB265&amp;CC265</f>
        <v xml:space="preserve"> * La variable Pueblos originarios No puede ser mayor al Total Ambos Sexos. * La variable Migrantes No puede ser mayor al Total Ambos Sexos.</v>
      </c>
      <c r="CB265" s="3944" t="str">
        <f>IF(AND(C265&gt;0,AD265="")," * No olvide digitar la variable Pueblos originarios. Digite Cero si no tiene.",IF(AD265&gt;C265," * La variable Pueblos originarios No puede ser mayor al Total Ambos Sexos.",""))</f>
        <v xml:space="preserve"> * La variable Pueblos originarios No puede ser mayor al Total Ambos Sexos.</v>
      </c>
      <c r="CC265" s="3944" t="str">
        <f>IF(AND(C265&gt;0,AE265="")," * No olvide digitar la variable Migrantes. Digite Cero si no tiene.",IF(AE265&gt;C265," * La variable Migrantes No puede ser mayor al Total Ambos Sexos.",""))</f>
        <v xml:space="preserve"> * La variable Migrantes No puede ser mayor al Total Ambos Sexos.</v>
      </c>
      <c r="CD265" s="1936"/>
      <c r="CE265" s="1936"/>
      <c r="DG265" s="1867">
        <f>IF(AND(C265&gt;0,AD265=""),1,IF(AD265&gt;C265,1,0))</f>
        <v>1</v>
      </c>
      <c r="DH265" s="1867">
        <f>IF(AND(C265&gt;0,AE265=""),1,IF(AE265&gt;C265,1,0))</f>
        <v>1</v>
      </c>
    </row>
    <row r="266" spans="1:133" ht="18" customHeight="1" x14ac:dyDescent="0.25">
      <c r="A266" s="25"/>
      <c r="B266" s="7179" t="s">
        <v>1952</v>
      </c>
      <c r="C266" s="7179"/>
      <c r="D266" s="7179"/>
      <c r="E266" s="7179"/>
      <c r="F266" s="7179"/>
      <c r="G266" s="7179"/>
      <c r="H266" s="7179"/>
      <c r="I266" s="7179"/>
      <c r="J266" s="7179"/>
      <c r="K266" s="7179"/>
      <c r="L266" s="7179"/>
      <c r="M266" s="7179"/>
      <c r="N266" s="7179"/>
      <c r="O266" s="7179"/>
      <c r="P266" s="7179"/>
      <c r="Q266" s="7179"/>
      <c r="R266" s="7179"/>
      <c r="S266" s="7179"/>
      <c r="T266" s="7179"/>
      <c r="U266" s="7179"/>
      <c r="V266" s="7179"/>
      <c r="W266" s="7179"/>
      <c r="X266" s="7179"/>
      <c r="Y266" s="7179"/>
      <c r="Z266" s="7179"/>
      <c r="AA266" s="7179"/>
      <c r="AB266" s="7179"/>
      <c r="AC266" s="7179"/>
      <c r="AD266" s="7179"/>
      <c r="AE266" s="7179"/>
      <c r="AF266" s="7179"/>
      <c r="AG266" s="7179"/>
      <c r="AH266" s="7179"/>
      <c r="AI266" s="7179"/>
      <c r="AJ266" s="7179"/>
      <c r="AK266" s="7179"/>
      <c r="AL266" s="1937"/>
      <c r="AM266" s="1937"/>
    </row>
    <row r="267" spans="1:133" x14ac:dyDescent="0.25">
      <c r="A267" s="5797"/>
      <c r="B267" s="7151" t="s">
        <v>697</v>
      </c>
      <c r="C267" s="7174" t="s">
        <v>77</v>
      </c>
      <c r="D267" s="6665"/>
      <c r="E267" s="6598"/>
      <c r="F267" s="7154" t="s">
        <v>101</v>
      </c>
      <c r="G267" s="7154"/>
      <c r="H267" s="7154"/>
      <c r="I267" s="7154"/>
      <c r="J267" s="7154"/>
      <c r="K267" s="7154"/>
      <c r="L267" s="7154"/>
      <c r="M267" s="7154"/>
      <c r="N267" s="7154"/>
      <c r="O267" s="7154"/>
      <c r="P267" s="7154"/>
      <c r="Q267" s="7154"/>
      <c r="R267" s="7154"/>
      <c r="S267" s="7154"/>
      <c r="T267" s="7154"/>
      <c r="U267" s="7154"/>
      <c r="V267" s="7154"/>
      <c r="W267" s="7154"/>
      <c r="X267" s="7154"/>
      <c r="Y267" s="7154"/>
      <c r="Z267" s="7154"/>
      <c r="AA267" s="7154"/>
      <c r="AB267" s="7154"/>
      <c r="AC267" s="7154"/>
      <c r="AD267" s="7154"/>
      <c r="AE267" s="7154"/>
      <c r="AF267" s="7154"/>
      <c r="AG267" s="7154"/>
      <c r="AH267" s="7154"/>
      <c r="AI267" s="7154"/>
      <c r="AJ267" s="7154"/>
      <c r="AK267" s="7155"/>
      <c r="AL267" s="7175" t="s">
        <v>36</v>
      </c>
      <c r="AM267" s="6598" t="s">
        <v>37</v>
      </c>
    </row>
    <row r="268" spans="1:133" ht="15" customHeight="1" x14ac:dyDescent="0.25">
      <c r="A268" s="5797"/>
      <c r="B268" s="7152"/>
      <c r="C268" s="6599"/>
      <c r="D268" s="6469"/>
      <c r="E268" s="6391"/>
      <c r="F268" s="7136" t="s">
        <v>474</v>
      </c>
      <c r="G268" s="7139"/>
      <c r="H268" s="7180" t="s">
        <v>1953</v>
      </c>
      <c r="I268" s="7181"/>
      <c r="J268" s="7180" t="s">
        <v>1954</v>
      </c>
      <c r="K268" s="7181"/>
      <c r="L268" s="7180" t="s">
        <v>303</v>
      </c>
      <c r="M268" s="7181"/>
      <c r="N268" s="7136" t="s">
        <v>44</v>
      </c>
      <c r="O268" s="7139"/>
      <c r="P268" s="7136" t="s">
        <v>45</v>
      </c>
      <c r="Q268" s="7139"/>
      <c r="R268" s="7136" t="s">
        <v>46</v>
      </c>
      <c r="S268" s="7139"/>
      <c r="T268" s="7136" t="s">
        <v>47</v>
      </c>
      <c r="U268" s="7139"/>
      <c r="V268" s="7136" t="s">
        <v>48</v>
      </c>
      <c r="W268" s="7139"/>
      <c r="X268" s="7136" t="s">
        <v>49</v>
      </c>
      <c r="Y268" s="7139"/>
      <c r="Z268" s="7136" t="s">
        <v>50</v>
      </c>
      <c r="AA268" s="7139"/>
      <c r="AB268" s="7136" t="s">
        <v>51</v>
      </c>
      <c r="AC268" s="7139"/>
      <c r="AD268" s="7136" t="s">
        <v>1949</v>
      </c>
      <c r="AE268" s="7139"/>
      <c r="AF268" s="7136" t="s">
        <v>1583</v>
      </c>
      <c r="AG268" s="7139"/>
      <c r="AH268" s="7136" t="s">
        <v>308</v>
      </c>
      <c r="AI268" s="7139"/>
      <c r="AJ268" s="7136" t="s">
        <v>737</v>
      </c>
      <c r="AK268" s="7137"/>
      <c r="AL268" s="7176"/>
      <c r="AM268" s="6391"/>
    </row>
    <row r="269" spans="1:133" x14ac:dyDescent="0.25">
      <c r="A269" s="5797"/>
      <c r="B269" s="7153"/>
      <c r="C269" s="4002" t="s">
        <v>389</v>
      </c>
      <c r="D269" s="3897" t="s">
        <v>58</v>
      </c>
      <c r="E269" s="3893" t="s">
        <v>59</v>
      </c>
      <c r="F269" s="3894" t="s">
        <v>58</v>
      </c>
      <c r="G269" s="3893" t="s">
        <v>59</v>
      </c>
      <c r="H269" s="3894" t="s">
        <v>58</v>
      </c>
      <c r="I269" s="3893" t="s">
        <v>59</v>
      </c>
      <c r="J269" s="3894" t="s">
        <v>58</v>
      </c>
      <c r="K269" s="3893" t="s">
        <v>59</v>
      </c>
      <c r="L269" s="3894" t="s">
        <v>58</v>
      </c>
      <c r="M269" s="3893" t="s">
        <v>59</v>
      </c>
      <c r="N269" s="3894" t="s">
        <v>58</v>
      </c>
      <c r="O269" s="3893" t="s">
        <v>59</v>
      </c>
      <c r="P269" s="3894" t="s">
        <v>58</v>
      </c>
      <c r="Q269" s="3893" t="s">
        <v>59</v>
      </c>
      <c r="R269" s="3894" t="s">
        <v>58</v>
      </c>
      <c r="S269" s="3893" t="s">
        <v>59</v>
      </c>
      <c r="T269" s="3894" t="s">
        <v>58</v>
      </c>
      <c r="U269" s="3893" t="s">
        <v>59</v>
      </c>
      <c r="V269" s="3894" t="s">
        <v>58</v>
      </c>
      <c r="W269" s="3893" t="s">
        <v>59</v>
      </c>
      <c r="X269" s="3894" t="s">
        <v>58</v>
      </c>
      <c r="Y269" s="3893" t="s">
        <v>59</v>
      </c>
      <c r="Z269" s="3894" t="s">
        <v>58</v>
      </c>
      <c r="AA269" s="3893" t="s">
        <v>59</v>
      </c>
      <c r="AB269" s="3894" t="s">
        <v>58</v>
      </c>
      <c r="AC269" s="3893" t="s">
        <v>59</v>
      </c>
      <c r="AD269" s="3894" t="s">
        <v>58</v>
      </c>
      <c r="AE269" s="3893" t="s">
        <v>59</v>
      </c>
      <c r="AF269" s="3894" t="s">
        <v>58</v>
      </c>
      <c r="AG269" s="3893" t="s">
        <v>59</v>
      </c>
      <c r="AH269" s="3894" t="s">
        <v>58</v>
      </c>
      <c r="AI269" s="3893" t="s">
        <v>59</v>
      </c>
      <c r="AJ269" s="3894" t="s">
        <v>58</v>
      </c>
      <c r="AK269" s="3891" t="s">
        <v>59</v>
      </c>
      <c r="AL269" s="7177"/>
      <c r="AM269" s="7178"/>
    </row>
    <row r="270" spans="1:133" ht="22.5" x14ac:dyDescent="0.25">
      <c r="A270" s="5601">
        <v>11057141</v>
      </c>
      <c r="B270" s="4003" t="s">
        <v>1955</v>
      </c>
      <c r="C270" s="3439" t="s">
        <v>4567</v>
      </c>
      <c r="D270" s="4011" t="s">
        <v>4568</v>
      </c>
      <c r="E270" s="4005" t="s">
        <v>4569</v>
      </c>
      <c r="F270" s="4006" t="s">
        <v>4570</v>
      </c>
      <c r="G270" s="349" t="s">
        <v>4571</v>
      </c>
      <c r="H270" s="4006" t="s">
        <v>4572</v>
      </c>
      <c r="I270" s="349" t="s">
        <v>4573</v>
      </c>
      <c r="J270" s="4006" t="s">
        <v>4574</v>
      </c>
      <c r="K270" s="349" t="s">
        <v>4575</v>
      </c>
      <c r="L270" s="4006" t="s">
        <v>4576</v>
      </c>
      <c r="M270" s="349" t="s">
        <v>4577</v>
      </c>
      <c r="N270" s="4006" t="s">
        <v>4578</v>
      </c>
      <c r="O270" s="349" t="s">
        <v>4579</v>
      </c>
      <c r="P270" s="4006" t="s">
        <v>4580</v>
      </c>
      <c r="Q270" s="349" t="s">
        <v>4581</v>
      </c>
      <c r="R270" s="4006" t="s">
        <v>4582</v>
      </c>
      <c r="S270" s="349" t="s">
        <v>4583</v>
      </c>
      <c r="T270" s="4006" t="s">
        <v>4584</v>
      </c>
      <c r="U270" s="349" t="s">
        <v>4585</v>
      </c>
      <c r="V270" s="4006" t="s">
        <v>4586</v>
      </c>
      <c r="W270" s="349" t="s">
        <v>4587</v>
      </c>
      <c r="X270" s="4006" t="s">
        <v>4588</v>
      </c>
      <c r="Y270" s="349" t="s">
        <v>4589</v>
      </c>
      <c r="Z270" s="4006" t="s">
        <v>4590</v>
      </c>
      <c r="AA270" s="349" t="s">
        <v>4591</v>
      </c>
      <c r="AB270" s="4006" t="s">
        <v>4592</v>
      </c>
      <c r="AC270" s="349" t="s">
        <v>4593</v>
      </c>
      <c r="AD270" s="4006" t="s">
        <v>4594</v>
      </c>
      <c r="AE270" s="349" t="s">
        <v>4595</v>
      </c>
      <c r="AF270" s="4006" t="s">
        <v>4596</v>
      </c>
      <c r="AG270" s="349" t="s">
        <v>4597</v>
      </c>
      <c r="AH270" s="4006" t="s">
        <v>4598</v>
      </c>
      <c r="AI270" s="349" t="s">
        <v>4599</v>
      </c>
      <c r="AJ270" s="4006" t="s">
        <v>4600</v>
      </c>
      <c r="AK270" s="351" t="s">
        <v>4601</v>
      </c>
      <c r="AL270" s="3875" t="s">
        <v>4602</v>
      </c>
      <c r="AM270" s="349" t="s">
        <v>4603</v>
      </c>
      <c r="CB270" s="3917"/>
      <c r="DG270" s="1868"/>
      <c r="DH270" s="1868"/>
    </row>
    <row r="271" spans="1:133" ht="22.5" x14ac:dyDescent="0.25">
      <c r="A271" s="5601">
        <v>11057142</v>
      </c>
      <c r="B271" s="4012" t="s">
        <v>1956</v>
      </c>
      <c r="C271" s="4013" t="s">
        <v>4567</v>
      </c>
      <c r="D271" s="4014" t="s">
        <v>4568</v>
      </c>
      <c r="E271" s="344" t="s">
        <v>4569</v>
      </c>
      <c r="F271" s="4006" t="s">
        <v>4570</v>
      </c>
      <c r="G271" s="349" t="s">
        <v>4571</v>
      </c>
      <c r="H271" s="4006" t="s">
        <v>4572</v>
      </c>
      <c r="I271" s="349" t="s">
        <v>4573</v>
      </c>
      <c r="J271" s="4006" t="s">
        <v>4574</v>
      </c>
      <c r="K271" s="349" t="s">
        <v>4575</v>
      </c>
      <c r="L271" s="4006" t="s">
        <v>4576</v>
      </c>
      <c r="M271" s="349" t="s">
        <v>4577</v>
      </c>
      <c r="N271" s="4006" t="s">
        <v>4578</v>
      </c>
      <c r="O271" s="349" t="s">
        <v>4579</v>
      </c>
      <c r="P271" s="4006" t="s">
        <v>4580</v>
      </c>
      <c r="Q271" s="349" t="s">
        <v>4581</v>
      </c>
      <c r="R271" s="4006" t="s">
        <v>4582</v>
      </c>
      <c r="S271" s="349" t="s">
        <v>4583</v>
      </c>
      <c r="T271" s="4006" t="s">
        <v>4584</v>
      </c>
      <c r="U271" s="349" t="s">
        <v>4585</v>
      </c>
      <c r="V271" s="4006" t="s">
        <v>4586</v>
      </c>
      <c r="W271" s="349" t="s">
        <v>4587</v>
      </c>
      <c r="X271" s="4006" t="s">
        <v>4588</v>
      </c>
      <c r="Y271" s="349" t="s">
        <v>4589</v>
      </c>
      <c r="Z271" s="4006" t="s">
        <v>4590</v>
      </c>
      <c r="AA271" s="349" t="s">
        <v>4591</v>
      </c>
      <c r="AB271" s="4006" t="s">
        <v>4592</v>
      </c>
      <c r="AC271" s="349" t="s">
        <v>4593</v>
      </c>
      <c r="AD271" s="4006" t="s">
        <v>4594</v>
      </c>
      <c r="AE271" s="349" t="s">
        <v>4595</v>
      </c>
      <c r="AF271" s="4006" t="s">
        <v>4596</v>
      </c>
      <c r="AG271" s="349" t="s">
        <v>4597</v>
      </c>
      <c r="AH271" s="4006" t="s">
        <v>4598</v>
      </c>
      <c r="AI271" s="349" t="s">
        <v>4599</v>
      </c>
      <c r="AJ271" s="4006" t="s">
        <v>4600</v>
      </c>
      <c r="AK271" s="351" t="s">
        <v>4601</v>
      </c>
      <c r="AL271" s="3875" t="s">
        <v>4602</v>
      </c>
      <c r="AM271" s="349" t="s">
        <v>4603</v>
      </c>
      <c r="AN271" s="1936" t="str">
        <f>$CB271&amp;$CC271</f>
        <v xml:space="preserve"> * La variable Pueblos originarios No puede ser mayor al Total Ambos Sexos. * La variable Migrantes No puede ser mayor al Total Ambos Sexos.</v>
      </c>
      <c r="CB271" s="3944" t="str">
        <f>IF(AND(C271&gt;0,AL271="")," * No olvide digitar la variable pueblos originarios. Digite Cero si no tiene.",IF(AL271&gt;C271," * La variable Pueblos originarios No puede ser mayor al Total Ambos Sexos.",""))</f>
        <v xml:space="preserve"> * La variable Pueblos originarios No puede ser mayor al Total Ambos Sexos.</v>
      </c>
      <c r="CC271" s="3944" t="str">
        <f>IF(AND(C271&gt;0,AM271="")," * No olvide digitar la variable Migrantes. Digite Cero si no tiene.",IF(AM271&gt;C271," * La variable Migrantes No puede ser mayor al Total Ambos Sexos.",""))</f>
        <v xml:space="preserve"> * La variable Migrantes No puede ser mayor al Total Ambos Sexos.</v>
      </c>
      <c r="CJ271" s="1936"/>
      <c r="CK271" s="1936"/>
      <c r="CL271" s="1936"/>
      <c r="DG271" s="1867">
        <f>IF(AND(C271&gt;0,AL271=""),1,IF(AL271&gt;C271,1,0))</f>
        <v>1</v>
      </c>
      <c r="DH271" s="1867">
        <f>IF(AND(C271&gt;0,AM271=""),1,IF(AM271&gt;C271,1,0))</f>
        <v>1</v>
      </c>
    </row>
    <row r="272" spans="1:133" ht="22.5" x14ac:dyDescent="0.25">
      <c r="A272" s="5601">
        <v>11057143</v>
      </c>
      <c r="B272" s="4015" t="s">
        <v>1957</v>
      </c>
      <c r="C272" s="4016" t="s">
        <v>4567</v>
      </c>
      <c r="D272" s="4017" t="s">
        <v>4568</v>
      </c>
      <c r="E272" s="3346" t="s">
        <v>4569</v>
      </c>
      <c r="F272" s="1264" t="s">
        <v>4570</v>
      </c>
      <c r="G272" s="310" t="s">
        <v>4571</v>
      </c>
      <c r="H272" s="1264" t="s">
        <v>4572</v>
      </c>
      <c r="I272" s="310" t="s">
        <v>4573</v>
      </c>
      <c r="J272" s="1264" t="s">
        <v>4574</v>
      </c>
      <c r="K272" s="310" t="s">
        <v>4575</v>
      </c>
      <c r="L272" s="1264" t="s">
        <v>4576</v>
      </c>
      <c r="M272" s="310" t="s">
        <v>4577</v>
      </c>
      <c r="N272" s="1264" t="s">
        <v>4578</v>
      </c>
      <c r="O272" s="310" t="s">
        <v>4579</v>
      </c>
      <c r="P272" s="1264" t="s">
        <v>4580</v>
      </c>
      <c r="Q272" s="310" t="s">
        <v>4581</v>
      </c>
      <c r="R272" s="1264" t="s">
        <v>4582</v>
      </c>
      <c r="S272" s="310" t="s">
        <v>4583</v>
      </c>
      <c r="T272" s="1264" t="s">
        <v>4584</v>
      </c>
      <c r="U272" s="310" t="s">
        <v>4585</v>
      </c>
      <c r="V272" s="1264" t="s">
        <v>4586</v>
      </c>
      <c r="W272" s="310" t="s">
        <v>4587</v>
      </c>
      <c r="X272" s="1264" t="s">
        <v>4588</v>
      </c>
      <c r="Y272" s="310" t="s">
        <v>4589</v>
      </c>
      <c r="Z272" s="1264" t="s">
        <v>4590</v>
      </c>
      <c r="AA272" s="310" t="s">
        <v>4591</v>
      </c>
      <c r="AB272" s="1264" t="s">
        <v>4592</v>
      </c>
      <c r="AC272" s="310" t="s">
        <v>4593</v>
      </c>
      <c r="AD272" s="1264" t="s">
        <v>4594</v>
      </c>
      <c r="AE272" s="310" t="s">
        <v>4595</v>
      </c>
      <c r="AF272" s="1264" t="s">
        <v>4596</v>
      </c>
      <c r="AG272" s="310" t="s">
        <v>4597</v>
      </c>
      <c r="AH272" s="1264" t="s">
        <v>4598</v>
      </c>
      <c r="AI272" s="310" t="s">
        <v>4599</v>
      </c>
      <c r="AJ272" s="1264" t="s">
        <v>4600</v>
      </c>
      <c r="AK272" s="297" t="s">
        <v>4601</v>
      </c>
      <c r="AL272" s="3249" t="s">
        <v>4602</v>
      </c>
      <c r="AM272" s="310" t="s">
        <v>4603</v>
      </c>
      <c r="AN272" s="1936" t="str">
        <f>$CB272&amp;$CC272</f>
        <v xml:space="preserve"> * La variable Pueblos originarios No puede ser mayor al Total Ambos Sexos. * La variable Migrantes No puede ser mayor al Total Ambos Sexos.</v>
      </c>
      <c r="CB272" s="3944" t="str">
        <f>IF(AND(C272&gt;0,AL272="")," * No olvide digitar la variable pueblos originarios. Digite Cero si no tiene.",IF(AL272&gt;C272," * La variable Pueblos originarios No puede ser mayor al Total Ambos Sexos.",""))</f>
        <v xml:space="preserve"> * La variable Pueblos originarios No puede ser mayor al Total Ambos Sexos.</v>
      </c>
      <c r="CC272" s="3944" t="str">
        <f>IF(AND(C272&gt;0,AM272="")," * No olvide digitar la variable Migrantes. Digite Cero si no tiene.",IF(AM272&gt;C272," * La variable Migrantes No puede ser mayor al Total Ambos Sexos.",""))</f>
        <v xml:space="preserve"> * La variable Migrantes No puede ser mayor al Total Ambos Sexos.</v>
      </c>
      <c r="DG272" s="1867">
        <f>IF(AND(C272&gt;0,AL272=""),1,IF(AL272&gt;C272,1,0))</f>
        <v>1</v>
      </c>
      <c r="DH272" s="1867">
        <f>IF(AND(C272&gt;0,AM272=""),1,IF(AM272&gt;C272,1,0))</f>
        <v>1</v>
      </c>
    </row>
    <row r="311" spans="2:3" hidden="1" x14ac:dyDescent="0.25">
      <c r="B311" s="105">
        <f>SUM(C13:D30,C35:D52,C57:D74,C79:D96,C101:D118,C123:D140,D144:Q148,D152:Q156,D161:E183,D188:E210,C215:D221,C226:D232,D237:E259,C264:E265,C270:E272)</f>
        <v>0</v>
      </c>
      <c r="C311" s="105" t="e">
        <f>SUM(DG13:ED272)</f>
        <v>#VALUE!</v>
      </c>
    </row>
  </sheetData>
  <mergeCells count="421">
    <mergeCell ref="AL267:AL269"/>
    <mergeCell ref="AM267:AM269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B266:AK266"/>
    <mergeCell ref="B267:B269"/>
    <mergeCell ref="C267:E268"/>
    <mergeCell ref="F267:AK267"/>
    <mergeCell ref="V268:W268"/>
    <mergeCell ref="X268:Y268"/>
    <mergeCell ref="Z268:AA268"/>
    <mergeCell ref="AB268:AC268"/>
    <mergeCell ref="N262:O262"/>
    <mergeCell ref="P262:Q262"/>
    <mergeCell ref="R262:S262"/>
    <mergeCell ref="T262:U262"/>
    <mergeCell ref="V262:W262"/>
    <mergeCell ref="X262:Y262"/>
    <mergeCell ref="AD268:AE268"/>
    <mergeCell ref="AF268:AG268"/>
    <mergeCell ref="AH268:AI268"/>
    <mergeCell ref="AJ268:AK268"/>
    <mergeCell ref="B260:AC260"/>
    <mergeCell ref="B261:B263"/>
    <mergeCell ref="C261:E262"/>
    <mergeCell ref="F261:AC261"/>
    <mergeCell ref="AD261:AD263"/>
    <mergeCell ref="AE261:AE263"/>
    <mergeCell ref="F262:G262"/>
    <mergeCell ref="H262:I262"/>
    <mergeCell ref="J262:K262"/>
    <mergeCell ref="L262:M262"/>
    <mergeCell ref="Z262:AA262"/>
    <mergeCell ref="AB262:AC262"/>
    <mergeCell ref="B237:B255"/>
    <mergeCell ref="B256:B259"/>
    <mergeCell ref="AB235:AC235"/>
    <mergeCell ref="AD235:AE235"/>
    <mergeCell ref="AF235:AG235"/>
    <mergeCell ref="AH235:AI235"/>
    <mergeCell ref="AJ235:AK235"/>
    <mergeCell ref="AL235:AM235"/>
    <mergeCell ref="B234:C236"/>
    <mergeCell ref="D234:E235"/>
    <mergeCell ref="F234:AK234"/>
    <mergeCell ref="AL234:AO234"/>
    <mergeCell ref="AT234:AU235"/>
    <mergeCell ref="AV234:AW235"/>
    <mergeCell ref="AX234:AY235"/>
    <mergeCell ref="F235:G235"/>
    <mergeCell ref="H235:I235"/>
    <mergeCell ref="J235:K235"/>
    <mergeCell ref="L235:M235"/>
    <mergeCell ref="N235:O235"/>
    <mergeCell ref="P235:Q235"/>
    <mergeCell ref="R235:S235"/>
    <mergeCell ref="AN235:AO235"/>
    <mergeCell ref="AP235:AQ235"/>
    <mergeCell ref="AR235:AS235"/>
    <mergeCell ref="AP234:AS234"/>
    <mergeCell ref="T235:U235"/>
    <mergeCell ref="V235:W235"/>
    <mergeCell ref="X235:Y235"/>
    <mergeCell ref="Z235:AA235"/>
    <mergeCell ref="AQ223:AQ225"/>
    <mergeCell ref="AR223:AR225"/>
    <mergeCell ref="AM224:AM225"/>
    <mergeCell ref="AN224:AN225"/>
    <mergeCell ref="AO224:AO225"/>
    <mergeCell ref="U224:V224"/>
    <mergeCell ref="W224:X224"/>
    <mergeCell ref="Y224:Z224"/>
    <mergeCell ref="AA224:AB224"/>
    <mergeCell ref="AC224:AD224"/>
    <mergeCell ref="AE224:AF224"/>
    <mergeCell ref="AP224:AP225"/>
    <mergeCell ref="AG224:AH224"/>
    <mergeCell ref="AI224:AJ224"/>
    <mergeCell ref="AK224:AL224"/>
    <mergeCell ref="B223:B225"/>
    <mergeCell ref="C223:D224"/>
    <mergeCell ref="E223:AL223"/>
    <mergeCell ref="AM223:AN223"/>
    <mergeCell ref="AO223:AP223"/>
    <mergeCell ref="E224:F224"/>
    <mergeCell ref="G224:H224"/>
    <mergeCell ref="I224:J224"/>
    <mergeCell ref="K224:L224"/>
    <mergeCell ref="M224:N224"/>
    <mergeCell ref="O224:P224"/>
    <mergeCell ref="Q224:R224"/>
    <mergeCell ref="S224:T224"/>
    <mergeCell ref="AM212:AN212"/>
    <mergeCell ref="AO212:AP212"/>
    <mergeCell ref="AQ212:AQ214"/>
    <mergeCell ref="AR212:AR214"/>
    <mergeCell ref="AM213:AM214"/>
    <mergeCell ref="AN213:AN214"/>
    <mergeCell ref="AO213:AO214"/>
    <mergeCell ref="AP213:AP214"/>
    <mergeCell ref="AG213:AH213"/>
    <mergeCell ref="AI213:AJ213"/>
    <mergeCell ref="B208:C208"/>
    <mergeCell ref="B209:C209"/>
    <mergeCell ref="B210:C210"/>
    <mergeCell ref="B212:B214"/>
    <mergeCell ref="C212:D213"/>
    <mergeCell ref="E212:AL212"/>
    <mergeCell ref="Q213:R213"/>
    <mergeCell ref="S213:T213"/>
    <mergeCell ref="U213:V213"/>
    <mergeCell ref="W213:X213"/>
    <mergeCell ref="AK213:AL213"/>
    <mergeCell ref="Y213:Z213"/>
    <mergeCell ref="AA213:AB213"/>
    <mergeCell ref="AC213:AD213"/>
    <mergeCell ref="AE213:AF213"/>
    <mergeCell ref="E213:F213"/>
    <mergeCell ref="G213:H213"/>
    <mergeCell ref="I213:J213"/>
    <mergeCell ref="K213:L213"/>
    <mergeCell ref="M213:N213"/>
    <mergeCell ref="O213:P213"/>
    <mergeCell ref="B202:C202"/>
    <mergeCell ref="B203:C203"/>
    <mergeCell ref="B204:C204"/>
    <mergeCell ref="B205:C205"/>
    <mergeCell ref="B206:C206"/>
    <mergeCell ref="B207:C207"/>
    <mergeCell ref="B194:C194"/>
    <mergeCell ref="B195:C195"/>
    <mergeCell ref="B196:C196"/>
    <mergeCell ref="B197:B199"/>
    <mergeCell ref="B200:C200"/>
    <mergeCell ref="B201:C201"/>
    <mergeCell ref="B188:C188"/>
    <mergeCell ref="B189:C189"/>
    <mergeCell ref="B190:C190"/>
    <mergeCell ref="B191:C191"/>
    <mergeCell ref="B192:C192"/>
    <mergeCell ref="B193:C193"/>
    <mergeCell ref="AH186:AI186"/>
    <mergeCell ref="AJ186:AK186"/>
    <mergeCell ref="AL186:AM186"/>
    <mergeCell ref="AL185:AO185"/>
    <mergeCell ref="AP185:AS185"/>
    <mergeCell ref="AT185:AU186"/>
    <mergeCell ref="AV185:AW186"/>
    <mergeCell ref="AX185:AY186"/>
    <mergeCell ref="F186:G186"/>
    <mergeCell ref="H186:I186"/>
    <mergeCell ref="J186:K186"/>
    <mergeCell ref="L186:M186"/>
    <mergeCell ref="N186:O186"/>
    <mergeCell ref="AN186:AO186"/>
    <mergeCell ref="AP186:AQ186"/>
    <mergeCell ref="AR186:AS186"/>
    <mergeCell ref="V186:W186"/>
    <mergeCell ref="X186:Y186"/>
    <mergeCell ref="Z186:AA186"/>
    <mergeCell ref="AB186:AC186"/>
    <mergeCell ref="AD186:AE186"/>
    <mergeCell ref="AF186:AG186"/>
    <mergeCell ref="B181:C181"/>
    <mergeCell ref="B182:C182"/>
    <mergeCell ref="B183:C183"/>
    <mergeCell ref="B184:I184"/>
    <mergeCell ref="B185:C187"/>
    <mergeCell ref="D185:E186"/>
    <mergeCell ref="F185:AK185"/>
    <mergeCell ref="P186:Q186"/>
    <mergeCell ref="R186:S186"/>
    <mergeCell ref="T186:U186"/>
    <mergeCell ref="B175:C175"/>
    <mergeCell ref="B176:C176"/>
    <mergeCell ref="B177:C177"/>
    <mergeCell ref="B178:C178"/>
    <mergeCell ref="B179:C179"/>
    <mergeCell ref="B180:C180"/>
    <mergeCell ref="B167:C167"/>
    <mergeCell ref="B168:C168"/>
    <mergeCell ref="B169:C169"/>
    <mergeCell ref="B170:B172"/>
    <mergeCell ref="B173:C173"/>
    <mergeCell ref="B174:C174"/>
    <mergeCell ref="B161:C161"/>
    <mergeCell ref="B162:C162"/>
    <mergeCell ref="B163:C163"/>
    <mergeCell ref="B164:C164"/>
    <mergeCell ref="B165:C165"/>
    <mergeCell ref="B166:C166"/>
    <mergeCell ref="AH159:AI159"/>
    <mergeCell ref="AJ159:AK159"/>
    <mergeCell ref="AL159:AM159"/>
    <mergeCell ref="AL158:AO158"/>
    <mergeCell ref="AP158:AS158"/>
    <mergeCell ref="AT158:AU159"/>
    <mergeCell ref="AV158:AW159"/>
    <mergeCell ref="AX158:AY159"/>
    <mergeCell ref="F159:G159"/>
    <mergeCell ref="H159:I159"/>
    <mergeCell ref="J159:K159"/>
    <mergeCell ref="L159:M159"/>
    <mergeCell ref="N159:O159"/>
    <mergeCell ref="AN159:AO159"/>
    <mergeCell ref="AP159:AQ159"/>
    <mergeCell ref="AR159:AS159"/>
    <mergeCell ref="V159:W159"/>
    <mergeCell ref="X159:Y159"/>
    <mergeCell ref="Z159:AA159"/>
    <mergeCell ref="AB159:AC159"/>
    <mergeCell ref="AD159:AE159"/>
    <mergeCell ref="AF159:AG159"/>
    <mergeCell ref="B152:C152"/>
    <mergeCell ref="B153:B155"/>
    <mergeCell ref="B156:C156"/>
    <mergeCell ref="B157:I157"/>
    <mergeCell ref="B158:C160"/>
    <mergeCell ref="D158:E159"/>
    <mergeCell ref="F158:AK158"/>
    <mergeCell ref="P159:Q159"/>
    <mergeCell ref="R159:S159"/>
    <mergeCell ref="T159:U159"/>
    <mergeCell ref="B144:C144"/>
    <mergeCell ref="B145:B147"/>
    <mergeCell ref="B148:C148"/>
    <mergeCell ref="B149:Q149"/>
    <mergeCell ref="B150:C151"/>
    <mergeCell ref="D150:F150"/>
    <mergeCell ref="G150:I150"/>
    <mergeCell ref="J150:L150"/>
    <mergeCell ref="M150:O150"/>
    <mergeCell ref="P150:Q150"/>
    <mergeCell ref="B141:Q141"/>
    <mergeCell ref="B142:C143"/>
    <mergeCell ref="D142:F142"/>
    <mergeCell ref="G142:I142"/>
    <mergeCell ref="J142:L142"/>
    <mergeCell ref="M142:O142"/>
    <mergeCell ref="P142:Q142"/>
    <mergeCell ref="AI121:AJ121"/>
    <mergeCell ref="AK121:AL121"/>
    <mergeCell ref="W121:X121"/>
    <mergeCell ref="Y121:Z121"/>
    <mergeCell ref="AA121:AB121"/>
    <mergeCell ref="AC121:AD121"/>
    <mergeCell ref="AE121:AF121"/>
    <mergeCell ref="AG121:AH121"/>
    <mergeCell ref="B120:B122"/>
    <mergeCell ref="C120:D121"/>
    <mergeCell ref="AU120:AV121"/>
    <mergeCell ref="AW120:AW122"/>
    <mergeCell ref="AX120:AX122"/>
    <mergeCell ref="E121:F121"/>
    <mergeCell ref="G121:H121"/>
    <mergeCell ref="I121:J121"/>
    <mergeCell ref="K121:L121"/>
    <mergeCell ref="M121:N121"/>
    <mergeCell ref="O121:P121"/>
    <mergeCell ref="Q121:R121"/>
    <mergeCell ref="AT121:AT122"/>
    <mergeCell ref="AM121:AN121"/>
    <mergeCell ref="AO121:AP121"/>
    <mergeCell ref="AQ121:AR121"/>
    <mergeCell ref="AS121:AS122"/>
    <mergeCell ref="E120:AR120"/>
    <mergeCell ref="AS120:AT120"/>
    <mergeCell ref="S121:T121"/>
    <mergeCell ref="U121:V121"/>
    <mergeCell ref="AW98:AW100"/>
    <mergeCell ref="AX98:AX100"/>
    <mergeCell ref="E99:F99"/>
    <mergeCell ref="G99:H99"/>
    <mergeCell ref="I99:J99"/>
    <mergeCell ref="K99:L99"/>
    <mergeCell ref="M99:N99"/>
    <mergeCell ref="O99:P99"/>
    <mergeCell ref="Q99:R99"/>
    <mergeCell ref="S99:T99"/>
    <mergeCell ref="AO99:AP99"/>
    <mergeCell ref="AQ99:AR99"/>
    <mergeCell ref="AS99:AS100"/>
    <mergeCell ref="AT99:AT100"/>
    <mergeCell ref="B98:B100"/>
    <mergeCell ref="C98:D99"/>
    <mergeCell ref="E98:AR98"/>
    <mergeCell ref="AS98:AT98"/>
    <mergeCell ref="AU98:AV99"/>
    <mergeCell ref="U99:V99"/>
    <mergeCell ref="W99:X99"/>
    <mergeCell ref="Y99:Z99"/>
    <mergeCell ref="AA99:AB99"/>
    <mergeCell ref="AC99:AD99"/>
    <mergeCell ref="AE99:AF99"/>
    <mergeCell ref="AG99:AH99"/>
    <mergeCell ref="AI99:AJ99"/>
    <mergeCell ref="AK99:AL99"/>
    <mergeCell ref="AM99:AN99"/>
    <mergeCell ref="AW76:AW78"/>
    <mergeCell ref="AX76:AX78"/>
    <mergeCell ref="E77:F77"/>
    <mergeCell ref="G77:H77"/>
    <mergeCell ref="I77:J77"/>
    <mergeCell ref="K77:L77"/>
    <mergeCell ref="M77:N77"/>
    <mergeCell ref="O77:P77"/>
    <mergeCell ref="Q77:R77"/>
    <mergeCell ref="AT77:AT78"/>
    <mergeCell ref="AI77:AJ77"/>
    <mergeCell ref="AK77:AL77"/>
    <mergeCell ref="AM77:AN77"/>
    <mergeCell ref="AO77:AP77"/>
    <mergeCell ref="AQ77:AR77"/>
    <mergeCell ref="AS77:AS78"/>
    <mergeCell ref="W77:X77"/>
    <mergeCell ref="Y77:Z77"/>
    <mergeCell ref="AA77:AB77"/>
    <mergeCell ref="AC77:AD77"/>
    <mergeCell ref="AE77:AF77"/>
    <mergeCell ref="AG77:AH77"/>
    <mergeCell ref="AU76:AV77"/>
    <mergeCell ref="B76:B78"/>
    <mergeCell ref="C76:D77"/>
    <mergeCell ref="E76:AR76"/>
    <mergeCell ref="AS76:AT76"/>
    <mergeCell ref="S77:T77"/>
    <mergeCell ref="U77:V77"/>
    <mergeCell ref="AC55:AD55"/>
    <mergeCell ref="AE55:AF55"/>
    <mergeCell ref="AG55:AH55"/>
    <mergeCell ref="AI55:AJ55"/>
    <mergeCell ref="AK55:AL55"/>
    <mergeCell ref="AM55:AN55"/>
    <mergeCell ref="B54:B56"/>
    <mergeCell ref="C54:D55"/>
    <mergeCell ref="AW54:AW56"/>
    <mergeCell ref="AX54:AX56"/>
    <mergeCell ref="E55:F55"/>
    <mergeCell ref="G55:H55"/>
    <mergeCell ref="I55:J55"/>
    <mergeCell ref="K55:L55"/>
    <mergeCell ref="M55:N55"/>
    <mergeCell ref="O55:P55"/>
    <mergeCell ref="Q55:R55"/>
    <mergeCell ref="S55:T55"/>
    <mergeCell ref="AO55:AP55"/>
    <mergeCell ref="AQ55:AR55"/>
    <mergeCell ref="AS55:AS56"/>
    <mergeCell ref="AT55:AT56"/>
    <mergeCell ref="E54:AR54"/>
    <mergeCell ref="AS54:AT54"/>
    <mergeCell ref="AU54:AV55"/>
    <mergeCell ref="U55:V55"/>
    <mergeCell ref="W55:X55"/>
    <mergeCell ref="Y55:Z55"/>
    <mergeCell ref="AA55:AB55"/>
    <mergeCell ref="AW32:AW34"/>
    <mergeCell ref="AX32:AX34"/>
    <mergeCell ref="E33:F33"/>
    <mergeCell ref="G33:H33"/>
    <mergeCell ref="I33:J33"/>
    <mergeCell ref="K33:L33"/>
    <mergeCell ref="M33:N33"/>
    <mergeCell ref="O33:P33"/>
    <mergeCell ref="Q33:R33"/>
    <mergeCell ref="AT33:AT34"/>
    <mergeCell ref="AI33:AJ33"/>
    <mergeCell ref="AK33:AL33"/>
    <mergeCell ref="AM33:AN33"/>
    <mergeCell ref="AO33:AP33"/>
    <mergeCell ref="AQ33:AR33"/>
    <mergeCell ref="AS33:AS34"/>
    <mergeCell ref="W33:X33"/>
    <mergeCell ref="Y33:Z33"/>
    <mergeCell ref="AA33:AB33"/>
    <mergeCell ref="AC33:AD33"/>
    <mergeCell ref="AE33:AF33"/>
    <mergeCell ref="AG33:AH33"/>
    <mergeCell ref="AU32:AV33"/>
    <mergeCell ref="B32:B34"/>
    <mergeCell ref="C32:D33"/>
    <mergeCell ref="E32:AR32"/>
    <mergeCell ref="AS32:AT32"/>
    <mergeCell ref="S33:T33"/>
    <mergeCell ref="U33:V33"/>
    <mergeCell ref="AC11:AD11"/>
    <mergeCell ref="AE11:AF11"/>
    <mergeCell ref="AG11:AH11"/>
    <mergeCell ref="AI11:AJ11"/>
    <mergeCell ref="AK11:AL11"/>
    <mergeCell ref="AM11:AN11"/>
    <mergeCell ref="AW10:AW12"/>
    <mergeCell ref="AX10:AX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P11"/>
    <mergeCell ref="AQ11:AR11"/>
    <mergeCell ref="AS11:AS12"/>
    <mergeCell ref="AT11:AT12"/>
    <mergeCell ref="B6:Q6"/>
    <mergeCell ref="B10:B12"/>
    <mergeCell ref="C10:D11"/>
    <mergeCell ref="E10:AR10"/>
    <mergeCell ref="AS10:AT10"/>
    <mergeCell ref="AU10:AV11"/>
    <mergeCell ref="U11:V11"/>
    <mergeCell ref="W11:X11"/>
    <mergeCell ref="Y11:Z11"/>
    <mergeCell ref="AA11:AB11"/>
  </mergeCells>
  <dataValidations count="8">
    <dataValidation type="whole" operator="greaterThanOrEqual" allowBlank="1" showInputMessage="1" showErrorMessage="1" sqref="D144:Q148 D152:Q156 F264:AE265" xr:uid="{00000000-0002-0000-0A00-000000000000}">
      <formula1>0</formula1>
    </dataValidation>
    <dataValidation type="whole" allowBlank="1" showInputMessage="1" showErrorMessage="1" sqref="E13:AX30 F188:AY210 E215:AR221" xr:uid="{CD57D41A-17DB-406C-AFE8-357C7D64F398}">
      <formula1>0</formula1>
      <formula2>9.99999999999999E+38</formula2>
    </dataValidation>
    <dataValidation type="whole" allowBlank="1" showInputMessage="1" showErrorMessage="1" sqref="E35:AX52 E123:AX140" xr:uid="{04410DCE-6EC5-4213-9BB1-5100B1DFFA8D}">
      <formula1>0</formula1>
      <formula2>9.99999999999999E+40</formula2>
    </dataValidation>
    <dataValidation type="whole" allowBlank="1" showInputMessage="1" showErrorMessage="1" sqref="E57:AX74" xr:uid="{15BE333C-F3AE-411E-9AA5-7A21604B3572}">
      <formula1>0</formula1>
      <formula2>9.99999999999999E+39</formula2>
    </dataValidation>
    <dataValidation type="whole" allowBlank="1" showInputMessage="1" showErrorMessage="1" sqref="E101:AX118 F161:AY183 E226:AR232" xr:uid="{0DE5C3DA-0807-4114-ABB6-C7749E3C91DD}">
      <formula1>0</formula1>
      <formula2>9.99999999999999E+36</formula2>
    </dataValidation>
    <dataValidation type="whole" allowBlank="1" showInputMessage="1" showErrorMessage="1" sqref="E79:AX96" xr:uid="{F79A7598-E898-4859-BFA3-F5D637B3F9E7}">
      <formula1>0</formula1>
      <formula2>9.99999999999999E+44</formula2>
    </dataValidation>
    <dataValidation type="whole" allowBlank="1" showInputMessage="1" showErrorMessage="1" sqref="F237:AY259" xr:uid="{E8308E84-8A6E-41D7-9B1E-24DD620F4345}">
      <formula1>0</formula1>
      <formula2>9.99999999999999E+35</formula2>
    </dataValidation>
    <dataValidation type="whole" allowBlank="1" showInputMessage="1" showErrorMessage="1" sqref="F270:AM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B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J150"/>
  <sheetViews>
    <sheetView showGridLines="0" workbookViewId="0"/>
  </sheetViews>
  <sheetFormatPr baseColWidth="10" defaultColWidth="11.42578125" defaultRowHeight="15" x14ac:dyDescent="0.25"/>
  <cols>
    <col min="1" max="1" width="19.85546875" customWidth="1"/>
    <col min="2" max="2" width="60.140625" customWidth="1"/>
    <col min="3" max="3" width="12" customWidth="1"/>
    <col min="4" max="4" width="12.7109375" customWidth="1"/>
    <col min="79" max="79" width="11.42578125" customWidth="1"/>
    <col min="80" max="88" width="11.42578125" hidden="1" customWidth="1"/>
    <col min="89" max="96" width="0" hidden="1" customWidth="1"/>
  </cols>
  <sheetData>
    <row r="1" spans="1:87" x14ac:dyDescent="0.25">
      <c r="B1" s="50" t="s">
        <v>23</v>
      </c>
    </row>
    <row r="2" spans="1:87" x14ac:dyDescent="0.25">
      <c r="B2" s="50" t="str">
        <f>CONCATENATE("COMUNA: ",NOMBRE!B2, " (",NOMBRE!C2,NOMBRE!D2,NOMBRE!E2,NOMBRE!F2,NOMBRE!G2,")")</f>
        <v>COMUNA:  ()</v>
      </c>
    </row>
    <row r="3" spans="1:87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87" x14ac:dyDescent="0.25">
      <c r="B4" s="50" t="str">
        <f>CONCATENATE("MES: ",NOMBRE!B6, " (",NOMBRE!C6,NOMBRE!D6,")")</f>
        <v>MES:  ()</v>
      </c>
    </row>
    <row r="5" spans="1:87" x14ac:dyDescent="0.25">
      <c r="B5" s="50" t="str">
        <f>CONCATENATE("AÑO: ",NOMBRE!B7)</f>
        <v>AÑO: 2025</v>
      </c>
    </row>
    <row r="6" spans="1:87" ht="18" customHeight="1" x14ac:dyDescent="0.25">
      <c r="B6" s="6087" t="s">
        <v>1958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</row>
    <row r="8" spans="1:87" ht="18" customHeight="1" x14ac:dyDescent="0.25">
      <c r="B8" s="7194" t="s">
        <v>1959</v>
      </c>
      <c r="C8" s="7194"/>
      <c r="D8" s="7194"/>
      <c r="E8" s="7194"/>
      <c r="F8" s="7194"/>
      <c r="G8" s="7194"/>
      <c r="H8" s="7194"/>
      <c r="I8" s="7194"/>
      <c r="J8" s="7194"/>
      <c r="K8" s="7194"/>
      <c r="L8" s="7194"/>
      <c r="M8" s="4018"/>
      <c r="N8" s="4018"/>
    </row>
    <row r="9" spans="1:87" x14ac:dyDescent="0.25">
      <c r="B9" s="7184"/>
      <c r="C9" s="7151" t="s">
        <v>77</v>
      </c>
      <c r="D9" s="7170" t="s">
        <v>1960</v>
      </c>
      <c r="E9" s="7171"/>
      <c r="F9" s="7171"/>
      <c r="G9" s="7171"/>
      <c r="H9" s="7171"/>
      <c r="I9" s="7171"/>
      <c r="J9" s="7171"/>
      <c r="K9" s="7171"/>
      <c r="L9" s="7172"/>
      <c r="M9" s="7191" t="s">
        <v>36</v>
      </c>
      <c r="N9" s="6598" t="s">
        <v>37</v>
      </c>
    </row>
    <row r="10" spans="1:87" x14ac:dyDescent="0.25">
      <c r="B10" s="7185"/>
      <c r="C10" s="7153"/>
      <c r="D10" s="4019" t="s">
        <v>94</v>
      </c>
      <c r="E10" s="4020" t="s">
        <v>44</v>
      </c>
      <c r="F10" s="4020" t="s">
        <v>45</v>
      </c>
      <c r="G10" s="4020" t="s">
        <v>46</v>
      </c>
      <c r="H10" s="4020" t="s">
        <v>47</v>
      </c>
      <c r="I10" s="4020" t="s">
        <v>48</v>
      </c>
      <c r="J10" s="4020" t="s">
        <v>49</v>
      </c>
      <c r="K10" s="4020" t="s">
        <v>50</v>
      </c>
      <c r="L10" s="3971" t="s">
        <v>51</v>
      </c>
      <c r="M10" s="6172"/>
      <c r="N10" s="7178"/>
    </row>
    <row r="11" spans="1:87" ht="18" customHeight="1" x14ac:dyDescent="0.25">
      <c r="A11" s="5820"/>
      <c r="B11" s="912" t="s">
        <v>1961</v>
      </c>
      <c r="C11" s="4021"/>
      <c r="D11" s="4022"/>
      <c r="E11" s="4022"/>
      <c r="F11" s="4022"/>
      <c r="G11" s="4022"/>
      <c r="H11" s="4022"/>
      <c r="I11" s="4022"/>
      <c r="J11" s="4022"/>
      <c r="K11" s="4022"/>
      <c r="L11" s="4023"/>
      <c r="M11" s="4024"/>
      <c r="N11" s="4025"/>
    </row>
    <row r="12" spans="1:87" ht="22.5" x14ac:dyDescent="0.25">
      <c r="A12" s="5609">
        <v>11061000</v>
      </c>
      <c r="B12" s="4026" t="s">
        <v>1962</v>
      </c>
      <c r="C12" s="4027" t="s">
        <v>4567</v>
      </c>
      <c r="D12" s="3278" t="s">
        <v>4568</v>
      </c>
      <c r="E12" s="935" t="s">
        <v>4569</v>
      </c>
      <c r="F12" s="935" t="s">
        <v>4570</v>
      </c>
      <c r="G12" s="935" t="s">
        <v>4571</v>
      </c>
      <c r="H12" s="935" t="s">
        <v>4572</v>
      </c>
      <c r="I12" s="935" t="s">
        <v>4573</v>
      </c>
      <c r="J12" s="935" t="s">
        <v>4574</v>
      </c>
      <c r="K12" s="935" t="s">
        <v>4575</v>
      </c>
      <c r="L12" s="3952" t="s">
        <v>4576</v>
      </c>
      <c r="M12" s="3044" t="s">
        <v>4577</v>
      </c>
      <c r="N12" s="3930" t="s">
        <v>4578</v>
      </c>
      <c r="O12" s="1936" t="str">
        <f>$CB12&amp;CC12</f>
        <v xml:space="preserve"> * La variable Pueblos Originarios no puede ser mayor al Total. * La variable Migrantes no puede ser mayor al Total.</v>
      </c>
      <c r="CB12" s="3944" t="str">
        <f>IF(AND(C12&gt;0,M12="")," * No olvide digitar la variable Pueblos Originarios. Digite cero si no tiene.",IF(M12&gt;C12, " * La variable Pueblos Originarios no puede ser mayor al Total.",""))</f>
        <v xml:space="preserve"> * La variable Pueblos Originarios no puede ser mayor al Total.</v>
      </c>
      <c r="CC12" s="3944" t="str">
        <f>IF(AND(C12&gt;0,N12="")," * No olvide digitar la variable Migrantes. Digite cero si no tiene.",IF(N12&gt;C12, " * La variable Migrantes no puede ser mayor al Total.",""))</f>
        <v xml:space="preserve"> * La variable Migrantes no puede ser mayor al Total.</v>
      </c>
      <c r="CD12" s="1936"/>
      <c r="CE12" s="1936"/>
      <c r="CH12" s="1867">
        <f>IF(AND(C12&gt;0,M12=""),1,IF(M12&gt;C12,1,0))</f>
        <v>1</v>
      </c>
      <c r="CI12" s="1867">
        <f>IF(AND(C12&gt;0,N12=""),1,IF(N12&gt;C12,1,0))</f>
        <v>1</v>
      </c>
    </row>
    <row r="13" spans="1:87" x14ac:dyDescent="0.25">
      <c r="A13" s="5609">
        <v>11061010</v>
      </c>
      <c r="B13" s="4028" t="s">
        <v>1963</v>
      </c>
      <c r="C13" s="3346" t="s">
        <v>4567</v>
      </c>
      <c r="D13" s="874" t="s">
        <v>4568</v>
      </c>
      <c r="E13" s="1880" t="s">
        <v>4569</v>
      </c>
      <c r="F13" s="1880" t="s">
        <v>4570</v>
      </c>
      <c r="G13" s="1880" t="s">
        <v>4571</v>
      </c>
      <c r="H13" s="1880" t="s">
        <v>4572</v>
      </c>
      <c r="I13" s="1880" t="s">
        <v>4573</v>
      </c>
      <c r="J13" s="1880" t="s">
        <v>4574</v>
      </c>
      <c r="K13" s="1880" t="s">
        <v>4575</v>
      </c>
      <c r="L13" s="3347" t="s">
        <v>4576</v>
      </c>
      <c r="M13" s="2075" t="s">
        <v>4577</v>
      </c>
      <c r="N13" s="3416" t="s">
        <v>4578</v>
      </c>
      <c r="O13" s="1936" t="str">
        <f t="shared" ref="O13:O19" si="0">$CB13&amp;CC13</f>
        <v xml:space="preserve"> * La variable Pueblos Originarios no puede ser mayor al Total. * La variable Migrantes no puede ser mayor al Total.</v>
      </c>
      <c r="CB13" s="3944" t="str">
        <f>IF(AND(C13&gt;0,M13="")," * No olvide digitar la variable Pueblos Originarios. Digite cero si no tiene.",IF(M13&gt;C13, " * La variable Pueblos Originarios no puede ser mayor al Total.",""))</f>
        <v xml:space="preserve"> * La variable Pueblos Originarios no puede ser mayor al Total.</v>
      </c>
      <c r="CC13" s="3944" t="str">
        <f>IF(AND(C13&gt;0,N13="")," * No olvide digitar la variable Migrantes. Digite cero si no tiene.",IF(N13&gt;C13, " * La variable Migrantes no puede ser mayor al Total.",""))</f>
        <v xml:space="preserve"> * La variable Migrantes no puede ser mayor al Total.</v>
      </c>
      <c r="CH13" s="1867">
        <f>IF(AND(C13&gt;0,M13=""),1,IF(M13&gt;C13,1,0))</f>
        <v>1</v>
      </c>
      <c r="CI13" s="1867">
        <f>IF(AND(C13&gt;0,N13=""),1,IF(N13&gt;C13,1,0))</f>
        <v>1</v>
      </c>
    </row>
    <row r="14" spans="1:87" ht="18" customHeight="1" x14ac:dyDescent="0.25">
      <c r="A14" s="5820"/>
      <c r="B14" s="327" t="s">
        <v>1964</v>
      </c>
      <c r="C14" s="4029"/>
      <c r="D14" s="4030"/>
      <c r="E14" s="4030"/>
      <c r="F14" s="4030"/>
      <c r="G14" s="4030"/>
      <c r="H14" s="4030"/>
      <c r="I14" s="4030"/>
      <c r="J14" s="4030"/>
      <c r="K14" s="4030"/>
      <c r="L14" s="4031"/>
      <c r="M14" s="4032"/>
      <c r="N14" s="3589"/>
      <c r="O14" s="1936" t="str">
        <f t="shared" si="0"/>
        <v/>
      </c>
      <c r="CB14" s="1937"/>
    </row>
    <row r="15" spans="1:87" ht="22.5" x14ac:dyDescent="0.25">
      <c r="A15" s="5609">
        <v>11061020</v>
      </c>
      <c r="B15" s="4026" t="s">
        <v>1965</v>
      </c>
      <c r="C15" s="3900" t="s">
        <v>4567</v>
      </c>
      <c r="D15" s="3278" t="s">
        <v>4568</v>
      </c>
      <c r="E15" s="935" t="s">
        <v>4569</v>
      </c>
      <c r="F15" s="935" t="s">
        <v>4570</v>
      </c>
      <c r="G15" s="935" t="s">
        <v>4571</v>
      </c>
      <c r="H15" s="935" t="s">
        <v>4572</v>
      </c>
      <c r="I15" s="935" t="s">
        <v>4573</v>
      </c>
      <c r="J15" s="935" t="s">
        <v>4574</v>
      </c>
      <c r="K15" s="935" t="s">
        <v>4575</v>
      </c>
      <c r="L15" s="3952" t="s">
        <v>4576</v>
      </c>
      <c r="M15" s="3044" t="s">
        <v>4577</v>
      </c>
      <c r="N15" s="3930" t="s">
        <v>4578</v>
      </c>
      <c r="O15" s="1936" t="str">
        <f t="shared" si="0"/>
        <v xml:space="preserve"> * La variable Pueblos Originarios no puede ser mayor al Total. * La variable Migrantes no puede ser mayor al Total.</v>
      </c>
      <c r="CB15" s="3944" t="str">
        <f>IF(AND(C15&gt;0,M15="")," * No olvide digitar la variable Pueblos Originarios. Digite cero si no tiene.",IF(M15&gt;C15, " * La variable Pueblos Originarios no puede ser mayor al Total.",""))</f>
        <v xml:space="preserve"> * La variable Pueblos Originarios no puede ser mayor al Total.</v>
      </c>
      <c r="CC15" s="3944" t="str">
        <f t="shared" ref="CC15:CC16" si="1">IF(AND(C15&gt;0,N15="")," * No olvide digitar la variable Migrantes. Digite cero si no tiene.",IF(N15&gt;C15, " * La variable Migrantes no puede ser mayor al Total.",""))</f>
        <v xml:space="preserve"> * La variable Migrantes no puede ser mayor al Total.</v>
      </c>
      <c r="CH15" s="1867">
        <f t="shared" ref="CH15:CH16" si="2">IF(AND(C15&gt;0,M15=""),1,IF(M15&gt;C15,1,0))</f>
        <v>1</v>
      </c>
      <c r="CI15" s="1867">
        <f t="shared" ref="CI15:CI16" si="3">IF(AND(C15&gt;0,N15=""),1,IF(N15&gt;C15,1,0))</f>
        <v>1</v>
      </c>
    </row>
    <row r="16" spans="1:87" x14ac:dyDescent="0.25">
      <c r="A16" s="5609">
        <v>11061030</v>
      </c>
      <c r="B16" s="4028" t="s">
        <v>1966</v>
      </c>
      <c r="C16" s="3346" t="s">
        <v>4567</v>
      </c>
      <c r="D16" s="874" t="s">
        <v>4568</v>
      </c>
      <c r="E16" s="1880" t="s">
        <v>4569</v>
      </c>
      <c r="F16" s="1880" t="s">
        <v>4570</v>
      </c>
      <c r="G16" s="1880" t="s">
        <v>4571</v>
      </c>
      <c r="H16" s="1880" t="s">
        <v>4572</v>
      </c>
      <c r="I16" s="1880" t="s">
        <v>4573</v>
      </c>
      <c r="J16" s="1880" t="s">
        <v>4574</v>
      </c>
      <c r="K16" s="1880" t="s">
        <v>4575</v>
      </c>
      <c r="L16" s="3347" t="s">
        <v>4576</v>
      </c>
      <c r="M16" s="2075" t="s">
        <v>4577</v>
      </c>
      <c r="N16" s="3416" t="s">
        <v>4578</v>
      </c>
      <c r="O16" s="1936" t="str">
        <f t="shared" si="0"/>
        <v xml:space="preserve"> * La variable Pueblos Originarios no puede ser mayor al Total. * La variable Migrantes no puede ser mayor al Total.</v>
      </c>
      <c r="CB16" s="3944" t="str">
        <f>IF(AND(C16&gt;0,M16="")," * No olvide digitar la variable Pueblos Originarios. Digite cero si no tiene.",IF(M16&gt;C16, " * La variable Pueblos Originarios no puede ser mayor al Total.",""))</f>
        <v xml:space="preserve"> * La variable Pueblos Originarios no puede ser mayor al Total.</v>
      </c>
      <c r="CC16" s="3944" t="str">
        <f t="shared" si="1"/>
        <v xml:space="preserve"> * La variable Migrantes no puede ser mayor al Total.</v>
      </c>
      <c r="CH16" s="1867">
        <f t="shared" si="2"/>
        <v>1</v>
      </c>
      <c r="CI16" s="1867">
        <f t="shared" si="3"/>
        <v>1</v>
      </c>
    </row>
    <row r="17" spans="1:87" ht="18" customHeight="1" x14ac:dyDescent="0.25">
      <c r="A17" s="5820"/>
      <c r="B17" s="913" t="s">
        <v>1967</v>
      </c>
      <c r="C17" s="4029"/>
      <c r="D17" s="4030"/>
      <c r="E17" s="4030"/>
      <c r="F17" s="4030"/>
      <c r="G17" s="4030"/>
      <c r="H17" s="4030"/>
      <c r="I17" s="4030"/>
      <c r="J17" s="4030"/>
      <c r="K17" s="4030"/>
      <c r="L17" s="4031"/>
      <c r="M17" s="4032"/>
      <c r="N17" s="3589"/>
      <c r="O17" s="1936" t="str">
        <f t="shared" si="0"/>
        <v/>
      </c>
      <c r="CB17" s="1937"/>
    </row>
    <row r="18" spans="1:87" ht="22.5" x14ac:dyDescent="0.25">
      <c r="A18" s="5609">
        <v>11061040</v>
      </c>
      <c r="B18" s="3195" t="s">
        <v>1968</v>
      </c>
      <c r="C18" s="141" t="s">
        <v>4567</v>
      </c>
      <c r="D18" s="326" t="s">
        <v>4568</v>
      </c>
      <c r="E18" s="1014" t="s">
        <v>4569</v>
      </c>
      <c r="F18" s="1014" t="s">
        <v>4570</v>
      </c>
      <c r="G18" s="1014" t="s">
        <v>4571</v>
      </c>
      <c r="H18" s="1014" t="s">
        <v>4572</v>
      </c>
      <c r="I18" s="1014" t="s">
        <v>4573</v>
      </c>
      <c r="J18" s="1014" t="s">
        <v>4574</v>
      </c>
      <c r="K18" s="1014" t="s">
        <v>4575</v>
      </c>
      <c r="L18" s="1884" t="s">
        <v>4576</v>
      </c>
      <c r="M18" s="336" t="s">
        <v>4577</v>
      </c>
      <c r="N18" s="142" t="s">
        <v>4578</v>
      </c>
      <c r="O18" s="1936" t="str">
        <f t="shared" si="0"/>
        <v xml:space="preserve"> * La variable Pueblos Originarios no puede ser mayor al Total. * La variable Migrantes no puede ser mayor al Total.</v>
      </c>
      <c r="CB18" s="3944" t="str">
        <f>IF(AND(C18&gt;0,M18="")," * No olvide digitar la variable Pueblos Originarios. Digite cero si no tiene.",IF(M18&gt;C18, " * La variable Pueblos Originarios no puede ser mayor al Total.",""))</f>
        <v xml:space="preserve"> * La variable Pueblos Originarios no puede ser mayor al Total.</v>
      </c>
      <c r="CC18" s="3944" t="str">
        <f t="shared" ref="CC18:CC19" si="4">IF(AND(C18&gt;0,N18="")," * No olvide digitar la variable Migrantes. Digite cero si no tiene.",IF(N18&gt;C18, " * La variable Migrantes no puede ser mayor al Total.",""))</f>
        <v xml:space="preserve"> * La variable Migrantes no puede ser mayor al Total.</v>
      </c>
      <c r="CH18" s="1867">
        <f t="shared" ref="CH18:CH19" si="5">IF(AND(C18&gt;0,M18=""),1,IF(M18&gt;C18,1,0))</f>
        <v>1</v>
      </c>
      <c r="CI18" s="1867">
        <f t="shared" ref="CI18:CI19" si="6">IF(AND(C18&gt;0,N18=""),1,IF(N18&gt;C18,1,0))</f>
        <v>1</v>
      </c>
    </row>
    <row r="19" spans="1:87" x14ac:dyDescent="0.25">
      <c r="A19" s="5609">
        <v>11061050</v>
      </c>
      <c r="B19" s="4028" t="s">
        <v>1966</v>
      </c>
      <c r="C19" s="3346" t="s">
        <v>4567</v>
      </c>
      <c r="D19" s="874" t="s">
        <v>4568</v>
      </c>
      <c r="E19" s="1880" t="s">
        <v>4569</v>
      </c>
      <c r="F19" s="1880" t="s">
        <v>4570</v>
      </c>
      <c r="G19" s="1880" t="s">
        <v>4571</v>
      </c>
      <c r="H19" s="1880" t="s">
        <v>4572</v>
      </c>
      <c r="I19" s="1880" t="s">
        <v>4573</v>
      </c>
      <c r="J19" s="1880" t="s">
        <v>4574</v>
      </c>
      <c r="K19" s="1880" t="s">
        <v>4575</v>
      </c>
      <c r="L19" s="3347" t="s">
        <v>4576</v>
      </c>
      <c r="M19" s="2075" t="s">
        <v>4577</v>
      </c>
      <c r="N19" s="3416" t="s">
        <v>4578</v>
      </c>
      <c r="O19" s="1936" t="str">
        <f t="shared" si="0"/>
        <v xml:space="preserve"> * La variable Pueblos Originarios no puede ser mayor al Total. * La variable Migrantes no puede ser mayor al Total.</v>
      </c>
      <c r="CB19" s="3944" t="str">
        <f>IF(AND(C19&gt;0,M19="")," * No olvide digitar la variable Pueblos Originarios. Digite cero si no tiene.",IF(M19&gt;C19, " * La variable Pueblos Originarios no puede ser mayor al Total.",""))</f>
        <v xml:space="preserve"> * La variable Pueblos Originarios no puede ser mayor al Total.</v>
      </c>
      <c r="CC19" s="3944" t="str">
        <f t="shared" si="4"/>
        <v xml:space="preserve"> * La variable Migrantes no puede ser mayor al Total.</v>
      </c>
      <c r="CH19" s="1867">
        <f t="shared" si="5"/>
        <v>1</v>
      </c>
      <c r="CI19" s="1867">
        <f t="shared" si="6"/>
        <v>1</v>
      </c>
    </row>
    <row r="20" spans="1:87" ht="18" customHeight="1" x14ac:dyDescent="0.25">
      <c r="A20" s="5548"/>
      <c r="B20" s="7183" t="s">
        <v>1969</v>
      </c>
      <c r="C20" s="7183"/>
      <c r="D20" s="7183"/>
      <c r="E20" s="7183"/>
      <c r="CB20" s="1937"/>
    </row>
    <row r="21" spans="1:87" ht="21" x14ac:dyDescent="0.25">
      <c r="A21" s="5638"/>
      <c r="B21" s="4033"/>
      <c r="C21" s="3962" t="s">
        <v>77</v>
      </c>
      <c r="D21" s="4034" t="s">
        <v>36</v>
      </c>
      <c r="E21" s="3937" t="s">
        <v>37</v>
      </c>
      <c r="CB21" s="1937"/>
    </row>
    <row r="22" spans="1:87" ht="33" x14ac:dyDescent="0.25">
      <c r="A22" s="5609">
        <v>11061060</v>
      </c>
      <c r="B22" s="3195" t="s">
        <v>1970</v>
      </c>
      <c r="C22" s="3343" t="s">
        <v>4567</v>
      </c>
      <c r="D22" s="3044" t="s">
        <v>4568</v>
      </c>
      <c r="E22" s="3930" t="s">
        <v>4569</v>
      </c>
      <c r="F22" s="1864" t="str">
        <f>CB22&amp;CC22</f>
        <v xml:space="preserve"> * La variable Pueblos Originarios no puede ser mayor al Total. * La variable Migrantes no puede ser mayor al Total.</v>
      </c>
      <c r="CB22" s="3944" t="str">
        <f>IF(AND(C22&gt;0,D22="")," * No olvide digitar la variable Pueblos Originarios. Digite cero si no tiene.",IF(D22&gt;C22, " * La variable Pueblos Originarios no puede ser mayor al Total.",""))</f>
        <v xml:space="preserve"> * La variable Pueblos Originarios no puede ser mayor al Total.</v>
      </c>
      <c r="CC22" s="3944" t="str">
        <f>IF(AND(C22&gt;0,E22="")," * No olvide digitar la variable Migrantes. Digite cero si no tiene.",IF(E22&gt;C22, " * La variable Migrantes no puede ser mayor al Total.",""))</f>
        <v xml:space="preserve"> * La variable Migrantes no puede ser mayor al Total.</v>
      </c>
      <c r="CH22" s="3906">
        <f>IF(AND(C22&gt;0,D22=""),1,IF(D22&gt;C22,1,0))</f>
        <v>1</v>
      </c>
      <c r="CI22" s="3906">
        <f>IF(AND(C22&gt;0,E22=""),1,IF(E22&gt;C22,1,0))</f>
        <v>1</v>
      </c>
    </row>
    <row r="23" spans="1:87" ht="22.5" x14ac:dyDescent="0.25">
      <c r="A23" s="5609">
        <v>11061070</v>
      </c>
      <c r="B23" s="2674" t="s">
        <v>1971</v>
      </c>
      <c r="C23" s="3348" t="s">
        <v>4567</v>
      </c>
      <c r="D23" s="2075" t="s">
        <v>4568</v>
      </c>
      <c r="E23" s="3416" t="s">
        <v>4569</v>
      </c>
      <c r="F23" s="1864" t="str">
        <f>CB23&amp;CC23</f>
        <v xml:space="preserve"> * La variable Pueblos Originarios no puede ser mayor al Total. * La variable Migrantes no puede ser mayor al Total.</v>
      </c>
      <c r="CB23" s="3944" t="str">
        <f>IF(AND(C23&gt;0,D23="")," * No olvide digitar la variable Pueblos Originarios. Digite cero si no tiene.",IF(D23&gt;C23, " * La variable Pueblos Originarios no puede ser mayor al Total.",""))</f>
        <v xml:space="preserve"> * La variable Pueblos Originarios no puede ser mayor al Total.</v>
      </c>
      <c r="CC23" s="3944" t="str">
        <f>IF(AND(C23&gt;0,E23="")," * No olvide digitar la variable Migrantes. Digite cero si no tiene.",IF(E23&gt;C23, " * La variable Migrantes no puede ser mayor al Total.",""))</f>
        <v xml:space="preserve"> * La variable Migrantes no puede ser mayor al Total.</v>
      </c>
      <c r="CH23" s="3906">
        <f>IF(AND(C23&gt;0,D23=""),1,IF(D23&gt;C23,1,0))</f>
        <v>1</v>
      </c>
      <c r="CI23" s="3906">
        <f>IF(AND(C23&gt;0,E23=""),1,IF(E23&gt;C23,1,0))</f>
        <v>1</v>
      </c>
    </row>
    <row r="24" spans="1:87" ht="18" customHeight="1" x14ac:dyDescent="0.25">
      <c r="A24" s="5548"/>
      <c r="B24" s="7186" t="s">
        <v>1972</v>
      </c>
      <c r="C24" s="7186"/>
      <c r="D24" s="7186"/>
      <c r="E24" s="7186"/>
      <c r="F24" s="7186"/>
      <c r="G24" s="7186"/>
      <c r="H24" s="7186"/>
      <c r="I24" s="7186"/>
      <c r="J24" s="7186"/>
      <c r="K24" s="7186"/>
      <c r="L24" s="7186"/>
      <c r="CB24" s="1937"/>
    </row>
    <row r="25" spans="1:87" x14ac:dyDescent="0.25">
      <c r="A25" s="5638"/>
      <c r="B25" s="7192"/>
      <c r="C25" s="7184" t="s">
        <v>77</v>
      </c>
      <c r="D25" s="7171" t="s">
        <v>1960</v>
      </c>
      <c r="E25" s="7171"/>
      <c r="F25" s="7171"/>
      <c r="G25" s="7171"/>
      <c r="H25" s="7171"/>
      <c r="I25" s="7171"/>
      <c r="J25" s="7171"/>
      <c r="K25" s="7171"/>
      <c r="L25" s="7172"/>
      <c r="M25" s="6598" t="s">
        <v>36</v>
      </c>
      <c r="N25" s="7184" t="s">
        <v>37</v>
      </c>
      <c r="CB25" s="1937"/>
    </row>
    <row r="26" spans="1:87" x14ac:dyDescent="0.25">
      <c r="A26" s="5638"/>
      <c r="B26" s="7193"/>
      <c r="C26" s="7185"/>
      <c r="D26" s="4035" t="s">
        <v>94</v>
      </c>
      <c r="E26" s="4020" t="s">
        <v>44</v>
      </c>
      <c r="F26" s="4020" t="s">
        <v>45</v>
      </c>
      <c r="G26" s="4020" t="s">
        <v>46</v>
      </c>
      <c r="H26" s="4020" t="s">
        <v>47</v>
      </c>
      <c r="I26" s="4020" t="s">
        <v>48</v>
      </c>
      <c r="J26" s="4020" t="s">
        <v>49</v>
      </c>
      <c r="K26" s="4020" t="s">
        <v>50</v>
      </c>
      <c r="L26" s="3971" t="s">
        <v>51</v>
      </c>
      <c r="M26" s="7178"/>
      <c r="N26" s="7185"/>
      <c r="CB26" s="1937"/>
    </row>
    <row r="27" spans="1:87" ht="22.5" x14ac:dyDescent="0.25">
      <c r="A27" s="5609">
        <v>11061080</v>
      </c>
      <c r="B27" s="3195" t="s">
        <v>1973</v>
      </c>
      <c r="C27" s="3900" t="s">
        <v>4567</v>
      </c>
      <c r="D27" s="326" t="s">
        <v>4568</v>
      </c>
      <c r="E27" s="1014" t="s">
        <v>4569</v>
      </c>
      <c r="F27" s="1014" t="s">
        <v>4570</v>
      </c>
      <c r="G27" s="1014" t="s">
        <v>4571</v>
      </c>
      <c r="H27" s="1014" t="s">
        <v>4572</v>
      </c>
      <c r="I27" s="1014" t="s">
        <v>4573</v>
      </c>
      <c r="J27" s="1014" t="s">
        <v>4574</v>
      </c>
      <c r="K27" s="1014" t="s">
        <v>4575</v>
      </c>
      <c r="L27" s="1884" t="s">
        <v>4576</v>
      </c>
      <c r="M27" s="44" t="s">
        <v>4577</v>
      </c>
      <c r="N27" s="2036" t="s">
        <v>4578</v>
      </c>
      <c r="O27" s="1864" t="str">
        <f>$CB27&amp;CC27</f>
        <v xml:space="preserve"> * La variable Pueblos Originarios no puede ser mayor al Total. * La variable Migrantes no puede ser mayor al Total.</v>
      </c>
      <c r="CB27" s="3944" t="str">
        <f>IF(AND(C27&gt;0,M27="")," No olvide digitar la variable Pueblos Originarios. Digite cero si no tiene.",IF(M27&gt;C27," * La variable Pueblos Originarios no puede ser mayor al Total.",""))</f>
        <v xml:space="preserve"> * La variable Pueblos Originarios no puede ser mayor al Total.</v>
      </c>
      <c r="CC27" s="3944" t="str">
        <f>IF(AND(C27&gt;0,N27="")," No olvide digitar la variable Migrantes. Digite cero si no tiene.",IF(N27&gt;C27," * La variable Migrantes no puede ser mayor al Total.",""))</f>
        <v xml:space="preserve"> * La variable Migrantes no puede ser mayor al Total.</v>
      </c>
      <c r="CH27" s="3906">
        <f>IF(AND(C27&gt;0,M27=""),1,IF(M27&gt;C27,1,0))</f>
        <v>1</v>
      </c>
      <c r="CI27" s="3906">
        <f>IF(AND(C27&gt;0,N27=""),1,IF(N27&gt;C27,1,0))</f>
        <v>1</v>
      </c>
    </row>
    <row r="28" spans="1:87" x14ac:dyDescent="0.25">
      <c r="A28" s="5609">
        <v>11061090</v>
      </c>
      <c r="B28" s="3195" t="s">
        <v>1974</v>
      </c>
      <c r="C28" s="344" t="s">
        <v>4567</v>
      </c>
      <c r="D28" s="326" t="s">
        <v>4568</v>
      </c>
      <c r="E28" s="1014" t="s">
        <v>4569</v>
      </c>
      <c r="F28" s="1014" t="s">
        <v>4570</v>
      </c>
      <c r="G28" s="1014" t="s">
        <v>4571</v>
      </c>
      <c r="H28" s="1014" t="s">
        <v>4572</v>
      </c>
      <c r="I28" s="1014" t="s">
        <v>4573</v>
      </c>
      <c r="J28" s="1014" t="s">
        <v>4574</v>
      </c>
      <c r="K28" s="1014" t="s">
        <v>4575</v>
      </c>
      <c r="L28" s="1884" t="s">
        <v>4576</v>
      </c>
      <c r="M28" s="44" t="s">
        <v>4577</v>
      </c>
      <c r="N28" s="2036" t="s">
        <v>4578</v>
      </c>
      <c r="O28" s="1864" t="str">
        <f t="shared" ref="O28:O32" si="7">$CB28&amp;CC28</f>
        <v xml:space="preserve"> * La variable Pueblos Originarios no puede ser mayor al Total. * La variable Migrantes no puede ser mayor al Total.</v>
      </c>
      <c r="CB28" s="3944" t="str">
        <f t="shared" ref="CB28:CB32" si="8">IF(AND(C28&gt;0,M28="")," No olvide digitar la variable Pueblos Originarios. Digite cero si no tiene.",IF(M28&gt;C28," * La variable Pueblos Originarios no puede ser mayor al Total.",""))</f>
        <v xml:space="preserve"> * La variable Pueblos Originarios no puede ser mayor al Total.</v>
      </c>
      <c r="CC28" s="3944" t="str">
        <f t="shared" ref="CC28:CC32" si="9">IF(AND(C28&gt;0,N28="")," No olvide digitar la variable Migrantes. Digite cero si no tiene.",IF(N28&gt;C28," * La variable Migrantes no puede ser mayor al Total.",""))</f>
        <v xml:space="preserve"> * La variable Migrantes no puede ser mayor al Total.</v>
      </c>
      <c r="CH28" s="3906">
        <f t="shared" ref="CH28:CH32" si="10">IF(AND(C28&gt;0,M28=""),1,IF(M28&gt;C28,1,0))</f>
        <v>1</v>
      </c>
      <c r="CI28" s="3906">
        <f t="shared" ref="CI28:CI32" si="11">IF(AND(C28&gt;0,N28=""),1,IF(N28&gt;C28,1,0))</f>
        <v>1</v>
      </c>
    </row>
    <row r="29" spans="1:87" ht="22.5" x14ac:dyDescent="0.25">
      <c r="A29" s="5609">
        <v>11061100</v>
      </c>
      <c r="B29" s="3195" t="s">
        <v>1975</v>
      </c>
      <c r="C29" s="344" t="s">
        <v>4567</v>
      </c>
      <c r="D29" s="326" t="s">
        <v>4568</v>
      </c>
      <c r="E29" s="1014" t="s">
        <v>4569</v>
      </c>
      <c r="F29" s="1014" t="s">
        <v>4570</v>
      </c>
      <c r="G29" s="1014" t="s">
        <v>4571</v>
      </c>
      <c r="H29" s="1014" t="s">
        <v>4572</v>
      </c>
      <c r="I29" s="1014" t="s">
        <v>4573</v>
      </c>
      <c r="J29" s="1014" t="s">
        <v>4574</v>
      </c>
      <c r="K29" s="1014" t="s">
        <v>4575</v>
      </c>
      <c r="L29" s="1884" t="s">
        <v>4576</v>
      </c>
      <c r="M29" s="44" t="s">
        <v>4577</v>
      </c>
      <c r="N29" s="2036" t="s">
        <v>4578</v>
      </c>
      <c r="O29" s="1864" t="str">
        <f t="shared" si="7"/>
        <v xml:space="preserve"> * La variable Pueblos Originarios no puede ser mayor al Total. * La variable Migrantes no puede ser mayor al Total.</v>
      </c>
      <c r="CB29" s="3944" t="str">
        <f t="shared" si="8"/>
        <v xml:space="preserve"> * La variable Pueblos Originarios no puede ser mayor al Total.</v>
      </c>
      <c r="CC29" s="3944" t="str">
        <f t="shared" si="9"/>
        <v xml:space="preserve"> * La variable Migrantes no puede ser mayor al Total.</v>
      </c>
      <c r="CH29" s="3906">
        <f t="shared" si="10"/>
        <v>1</v>
      </c>
      <c r="CI29" s="3906">
        <f t="shared" si="11"/>
        <v>1</v>
      </c>
    </row>
    <row r="30" spans="1:87" ht="22.5" x14ac:dyDescent="0.25">
      <c r="A30" s="5609">
        <v>11061110</v>
      </c>
      <c r="B30" s="3195" t="s">
        <v>1976</v>
      </c>
      <c r="C30" s="344" t="s">
        <v>4567</v>
      </c>
      <c r="D30" s="326" t="s">
        <v>4568</v>
      </c>
      <c r="E30" s="1014" t="s">
        <v>4569</v>
      </c>
      <c r="F30" s="1014" t="s">
        <v>4570</v>
      </c>
      <c r="G30" s="1014" t="s">
        <v>4571</v>
      </c>
      <c r="H30" s="1014" t="s">
        <v>4572</v>
      </c>
      <c r="I30" s="1014" t="s">
        <v>4573</v>
      </c>
      <c r="J30" s="1014" t="s">
        <v>4574</v>
      </c>
      <c r="K30" s="1014" t="s">
        <v>4575</v>
      </c>
      <c r="L30" s="1884" t="s">
        <v>4576</v>
      </c>
      <c r="M30" s="44" t="s">
        <v>4577</v>
      </c>
      <c r="N30" s="2036" t="s">
        <v>4578</v>
      </c>
      <c r="O30" s="1864" t="str">
        <f t="shared" si="7"/>
        <v xml:space="preserve"> * La variable Pueblos Originarios no puede ser mayor al Total. * La variable Migrantes no puede ser mayor al Total.</v>
      </c>
      <c r="CB30" s="3944" t="str">
        <f t="shared" si="8"/>
        <v xml:space="preserve"> * La variable Pueblos Originarios no puede ser mayor al Total.</v>
      </c>
      <c r="CC30" s="3944" t="str">
        <f t="shared" si="9"/>
        <v xml:space="preserve"> * La variable Migrantes no puede ser mayor al Total.</v>
      </c>
      <c r="CH30" s="3906">
        <f t="shared" si="10"/>
        <v>1</v>
      </c>
      <c r="CI30" s="3906">
        <f t="shared" si="11"/>
        <v>1</v>
      </c>
    </row>
    <row r="31" spans="1:87" ht="22.5" x14ac:dyDescent="0.25">
      <c r="A31" s="5609">
        <v>11061120</v>
      </c>
      <c r="B31" s="3195" t="s">
        <v>1977</v>
      </c>
      <c r="C31" s="344" t="s">
        <v>4567</v>
      </c>
      <c r="D31" s="326" t="s">
        <v>4568</v>
      </c>
      <c r="E31" s="1014" t="s">
        <v>4569</v>
      </c>
      <c r="F31" s="1014" t="s">
        <v>4570</v>
      </c>
      <c r="G31" s="1014" t="s">
        <v>4571</v>
      </c>
      <c r="H31" s="1014" t="s">
        <v>4572</v>
      </c>
      <c r="I31" s="1014" t="s">
        <v>4573</v>
      </c>
      <c r="J31" s="1014" t="s">
        <v>4574</v>
      </c>
      <c r="K31" s="1014" t="s">
        <v>4575</v>
      </c>
      <c r="L31" s="1884" t="s">
        <v>4576</v>
      </c>
      <c r="M31" s="44" t="s">
        <v>4577</v>
      </c>
      <c r="N31" s="2036" t="s">
        <v>4578</v>
      </c>
      <c r="O31" s="1864" t="str">
        <f t="shared" si="7"/>
        <v xml:space="preserve"> * La variable Pueblos Originarios no puede ser mayor al Total. * La variable Migrantes no puede ser mayor al Total.</v>
      </c>
      <c r="CB31" s="3944" t="str">
        <f t="shared" si="8"/>
        <v xml:space="preserve"> * La variable Pueblos Originarios no puede ser mayor al Total.</v>
      </c>
      <c r="CC31" s="3944" t="str">
        <f t="shared" si="9"/>
        <v xml:space="preserve"> * La variable Migrantes no puede ser mayor al Total.</v>
      </c>
      <c r="CH31" s="3906">
        <f t="shared" si="10"/>
        <v>1</v>
      </c>
      <c r="CI31" s="3906">
        <f t="shared" si="11"/>
        <v>1</v>
      </c>
    </row>
    <row r="32" spans="1:87" x14ac:dyDescent="0.25">
      <c r="A32" s="5609">
        <v>11061130</v>
      </c>
      <c r="B32" s="4028" t="s">
        <v>1978</v>
      </c>
      <c r="C32" s="3346" t="s">
        <v>4567</v>
      </c>
      <c r="D32" s="853" t="s">
        <v>4568</v>
      </c>
      <c r="E32" s="1873" t="s">
        <v>4569</v>
      </c>
      <c r="F32" s="1873" t="s">
        <v>4570</v>
      </c>
      <c r="G32" s="1873" t="s">
        <v>4571</v>
      </c>
      <c r="H32" s="1873" t="s">
        <v>4572</v>
      </c>
      <c r="I32" s="1873" t="s">
        <v>4573</v>
      </c>
      <c r="J32" s="1873" t="s">
        <v>4574</v>
      </c>
      <c r="K32" s="1873" t="s">
        <v>4575</v>
      </c>
      <c r="L32" s="1878" t="s">
        <v>4576</v>
      </c>
      <c r="M32" s="1877" t="s">
        <v>4577</v>
      </c>
      <c r="N32" s="1920" t="s">
        <v>4578</v>
      </c>
      <c r="O32" s="1864" t="str">
        <f t="shared" si="7"/>
        <v xml:space="preserve"> * La variable Pueblos Originarios no puede ser mayor al Total. * La variable Migrantes no puede ser mayor al Total.</v>
      </c>
      <c r="CB32" s="3944" t="str">
        <f t="shared" si="8"/>
        <v xml:space="preserve"> * La variable Pueblos Originarios no puede ser mayor al Total.</v>
      </c>
      <c r="CC32" s="3944" t="str">
        <f t="shared" si="9"/>
        <v xml:space="preserve"> * La variable Migrantes no puede ser mayor al Total.</v>
      </c>
      <c r="CH32" s="3906">
        <f t="shared" si="10"/>
        <v>1</v>
      </c>
      <c r="CI32" s="3906">
        <f t="shared" si="11"/>
        <v>1</v>
      </c>
    </row>
    <row r="33" spans="1:87" ht="18" customHeight="1" x14ac:dyDescent="0.25">
      <c r="A33" s="5548"/>
      <c r="B33" s="7183" t="s">
        <v>1979</v>
      </c>
      <c r="C33" s="7183"/>
      <c r="D33" s="7183"/>
      <c r="E33" s="7183"/>
      <c r="CB33" s="1937"/>
    </row>
    <row r="34" spans="1:87" ht="21" x14ac:dyDescent="0.25">
      <c r="A34" s="5638"/>
      <c r="B34" s="4036"/>
      <c r="C34" s="3962" t="s">
        <v>77</v>
      </c>
      <c r="D34" s="4034" t="s">
        <v>36</v>
      </c>
      <c r="E34" s="3937" t="s">
        <v>37</v>
      </c>
      <c r="CB34" s="1937"/>
    </row>
    <row r="35" spans="1:87" ht="22.5" x14ac:dyDescent="0.25">
      <c r="A35" s="5609">
        <v>11061140</v>
      </c>
      <c r="B35" s="3195" t="s">
        <v>1980</v>
      </c>
      <c r="C35" s="3344" t="s">
        <v>4567</v>
      </c>
      <c r="D35" s="44" t="s">
        <v>4568</v>
      </c>
      <c r="E35" s="882" t="s">
        <v>4569</v>
      </c>
      <c r="F35" s="1864" t="str">
        <f>CB35&amp;CC35</f>
        <v xml:space="preserve"> * La variable Pueblos Originarios no puede ser mayor al Total. * La variable Migrantes no puede ser mayor al Total.</v>
      </c>
      <c r="CB35" s="3944" t="str">
        <f>IF(AND(C35&gt;0,D35="")," No olvide digitar la variable Pueblos Originarios. Digite cero si no tiene.",IF(D35&gt;C35," * La variable Pueblos Originarios no puede ser mayor al Total.",""))</f>
        <v xml:space="preserve"> * La variable Pueblos Originarios no puede ser mayor al Total.</v>
      </c>
      <c r="CC35" s="3944" t="str">
        <f>IF(AND(C35&gt;0,E35="")," No olvide digitar la variable Migrantes. Digite cero si no tiene.",IF(E35&gt;C35," * La variable Migrantes no puede ser mayor al Total.",""))</f>
        <v xml:space="preserve"> * La variable Migrantes no puede ser mayor al Total.</v>
      </c>
      <c r="CH35" s="3906">
        <f>IF(AND(C35&gt;0,D35=""),1,IF(D35&gt;C35,1,0))</f>
        <v>1</v>
      </c>
      <c r="CI35" s="3906">
        <f>IF(AND(C35&gt;0,E35=""),1,IF(E35&gt;C35,1,0))</f>
        <v>1</v>
      </c>
    </row>
    <row r="36" spans="1:87" x14ac:dyDescent="0.25">
      <c r="A36" s="5609">
        <v>11061150</v>
      </c>
      <c r="B36" s="2674" t="s">
        <v>1981</v>
      </c>
      <c r="C36" s="4037" t="s">
        <v>4567</v>
      </c>
      <c r="D36" s="1877" t="s">
        <v>4568</v>
      </c>
      <c r="E36" s="1975" t="s">
        <v>4569</v>
      </c>
      <c r="F36" s="1864" t="str">
        <f>CB36&amp;CC36</f>
        <v xml:space="preserve"> * La variable Pueblos Originarios no puede ser mayor al Total. * La variable Migrantes no puede ser mayor al Total.</v>
      </c>
      <c r="CB36" s="3944" t="str">
        <f>IF(AND(C36&gt;0,D36="")," No olvide digitar la variable Pueblos Originarios. Digite cero si no tiene.",IF(D36&gt;C36," * La variable Pueblos Originarios no puede ser mayor al Total.",""))</f>
        <v xml:space="preserve"> * La variable Pueblos Originarios no puede ser mayor al Total.</v>
      </c>
      <c r="CC36" s="3944" t="str">
        <f>IF(AND(C36&gt;0,E36="")," No olvide digitar la variable Migrantes. Digite cero si no tiene.",IF(E36&gt;C36," * La variable Migrantes no puede ser mayor al Total.",""))</f>
        <v xml:space="preserve"> * La variable Migrantes no puede ser mayor al Total.</v>
      </c>
      <c r="CH36" s="3906">
        <f>IF(AND(C36&gt;0,D36=""),1,IF(D36&gt;C36,1,0))</f>
        <v>1</v>
      </c>
      <c r="CI36" s="3906">
        <f>IF(AND(C36&gt;0,E36=""),1,IF(E36&gt;C36,1,0))</f>
        <v>1</v>
      </c>
    </row>
    <row r="37" spans="1:87" ht="18" customHeight="1" x14ac:dyDescent="0.25">
      <c r="B37" s="7186" t="s">
        <v>1982</v>
      </c>
      <c r="C37" s="7186"/>
      <c r="D37" s="7186"/>
      <c r="E37" s="7186"/>
      <c r="F37" s="7186"/>
      <c r="G37" s="7186"/>
      <c r="H37" s="7186"/>
      <c r="I37" s="7186"/>
      <c r="J37" s="7186"/>
      <c r="K37" s="7186"/>
      <c r="L37" s="7186"/>
      <c r="CB37" s="1937"/>
      <c r="CC37" s="1937"/>
    </row>
    <row r="38" spans="1:87" x14ac:dyDescent="0.25">
      <c r="B38" s="7187"/>
      <c r="C38" s="7189" t="s">
        <v>77</v>
      </c>
      <c r="D38" s="7170" t="s">
        <v>1960</v>
      </c>
      <c r="E38" s="7171"/>
      <c r="F38" s="7171"/>
      <c r="G38" s="7171"/>
      <c r="H38" s="7171"/>
      <c r="I38" s="7171"/>
      <c r="J38" s="7171"/>
      <c r="K38" s="7171"/>
      <c r="L38" s="7172"/>
      <c r="M38" s="7191" t="s">
        <v>36</v>
      </c>
      <c r="N38" s="6598" t="s">
        <v>37</v>
      </c>
      <c r="CB38" s="1937"/>
    </row>
    <row r="39" spans="1:87" x14ac:dyDescent="0.25">
      <c r="B39" s="7188"/>
      <c r="C39" s="7190"/>
      <c r="D39" s="4019" t="s">
        <v>94</v>
      </c>
      <c r="E39" s="4020" t="s">
        <v>44</v>
      </c>
      <c r="F39" s="4020" t="s">
        <v>45</v>
      </c>
      <c r="G39" s="4020" t="s">
        <v>46</v>
      </c>
      <c r="H39" s="4020" t="s">
        <v>47</v>
      </c>
      <c r="I39" s="4020" t="s">
        <v>48</v>
      </c>
      <c r="J39" s="4020" t="s">
        <v>49</v>
      </c>
      <c r="K39" s="4020" t="s">
        <v>50</v>
      </c>
      <c r="L39" s="3971" t="s">
        <v>51</v>
      </c>
      <c r="M39" s="6172"/>
      <c r="N39" s="7178"/>
      <c r="CB39" s="1937"/>
    </row>
    <row r="40" spans="1:87" ht="22.5" x14ac:dyDescent="0.25">
      <c r="A40" s="5609">
        <v>11061160</v>
      </c>
      <c r="B40" s="3195" t="s">
        <v>4345</v>
      </c>
      <c r="C40" s="4038" t="s">
        <v>4567</v>
      </c>
      <c r="D40" s="3904" t="s">
        <v>4568</v>
      </c>
      <c r="E40" s="44" t="s">
        <v>4569</v>
      </c>
      <c r="F40" s="44" t="s">
        <v>4570</v>
      </c>
      <c r="G40" s="44" t="s">
        <v>4571</v>
      </c>
      <c r="H40" s="44" t="s">
        <v>4572</v>
      </c>
      <c r="I40" s="44" t="s">
        <v>4573</v>
      </c>
      <c r="J40" s="44" t="s">
        <v>4574</v>
      </c>
      <c r="K40" s="44" t="s">
        <v>4575</v>
      </c>
      <c r="L40" s="1884" t="s">
        <v>4576</v>
      </c>
      <c r="M40" s="336" t="s">
        <v>4577</v>
      </c>
      <c r="N40" s="142" t="s">
        <v>4578</v>
      </c>
      <c r="O40" s="1864" t="str">
        <f>$CB40&amp;CC40</f>
        <v xml:space="preserve"> * La variable Pueblos Originarios no puede ser mayor al Total. * La variable Migrantes no puede ser mayor al Total.</v>
      </c>
      <c r="CB40" s="3944" t="str">
        <f>IF(AND(C40&gt;0,M40="")," No olvide digitar la variable Pueblos Originarios. Digite cero si no tiene.",IF(M40&gt;C40," * La variable Pueblos Originarios no puede ser mayor al Total.",""))</f>
        <v xml:space="preserve"> * La variable Pueblos Originarios no puede ser mayor al Total.</v>
      </c>
      <c r="CC40" s="3944" t="str">
        <f>IF(AND(C40&gt;0,N40="")," No olvide digitar la variable Migrantes. Digite cero si no tiene.",IF(N40&gt;C40," * La variable Migrantes no puede ser mayor al Total.",""))</f>
        <v xml:space="preserve"> * La variable Migrantes no puede ser mayor al Total.</v>
      </c>
      <c r="CH40" s="3906">
        <f>IF(AND(C40&gt;0,M40=""),1,IF(M40&gt;C40,1,0))</f>
        <v>1</v>
      </c>
      <c r="CI40" s="3906">
        <f>IF(AND(C40&gt;0,N40=""),1,IF(N40&gt;C40,1,0))</f>
        <v>1</v>
      </c>
    </row>
    <row r="41" spans="1:87" ht="22.5" x14ac:dyDescent="0.25">
      <c r="A41" s="5609">
        <v>11061170</v>
      </c>
      <c r="B41" s="3195" t="s">
        <v>4346</v>
      </c>
      <c r="C41" s="4038" t="s">
        <v>4567</v>
      </c>
      <c r="D41" s="3904" t="s">
        <v>4568</v>
      </c>
      <c r="E41" s="44" t="s">
        <v>4569</v>
      </c>
      <c r="F41" s="44" t="s">
        <v>4570</v>
      </c>
      <c r="G41" s="44" t="s">
        <v>4571</v>
      </c>
      <c r="H41" s="44" t="s">
        <v>4572</v>
      </c>
      <c r="I41" s="44" t="s">
        <v>4573</v>
      </c>
      <c r="J41" s="44" t="s">
        <v>4574</v>
      </c>
      <c r="K41" s="44" t="s">
        <v>4575</v>
      </c>
      <c r="L41" s="1884" t="s">
        <v>4576</v>
      </c>
      <c r="M41" s="336" t="s">
        <v>4577</v>
      </c>
      <c r="N41" s="142" t="s">
        <v>4578</v>
      </c>
      <c r="O41" s="1864" t="str">
        <f t="shared" ref="O41:O47" si="12">$CB41&amp;CC41</f>
        <v xml:space="preserve"> * La variable Pueblos Originarios no puede ser mayor al Total. * La variable Migrantes no puede ser mayor al Total.</v>
      </c>
      <c r="CB41" s="3944" t="str">
        <f t="shared" ref="CB41:CB47" si="13">IF(AND(C41&gt;0,M41="")," No olvide digitar la variable Pueblos Originarios. Digite cero si no tiene.",IF(M41&gt;C41," * La variable Pueblos Originarios no puede ser mayor al Total.",""))</f>
        <v xml:space="preserve"> * La variable Pueblos Originarios no puede ser mayor al Total.</v>
      </c>
      <c r="CC41" s="3944" t="str">
        <f t="shared" ref="CC41:CC47" si="14">IF(AND(C41&gt;0,N41="")," No olvide digitar la variable Migrantes. Digite cero si no tiene.",IF(N41&gt;C41," * La variable Migrantes no puede ser mayor al Total.",""))</f>
        <v xml:space="preserve"> * La variable Migrantes no puede ser mayor al Total.</v>
      </c>
      <c r="CH41" s="3906">
        <f t="shared" ref="CH41:CH47" si="15">IF(AND(C41&gt;0,M41=""),1,IF(M41&gt;C41,1,0))</f>
        <v>1</v>
      </c>
      <c r="CI41" s="3906">
        <f t="shared" ref="CI41:CI47" si="16">IF(AND(C41&gt;0,N41=""),1,IF(N41&gt;C41,1,0))</f>
        <v>1</v>
      </c>
    </row>
    <row r="42" spans="1:87" ht="22.5" x14ac:dyDescent="0.25">
      <c r="A42" s="5609">
        <v>11061180</v>
      </c>
      <c r="B42" s="3195" t="s">
        <v>4347</v>
      </c>
      <c r="C42" s="4038" t="s">
        <v>4567</v>
      </c>
      <c r="D42" s="3904" t="s">
        <v>4568</v>
      </c>
      <c r="E42" s="44" t="s">
        <v>4569</v>
      </c>
      <c r="F42" s="44" t="s">
        <v>4570</v>
      </c>
      <c r="G42" s="44" t="s">
        <v>4571</v>
      </c>
      <c r="H42" s="44" t="s">
        <v>4572</v>
      </c>
      <c r="I42" s="44" t="s">
        <v>4573</v>
      </c>
      <c r="J42" s="44" t="s">
        <v>4574</v>
      </c>
      <c r="K42" s="44" t="s">
        <v>4575</v>
      </c>
      <c r="L42" s="1884" t="s">
        <v>4576</v>
      </c>
      <c r="M42" s="336" t="s">
        <v>4577</v>
      </c>
      <c r="N42" s="142" t="s">
        <v>4578</v>
      </c>
      <c r="O42" s="1864" t="str">
        <f t="shared" si="12"/>
        <v xml:space="preserve"> * La variable Pueblos Originarios no puede ser mayor al Total. * La variable Migrantes no puede ser mayor al Total.</v>
      </c>
      <c r="CB42" s="3944" t="str">
        <f t="shared" si="13"/>
        <v xml:space="preserve"> * La variable Pueblos Originarios no puede ser mayor al Total.</v>
      </c>
      <c r="CC42" s="3944" t="str">
        <f t="shared" si="14"/>
        <v xml:space="preserve"> * La variable Migrantes no puede ser mayor al Total.</v>
      </c>
      <c r="CH42" s="3906">
        <f t="shared" si="15"/>
        <v>1</v>
      </c>
      <c r="CI42" s="3906">
        <f t="shared" si="16"/>
        <v>1</v>
      </c>
    </row>
    <row r="43" spans="1:87" x14ac:dyDescent="0.25">
      <c r="A43" s="5609">
        <v>11061190</v>
      </c>
      <c r="B43" s="4028" t="s">
        <v>4348</v>
      </c>
      <c r="C43" s="2747" t="s">
        <v>4567</v>
      </c>
      <c r="D43" s="1877" t="s">
        <v>4568</v>
      </c>
      <c r="E43" s="4039" t="s">
        <v>4569</v>
      </c>
      <c r="F43" s="4039" t="s">
        <v>4570</v>
      </c>
      <c r="G43" s="4039" t="s">
        <v>4571</v>
      </c>
      <c r="H43" s="4039" t="s">
        <v>4572</v>
      </c>
      <c r="I43" s="4039" t="s">
        <v>4573</v>
      </c>
      <c r="J43" s="4039" t="s">
        <v>4574</v>
      </c>
      <c r="K43" s="4039" t="s">
        <v>4575</v>
      </c>
      <c r="L43" s="3347" t="s">
        <v>4576</v>
      </c>
      <c r="M43" s="2075" t="s">
        <v>4577</v>
      </c>
      <c r="N43" s="3416" t="s">
        <v>4578</v>
      </c>
      <c r="O43" s="1864" t="str">
        <f t="shared" si="12"/>
        <v xml:space="preserve"> * La variable Pueblos Originarios no puede ser mayor al Total. * La variable Migrantes no puede ser mayor al Total.</v>
      </c>
      <c r="CB43" s="3944" t="str">
        <f t="shared" si="13"/>
        <v xml:space="preserve"> * La variable Pueblos Originarios no puede ser mayor al Total.</v>
      </c>
      <c r="CC43" s="3944" t="str">
        <f t="shared" si="14"/>
        <v xml:space="preserve"> * La variable Migrantes no puede ser mayor al Total.</v>
      </c>
      <c r="CH43" s="3906">
        <f t="shared" si="15"/>
        <v>1</v>
      </c>
      <c r="CI43" s="3906">
        <f t="shared" si="16"/>
        <v>1</v>
      </c>
    </row>
    <row r="44" spans="1:87" ht="22.5" x14ac:dyDescent="0.25">
      <c r="A44" s="5609">
        <v>11061200</v>
      </c>
      <c r="B44" s="3195" t="s">
        <v>4349</v>
      </c>
      <c r="C44" s="4040" t="s">
        <v>4567</v>
      </c>
      <c r="D44" s="44" t="s">
        <v>4568</v>
      </c>
      <c r="E44" s="44" t="s">
        <v>4569</v>
      </c>
      <c r="F44" s="44" t="s">
        <v>4570</v>
      </c>
      <c r="G44" s="44" t="s">
        <v>4571</v>
      </c>
      <c r="H44" s="44" t="s">
        <v>4572</v>
      </c>
      <c r="I44" s="44" t="s">
        <v>4573</v>
      </c>
      <c r="J44" s="44" t="s">
        <v>4574</v>
      </c>
      <c r="K44" s="44" t="s">
        <v>4575</v>
      </c>
      <c r="L44" s="1884" t="s">
        <v>4576</v>
      </c>
      <c r="M44" s="336" t="s">
        <v>4577</v>
      </c>
      <c r="N44" s="142" t="s">
        <v>4578</v>
      </c>
      <c r="O44" s="1864" t="str">
        <f t="shared" si="12"/>
        <v xml:space="preserve"> * La variable Pueblos Originarios no puede ser mayor al Total. * La variable Migrantes no puede ser mayor al Total.</v>
      </c>
      <c r="CB44" s="3944" t="str">
        <f t="shared" si="13"/>
        <v xml:space="preserve"> * La variable Pueblos Originarios no puede ser mayor al Total.</v>
      </c>
      <c r="CC44" s="3944" t="str">
        <f t="shared" si="14"/>
        <v xml:space="preserve"> * La variable Migrantes no puede ser mayor al Total.</v>
      </c>
      <c r="CH44" s="3906">
        <f t="shared" si="15"/>
        <v>1</v>
      </c>
      <c r="CI44" s="3906">
        <f t="shared" si="16"/>
        <v>1</v>
      </c>
    </row>
    <row r="45" spans="1:87" ht="22.5" x14ac:dyDescent="0.25">
      <c r="A45" s="5609">
        <v>11061210</v>
      </c>
      <c r="B45" s="3195" t="s">
        <v>4350</v>
      </c>
      <c r="C45" s="4038" t="s">
        <v>4567</v>
      </c>
      <c r="D45" s="3904" t="s">
        <v>4568</v>
      </c>
      <c r="E45" s="44" t="s">
        <v>4569</v>
      </c>
      <c r="F45" s="44" t="s">
        <v>4570</v>
      </c>
      <c r="G45" s="44" t="s">
        <v>4571</v>
      </c>
      <c r="H45" s="44" t="s">
        <v>4572</v>
      </c>
      <c r="I45" s="44" t="s">
        <v>4573</v>
      </c>
      <c r="J45" s="44" t="s">
        <v>4574</v>
      </c>
      <c r="K45" s="44" t="s">
        <v>4575</v>
      </c>
      <c r="L45" s="1884" t="s">
        <v>4576</v>
      </c>
      <c r="M45" s="336" t="s">
        <v>4577</v>
      </c>
      <c r="N45" s="142" t="s">
        <v>4578</v>
      </c>
      <c r="O45" s="1864" t="str">
        <f t="shared" si="12"/>
        <v xml:space="preserve"> * La variable Pueblos Originarios no puede ser mayor al Total. * La variable Migrantes no puede ser mayor al Total.</v>
      </c>
      <c r="CB45" s="3944" t="str">
        <f t="shared" si="13"/>
        <v xml:space="preserve"> * La variable Pueblos Originarios no puede ser mayor al Total.</v>
      </c>
      <c r="CC45" s="3944" t="str">
        <f t="shared" si="14"/>
        <v xml:space="preserve"> * La variable Migrantes no puede ser mayor al Total.</v>
      </c>
      <c r="CH45" s="3906">
        <f t="shared" si="15"/>
        <v>1</v>
      </c>
      <c r="CI45" s="3906">
        <f t="shared" si="16"/>
        <v>1</v>
      </c>
    </row>
    <row r="46" spans="1:87" ht="22.5" x14ac:dyDescent="0.25">
      <c r="A46" s="5609">
        <v>11061220</v>
      </c>
      <c r="B46" s="3195" t="s">
        <v>4351</v>
      </c>
      <c r="C46" s="4038" t="s">
        <v>4567</v>
      </c>
      <c r="D46" s="3904" t="s">
        <v>4568</v>
      </c>
      <c r="E46" s="44" t="s">
        <v>4569</v>
      </c>
      <c r="F46" s="44" t="s">
        <v>4570</v>
      </c>
      <c r="G46" s="44" t="s">
        <v>4571</v>
      </c>
      <c r="H46" s="44" t="s">
        <v>4572</v>
      </c>
      <c r="I46" s="44" t="s">
        <v>4573</v>
      </c>
      <c r="J46" s="44" t="s">
        <v>4574</v>
      </c>
      <c r="K46" s="44" t="s">
        <v>4575</v>
      </c>
      <c r="L46" s="1884" t="s">
        <v>4576</v>
      </c>
      <c r="M46" s="336" t="s">
        <v>4577</v>
      </c>
      <c r="N46" s="142" t="s">
        <v>4578</v>
      </c>
      <c r="O46" s="1864" t="str">
        <f t="shared" si="12"/>
        <v xml:space="preserve"> * La variable Pueblos Originarios no puede ser mayor al Total. * La variable Migrantes no puede ser mayor al Total.</v>
      </c>
      <c r="CB46" s="3944" t="str">
        <f t="shared" si="13"/>
        <v xml:space="preserve"> * La variable Pueblos Originarios no puede ser mayor al Total.</v>
      </c>
      <c r="CC46" s="3944" t="str">
        <f t="shared" si="14"/>
        <v xml:space="preserve"> * La variable Migrantes no puede ser mayor al Total.</v>
      </c>
      <c r="CH46" s="3906">
        <f t="shared" si="15"/>
        <v>1</v>
      </c>
      <c r="CI46" s="3906">
        <f t="shared" si="16"/>
        <v>1</v>
      </c>
    </row>
    <row r="47" spans="1:87" ht="22.5" x14ac:dyDescent="0.25">
      <c r="A47" s="5609">
        <v>11061230</v>
      </c>
      <c r="B47" s="2674" t="s">
        <v>4352</v>
      </c>
      <c r="C47" s="2747" t="s">
        <v>4567</v>
      </c>
      <c r="D47" s="1877" t="s">
        <v>4568</v>
      </c>
      <c r="E47" s="1877" t="s">
        <v>4569</v>
      </c>
      <c r="F47" s="1877" t="s">
        <v>4570</v>
      </c>
      <c r="G47" s="1877" t="s">
        <v>4571</v>
      </c>
      <c r="H47" s="1877" t="s">
        <v>4572</v>
      </c>
      <c r="I47" s="1877" t="s">
        <v>4573</v>
      </c>
      <c r="J47" s="1877" t="s">
        <v>4574</v>
      </c>
      <c r="K47" s="1877" t="s">
        <v>4575</v>
      </c>
      <c r="L47" s="1878" t="s">
        <v>4576</v>
      </c>
      <c r="M47" s="1879" t="s">
        <v>4577</v>
      </c>
      <c r="N47" s="854" t="s">
        <v>4578</v>
      </c>
      <c r="O47" s="1864" t="str">
        <f t="shared" si="12"/>
        <v xml:space="preserve"> * La variable Pueblos Originarios no puede ser mayor al Total. * La variable Migrantes no puede ser mayor al Total.</v>
      </c>
      <c r="CB47" s="3944" t="str">
        <f t="shared" si="13"/>
        <v xml:space="preserve"> * La variable Pueblos Originarios no puede ser mayor al Total.</v>
      </c>
      <c r="CC47" s="3944" t="str">
        <f t="shared" si="14"/>
        <v xml:space="preserve"> * La variable Migrantes no puede ser mayor al Total.</v>
      </c>
      <c r="CH47" s="3906">
        <f t="shared" si="15"/>
        <v>1</v>
      </c>
      <c r="CI47" s="3906">
        <f t="shared" si="16"/>
        <v>1</v>
      </c>
    </row>
    <row r="48" spans="1:87" ht="18" customHeight="1" x14ac:dyDescent="0.25">
      <c r="A48" s="5548"/>
      <c r="B48" s="7182" t="s">
        <v>1983</v>
      </c>
      <c r="C48" s="7182"/>
      <c r="D48" s="7182"/>
      <c r="E48" s="7182"/>
      <c r="F48" s="7182"/>
      <c r="G48" s="7182"/>
      <c r="H48" s="7182"/>
      <c r="I48" s="7182"/>
      <c r="J48" s="7182"/>
      <c r="K48" s="7182"/>
      <c r="L48" s="7182"/>
      <c r="CB48" s="1937"/>
    </row>
    <row r="49" spans="1:87" ht="21" x14ac:dyDescent="0.25">
      <c r="A49" s="5548"/>
      <c r="B49" s="3963"/>
      <c r="C49" s="3962" t="s">
        <v>77</v>
      </c>
      <c r="D49" s="4034" t="s">
        <v>36</v>
      </c>
      <c r="E49" s="3937" t="s">
        <v>37</v>
      </c>
      <c r="CB49" s="1937"/>
    </row>
    <row r="50" spans="1:87" ht="22.5" x14ac:dyDescent="0.25">
      <c r="A50" s="5609">
        <v>11061240</v>
      </c>
      <c r="B50" s="3195" t="s">
        <v>1984</v>
      </c>
      <c r="C50" s="3943" t="s">
        <v>4567</v>
      </c>
      <c r="D50" s="3904" t="s">
        <v>4568</v>
      </c>
      <c r="E50" s="329" t="s">
        <v>4569</v>
      </c>
      <c r="F50" s="1864" t="str">
        <f>CB50&amp;CC50</f>
        <v xml:space="preserve"> * La variable Pueblos Originarios no puede ser mayor al Total. * La variable Migrantes no puede ser mayor al Total.</v>
      </c>
      <c r="CB50" s="3944" t="str">
        <f>IF(AND(C50&gt;0,D50="")," No olvide digitar la variable Pueblos Originarios. Digite cero si no tiene.",IF(D50&gt;C50," * La variable Pueblos Originarios no puede ser mayor al Total.",""))</f>
        <v xml:space="preserve"> * La variable Pueblos Originarios no puede ser mayor al Total.</v>
      </c>
      <c r="CC50" s="3944" t="str">
        <f>IF(AND(C50&gt;0,E50="")," No olvide digitar la variable Migrantes. Digite cero si no tiene.",IF(E50&gt;C50," * La variable Migrantes no puede ser mayor al Total.",""))</f>
        <v xml:space="preserve"> * La variable Migrantes no puede ser mayor al Total.</v>
      </c>
      <c r="CH50" s="3906">
        <f>IF(AND(C50&gt;0,D50=""),1,IF(D50&gt;C50,1,0))</f>
        <v>1</v>
      </c>
      <c r="CI50" s="3906">
        <f>IF(AND(C50&gt;0,E50=""),1,IF(E50&gt;C50,1,0))</f>
        <v>1</v>
      </c>
    </row>
    <row r="51" spans="1:87" x14ac:dyDescent="0.25">
      <c r="A51" s="5609">
        <v>11061250</v>
      </c>
      <c r="B51" s="3195" t="s">
        <v>1985</v>
      </c>
      <c r="C51" s="3943" t="s">
        <v>4567</v>
      </c>
      <c r="D51" s="3904" t="s">
        <v>4568</v>
      </c>
      <c r="E51" s="329" t="s">
        <v>4569</v>
      </c>
      <c r="F51" s="1864" t="str">
        <f t="shared" ref="F51:F53" si="17">CB51&amp;CC51</f>
        <v xml:space="preserve"> * La variable Pueblos Originarios no puede ser mayor al Total. * La variable Migrantes no puede ser mayor al Total.</v>
      </c>
      <c r="CB51" s="3944" t="str">
        <f t="shared" ref="CB51:CB53" si="18">IF(AND(C51&gt;0,D51="")," No olvide digitar la variable Pueblos Originarios. Digite cero si no tiene.",IF(D51&gt;C51," * La variable Pueblos Originarios no puede ser mayor al Total.",""))</f>
        <v xml:space="preserve"> * La variable Pueblos Originarios no puede ser mayor al Total.</v>
      </c>
      <c r="CC51" s="3944" t="str">
        <f t="shared" ref="CC51:CC53" si="19">IF(AND(C51&gt;0,E51="")," No olvide digitar la variable Migrantes. Digite cero si no tiene.",IF(E51&gt;C51," * La variable Migrantes no puede ser mayor al Total.",""))</f>
        <v xml:space="preserve"> * La variable Migrantes no puede ser mayor al Total.</v>
      </c>
      <c r="CH51" s="3906">
        <f t="shared" ref="CH51:CH53" si="20">IF(AND(C51&gt;0,D51=""),1,IF(D51&gt;C51,1,0))</f>
        <v>1</v>
      </c>
      <c r="CI51" s="3906">
        <f t="shared" ref="CI51:CI53" si="21">IF(AND(C51&gt;0,E51=""),1,IF(E51&gt;C51,1,0))</f>
        <v>1</v>
      </c>
    </row>
    <row r="52" spans="1:87" ht="33" x14ac:dyDescent="0.25">
      <c r="A52" s="5609">
        <v>11061260</v>
      </c>
      <c r="B52" s="3195" t="s">
        <v>1986</v>
      </c>
      <c r="C52" s="3943" t="s">
        <v>4567</v>
      </c>
      <c r="D52" s="3904" t="s">
        <v>4568</v>
      </c>
      <c r="E52" s="329" t="s">
        <v>4569</v>
      </c>
      <c r="F52" s="1864" t="str">
        <f t="shared" si="17"/>
        <v xml:space="preserve"> * La variable Pueblos Originarios no puede ser mayor al Total. * La variable Migrantes no puede ser mayor al Total.</v>
      </c>
      <c r="CB52" s="3944" t="str">
        <f t="shared" si="18"/>
        <v xml:space="preserve"> * La variable Pueblos Originarios no puede ser mayor al Total.</v>
      </c>
      <c r="CC52" s="3944" t="str">
        <f t="shared" si="19"/>
        <v xml:space="preserve"> * La variable Migrantes no puede ser mayor al Total.</v>
      </c>
      <c r="CH52" s="3906">
        <f t="shared" si="20"/>
        <v>1</v>
      </c>
      <c r="CI52" s="3906">
        <f t="shared" si="21"/>
        <v>1</v>
      </c>
    </row>
    <row r="53" spans="1:87" ht="22.5" x14ac:dyDescent="0.25">
      <c r="A53" s="5609">
        <v>11061270</v>
      </c>
      <c r="B53" s="2674" t="s">
        <v>1987</v>
      </c>
      <c r="C53" s="1878" t="s">
        <v>4567</v>
      </c>
      <c r="D53" s="1877" t="s">
        <v>4568</v>
      </c>
      <c r="E53" s="854" t="s">
        <v>4569</v>
      </c>
      <c r="F53" s="1864" t="str">
        <f t="shared" si="17"/>
        <v xml:space="preserve"> * La variable Pueblos Originarios no puede ser mayor al Total. * La variable Migrantes no puede ser mayor al Total.</v>
      </c>
      <c r="CB53" s="3944" t="str">
        <f t="shared" si="18"/>
        <v xml:space="preserve"> * La variable Pueblos Originarios no puede ser mayor al Total.</v>
      </c>
      <c r="CC53" s="3944" t="str">
        <f t="shared" si="19"/>
        <v xml:space="preserve"> * La variable Migrantes no puede ser mayor al Total.</v>
      </c>
      <c r="CH53" s="3906">
        <f t="shared" si="20"/>
        <v>1</v>
      </c>
      <c r="CI53" s="3906">
        <f t="shared" si="21"/>
        <v>1</v>
      </c>
    </row>
    <row r="54" spans="1:87" ht="18" customHeight="1" x14ac:dyDescent="0.25">
      <c r="A54" s="5548"/>
      <c r="B54" s="7183" t="s">
        <v>1988</v>
      </c>
      <c r="C54" s="7183"/>
      <c r="D54" s="7183"/>
      <c r="E54" s="7183"/>
      <c r="CB54" s="1937"/>
    </row>
    <row r="55" spans="1:87" ht="21" x14ac:dyDescent="0.25">
      <c r="A55" s="5548"/>
      <c r="B55" s="4041"/>
      <c r="C55" s="3962" t="s">
        <v>77</v>
      </c>
      <c r="D55" s="4034" t="s">
        <v>36</v>
      </c>
      <c r="E55" s="3937" t="s">
        <v>37</v>
      </c>
      <c r="CB55" s="1937"/>
    </row>
    <row r="56" spans="1:87" ht="22.5" x14ac:dyDescent="0.25">
      <c r="A56" s="5609">
        <v>11061280</v>
      </c>
      <c r="B56" s="3195" t="s">
        <v>1989</v>
      </c>
      <c r="C56" s="3943" t="s">
        <v>4567</v>
      </c>
      <c r="D56" s="3904" t="s">
        <v>4568</v>
      </c>
      <c r="E56" s="329" t="s">
        <v>4569</v>
      </c>
      <c r="F56" s="1864" t="str">
        <f>CB56&amp;CC56</f>
        <v xml:space="preserve"> * La variable Pueblos Originarios no puede ser mayor al Total. * La variable Migrantes no puede ser mayor al Total.</v>
      </c>
      <c r="CB56" s="3944" t="str">
        <f>IF(AND(C56&gt;0,D56="")," No olvide digitar la variable Pueblos Originarios. Digite cero si no tiene.",IF(D56&gt;C56," * La variable Pueblos Originarios no puede ser mayor al Total.",""))</f>
        <v xml:space="preserve"> * La variable Pueblos Originarios no puede ser mayor al Total.</v>
      </c>
      <c r="CC56" s="3944" t="str">
        <f>IF(AND(C56&gt;0,E56="")," No olvide digitar la variable Migrantes. Digite cero si no tiene.",IF(E56&gt;C56," * La variable Migrantes no puede ser mayor al Total.",""))</f>
        <v xml:space="preserve"> * La variable Migrantes no puede ser mayor al Total.</v>
      </c>
      <c r="CH56" s="3906">
        <f>IF(AND(C56&gt;0,D56=""),1,IF(D56&gt;C56,1,0))</f>
        <v>1</v>
      </c>
      <c r="CI56" s="3906">
        <f>IF(AND(C56&gt;0,E56=""),1,IF(E56&gt;C56,1,0))</f>
        <v>1</v>
      </c>
    </row>
    <row r="57" spans="1:87" x14ac:dyDescent="0.25">
      <c r="A57" s="5609">
        <v>11061290</v>
      </c>
      <c r="B57" s="3195" t="s">
        <v>1985</v>
      </c>
      <c r="C57" s="3943" t="s">
        <v>4567</v>
      </c>
      <c r="D57" s="3904" t="s">
        <v>4568</v>
      </c>
      <c r="E57" s="329" t="s">
        <v>4569</v>
      </c>
      <c r="F57" s="1864" t="str">
        <f t="shared" ref="F57:F59" si="22">CB57&amp;CC57</f>
        <v xml:space="preserve"> * La variable Pueblos Originarios no puede ser mayor al Total. * La variable Migrantes no puede ser mayor al Total.</v>
      </c>
      <c r="CB57" s="3944" t="str">
        <f t="shared" ref="CB57:CB59" si="23">IF(AND(C57&gt;0,D57="")," No olvide digitar la variable Pueblos Originarios. Digite cero si no tiene.",IF(D57&gt;C57," * La variable Pueblos Originarios no puede ser mayor al Total.",""))</f>
        <v xml:space="preserve"> * La variable Pueblos Originarios no puede ser mayor al Total.</v>
      </c>
      <c r="CC57" s="3944" t="str">
        <f t="shared" ref="CC57:CC59" si="24">IF(AND(C57&gt;0,E57="")," No olvide digitar la variable Migrantes. Digite cero si no tiene.",IF(E57&gt;C57," * La variable Migrantes no puede ser mayor al Total.",""))</f>
        <v xml:space="preserve"> * La variable Migrantes no puede ser mayor al Total.</v>
      </c>
      <c r="CH57" s="3906">
        <f t="shared" ref="CH57:CH59" si="25">IF(AND(C57&gt;0,D57=""),1,IF(D57&gt;C57,1,0))</f>
        <v>1</v>
      </c>
      <c r="CI57" s="3906">
        <f t="shared" ref="CI57:CI59" si="26">IF(AND(C57&gt;0,E57=""),1,IF(E57&gt;C57,1,0))</f>
        <v>1</v>
      </c>
    </row>
    <row r="58" spans="1:87" ht="33" x14ac:dyDescent="0.25">
      <c r="A58" s="5609">
        <v>11061300</v>
      </c>
      <c r="B58" s="3195" t="s">
        <v>1990</v>
      </c>
      <c r="C58" s="3943" t="s">
        <v>4567</v>
      </c>
      <c r="D58" s="3904" t="s">
        <v>4568</v>
      </c>
      <c r="E58" s="329" t="s">
        <v>4569</v>
      </c>
      <c r="F58" s="1864" t="str">
        <f t="shared" si="22"/>
        <v xml:space="preserve"> * La variable Pueblos Originarios no puede ser mayor al Total. * La variable Migrantes no puede ser mayor al Total.</v>
      </c>
      <c r="CB58" s="3944" t="str">
        <f t="shared" si="23"/>
        <v xml:space="preserve"> * La variable Pueblos Originarios no puede ser mayor al Total.</v>
      </c>
      <c r="CC58" s="3944" t="str">
        <f t="shared" si="24"/>
        <v xml:space="preserve"> * La variable Migrantes no puede ser mayor al Total.</v>
      </c>
      <c r="CH58" s="3906">
        <f t="shared" si="25"/>
        <v>1</v>
      </c>
      <c r="CI58" s="3906">
        <f t="shared" si="26"/>
        <v>1</v>
      </c>
    </row>
    <row r="59" spans="1:87" ht="22.5" x14ac:dyDescent="0.25">
      <c r="A59" s="5609">
        <v>11061310</v>
      </c>
      <c r="B59" s="4028" t="s">
        <v>1991</v>
      </c>
      <c r="C59" s="4037" t="s">
        <v>4567</v>
      </c>
      <c r="D59" s="1879" t="s">
        <v>4568</v>
      </c>
      <c r="E59" s="854" t="s">
        <v>4569</v>
      </c>
      <c r="F59" s="1864" t="str">
        <f t="shared" si="22"/>
        <v xml:space="preserve"> * La variable Pueblos Originarios no puede ser mayor al Total. * La variable Migrantes no puede ser mayor al Total.</v>
      </c>
      <c r="CB59" s="3944" t="str">
        <f t="shared" si="23"/>
        <v xml:space="preserve"> * La variable Pueblos Originarios no puede ser mayor al Total.</v>
      </c>
      <c r="CC59" s="3944" t="str">
        <f t="shared" si="24"/>
        <v xml:space="preserve"> * La variable Migrantes no puede ser mayor al Total.</v>
      </c>
      <c r="CH59" s="3906">
        <f t="shared" si="25"/>
        <v>1</v>
      </c>
      <c r="CI59" s="3906">
        <f t="shared" si="26"/>
        <v>1</v>
      </c>
    </row>
    <row r="60" spans="1:87" ht="18" customHeight="1" x14ac:dyDescent="0.25">
      <c r="B60" s="7186" t="s">
        <v>1992</v>
      </c>
      <c r="C60" s="7186"/>
      <c r="D60" s="7186"/>
      <c r="E60" s="7186"/>
      <c r="F60" s="7186"/>
      <c r="G60" s="7186"/>
      <c r="H60" s="7186"/>
      <c r="I60" s="7186"/>
      <c r="J60" s="7186"/>
      <c r="K60" s="7186"/>
      <c r="L60" s="7186"/>
      <c r="M60" s="6"/>
      <c r="N60" s="6"/>
      <c r="CB60" s="1937"/>
    </row>
    <row r="61" spans="1:87" x14ac:dyDescent="0.25">
      <c r="B61" s="7184"/>
      <c r="C61" s="7151" t="s">
        <v>77</v>
      </c>
      <c r="D61" s="7171" t="s">
        <v>1960</v>
      </c>
      <c r="E61" s="7171"/>
      <c r="F61" s="7171"/>
      <c r="G61" s="7171"/>
      <c r="H61" s="7171"/>
      <c r="I61" s="7171"/>
      <c r="J61" s="7171"/>
      <c r="K61" s="7171"/>
      <c r="L61" s="7172"/>
      <c r="M61" s="7175" t="s">
        <v>36</v>
      </c>
      <c r="N61" s="6598" t="s">
        <v>37</v>
      </c>
      <c r="CB61" s="1937"/>
    </row>
    <row r="62" spans="1:87" x14ac:dyDescent="0.25">
      <c r="B62" s="7185"/>
      <c r="C62" s="7153"/>
      <c r="D62" s="4035" t="s">
        <v>94</v>
      </c>
      <c r="E62" s="4020" t="s">
        <v>44</v>
      </c>
      <c r="F62" s="4020" t="s">
        <v>45</v>
      </c>
      <c r="G62" s="4020" t="s">
        <v>46</v>
      </c>
      <c r="H62" s="4020" t="s">
        <v>47</v>
      </c>
      <c r="I62" s="4020" t="s">
        <v>48</v>
      </c>
      <c r="J62" s="4020" t="s">
        <v>49</v>
      </c>
      <c r="K62" s="4020" t="s">
        <v>50</v>
      </c>
      <c r="L62" s="4042" t="s">
        <v>51</v>
      </c>
      <c r="M62" s="7177"/>
      <c r="N62" s="7178"/>
      <c r="CB62" s="1937"/>
    </row>
    <row r="63" spans="1:87" ht="21" x14ac:dyDescent="0.25">
      <c r="A63" s="5821"/>
      <c r="B63" s="4043" t="s">
        <v>1993</v>
      </c>
      <c r="C63" s="4044"/>
      <c r="D63" s="4045"/>
      <c r="E63" s="4045"/>
      <c r="F63" s="4045"/>
      <c r="G63" s="4045"/>
      <c r="H63" s="4045"/>
      <c r="I63" s="4045"/>
      <c r="J63" s="4045"/>
      <c r="K63" s="4045"/>
      <c r="L63" s="4046"/>
      <c r="M63" s="4047"/>
      <c r="N63" s="4025"/>
      <c r="CB63" s="1937"/>
    </row>
    <row r="64" spans="1:87" x14ac:dyDescent="0.25">
      <c r="A64" s="5609">
        <v>11061320</v>
      </c>
      <c r="B64" s="4026" t="s">
        <v>1994</v>
      </c>
      <c r="C64" s="4048" t="s">
        <v>4567</v>
      </c>
      <c r="D64" s="3953" t="s">
        <v>4568</v>
      </c>
      <c r="E64" s="3953" t="s">
        <v>4569</v>
      </c>
      <c r="F64" s="3953" t="s">
        <v>4570</v>
      </c>
      <c r="G64" s="3953" t="s">
        <v>4571</v>
      </c>
      <c r="H64" s="3953" t="s">
        <v>4572</v>
      </c>
      <c r="I64" s="3953" t="s">
        <v>4573</v>
      </c>
      <c r="J64" s="3953" t="s">
        <v>4574</v>
      </c>
      <c r="K64" s="3953" t="s">
        <v>4575</v>
      </c>
      <c r="L64" s="869" t="s">
        <v>4576</v>
      </c>
      <c r="M64" s="3953" t="s">
        <v>4577</v>
      </c>
      <c r="N64" s="3930" t="s">
        <v>4578</v>
      </c>
      <c r="O64" s="1864" t="str">
        <f t="shared" ref="O64:O73" si="27">$CB64&amp;$CC64</f>
        <v xml:space="preserve"> * La variable Pueblos Originarios no puede ser mayor al Total. * La variable Migrantes no puede ser mayor al Total.</v>
      </c>
      <c r="CB64" s="3944" t="str">
        <f>IF(AND(C64&gt;0,M64="")," No olvide digitar la variable Pueblos Originarios. Digite cero si no tiene.",IF(M64&gt;C64," * La variable Pueblos Originarios no puede ser mayor al Total.",""))</f>
        <v xml:space="preserve"> * La variable Pueblos Originarios no puede ser mayor al Total.</v>
      </c>
      <c r="CC64" s="3944" t="str">
        <f>IF(AND(C64&gt;0,N64="")," No olvide digitar la variable Migrantes. Digite cero si no tiene.",IF(N64&gt;C64," * La variable Migrantes no puede ser mayor al Total.",""))</f>
        <v xml:space="preserve"> * La variable Migrantes no puede ser mayor al Total.</v>
      </c>
      <c r="CH64" s="3906">
        <f>IF(AND(C64&gt;0,M64=""),1,IF(M64&gt;C64,1,0))</f>
        <v>1</v>
      </c>
      <c r="CI64" s="3906">
        <f>IF(AND(C64&gt;0,N64=""),1,IF(N64&gt;C64,1,0))</f>
        <v>1</v>
      </c>
    </row>
    <row r="65" spans="1:87" x14ac:dyDescent="0.25">
      <c r="A65" s="5609">
        <v>11061330</v>
      </c>
      <c r="B65" s="2674" t="s">
        <v>1995</v>
      </c>
      <c r="C65" s="1201" t="s">
        <v>4567</v>
      </c>
      <c r="D65" s="1877" t="s">
        <v>4568</v>
      </c>
      <c r="E65" s="1877" t="s">
        <v>4569</v>
      </c>
      <c r="F65" s="1877" t="s">
        <v>4570</v>
      </c>
      <c r="G65" s="1877" t="s">
        <v>4571</v>
      </c>
      <c r="H65" s="1877" t="s">
        <v>4572</v>
      </c>
      <c r="I65" s="1877" t="s">
        <v>4573</v>
      </c>
      <c r="J65" s="1877" t="s">
        <v>4574</v>
      </c>
      <c r="K65" s="1877" t="s">
        <v>4575</v>
      </c>
      <c r="L65" s="1919" t="s">
        <v>4576</v>
      </c>
      <c r="M65" s="1877" t="s">
        <v>4577</v>
      </c>
      <c r="N65" s="854" t="s">
        <v>4578</v>
      </c>
      <c r="O65" s="1864" t="str">
        <f t="shared" si="27"/>
        <v xml:space="preserve"> * La variable Pueblos Originarios no puede ser mayor al Total. * La variable Migrantes no puede ser mayor al Total.</v>
      </c>
      <c r="CB65" s="3944" t="str">
        <f>IF(AND(C65&gt;0,M65="")," No olvide digitar la variable Pueblos Originarios. Digite cero si no tiene.",IF(M65&gt;C65," * La variable Pueblos Originarios no puede ser mayor al Total.",""))</f>
        <v xml:space="preserve"> * La variable Pueblos Originarios no puede ser mayor al Total.</v>
      </c>
      <c r="CC65" s="3944" t="str">
        <f>IF(AND(C65&gt;0,N65="")," No olvide digitar la variable Migrantes. Digite cero si no tiene.",IF(N65&gt;C65," * La variable Migrantes no puede ser mayor al Total.",""))</f>
        <v xml:space="preserve"> * La variable Migrantes no puede ser mayor al Total.</v>
      </c>
      <c r="CH65" s="3906">
        <f>IF(AND(C65&gt;0,M65=""),1,IF(M65&gt;C65,1,0))</f>
        <v>1</v>
      </c>
      <c r="CI65" s="3906">
        <f>IF(AND(C65&gt;0,N65=""),1,IF(N65&gt;C65,1,0))</f>
        <v>1</v>
      </c>
    </row>
    <row r="66" spans="1:87" ht="21" x14ac:dyDescent="0.25">
      <c r="A66" s="5821"/>
      <c r="B66" s="914" t="s">
        <v>1996</v>
      </c>
      <c r="C66" s="4049"/>
      <c r="D66" s="4050"/>
      <c r="E66" s="4051"/>
      <c r="F66" s="4050"/>
      <c r="G66" s="4051"/>
      <c r="H66" s="4050"/>
      <c r="I66" s="4051"/>
      <c r="J66" s="4050"/>
      <c r="K66" s="4051"/>
      <c r="L66" s="4052"/>
      <c r="M66" s="4053"/>
      <c r="N66" s="3699"/>
      <c r="CB66" s="1937"/>
    </row>
    <row r="67" spans="1:87" x14ac:dyDescent="0.25">
      <c r="A67" s="5609">
        <v>11061340</v>
      </c>
      <c r="B67" s="4026" t="s">
        <v>1997</v>
      </c>
      <c r="C67" s="4048" t="s">
        <v>4567</v>
      </c>
      <c r="D67" s="3953" t="s">
        <v>4568</v>
      </c>
      <c r="E67" s="3953" t="s">
        <v>4569</v>
      </c>
      <c r="F67" s="3953" t="s">
        <v>4570</v>
      </c>
      <c r="G67" s="3953" t="s">
        <v>4571</v>
      </c>
      <c r="H67" s="3953" t="s">
        <v>4572</v>
      </c>
      <c r="I67" s="3953" t="s">
        <v>4573</v>
      </c>
      <c r="J67" s="3953" t="s">
        <v>4574</v>
      </c>
      <c r="K67" s="3953" t="s">
        <v>4575</v>
      </c>
      <c r="L67" s="869" t="s">
        <v>4576</v>
      </c>
      <c r="M67" s="3953" t="s">
        <v>4577</v>
      </c>
      <c r="N67" s="3930" t="s">
        <v>4578</v>
      </c>
      <c r="O67" s="1864" t="str">
        <f t="shared" si="27"/>
        <v xml:space="preserve"> * La variable Pueblos Originarios no puede ser mayor al Total. * La variable Migrantes no puede ser mayor al Total.</v>
      </c>
      <c r="CB67" s="3944" t="str">
        <f>IF(AND(C67&gt;0,M67="")," No olvide digitar la variable Pueblos Originarios. Digite cero si no tiene.",IF(M67&gt;C67," * La variable Pueblos Originarios no puede ser mayor al Total.",""))</f>
        <v xml:space="preserve"> * La variable Pueblos Originarios no puede ser mayor al Total.</v>
      </c>
      <c r="CC67" s="3944" t="str">
        <f t="shared" ref="CC67:CC68" si="28">IF(AND(C67&gt;0,N67="")," No olvide digitar la variable Migrantes. Digite cero si no tiene.",IF(N67&gt;C67," * La variable Migrantes no puede ser mayor al Total.",""))</f>
        <v xml:space="preserve"> * La variable Migrantes no puede ser mayor al Total.</v>
      </c>
      <c r="CH67" s="3906">
        <f>IF(AND(C67&gt;0,M67=""),1,IF(M67&gt;C67,1,0))</f>
        <v>1</v>
      </c>
      <c r="CI67" s="3906">
        <f>IF(AND(C67&gt;0,N67=""),1,IF(N67&gt;C67,1,0))</f>
        <v>1</v>
      </c>
    </row>
    <row r="68" spans="1:87" x14ac:dyDescent="0.25">
      <c r="A68" s="5609">
        <v>11061350</v>
      </c>
      <c r="B68" s="2674" t="s">
        <v>1998</v>
      </c>
      <c r="C68" s="1201" t="s">
        <v>4567</v>
      </c>
      <c r="D68" s="1877" t="s">
        <v>4568</v>
      </c>
      <c r="E68" s="1877" t="s">
        <v>4569</v>
      </c>
      <c r="F68" s="1877" t="s">
        <v>4570</v>
      </c>
      <c r="G68" s="1877" t="s">
        <v>4571</v>
      </c>
      <c r="H68" s="1877" t="s">
        <v>4572</v>
      </c>
      <c r="I68" s="1877" t="s">
        <v>4573</v>
      </c>
      <c r="J68" s="1877" t="s">
        <v>4574</v>
      </c>
      <c r="K68" s="1877" t="s">
        <v>4575</v>
      </c>
      <c r="L68" s="1919" t="s">
        <v>4576</v>
      </c>
      <c r="M68" s="4039" t="s">
        <v>4577</v>
      </c>
      <c r="N68" s="3416" t="s">
        <v>4578</v>
      </c>
      <c r="O68" s="1864" t="str">
        <f t="shared" si="27"/>
        <v xml:space="preserve"> * La variable Pueblos Originarios no puede ser mayor al Total. * La variable Migrantes no puede ser mayor al Total.</v>
      </c>
      <c r="CB68" s="3944" t="str">
        <f>IF(AND(C68&gt;0,M68="")," No olvide digitar la variable Pueblos Originarios. Digite cero si no tiene.",IF(M68&gt;C68," * La variable Pueblos Originarios no puede ser mayor al Total.",""))</f>
        <v xml:space="preserve"> * La variable Pueblos Originarios no puede ser mayor al Total.</v>
      </c>
      <c r="CC68" s="3944" t="str">
        <f t="shared" si="28"/>
        <v xml:space="preserve"> * La variable Migrantes no puede ser mayor al Total.</v>
      </c>
      <c r="CH68" s="3906">
        <f>IF(AND(C68&gt;0,M68=""),1,IF(M68&gt;C68,1,0))</f>
        <v>1</v>
      </c>
      <c r="CI68" s="3906">
        <f>IF(AND(C68&gt;0,N68=""),1,IF(N68&gt;C68,1,0))</f>
        <v>1</v>
      </c>
    </row>
    <row r="69" spans="1:87" ht="21" x14ac:dyDescent="0.25">
      <c r="A69" s="5821"/>
      <c r="B69" s="914" t="s">
        <v>1999</v>
      </c>
      <c r="C69" s="4049"/>
      <c r="D69" s="4050"/>
      <c r="E69" s="4051"/>
      <c r="F69" s="4050"/>
      <c r="G69" s="4051"/>
      <c r="H69" s="4050"/>
      <c r="I69" s="4051"/>
      <c r="J69" s="4050"/>
      <c r="K69" s="4051"/>
      <c r="L69" s="4052"/>
      <c r="M69" s="4054"/>
      <c r="N69" s="3699"/>
      <c r="CB69" s="1937"/>
    </row>
    <row r="70" spans="1:87" x14ac:dyDescent="0.25">
      <c r="A70" s="5609">
        <v>11061360</v>
      </c>
      <c r="B70" s="4026" t="s">
        <v>2000</v>
      </c>
      <c r="C70" s="4048" t="s">
        <v>4567</v>
      </c>
      <c r="D70" s="3953" t="s">
        <v>4568</v>
      </c>
      <c r="E70" s="3953" t="s">
        <v>4569</v>
      </c>
      <c r="F70" s="3953" t="s">
        <v>4570</v>
      </c>
      <c r="G70" s="3953" t="s">
        <v>4571</v>
      </c>
      <c r="H70" s="3953" t="s">
        <v>4572</v>
      </c>
      <c r="I70" s="3953" t="s">
        <v>4573</v>
      </c>
      <c r="J70" s="3953" t="s">
        <v>4574</v>
      </c>
      <c r="K70" s="3953" t="s">
        <v>4575</v>
      </c>
      <c r="L70" s="869" t="s">
        <v>4576</v>
      </c>
      <c r="M70" s="3953" t="s">
        <v>4577</v>
      </c>
      <c r="N70" s="3930" t="s">
        <v>4578</v>
      </c>
      <c r="O70" s="1864" t="str">
        <f t="shared" si="27"/>
        <v xml:space="preserve"> * La variable Pueblos Originarios no puede ser mayor al Total. * La variable Migrantes no puede ser mayor al Total.</v>
      </c>
      <c r="CB70" s="3944" t="str">
        <f>IF(AND(C70&gt;0,M70="")," No olvide digitar la variable Pueblos Originarios. Digite cero si no tiene.",IF(M70&gt;C70," * La variable Pueblos Originarios no puede ser mayor al Total.",""))</f>
        <v xml:space="preserve"> * La variable Pueblos Originarios no puede ser mayor al Total.</v>
      </c>
      <c r="CC70" s="3944" t="str">
        <f t="shared" ref="CC70:CC71" si="29">IF(AND(C70&gt;0,N70="")," No olvide digitar la variable Migrantes. Digite cero si no tiene.",IF(N70&gt;C70," * La variable Migrantes no puede ser mayor al Total.",""))</f>
        <v xml:space="preserve"> * La variable Migrantes no puede ser mayor al Total.</v>
      </c>
      <c r="CH70" s="3906">
        <f t="shared" ref="CH70:CH71" si="30">IF(AND(C70&gt;0,M70=""),1,IF(M70&gt;C70,1,0))</f>
        <v>1</v>
      </c>
      <c r="CI70" s="3906">
        <f t="shared" ref="CI70:CI71" si="31">IF(AND(C70&gt;0,N70=""),1,IF(N70&gt;C70,1,0))</f>
        <v>1</v>
      </c>
    </row>
    <row r="71" spans="1:87" x14ac:dyDescent="0.25">
      <c r="A71" s="5609">
        <v>11061370</v>
      </c>
      <c r="B71" s="2674" t="s">
        <v>2001</v>
      </c>
      <c r="C71" s="1201" t="s">
        <v>4567</v>
      </c>
      <c r="D71" s="1877" t="s">
        <v>4568</v>
      </c>
      <c r="E71" s="1877" t="s">
        <v>4569</v>
      </c>
      <c r="F71" s="1877" t="s">
        <v>4570</v>
      </c>
      <c r="G71" s="1877" t="s">
        <v>4571</v>
      </c>
      <c r="H71" s="1877" t="s">
        <v>4572</v>
      </c>
      <c r="I71" s="1877" t="s">
        <v>4573</v>
      </c>
      <c r="J71" s="1877" t="s">
        <v>4574</v>
      </c>
      <c r="K71" s="1877" t="s">
        <v>4575</v>
      </c>
      <c r="L71" s="1919" t="s">
        <v>4576</v>
      </c>
      <c r="M71" s="1877" t="s">
        <v>4577</v>
      </c>
      <c r="N71" s="854" t="s">
        <v>4578</v>
      </c>
      <c r="O71" s="1864" t="str">
        <f t="shared" si="27"/>
        <v xml:space="preserve"> * La variable Pueblos Originarios no puede ser mayor al Total. * La variable Migrantes no puede ser mayor al Total.</v>
      </c>
      <c r="CB71" s="3944" t="str">
        <f>IF(AND(C71&gt;0,M71="")," No olvide digitar la variable Pueblos Originarios. Digite cero si no tiene.",IF(M71&gt;C71," * La variable Pueblos Originarios no puede ser mayor al Total.",""))</f>
        <v xml:space="preserve"> * La variable Pueblos Originarios no puede ser mayor al Total.</v>
      </c>
      <c r="CC71" s="3944" t="str">
        <f t="shared" si="29"/>
        <v xml:space="preserve"> * La variable Migrantes no puede ser mayor al Total.</v>
      </c>
      <c r="CH71" s="3906">
        <f t="shared" si="30"/>
        <v>1</v>
      </c>
      <c r="CI71" s="3906">
        <f t="shared" si="31"/>
        <v>1</v>
      </c>
    </row>
    <row r="72" spans="1:87" ht="21" x14ac:dyDescent="0.25">
      <c r="A72" s="5821"/>
      <c r="B72" s="914" t="s">
        <v>2002</v>
      </c>
      <c r="C72" s="4049"/>
      <c r="D72" s="4050"/>
      <c r="E72" s="4053"/>
      <c r="F72" s="4050"/>
      <c r="G72" s="4053"/>
      <c r="H72" s="4050"/>
      <c r="I72" s="4053"/>
      <c r="J72" s="4050"/>
      <c r="K72" s="4053"/>
      <c r="L72" s="4052"/>
      <c r="M72" s="4053"/>
      <c r="N72" s="3699"/>
      <c r="CB72" s="1937"/>
    </row>
    <row r="73" spans="1:87" x14ac:dyDescent="0.25">
      <c r="A73" s="5609">
        <v>11061380</v>
      </c>
      <c r="B73" s="4028" t="s">
        <v>2003</v>
      </c>
      <c r="C73" s="4055" t="s">
        <v>4567</v>
      </c>
      <c r="D73" s="4039" t="s">
        <v>4568</v>
      </c>
      <c r="E73" s="4039" t="s">
        <v>4569</v>
      </c>
      <c r="F73" s="4039" t="s">
        <v>4570</v>
      </c>
      <c r="G73" s="4039" t="s">
        <v>4571</v>
      </c>
      <c r="H73" s="4039" t="s">
        <v>4572</v>
      </c>
      <c r="I73" s="4039" t="s">
        <v>4573</v>
      </c>
      <c r="J73" s="4039" t="s">
        <v>4574</v>
      </c>
      <c r="K73" s="4039" t="s">
        <v>4575</v>
      </c>
      <c r="L73" s="325" t="s">
        <v>4576</v>
      </c>
      <c r="M73" s="4039" t="s">
        <v>4577</v>
      </c>
      <c r="N73" s="3416" t="s">
        <v>4578</v>
      </c>
      <c r="O73" s="1864" t="str">
        <f t="shared" si="27"/>
        <v xml:space="preserve"> * La variable Pueblos Originarios no puede ser mayor al Total. * La variable Migrantes no puede ser mayor al Total.</v>
      </c>
      <c r="CB73" s="3944" t="str">
        <f>IF(AND(C73&gt;0,M73="")," No olvide digitar la variable Pueblos Originarios. Digite cero si no tiene.",IF(M73&gt;C73," * La variable Pueblos Originarios no puede ser mayor al Total.",""))</f>
        <v xml:space="preserve"> * La variable Pueblos Originarios no puede ser mayor al Total.</v>
      </c>
      <c r="CC73" s="3944" t="str">
        <f>IF(AND(C73&gt;0,N73="")," No olvide digitar la variable Migrantes. Digite cero si no tiene.",IF(N73&gt;C73," * La variable Migrantes no puede ser mayor al Total.",""))</f>
        <v xml:space="preserve"> * La variable Migrantes no puede ser mayor al Total.</v>
      </c>
      <c r="CH73" s="3906">
        <f>IF(AND(C73&gt;0,M73=""),1,IF(M73&gt;C73,1,0))</f>
        <v>1</v>
      </c>
      <c r="CI73" s="3906">
        <f>IF(AND(C73&gt;0,N73=""),1,IF(N73&gt;C73,1,0))</f>
        <v>1</v>
      </c>
    </row>
    <row r="74" spans="1:87" ht="18" customHeight="1" x14ac:dyDescent="0.25">
      <c r="A74" s="5548"/>
      <c r="B74" s="7183" t="s">
        <v>2004</v>
      </c>
      <c r="C74" s="7183"/>
      <c r="D74" s="7183"/>
      <c r="E74" s="7183"/>
      <c r="F74" s="7183"/>
      <c r="G74" s="7183"/>
      <c r="H74" s="7183"/>
      <c r="I74" s="7183"/>
      <c r="J74" s="7183"/>
      <c r="K74" s="7183"/>
      <c r="L74" s="7183"/>
      <c r="CB74" s="1937"/>
    </row>
    <row r="75" spans="1:87" x14ac:dyDescent="0.25">
      <c r="A75" s="5638"/>
      <c r="B75" s="7184"/>
      <c r="C75" s="7151" t="s">
        <v>77</v>
      </c>
      <c r="D75" s="7171" t="s">
        <v>29</v>
      </c>
      <c r="E75" s="7171"/>
      <c r="F75" s="7171"/>
      <c r="G75" s="7171"/>
      <c r="H75" s="7171"/>
      <c r="I75" s="7171"/>
      <c r="J75" s="7171"/>
      <c r="K75" s="7171"/>
      <c r="L75" s="7172"/>
      <c r="M75" s="7175" t="s">
        <v>36</v>
      </c>
      <c r="N75" s="6598" t="s">
        <v>37</v>
      </c>
      <c r="CB75" s="1937"/>
    </row>
    <row r="76" spans="1:87" x14ac:dyDescent="0.25">
      <c r="A76" s="5638"/>
      <c r="B76" s="7185"/>
      <c r="C76" s="7153"/>
      <c r="D76" s="4035" t="s">
        <v>94</v>
      </c>
      <c r="E76" s="4020" t="s">
        <v>44</v>
      </c>
      <c r="F76" s="4020" t="s">
        <v>45</v>
      </c>
      <c r="G76" s="4020" t="s">
        <v>46</v>
      </c>
      <c r="H76" s="4020" t="s">
        <v>47</v>
      </c>
      <c r="I76" s="4020" t="s">
        <v>48</v>
      </c>
      <c r="J76" s="4020" t="s">
        <v>49</v>
      </c>
      <c r="K76" s="4020" t="s">
        <v>50</v>
      </c>
      <c r="L76" s="4042" t="s">
        <v>51</v>
      </c>
      <c r="M76" s="7177"/>
      <c r="N76" s="7178"/>
      <c r="CB76" s="1937"/>
    </row>
    <row r="77" spans="1:87" ht="22.5" customHeight="1" x14ac:dyDescent="0.25">
      <c r="A77" s="5821"/>
      <c r="B77" s="4056" t="s">
        <v>2005</v>
      </c>
      <c r="C77" s="4057"/>
      <c r="D77" s="4045"/>
      <c r="E77" s="4045"/>
      <c r="F77" s="4045"/>
      <c r="G77" s="4045"/>
      <c r="H77" s="4045"/>
      <c r="I77" s="4045"/>
      <c r="J77" s="4045"/>
      <c r="K77" s="4045"/>
      <c r="L77" s="4058"/>
      <c r="M77" s="4047"/>
      <c r="N77" s="4025"/>
      <c r="CB77" s="1937"/>
    </row>
    <row r="78" spans="1:87" x14ac:dyDescent="0.25">
      <c r="A78" s="5609">
        <v>11061390</v>
      </c>
      <c r="B78" s="3195" t="s">
        <v>2006</v>
      </c>
      <c r="C78" s="359" t="s">
        <v>4567</v>
      </c>
      <c r="D78" s="44" t="s">
        <v>4568</v>
      </c>
      <c r="E78" s="44" t="s">
        <v>4569</v>
      </c>
      <c r="F78" s="44" t="s">
        <v>4570</v>
      </c>
      <c r="G78" s="44" t="s">
        <v>4571</v>
      </c>
      <c r="H78" s="44" t="s">
        <v>4572</v>
      </c>
      <c r="I78" s="44" t="s">
        <v>4573</v>
      </c>
      <c r="J78" s="44" t="s">
        <v>4574</v>
      </c>
      <c r="K78" s="44" t="s">
        <v>4575</v>
      </c>
      <c r="L78" s="1001" t="s">
        <v>4576</v>
      </c>
      <c r="M78" s="44" t="s">
        <v>4577</v>
      </c>
      <c r="N78" s="142" t="s">
        <v>4578</v>
      </c>
      <c r="O78" s="1864" t="str">
        <f t="shared" ref="O78:O88" si="32">$CB78&amp;$CC78</f>
        <v xml:space="preserve"> * La variable Pueblos Originarios no puede ser mayor al Total. * La variable Migrantes no puede ser mayor al Total.</v>
      </c>
      <c r="CB78" s="3944" t="str">
        <f>IF(AND(C78&gt;0,M78="")," No olvide digitar la variable Pueblos Originarios. Digite cero si no tiene.",IF(M78&gt;C78," * La variable Pueblos Originarios no puede ser mayor al Total.",""))</f>
        <v xml:space="preserve"> * La variable Pueblos Originarios no puede ser mayor al Total.</v>
      </c>
      <c r="CC78" s="3944" t="str">
        <f t="shared" ref="CC78:CC80" si="33">IF(AND(C78&gt;0,N78="")," No olvide digitar la variable Migrantes. Digite cero si no tiene.",IF(N78&gt;C78," * La variable Migrantes no puede ser mayor al Total.",""))</f>
        <v xml:space="preserve"> * La variable Migrantes no puede ser mayor al Total.</v>
      </c>
      <c r="CH78" s="3906">
        <f t="shared" ref="CH78:CH80" si="34">IF(AND(C78&gt;0,M78=""),1,IF(M78&gt;C78,1,0))</f>
        <v>1</v>
      </c>
      <c r="CI78" s="3906">
        <f t="shared" ref="CI78:CI80" si="35">IF(AND(C78&gt;0,N78=""),1,IF(N78&gt;C78,1,0))</f>
        <v>1</v>
      </c>
    </row>
    <row r="79" spans="1:87" x14ac:dyDescent="0.25">
      <c r="A79" s="5609">
        <v>11061400</v>
      </c>
      <c r="B79" s="3195" t="s">
        <v>2007</v>
      </c>
      <c r="C79" s="359" t="s">
        <v>4567</v>
      </c>
      <c r="D79" s="44" t="s">
        <v>4568</v>
      </c>
      <c r="E79" s="44" t="s">
        <v>4569</v>
      </c>
      <c r="F79" s="44" t="s">
        <v>4570</v>
      </c>
      <c r="G79" s="44" t="s">
        <v>4571</v>
      </c>
      <c r="H79" s="44" t="s">
        <v>4572</v>
      </c>
      <c r="I79" s="44" t="s">
        <v>4573</v>
      </c>
      <c r="J79" s="44" t="s">
        <v>4574</v>
      </c>
      <c r="K79" s="44" t="s">
        <v>4575</v>
      </c>
      <c r="L79" s="1001" t="s">
        <v>4576</v>
      </c>
      <c r="M79" s="44" t="s">
        <v>4577</v>
      </c>
      <c r="N79" s="142" t="s">
        <v>4578</v>
      </c>
      <c r="O79" s="1864" t="str">
        <f t="shared" si="32"/>
        <v xml:space="preserve"> * La variable Pueblos Originarios no puede ser mayor al Total. * La variable Migrantes no puede ser mayor al Total.</v>
      </c>
      <c r="CB79" s="3944" t="str">
        <f t="shared" ref="CB79:CB80" si="36">IF(AND(C79&gt;0,M79="")," No olvide digitar la variable Pueblos Originarios. Digite cero si no tiene.",IF(M79&gt;C79," * La variable Pueblos Originarios no puede ser mayor al Total.",""))</f>
        <v xml:space="preserve"> * La variable Pueblos Originarios no puede ser mayor al Total.</v>
      </c>
      <c r="CC79" s="3944" t="str">
        <f t="shared" si="33"/>
        <v xml:space="preserve"> * La variable Migrantes no puede ser mayor al Total.</v>
      </c>
      <c r="CH79" s="3906">
        <f t="shared" si="34"/>
        <v>1</v>
      </c>
      <c r="CI79" s="3906">
        <f t="shared" si="35"/>
        <v>1</v>
      </c>
    </row>
    <row r="80" spans="1:87" ht="21" x14ac:dyDescent="0.25">
      <c r="A80" s="5609">
        <v>11061410</v>
      </c>
      <c r="B80" s="4059" t="s">
        <v>2008</v>
      </c>
      <c r="C80" s="4060" t="s">
        <v>4567</v>
      </c>
      <c r="D80" s="1877" t="s">
        <v>4568</v>
      </c>
      <c r="E80" s="1877" t="s">
        <v>4569</v>
      </c>
      <c r="F80" s="1877" t="s">
        <v>4570</v>
      </c>
      <c r="G80" s="1877" t="s">
        <v>4571</v>
      </c>
      <c r="H80" s="1877" t="s">
        <v>4572</v>
      </c>
      <c r="I80" s="1877" t="s">
        <v>4573</v>
      </c>
      <c r="J80" s="1877" t="s">
        <v>4574</v>
      </c>
      <c r="K80" s="1877" t="s">
        <v>4575</v>
      </c>
      <c r="L80" s="1919" t="s">
        <v>4576</v>
      </c>
      <c r="M80" s="1877" t="s">
        <v>4577</v>
      </c>
      <c r="N80" s="854" t="s">
        <v>4578</v>
      </c>
      <c r="O80" s="1864" t="str">
        <f t="shared" si="32"/>
        <v xml:space="preserve"> * La variable Pueblos Originarios no puede ser mayor al Total. * La variable Migrantes no puede ser mayor al Total.</v>
      </c>
      <c r="CB80" s="3944" t="str">
        <f t="shared" si="36"/>
        <v xml:space="preserve"> * La variable Pueblos Originarios no puede ser mayor al Total.</v>
      </c>
      <c r="CC80" s="3944" t="str">
        <f t="shared" si="33"/>
        <v xml:space="preserve"> * La variable Migrantes no puede ser mayor al Total.</v>
      </c>
      <c r="CH80" s="3906">
        <f t="shared" si="34"/>
        <v>1</v>
      </c>
      <c r="CI80" s="3906">
        <f t="shared" si="35"/>
        <v>1</v>
      </c>
    </row>
    <row r="81" spans="1:87" ht="21" customHeight="1" x14ac:dyDescent="0.25">
      <c r="A81" s="5821"/>
      <c r="B81" s="914" t="s">
        <v>2009</v>
      </c>
      <c r="C81" s="4061"/>
      <c r="D81" s="4053"/>
      <c r="E81" s="4053"/>
      <c r="F81" s="4053"/>
      <c r="G81" s="4053"/>
      <c r="H81" s="4053"/>
      <c r="I81" s="4053"/>
      <c r="J81" s="4053"/>
      <c r="K81" s="4053"/>
      <c r="L81" s="4062"/>
      <c r="M81" s="4053"/>
      <c r="N81" s="3699"/>
      <c r="CB81" s="1937"/>
    </row>
    <row r="82" spans="1:87" x14ac:dyDescent="0.25">
      <c r="A82" s="5609">
        <v>11061420</v>
      </c>
      <c r="B82" s="3195" t="s">
        <v>2006</v>
      </c>
      <c r="C82" s="359" t="s">
        <v>4567</v>
      </c>
      <c r="D82" s="44" t="s">
        <v>4568</v>
      </c>
      <c r="E82" s="44" t="s">
        <v>4569</v>
      </c>
      <c r="F82" s="44" t="s">
        <v>4570</v>
      </c>
      <c r="G82" s="44" t="s">
        <v>4571</v>
      </c>
      <c r="H82" s="44" t="s">
        <v>4572</v>
      </c>
      <c r="I82" s="44" t="s">
        <v>4573</v>
      </c>
      <c r="J82" s="44" t="s">
        <v>4574</v>
      </c>
      <c r="K82" s="44" t="s">
        <v>4575</v>
      </c>
      <c r="L82" s="1001" t="s">
        <v>4576</v>
      </c>
      <c r="M82" s="44" t="s">
        <v>4577</v>
      </c>
      <c r="N82" s="142" t="s">
        <v>4578</v>
      </c>
      <c r="O82" s="1864" t="str">
        <f t="shared" si="32"/>
        <v xml:space="preserve"> * La variable Pueblos Originarios no puede ser mayor al Total. * La variable Migrantes no puede ser mayor al Total.</v>
      </c>
      <c r="CB82" s="3944" t="str">
        <f>IF(AND(C82&gt;0,M82="")," No olvide digitar la variable Pueblos Originarios. Digite cero si no tiene.",IF(M82&gt;C82," * La variable Pueblos Originarios no puede ser mayor al Total.",""))</f>
        <v xml:space="preserve"> * La variable Pueblos Originarios no puede ser mayor al Total.</v>
      </c>
      <c r="CC82" s="3944" t="str">
        <f t="shared" ref="CC82:CC84" si="37">IF(AND(C82&gt;0,N82="")," No olvide digitar la variable Migrantes. Digite cero si no tiene.",IF(N82&gt;C82," * La variable Migrantes no puede ser mayor al Total.",""))</f>
        <v xml:space="preserve"> * La variable Migrantes no puede ser mayor al Total.</v>
      </c>
      <c r="CH82" s="3906">
        <f t="shared" ref="CH82:CH84" si="38">IF(AND(C82&gt;0,M82=""),1,IF(M82&gt;C82,1,0))</f>
        <v>1</v>
      </c>
      <c r="CI82" s="3906">
        <f t="shared" ref="CI82:CI84" si="39">IF(AND(C82&gt;0,N82=""),1,IF(N82&gt;C82,1,0))</f>
        <v>1</v>
      </c>
    </row>
    <row r="83" spans="1:87" x14ac:dyDescent="0.25">
      <c r="A83" s="5609">
        <v>11061430</v>
      </c>
      <c r="B83" s="3195" t="s">
        <v>2007</v>
      </c>
      <c r="C83" s="359" t="s">
        <v>4567</v>
      </c>
      <c r="D83" s="44" t="s">
        <v>4568</v>
      </c>
      <c r="E83" s="44" t="s">
        <v>4569</v>
      </c>
      <c r="F83" s="44" t="s">
        <v>4570</v>
      </c>
      <c r="G83" s="44" t="s">
        <v>4571</v>
      </c>
      <c r="H83" s="44" t="s">
        <v>4572</v>
      </c>
      <c r="I83" s="44" t="s">
        <v>4573</v>
      </c>
      <c r="J83" s="44" t="s">
        <v>4574</v>
      </c>
      <c r="K83" s="44" t="s">
        <v>4575</v>
      </c>
      <c r="L83" s="1001" t="s">
        <v>4576</v>
      </c>
      <c r="M83" s="44" t="s">
        <v>4577</v>
      </c>
      <c r="N83" s="142" t="s">
        <v>4578</v>
      </c>
      <c r="O83" s="1864" t="str">
        <f t="shared" si="32"/>
        <v xml:space="preserve"> * La variable Pueblos Originarios no puede ser mayor al Total. * La variable Migrantes no puede ser mayor al Total.</v>
      </c>
      <c r="CB83" s="3944" t="str">
        <f t="shared" ref="CB83:CB84" si="40">IF(AND(C83&gt;0,M83="")," No olvide digitar la variable Pueblos Originarios. Digite cero si no tiene.",IF(M83&gt;C83," * La variable Pueblos Originarios no puede ser mayor al Total.",""))</f>
        <v xml:space="preserve"> * La variable Pueblos Originarios no puede ser mayor al Total.</v>
      </c>
      <c r="CC83" s="3944" t="str">
        <f t="shared" si="37"/>
        <v xml:space="preserve"> * La variable Migrantes no puede ser mayor al Total.</v>
      </c>
      <c r="CH83" s="3906">
        <f t="shared" si="38"/>
        <v>1</v>
      </c>
      <c r="CI83" s="3906">
        <f t="shared" si="39"/>
        <v>1</v>
      </c>
    </row>
    <row r="84" spans="1:87" ht="21" x14ac:dyDescent="0.25">
      <c r="A84" s="5609">
        <v>11061440</v>
      </c>
      <c r="B84" s="4059" t="s">
        <v>2008</v>
      </c>
      <c r="C84" s="4060" t="s">
        <v>4567</v>
      </c>
      <c r="D84" s="1877" t="s">
        <v>4568</v>
      </c>
      <c r="E84" s="1877" t="s">
        <v>4569</v>
      </c>
      <c r="F84" s="1877" t="s">
        <v>4570</v>
      </c>
      <c r="G84" s="1877" t="s">
        <v>4571</v>
      </c>
      <c r="H84" s="1877" t="s">
        <v>4572</v>
      </c>
      <c r="I84" s="1877" t="s">
        <v>4573</v>
      </c>
      <c r="J84" s="1877" t="s">
        <v>4574</v>
      </c>
      <c r="K84" s="1877" t="s">
        <v>4575</v>
      </c>
      <c r="L84" s="1919" t="s">
        <v>4576</v>
      </c>
      <c r="M84" s="1877" t="s">
        <v>4577</v>
      </c>
      <c r="N84" s="854" t="s">
        <v>4578</v>
      </c>
      <c r="O84" s="1864" t="str">
        <f t="shared" si="32"/>
        <v xml:space="preserve"> * La variable Pueblos Originarios no puede ser mayor al Total. * La variable Migrantes no puede ser mayor al Total.</v>
      </c>
      <c r="CB84" s="3944" t="str">
        <f t="shared" si="40"/>
        <v xml:space="preserve"> * La variable Pueblos Originarios no puede ser mayor al Total.</v>
      </c>
      <c r="CC84" s="3944" t="str">
        <f t="shared" si="37"/>
        <v xml:space="preserve"> * La variable Migrantes no puede ser mayor al Total.</v>
      </c>
      <c r="CH84" s="3906">
        <f t="shared" si="38"/>
        <v>1</v>
      </c>
      <c r="CI84" s="3906">
        <f t="shared" si="39"/>
        <v>1</v>
      </c>
    </row>
    <row r="85" spans="1:87" ht="21" customHeight="1" x14ac:dyDescent="0.25">
      <c r="A85" s="5821"/>
      <c r="B85" s="914" t="s">
        <v>2010</v>
      </c>
      <c r="C85" s="4061"/>
      <c r="D85" s="4053"/>
      <c r="E85" s="4053"/>
      <c r="F85" s="4053"/>
      <c r="G85" s="4053"/>
      <c r="H85" s="4053"/>
      <c r="I85" s="4053"/>
      <c r="J85" s="4053"/>
      <c r="K85" s="4053"/>
      <c r="L85" s="4062"/>
      <c r="M85" s="4053"/>
      <c r="N85" s="3699"/>
      <c r="CB85" s="1937"/>
    </row>
    <row r="86" spans="1:87" x14ac:dyDescent="0.25">
      <c r="A86" s="5609">
        <v>11061450</v>
      </c>
      <c r="B86" s="3195" t="s">
        <v>2006</v>
      </c>
      <c r="C86" s="359" t="s">
        <v>4567</v>
      </c>
      <c r="D86" s="44" t="s">
        <v>4568</v>
      </c>
      <c r="E86" s="44" t="s">
        <v>4569</v>
      </c>
      <c r="F86" s="44" t="s">
        <v>4570</v>
      </c>
      <c r="G86" s="44" t="s">
        <v>4571</v>
      </c>
      <c r="H86" s="44" t="s">
        <v>4572</v>
      </c>
      <c r="I86" s="44" t="s">
        <v>4573</v>
      </c>
      <c r="J86" s="44" t="s">
        <v>4574</v>
      </c>
      <c r="K86" s="44" t="s">
        <v>4575</v>
      </c>
      <c r="L86" s="1001" t="s">
        <v>4576</v>
      </c>
      <c r="M86" s="44" t="s">
        <v>4577</v>
      </c>
      <c r="N86" s="142" t="s">
        <v>4578</v>
      </c>
      <c r="O86" s="1864" t="str">
        <f t="shared" si="32"/>
        <v xml:space="preserve"> * La variable Pueblos Originarios no puede ser mayor al Total. * La variable Migrantes no puede ser mayor al Total.</v>
      </c>
      <c r="CB86" s="3944" t="str">
        <f>IF(AND(C86&gt;0,M86="")," No olvide digitar la variable Pueblos Originarios. Digite cero si no tiene.",IF(M86&gt;C86," * La variable Pueblos Originarios no puede ser mayor al Total.",""))</f>
        <v xml:space="preserve"> * La variable Pueblos Originarios no puede ser mayor al Total.</v>
      </c>
      <c r="CC86" s="3944" t="str">
        <f t="shared" ref="CC86:CC88" si="41">IF(AND(C86&gt;0,N86="")," No olvide digitar la variable Migrantes. Digite cero si no tiene.",IF(N86&gt;C86," * La variable Migrantes no puede ser mayor al Total.",""))</f>
        <v xml:space="preserve"> * La variable Migrantes no puede ser mayor al Total.</v>
      </c>
      <c r="CH86" s="3906">
        <f t="shared" ref="CH86:CH88" si="42">IF(AND(C86&gt;0,M86=""),1,IF(M86&gt;C86,1,0))</f>
        <v>1</v>
      </c>
      <c r="CI86" s="3906">
        <f t="shared" ref="CI86:CI88" si="43">IF(AND(C86&gt;0,N86=""),1,IF(N86&gt;C86,1,0))</f>
        <v>1</v>
      </c>
    </row>
    <row r="87" spans="1:87" x14ac:dyDescent="0.25">
      <c r="A87" s="5609">
        <v>11061460</v>
      </c>
      <c r="B87" s="3195" t="s">
        <v>2007</v>
      </c>
      <c r="C87" s="359" t="s">
        <v>4567</v>
      </c>
      <c r="D87" s="44" t="s">
        <v>4568</v>
      </c>
      <c r="E87" s="44" t="s">
        <v>4569</v>
      </c>
      <c r="F87" s="44" t="s">
        <v>4570</v>
      </c>
      <c r="G87" s="44" t="s">
        <v>4571</v>
      </c>
      <c r="H87" s="44" t="s">
        <v>4572</v>
      </c>
      <c r="I87" s="44" t="s">
        <v>4573</v>
      </c>
      <c r="J87" s="44" t="s">
        <v>4574</v>
      </c>
      <c r="K87" s="44" t="s">
        <v>4575</v>
      </c>
      <c r="L87" s="1001" t="s">
        <v>4576</v>
      </c>
      <c r="M87" s="44" t="s">
        <v>4577</v>
      </c>
      <c r="N87" s="142" t="s">
        <v>4578</v>
      </c>
      <c r="O87" s="1864" t="str">
        <f t="shared" si="32"/>
        <v xml:space="preserve"> * La variable Pueblos Originarios no puede ser mayor al Total. * La variable Migrantes no puede ser mayor al Total.</v>
      </c>
      <c r="CB87" s="3944" t="str">
        <f t="shared" ref="CB87:CB88" si="44">IF(AND(C87&gt;0,M87="")," No olvide digitar la variable Pueblos Originarios. Digite cero si no tiene.",IF(M87&gt;C87," * La variable Pueblos Originarios no puede ser mayor al Total.",""))</f>
        <v xml:space="preserve"> * La variable Pueblos Originarios no puede ser mayor al Total.</v>
      </c>
      <c r="CC87" s="3944" t="str">
        <f t="shared" si="41"/>
        <v xml:space="preserve"> * La variable Migrantes no puede ser mayor al Total.</v>
      </c>
      <c r="CH87" s="3906">
        <f t="shared" si="42"/>
        <v>1</v>
      </c>
      <c r="CI87" s="3906">
        <f t="shared" si="43"/>
        <v>1</v>
      </c>
    </row>
    <row r="88" spans="1:87" ht="21" x14ac:dyDescent="0.25">
      <c r="A88" s="5609">
        <v>11061470</v>
      </c>
      <c r="B88" s="4059" t="s">
        <v>2011</v>
      </c>
      <c r="C88" s="4060" t="s">
        <v>4567</v>
      </c>
      <c r="D88" s="1877" t="s">
        <v>4568</v>
      </c>
      <c r="E88" s="1877" t="s">
        <v>4569</v>
      </c>
      <c r="F88" s="1877" t="s">
        <v>4570</v>
      </c>
      <c r="G88" s="1877" t="s">
        <v>4571</v>
      </c>
      <c r="H88" s="1877" t="s">
        <v>4572</v>
      </c>
      <c r="I88" s="1877" t="s">
        <v>4573</v>
      </c>
      <c r="J88" s="1877" t="s">
        <v>4574</v>
      </c>
      <c r="K88" s="1877" t="s">
        <v>4575</v>
      </c>
      <c r="L88" s="1919" t="s">
        <v>4576</v>
      </c>
      <c r="M88" s="4039" t="s">
        <v>4577</v>
      </c>
      <c r="N88" s="3416" t="s">
        <v>4578</v>
      </c>
      <c r="O88" s="1864" t="str">
        <f t="shared" si="32"/>
        <v xml:space="preserve"> * La variable Pueblos Originarios no puede ser mayor al Total. * La variable Migrantes no puede ser mayor al Total.</v>
      </c>
      <c r="CB88" s="3944" t="str">
        <f t="shared" si="44"/>
        <v xml:space="preserve"> * La variable Pueblos Originarios no puede ser mayor al Total.</v>
      </c>
      <c r="CC88" s="3944" t="str">
        <f t="shared" si="41"/>
        <v xml:space="preserve"> * La variable Migrantes no puede ser mayor al Total.</v>
      </c>
      <c r="CH88" s="3906">
        <f t="shared" si="42"/>
        <v>1</v>
      </c>
      <c r="CI88" s="3906">
        <f t="shared" si="43"/>
        <v>1</v>
      </c>
    </row>
    <row r="89" spans="1:87" ht="18" customHeight="1" x14ac:dyDescent="0.25">
      <c r="B89" s="7182" t="s">
        <v>2012</v>
      </c>
      <c r="C89" s="7182"/>
      <c r="D89" s="7182"/>
      <c r="E89" s="7182"/>
      <c r="F89" s="7182"/>
      <c r="G89" s="7182"/>
      <c r="H89" s="7182"/>
      <c r="I89" s="7182"/>
      <c r="J89" s="7182"/>
      <c r="K89" s="7182"/>
      <c r="L89" s="7182"/>
      <c r="CB89" s="1937"/>
    </row>
    <row r="90" spans="1:87" ht="21" x14ac:dyDescent="0.25">
      <c r="B90" s="3963"/>
      <c r="C90" s="3962" t="s">
        <v>77</v>
      </c>
      <c r="D90" s="3964" t="s">
        <v>36</v>
      </c>
      <c r="E90" s="3937" t="s">
        <v>37</v>
      </c>
      <c r="CB90" s="1937"/>
    </row>
    <row r="91" spans="1:87" ht="22.5" x14ac:dyDescent="0.25">
      <c r="A91" s="5609">
        <v>11061480</v>
      </c>
      <c r="B91" s="4026" t="s">
        <v>2013</v>
      </c>
      <c r="C91" s="3344" t="s">
        <v>4567</v>
      </c>
      <c r="D91" s="44" t="s">
        <v>4568</v>
      </c>
      <c r="E91" s="142" t="s">
        <v>4569</v>
      </c>
      <c r="F91" s="1864" t="str">
        <f>CB91&amp;CC91</f>
        <v xml:space="preserve"> * La variable Pueblos Originarios no puede ser mayor al Total. * La variable Migrantes no puede ser mayor al Total.</v>
      </c>
      <c r="CB91" s="3944" t="str">
        <f>IF(AND(C91&gt;0,D91="")," No olvide digitar la variable Pueblos Originarios. Digite cero si no tiene.",IF(D91&gt;C91," * La variable Pueblos Originarios no puede ser mayor al Total.",""))</f>
        <v xml:space="preserve"> * La variable Pueblos Originarios no puede ser mayor al Total.</v>
      </c>
      <c r="CC91" s="3944" t="str">
        <f>IF(AND(C91&gt;0,E91="")," No olvide digitar la variable Migrantes. Digite cero si no tiene.",IF(E91&gt;C91," * La variable Migrantes no puede ser mayor al Total.",""))</f>
        <v xml:space="preserve"> * La variable Migrantes no puede ser mayor al Total.</v>
      </c>
      <c r="CH91" s="3906">
        <f>IF(AND(C91&gt;0,D91=""),1,IF(D91&gt;C91,1,0))</f>
        <v>1</v>
      </c>
      <c r="CI91" s="3906">
        <f>IF(AND(C91&gt;0,E91=""),1,IF(E91&gt;C91,1,0))</f>
        <v>1</v>
      </c>
    </row>
    <row r="92" spans="1:87" ht="21" x14ac:dyDescent="0.25">
      <c r="A92" s="5609">
        <v>11061490</v>
      </c>
      <c r="B92" s="4059" t="s">
        <v>2014</v>
      </c>
      <c r="C92" s="4037" t="s">
        <v>4567</v>
      </c>
      <c r="D92" s="1877" t="s">
        <v>4568</v>
      </c>
      <c r="E92" s="854" t="s">
        <v>4569</v>
      </c>
      <c r="F92" s="1864" t="str">
        <f>CB92&amp;CC92</f>
        <v xml:space="preserve"> * La variable Pueblos Originarios no puede ser mayor al Total. * La variable Migrantes no puede ser mayor al Total.</v>
      </c>
      <c r="CB92" s="3944" t="str">
        <f>IF(AND(C92&gt;0,D92="")," No olvide digitar la variable Pueblos Originarios. Digite cero si no tiene.",IF(D92&gt;C92," * La variable Pueblos Originarios no puede ser mayor al Total.",""))</f>
        <v xml:space="preserve"> * La variable Pueblos Originarios no puede ser mayor al Total.</v>
      </c>
      <c r="CC92" s="3944" t="str">
        <f>IF(AND(C92&gt;0,E92="")," No olvide digitar la variable Migrantes. Digite cero si no tiene.",IF(E92&gt;C92," * La variable Migrantes no puede ser mayor al Total.",""))</f>
        <v xml:space="preserve"> * La variable Migrantes no puede ser mayor al Total.</v>
      </c>
      <c r="CH92" s="3906">
        <f>IF(AND(C92&gt;0,D92=""),1,IF(D92&gt;C92,1,0))</f>
        <v>1</v>
      </c>
      <c r="CI92" s="3906">
        <f>IF(AND(C92&gt;0,E92=""),1,IF(E92&gt;C92,1,0))</f>
        <v>1</v>
      </c>
    </row>
    <row r="93" spans="1:87" ht="18" customHeight="1" x14ac:dyDescent="0.25">
      <c r="A93" s="5548"/>
      <c r="B93" s="7183" t="s">
        <v>2015</v>
      </c>
      <c r="C93" s="7183"/>
      <c r="D93" s="7183"/>
      <c r="E93" s="7183"/>
      <c r="CB93" s="1937"/>
    </row>
    <row r="94" spans="1:87" ht="21" x14ac:dyDescent="0.25">
      <c r="A94" s="5638"/>
      <c r="B94" s="3963"/>
      <c r="C94" s="3962" t="s">
        <v>77</v>
      </c>
      <c r="D94" s="3964" t="s">
        <v>36</v>
      </c>
      <c r="E94" s="3937" t="s">
        <v>37</v>
      </c>
      <c r="CB94" s="1937"/>
    </row>
    <row r="95" spans="1:87" ht="17.25" customHeight="1" x14ac:dyDescent="0.25">
      <c r="A95" s="5609">
        <v>11061500</v>
      </c>
      <c r="B95" s="3195" t="s">
        <v>2016</v>
      </c>
      <c r="C95" s="3344" t="s">
        <v>4567</v>
      </c>
      <c r="D95" s="44" t="s">
        <v>4568</v>
      </c>
      <c r="E95" s="142" t="s">
        <v>4569</v>
      </c>
      <c r="F95" s="1864" t="str">
        <f>CB95&amp;CC95</f>
        <v xml:space="preserve"> * La variable Pueblos Originarios no puede ser mayor al Total. * La variable Migrantes no puede ser mayor al Total.</v>
      </c>
      <c r="CB95" s="3944" t="str">
        <f>IF(AND(C95&gt;0,D95="")," No olvide digitar la variable Pueblos Originarios. Digite cero si no tiene.",IF(D95&gt;C95," * La variable Pueblos Originarios no puede ser mayor al Total.",""))</f>
        <v xml:space="preserve"> * La variable Pueblos Originarios no puede ser mayor al Total.</v>
      </c>
      <c r="CC95" s="3944" t="str">
        <f t="shared" ref="CC95:CC96" si="45">IF(AND(C95&gt;0,E95="")," No olvide digitar la variable Migrantes. Digite cero si no tiene.",IF(E95&gt;C95," * La variable Migrantes no puede ser mayor al Total.",""))</f>
        <v xml:space="preserve"> * La variable Migrantes no puede ser mayor al Total.</v>
      </c>
      <c r="CH95" s="3906">
        <f t="shared" ref="CH95:CH96" si="46">IF(AND(C95&gt;0,D95=""),1,IF(D95&gt;C95,1,0))</f>
        <v>1</v>
      </c>
      <c r="CI95" s="3906">
        <f t="shared" ref="CI95:CI96" si="47">IF(AND(C95&gt;0,E95=""),1,IF(E95&gt;C95,1,0))</f>
        <v>1</v>
      </c>
    </row>
    <row r="96" spans="1:87" ht="22.5" x14ac:dyDescent="0.25">
      <c r="A96" s="5609">
        <v>11061510</v>
      </c>
      <c r="B96" s="2674" t="s">
        <v>2017</v>
      </c>
      <c r="C96" s="4037" t="s">
        <v>4567</v>
      </c>
      <c r="D96" s="1877" t="s">
        <v>4568</v>
      </c>
      <c r="E96" s="854" t="s">
        <v>4569</v>
      </c>
      <c r="F96" s="1864" t="str">
        <f>CB96&amp;CC96</f>
        <v xml:space="preserve"> * La variable Pueblos Originarios no puede ser mayor al Total. * La variable Migrantes no puede ser mayor al Total.</v>
      </c>
      <c r="CB96" s="3944" t="str">
        <f>IF(AND(C96&gt;0,D96="")," No olvide digitar la variable Pueblos Originarios. Digite cero si no tiene.",IF(D96&gt;C96," * La variable Pueblos Originarios no puede ser mayor al Total.",""))</f>
        <v xml:space="preserve"> * La variable Pueblos Originarios no puede ser mayor al Total.</v>
      </c>
      <c r="CC96" s="3944" t="str">
        <f t="shared" si="45"/>
        <v xml:space="preserve"> * La variable Migrantes no puede ser mayor al Total.</v>
      </c>
      <c r="CH96" s="3906">
        <f t="shared" si="46"/>
        <v>1</v>
      </c>
      <c r="CI96" s="3906">
        <f t="shared" si="47"/>
        <v>1</v>
      </c>
    </row>
    <row r="97" spans="1:87" x14ac:dyDescent="0.25">
      <c r="B97" s="7195" t="s">
        <v>2018</v>
      </c>
      <c r="C97" s="7195"/>
      <c r="D97" s="7195"/>
      <c r="E97" s="7195"/>
      <c r="F97" s="7195"/>
      <c r="G97" s="7195"/>
      <c r="H97" s="7195"/>
      <c r="I97" s="7195"/>
      <c r="J97" s="7195"/>
      <c r="K97" s="7195"/>
      <c r="L97" s="7195"/>
      <c r="M97" s="7195"/>
      <c r="N97" s="7195"/>
      <c r="O97" s="7195"/>
      <c r="P97" s="7195"/>
      <c r="Q97" s="7195"/>
      <c r="R97" s="7195"/>
      <c r="S97" s="7195"/>
      <c r="T97" s="1937"/>
      <c r="U97" s="1937"/>
    </row>
    <row r="98" spans="1:87" x14ac:dyDescent="0.25">
      <c r="B98" s="7184" t="s">
        <v>697</v>
      </c>
      <c r="C98" s="7184" t="s">
        <v>77</v>
      </c>
      <c r="D98" s="7158" t="s">
        <v>2019</v>
      </c>
      <c r="E98" s="7158"/>
      <c r="F98" s="7158"/>
      <c r="G98" s="7158"/>
      <c r="H98" s="7158"/>
      <c r="I98" s="7158"/>
      <c r="J98" s="7158"/>
      <c r="K98" s="7158"/>
      <c r="L98" s="7158"/>
      <c r="M98" s="7156"/>
      <c r="N98" s="7191" t="s">
        <v>36</v>
      </c>
      <c r="O98" s="6598" t="s">
        <v>37</v>
      </c>
    </row>
    <row r="99" spans="1:87" ht="21" x14ac:dyDescent="0.25">
      <c r="B99" s="7185"/>
      <c r="C99" s="7185"/>
      <c r="D99" s="3966" t="s">
        <v>94</v>
      </c>
      <c r="E99" s="4063" t="s">
        <v>44</v>
      </c>
      <c r="F99" s="4063" t="s">
        <v>45</v>
      </c>
      <c r="G99" s="4063" t="s">
        <v>46</v>
      </c>
      <c r="H99" s="4063" t="s">
        <v>47</v>
      </c>
      <c r="I99" s="4063" t="s">
        <v>48</v>
      </c>
      <c r="J99" s="4063" t="s">
        <v>49</v>
      </c>
      <c r="K99" s="4063" t="s">
        <v>50</v>
      </c>
      <c r="L99" s="4063" t="s">
        <v>51</v>
      </c>
      <c r="M99" s="3938" t="s">
        <v>704</v>
      </c>
      <c r="N99" s="6172"/>
      <c r="O99" s="7178"/>
    </row>
    <row r="100" spans="1:87" x14ac:dyDescent="0.25">
      <c r="A100" s="5601">
        <v>11057123</v>
      </c>
      <c r="B100" s="4064" t="s">
        <v>2020</v>
      </c>
      <c r="C100" s="3417" t="s">
        <v>4567</v>
      </c>
      <c r="D100" s="290" t="s">
        <v>4568</v>
      </c>
      <c r="E100" s="531" t="s">
        <v>4569</v>
      </c>
      <c r="F100" s="531" t="s">
        <v>4570</v>
      </c>
      <c r="G100" s="531" t="s">
        <v>4571</v>
      </c>
      <c r="H100" s="531" t="s">
        <v>4572</v>
      </c>
      <c r="I100" s="531" t="s">
        <v>4573</v>
      </c>
      <c r="J100" s="531" t="s">
        <v>4574</v>
      </c>
      <c r="K100" s="531" t="s">
        <v>4575</v>
      </c>
      <c r="L100" s="531" t="s">
        <v>4576</v>
      </c>
      <c r="M100" s="61" t="s">
        <v>4577</v>
      </c>
      <c r="N100" s="4065" t="s">
        <v>4578</v>
      </c>
      <c r="O100" s="107" t="s">
        <v>4579</v>
      </c>
      <c r="P100" s="1936" t="s">
        <v>2021</v>
      </c>
      <c r="CB100" s="3944" t="str">
        <f>IF(AND($C100&gt;0,N100="")," No olvide digitar la variable Pueblos Originarios. Digite cero si no tiene.",IF(N100&gt;$C100," * La variable Pueblos Originarios no puede ser mayor al Total.",""))</f>
        <v xml:space="preserve"> * La variable Pueblos Originarios no puede ser mayor al Total.</v>
      </c>
      <c r="CC100" s="3944" t="str">
        <f>IF(AND($C100&gt;0,O100="")," No olvide digitar la variable Migrantes. Digite cero si no tiene.",IF(O100&gt;$C100," * La variable Migrantes no puede ser mayor al Total.",""))</f>
        <v xml:space="preserve"> * La variable Migrantes no puede ser mayor al Total.</v>
      </c>
      <c r="CH100" s="3906">
        <f>IF(AND(C100&gt;0,N100=""),1,IF(N100&gt;C100,1,0))</f>
        <v>1</v>
      </c>
      <c r="CI100" s="3906">
        <f>IF(AND(C100&gt;0,O100=""),1,IF(O100&gt;C100,1,0))</f>
        <v>1</v>
      </c>
    </row>
    <row r="101" spans="1:87" x14ac:dyDescent="0.25">
      <c r="A101" s="5601">
        <v>11057124</v>
      </c>
      <c r="B101" s="4066" t="s">
        <v>2022</v>
      </c>
      <c r="C101" s="4067" t="s">
        <v>4567</v>
      </c>
      <c r="D101" s="4006" t="s">
        <v>4568</v>
      </c>
      <c r="E101" s="368" t="s">
        <v>4569</v>
      </c>
      <c r="F101" s="368" t="s">
        <v>4570</v>
      </c>
      <c r="G101" s="368" t="s">
        <v>4571</v>
      </c>
      <c r="H101" s="368" t="s">
        <v>4572</v>
      </c>
      <c r="I101" s="368" t="s">
        <v>4573</v>
      </c>
      <c r="J101" s="368" t="s">
        <v>4574</v>
      </c>
      <c r="K101" s="368" t="s">
        <v>4575</v>
      </c>
      <c r="L101" s="368" t="s">
        <v>4576</v>
      </c>
      <c r="M101" s="4068" t="s">
        <v>4577</v>
      </c>
      <c r="N101" s="4065" t="s">
        <v>4578</v>
      </c>
      <c r="O101" s="346" t="s">
        <v>4579</v>
      </c>
      <c r="P101" s="1936" t="s">
        <v>2021</v>
      </c>
      <c r="CB101" s="3944" t="str">
        <f t="shared" ref="CB101:CB104" si="48">IF(AND($C101&gt;0,N101="")," No olvide digitar la variable Pueblos Originarios. Digite cero si no tiene.",IF(N101&gt;$C101," * La variable Pueblos Originarios no puede ser mayor al Total.",""))</f>
        <v xml:space="preserve"> * La variable Pueblos Originarios no puede ser mayor al Total.</v>
      </c>
      <c r="CC101" s="3944" t="str">
        <f t="shared" ref="CC101:CC104" si="49">IF(AND($C101&gt;0,O101="")," No olvide digitar la variable Migrantes. Digite cero si no tiene.",IF(O101&gt;$C101," * La variable Migrantes no puede ser mayor al Total.",""))</f>
        <v xml:space="preserve"> * La variable Migrantes no puede ser mayor al Total.</v>
      </c>
      <c r="CH101" s="3906">
        <f t="shared" ref="CH101:CH104" si="50">IF(AND(C101&gt;0,N101=""),1,IF(N101&gt;C101,1,0))</f>
        <v>1</v>
      </c>
      <c r="CI101" s="3906">
        <f t="shared" ref="CI101:CI104" si="51">IF(AND(C101&gt;0,O101=""),1,IF(O101&gt;C101,1,0))</f>
        <v>1</v>
      </c>
    </row>
    <row r="102" spans="1:87" x14ac:dyDescent="0.25">
      <c r="A102" s="5601">
        <v>11057125</v>
      </c>
      <c r="B102" s="4066" t="s">
        <v>2023</v>
      </c>
      <c r="C102" s="4069" t="s">
        <v>4567</v>
      </c>
      <c r="D102" s="4006" t="s">
        <v>4568</v>
      </c>
      <c r="E102" s="368" t="s">
        <v>4569</v>
      </c>
      <c r="F102" s="368" t="s">
        <v>4570</v>
      </c>
      <c r="G102" s="368" t="s">
        <v>4571</v>
      </c>
      <c r="H102" s="368" t="s">
        <v>4572</v>
      </c>
      <c r="I102" s="368" t="s">
        <v>4573</v>
      </c>
      <c r="J102" s="368" t="s">
        <v>4574</v>
      </c>
      <c r="K102" s="368" t="s">
        <v>4575</v>
      </c>
      <c r="L102" s="368" t="s">
        <v>4576</v>
      </c>
      <c r="M102" s="4068" t="s">
        <v>4577</v>
      </c>
      <c r="N102" s="4065" t="s">
        <v>4578</v>
      </c>
      <c r="O102" s="346" t="s">
        <v>4579</v>
      </c>
      <c r="P102" s="1936" t="s">
        <v>2021</v>
      </c>
      <c r="CB102" s="3944" t="str">
        <f t="shared" si="48"/>
        <v xml:space="preserve"> * La variable Pueblos Originarios no puede ser mayor al Total.</v>
      </c>
      <c r="CC102" s="3944" t="str">
        <f t="shared" si="49"/>
        <v xml:space="preserve"> * La variable Migrantes no puede ser mayor al Total.</v>
      </c>
      <c r="CH102" s="3906">
        <f t="shared" si="50"/>
        <v>1</v>
      </c>
      <c r="CI102" s="3906">
        <f t="shared" si="51"/>
        <v>1</v>
      </c>
    </row>
    <row r="103" spans="1:87" ht="21" x14ac:dyDescent="0.25">
      <c r="A103" s="5601">
        <v>11057126</v>
      </c>
      <c r="B103" s="4066" t="s">
        <v>2024</v>
      </c>
      <c r="C103" s="4069" t="s">
        <v>4567</v>
      </c>
      <c r="D103" s="4006" t="s">
        <v>4568</v>
      </c>
      <c r="E103" s="368" t="s">
        <v>4569</v>
      </c>
      <c r="F103" s="368" t="s">
        <v>4570</v>
      </c>
      <c r="G103" s="368" t="s">
        <v>4571</v>
      </c>
      <c r="H103" s="368" t="s">
        <v>4572</v>
      </c>
      <c r="I103" s="368" t="s">
        <v>4573</v>
      </c>
      <c r="J103" s="368" t="s">
        <v>4574</v>
      </c>
      <c r="K103" s="368" t="s">
        <v>4575</v>
      </c>
      <c r="L103" s="368" t="s">
        <v>4576</v>
      </c>
      <c r="M103" s="4068" t="s">
        <v>4577</v>
      </c>
      <c r="N103" s="4065" t="s">
        <v>4578</v>
      </c>
      <c r="O103" s="346" t="s">
        <v>4579</v>
      </c>
      <c r="P103" s="1936" t="s">
        <v>2021</v>
      </c>
      <c r="CB103" s="3944" t="str">
        <f t="shared" si="48"/>
        <v xml:space="preserve"> * La variable Pueblos Originarios no puede ser mayor al Total.</v>
      </c>
      <c r="CC103" s="3944" t="str">
        <f t="shared" si="49"/>
        <v xml:space="preserve"> * La variable Migrantes no puede ser mayor al Total.</v>
      </c>
      <c r="CH103" s="3906">
        <f t="shared" si="50"/>
        <v>1</v>
      </c>
      <c r="CI103" s="3906">
        <f t="shared" si="51"/>
        <v>1</v>
      </c>
    </row>
    <row r="104" spans="1:87" x14ac:dyDescent="0.25">
      <c r="A104" s="5601">
        <v>11057127</v>
      </c>
      <c r="B104" s="4066" t="s">
        <v>2025</v>
      </c>
      <c r="C104" s="4069" t="s">
        <v>4567</v>
      </c>
      <c r="D104" s="192" t="s">
        <v>4568</v>
      </c>
      <c r="E104" s="580" t="s">
        <v>4569</v>
      </c>
      <c r="F104" s="580" t="s">
        <v>4570</v>
      </c>
      <c r="G104" s="580" t="s">
        <v>4571</v>
      </c>
      <c r="H104" s="580" t="s">
        <v>4572</v>
      </c>
      <c r="I104" s="580" t="s">
        <v>4573</v>
      </c>
      <c r="J104" s="580" t="s">
        <v>4574</v>
      </c>
      <c r="K104" s="580" t="s">
        <v>4575</v>
      </c>
      <c r="L104" s="580" t="s">
        <v>4576</v>
      </c>
      <c r="M104" s="375" t="s">
        <v>4577</v>
      </c>
      <c r="N104" s="376" t="s">
        <v>4578</v>
      </c>
      <c r="O104" s="2" t="s">
        <v>4579</v>
      </c>
      <c r="P104" s="1936"/>
      <c r="CB104" s="3944" t="str">
        <f t="shared" si="48"/>
        <v xml:space="preserve"> * La variable Pueblos Originarios no puede ser mayor al Total.</v>
      </c>
      <c r="CC104" s="3944" t="str">
        <f t="shared" si="49"/>
        <v xml:space="preserve"> * La variable Migrantes no puede ser mayor al Total.</v>
      </c>
      <c r="CH104" s="3906">
        <f t="shared" si="50"/>
        <v>1</v>
      </c>
      <c r="CI104" s="3906">
        <f t="shared" si="51"/>
        <v>1</v>
      </c>
    </row>
    <row r="105" spans="1:87" x14ac:dyDescent="0.25">
      <c r="A105" s="5617">
        <v>11061520</v>
      </c>
      <c r="B105" s="4070" t="s">
        <v>2026</v>
      </c>
      <c r="C105" s="4071" t="s">
        <v>4567</v>
      </c>
      <c r="D105" s="379" t="s">
        <v>4568</v>
      </c>
      <c r="E105" s="2872" t="s">
        <v>4569</v>
      </c>
      <c r="F105" s="2872" t="s">
        <v>4570</v>
      </c>
      <c r="G105" s="2872" t="s">
        <v>4571</v>
      </c>
      <c r="H105" s="2872" t="s">
        <v>4572</v>
      </c>
      <c r="I105" s="2872" t="s">
        <v>4573</v>
      </c>
      <c r="J105" s="2872" t="s">
        <v>4574</v>
      </c>
      <c r="K105" s="2872" t="s">
        <v>4575</v>
      </c>
      <c r="L105" s="2872" t="s">
        <v>4576</v>
      </c>
      <c r="M105" s="391" t="s">
        <v>4577</v>
      </c>
      <c r="N105" s="378" t="s">
        <v>4578</v>
      </c>
      <c r="O105" s="387" t="s">
        <v>4579</v>
      </c>
      <c r="P105" s="1936" t="s">
        <v>2021</v>
      </c>
      <c r="CB105" s="3944" t="str">
        <f>IF(AND($C105&gt;0,N105="")," No olvide digitar la variable Pueblos Originarios. Digite cero si no tiene.",IF(N105&gt;$C105," * La variable Pueblos Originarios no puede ser mayor al Total.",""))</f>
        <v xml:space="preserve"> * La variable Pueblos Originarios no puede ser mayor al Total.</v>
      </c>
      <c r="CC105" s="3944" t="str">
        <f>IF(AND($C105&gt;0,O105="")," No olvide digitar la variable Migrantes. Digite cero si no tiene.",IF(O105&gt;$C105," * La variable Migrantes no puede ser mayor al Total.",""))</f>
        <v xml:space="preserve"> * La variable Migrantes no puede ser mayor al Total.</v>
      </c>
      <c r="CH105" s="3906">
        <f>IF(AND(C105&gt;0,N105=""),1,IF(N105&gt;C105,1,0))</f>
        <v>1</v>
      </c>
      <c r="CI105" s="3906">
        <f>IF(AND(C105&gt;0,O105=""),1,IF(O105&gt;C105,1,0))</f>
        <v>1</v>
      </c>
    </row>
    <row r="106" spans="1:87" x14ac:dyDescent="0.25">
      <c r="B106" s="7173" t="s">
        <v>2027</v>
      </c>
      <c r="C106" s="7173"/>
      <c r="D106" s="7173"/>
      <c r="E106" s="7173"/>
      <c r="F106" s="7173"/>
      <c r="G106" s="7173"/>
      <c r="H106" s="7173"/>
      <c r="I106" s="7173"/>
      <c r="J106" s="7173"/>
      <c r="K106" s="7173"/>
      <c r="L106" s="7173"/>
      <c r="M106" s="7173"/>
      <c r="N106" s="7173"/>
      <c r="O106" s="7173"/>
      <c r="P106" s="7179"/>
      <c r="Q106" s="7179"/>
      <c r="R106" s="7179"/>
      <c r="S106" s="7179"/>
      <c r="T106" s="99"/>
      <c r="U106" s="99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</row>
    <row r="107" spans="1:87" x14ac:dyDescent="0.25">
      <c r="B107" s="7184" t="s">
        <v>2028</v>
      </c>
      <c r="C107" s="7184" t="s">
        <v>77</v>
      </c>
      <c r="D107" s="7170" t="s">
        <v>29</v>
      </c>
      <c r="E107" s="7171"/>
      <c r="F107" s="7171"/>
      <c r="G107" s="7171"/>
      <c r="H107" s="7171"/>
      <c r="I107" s="7171"/>
      <c r="J107" s="7171"/>
      <c r="K107" s="7171"/>
      <c r="L107" s="7171"/>
      <c r="M107" s="7171"/>
      <c r="N107" s="7171"/>
      <c r="O107" s="7171"/>
      <c r="P107" s="7171"/>
      <c r="Q107" s="7171"/>
      <c r="R107" s="7171"/>
      <c r="S107" s="7172"/>
      <c r="T107" s="7191" t="s">
        <v>36</v>
      </c>
      <c r="U107" s="6598" t="s">
        <v>37</v>
      </c>
    </row>
    <row r="108" spans="1:87" ht="21" x14ac:dyDescent="0.25">
      <c r="B108" s="7185"/>
      <c r="C108" s="7185"/>
      <c r="D108" s="3966" t="s">
        <v>80</v>
      </c>
      <c r="E108" s="4063" t="s">
        <v>81</v>
      </c>
      <c r="F108" s="4063" t="s">
        <v>82</v>
      </c>
      <c r="G108" s="4063" t="s">
        <v>83</v>
      </c>
      <c r="H108" s="4063" t="s">
        <v>84</v>
      </c>
      <c r="I108" s="4063" t="s">
        <v>2029</v>
      </c>
      <c r="J108" s="4063" t="s">
        <v>86</v>
      </c>
      <c r="K108" s="4063" t="s">
        <v>2030</v>
      </c>
      <c r="L108" s="4063" t="s">
        <v>2031</v>
      </c>
      <c r="M108" s="4063" t="s">
        <v>2032</v>
      </c>
      <c r="N108" s="4063" t="s">
        <v>2033</v>
      </c>
      <c r="O108" s="4063" t="s">
        <v>2034</v>
      </c>
      <c r="P108" s="4063" t="s">
        <v>404</v>
      </c>
      <c r="Q108" s="4072" t="s">
        <v>2035</v>
      </c>
      <c r="R108" s="4072" t="s">
        <v>2036</v>
      </c>
      <c r="S108" s="4073" t="s">
        <v>2037</v>
      </c>
      <c r="T108" s="6172"/>
      <c r="U108" s="7178"/>
    </row>
    <row r="109" spans="1:87" x14ac:dyDescent="0.25">
      <c r="A109" s="5601">
        <v>11057128</v>
      </c>
      <c r="B109" s="4064" t="s">
        <v>2038</v>
      </c>
      <c r="C109" s="3417" t="s">
        <v>4567</v>
      </c>
      <c r="D109" s="3227" t="s">
        <v>4568</v>
      </c>
      <c r="E109" s="750" t="s">
        <v>4569</v>
      </c>
      <c r="F109" s="750" t="s">
        <v>4570</v>
      </c>
      <c r="G109" s="750" t="s">
        <v>4571</v>
      </c>
      <c r="H109" s="750" t="s">
        <v>4572</v>
      </c>
      <c r="I109" s="750" t="s">
        <v>4573</v>
      </c>
      <c r="J109" s="750" t="s">
        <v>4574</v>
      </c>
      <c r="K109" s="750" t="s">
        <v>4575</v>
      </c>
      <c r="L109" s="750" t="s">
        <v>4576</v>
      </c>
      <c r="M109" s="750" t="s">
        <v>4577</v>
      </c>
      <c r="N109" s="750" t="s">
        <v>4578</v>
      </c>
      <c r="O109" s="750" t="s">
        <v>4579</v>
      </c>
      <c r="P109" s="750" t="s">
        <v>4580</v>
      </c>
      <c r="Q109" s="750" t="s">
        <v>4581</v>
      </c>
      <c r="R109" s="750" t="s">
        <v>4582</v>
      </c>
      <c r="S109" s="4074" t="s">
        <v>4583</v>
      </c>
      <c r="T109" s="735" t="s">
        <v>4584</v>
      </c>
      <c r="U109" s="4075" t="s">
        <v>4585</v>
      </c>
      <c r="V109" s="1936" t="s">
        <v>2021</v>
      </c>
      <c r="CB109" s="3944" t="str">
        <f>IF(AND($C109&gt;0,T109="")," No olvide digitar la variable Pueblos Originarios. Digite cero si no tiene.",IF(T109&gt;$C109," * La variable Pueblos Originarios no puede ser mayor al Total.",""))</f>
        <v xml:space="preserve"> * La variable Pueblos Originarios no puede ser mayor al Total.</v>
      </c>
      <c r="CC109" s="3944" t="str">
        <f>IF(AND($C109&gt;0,U109="")," No olvide digitar la variable Migrantes. Digite cero si no tiene.",IF(U109&gt;$C109," * La variable Migrantes no puede ser mayor al Total.",""))</f>
        <v xml:space="preserve"> * La variable Migrantes no puede ser mayor al Total.</v>
      </c>
      <c r="CH109" s="3906">
        <f>IF(AND(C109&gt;0,T109=""),1,IF(T109&gt;C109,1,0))</f>
        <v>1</v>
      </c>
      <c r="CI109" s="3906">
        <f>IF(AND(C109&gt;0,U109=""),1,IF(U109&gt;C109,1,0))</f>
        <v>1</v>
      </c>
    </row>
    <row r="110" spans="1:87" ht="21" x14ac:dyDescent="0.25">
      <c r="A110" s="5601">
        <v>11057129</v>
      </c>
      <c r="B110" s="4066" t="s">
        <v>2039</v>
      </c>
      <c r="C110" s="4076" t="s">
        <v>4567</v>
      </c>
      <c r="D110" s="4006" t="s">
        <v>4568</v>
      </c>
      <c r="E110" s="368" t="s">
        <v>4569</v>
      </c>
      <c r="F110" s="368" t="s">
        <v>4570</v>
      </c>
      <c r="G110" s="368" t="s">
        <v>4571</v>
      </c>
      <c r="H110" s="368" t="s">
        <v>4572</v>
      </c>
      <c r="I110" s="368" t="s">
        <v>4573</v>
      </c>
      <c r="J110" s="368" t="s">
        <v>4574</v>
      </c>
      <c r="K110" s="368" t="s">
        <v>4575</v>
      </c>
      <c r="L110" s="368" t="s">
        <v>4576</v>
      </c>
      <c r="M110" s="368" t="s">
        <v>4577</v>
      </c>
      <c r="N110" s="368" t="s">
        <v>4578</v>
      </c>
      <c r="O110" s="368" t="s">
        <v>4579</v>
      </c>
      <c r="P110" s="368" t="s">
        <v>4580</v>
      </c>
      <c r="Q110" s="368" t="s">
        <v>4581</v>
      </c>
      <c r="R110" s="368" t="s">
        <v>4582</v>
      </c>
      <c r="S110" s="4068" t="s">
        <v>4583</v>
      </c>
      <c r="T110" s="4065" t="s">
        <v>4584</v>
      </c>
      <c r="U110" s="346" t="s">
        <v>4585</v>
      </c>
      <c r="V110" s="1936" t="s">
        <v>2021</v>
      </c>
      <c r="CB110" s="3944" t="str">
        <f t="shared" ref="CB110:CB113" si="52">IF(AND($C110&gt;0,T110="")," No olvide digitar la variable Pueblos Originarios. Digite cero si no tiene.",IF(T110&gt;$C110," * La variable Pueblos Originarios no puede ser mayor al Total.",""))</f>
        <v xml:space="preserve"> * La variable Pueblos Originarios no puede ser mayor al Total.</v>
      </c>
      <c r="CC110" s="3944" t="str">
        <f t="shared" ref="CC110:CC113" si="53">IF(AND($C110&gt;0,U110="")," No olvide digitar la variable Migrantes. Digite cero si no tiene.",IF(U110&gt;$C110," * La variable Migrantes no puede ser mayor al Total.",""))</f>
        <v xml:space="preserve"> * La variable Migrantes no puede ser mayor al Total.</v>
      </c>
      <c r="CH110" s="3906">
        <f t="shared" ref="CH110:CH112" si="54">IF(AND(C110&gt;0,T110=""),1,IF(T110&gt;C110,1,0))</f>
        <v>1</v>
      </c>
      <c r="CI110" s="3906">
        <f t="shared" ref="CI110:CI113" si="55">IF(AND(C110&gt;0,U110=""),1,IF(U110&gt;C110,1,0))</f>
        <v>1</v>
      </c>
    </row>
    <row r="111" spans="1:87" ht="22.5" x14ac:dyDescent="0.25">
      <c r="A111" s="5601">
        <v>11057130</v>
      </c>
      <c r="B111" s="4012" t="s">
        <v>2040</v>
      </c>
      <c r="C111" s="4067" t="s">
        <v>4567</v>
      </c>
      <c r="D111" s="4006" t="s">
        <v>4568</v>
      </c>
      <c r="E111" s="368" t="s">
        <v>4569</v>
      </c>
      <c r="F111" s="368" t="s">
        <v>4570</v>
      </c>
      <c r="G111" s="368" t="s">
        <v>4571</v>
      </c>
      <c r="H111" s="368" t="s">
        <v>4572</v>
      </c>
      <c r="I111" s="368" t="s">
        <v>4573</v>
      </c>
      <c r="J111" s="368" t="s">
        <v>4574</v>
      </c>
      <c r="K111" s="368" t="s">
        <v>4575</v>
      </c>
      <c r="L111" s="368" t="s">
        <v>4576</v>
      </c>
      <c r="M111" s="368" t="s">
        <v>4577</v>
      </c>
      <c r="N111" s="368" t="s">
        <v>4578</v>
      </c>
      <c r="O111" s="368" t="s">
        <v>4579</v>
      </c>
      <c r="P111" s="368" t="s">
        <v>4580</v>
      </c>
      <c r="Q111" s="368" t="s">
        <v>4581</v>
      </c>
      <c r="R111" s="368" t="s">
        <v>4582</v>
      </c>
      <c r="S111" s="4068" t="s">
        <v>4583</v>
      </c>
      <c r="T111" s="4065" t="s">
        <v>4584</v>
      </c>
      <c r="U111" s="346" t="s">
        <v>4585</v>
      </c>
      <c r="V111" s="1936" t="s">
        <v>2021</v>
      </c>
      <c r="CB111" s="3944" t="str">
        <f t="shared" si="52"/>
        <v xml:space="preserve"> * La variable Pueblos Originarios no puede ser mayor al Total.</v>
      </c>
      <c r="CC111" s="3944" t="str">
        <f t="shared" si="53"/>
        <v xml:space="preserve"> * La variable Migrantes no puede ser mayor al Total.</v>
      </c>
      <c r="CH111" s="3906">
        <f t="shared" si="54"/>
        <v>1</v>
      </c>
      <c r="CI111" s="3906">
        <f t="shared" si="55"/>
        <v>1</v>
      </c>
    </row>
    <row r="112" spans="1:87" ht="22.5" x14ac:dyDescent="0.25">
      <c r="A112" s="5601">
        <v>11057131</v>
      </c>
      <c r="B112" s="4077" t="s">
        <v>2041</v>
      </c>
      <c r="C112" s="4069" t="s">
        <v>4567</v>
      </c>
      <c r="D112" s="4006" t="s">
        <v>4568</v>
      </c>
      <c r="E112" s="368" t="s">
        <v>4569</v>
      </c>
      <c r="F112" s="368" t="s">
        <v>4570</v>
      </c>
      <c r="G112" s="368" t="s">
        <v>4571</v>
      </c>
      <c r="H112" s="368" t="s">
        <v>4572</v>
      </c>
      <c r="I112" s="368" t="s">
        <v>4573</v>
      </c>
      <c r="J112" s="368" t="s">
        <v>4574</v>
      </c>
      <c r="K112" s="368" t="s">
        <v>4575</v>
      </c>
      <c r="L112" s="368" t="s">
        <v>4576</v>
      </c>
      <c r="M112" s="368" t="s">
        <v>4577</v>
      </c>
      <c r="N112" s="368" t="s">
        <v>4578</v>
      </c>
      <c r="O112" s="368" t="s">
        <v>4579</v>
      </c>
      <c r="P112" s="368" t="s">
        <v>4580</v>
      </c>
      <c r="Q112" s="368" t="s">
        <v>4581</v>
      </c>
      <c r="R112" s="368" t="s">
        <v>4582</v>
      </c>
      <c r="S112" s="4068" t="s">
        <v>4583</v>
      </c>
      <c r="T112" s="4065" t="s">
        <v>4584</v>
      </c>
      <c r="U112" s="346" t="s">
        <v>4585</v>
      </c>
      <c r="V112" s="1936" t="s">
        <v>2021</v>
      </c>
      <c r="CB112" s="3944" t="str">
        <f t="shared" si="52"/>
        <v xml:space="preserve"> * La variable Pueblos Originarios no puede ser mayor al Total.</v>
      </c>
      <c r="CC112" s="3944" t="str">
        <f t="shared" si="53"/>
        <v xml:space="preserve"> * La variable Migrantes no puede ser mayor al Total.</v>
      </c>
      <c r="CH112" s="3906">
        <f t="shared" si="54"/>
        <v>1</v>
      </c>
      <c r="CI112" s="3906">
        <f t="shared" si="55"/>
        <v>1</v>
      </c>
    </row>
    <row r="113" spans="1:87" ht="22.5" x14ac:dyDescent="0.25">
      <c r="A113" s="5601">
        <v>11057132</v>
      </c>
      <c r="B113" s="4028" t="s">
        <v>2042</v>
      </c>
      <c r="C113" s="4078" t="s">
        <v>4567</v>
      </c>
      <c r="D113" s="1264" t="s">
        <v>4568</v>
      </c>
      <c r="E113" s="262" t="s">
        <v>4569</v>
      </c>
      <c r="F113" s="262" t="s">
        <v>4570</v>
      </c>
      <c r="G113" s="262" t="s">
        <v>4571</v>
      </c>
      <c r="H113" s="262" t="s">
        <v>4572</v>
      </c>
      <c r="I113" s="262" t="s">
        <v>4573</v>
      </c>
      <c r="J113" s="262" t="s">
        <v>4574</v>
      </c>
      <c r="K113" s="262" t="s">
        <v>4575</v>
      </c>
      <c r="L113" s="262" t="s">
        <v>4576</v>
      </c>
      <c r="M113" s="262" t="s">
        <v>4577</v>
      </c>
      <c r="N113" s="262" t="s">
        <v>4578</v>
      </c>
      <c r="O113" s="262" t="s">
        <v>4579</v>
      </c>
      <c r="P113" s="262" t="s">
        <v>4580</v>
      </c>
      <c r="Q113" s="262" t="s">
        <v>4581</v>
      </c>
      <c r="R113" s="262" t="s">
        <v>4582</v>
      </c>
      <c r="S113" s="1448" t="s">
        <v>4583</v>
      </c>
      <c r="T113" s="266" t="s">
        <v>4584</v>
      </c>
      <c r="U113" s="1447" t="s">
        <v>4585</v>
      </c>
      <c r="V113" s="1936" t="s">
        <v>2021</v>
      </c>
      <c r="CB113" s="3944" t="str">
        <f t="shared" si="52"/>
        <v xml:space="preserve"> * La variable Pueblos Originarios no puede ser mayor al Total.</v>
      </c>
      <c r="CC113" s="3944" t="str">
        <f t="shared" si="53"/>
        <v xml:space="preserve"> * La variable Migrantes no puede ser mayor al Total.</v>
      </c>
      <c r="CH113" s="3906">
        <f>IF(AND(C113&gt;0,T113=""),1,IF(T113&gt;C113,1,0))</f>
        <v>1</v>
      </c>
      <c r="CI113" s="3906">
        <f t="shared" si="55"/>
        <v>1</v>
      </c>
    </row>
    <row r="114" spans="1:87" x14ac:dyDescent="0.25">
      <c r="A114" s="5610"/>
      <c r="B114" s="7179" t="s">
        <v>2043</v>
      </c>
      <c r="C114" s="7179"/>
      <c r="D114" s="7179"/>
      <c r="E114" s="7179"/>
      <c r="F114" s="7179"/>
      <c r="G114" s="7179"/>
      <c r="H114" s="7179"/>
      <c r="I114" s="7179"/>
      <c r="J114" s="7179"/>
      <c r="K114" s="7179"/>
      <c r="L114" s="7179"/>
      <c r="M114" s="7179"/>
      <c r="N114" s="7179"/>
      <c r="O114" s="7179"/>
      <c r="P114" s="7179"/>
      <c r="Q114" s="7179"/>
      <c r="R114" s="7179"/>
      <c r="S114" s="7179"/>
      <c r="T114" s="7179"/>
      <c r="U114" s="7179"/>
      <c r="V114" s="7179"/>
      <c r="W114" s="7179"/>
      <c r="X114" s="7179"/>
      <c r="Y114" s="7179"/>
      <c r="Z114" s="7179"/>
      <c r="AA114" s="7179"/>
      <c r="AB114" s="7179"/>
      <c r="AC114" s="7179"/>
      <c r="AD114" s="7179"/>
      <c r="AE114" s="7179"/>
      <c r="AF114" s="7179"/>
      <c r="AG114" s="7179"/>
      <c r="AH114" s="7179"/>
      <c r="AI114" s="7179"/>
      <c r="AJ114" s="7179"/>
      <c r="AK114" s="7179"/>
    </row>
    <row r="115" spans="1:87" x14ac:dyDescent="0.25">
      <c r="A115" s="5610"/>
      <c r="B115" s="7151" t="s">
        <v>697</v>
      </c>
      <c r="C115" s="7174" t="s">
        <v>77</v>
      </c>
      <c r="D115" s="6665"/>
      <c r="E115" s="6598"/>
      <c r="F115" s="7170" t="s">
        <v>101</v>
      </c>
      <c r="G115" s="7171"/>
      <c r="H115" s="7171"/>
      <c r="I115" s="7171"/>
      <c r="J115" s="7171"/>
      <c r="K115" s="7171"/>
      <c r="L115" s="7171"/>
      <c r="M115" s="7171"/>
      <c r="N115" s="7171"/>
      <c r="O115" s="7171"/>
      <c r="P115" s="7171"/>
      <c r="Q115" s="7171"/>
      <c r="R115" s="7171"/>
      <c r="S115" s="7171"/>
      <c r="T115" s="7171"/>
      <c r="U115" s="7171"/>
      <c r="V115" s="7171"/>
      <c r="W115" s="7171"/>
      <c r="X115" s="7171"/>
      <c r="Y115" s="7171"/>
      <c r="Z115" s="7171"/>
      <c r="AA115" s="7171"/>
      <c r="AB115" s="7171"/>
      <c r="AC115" s="7171"/>
      <c r="AD115" s="7171"/>
      <c r="AE115" s="7171"/>
      <c r="AF115" s="7171"/>
      <c r="AG115" s="7171"/>
      <c r="AH115" s="7171"/>
      <c r="AI115" s="7171"/>
      <c r="AJ115" s="7171"/>
      <c r="AK115" s="7196"/>
    </row>
    <row r="116" spans="1:87" x14ac:dyDescent="0.25">
      <c r="A116" s="5610"/>
      <c r="B116" s="7152"/>
      <c r="C116" s="7197" t="s">
        <v>389</v>
      </c>
      <c r="D116" s="6492" t="s">
        <v>58</v>
      </c>
      <c r="E116" s="6511" t="s">
        <v>59</v>
      </c>
      <c r="F116" s="7136" t="s">
        <v>474</v>
      </c>
      <c r="G116" s="7139"/>
      <c r="H116" s="7180" t="s">
        <v>1953</v>
      </c>
      <c r="I116" s="7181"/>
      <c r="J116" s="7180" t="s">
        <v>1954</v>
      </c>
      <c r="K116" s="7181"/>
      <c r="L116" s="7180" t="s">
        <v>303</v>
      </c>
      <c r="M116" s="7181"/>
      <c r="N116" s="7136" t="s">
        <v>44</v>
      </c>
      <c r="O116" s="7139"/>
      <c r="P116" s="7136" t="s">
        <v>45</v>
      </c>
      <c r="Q116" s="7139"/>
      <c r="R116" s="7136" t="s">
        <v>46</v>
      </c>
      <c r="S116" s="7139"/>
      <c r="T116" s="7136" t="s">
        <v>47</v>
      </c>
      <c r="U116" s="7139"/>
      <c r="V116" s="7136" t="s">
        <v>48</v>
      </c>
      <c r="W116" s="7139"/>
      <c r="X116" s="7136" t="s">
        <v>49</v>
      </c>
      <c r="Y116" s="7139"/>
      <c r="Z116" s="7136" t="s">
        <v>50</v>
      </c>
      <c r="AA116" s="7139"/>
      <c r="AB116" s="7136" t="s">
        <v>51</v>
      </c>
      <c r="AC116" s="7139"/>
      <c r="AD116" s="7136" t="s">
        <v>1949</v>
      </c>
      <c r="AE116" s="7139"/>
      <c r="AF116" s="7136" t="s">
        <v>1583</v>
      </c>
      <c r="AG116" s="7139"/>
      <c r="AH116" s="7136" t="s">
        <v>308</v>
      </c>
      <c r="AI116" s="7139"/>
      <c r="AJ116" s="7136" t="s">
        <v>737</v>
      </c>
      <c r="AK116" s="7139"/>
    </row>
    <row r="117" spans="1:87" x14ac:dyDescent="0.25">
      <c r="A117" s="5610"/>
      <c r="B117" s="7153"/>
      <c r="C117" s="6751"/>
      <c r="D117" s="6894"/>
      <c r="E117" s="6955"/>
      <c r="F117" s="3894" t="s">
        <v>58</v>
      </c>
      <c r="G117" s="3893" t="s">
        <v>59</v>
      </c>
      <c r="H117" s="3894" t="s">
        <v>58</v>
      </c>
      <c r="I117" s="3890" t="s">
        <v>59</v>
      </c>
      <c r="J117" s="3894" t="s">
        <v>58</v>
      </c>
      <c r="K117" s="3893" t="s">
        <v>59</v>
      </c>
      <c r="L117" s="3894" t="s">
        <v>58</v>
      </c>
      <c r="M117" s="3893" t="s">
        <v>59</v>
      </c>
      <c r="N117" s="3892" t="s">
        <v>58</v>
      </c>
      <c r="O117" s="3893" t="s">
        <v>59</v>
      </c>
      <c r="P117" s="3894" t="s">
        <v>58</v>
      </c>
      <c r="Q117" s="3893" t="s">
        <v>59</v>
      </c>
      <c r="R117" s="3894" t="s">
        <v>58</v>
      </c>
      <c r="S117" s="3893" t="s">
        <v>59</v>
      </c>
      <c r="T117" s="3894" t="s">
        <v>58</v>
      </c>
      <c r="U117" s="3893" t="s">
        <v>59</v>
      </c>
      <c r="V117" s="3894" t="s">
        <v>58</v>
      </c>
      <c r="W117" s="3893" t="s">
        <v>59</v>
      </c>
      <c r="X117" s="3894" t="s">
        <v>58</v>
      </c>
      <c r="Y117" s="3893" t="s">
        <v>59</v>
      </c>
      <c r="Z117" s="3894" t="s">
        <v>58</v>
      </c>
      <c r="AA117" s="3893" t="s">
        <v>59</v>
      </c>
      <c r="AB117" s="3894" t="s">
        <v>58</v>
      </c>
      <c r="AC117" s="3893" t="s">
        <v>59</v>
      </c>
      <c r="AD117" s="3894" t="s">
        <v>58</v>
      </c>
      <c r="AE117" s="3893" t="s">
        <v>59</v>
      </c>
      <c r="AF117" s="3894" t="s">
        <v>58</v>
      </c>
      <c r="AG117" s="3893" t="s">
        <v>59</v>
      </c>
      <c r="AH117" s="3894" t="s">
        <v>58</v>
      </c>
      <c r="AI117" s="3893" t="s">
        <v>59</v>
      </c>
      <c r="AJ117" s="3894" t="s">
        <v>58</v>
      </c>
      <c r="AK117" s="3893" t="s">
        <v>59</v>
      </c>
    </row>
    <row r="118" spans="1:87" ht="22.5" x14ac:dyDescent="0.25">
      <c r="A118" s="5601">
        <v>11057133</v>
      </c>
      <c r="B118" s="4026" t="s">
        <v>2044</v>
      </c>
      <c r="C118" s="3254" t="s">
        <v>4567</v>
      </c>
      <c r="D118" s="4004" t="s">
        <v>4568</v>
      </c>
      <c r="E118" s="3900" t="s">
        <v>4569</v>
      </c>
      <c r="F118" s="3278" t="s">
        <v>4570</v>
      </c>
      <c r="G118" s="329" t="s">
        <v>4571</v>
      </c>
      <c r="H118" s="3278" t="s">
        <v>4572</v>
      </c>
      <c r="I118" s="329" t="s">
        <v>4573</v>
      </c>
      <c r="J118" s="3278" t="s">
        <v>4574</v>
      </c>
      <c r="K118" s="329" t="s">
        <v>4575</v>
      </c>
      <c r="L118" s="3278" t="s">
        <v>4576</v>
      </c>
      <c r="M118" s="329" t="s">
        <v>4577</v>
      </c>
      <c r="N118" s="3278" t="s">
        <v>4578</v>
      </c>
      <c r="O118" s="329" t="s">
        <v>4579</v>
      </c>
      <c r="P118" s="3278" t="s">
        <v>4580</v>
      </c>
      <c r="Q118" s="329" t="s">
        <v>4581</v>
      </c>
      <c r="R118" s="3278" t="s">
        <v>4582</v>
      </c>
      <c r="S118" s="329" t="s">
        <v>4583</v>
      </c>
      <c r="T118" s="3278" t="s">
        <v>4584</v>
      </c>
      <c r="U118" s="329" t="s">
        <v>4585</v>
      </c>
      <c r="V118" s="3278" t="s">
        <v>4586</v>
      </c>
      <c r="W118" s="329" t="s">
        <v>4587</v>
      </c>
      <c r="X118" s="3278" t="s">
        <v>4588</v>
      </c>
      <c r="Y118" s="329" t="s">
        <v>4589</v>
      </c>
      <c r="Z118" s="3278" t="s">
        <v>4590</v>
      </c>
      <c r="AA118" s="329" t="s">
        <v>4591</v>
      </c>
      <c r="AB118" s="3278" t="s">
        <v>4592</v>
      </c>
      <c r="AC118" s="329" t="s">
        <v>4593</v>
      </c>
      <c r="AD118" s="3913" t="s">
        <v>4594</v>
      </c>
      <c r="AE118" s="329" t="s">
        <v>4595</v>
      </c>
      <c r="AF118" s="3913" t="s">
        <v>4596</v>
      </c>
      <c r="AG118" s="329" t="s">
        <v>4597</v>
      </c>
      <c r="AH118" s="3913" t="s">
        <v>4598</v>
      </c>
      <c r="AI118" s="329" t="s">
        <v>4599</v>
      </c>
      <c r="AJ118" s="3913" t="s">
        <v>4600</v>
      </c>
      <c r="AK118" s="329" t="s">
        <v>4601</v>
      </c>
    </row>
    <row r="119" spans="1:87" ht="22.5" x14ac:dyDescent="0.25">
      <c r="A119" s="5601">
        <v>11057134</v>
      </c>
      <c r="B119" s="4012" t="s">
        <v>2045</v>
      </c>
      <c r="C119" s="4013" t="s">
        <v>4567</v>
      </c>
      <c r="D119" s="4014" t="s">
        <v>4568</v>
      </c>
      <c r="E119" s="3987" t="s">
        <v>4569</v>
      </c>
      <c r="F119" s="3913" t="s">
        <v>4570</v>
      </c>
      <c r="G119" s="329" t="s">
        <v>4571</v>
      </c>
      <c r="H119" s="3913" t="s">
        <v>4572</v>
      </c>
      <c r="I119" s="329" t="s">
        <v>4573</v>
      </c>
      <c r="J119" s="3913" t="s">
        <v>4574</v>
      </c>
      <c r="K119" s="329" t="s">
        <v>4575</v>
      </c>
      <c r="L119" s="3913" t="s">
        <v>4576</v>
      </c>
      <c r="M119" s="329" t="s">
        <v>4577</v>
      </c>
      <c r="N119" s="3913" t="s">
        <v>4578</v>
      </c>
      <c r="O119" s="329" t="s">
        <v>4579</v>
      </c>
      <c r="P119" s="3913" t="s">
        <v>4580</v>
      </c>
      <c r="Q119" s="329" t="s">
        <v>4581</v>
      </c>
      <c r="R119" s="3913" t="s">
        <v>4582</v>
      </c>
      <c r="S119" s="329" t="s">
        <v>4583</v>
      </c>
      <c r="T119" s="3913" t="s">
        <v>4584</v>
      </c>
      <c r="U119" s="329" t="s">
        <v>4585</v>
      </c>
      <c r="V119" s="3913" t="s">
        <v>4586</v>
      </c>
      <c r="W119" s="329" t="s">
        <v>4587</v>
      </c>
      <c r="X119" s="3913" t="s">
        <v>4588</v>
      </c>
      <c r="Y119" s="329" t="s">
        <v>4589</v>
      </c>
      <c r="Z119" s="3913" t="s">
        <v>4590</v>
      </c>
      <c r="AA119" s="329" t="s">
        <v>4591</v>
      </c>
      <c r="AB119" s="3913" t="s">
        <v>4592</v>
      </c>
      <c r="AC119" s="329" t="s">
        <v>4593</v>
      </c>
      <c r="AD119" s="3913" t="s">
        <v>4594</v>
      </c>
      <c r="AE119" s="329" t="s">
        <v>4595</v>
      </c>
      <c r="AF119" s="3913" t="s">
        <v>4596</v>
      </c>
      <c r="AG119" s="329" t="s">
        <v>4597</v>
      </c>
      <c r="AH119" s="3913" t="s">
        <v>4598</v>
      </c>
      <c r="AI119" s="329" t="s">
        <v>4599</v>
      </c>
      <c r="AJ119" s="3913" t="s">
        <v>4600</v>
      </c>
      <c r="AK119" s="329" t="s">
        <v>4601</v>
      </c>
    </row>
    <row r="120" spans="1:87" ht="22.5" x14ac:dyDescent="0.25">
      <c r="A120" s="5601">
        <v>11057135</v>
      </c>
      <c r="B120" s="4012" t="s">
        <v>2046</v>
      </c>
      <c r="C120" s="4013" t="s">
        <v>4567</v>
      </c>
      <c r="D120" s="4014" t="s">
        <v>4568</v>
      </c>
      <c r="E120" s="344" t="s">
        <v>4569</v>
      </c>
      <c r="F120" s="3913" t="s">
        <v>4570</v>
      </c>
      <c r="G120" s="329" t="s">
        <v>4571</v>
      </c>
      <c r="H120" s="3913" t="s">
        <v>4572</v>
      </c>
      <c r="I120" s="329" t="s">
        <v>4573</v>
      </c>
      <c r="J120" s="3913" t="s">
        <v>4574</v>
      </c>
      <c r="K120" s="329" t="s">
        <v>4575</v>
      </c>
      <c r="L120" s="3913" t="s">
        <v>4576</v>
      </c>
      <c r="M120" s="329" t="s">
        <v>4577</v>
      </c>
      <c r="N120" s="3913" t="s">
        <v>4578</v>
      </c>
      <c r="O120" s="329" t="s">
        <v>4579</v>
      </c>
      <c r="P120" s="3913" t="s">
        <v>4580</v>
      </c>
      <c r="Q120" s="329" t="s">
        <v>4581</v>
      </c>
      <c r="R120" s="3913" t="s">
        <v>4582</v>
      </c>
      <c r="S120" s="329" t="s">
        <v>4583</v>
      </c>
      <c r="T120" s="3913" t="s">
        <v>4584</v>
      </c>
      <c r="U120" s="329" t="s">
        <v>4585</v>
      </c>
      <c r="V120" s="3913" t="s">
        <v>4586</v>
      </c>
      <c r="W120" s="329" t="s">
        <v>4587</v>
      </c>
      <c r="X120" s="3913" t="s">
        <v>4588</v>
      </c>
      <c r="Y120" s="329" t="s">
        <v>4589</v>
      </c>
      <c r="Z120" s="3913" t="s">
        <v>4590</v>
      </c>
      <c r="AA120" s="329" t="s">
        <v>4591</v>
      </c>
      <c r="AB120" s="3913" t="s">
        <v>4592</v>
      </c>
      <c r="AC120" s="329" t="s">
        <v>4593</v>
      </c>
      <c r="AD120" s="3913" t="s">
        <v>4594</v>
      </c>
      <c r="AE120" s="329" t="s">
        <v>4595</v>
      </c>
      <c r="AF120" s="3913" t="s">
        <v>4596</v>
      </c>
      <c r="AG120" s="329" t="s">
        <v>4597</v>
      </c>
      <c r="AH120" s="3913" t="s">
        <v>4598</v>
      </c>
      <c r="AI120" s="329" t="s">
        <v>4599</v>
      </c>
      <c r="AJ120" s="3913" t="s">
        <v>4600</v>
      </c>
      <c r="AK120" s="329" t="s">
        <v>4601</v>
      </c>
    </row>
    <row r="121" spans="1:87" ht="22.5" x14ac:dyDescent="0.25">
      <c r="A121" s="5601">
        <v>11057136</v>
      </c>
      <c r="B121" s="4012" t="s">
        <v>2047</v>
      </c>
      <c r="C121" s="4079" t="s">
        <v>4567</v>
      </c>
      <c r="D121" s="4080" t="s">
        <v>4568</v>
      </c>
      <c r="E121" s="3999" t="s">
        <v>4569</v>
      </c>
      <c r="F121" s="326" t="s">
        <v>4570</v>
      </c>
      <c r="G121" s="142" t="s">
        <v>4571</v>
      </c>
      <c r="H121" s="326" t="s">
        <v>4572</v>
      </c>
      <c r="I121" s="142" t="s">
        <v>4573</v>
      </c>
      <c r="J121" s="326" t="s">
        <v>4574</v>
      </c>
      <c r="K121" s="142" t="s">
        <v>4575</v>
      </c>
      <c r="L121" s="326" t="s">
        <v>4576</v>
      </c>
      <c r="M121" s="142" t="s">
        <v>4577</v>
      </c>
      <c r="N121" s="326" t="s">
        <v>4578</v>
      </c>
      <c r="O121" s="142" t="s">
        <v>4579</v>
      </c>
      <c r="P121" s="326" t="s">
        <v>4580</v>
      </c>
      <c r="Q121" s="142" t="s">
        <v>4581</v>
      </c>
      <c r="R121" s="326" t="s">
        <v>4582</v>
      </c>
      <c r="S121" s="142" t="s">
        <v>4583</v>
      </c>
      <c r="T121" s="326" t="s">
        <v>4584</v>
      </c>
      <c r="U121" s="142" t="s">
        <v>4585</v>
      </c>
      <c r="V121" s="326" t="s">
        <v>4586</v>
      </c>
      <c r="W121" s="142" t="s">
        <v>4587</v>
      </c>
      <c r="X121" s="326" t="s">
        <v>4588</v>
      </c>
      <c r="Y121" s="142" t="s">
        <v>4589</v>
      </c>
      <c r="Z121" s="326" t="s">
        <v>4590</v>
      </c>
      <c r="AA121" s="142" t="s">
        <v>4591</v>
      </c>
      <c r="AB121" s="326" t="s">
        <v>4592</v>
      </c>
      <c r="AC121" s="142" t="s">
        <v>4593</v>
      </c>
      <c r="AD121" s="326" t="s">
        <v>4594</v>
      </c>
      <c r="AE121" s="142" t="s">
        <v>4595</v>
      </c>
      <c r="AF121" s="326" t="s">
        <v>4596</v>
      </c>
      <c r="AG121" s="142" t="s">
        <v>4597</v>
      </c>
      <c r="AH121" s="326" t="s">
        <v>4598</v>
      </c>
      <c r="AI121" s="142" t="s">
        <v>4599</v>
      </c>
      <c r="AJ121" s="326" t="s">
        <v>4600</v>
      </c>
      <c r="AK121" s="142" t="s">
        <v>4601</v>
      </c>
    </row>
    <row r="122" spans="1:87" ht="22.5" x14ac:dyDescent="0.25">
      <c r="A122" s="5601">
        <v>11057137</v>
      </c>
      <c r="B122" s="4012" t="s">
        <v>2048</v>
      </c>
      <c r="C122" s="4013" t="s">
        <v>4567</v>
      </c>
      <c r="D122" s="4014" t="s">
        <v>4568</v>
      </c>
      <c r="E122" s="3987" t="s">
        <v>4569</v>
      </c>
      <c r="F122" s="3913" t="s">
        <v>4570</v>
      </c>
      <c r="G122" s="329" t="s">
        <v>4571</v>
      </c>
      <c r="H122" s="3913" t="s">
        <v>4572</v>
      </c>
      <c r="I122" s="329" t="s">
        <v>4573</v>
      </c>
      <c r="J122" s="3913" t="s">
        <v>4574</v>
      </c>
      <c r="K122" s="329" t="s">
        <v>4575</v>
      </c>
      <c r="L122" s="3913" t="s">
        <v>4576</v>
      </c>
      <c r="M122" s="329" t="s">
        <v>4577</v>
      </c>
      <c r="N122" s="3913" t="s">
        <v>4578</v>
      </c>
      <c r="O122" s="329" t="s">
        <v>4579</v>
      </c>
      <c r="P122" s="3913" t="s">
        <v>4580</v>
      </c>
      <c r="Q122" s="329" t="s">
        <v>4581</v>
      </c>
      <c r="R122" s="3913" t="s">
        <v>4582</v>
      </c>
      <c r="S122" s="329" t="s">
        <v>4583</v>
      </c>
      <c r="T122" s="3913" t="s">
        <v>4584</v>
      </c>
      <c r="U122" s="329" t="s">
        <v>4585</v>
      </c>
      <c r="V122" s="3913" t="s">
        <v>4586</v>
      </c>
      <c r="W122" s="329" t="s">
        <v>4587</v>
      </c>
      <c r="X122" s="3913" t="s">
        <v>4588</v>
      </c>
      <c r="Y122" s="329" t="s">
        <v>4589</v>
      </c>
      <c r="Z122" s="3913" t="s">
        <v>4590</v>
      </c>
      <c r="AA122" s="329" t="s">
        <v>4591</v>
      </c>
      <c r="AB122" s="3913" t="s">
        <v>4592</v>
      </c>
      <c r="AC122" s="329" t="s">
        <v>4593</v>
      </c>
      <c r="AD122" s="3913" t="s">
        <v>4594</v>
      </c>
      <c r="AE122" s="329" t="s">
        <v>4595</v>
      </c>
      <c r="AF122" s="3913" t="s">
        <v>4596</v>
      </c>
      <c r="AG122" s="329" t="s">
        <v>4597</v>
      </c>
      <c r="AH122" s="3913" t="s">
        <v>4598</v>
      </c>
      <c r="AI122" s="329" t="s">
        <v>4599</v>
      </c>
      <c r="AJ122" s="3913" t="s">
        <v>4600</v>
      </c>
      <c r="AK122" s="329" t="s">
        <v>4601</v>
      </c>
    </row>
    <row r="123" spans="1:87" ht="22.5" x14ac:dyDescent="0.25">
      <c r="A123" s="5601">
        <v>11057138</v>
      </c>
      <c r="B123" s="3209" t="s">
        <v>2049</v>
      </c>
      <c r="C123" s="4007" t="s">
        <v>4567</v>
      </c>
      <c r="D123" s="4008" t="s">
        <v>4568</v>
      </c>
      <c r="E123" s="4001" t="s">
        <v>4569</v>
      </c>
      <c r="F123" s="853" t="s">
        <v>4570</v>
      </c>
      <c r="G123" s="854" t="s">
        <v>4571</v>
      </c>
      <c r="H123" s="853" t="s">
        <v>4572</v>
      </c>
      <c r="I123" s="854" t="s">
        <v>4573</v>
      </c>
      <c r="J123" s="853" t="s">
        <v>4574</v>
      </c>
      <c r="K123" s="854" t="s">
        <v>4575</v>
      </c>
      <c r="L123" s="853" t="s">
        <v>4576</v>
      </c>
      <c r="M123" s="854" t="s">
        <v>4577</v>
      </c>
      <c r="N123" s="853" t="s">
        <v>4578</v>
      </c>
      <c r="O123" s="854" t="s">
        <v>4579</v>
      </c>
      <c r="P123" s="853" t="s">
        <v>4580</v>
      </c>
      <c r="Q123" s="854" t="s">
        <v>4581</v>
      </c>
      <c r="R123" s="853" t="s">
        <v>4582</v>
      </c>
      <c r="S123" s="854" t="s">
        <v>4583</v>
      </c>
      <c r="T123" s="853" t="s">
        <v>4584</v>
      </c>
      <c r="U123" s="854" t="s">
        <v>4585</v>
      </c>
      <c r="V123" s="853" t="s">
        <v>4586</v>
      </c>
      <c r="W123" s="854" t="s">
        <v>4587</v>
      </c>
      <c r="X123" s="853" t="s">
        <v>4588</v>
      </c>
      <c r="Y123" s="854" t="s">
        <v>4589</v>
      </c>
      <c r="Z123" s="853" t="s">
        <v>4590</v>
      </c>
      <c r="AA123" s="854" t="s">
        <v>4591</v>
      </c>
      <c r="AB123" s="853" t="s">
        <v>4592</v>
      </c>
      <c r="AC123" s="854" t="s">
        <v>4593</v>
      </c>
      <c r="AD123" s="853" t="s">
        <v>4594</v>
      </c>
      <c r="AE123" s="854" t="s">
        <v>4595</v>
      </c>
      <c r="AF123" s="853" t="s">
        <v>4596</v>
      </c>
      <c r="AG123" s="854" t="s">
        <v>4597</v>
      </c>
      <c r="AH123" s="853" t="s">
        <v>4598</v>
      </c>
      <c r="AI123" s="854" t="s">
        <v>4599</v>
      </c>
      <c r="AJ123" s="853" t="s">
        <v>4600</v>
      </c>
      <c r="AK123" s="854" t="s">
        <v>4601</v>
      </c>
    </row>
    <row r="124" spans="1:87" x14ac:dyDescent="0.25">
      <c r="A124" s="5548"/>
    </row>
    <row r="125" spans="1:87" x14ac:dyDescent="0.25">
      <c r="A125" s="5548"/>
    </row>
    <row r="126" spans="1:87" x14ac:dyDescent="0.25">
      <c r="A126" t="s">
        <v>4566</v>
      </c>
    </row>
    <row r="127" spans="1:87" x14ac:dyDescent="0.25">
      <c r="A127" s="5617">
        <v>11061520</v>
      </c>
    </row>
    <row r="150" spans="2:3" hidden="1" x14ac:dyDescent="0.25">
      <c r="B150" s="4081">
        <f>SUM(C12:C13,C15:C16,C18:C19,C22:C23,C27:C32,C35:C36,C40:C47,C50:C53,C56:C59,C64:C65,C67:C68,C70:C71,C73,C78:C80,C82:C84,C86:C88,C91:C92,C95:C96,C100:C105,C109:C113,C118:C123)</f>
        <v>0</v>
      </c>
      <c r="C150" s="4082">
        <f>SUM(CH12:CI113)</f>
        <v>126</v>
      </c>
    </row>
  </sheetData>
  <mergeCells count="72">
    <mergeCell ref="AH116:AI116"/>
    <mergeCell ref="X116:Y116"/>
    <mergeCell ref="Z116:AA116"/>
    <mergeCell ref="AB116:AC116"/>
    <mergeCell ref="AD116:AE116"/>
    <mergeCell ref="AF116:AG116"/>
    <mergeCell ref="B115:B117"/>
    <mergeCell ref="C115:E115"/>
    <mergeCell ref="F115:AK115"/>
    <mergeCell ref="C116:C117"/>
    <mergeCell ref="D116:D117"/>
    <mergeCell ref="E116:E117"/>
    <mergeCell ref="F116:G116"/>
    <mergeCell ref="H116:I116"/>
    <mergeCell ref="J116:K116"/>
    <mergeCell ref="L116:M116"/>
    <mergeCell ref="AJ116:AK116"/>
    <mergeCell ref="N116:O116"/>
    <mergeCell ref="P116:Q116"/>
    <mergeCell ref="R116:S116"/>
    <mergeCell ref="T116:U116"/>
    <mergeCell ref="V116:W116"/>
    <mergeCell ref="B97:S97"/>
    <mergeCell ref="B114:AK114"/>
    <mergeCell ref="B98:B99"/>
    <mergeCell ref="C98:C99"/>
    <mergeCell ref="D98:M98"/>
    <mergeCell ref="N98:N99"/>
    <mergeCell ref="O98:O99"/>
    <mergeCell ref="B106:S106"/>
    <mergeCell ref="B107:B108"/>
    <mergeCell ref="C107:C108"/>
    <mergeCell ref="D107:S107"/>
    <mergeCell ref="T107:T108"/>
    <mergeCell ref="U107:U108"/>
    <mergeCell ref="B6:N6"/>
    <mergeCell ref="B8:L8"/>
    <mergeCell ref="B9:B10"/>
    <mergeCell ref="C9:C10"/>
    <mergeCell ref="D9:L9"/>
    <mergeCell ref="M9:M10"/>
    <mergeCell ref="N9:N10"/>
    <mergeCell ref="B20:E20"/>
    <mergeCell ref="B24:L24"/>
    <mergeCell ref="B25:B26"/>
    <mergeCell ref="C25:C26"/>
    <mergeCell ref="D25:L25"/>
    <mergeCell ref="N25:N26"/>
    <mergeCell ref="B33:E33"/>
    <mergeCell ref="B37:L37"/>
    <mergeCell ref="B38:B39"/>
    <mergeCell ref="C38:C39"/>
    <mergeCell ref="D38:L38"/>
    <mergeCell ref="M38:M39"/>
    <mergeCell ref="N38:N39"/>
    <mergeCell ref="M25:M26"/>
    <mergeCell ref="B48:L48"/>
    <mergeCell ref="B54:E54"/>
    <mergeCell ref="B60:L60"/>
    <mergeCell ref="B61:B62"/>
    <mergeCell ref="C61:C62"/>
    <mergeCell ref="D61:L61"/>
    <mergeCell ref="B89:L89"/>
    <mergeCell ref="B93:E93"/>
    <mergeCell ref="M61:M62"/>
    <mergeCell ref="N61:N62"/>
    <mergeCell ref="B74:L74"/>
    <mergeCell ref="B75:B76"/>
    <mergeCell ref="C75:C76"/>
    <mergeCell ref="D75:L75"/>
    <mergeCell ref="M75:M76"/>
    <mergeCell ref="N75:N76"/>
  </mergeCells>
  <dataValidations count="8">
    <dataValidation type="whole" operator="greaterThanOrEqual" allowBlank="1" showInputMessage="1" showErrorMessage="1" sqref="C91:E92 C12:N13 C15:N16 C18:N19 C22:E23 D27:N32 C35:E36 D40:N47 C50:E53 D70:N71 C56:E59 D67:N68 D64:N65 D73:N73 C95:E96" xr:uid="{00000000-0002-0000-0B00-000000000000}">
      <formula1>0</formula1>
    </dataValidation>
    <dataValidation type="whole" operator="equal" allowBlank="1" showInputMessage="1" showErrorMessage="1" sqref="C11:N11 C14:N14 C17:N17 C63:N63 C66:N66 C69:N69 C72:N72 C77:N77 C81:N81 C85:N85" xr:uid="{D608E012-09B3-41C7-9541-587DD9DA7142}">
      <formula1>0</formula1>
    </dataValidation>
    <dataValidation type="whole" allowBlank="1" showInputMessage="1" showErrorMessage="1" sqref="D78:N80 D109:U113" xr:uid="{80CCC387-9128-4C41-A10A-A4E5212DBF6F}">
      <formula1>0</formula1>
      <formula2>9.99999999999999E+36</formula2>
    </dataValidation>
    <dataValidation type="whole" allowBlank="1" showInputMessage="1" showErrorMessage="1" sqref="D82:N84" xr:uid="{D37C0000-471C-4114-8CAA-96841CCD8F96}">
      <formula1>0</formula1>
      <formula2>9.99999999999999E+35</formula2>
    </dataValidation>
    <dataValidation type="whole" allowBlank="1" showInputMessage="1" showErrorMessage="1" sqref="D86:N88" xr:uid="{916784ED-39E7-4C05-A7BC-E4F01410A200}">
      <formula1>0</formula1>
      <formula2>9.99999999999999E+39</formula2>
    </dataValidation>
    <dataValidation type="whole" allowBlank="1" showInputMessage="1" showErrorMessage="1" sqref="D100:O105" xr:uid="{8AD889E3-AFF0-4D3E-866A-1169A0F31ABB}">
      <formula1>0</formula1>
      <formula2>9.99999999999999E+37</formula2>
    </dataValidation>
    <dataValidation type="whole" allowBlank="1" showInputMessage="1" showErrorMessage="1" sqref="F118:AK123" xr:uid="{A2CF76A2-7B20-465E-BAF2-8C860AE578D3}">
      <formula1>0</formula1>
      <formula2>9.99999999999999E+41</formula2>
    </dataValidation>
    <dataValidation operator="greaterThanOrEqual" allowBlank="1" showInputMessage="1" showErrorMessage="1" sqref="A11:A36 A40:A59 A63:A88 A91:A96 A105 A127" xr:uid="{DE32273A-A603-4B27-B22B-485EA8CF386C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H264"/>
  <sheetViews>
    <sheetView showGridLines="0" workbookViewId="0"/>
  </sheetViews>
  <sheetFormatPr baseColWidth="10" defaultColWidth="11.42578125" defaultRowHeight="15" x14ac:dyDescent="0.25"/>
  <cols>
    <col min="1" max="1" width="18.5703125" customWidth="1"/>
    <col min="2" max="2" width="43.140625" customWidth="1"/>
    <col min="3" max="3" width="31.7109375" customWidth="1"/>
    <col min="4" max="4" width="18.85546875" bestFit="1" customWidth="1"/>
    <col min="5" max="5" width="17.140625" bestFit="1" customWidth="1"/>
    <col min="6" max="6" width="14" bestFit="1" customWidth="1"/>
    <col min="7" max="7" width="14.5703125" bestFit="1" customWidth="1"/>
    <col min="8" max="8" width="11.5703125" bestFit="1" customWidth="1"/>
    <col min="9" max="9" width="14" bestFit="1" customWidth="1"/>
    <col min="10" max="10" width="13.28515625" customWidth="1"/>
    <col min="11" max="11" width="15.42578125" customWidth="1"/>
    <col min="12" max="12" width="17" customWidth="1"/>
    <col min="13" max="13" width="14.85546875" customWidth="1"/>
    <col min="15" max="15" width="13.5703125" customWidth="1"/>
    <col min="39" max="39" width="13.7109375" customWidth="1"/>
    <col min="41" max="41" width="12.7109375" customWidth="1"/>
    <col min="42" max="42" width="13" customWidth="1"/>
    <col min="43" max="43" width="13.140625" customWidth="1"/>
    <col min="45" max="45" width="12.42578125" customWidth="1"/>
    <col min="76" max="77" width="11.7109375" customWidth="1"/>
    <col min="78" max="78" width="11.42578125" customWidth="1"/>
    <col min="79" max="97" width="11.42578125" hidden="1" customWidth="1"/>
    <col min="98" max="106" width="11.42578125" customWidth="1"/>
  </cols>
  <sheetData>
    <row r="1" spans="1:105" x14ac:dyDescent="0.25">
      <c r="B1" s="50" t="s">
        <v>23</v>
      </c>
    </row>
    <row r="2" spans="1:105" x14ac:dyDescent="0.25">
      <c r="B2" s="50" t="str">
        <f>CONCATENATE("COMUNA: ",NOMBRE!B2, " (",NOMBRE!C2,NOMBRE!D2,NOMBRE!E2,NOMBRE!F2,NOMBRE!G2,")")</f>
        <v>COMUNA:  ()</v>
      </c>
    </row>
    <row r="3" spans="1:105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105" x14ac:dyDescent="0.25">
      <c r="B4" s="50" t="str">
        <f>CONCATENATE("MES: ",NOMBRE!B6, " (",NOMBRE!C6,NOMBRE!D6,")")</f>
        <v>MES:  ()</v>
      </c>
    </row>
    <row r="5" spans="1:105" x14ac:dyDescent="0.25">
      <c r="B5" s="50" t="str">
        <f>CONCATENATE("AÑO: ",NOMBRE!B7)</f>
        <v>AÑO: 2025</v>
      </c>
    </row>
    <row r="6" spans="1:105" s="2150" customFormat="1" ht="18" customHeight="1" x14ac:dyDescent="0.25">
      <c r="B6" s="6087" t="s">
        <v>2050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BY6" s="4083"/>
      <c r="BZ6" s="4083"/>
      <c r="CA6" s="4083"/>
      <c r="CB6" s="3886"/>
      <c r="CC6" s="3886"/>
      <c r="CD6" s="3886"/>
      <c r="CE6" s="3886"/>
      <c r="CF6" s="3886"/>
      <c r="CG6" s="3886"/>
      <c r="CH6" s="3886"/>
      <c r="CI6" s="3886"/>
      <c r="CJ6" s="3886"/>
      <c r="CK6" s="3886"/>
      <c r="CL6" s="3886"/>
      <c r="CM6" s="3886"/>
      <c r="CN6" s="3886"/>
      <c r="CO6" s="3886"/>
      <c r="CP6" s="3886"/>
      <c r="CQ6" s="3886"/>
      <c r="CR6" s="3886"/>
      <c r="CS6" s="3886"/>
      <c r="CT6" s="3886"/>
      <c r="CU6" s="3886"/>
      <c r="CV6" s="3886"/>
      <c r="CW6" s="3886"/>
      <c r="CX6" s="3886"/>
      <c r="CY6" s="3886"/>
      <c r="CZ6" s="3886"/>
      <c r="DA6" s="3886"/>
    </row>
    <row r="8" spans="1:105" ht="18" customHeight="1" x14ac:dyDescent="0.25">
      <c r="B8" s="6327" t="s">
        <v>2051</v>
      </c>
      <c r="C8" s="6327"/>
      <c r="D8" s="6327"/>
      <c r="E8" s="6327"/>
      <c r="F8" s="6327"/>
      <c r="G8" s="6327"/>
      <c r="H8" s="6327"/>
      <c r="I8" s="6327"/>
      <c r="J8" s="6327"/>
      <c r="K8" s="6327"/>
      <c r="L8" s="6327"/>
      <c r="M8" s="6327"/>
      <c r="N8" s="6327"/>
      <c r="O8" s="6327"/>
      <c r="P8" s="6327"/>
      <c r="Q8" s="6327"/>
      <c r="R8" s="6327"/>
      <c r="S8" s="6327"/>
      <c r="T8" s="6327"/>
      <c r="U8" s="6327"/>
      <c r="V8" s="6327"/>
      <c r="W8" s="6327"/>
      <c r="X8" s="6327"/>
      <c r="Y8" s="6327"/>
      <c r="Z8" s="6327"/>
      <c r="AA8" s="6327"/>
      <c r="AB8" s="6327"/>
      <c r="AC8" s="6327"/>
      <c r="AD8" s="6327"/>
      <c r="AE8" s="6327"/>
      <c r="AF8" s="6327"/>
      <c r="AG8" s="6327"/>
      <c r="AH8" s="6327"/>
      <c r="AI8" s="6327"/>
      <c r="AJ8" s="6327"/>
      <c r="AK8" s="6327"/>
      <c r="AL8" s="6327"/>
      <c r="AM8" s="6327"/>
      <c r="AN8" s="6327"/>
    </row>
    <row r="9" spans="1:105" ht="18" customHeight="1" x14ac:dyDescent="0.25">
      <c r="B9" s="7179" t="s">
        <v>2052</v>
      </c>
      <c r="C9" s="7179"/>
      <c r="D9" s="7179"/>
      <c r="E9" s="7179"/>
      <c r="F9" s="7179"/>
      <c r="G9" s="7179"/>
      <c r="H9" s="7179"/>
      <c r="I9" s="7179"/>
      <c r="J9" s="7179"/>
      <c r="K9" s="7179"/>
      <c r="L9" s="7179"/>
      <c r="M9" s="7179"/>
      <c r="N9" s="7179"/>
      <c r="O9" s="7179"/>
      <c r="P9" s="7179"/>
      <c r="Q9" s="7179"/>
      <c r="R9" s="7179"/>
      <c r="S9" s="7179"/>
      <c r="T9" s="7179"/>
      <c r="U9" s="7179"/>
      <c r="V9" s="7179"/>
      <c r="W9" s="7179"/>
      <c r="X9" s="7179"/>
      <c r="Y9" s="7179"/>
      <c r="Z9" s="7179"/>
      <c r="AA9" s="7179"/>
      <c r="AB9" s="7179"/>
      <c r="AC9" s="7179"/>
      <c r="AD9" s="7179"/>
      <c r="AE9" s="7179"/>
      <c r="AF9" s="7179"/>
      <c r="AG9" s="7179"/>
      <c r="AH9" s="7179"/>
      <c r="AI9" s="7179"/>
      <c r="AJ9" s="7179"/>
      <c r="AK9" s="7179"/>
      <c r="AL9" s="7179"/>
      <c r="AM9" s="7179"/>
      <c r="AN9" s="7179"/>
    </row>
    <row r="10" spans="1:105" ht="18" customHeight="1" x14ac:dyDescent="0.25">
      <c r="B10" s="6954" t="s">
        <v>2053</v>
      </c>
      <c r="C10" s="7198" t="s">
        <v>27</v>
      </c>
      <c r="D10" s="7121" t="s">
        <v>302</v>
      </c>
      <c r="E10" s="6510"/>
      <c r="F10" s="6511"/>
      <c r="G10" s="7106" t="s">
        <v>101</v>
      </c>
      <c r="H10" s="6491"/>
      <c r="I10" s="6491"/>
      <c r="J10" s="6491"/>
      <c r="K10" s="6491"/>
      <c r="L10" s="6491"/>
      <c r="M10" s="6491"/>
      <c r="N10" s="6491"/>
      <c r="O10" s="6491"/>
      <c r="P10" s="6491"/>
      <c r="Q10" s="6491"/>
      <c r="R10" s="6491"/>
      <c r="S10" s="6491"/>
      <c r="T10" s="6491"/>
      <c r="U10" s="6491"/>
      <c r="V10" s="6491"/>
      <c r="W10" s="6491"/>
      <c r="X10" s="6491"/>
      <c r="Y10" s="6491"/>
      <c r="Z10" s="6491"/>
      <c r="AA10" s="6491"/>
      <c r="AB10" s="6491"/>
      <c r="AC10" s="6491"/>
      <c r="AD10" s="6491"/>
      <c r="AE10" s="6491"/>
      <c r="AF10" s="6491"/>
      <c r="AG10" s="6491"/>
      <c r="AH10" s="6491"/>
      <c r="AI10" s="6491"/>
      <c r="AJ10" s="6491"/>
      <c r="AK10" s="6491"/>
      <c r="AL10" s="6491"/>
      <c r="AM10" s="6491"/>
      <c r="AN10" s="7202"/>
      <c r="AO10" s="7205" t="s">
        <v>2054</v>
      </c>
      <c r="AP10" s="6510" t="s">
        <v>457</v>
      </c>
      <c r="AQ10" s="6511"/>
      <c r="AR10" s="7105" t="s">
        <v>36</v>
      </c>
      <c r="AS10" s="7105" t="s">
        <v>37</v>
      </c>
      <c r="AT10" s="7105" t="s">
        <v>1907</v>
      </c>
      <c r="AU10" s="7105" t="s">
        <v>34</v>
      </c>
      <c r="AV10" s="7105" t="s">
        <v>2055</v>
      </c>
    </row>
    <row r="11" spans="1:105" ht="18" customHeight="1" x14ac:dyDescent="0.25">
      <c r="B11" s="6954"/>
      <c r="C11" s="6039"/>
      <c r="D11" s="6734"/>
      <c r="E11" s="6735"/>
      <c r="F11" s="6955"/>
      <c r="G11" s="7207" t="s">
        <v>343</v>
      </c>
      <c r="H11" s="7207"/>
      <c r="I11" s="7116" t="s">
        <v>326</v>
      </c>
      <c r="J11" s="7117"/>
      <c r="K11" s="7116" t="s">
        <v>94</v>
      </c>
      <c r="L11" s="7117"/>
      <c r="M11" s="7116" t="s">
        <v>2056</v>
      </c>
      <c r="N11" s="7117"/>
      <c r="O11" s="7116" t="s">
        <v>305</v>
      </c>
      <c r="P11" s="7117"/>
      <c r="Q11" s="7116" t="s">
        <v>974</v>
      </c>
      <c r="R11" s="7117"/>
      <c r="S11" s="7116" t="s">
        <v>629</v>
      </c>
      <c r="T11" s="7117"/>
      <c r="U11" s="7116" t="s">
        <v>2057</v>
      </c>
      <c r="V11" s="7117"/>
      <c r="W11" s="7116" t="s">
        <v>630</v>
      </c>
      <c r="X11" s="7117"/>
      <c r="Y11" s="7116" t="s">
        <v>2058</v>
      </c>
      <c r="Z11" s="7117"/>
      <c r="AA11" s="7116" t="s">
        <v>2059</v>
      </c>
      <c r="AB11" s="7117"/>
      <c r="AC11" s="7116" t="s">
        <v>1949</v>
      </c>
      <c r="AD11" s="7117"/>
      <c r="AE11" s="7116" t="s">
        <v>1583</v>
      </c>
      <c r="AF11" s="7117"/>
      <c r="AG11" s="7116" t="s">
        <v>308</v>
      </c>
      <c r="AH11" s="7117"/>
      <c r="AI11" s="7116" t="s">
        <v>2060</v>
      </c>
      <c r="AJ11" s="7117"/>
      <c r="AK11" s="7116" t="s">
        <v>2061</v>
      </c>
      <c r="AL11" s="7117"/>
      <c r="AM11" s="7107" t="s">
        <v>57</v>
      </c>
      <c r="AN11" s="7109"/>
      <c r="AO11" s="7206"/>
      <c r="AP11" s="6735"/>
      <c r="AQ11" s="6955"/>
      <c r="AR11" s="6023"/>
      <c r="AS11" s="6023"/>
      <c r="AT11" s="6023"/>
      <c r="AU11" s="6023"/>
      <c r="AV11" s="6023"/>
    </row>
    <row r="12" spans="1:105" ht="18" customHeight="1" x14ac:dyDescent="0.25">
      <c r="B12" s="6954"/>
      <c r="C12" s="6733"/>
      <c r="D12" s="3894" t="s">
        <v>79</v>
      </c>
      <c r="E12" s="3897" t="s">
        <v>58</v>
      </c>
      <c r="F12" s="3893" t="s">
        <v>59</v>
      </c>
      <c r="G12" s="3894" t="s">
        <v>58</v>
      </c>
      <c r="H12" s="3893" t="s">
        <v>59</v>
      </c>
      <c r="I12" s="3894" t="s">
        <v>58</v>
      </c>
      <c r="J12" s="3893" t="s">
        <v>59</v>
      </c>
      <c r="K12" s="3894" t="s">
        <v>58</v>
      </c>
      <c r="L12" s="3893" t="s">
        <v>59</v>
      </c>
      <c r="M12" s="3894" t="s">
        <v>58</v>
      </c>
      <c r="N12" s="3893" t="s">
        <v>59</v>
      </c>
      <c r="O12" s="3894" t="s">
        <v>58</v>
      </c>
      <c r="P12" s="3893" t="s">
        <v>59</v>
      </c>
      <c r="Q12" s="3894" t="s">
        <v>58</v>
      </c>
      <c r="R12" s="3893" t="s">
        <v>59</v>
      </c>
      <c r="S12" s="3894" t="s">
        <v>58</v>
      </c>
      <c r="T12" s="3893" t="s">
        <v>59</v>
      </c>
      <c r="U12" s="3894" t="s">
        <v>58</v>
      </c>
      <c r="V12" s="3893" t="s">
        <v>59</v>
      </c>
      <c r="W12" s="3894" t="s">
        <v>58</v>
      </c>
      <c r="X12" s="3893" t="s">
        <v>59</v>
      </c>
      <c r="Y12" s="3894" t="s">
        <v>58</v>
      </c>
      <c r="Z12" s="3893" t="s">
        <v>59</v>
      </c>
      <c r="AA12" s="3894" t="s">
        <v>58</v>
      </c>
      <c r="AB12" s="3893" t="s">
        <v>59</v>
      </c>
      <c r="AC12" s="3894" t="s">
        <v>58</v>
      </c>
      <c r="AD12" s="3893" t="s">
        <v>59</v>
      </c>
      <c r="AE12" s="3894" t="s">
        <v>58</v>
      </c>
      <c r="AF12" s="3893" t="s">
        <v>59</v>
      </c>
      <c r="AG12" s="3894" t="s">
        <v>58</v>
      </c>
      <c r="AH12" s="3893" t="s">
        <v>59</v>
      </c>
      <c r="AI12" s="3894" t="s">
        <v>58</v>
      </c>
      <c r="AJ12" s="3893" t="s">
        <v>59</v>
      </c>
      <c r="AK12" s="3894" t="s">
        <v>58</v>
      </c>
      <c r="AL12" s="3893" t="s">
        <v>59</v>
      </c>
      <c r="AM12" s="3894" t="s">
        <v>58</v>
      </c>
      <c r="AN12" s="3893" t="s">
        <v>59</v>
      </c>
      <c r="AO12" s="6937"/>
      <c r="AP12" s="503" t="s">
        <v>462</v>
      </c>
      <c r="AQ12" s="486" t="s">
        <v>1553</v>
      </c>
      <c r="AR12" s="6739"/>
      <c r="AS12" s="6739"/>
      <c r="AT12" s="6739"/>
      <c r="AU12" s="6739"/>
      <c r="AV12" s="6739"/>
    </row>
    <row r="13" spans="1:105" x14ac:dyDescent="0.25">
      <c r="A13" s="5818">
        <v>19120201</v>
      </c>
      <c r="B13" s="7164" t="s">
        <v>2062</v>
      </c>
      <c r="C13" s="3365" t="s">
        <v>64</v>
      </c>
      <c r="D13" s="3225" t="s">
        <v>4567</v>
      </c>
      <c r="E13" s="3972" t="s">
        <v>4568</v>
      </c>
      <c r="F13" s="4085" t="s">
        <v>4569</v>
      </c>
      <c r="G13" s="3927" t="s">
        <v>4570</v>
      </c>
      <c r="H13" s="4086" t="s">
        <v>4571</v>
      </c>
      <c r="I13" s="3927" t="s">
        <v>4572</v>
      </c>
      <c r="J13" s="4086" t="s">
        <v>4573</v>
      </c>
      <c r="K13" s="3927" t="s">
        <v>4574</v>
      </c>
      <c r="L13" s="3929" t="s">
        <v>4575</v>
      </c>
      <c r="M13" s="3927" t="s">
        <v>4576</v>
      </c>
      <c r="N13" s="3929" t="s">
        <v>4577</v>
      </c>
      <c r="O13" s="3927" t="s">
        <v>4578</v>
      </c>
      <c r="P13" s="3929" t="s">
        <v>4579</v>
      </c>
      <c r="Q13" s="3927" t="s">
        <v>4580</v>
      </c>
      <c r="R13" s="3929" t="s">
        <v>4581</v>
      </c>
      <c r="S13" s="3927" t="s">
        <v>4582</v>
      </c>
      <c r="T13" s="3929" t="s">
        <v>4583</v>
      </c>
      <c r="U13" s="3927" t="s">
        <v>4584</v>
      </c>
      <c r="V13" s="3929" t="s">
        <v>4585</v>
      </c>
      <c r="W13" s="3927" t="s">
        <v>4586</v>
      </c>
      <c r="X13" s="3929" t="s">
        <v>4587</v>
      </c>
      <c r="Y13" s="3927" t="s">
        <v>4588</v>
      </c>
      <c r="Z13" s="3929" t="s">
        <v>4589</v>
      </c>
      <c r="AA13" s="3927" t="s">
        <v>4590</v>
      </c>
      <c r="AB13" s="3929" t="s">
        <v>4591</v>
      </c>
      <c r="AC13" s="3927" t="s">
        <v>4592</v>
      </c>
      <c r="AD13" s="3929" t="s">
        <v>4593</v>
      </c>
      <c r="AE13" s="3927" t="s">
        <v>4594</v>
      </c>
      <c r="AF13" s="3929" t="s">
        <v>4595</v>
      </c>
      <c r="AG13" s="3927" t="s">
        <v>4596</v>
      </c>
      <c r="AH13" s="3929" t="s">
        <v>4597</v>
      </c>
      <c r="AI13" s="3927" t="s">
        <v>4598</v>
      </c>
      <c r="AJ13" s="3929" t="s">
        <v>4599</v>
      </c>
      <c r="AK13" s="3927" t="s">
        <v>4600</v>
      </c>
      <c r="AL13" s="3929" t="s">
        <v>4601</v>
      </c>
      <c r="AM13" s="4087" t="s">
        <v>4602</v>
      </c>
      <c r="AN13" s="4088" t="s">
        <v>4603</v>
      </c>
      <c r="AO13" s="4089" t="s">
        <v>4604</v>
      </c>
      <c r="AP13" s="4090" t="s">
        <v>4605</v>
      </c>
      <c r="AQ13" s="3930" t="s">
        <v>4606</v>
      </c>
      <c r="AR13" s="4091" t="s">
        <v>4934</v>
      </c>
      <c r="AS13" s="4091" t="s">
        <v>4935</v>
      </c>
      <c r="AT13" s="4092" t="s">
        <v>4936</v>
      </c>
      <c r="AU13" s="3968" t="s">
        <v>4937</v>
      </c>
      <c r="AV13" s="3968" t="s">
        <v>5234</v>
      </c>
      <c r="AW13" s="1864" t="str">
        <f>$CB13&amp;$CC13&amp;CD13&amp;CE13&amp;CF13&amp;CH13&amp;CI13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3" s="1865" t="str">
        <f>IF(AND($D13&lt;&gt;0,AO13=""),"* No olvide ingresar la columna Espacios Amigables /adolescentes (Digite CERO si no tiene). ",IF(AO13&gt;$D13,"* El Número de Espacios Amigables no puede superar el Total. ",""))</f>
        <v xml:space="preserve">* El Número de Espacios Amigables no puede superar el Total. </v>
      </c>
      <c r="CC13" s="1865" t="str">
        <f>IF(AND(F13&gt;0,OR(AP13="")),"No olvide digitar los campos *TRANS Masculino (Digite CERO si no tiene).",IF(AP13&gt;F13,"* El Número de TRANS Masculino no puede superar el Total Mujeres. ",""))</f>
        <v xml:space="preserve">* El Número de TRANS Masculino no puede superar el Total Mujeres. </v>
      </c>
      <c r="CD13" s="1865" t="str">
        <f>IF(AND(E13&gt;0,OR(AQ13="")),"No olvide digitar los campos *TRANS Femenino (Digite CERO si no tiene).",IF(AQ13&gt;$E13,"* El Número de TRANS Femenino no puede superar el Total Hombres. ",""))</f>
        <v xml:space="preserve">* El Número de TRANS Femenino no puede superar el Total Hombres. </v>
      </c>
      <c r="CE13" s="1865" t="str">
        <f>IF(AND($D13&lt;&gt;0,AR13=""),"* No olvide ingresar la columna Pueblos Originarios (Digite CERO si no tiene).  ",IF(AR13&gt;$D13,"* El Número de Pueblos Originarios no puede superar el Total. ",""))</f>
        <v xml:space="preserve">* El Número de Pueblos Originarios no puede superar el Total. </v>
      </c>
      <c r="CF13" s="1865" t="str">
        <f>IF(AND($D13&lt;&gt;0,AS13=""),"* No olvide ingresar la columna Migrantes (Digite CERO si no tiene).  ",IF(AS13&gt;$D13,"* El Número de Migrantes no puede superar el Total. ",""))</f>
        <v xml:space="preserve">* El Número de Migrantes no puede superar el Total. </v>
      </c>
      <c r="CG13" s="1866"/>
      <c r="CH13" s="1865" t="str">
        <f>IF(AND($D13&lt;&gt;0,AU13=""),"* No olvide ingresar la columna Niños, Niñas, Adolescentes y Jóvenes SENAME (Digite CERO si no tiene).  ",IF(AU13&gt;$D13,"* El Número de Niños, Niñas, Adolescentes y Jóvenes SENAME no puede superar el Total. ",""))</f>
        <v xml:space="preserve">* El Número de Niños, Niñas, Adolescentes y Jóvenes SENAME no puede superar el Total. </v>
      </c>
      <c r="CI13" s="1865" t="str">
        <f>IF(AND($D13&lt;&gt;0,AV13=""),"* No olvide ingresar la columna Niños, Niñas, Adolescentes y Jóvenes Mejor Niñez (Digite CERO si no tiene). ",IF(AV13&gt;$D13,"* El Número de Niños, Niñas, Adolescentes y Jóvenes Mejor Niñez no puede superar el Total. ",""))</f>
        <v xml:space="preserve">* El Número de Niños, Niñas, Adolescentes y Jóvenes Mejor Niñez no puede superar el Total. </v>
      </c>
      <c r="CJ13" s="1936"/>
      <c r="CK13" s="1867">
        <f>IF(AND($D13&lt;&gt;0,AO13=""),1,IF(AO13&gt;$D13,1,0))</f>
        <v>1</v>
      </c>
      <c r="CL13" s="1867">
        <f>IF(AND(F13&gt;0,OR(AP13="")),1,IF(AP13&gt;F13,1,0))</f>
        <v>1</v>
      </c>
      <c r="CM13" s="1867">
        <f>IF(AND(E13&gt;0,OR(AQ13="")),1,IF(AQ13&gt;E13,1,0))</f>
        <v>1</v>
      </c>
      <c r="CN13" s="1867">
        <f>IF(AND($D13&lt;&gt;0,AR13=""),1,IF(AR13&gt;$D13,1,0))</f>
        <v>1</v>
      </c>
      <c r="CO13" s="1867">
        <f>IF(AND($D13&lt;&gt;0,AS13=""),1,IF(AS13&gt;$D13,1,0))</f>
        <v>1</v>
      </c>
      <c r="CP13" s="1868"/>
      <c r="CQ13" s="1867">
        <f>IF(AND($D13&lt;&gt;0,AU13=""),1,IF(AU13&gt;$D13,1,0))</f>
        <v>1</v>
      </c>
      <c r="CR13" s="1867">
        <f>IF(AND($D13&lt;&gt;0,AV13=""),1,IF(AV13&gt;$D13,1,0))</f>
        <v>1</v>
      </c>
      <c r="CS13" s="1936"/>
      <c r="CT13" s="1936"/>
      <c r="CU13" s="1936"/>
      <c r="CV13" s="1936"/>
    </row>
    <row r="14" spans="1:105" x14ac:dyDescent="0.25">
      <c r="A14" s="5818">
        <v>19120202</v>
      </c>
      <c r="B14" s="6058"/>
      <c r="C14" s="4093" t="s">
        <v>98</v>
      </c>
      <c r="D14" s="3908" t="s">
        <v>4567</v>
      </c>
      <c r="E14" s="3978" t="s">
        <v>4568</v>
      </c>
      <c r="F14" s="4094" t="s">
        <v>4569</v>
      </c>
      <c r="G14" s="3913" t="s">
        <v>4570</v>
      </c>
      <c r="H14" s="329" t="s">
        <v>4571</v>
      </c>
      <c r="I14" s="3913" t="s">
        <v>4572</v>
      </c>
      <c r="J14" s="329" t="s">
        <v>4573</v>
      </c>
      <c r="K14" s="3913" t="s">
        <v>4574</v>
      </c>
      <c r="L14" s="1969" t="s">
        <v>4575</v>
      </c>
      <c r="M14" s="3913" t="s">
        <v>4576</v>
      </c>
      <c r="N14" s="1969" t="s">
        <v>4577</v>
      </c>
      <c r="O14" s="3913" t="s">
        <v>4578</v>
      </c>
      <c r="P14" s="1969" t="s">
        <v>4579</v>
      </c>
      <c r="Q14" s="3913" t="s">
        <v>4580</v>
      </c>
      <c r="R14" s="1969" t="s">
        <v>4581</v>
      </c>
      <c r="S14" s="3913" t="s">
        <v>4582</v>
      </c>
      <c r="T14" s="1969" t="s">
        <v>4583</v>
      </c>
      <c r="U14" s="3913" t="s">
        <v>4584</v>
      </c>
      <c r="V14" s="1969" t="s">
        <v>4585</v>
      </c>
      <c r="W14" s="3913" t="s">
        <v>4586</v>
      </c>
      <c r="X14" s="1969" t="s">
        <v>4587</v>
      </c>
      <c r="Y14" s="3913" t="s">
        <v>4588</v>
      </c>
      <c r="Z14" s="1969" t="s">
        <v>4589</v>
      </c>
      <c r="AA14" s="3913" t="s">
        <v>4590</v>
      </c>
      <c r="AB14" s="1969" t="s">
        <v>4591</v>
      </c>
      <c r="AC14" s="3913" t="s">
        <v>4592</v>
      </c>
      <c r="AD14" s="1969" t="s">
        <v>4593</v>
      </c>
      <c r="AE14" s="3913" t="s">
        <v>4594</v>
      </c>
      <c r="AF14" s="1969" t="s">
        <v>4595</v>
      </c>
      <c r="AG14" s="3913" t="s">
        <v>4596</v>
      </c>
      <c r="AH14" s="1969" t="s">
        <v>4597</v>
      </c>
      <c r="AI14" s="3913" t="s">
        <v>4598</v>
      </c>
      <c r="AJ14" s="1969" t="s">
        <v>4599</v>
      </c>
      <c r="AK14" s="3913" t="s">
        <v>4600</v>
      </c>
      <c r="AL14" s="1969" t="s">
        <v>4601</v>
      </c>
      <c r="AM14" s="4095" t="s">
        <v>4602</v>
      </c>
      <c r="AN14" s="331" t="s">
        <v>4603</v>
      </c>
      <c r="AO14" s="4096" t="s">
        <v>4604</v>
      </c>
      <c r="AP14" s="3904" t="s">
        <v>4605</v>
      </c>
      <c r="AQ14" s="329" t="s">
        <v>4606</v>
      </c>
      <c r="AR14" s="3968" t="s">
        <v>4934</v>
      </c>
      <c r="AS14" s="3968" t="s">
        <v>4935</v>
      </c>
      <c r="AT14" s="4097" t="s">
        <v>4936</v>
      </c>
      <c r="AU14" s="3968" t="s">
        <v>4937</v>
      </c>
      <c r="AV14" s="3968" t="s">
        <v>5234</v>
      </c>
      <c r="AW14" s="1864" t="str">
        <f t="shared" ref="AW14:AW56" si="0">$CB14&amp;$CC14&amp;CD14&amp;CE14&amp;CF14&amp;CH14&amp;CI14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4" s="1865" t="str">
        <f t="shared" ref="CB14:CB89" si="1">IF(AND($D14&lt;&gt;0,AO14=""),"* No olvide ingresar la columna Espacios Amigables /adolescentes (Digite CERO si no tiene). ",IF(AO14&gt;$D14,"* El Número de Espacios Amigables no puede superar el Total. ",""))</f>
        <v xml:space="preserve">* El Número de Espacios Amigables no puede superar el Total. </v>
      </c>
      <c r="CC14" s="1865" t="str">
        <f t="shared" ref="CC14:CC89" si="2">IF(AND(F14&gt;0,OR(AP14="")),"No olvide digitar los campos *TRANS Masculino (Digite CERO si no tiene).",IF(AP14&gt;F14,"* El Número de TRANS Masculino no puede superar el Total Mujeres. ",""))</f>
        <v xml:space="preserve">* El Número de TRANS Masculino no puede superar el Total Mujeres. </v>
      </c>
      <c r="CD14" s="1865" t="str">
        <f t="shared" ref="CD14:CD89" si="3">IF(AND(E14&gt;0,OR(AQ14="")),"No olvide digitar los campos *TRANS Femenino (Digite CERO si no tiene).",IF(AQ14&gt;$E14,"* El Número de TRANS Femenino no puede superar el Total Hombres. ",""))</f>
        <v xml:space="preserve">* El Número de TRANS Femenino no puede superar el Total Hombres. </v>
      </c>
      <c r="CE14" s="1865" t="str">
        <f t="shared" ref="CE14:CE89" si="4">IF(AND($D14&lt;&gt;0,AR14=""),"* No olvide ingresar la columna Pueblos Originarios (Digite CERO si no tiene).  ",IF(AR14&gt;$D14,"* El Número de Pueblos Originarios no puede superar el Total. ",""))</f>
        <v xml:space="preserve">* El Número de Pueblos Originarios no puede superar el Total. </v>
      </c>
      <c r="CF14" s="1865" t="str">
        <f t="shared" ref="CF14:CF89" si="5">IF(AND($D14&lt;&gt;0,AS14=""),"* No olvide ingresar la columna Migrantes (Digite CERO si no tiene).  ",IF(AS14&gt;$D14,"* El Número de Migrantes no puede superar el Total. ",""))</f>
        <v xml:space="preserve">* El Número de Migrantes no puede superar el Total. </v>
      </c>
      <c r="CG14" s="1866"/>
      <c r="CH14" s="1865" t="str">
        <f t="shared" ref="CH14:CH89" si="6">IF(AND($D14&lt;&gt;0,AU14=""),"* No olvide ingresar la columna Niños, Niñas, Adolescentes y Jóvenes SENAME (Digite CERO si no tiene).  ",IF(AU14&gt;$D14,"* El Número de Niños, Niñas, Adolescentes y Jóvenes SENAME no puede superar el Total. ",""))</f>
        <v xml:space="preserve">* El Número de Niños, Niñas, Adolescentes y Jóvenes SENAME no puede superar el Total. </v>
      </c>
      <c r="CI14" s="1865" t="str">
        <f t="shared" ref="CI14:CI89" si="7">IF(AND($D14&lt;&gt;0,AV14=""),"* No olvide ingresar la columna Niños, Niñas, Adolescentes y Jóvenes Mejor Niñez (Digite CERO si no tiene). ",IF(AV14&gt;$D14,"* El Número de Niños, Niñas, Adolescentes y Jóvenes Mejor Niñez no puede superar el Total. ",""))</f>
        <v xml:space="preserve">* El Número de Niños, Niñas, Adolescentes y Jóvenes Mejor Niñez no puede superar el Total. </v>
      </c>
      <c r="CJ14" s="1936"/>
      <c r="CK14" s="1867">
        <f t="shared" ref="CK14:CK89" si="8">IF(AND($D14&lt;&gt;0,AO14=""),1,IF(AO14&gt;$D14,1,0))</f>
        <v>1</v>
      </c>
      <c r="CL14" s="1867">
        <f t="shared" ref="CL14:CL89" si="9">IF(AND(F14&gt;0,OR(AP14="")),1,IF(AP14&gt;F14,1,0))</f>
        <v>1</v>
      </c>
      <c r="CM14" s="1867">
        <f t="shared" ref="CM14:CM89" si="10">IF(AND(E14&gt;0,OR(AQ14="")),1,IF(AQ14&gt;E14,1,0))</f>
        <v>1</v>
      </c>
      <c r="CN14" s="1867">
        <f t="shared" ref="CN14:CO89" si="11">IF(AND($D14&lt;&gt;0,AR14=""),1,IF(AR14&gt;$D14,1,0))</f>
        <v>1</v>
      </c>
      <c r="CO14" s="1867">
        <f t="shared" si="11"/>
        <v>1</v>
      </c>
      <c r="CP14" s="1868"/>
      <c r="CQ14" s="1867">
        <f t="shared" ref="CQ14:CR89" si="12">IF(AND($D14&lt;&gt;0,AU14=""),1,IF(AU14&gt;$D14,1,0))</f>
        <v>1</v>
      </c>
      <c r="CR14" s="1867">
        <f t="shared" si="12"/>
        <v>1</v>
      </c>
    </row>
    <row r="15" spans="1:105" x14ac:dyDescent="0.25">
      <c r="A15" s="5818">
        <v>19120203</v>
      </c>
      <c r="B15" s="6058"/>
      <c r="C15" s="4093" t="s">
        <v>65</v>
      </c>
      <c r="D15" s="3908" t="s">
        <v>4567</v>
      </c>
      <c r="E15" s="3978" t="s">
        <v>4568</v>
      </c>
      <c r="F15" s="4094" t="s">
        <v>4569</v>
      </c>
      <c r="G15" s="3913" t="s">
        <v>4570</v>
      </c>
      <c r="H15" s="329" t="s">
        <v>4571</v>
      </c>
      <c r="I15" s="3913" t="s">
        <v>4572</v>
      </c>
      <c r="J15" s="329" t="s">
        <v>4573</v>
      </c>
      <c r="K15" s="3913" t="s">
        <v>4574</v>
      </c>
      <c r="L15" s="1969" t="s">
        <v>4575</v>
      </c>
      <c r="M15" s="3913" t="s">
        <v>4576</v>
      </c>
      <c r="N15" s="1969" t="s">
        <v>4577</v>
      </c>
      <c r="O15" s="3913" t="s">
        <v>4578</v>
      </c>
      <c r="P15" s="1969" t="s">
        <v>4579</v>
      </c>
      <c r="Q15" s="3913" t="s">
        <v>4580</v>
      </c>
      <c r="R15" s="1969" t="s">
        <v>4581</v>
      </c>
      <c r="S15" s="3913" t="s">
        <v>4582</v>
      </c>
      <c r="T15" s="1969" t="s">
        <v>4583</v>
      </c>
      <c r="U15" s="3913" t="s">
        <v>4584</v>
      </c>
      <c r="V15" s="1969" t="s">
        <v>4585</v>
      </c>
      <c r="W15" s="3913" t="s">
        <v>4586</v>
      </c>
      <c r="X15" s="1969" t="s">
        <v>4587</v>
      </c>
      <c r="Y15" s="3913" t="s">
        <v>4588</v>
      </c>
      <c r="Z15" s="1969" t="s">
        <v>4589</v>
      </c>
      <c r="AA15" s="3913" t="s">
        <v>4590</v>
      </c>
      <c r="AB15" s="1969" t="s">
        <v>4591</v>
      </c>
      <c r="AC15" s="3913" t="s">
        <v>4592</v>
      </c>
      <c r="AD15" s="1969" t="s">
        <v>4593</v>
      </c>
      <c r="AE15" s="3913" t="s">
        <v>4594</v>
      </c>
      <c r="AF15" s="1969" t="s">
        <v>4595</v>
      </c>
      <c r="AG15" s="3913" t="s">
        <v>4596</v>
      </c>
      <c r="AH15" s="1969" t="s">
        <v>4597</v>
      </c>
      <c r="AI15" s="3913" t="s">
        <v>4598</v>
      </c>
      <c r="AJ15" s="1969" t="s">
        <v>4599</v>
      </c>
      <c r="AK15" s="3913" t="s">
        <v>4600</v>
      </c>
      <c r="AL15" s="1969" t="s">
        <v>4601</v>
      </c>
      <c r="AM15" s="4095" t="s">
        <v>4602</v>
      </c>
      <c r="AN15" s="331" t="s">
        <v>4603</v>
      </c>
      <c r="AO15" s="4096" t="s">
        <v>4604</v>
      </c>
      <c r="AP15" s="3904" t="s">
        <v>4605</v>
      </c>
      <c r="AQ15" s="329" t="s">
        <v>4606</v>
      </c>
      <c r="AR15" s="3968" t="s">
        <v>4934</v>
      </c>
      <c r="AS15" s="3968" t="s">
        <v>4935</v>
      </c>
      <c r="AT15" s="4097" t="s">
        <v>4936</v>
      </c>
      <c r="AU15" s="3968" t="s">
        <v>4937</v>
      </c>
      <c r="AV15" s="3968" t="s">
        <v>5234</v>
      </c>
      <c r="AW15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5" s="1865" t="str">
        <f t="shared" si="1"/>
        <v xml:space="preserve">* El Número de Espacios Amigables no puede superar el Total. </v>
      </c>
      <c r="CC15" s="1865" t="str">
        <f t="shared" si="2"/>
        <v xml:space="preserve">* El Número de TRANS Masculino no puede superar el Total Mujeres. </v>
      </c>
      <c r="CD15" s="1865" t="str">
        <f t="shared" si="3"/>
        <v xml:space="preserve">* El Número de TRANS Femenino no puede superar el Total Hombres. </v>
      </c>
      <c r="CE15" s="1865" t="str">
        <f t="shared" si="4"/>
        <v xml:space="preserve">* El Número de Pueblos Originarios no puede superar el Total. </v>
      </c>
      <c r="CF15" s="1865" t="str">
        <f t="shared" si="5"/>
        <v xml:space="preserve">* El Número de Migrantes no puede superar el Total. </v>
      </c>
      <c r="CG15" s="1866"/>
      <c r="CH15" s="1865" t="str">
        <f t="shared" si="6"/>
        <v xml:space="preserve">* El Número de Niños, Niñas, Adolescentes y Jóvenes SENAME no puede superar el Total. </v>
      </c>
      <c r="CI15" s="1865" t="str">
        <f t="shared" si="7"/>
        <v xml:space="preserve">* El Número de Niños, Niñas, Adolescentes y Jóvenes Mejor Niñez no puede superar el Total. </v>
      </c>
      <c r="CJ15" s="1936"/>
      <c r="CK15" s="1867">
        <f t="shared" si="8"/>
        <v>1</v>
      </c>
      <c r="CL15" s="1867">
        <f t="shared" si="9"/>
        <v>1</v>
      </c>
      <c r="CM15" s="1867">
        <f t="shared" si="10"/>
        <v>1</v>
      </c>
      <c r="CN15" s="1867">
        <f t="shared" si="11"/>
        <v>1</v>
      </c>
      <c r="CO15" s="1867">
        <f t="shared" si="11"/>
        <v>1</v>
      </c>
      <c r="CP15" s="1868"/>
      <c r="CQ15" s="1867">
        <f t="shared" si="12"/>
        <v>1</v>
      </c>
      <c r="CR15" s="1867">
        <f t="shared" si="12"/>
        <v>1</v>
      </c>
    </row>
    <row r="16" spans="1:105" x14ac:dyDescent="0.25">
      <c r="A16" s="5818">
        <v>19120204</v>
      </c>
      <c r="B16" s="6058"/>
      <c r="C16" s="4093" t="s">
        <v>105</v>
      </c>
      <c r="D16" s="3908" t="s">
        <v>4567</v>
      </c>
      <c r="E16" s="3978" t="s">
        <v>4568</v>
      </c>
      <c r="F16" s="4094" t="s">
        <v>4569</v>
      </c>
      <c r="G16" s="3913" t="s">
        <v>4570</v>
      </c>
      <c r="H16" s="329" t="s">
        <v>4571</v>
      </c>
      <c r="I16" s="3913" t="s">
        <v>4572</v>
      </c>
      <c r="J16" s="329" t="s">
        <v>4573</v>
      </c>
      <c r="K16" s="3913" t="s">
        <v>4574</v>
      </c>
      <c r="L16" s="1969" t="s">
        <v>4575</v>
      </c>
      <c r="M16" s="3913" t="s">
        <v>4576</v>
      </c>
      <c r="N16" s="1969" t="s">
        <v>4577</v>
      </c>
      <c r="O16" s="3913" t="s">
        <v>4578</v>
      </c>
      <c r="P16" s="1969" t="s">
        <v>4579</v>
      </c>
      <c r="Q16" s="3913" t="s">
        <v>4580</v>
      </c>
      <c r="R16" s="1969" t="s">
        <v>4581</v>
      </c>
      <c r="S16" s="3913" t="s">
        <v>4582</v>
      </c>
      <c r="T16" s="1969" t="s">
        <v>4583</v>
      </c>
      <c r="U16" s="3913" t="s">
        <v>4584</v>
      </c>
      <c r="V16" s="1969" t="s">
        <v>4585</v>
      </c>
      <c r="W16" s="3913" t="s">
        <v>4586</v>
      </c>
      <c r="X16" s="1969" t="s">
        <v>4587</v>
      </c>
      <c r="Y16" s="3913" t="s">
        <v>4588</v>
      </c>
      <c r="Z16" s="1969" t="s">
        <v>4589</v>
      </c>
      <c r="AA16" s="3913" t="s">
        <v>4590</v>
      </c>
      <c r="AB16" s="1969" t="s">
        <v>4591</v>
      </c>
      <c r="AC16" s="3913" t="s">
        <v>4592</v>
      </c>
      <c r="AD16" s="1969" t="s">
        <v>4593</v>
      </c>
      <c r="AE16" s="3913" t="s">
        <v>4594</v>
      </c>
      <c r="AF16" s="1969" t="s">
        <v>4595</v>
      </c>
      <c r="AG16" s="3913" t="s">
        <v>4596</v>
      </c>
      <c r="AH16" s="1969" t="s">
        <v>4597</v>
      </c>
      <c r="AI16" s="3913" t="s">
        <v>4598</v>
      </c>
      <c r="AJ16" s="1969" t="s">
        <v>4599</v>
      </c>
      <c r="AK16" s="3913" t="s">
        <v>4600</v>
      </c>
      <c r="AL16" s="1969" t="s">
        <v>4601</v>
      </c>
      <c r="AM16" s="4095" t="s">
        <v>4602</v>
      </c>
      <c r="AN16" s="331" t="s">
        <v>4603</v>
      </c>
      <c r="AO16" s="4096" t="s">
        <v>4604</v>
      </c>
      <c r="AP16" s="3904" t="s">
        <v>4605</v>
      </c>
      <c r="AQ16" s="329" t="s">
        <v>4606</v>
      </c>
      <c r="AR16" s="3968" t="s">
        <v>4934</v>
      </c>
      <c r="AS16" s="3968" t="s">
        <v>4935</v>
      </c>
      <c r="AT16" s="4097" t="s">
        <v>4936</v>
      </c>
      <c r="AU16" s="3968" t="s">
        <v>4937</v>
      </c>
      <c r="AV16" s="3968" t="s">
        <v>5234</v>
      </c>
      <c r="AW16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6" s="1865" t="str">
        <f t="shared" si="1"/>
        <v xml:space="preserve">* El Número de Espacios Amigables no puede superar el Total. </v>
      </c>
      <c r="CC16" s="1865" t="str">
        <f t="shared" si="2"/>
        <v xml:space="preserve">* El Número de TRANS Masculino no puede superar el Total Mujeres. </v>
      </c>
      <c r="CD16" s="1865" t="str">
        <f t="shared" si="3"/>
        <v xml:space="preserve">* El Número de TRANS Femenino no puede superar el Total Hombres. </v>
      </c>
      <c r="CE16" s="1865" t="str">
        <f t="shared" si="4"/>
        <v xml:space="preserve">* El Número de Pueblos Originarios no puede superar el Total. </v>
      </c>
      <c r="CF16" s="1865" t="str">
        <f t="shared" si="5"/>
        <v xml:space="preserve">* El Número de Migrantes no puede superar el Total. </v>
      </c>
      <c r="CG16" s="1866"/>
      <c r="CH16" s="1865" t="str">
        <f t="shared" si="6"/>
        <v xml:space="preserve">* El Número de Niños, Niñas, Adolescentes y Jóvenes SENAME no puede superar el Total. </v>
      </c>
      <c r="CI16" s="1865" t="str">
        <f t="shared" si="7"/>
        <v xml:space="preserve">* El Número de Niños, Niñas, Adolescentes y Jóvenes Mejor Niñez no puede superar el Total. </v>
      </c>
      <c r="CJ16" s="1936"/>
      <c r="CK16" s="1867">
        <f t="shared" si="8"/>
        <v>1</v>
      </c>
      <c r="CL16" s="1867">
        <f t="shared" si="9"/>
        <v>1</v>
      </c>
      <c r="CM16" s="1867">
        <f t="shared" si="10"/>
        <v>1</v>
      </c>
      <c r="CN16" s="1867">
        <f t="shared" si="11"/>
        <v>1</v>
      </c>
      <c r="CO16" s="1867">
        <f t="shared" si="11"/>
        <v>1</v>
      </c>
      <c r="CP16" s="1868"/>
      <c r="CQ16" s="1867">
        <f t="shared" si="12"/>
        <v>1</v>
      </c>
      <c r="CR16" s="1867">
        <f t="shared" si="12"/>
        <v>1</v>
      </c>
    </row>
    <row r="17" spans="1:100" x14ac:dyDescent="0.25">
      <c r="A17" s="5818">
        <v>19120206</v>
      </c>
      <c r="B17" s="6058"/>
      <c r="C17" s="4093" t="s">
        <v>1035</v>
      </c>
      <c r="D17" s="3908" t="s">
        <v>4567</v>
      </c>
      <c r="E17" s="3978" t="s">
        <v>4568</v>
      </c>
      <c r="F17" s="4094" t="s">
        <v>4569</v>
      </c>
      <c r="G17" s="3913" t="s">
        <v>4570</v>
      </c>
      <c r="H17" s="329" t="s">
        <v>4571</v>
      </c>
      <c r="I17" s="3913" t="s">
        <v>4572</v>
      </c>
      <c r="J17" s="329" t="s">
        <v>4573</v>
      </c>
      <c r="K17" s="3913" t="s">
        <v>4574</v>
      </c>
      <c r="L17" s="1969" t="s">
        <v>4575</v>
      </c>
      <c r="M17" s="3913" t="s">
        <v>4576</v>
      </c>
      <c r="N17" s="1969" t="s">
        <v>4577</v>
      </c>
      <c r="O17" s="3913" t="s">
        <v>4578</v>
      </c>
      <c r="P17" s="1969" t="s">
        <v>4579</v>
      </c>
      <c r="Q17" s="3913" t="s">
        <v>4580</v>
      </c>
      <c r="R17" s="1969" t="s">
        <v>4581</v>
      </c>
      <c r="S17" s="3913" t="s">
        <v>4582</v>
      </c>
      <c r="T17" s="1969" t="s">
        <v>4583</v>
      </c>
      <c r="U17" s="3913" t="s">
        <v>4584</v>
      </c>
      <c r="V17" s="1969" t="s">
        <v>4585</v>
      </c>
      <c r="W17" s="3913" t="s">
        <v>4586</v>
      </c>
      <c r="X17" s="1969" t="s">
        <v>4587</v>
      </c>
      <c r="Y17" s="3913" t="s">
        <v>4588</v>
      </c>
      <c r="Z17" s="1969" t="s">
        <v>4589</v>
      </c>
      <c r="AA17" s="3913" t="s">
        <v>4590</v>
      </c>
      <c r="AB17" s="1969" t="s">
        <v>4591</v>
      </c>
      <c r="AC17" s="3913" t="s">
        <v>4592</v>
      </c>
      <c r="AD17" s="1969" t="s">
        <v>4593</v>
      </c>
      <c r="AE17" s="3913" t="s">
        <v>4594</v>
      </c>
      <c r="AF17" s="1969" t="s">
        <v>4595</v>
      </c>
      <c r="AG17" s="3913" t="s">
        <v>4596</v>
      </c>
      <c r="AH17" s="1969" t="s">
        <v>4597</v>
      </c>
      <c r="AI17" s="3913" t="s">
        <v>4598</v>
      </c>
      <c r="AJ17" s="1969" t="s">
        <v>4599</v>
      </c>
      <c r="AK17" s="3913" t="s">
        <v>4600</v>
      </c>
      <c r="AL17" s="1969" t="s">
        <v>4601</v>
      </c>
      <c r="AM17" s="4095" t="s">
        <v>4602</v>
      </c>
      <c r="AN17" s="331" t="s">
        <v>4603</v>
      </c>
      <c r="AO17" s="4096" t="s">
        <v>4604</v>
      </c>
      <c r="AP17" s="3904" t="s">
        <v>4605</v>
      </c>
      <c r="AQ17" s="329" t="s">
        <v>4606</v>
      </c>
      <c r="AR17" s="3968" t="s">
        <v>4934</v>
      </c>
      <c r="AS17" s="3968" t="s">
        <v>4935</v>
      </c>
      <c r="AT17" s="4097" t="s">
        <v>4936</v>
      </c>
      <c r="AU17" s="3968" t="s">
        <v>4937</v>
      </c>
      <c r="AV17" s="3968" t="s">
        <v>5234</v>
      </c>
      <c r="AW17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7" s="1865" t="str">
        <f t="shared" si="1"/>
        <v xml:space="preserve">* El Número de Espacios Amigables no puede superar el Total. </v>
      </c>
      <c r="CC17" s="1865" t="str">
        <f t="shared" si="2"/>
        <v xml:space="preserve">* El Número de TRANS Masculino no puede superar el Total Mujeres. </v>
      </c>
      <c r="CD17" s="1865" t="str">
        <f t="shared" si="3"/>
        <v xml:space="preserve">* El Número de TRANS Femenino no puede superar el Total Hombres. </v>
      </c>
      <c r="CE17" s="1865" t="str">
        <f t="shared" si="4"/>
        <v xml:space="preserve">* El Número de Pueblos Originarios no puede superar el Total. </v>
      </c>
      <c r="CF17" s="1865" t="str">
        <f t="shared" si="5"/>
        <v xml:space="preserve">* El Número de Migrantes no puede superar el Total. </v>
      </c>
      <c r="CG17" s="1866"/>
      <c r="CH17" s="1865" t="str">
        <f t="shared" si="6"/>
        <v xml:space="preserve">* El Número de Niños, Niñas, Adolescentes y Jóvenes SENAME no puede superar el Total. </v>
      </c>
      <c r="CI17" s="1865" t="str">
        <f t="shared" si="7"/>
        <v xml:space="preserve">* El Número de Niños, Niñas, Adolescentes y Jóvenes Mejor Niñez no puede superar el Total. </v>
      </c>
      <c r="CJ17" s="1936"/>
      <c r="CK17" s="1867">
        <f t="shared" si="8"/>
        <v>1</v>
      </c>
      <c r="CL17" s="1867">
        <f t="shared" si="9"/>
        <v>1</v>
      </c>
      <c r="CM17" s="1867">
        <f t="shared" si="10"/>
        <v>1</v>
      </c>
      <c r="CN17" s="1867">
        <f t="shared" si="11"/>
        <v>1</v>
      </c>
      <c r="CO17" s="1867">
        <f t="shared" si="11"/>
        <v>1</v>
      </c>
      <c r="CP17" s="1868"/>
      <c r="CQ17" s="1867">
        <f t="shared" si="12"/>
        <v>1</v>
      </c>
      <c r="CR17" s="1867">
        <f t="shared" si="12"/>
        <v>1</v>
      </c>
    </row>
    <row r="18" spans="1:100" x14ac:dyDescent="0.25">
      <c r="A18" s="5818">
        <v>19120208</v>
      </c>
      <c r="B18" s="6058"/>
      <c r="C18" s="4093" t="s">
        <v>1034</v>
      </c>
      <c r="D18" s="3908" t="s">
        <v>4567</v>
      </c>
      <c r="E18" s="3978" t="s">
        <v>4568</v>
      </c>
      <c r="F18" s="4094" t="s">
        <v>4569</v>
      </c>
      <c r="G18" s="3913" t="s">
        <v>4570</v>
      </c>
      <c r="H18" s="329" t="s">
        <v>4571</v>
      </c>
      <c r="I18" s="3913" t="s">
        <v>4572</v>
      </c>
      <c r="J18" s="329" t="s">
        <v>4573</v>
      </c>
      <c r="K18" s="3913" t="s">
        <v>4574</v>
      </c>
      <c r="L18" s="1969" t="s">
        <v>4575</v>
      </c>
      <c r="M18" s="3913" t="s">
        <v>4576</v>
      </c>
      <c r="N18" s="1969" t="s">
        <v>4577</v>
      </c>
      <c r="O18" s="3913" t="s">
        <v>4578</v>
      </c>
      <c r="P18" s="1969" t="s">
        <v>4579</v>
      </c>
      <c r="Q18" s="3913" t="s">
        <v>4580</v>
      </c>
      <c r="R18" s="1969" t="s">
        <v>4581</v>
      </c>
      <c r="S18" s="3913" t="s">
        <v>4582</v>
      </c>
      <c r="T18" s="1969" t="s">
        <v>4583</v>
      </c>
      <c r="U18" s="3913" t="s">
        <v>4584</v>
      </c>
      <c r="V18" s="1969" t="s">
        <v>4585</v>
      </c>
      <c r="W18" s="3913" t="s">
        <v>4586</v>
      </c>
      <c r="X18" s="1969" t="s">
        <v>4587</v>
      </c>
      <c r="Y18" s="3913" t="s">
        <v>4588</v>
      </c>
      <c r="Z18" s="1969" t="s">
        <v>4589</v>
      </c>
      <c r="AA18" s="3913" t="s">
        <v>4590</v>
      </c>
      <c r="AB18" s="1969" t="s">
        <v>4591</v>
      </c>
      <c r="AC18" s="3913" t="s">
        <v>4592</v>
      </c>
      <c r="AD18" s="1969" t="s">
        <v>4593</v>
      </c>
      <c r="AE18" s="3913" t="s">
        <v>4594</v>
      </c>
      <c r="AF18" s="1969" t="s">
        <v>4595</v>
      </c>
      <c r="AG18" s="3913" t="s">
        <v>4596</v>
      </c>
      <c r="AH18" s="1969" t="s">
        <v>4597</v>
      </c>
      <c r="AI18" s="3913" t="s">
        <v>4598</v>
      </c>
      <c r="AJ18" s="1969" t="s">
        <v>4599</v>
      </c>
      <c r="AK18" s="3913" t="s">
        <v>4600</v>
      </c>
      <c r="AL18" s="1969" t="s">
        <v>4601</v>
      </c>
      <c r="AM18" s="4095" t="s">
        <v>4602</v>
      </c>
      <c r="AN18" s="331" t="s">
        <v>4603</v>
      </c>
      <c r="AO18" s="4096" t="s">
        <v>4604</v>
      </c>
      <c r="AP18" s="3904" t="s">
        <v>4605</v>
      </c>
      <c r="AQ18" s="329" t="s">
        <v>4606</v>
      </c>
      <c r="AR18" s="3968" t="s">
        <v>4934</v>
      </c>
      <c r="AS18" s="3968" t="s">
        <v>4935</v>
      </c>
      <c r="AT18" s="4097" t="s">
        <v>4936</v>
      </c>
      <c r="AU18" s="3968" t="s">
        <v>4937</v>
      </c>
      <c r="AV18" s="3968" t="s">
        <v>5234</v>
      </c>
      <c r="AW18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8" s="1865" t="str">
        <f t="shared" si="1"/>
        <v xml:space="preserve">* El Número de Espacios Amigables no puede superar el Total. </v>
      </c>
      <c r="CC18" s="1865" t="str">
        <f t="shared" si="2"/>
        <v xml:space="preserve">* El Número de TRANS Masculino no puede superar el Total Mujeres. </v>
      </c>
      <c r="CD18" s="1865" t="str">
        <f t="shared" si="3"/>
        <v xml:space="preserve">* El Número de TRANS Femenino no puede superar el Total Hombres. </v>
      </c>
      <c r="CE18" s="1865" t="str">
        <f t="shared" si="4"/>
        <v xml:space="preserve">* El Número de Pueblos Originarios no puede superar el Total. </v>
      </c>
      <c r="CF18" s="1865" t="str">
        <f t="shared" si="5"/>
        <v xml:space="preserve">* El Número de Migrantes no puede superar el Total. </v>
      </c>
      <c r="CG18" s="1866"/>
      <c r="CH18" s="1865" t="str">
        <f t="shared" si="6"/>
        <v xml:space="preserve">* El Número de Niños, Niñas, Adolescentes y Jóvenes SENAME no puede superar el Total. </v>
      </c>
      <c r="CI18" s="1865" t="str">
        <f t="shared" si="7"/>
        <v xml:space="preserve">* El Número de Niños, Niñas, Adolescentes y Jóvenes Mejor Niñez no puede superar el Total. </v>
      </c>
      <c r="CJ18" s="1936"/>
      <c r="CK18" s="1867">
        <f t="shared" si="8"/>
        <v>1</v>
      </c>
      <c r="CL18" s="1867">
        <f t="shared" si="9"/>
        <v>1</v>
      </c>
      <c r="CM18" s="1867">
        <f t="shared" si="10"/>
        <v>1</v>
      </c>
      <c r="CN18" s="1867">
        <f t="shared" si="11"/>
        <v>1</v>
      </c>
      <c r="CO18" s="1867">
        <f t="shared" si="11"/>
        <v>1</v>
      </c>
      <c r="CP18" s="1868"/>
      <c r="CQ18" s="1867">
        <f t="shared" si="12"/>
        <v>1</v>
      </c>
      <c r="CR18" s="1867">
        <f t="shared" si="12"/>
        <v>1</v>
      </c>
    </row>
    <row r="19" spans="1:100" x14ac:dyDescent="0.25">
      <c r="A19" s="5818">
        <v>19120210</v>
      </c>
      <c r="B19" s="6058"/>
      <c r="C19" s="4093" t="s">
        <v>1406</v>
      </c>
      <c r="D19" s="3908" t="s">
        <v>4567</v>
      </c>
      <c r="E19" s="3978" t="s">
        <v>4568</v>
      </c>
      <c r="F19" s="4094" t="s">
        <v>4569</v>
      </c>
      <c r="G19" s="3913" t="s">
        <v>4570</v>
      </c>
      <c r="H19" s="329" t="s">
        <v>4571</v>
      </c>
      <c r="I19" s="3913" t="s">
        <v>4572</v>
      </c>
      <c r="J19" s="329" t="s">
        <v>4573</v>
      </c>
      <c r="K19" s="3913" t="s">
        <v>4574</v>
      </c>
      <c r="L19" s="1969" t="s">
        <v>4575</v>
      </c>
      <c r="M19" s="3913" t="s">
        <v>4576</v>
      </c>
      <c r="N19" s="1969" t="s">
        <v>4577</v>
      </c>
      <c r="O19" s="3913" t="s">
        <v>4578</v>
      </c>
      <c r="P19" s="1969" t="s">
        <v>4579</v>
      </c>
      <c r="Q19" s="3913" t="s">
        <v>4580</v>
      </c>
      <c r="R19" s="1969" t="s">
        <v>4581</v>
      </c>
      <c r="S19" s="3913" t="s">
        <v>4582</v>
      </c>
      <c r="T19" s="1969" t="s">
        <v>4583</v>
      </c>
      <c r="U19" s="3913" t="s">
        <v>4584</v>
      </c>
      <c r="V19" s="1969" t="s">
        <v>4585</v>
      </c>
      <c r="W19" s="3913" t="s">
        <v>4586</v>
      </c>
      <c r="X19" s="1969" t="s">
        <v>4587</v>
      </c>
      <c r="Y19" s="3913" t="s">
        <v>4588</v>
      </c>
      <c r="Z19" s="1969" t="s">
        <v>4589</v>
      </c>
      <c r="AA19" s="3913" t="s">
        <v>4590</v>
      </c>
      <c r="AB19" s="1969" t="s">
        <v>4591</v>
      </c>
      <c r="AC19" s="3913" t="s">
        <v>4592</v>
      </c>
      <c r="AD19" s="1969" t="s">
        <v>4593</v>
      </c>
      <c r="AE19" s="3913" t="s">
        <v>4594</v>
      </c>
      <c r="AF19" s="1969" t="s">
        <v>4595</v>
      </c>
      <c r="AG19" s="3913" t="s">
        <v>4596</v>
      </c>
      <c r="AH19" s="1969" t="s">
        <v>4597</v>
      </c>
      <c r="AI19" s="3913" t="s">
        <v>4598</v>
      </c>
      <c r="AJ19" s="1969" t="s">
        <v>4599</v>
      </c>
      <c r="AK19" s="3913" t="s">
        <v>4600</v>
      </c>
      <c r="AL19" s="1969" t="s">
        <v>4601</v>
      </c>
      <c r="AM19" s="4095" t="s">
        <v>4602</v>
      </c>
      <c r="AN19" s="331" t="s">
        <v>4603</v>
      </c>
      <c r="AO19" s="4096" t="s">
        <v>4604</v>
      </c>
      <c r="AP19" s="3904" t="s">
        <v>4605</v>
      </c>
      <c r="AQ19" s="329" t="s">
        <v>4606</v>
      </c>
      <c r="AR19" s="3968" t="s">
        <v>4934</v>
      </c>
      <c r="AS19" s="3968" t="s">
        <v>4935</v>
      </c>
      <c r="AT19" s="4097" t="s">
        <v>4936</v>
      </c>
      <c r="AU19" s="3968" t="s">
        <v>4937</v>
      </c>
      <c r="AV19" s="3968" t="s">
        <v>5234</v>
      </c>
      <c r="AW19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9" s="1865" t="str">
        <f t="shared" si="1"/>
        <v xml:space="preserve">* El Número de Espacios Amigables no puede superar el Total. </v>
      </c>
      <c r="CC19" s="1865" t="str">
        <f t="shared" si="2"/>
        <v xml:space="preserve">* El Número de TRANS Masculino no puede superar el Total Mujeres. </v>
      </c>
      <c r="CD19" s="1865" t="str">
        <f t="shared" si="3"/>
        <v xml:space="preserve">* El Número de TRANS Femenino no puede superar el Total Hombres. </v>
      </c>
      <c r="CE19" s="1865" t="str">
        <f t="shared" si="4"/>
        <v xml:space="preserve">* El Número de Pueblos Originarios no puede superar el Total. </v>
      </c>
      <c r="CF19" s="1865" t="str">
        <f t="shared" si="5"/>
        <v xml:space="preserve">* El Número de Migrantes no puede superar el Total. </v>
      </c>
      <c r="CG19" s="1866"/>
      <c r="CH19" s="1865" t="str">
        <f t="shared" si="6"/>
        <v xml:space="preserve">* El Número de Niños, Niñas, Adolescentes y Jóvenes SENAME no puede superar el Total. </v>
      </c>
      <c r="CI19" s="1865" t="str">
        <f t="shared" si="7"/>
        <v xml:space="preserve">* El Número de Niños, Niñas, Adolescentes y Jóvenes Mejor Niñez no puede superar el Total. </v>
      </c>
      <c r="CJ19" s="1936"/>
      <c r="CK19" s="1867">
        <f t="shared" si="8"/>
        <v>1</v>
      </c>
      <c r="CL19" s="1867">
        <f t="shared" si="9"/>
        <v>1</v>
      </c>
      <c r="CM19" s="1867">
        <f t="shared" si="10"/>
        <v>1</v>
      </c>
      <c r="CN19" s="1867">
        <f t="shared" si="11"/>
        <v>1</v>
      </c>
      <c r="CO19" s="1867">
        <f t="shared" si="11"/>
        <v>1</v>
      </c>
      <c r="CP19" s="1868"/>
      <c r="CQ19" s="1867">
        <f t="shared" si="12"/>
        <v>1</v>
      </c>
      <c r="CR19" s="1867">
        <f t="shared" si="12"/>
        <v>1</v>
      </c>
    </row>
    <row r="20" spans="1:100" x14ac:dyDescent="0.25">
      <c r="A20" s="5818">
        <v>19170100</v>
      </c>
      <c r="B20" s="6058"/>
      <c r="C20" s="4098" t="s">
        <v>2063</v>
      </c>
      <c r="D20" s="3836" t="s">
        <v>4567</v>
      </c>
      <c r="E20" s="3989" t="s">
        <v>4568</v>
      </c>
      <c r="F20" s="3318" t="s">
        <v>4569</v>
      </c>
      <c r="G20" s="212" t="s">
        <v>4570</v>
      </c>
      <c r="H20" s="34" t="s">
        <v>4571</v>
      </c>
      <c r="I20" s="212" t="s">
        <v>4572</v>
      </c>
      <c r="J20" s="34" t="s">
        <v>4573</v>
      </c>
      <c r="K20" s="212" t="s">
        <v>4574</v>
      </c>
      <c r="L20" s="1136" t="s">
        <v>4575</v>
      </c>
      <c r="M20" s="212" t="s">
        <v>4576</v>
      </c>
      <c r="N20" s="1136" t="s">
        <v>4577</v>
      </c>
      <c r="O20" s="212" t="s">
        <v>4578</v>
      </c>
      <c r="P20" s="1136" t="s">
        <v>4579</v>
      </c>
      <c r="Q20" s="212" t="s">
        <v>4580</v>
      </c>
      <c r="R20" s="1136" t="s">
        <v>4581</v>
      </c>
      <c r="S20" s="212" t="s">
        <v>4582</v>
      </c>
      <c r="T20" s="1136" t="s">
        <v>4583</v>
      </c>
      <c r="U20" s="212" t="s">
        <v>4584</v>
      </c>
      <c r="V20" s="1136" t="s">
        <v>4585</v>
      </c>
      <c r="W20" s="212" t="s">
        <v>4586</v>
      </c>
      <c r="X20" s="1136" t="s">
        <v>4587</v>
      </c>
      <c r="Y20" s="212" t="s">
        <v>4588</v>
      </c>
      <c r="Z20" s="1136" t="s">
        <v>4589</v>
      </c>
      <c r="AA20" s="212" t="s">
        <v>4590</v>
      </c>
      <c r="AB20" s="1136" t="s">
        <v>4591</v>
      </c>
      <c r="AC20" s="212" t="s">
        <v>4592</v>
      </c>
      <c r="AD20" s="1136" t="s">
        <v>4593</v>
      </c>
      <c r="AE20" s="212" t="s">
        <v>4594</v>
      </c>
      <c r="AF20" s="1136" t="s">
        <v>4595</v>
      </c>
      <c r="AG20" s="212" t="s">
        <v>4596</v>
      </c>
      <c r="AH20" s="1136" t="s">
        <v>4597</v>
      </c>
      <c r="AI20" s="212" t="s">
        <v>4598</v>
      </c>
      <c r="AJ20" s="1136" t="s">
        <v>4599</v>
      </c>
      <c r="AK20" s="212" t="s">
        <v>4600</v>
      </c>
      <c r="AL20" s="1136" t="s">
        <v>4601</v>
      </c>
      <c r="AM20" s="2210" t="s">
        <v>4602</v>
      </c>
      <c r="AN20" s="2410" t="s">
        <v>4603</v>
      </c>
      <c r="AO20" s="4096" t="s">
        <v>4604</v>
      </c>
      <c r="AP20" s="1137" t="s">
        <v>4605</v>
      </c>
      <c r="AQ20" s="329" t="s">
        <v>4606</v>
      </c>
      <c r="AR20" s="3968" t="s">
        <v>4934</v>
      </c>
      <c r="AS20" s="3968" t="s">
        <v>4935</v>
      </c>
      <c r="AT20" s="4097" t="s">
        <v>4936</v>
      </c>
      <c r="AU20" s="3968" t="s">
        <v>4937</v>
      </c>
      <c r="AV20" s="3968" t="s">
        <v>5234</v>
      </c>
      <c r="AW20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0" s="1865" t="str">
        <f t="shared" si="1"/>
        <v xml:space="preserve">* El Número de Espacios Amigables no puede superar el Total. </v>
      </c>
      <c r="CC20" s="1865" t="str">
        <f t="shared" si="2"/>
        <v xml:space="preserve">* El Número de TRANS Masculino no puede superar el Total Mujeres. </v>
      </c>
      <c r="CD20" s="1865" t="str">
        <f t="shared" si="3"/>
        <v xml:space="preserve">* El Número de TRANS Femenino no puede superar el Total Hombres. </v>
      </c>
      <c r="CE20" s="1865" t="str">
        <f t="shared" si="4"/>
        <v xml:space="preserve">* El Número de Pueblos Originarios no puede superar el Total. </v>
      </c>
      <c r="CF20" s="1865" t="str">
        <f t="shared" si="5"/>
        <v xml:space="preserve">* El Número de Migrantes no puede superar el Total. </v>
      </c>
      <c r="CG20" s="1866"/>
      <c r="CH20" s="1865" t="str">
        <f t="shared" si="6"/>
        <v xml:space="preserve">* El Número de Niños, Niñas, Adolescentes y Jóvenes SENAME no puede superar el Total. </v>
      </c>
      <c r="CI20" s="1865" t="str">
        <f t="shared" si="7"/>
        <v xml:space="preserve">* El Número de Niños, Niñas, Adolescentes y Jóvenes Mejor Niñez no puede superar el Total. </v>
      </c>
      <c r="CJ20" s="1936"/>
      <c r="CK20" s="1867">
        <f t="shared" si="8"/>
        <v>1</v>
      </c>
      <c r="CL20" s="1867">
        <f t="shared" si="9"/>
        <v>1</v>
      </c>
      <c r="CM20" s="1867">
        <f t="shared" si="10"/>
        <v>1</v>
      </c>
      <c r="CN20" s="1867">
        <f t="shared" si="11"/>
        <v>1</v>
      </c>
      <c r="CO20" s="1867">
        <f t="shared" si="11"/>
        <v>1</v>
      </c>
      <c r="CP20" s="1868"/>
      <c r="CQ20" s="1867">
        <f t="shared" si="12"/>
        <v>1</v>
      </c>
      <c r="CR20" s="1867">
        <f t="shared" si="12"/>
        <v>1</v>
      </c>
    </row>
    <row r="21" spans="1:100" x14ac:dyDescent="0.25">
      <c r="A21" s="5818">
        <v>19120211</v>
      </c>
      <c r="B21" s="6058"/>
      <c r="C21" s="4093" t="s">
        <v>2064</v>
      </c>
      <c r="D21" s="3908" t="s">
        <v>4567</v>
      </c>
      <c r="E21" s="3978" t="s">
        <v>4568</v>
      </c>
      <c r="F21" s="4094" t="s">
        <v>4569</v>
      </c>
      <c r="G21" s="3913" t="s">
        <v>4570</v>
      </c>
      <c r="H21" s="329" t="s">
        <v>4571</v>
      </c>
      <c r="I21" s="3913" t="s">
        <v>4572</v>
      </c>
      <c r="J21" s="329" t="s">
        <v>4573</v>
      </c>
      <c r="K21" s="3913" t="s">
        <v>4574</v>
      </c>
      <c r="L21" s="1969" t="s">
        <v>4575</v>
      </c>
      <c r="M21" s="3913" t="s">
        <v>4576</v>
      </c>
      <c r="N21" s="1969" t="s">
        <v>4577</v>
      </c>
      <c r="O21" s="3913" t="s">
        <v>4578</v>
      </c>
      <c r="P21" s="1969" t="s">
        <v>4579</v>
      </c>
      <c r="Q21" s="3913" t="s">
        <v>4580</v>
      </c>
      <c r="R21" s="1969" t="s">
        <v>4581</v>
      </c>
      <c r="S21" s="3913" t="s">
        <v>4582</v>
      </c>
      <c r="T21" s="1969" t="s">
        <v>4583</v>
      </c>
      <c r="U21" s="3913" t="s">
        <v>4584</v>
      </c>
      <c r="V21" s="1969" t="s">
        <v>4585</v>
      </c>
      <c r="W21" s="3913" t="s">
        <v>4586</v>
      </c>
      <c r="X21" s="1969" t="s">
        <v>4587</v>
      </c>
      <c r="Y21" s="3913" t="s">
        <v>4588</v>
      </c>
      <c r="Z21" s="1969" t="s">
        <v>4589</v>
      </c>
      <c r="AA21" s="3913" t="s">
        <v>4590</v>
      </c>
      <c r="AB21" s="1969" t="s">
        <v>4591</v>
      </c>
      <c r="AC21" s="3913" t="s">
        <v>4592</v>
      </c>
      <c r="AD21" s="1969" t="s">
        <v>4593</v>
      </c>
      <c r="AE21" s="3913" t="s">
        <v>4594</v>
      </c>
      <c r="AF21" s="1969" t="s">
        <v>4595</v>
      </c>
      <c r="AG21" s="3913" t="s">
        <v>4596</v>
      </c>
      <c r="AH21" s="1969" t="s">
        <v>4597</v>
      </c>
      <c r="AI21" s="3913" t="s">
        <v>4598</v>
      </c>
      <c r="AJ21" s="1969" t="s">
        <v>4599</v>
      </c>
      <c r="AK21" s="3913" t="s">
        <v>4600</v>
      </c>
      <c r="AL21" s="1969" t="s">
        <v>4601</v>
      </c>
      <c r="AM21" s="4095" t="s">
        <v>4602</v>
      </c>
      <c r="AN21" s="331" t="s">
        <v>4603</v>
      </c>
      <c r="AO21" s="4096" t="s">
        <v>4604</v>
      </c>
      <c r="AP21" s="3904" t="s">
        <v>4605</v>
      </c>
      <c r="AQ21" s="329" t="s">
        <v>4606</v>
      </c>
      <c r="AR21" s="3968" t="s">
        <v>4934</v>
      </c>
      <c r="AS21" s="3968" t="s">
        <v>4935</v>
      </c>
      <c r="AT21" s="4097" t="s">
        <v>4936</v>
      </c>
      <c r="AU21" s="3968" t="s">
        <v>4937</v>
      </c>
      <c r="AV21" s="3968" t="s">
        <v>5234</v>
      </c>
      <c r="AW21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1" s="1865" t="str">
        <f t="shared" si="1"/>
        <v xml:space="preserve">* El Número de Espacios Amigables no puede superar el Total. </v>
      </c>
      <c r="CC21" s="1865" t="str">
        <f t="shared" si="2"/>
        <v xml:space="preserve">* El Número de TRANS Masculino no puede superar el Total Mujeres. </v>
      </c>
      <c r="CD21" s="1865" t="str">
        <f t="shared" si="3"/>
        <v xml:space="preserve">* El Número de TRANS Femenino no puede superar el Total Hombres. </v>
      </c>
      <c r="CE21" s="1865" t="str">
        <f t="shared" si="4"/>
        <v xml:space="preserve">* El Número de Pueblos Originarios no puede superar el Total. </v>
      </c>
      <c r="CF21" s="1865" t="str">
        <f t="shared" si="5"/>
        <v xml:space="preserve">* El Número de Migrantes no puede superar el Total. </v>
      </c>
      <c r="CG21" s="1866"/>
      <c r="CH21" s="1865" t="str">
        <f t="shared" si="6"/>
        <v xml:space="preserve">* El Número de Niños, Niñas, Adolescentes y Jóvenes SENAME no puede superar el Total. </v>
      </c>
      <c r="CI21" s="1865" t="str">
        <f t="shared" si="7"/>
        <v xml:space="preserve">* El Número de Niños, Niñas, Adolescentes y Jóvenes Mejor Niñez no puede superar el Total. </v>
      </c>
      <c r="CJ21" s="1936"/>
      <c r="CK21" s="1867">
        <f t="shared" si="8"/>
        <v>1</v>
      </c>
      <c r="CL21" s="1867">
        <f t="shared" si="9"/>
        <v>1</v>
      </c>
      <c r="CM21" s="1867">
        <f t="shared" si="10"/>
        <v>1</v>
      </c>
      <c r="CN21" s="1867">
        <f t="shared" si="11"/>
        <v>1</v>
      </c>
      <c r="CO21" s="1867">
        <f t="shared" si="11"/>
        <v>1</v>
      </c>
      <c r="CP21" s="1868"/>
      <c r="CQ21" s="1867">
        <f t="shared" si="12"/>
        <v>1</v>
      </c>
      <c r="CR21" s="1867">
        <f t="shared" si="12"/>
        <v>1</v>
      </c>
    </row>
    <row r="22" spans="1:100" x14ac:dyDescent="0.25">
      <c r="A22" s="5818">
        <v>19120212</v>
      </c>
      <c r="B22" s="6058"/>
      <c r="C22" s="24" t="s">
        <v>2065</v>
      </c>
      <c r="D22" s="3908" t="s">
        <v>4567</v>
      </c>
      <c r="E22" s="210" t="s">
        <v>4568</v>
      </c>
      <c r="F22" s="4099" t="s">
        <v>4569</v>
      </c>
      <c r="G22" s="3913" t="s">
        <v>4570</v>
      </c>
      <c r="H22" s="329" t="s">
        <v>4571</v>
      </c>
      <c r="I22" s="3913" t="s">
        <v>4572</v>
      </c>
      <c r="J22" s="329" t="s">
        <v>4573</v>
      </c>
      <c r="K22" s="3913" t="s">
        <v>4574</v>
      </c>
      <c r="L22" s="1969" t="s">
        <v>4575</v>
      </c>
      <c r="M22" s="3913" t="s">
        <v>4576</v>
      </c>
      <c r="N22" s="1969" t="s">
        <v>4577</v>
      </c>
      <c r="O22" s="3913" t="s">
        <v>4578</v>
      </c>
      <c r="P22" s="1969" t="s">
        <v>4579</v>
      </c>
      <c r="Q22" s="3913" t="s">
        <v>4580</v>
      </c>
      <c r="R22" s="1969" t="s">
        <v>4581</v>
      </c>
      <c r="S22" s="3913" t="s">
        <v>4582</v>
      </c>
      <c r="T22" s="1969" t="s">
        <v>4583</v>
      </c>
      <c r="U22" s="3913" t="s">
        <v>4584</v>
      </c>
      <c r="V22" s="1969" t="s">
        <v>4585</v>
      </c>
      <c r="W22" s="3913" t="s">
        <v>4586</v>
      </c>
      <c r="X22" s="1969" t="s">
        <v>4587</v>
      </c>
      <c r="Y22" s="3913" t="s">
        <v>4588</v>
      </c>
      <c r="Z22" s="1969" t="s">
        <v>4589</v>
      </c>
      <c r="AA22" s="3913" t="s">
        <v>4590</v>
      </c>
      <c r="AB22" s="1969" t="s">
        <v>4591</v>
      </c>
      <c r="AC22" s="3913" t="s">
        <v>4592</v>
      </c>
      <c r="AD22" s="1969" t="s">
        <v>4593</v>
      </c>
      <c r="AE22" s="3913" t="s">
        <v>4594</v>
      </c>
      <c r="AF22" s="1969" t="s">
        <v>4595</v>
      </c>
      <c r="AG22" s="3913" t="s">
        <v>4596</v>
      </c>
      <c r="AH22" s="1969" t="s">
        <v>4597</v>
      </c>
      <c r="AI22" s="3913" t="s">
        <v>4598</v>
      </c>
      <c r="AJ22" s="1969" t="s">
        <v>4599</v>
      </c>
      <c r="AK22" s="3913" t="s">
        <v>4600</v>
      </c>
      <c r="AL22" s="1969" t="s">
        <v>4601</v>
      </c>
      <c r="AM22" s="4100" t="s">
        <v>4602</v>
      </c>
      <c r="AN22" s="331" t="s">
        <v>4603</v>
      </c>
      <c r="AO22" s="4096" t="s">
        <v>4604</v>
      </c>
      <c r="AP22" s="3904" t="s">
        <v>4605</v>
      </c>
      <c r="AQ22" s="329" t="s">
        <v>4606</v>
      </c>
      <c r="AR22" s="3968" t="s">
        <v>4934</v>
      </c>
      <c r="AS22" s="3968" t="s">
        <v>4935</v>
      </c>
      <c r="AT22" s="4097" t="s">
        <v>4936</v>
      </c>
      <c r="AU22" s="3968" t="s">
        <v>4937</v>
      </c>
      <c r="AV22" s="3968" t="s">
        <v>5234</v>
      </c>
      <c r="AW22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2" s="1865" t="str">
        <f t="shared" si="1"/>
        <v xml:space="preserve">* El Número de Espacios Amigables no puede superar el Total. </v>
      </c>
      <c r="CC22" s="1865" t="str">
        <f t="shared" si="2"/>
        <v xml:space="preserve">* El Número de TRANS Masculino no puede superar el Total Mujeres. </v>
      </c>
      <c r="CD22" s="1865" t="str">
        <f t="shared" si="3"/>
        <v xml:space="preserve">* El Número de TRANS Femenino no puede superar el Total Hombres. </v>
      </c>
      <c r="CE22" s="1865" t="str">
        <f t="shared" si="4"/>
        <v xml:space="preserve">* El Número de Pueblos Originarios no puede superar el Total. </v>
      </c>
      <c r="CF22" s="1865" t="str">
        <f t="shared" si="5"/>
        <v xml:space="preserve">* El Número de Migrantes no puede superar el Total. </v>
      </c>
      <c r="CG22" s="1866"/>
      <c r="CH22" s="1865" t="str">
        <f t="shared" si="6"/>
        <v xml:space="preserve">* El Número de Niños, Niñas, Adolescentes y Jóvenes SENAME no puede superar el Total. </v>
      </c>
      <c r="CI22" s="1865" t="str">
        <f t="shared" si="7"/>
        <v xml:space="preserve">* El Número de Niños, Niñas, Adolescentes y Jóvenes Mejor Niñez no puede superar el Total. </v>
      </c>
      <c r="CJ22" s="1936"/>
      <c r="CK22" s="1867">
        <f t="shared" si="8"/>
        <v>1</v>
      </c>
      <c r="CL22" s="1867">
        <f t="shared" si="9"/>
        <v>1</v>
      </c>
      <c r="CM22" s="1867">
        <f t="shared" si="10"/>
        <v>1</v>
      </c>
      <c r="CN22" s="1867">
        <f t="shared" si="11"/>
        <v>1</v>
      </c>
      <c r="CO22" s="1867">
        <f t="shared" si="11"/>
        <v>1</v>
      </c>
      <c r="CP22" s="1868"/>
      <c r="CQ22" s="1867">
        <f t="shared" si="12"/>
        <v>1</v>
      </c>
      <c r="CR22" s="1867">
        <f t="shared" si="12"/>
        <v>1</v>
      </c>
    </row>
    <row r="23" spans="1:100" x14ac:dyDescent="0.25">
      <c r="A23" s="5818">
        <v>19120205</v>
      </c>
      <c r="B23" s="6842"/>
      <c r="C23" s="516" t="s">
        <v>99</v>
      </c>
      <c r="D23" s="623" t="s">
        <v>4567</v>
      </c>
      <c r="E23" s="3994" t="s">
        <v>4568</v>
      </c>
      <c r="F23" s="4101" t="s">
        <v>4569</v>
      </c>
      <c r="G23" s="874" t="s">
        <v>4570</v>
      </c>
      <c r="H23" s="3416" t="s">
        <v>4571</v>
      </c>
      <c r="I23" s="874" t="s">
        <v>4572</v>
      </c>
      <c r="J23" s="3416" t="s">
        <v>4573</v>
      </c>
      <c r="K23" s="874" t="s">
        <v>4574</v>
      </c>
      <c r="L23" s="324" t="s">
        <v>4575</v>
      </c>
      <c r="M23" s="874" t="s">
        <v>4576</v>
      </c>
      <c r="N23" s="324" t="s">
        <v>4577</v>
      </c>
      <c r="O23" s="874" t="s">
        <v>4578</v>
      </c>
      <c r="P23" s="324" t="s">
        <v>4579</v>
      </c>
      <c r="Q23" s="874" t="s">
        <v>4580</v>
      </c>
      <c r="R23" s="324" t="s">
        <v>4581</v>
      </c>
      <c r="S23" s="874" t="s">
        <v>4582</v>
      </c>
      <c r="T23" s="324" t="s">
        <v>4583</v>
      </c>
      <c r="U23" s="874" t="s">
        <v>4584</v>
      </c>
      <c r="V23" s="324" t="s">
        <v>4585</v>
      </c>
      <c r="W23" s="874" t="s">
        <v>4586</v>
      </c>
      <c r="X23" s="324" t="s">
        <v>4587</v>
      </c>
      <c r="Y23" s="874" t="s">
        <v>4588</v>
      </c>
      <c r="Z23" s="324" t="s">
        <v>4589</v>
      </c>
      <c r="AA23" s="874" t="s">
        <v>4590</v>
      </c>
      <c r="AB23" s="324" t="s">
        <v>4591</v>
      </c>
      <c r="AC23" s="874" t="s">
        <v>4592</v>
      </c>
      <c r="AD23" s="324" t="s">
        <v>4593</v>
      </c>
      <c r="AE23" s="874" t="s">
        <v>4594</v>
      </c>
      <c r="AF23" s="324" t="s">
        <v>4595</v>
      </c>
      <c r="AG23" s="874" t="s">
        <v>4596</v>
      </c>
      <c r="AH23" s="324" t="s">
        <v>4597</v>
      </c>
      <c r="AI23" s="874" t="s">
        <v>4598</v>
      </c>
      <c r="AJ23" s="324" t="s">
        <v>4599</v>
      </c>
      <c r="AK23" s="874" t="s">
        <v>4600</v>
      </c>
      <c r="AL23" s="324" t="s">
        <v>4601</v>
      </c>
      <c r="AM23" s="853" t="s">
        <v>4602</v>
      </c>
      <c r="AN23" s="325" t="s">
        <v>4603</v>
      </c>
      <c r="AO23" s="2286" t="s">
        <v>4604</v>
      </c>
      <c r="AP23" s="4039" t="s">
        <v>4605</v>
      </c>
      <c r="AQ23" s="854" t="s">
        <v>4606</v>
      </c>
      <c r="AR23" s="1920" t="s">
        <v>4934</v>
      </c>
      <c r="AS23" s="1920" t="s">
        <v>4935</v>
      </c>
      <c r="AT23" s="1881" t="s">
        <v>4936</v>
      </c>
      <c r="AU23" s="1920" t="s">
        <v>4937</v>
      </c>
      <c r="AV23" s="1920" t="s">
        <v>5234</v>
      </c>
      <c r="AW23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3" s="1865" t="str">
        <f t="shared" si="1"/>
        <v xml:space="preserve">* El Número de Espacios Amigables no puede superar el Total. </v>
      </c>
      <c r="CC23" s="1865" t="str">
        <f t="shared" si="2"/>
        <v xml:space="preserve">* El Número de TRANS Masculino no puede superar el Total Mujeres. </v>
      </c>
      <c r="CD23" s="1865" t="str">
        <f t="shared" si="3"/>
        <v xml:space="preserve">* El Número de TRANS Femenino no puede superar el Total Hombres. </v>
      </c>
      <c r="CE23" s="1865" t="str">
        <f t="shared" si="4"/>
        <v xml:space="preserve">* El Número de Pueblos Originarios no puede superar el Total. </v>
      </c>
      <c r="CF23" s="1865" t="str">
        <f t="shared" si="5"/>
        <v xml:space="preserve">* El Número de Migrantes no puede superar el Total. </v>
      </c>
      <c r="CG23" s="1866"/>
      <c r="CH23" s="1865" t="str">
        <f t="shared" si="6"/>
        <v xml:space="preserve">* El Número de Niños, Niñas, Adolescentes y Jóvenes SENAME no puede superar el Total. </v>
      </c>
      <c r="CI23" s="1865" t="str">
        <f t="shared" si="7"/>
        <v xml:space="preserve">* El Número de Niños, Niñas, Adolescentes y Jóvenes Mejor Niñez no puede superar el Total. </v>
      </c>
      <c r="CJ23" s="1936"/>
      <c r="CK23" s="1867">
        <f t="shared" si="8"/>
        <v>1</v>
      </c>
      <c r="CL23" s="1867">
        <f t="shared" si="9"/>
        <v>1</v>
      </c>
      <c r="CM23" s="1867">
        <f t="shared" si="10"/>
        <v>1</v>
      </c>
      <c r="CN23" s="1867">
        <f t="shared" si="11"/>
        <v>1</v>
      </c>
      <c r="CO23" s="1867">
        <f t="shared" si="11"/>
        <v>1</v>
      </c>
      <c r="CP23" s="1868"/>
      <c r="CQ23" s="1867">
        <f t="shared" si="12"/>
        <v>1</v>
      </c>
      <c r="CR23" s="1867">
        <f t="shared" si="12"/>
        <v>1</v>
      </c>
    </row>
    <row r="24" spans="1:100" x14ac:dyDescent="0.25">
      <c r="A24" s="5818">
        <v>19184000</v>
      </c>
      <c r="B24" s="7164" t="s">
        <v>2066</v>
      </c>
      <c r="C24" s="3365" t="s">
        <v>64</v>
      </c>
      <c r="D24" s="3225" t="s">
        <v>4567</v>
      </c>
      <c r="E24" s="3972" t="s">
        <v>4568</v>
      </c>
      <c r="F24" s="4085" t="s">
        <v>4569</v>
      </c>
      <c r="G24" s="3927" t="s">
        <v>4570</v>
      </c>
      <c r="H24" s="4086" t="s">
        <v>4571</v>
      </c>
      <c r="I24" s="3927" t="s">
        <v>4572</v>
      </c>
      <c r="J24" s="4086" t="s">
        <v>4573</v>
      </c>
      <c r="K24" s="3927" t="s">
        <v>4574</v>
      </c>
      <c r="L24" s="3929" t="s">
        <v>4575</v>
      </c>
      <c r="M24" s="3927" t="s">
        <v>4576</v>
      </c>
      <c r="N24" s="3929" t="s">
        <v>4577</v>
      </c>
      <c r="O24" s="3927" t="s">
        <v>4578</v>
      </c>
      <c r="P24" s="3929" t="s">
        <v>4579</v>
      </c>
      <c r="Q24" s="3927" t="s">
        <v>4580</v>
      </c>
      <c r="R24" s="3929" t="s">
        <v>4581</v>
      </c>
      <c r="S24" s="3927" t="s">
        <v>4582</v>
      </c>
      <c r="T24" s="3929" t="s">
        <v>4583</v>
      </c>
      <c r="U24" s="3927" t="s">
        <v>4584</v>
      </c>
      <c r="V24" s="3929" t="s">
        <v>4585</v>
      </c>
      <c r="W24" s="3927" t="s">
        <v>4586</v>
      </c>
      <c r="X24" s="3929" t="s">
        <v>4587</v>
      </c>
      <c r="Y24" s="3927" t="s">
        <v>4588</v>
      </c>
      <c r="Z24" s="3929" t="s">
        <v>4589</v>
      </c>
      <c r="AA24" s="3927" t="s">
        <v>4590</v>
      </c>
      <c r="AB24" s="3929" t="s">
        <v>4591</v>
      </c>
      <c r="AC24" s="3927" t="s">
        <v>4592</v>
      </c>
      <c r="AD24" s="3929" t="s">
        <v>4593</v>
      </c>
      <c r="AE24" s="3927" t="s">
        <v>4594</v>
      </c>
      <c r="AF24" s="3929" t="s">
        <v>4595</v>
      </c>
      <c r="AG24" s="3927" t="s">
        <v>4596</v>
      </c>
      <c r="AH24" s="3929" t="s">
        <v>4597</v>
      </c>
      <c r="AI24" s="3927" t="s">
        <v>4598</v>
      </c>
      <c r="AJ24" s="3929" t="s">
        <v>4599</v>
      </c>
      <c r="AK24" s="3927" t="s">
        <v>4600</v>
      </c>
      <c r="AL24" s="3929" t="s">
        <v>4601</v>
      </c>
      <c r="AM24" s="4087" t="s">
        <v>4602</v>
      </c>
      <c r="AN24" s="4088" t="s">
        <v>4603</v>
      </c>
      <c r="AO24" s="4089" t="s">
        <v>4604</v>
      </c>
      <c r="AP24" s="4090" t="s">
        <v>4605</v>
      </c>
      <c r="AQ24" s="3930" t="s">
        <v>4606</v>
      </c>
      <c r="AR24" s="4091" t="s">
        <v>4934</v>
      </c>
      <c r="AS24" s="4091" t="s">
        <v>4935</v>
      </c>
      <c r="AT24" s="4092" t="s">
        <v>4936</v>
      </c>
      <c r="AU24" s="3968" t="s">
        <v>4937</v>
      </c>
      <c r="AV24" s="3968" t="s">
        <v>5234</v>
      </c>
      <c r="AW24" s="1864" t="str">
        <f>$CB24&amp;$CC24&amp;CD24&amp;CE24&amp;CF24&amp;CH24&amp;CI24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4" s="1865" t="str">
        <f>IF(AND($D24&lt;&gt;0,AO24=""),"* No olvide ingresar la columna Espacios Amigables /adolescentes (Digite CERO si no tiene). ",IF(AO24&gt;$D24,"* El Número de Espacios Amigables no puede superar el Total. ",""))</f>
        <v xml:space="preserve">* El Número de Espacios Amigables no puede superar el Total. </v>
      </c>
      <c r="CC24" s="1865" t="str">
        <f>IF(AND(F24&gt;0,OR(AP24="")),"No olvide digitar los campos *TRANS Masculino (Digite CERO si no tiene).",IF(AP24&gt;F24,"* El Número de TRANS Masculino no puede superar el Total Mujeres. ",""))</f>
        <v xml:space="preserve">* El Número de TRANS Masculino no puede superar el Total Mujeres. </v>
      </c>
      <c r="CD24" s="1865" t="str">
        <f>IF(AND(E24&gt;0,OR(AQ24="")),"No olvide digitar los campos *TRANS Femenino (Digite CERO si no tiene).",IF(AQ24&gt;$E24,"* El Número de TRANS Femenino no puede superar el Total Hombres. ",""))</f>
        <v xml:space="preserve">* El Número de TRANS Femenino no puede superar el Total Hombres. </v>
      </c>
      <c r="CE24" s="1865" t="str">
        <f>IF(AND($D24&lt;&gt;0,AR24=""),"* No olvide ingresar la columna Pueblos Originarios (Digite CERO si no tiene).  ",IF(AR24&gt;$D24,"* El Número de Pueblos Originarios no puede superar el Total. ",""))</f>
        <v xml:space="preserve">* El Número de Pueblos Originarios no puede superar el Total. </v>
      </c>
      <c r="CF24" s="1865" t="str">
        <f>IF(AND($D24&lt;&gt;0,AS24=""),"* No olvide ingresar la columna Migrantes (Digite CERO si no tiene).  ",IF(AS24&gt;$D24,"* El Número de Migrantes no puede superar el Total. ",""))</f>
        <v xml:space="preserve">* El Número de Migrantes no puede superar el Total. </v>
      </c>
      <c r="CG24" s="1866"/>
      <c r="CH24" s="1865" t="str">
        <f>IF(AND($D24&lt;&gt;0,AU24=""),"* No olvide ingresar la columna Niños, Niñas, Adolescentes y Jóvenes SENAME (Digite CERO si no tiene).  ",IF(AU24&gt;$D24,"* El Número de Niños, Niñas, Adolescentes y Jóvenes SENAME no puede superar el Total. ",""))</f>
        <v xml:space="preserve">* El Número de Niños, Niñas, Adolescentes y Jóvenes SENAME no puede superar el Total. </v>
      </c>
      <c r="CI24" s="1865" t="str">
        <f>IF(AND($D24&lt;&gt;0,AV24=""),"* No olvide ingresar la columna Niños, Niñas, Adolescentes y Jóvenes Mejor Niñez (Digite CERO si no tiene). ",IF(AV24&gt;$D24,"* El Número de Niños, Niñas, Adolescentes y Jóvenes Mejor Niñez no puede superar el Total. ",""))</f>
        <v xml:space="preserve">* El Número de Niños, Niñas, Adolescentes y Jóvenes Mejor Niñez no puede superar el Total. </v>
      </c>
      <c r="CJ24" s="1936"/>
      <c r="CK24" s="1867">
        <f>IF(AND($D24&lt;&gt;0,AO24=""),1,IF(AO24&gt;$D24,1,0))</f>
        <v>1</v>
      </c>
      <c r="CL24" s="1867">
        <f>IF(AND(F24&gt;0,OR(AP24="")),1,IF(AP24&gt;F24,1,0))</f>
        <v>1</v>
      </c>
      <c r="CM24" s="1867">
        <f>IF(AND(E24&gt;0,OR(AQ24="")),1,IF(AQ24&gt;E24,1,0))</f>
        <v>1</v>
      </c>
      <c r="CN24" s="1867">
        <f>IF(AND($D24&lt;&gt;0,AR24=""),1,IF(AR24&gt;$D24,1,0))</f>
        <v>1</v>
      </c>
      <c r="CO24" s="1867">
        <f>IF(AND($D24&lt;&gt;0,AS24=""),1,IF(AS24&gt;$D24,1,0))</f>
        <v>1</v>
      </c>
      <c r="CP24" s="1868"/>
      <c r="CQ24" s="1867">
        <f>IF(AND($D24&lt;&gt;0,AU24=""),1,IF(AU24&gt;$D24,1,0))</f>
        <v>1</v>
      </c>
      <c r="CR24" s="1867">
        <f>IF(AND($D24&lt;&gt;0,AV24=""),1,IF(AV24&gt;$D24,1,0))</f>
        <v>1</v>
      </c>
      <c r="CS24" s="1936"/>
      <c r="CT24" s="1936"/>
      <c r="CU24" s="1936"/>
      <c r="CV24" s="1936"/>
    </row>
    <row r="25" spans="1:100" x14ac:dyDescent="0.25">
      <c r="A25" s="5818">
        <v>19184100</v>
      </c>
      <c r="B25" s="6058"/>
      <c r="C25" s="4093" t="s">
        <v>98</v>
      </c>
      <c r="D25" s="3908" t="s">
        <v>4567</v>
      </c>
      <c r="E25" s="3978" t="s">
        <v>4568</v>
      </c>
      <c r="F25" s="4094" t="s">
        <v>4569</v>
      </c>
      <c r="G25" s="3913" t="s">
        <v>4570</v>
      </c>
      <c r="H25" s="329" t="s">
        <v>4571</v>
      </c>
      <c r="I25" s="3913" t="s">
        <v>4572</v>
      </c>
      <c r="J25" s="329" t="s">
        <v>4573</v>
      </c>
      <c r="K25" s="3913" t="s">
        <v>4574</v>
      </c>
      <c r="L25" s="1969" t="s">
        <v>4575</v>
      </c>
      <c r="M25" s="3913" t="s">
        <v>4576</v>
      </c>
      <c r="N25" s="1969" t="s">
        <v>4577</v>
      </c>
      <c r="O25" s="3913" t="s">
        <v>4578</v>
      </c>
      <c r="P25" s="1969" t="s">
        <v>4579</v>
      </c>
      <c r="Q25" s="3913" t="s">
        <v>4580</v>
      </c>
      <c r="R25" s="1969" t="s">
        <v>4581</v>
      </c>
      <c r="S25" s="3913" t="s">
        <v>4582</v>
      </c>
      <c r="T25" s="1969" t="s">
        <v>4583</v>
      </c>
      <c r="U25" s="3913" t="s">
        <v>4584</v>
      </c>
      <c r="V25" s="1969" t="s">
        <v>4585</v>
      </c>
      <c r="W25" s="3913" t="s">
        <v>4586</v>
      </c>
      <c r="X25" s="1969" t="s">
        <v>4587</v>
      </c>
      <c r="Y25" s="3913" t="s">
        <v>4588</v>
      </c>
      <c r="Z25" s="1969" t="s">
        <v>4589</v>
      </c>
      <c r="AA25" s="3913" t="s">
        <v>4590</v>
      </c>
      <c r="AB25" s="1969" t="s">
        <v>4591</v>
      </c>
      <c r="AC25" s="3913" t="s">
        <v>4592</v>
      </c>
      <c r="AD25" s="1969" t="s">
        <v>4593</v>
      </c>
      <c r="AE25" s="3913" t="s">
        <v>4594</v>
      </c>
      <c r="AF25" s="1969" t="s">
        <v>4595</v>
      </c>
      <c r="AG25" s="3913" t="s">
        <v>4596</v>
      </c>
      <c r="AH25" s="1969" t="s">
        <v>4597</v>
      </c>
      <c r="AI25" s="3913" t="s">
        <v>4598</v>
      </c>
      <c r="AJ25" s="1969" t="s">
        <v>4599</v>
      </c>
      <c r="AK25" s="3913" t="s">
        <v>4600</v>
      </c>
      <c r="AL25" s="1969" t="s">
        <v>4601</v>
      </c>
      <c r="AM25" s="4095" t="s">
        <v>4602</v>
      </c>
      <c r="AN25" s="331" t="s">
        <v>4603</v>
      </c>
      <c r="AO25" s="4096" t="s">
        <v>4604</v>
      </c>
      <c r="AP25" s="3904" t="s">
        <v>4605</v>
      </c>
      <c r="AQ25" s="329" t="s">
        <v>4606</v>
      </c>
      <c r="AR25" s="3968" t="s">
        <v>4934</v>
      </c>
      <c r="AS25" s="3968" t="s">
        <v>4935</v>
      </c>
      <c r="AT25" s="4097" t="s">
        <v>4936</v>
      </c>
      <c r="AU25" s="3968" t="s">
        <v>4937</v>
      </c>
      <c r="AV25" s="3968" t="s">
        <v>5234</v>
      </c>
      <c r="AW25" s="1864" t="str">
        <f t="shared" ref="AW25:AW34" si="13">$CB25&amp;$CC25&amp;CD25&amp;CE25&amp;CF25&amp;CH25&amp;CI25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5" s="1865" t="str">
        <f t="shared" ref="CB25:CB34" si="14">IF(AND($D25&lt;&gt;0,AO25=""),"* No olvide ingresar la columna Espacios Amigables /adolescentes (Digite CERO si no tiene). ",IF(AO25&gt;$D25,"* El Número de Espacios Amigables no puede superar el Total. ",""))</f>
        <v xml:space="preserve">* El Número de Espacios Amigables no puede superar el Total. </v>
      </c>
      <c r="CC25" s="1865" t="str">
        <f t="shared" ref="CC25:CC34" si="15">IF(AND(F25&gt;0,OR(AP25="")),"No olvide digitar los campos *TRANS Masculino (Digite CERO si no tiene).",IF(AP25&gt;F25,"* El Número de TRANS Masculino no puede superar el Total Mujeres. ",""))</f>
        <v xml:space="preserve">* El Número de TRANS Masculino no puede superar el Total Mujeres. </v>
      </c>
      <c r="CD25" s="1865" t="str">
        <f t="shared" ref="CD25:CD34" si="16">IF(AND(E25&gt;0,OR(AQ25="")),"No olvide digitar los campos *TRANS Femenino (Digite CERO si no tiene).",IF(AQ25&gt;$E25,"* El Número de TRANS Femenino no puede superar el Total Hombres. ",""))</f>
        <v xml:space="preserve">* El Número de TRANS Femenino no puede superar el Total Hombres. </v>
      </c>
      <c r="CE25" s="1865" t="str">
        <f t="shared" ref="CE25:CE34" si="17">IF(AND($D25&lt;&gt;0,AR25=""),"* No olvide ingresar la columna Pueblos Originarios (Digite CERO si no tiene).  ",IF(AR25&gt;$D25,"* El Número de Pueblos Originarios no puede superar el Total. ",""))</f>
        <v xml:space="preserve">* El Número de Pueblos Originarios no puede superar el Total. </v>
      </c>
      <c r="CF25" s="1865" t="str">
        <f t="shared" ref="CF25:CF34" si="18">IF(AND($D25&lt;&gt;0,AS25=""),"* No olvide ingresar la columna Migrantes (Digite CERO si no tiene).  ",IF(AS25&gt;$D25,"* El Número de Migrantes no puede superar el Total. ",""))</f>
        <v xml:space="preserve">* El Número de Migrantes no puede superar el Total. </v>
      </c>
      <c r="CG25" s="1866"/>
      <c r="CH25" s="1865" t="str">
        <f t="shared" ref="CH25:CH34" si="19">IF(AND($D25&lt;&gt;0,AU25=""),"* No olvide ingresar la columna Niños, Niñas, Adolescentes y Jóvenes SENAME (Digite CERO si no tiene).  ",IF(AU25&gt;$D25,"* El Número de Niños, Niñas, Adolescentes y Jóvenes SENAME no puede superar el Total. ",""))</f>
        <v xml:space="preserve">* El Número de Niños, Niñas, Adolescentes y Jóvenes SENAME no puede superar el Total. </v>
      </c>
      <c r="CI25" s="1865" t="str">
        <f t="shared" ref="CI25:CI34" si="20">IF(AND($D25&lt;&gt;0,AV25=""),"* No olvide ingresar la columna Niños, Niñas, Adolescentes y Jóvenes Mejor Niñez (Digite CERO si no tiene). ",IF(AV25&gt;$D25,"* El Número de Niños, Niñas, Adolescentes y Jóvenes Mejor Niñez no puede superar el Total. ",""))</f>
        <v xml:space="preserve">* El Número de Niños, Niñas, Adolescentes y Jóvenes Mejor Niñez no puede superar el Total. </v>
      </c>
      <c r="CJ25" s="1936"/>
      <c r="CK25" s="1867">
        <f t="shared" ref="CK25:CK34" si="21">IF(AND($D25&lt;&gt;0,AO25=""),1,IF(AO25&gt;$D25,1,0))</f>
        <v>1</v>
      </c>
      <c r="CL25" s="1867">
        <f t="shared" ref="CL25:CL34" si="22">IF(AND(F25&gt;0,OR(AP25="")),1,IF(AP25&gt;F25,1,0))</f>
        <v>1</v>
      </c>
      <c r="CM25" s="1867">
        <f t="shared" ref="CM25:CM34" si="23">IF(AND(E25&gt;0,OR(AQ25="")),1,IF(AQ25&gt;E25,1,0))</f>
        <v>1</v>
      </c>
      <c r="CN25" s="1867">
        <f t="shared" ref="CN25:CO34" si="24">IF(AND($D25&lt;&gt;0,AR25=""),1,IF(AR25&gt;$D25,1,0))</f>
        <v>1</v>
      </c>
      <c r="CO25" s="1867">
        <f t="shared" si="24"/>
        <v>1</v>
      </c>
      <c r="CP25" s="1868"/>
      <c r="CQ25" s="1867">
        <f t="shared" ref="CQ25:CR34" si="25">IF(AND($D25&lt;&gt;0,AU25=""),1,IF(AU25&gt;$D25,1,0))</f>
        <v>1</v>
      </c>
      <c r="CR25" s="1867">
        <f t="shared" si="25"/>
        <v>1</v>
      </c>
    </row>
    <row r="26" spans="1:100" x14ac:dyDescent="0.25">
      <c r="A26" s="5818">
        <v>19184200</v>
      </c>
      <c r="B26" s="6058"/>
      <c r="C26" s="4093" t="s">
        <v>65</v>
      </c>
      <c r="D26" s="3908" t="s">
        <v>4567</v>
      </c>
      <c r="E26" s="3978" t="s">
        <v>4568</v>
      </c>
      <c r="F26" s="4094" t="s">
        <v>4569</v>
      </c>
      <c r="G26" s="3913" t="s">
        <v>4570</v>
      </c>
      <c r="H26" s="329" t="s">
        <v>4571</v>
      </c>
      <c r="I26" s="3913" t="s">
        <v>4572</v>
      </c>
      <c r="J26" s="329" t="s">
        <v>4573</v>
      </c>
      <c r="K26" s="3913" t="s">
        <v>4574</v>
      </c>
      <c r="L26" s="1969" t="s">
        <v>4575</v>
      </c>
      <c r="M26" s="3913" t="s">
        <v>4576</v>
      </c>
      <c r="N26" s="1969" t="s">
        <v>4577</v>
      </c>
      <c r="O26" s="3913" t="s">
        <v>4578</v>
      </c>
      <c r="P26" s="1969" t="s">
        <v>4579</v>
      </c>
      <c r="Q26" s="3913" t="s">
        <v>4580</v>
      </c>
      <c r="R26" s="1969" t="s">
        <v>4581</v>
      </c>
      <c r="S26" s="3913" t="s">
        <v>4582</v>
      </c>
      <c r="T26" s="1969" t="s">
        <v>4583</v>
      </c>
      <c r="U26" s="3913" t="s">
        <v>4584</v>
      </c>
      <c r="V26" s="1969" t="s">
        <v>4585</v>
      </c>
      <c r="W26" s="3913" t="s">
        <v>4586</v>
      </c>
      <c r="X26" s="1969" t="s">
        <v>4587</v>
      </c>
      <c r="Y26" s="3913" t="s">
        <v>4588</v>
      </c>
      <c r="Z26" s="1969" t="s">
        <v>4589</v>
      </c>
      <c r="AA26" s="3913" t="s">
        <v>4590</v>
      </c>
      <c r="AB26" s="1969" t="s">
        <v>4591</v>
      </c>
      <c r="AC26" s="3913" t="s">
        <v>4592</v>
      </c>
      <c r="AD26" s="1969" t="s">
        <v>4593</v>
      </c>
      <c r="AE26" s="3913" t="s">
        <v>4594</v>
      </c>
      <c r="AF26" s="1969" t="s">
        <v>4595</v>
      </c>
      <c r="AG26" s="3913" t="s">
        <v>4596</v>
      </c>
      <c r="AH26" s="1969" t="s">
        <v>4597</v>
      </c>
      <c r="AI26" s="3913" t="s">
        <v>4598</v>
      </c>
      <c r="AJ26" s="1969" t="s">
        <v>4599</v>
      </c>
      <c r="AK26" s="3913" t="s">
        <v>4600</v>
      </c>
      <c r="AL26" s="1969" t="s">
        <v>4601</v>
      </c>
      <c r="AM26" s="4095" t="s">
        <v>4602</v>
      </c>
      <c r="AN26" s="331" t="s">
        <v>4603</v>
      </c>
      <c r="AO26" s="4096" t="s">
        <v>4604</v>
      </c>
      <c r="AP26" s="3904" t="s">
        <v>4605</v>
      </c>
      <c r="AQ26" s="329" t="s">
        <v>4606</v>
      </c>
      <c r="AR26" s="3968" t="s">
        <v>4934</v>
      </c>
      <c r="AS26" s="3968" t="s">
        <v>4935</v>
      </c>
      <c r="AT26" s="4097" t="s">
        <v>4936</v>
      </c>
      <c r="AU26" s="3968" t="s">
        <v>4937</v>
      </c>
      <c r="AV26" s="3968" t="s">
        <v>5234</v>
      </c>
      <c r="AW26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6" s="1865" t="str">
        <f t="shared" si="14"/>
        <v xml:space="preserve">* El Número de Espacios Amigables no puede superar el Total. </v>
      </c>
      <c r="CC26" s="1865" t="str">
        <f t="shared" si="15"/>
        <v xml:space="preserve">* El Número de TRANS Masculino no puede superar el Total Mujeres. </v>
      </c>
      <c r="CD26" s="1865" t="str">
        <f t="shared" si="16"/>
        <v xml:space="preserve">* El Número de TRANS Femenino no puede superar el Total Hombres. </v>
      </c>
      <c r="CE26" s="1865" t="str">
        <f t="shared" si="17"/>
        <v xml:space="preserve">* El Número de Pueblos Originarios no puede superar el Total. </v>
      </c>
      <c r="CF26" s="1865" t="str">
        <f t="shared" si="18"/>
        <v xml:space="preserve">* El Número de Migrantes no puede superar el Total. </v>
      </c>
      <c r="CG26" s="1866"/>
      <c r="CH26" s="1865" t="str">
        <f t="shared" si="19"/>
        <v xml:space="preserve">* El Número de Niños, Niñas, Adolescentes y Jóvenes SENAME no puede superar el Total. </v>
      </c>
      <c r="CI26" s="1865" t="str">
        <f t="shared" si="20"/>
        <v xml:space="preserve">* El Número de Niños, Niñas, Adolescentes y Jóvenes Mejor Niñez no puede superar el Total. </v>
      </c>
      <c r="CJ26" s="1936"/>
      <c r="CK26" s="1867">
        <f t="shared" si="21"/>
        <v>1</v>
      </c>
      <c r="CL26" s="1867">
        <f t="shared" si="22"/>
        <v>1</v>
      </c>
      <c r="CM26" s="1867">
        <f t="shared" si="23"/>
        <v>1</v>
      </c>
      <c r="CN26" s="1867">
        <f t="shared" si="24"/>
        <v>1</v>
      </c>
      <c r="CO26" s="1867">
        <f t="shared" si="24"/>
        <v>1</v>
      </c>
      <c r="CP26" s="1868"/>
      <c r="CQ26" s="1867">
        <f t="shared" si="25"/>
        <v>1</v>
      </c>
      <c r="CR26" s="1867">
        <f t="shared" si="25"/>
        <v>1</v>
      </c>
    </row>
    <row r="27" spans="1:100" x14ac:dyDescent="0.25">
      <c r="A27" s="5818">
        <v>19184300</v>
      </c>
      <c r="B27" s="6058"/>
      <c r="C27" s="4093" t="s">
        <v>105</v>
      </c>
      <c r="D27" s="3908" t="s">
        <v>4567</v>
      </c>
      <c r="E27" s="3978" t="s">
        <v>4568</v>
      </c>
      <c r="F27" s="4094" t="s">
        <v>4569</v>
      </c>
      <c r="G27" s="3913" t="s">
        <v>4570</v>
      </c>
      <c r="H27" s="329" t="s">
        <v>4571</v>
      </c>
      <c r="I27" s="3913" t="s">
        <v>4572</v>
      </c>
      <c r="J27" s="329" t="s">
        <v>4573</v>
      </c>
      <c r="K27" s="3913" t="s">
        <v>4574</v>
      </c>
      <c r="L27" s="1969" t="s">
        <v>4575</v>
      </c>
      <c r="M27" s="3913" t="s">
        <v>4576</v>
      </c>
      <c r="N27" s="1969" t="s">
        <v>4577</v>
      </c>
      <c r="O27" s="3913" t="s">
        <v>4578</v>
      </c>
      <c r="P27" s="1969" t="s">
        <v>4579</v>
      </c>
      <c r="Q27" s="3913" t="s">
        <v>4580</v>
      </c>
      <c r="R27" s="1969" t="s">
        <v>4581</v>
      </c>
      <c r="S27" s="3913" t="s">
        <v>4582</v>
      </c>
      <c r="T27" s="1969" t="s">
        <v>4583</v>
      </c>
      <c r="U27" s="3913" t="s">
        <v>4584</v>
      </c>
      <c r="V27" s="1969" t="s">
        <v>4585</v>
      </c>
      <c r="W27" s="3913" t="s">
        <v>4586</v>
      </c>
      <c r="X27" s="1969" t="s">
        <v>4587</v>
      </c>
      <c r="Y27" s="3913" t="s">
        <v>4588</v>
      </c>
      <c r="Z27" s="1969" t="s">
        <v>4589</v>
      </c>
      <c r="AA27" s="3913" t="s">
        <v>4590</v>
      </c>
      <c r="AB27" s="1969" t="s">
        <v>4591</v>
      </c>
      <c r="AC27" s="3913" t="s">
        <v>4592</v>
      </c>
      <c r="AD27" s="1969" t="s">
        <v>4593</v>
      </c>
      <c r="AE27" s="3913" t="s">
        <v>4594</v>
      </c>
      <c r="AF27" s="1969" t="s">
        <v>4595</v>
      </c>
      <c r="AG27" s="3913" t="s">
        <v>4596</v>
      </c>
      <c r="AH27" s="1969" t="s">
        <v>4597</v>
      </c>
      <c r="AI27" s="3913" t="s">
        <v>4598</v>
      </c>
      <c r="AJ27" s="1969" t="s">
        <v>4599</v>
      </c>
      <c r="AK27" s="3913" t="s">
        <v>4600</v>
      </c>
      <c r="AL27" s="1969" t="s">
        <v>4601</v>
      </c>
      <c r="AM27" s="4095" t="s">
        <v>4602</v>
      </c>
      <c r="AN27" s="331" t="s">
        <v>4603</v>
      </c>
      <c r="AO27" s="4096" t="s">
        <v>4604</v>
      </c>
      <c r="AP27" s="3904" t="s">
        <v>4605</v>
      </c>
      <c r="AQ27" s="329" t="s">
        <v>4606</v>
      </c>
      <c r="AR27" s="3968" t="s">
        <v>4934</v>
      </c>
      <c r="AS27" s="3968" t="s">
        <v>4935</v>
      </c>
      <c r="AT27" s="4097" t="s">
        <v>4936</v>
      </c>
      <c r="AU27" s="3968" t="s">
        <v>4937</v>
      </c>
      <c r="AV27" s="3968" t="s">
        <v>5234</v>
      </c>
      <c r="AW27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7" s="1865" t="str">
        <f t="shared" si="14"/>
        <v xml:space="preserve">* El Número de Espacios Amigables no puede superar el Total. </v>
      </c>
      <c r="CC27" s="1865" t="str">
        <f t="shared" si="15"/>
        <v xml:space="preserve">* El Número de TRANS Masculino no puede superar el Total Mujeres. </v>
      </c>
      <c r="CD27" s="1865" t="str">
        <f t="shared" si="16"/>
        <v xml:space="preserve">* El Número de TRANS Femenino no puede superar el Total Hombres. </v>
      </c>
      <c r="CE27" s="1865" t="str">
        <f t="shared" si="17"/>
        <v xml:space="preserve">* El Número de Pueblos Originarios no puede superar el Total. </v>
      </c>
      <c r="CF27" s="1865" t="str">
        <f t="shared" si="18"/>
        <v xml:space="preserve">* El Número de Migrantes no puede superar el Total. </v>
      </c>
      <c r="CG27" s="1866"/>
      <c r="CH27" s="1865" t="str">
        <f t="shared" si="19"/>
        <v xml:space="preserve">* El Número de Niños, Niñas, Adolescentes y Jóvenes SENAME no puede superar el Total. </v>
      </c>
      <c r="CI27" s="1865" t="str">
        <f t="shared" si="20"/>
        <v xml:space="preserve">* El Número de Niños, Niñas, Adolescentes y Jóvenes Mejor Niñez no puede superar el Total. </v>
      </c>
      <c r="CJ27" s="1936"/>
      <c r="CK27" s="1867">
        <f t="shared" si="21"/>
        <v>1</v>
      </c>
      <c r="CL27" s="1867">
        <f t="shared" si="22"/>
        <v>1</v>
      </c>
      <c r="CM27" s="1867">
        <f t="shared" si="23"/>
        <v>1</v>
      </c>
      <c r="CN27" s="1867">
        <f t="shared" si="24"/>
        <v>1</v>
      </c>
      <c r="CO27" s="1867">
        <f t="shared" si="24"/>
        <v>1</v>
      </c>
      <c r="CP27" s="1868"/>
      <c r="CQ27" s="1867">
        <f t="shared" si="25"/>
        <v>1</v>
      </c>
      <c r="CR27" s="1867">
        <f t="shared" si="25"/>
        <v>1</v>
      </c>
    </row>
    <row r="28" spans="1:100" x14ac:dyDescent="0.25">
      <c r="A28" s="5818">
        <v>19184400</v>
      </c>
      <c r="B28" s="6058"/>
      <c r="C28" s="4093" t="s">
        <v>1035</v>
      </c>
      <c r="D28" s="3908" t="s">
        <v>4567</v>
      </c>
      <c r="E28" s="3978" t="s">
        <v>4568</v>
      </c>
      <c r="F28" s="4094" t="s">
        <v>4569</v>
      </c>
      <c r="G28" s="3913" t="s">
        <v>4570</v>
      </c>
      <c r="H28" s="329" t="s">
        <v>4571</v>
      </c>
      <c r="I28" s="3913" t="s">
        <v>4572</v>
      </c>
      <c r="J28" s="329" t="s">
        <v>4573</v>
      </c>
      <c r="K28" s="3913" t="s">
        <v>4574</v>
      </c>
      <c r="L28" s="1969" t="s">
        <v>4575</v>
      </c>
      <c r="M28" s="3913" t="s">
        <v>4576</v>
      </c>
      <c r="N28" s="1969" t="s">
        <v>4577</v>
      </c>
      <c r="O28" s="3913" t="s">
        <v>4578</v>
      </c>
      <c r="P28" s="1969" t="s">
        <v>4579</v>
      </c>
      <c r="Q28" s="3913" t="s">
        <v>4580</v>
      </c>
      <c r="R28" s="1969" t="s">
        <v>4581</v>
      </c>
      <c r="S28" s="3913" t="s">
        <v>4582</v>
      </c>
      <c r="T28" s="1969" t="s">
        <v>4583</v>
      </c>
      <c r="U28" s="3913" t="s">
        <v>4584</v>
      </c>
      <c r="V28" s="1969" t="s">
        <v>4585</v>
      </c>
      <c r="W28" s="3913" t="s">
        <v>4586</v>
      </c>
      <c r="X28" s="1969" t="s">
        <v>4587</v>
      </c>
      <c r="Y28" s="3913" t="s">
        <v>4588</v>
      </c>
      <c r="Z28" s="1969" t="s">
        <v>4589</v>
      </c>
      <c r="AA28" s="3913" t="s">
        <v>4590</v>
      </c>
      <c r="AB28" s="1969" t="s">
        <v>4591</v>
      </c>
      <c r="AC28" s="3913" t="s">
        <v>4592</v>
      </c>
      <c r="AD28" s="1969" t="s">
        <v>4593</v>
      </c>
      <c r="AE28" s="3913" t="s">
        <v>4594</v>
      </c>
      <c r="AF28" s="1969" t="s">
        <v>4595</v>
      </c>
      <c r="AG28" s="3913" t="s">
        <v>4596</v>
      </c>
      <c r="AH28" s="1969" t="s">
        <v>4597</v>
      </c>
      <c r="AI28" s="3913" t="s">
        <v>4598</v>
      </c>
      <c r="AJ28" s="1969" t="s">
        <v>4599</v>
      </c>
      <c r="AK28" s="3913" t="s">
        <v>4600</v>
      </c>
      <c r="AL28" s="1969" t="s">
        <v>4601</v>
      </c>
      <c r="AM28" s="4095" t="s">
        <v>4602</v>
      </c>
      <c r="AN28" s="331" t="s">
        <v>4603</v>
      </c>
      <c r="AO28" s="4096" t="s">
        <v>4604</v>
      </c>
      <c r="AP28" s="3904" t="s">
        <v>4605</v>
      </c>
      <c r="AQ28" s="329" t="s">
        <v>4606</v>
      </c>
      <c r="AR28" s="3968" t="s">
        <v>4934</v>
      </c>
      <c r="AS28" s="3968" t="s">
        <v>4935</v>
      </c>
      <c r="AT28" s="4097" t="s">
        <v>4936</v>
      </c>
      <c r="AU28" s="3968" t="s">
        <v>4937</v>
      </c>
      <c r="AV28" s="3968" t="s">
        <v>5234</v>
      </c>
      <c r="AW28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8" s="1865" t="str">
        <f t="shared" si="14"/>
        <v xml:space="preserve">* El Número de Espacios Amigables no puede superar el Total. </v>
      </c>
      <c r="CC28" s="1865" t="str">
        <f t="shared" si="15"/>
        <v xml:space="preserve">* El Número de TRANS Masculino no puede superar el Total Mujeres. </v>
      </c>
      <c r="CD28" s="1865" t="str">
        <f t="shared" si="16"/>
        <v xml:space="preserve">* El Número de TRANS Femenino no puede superar el Total Hombres. </v>
      </c>
      <c r="CE28" s="1865" t="str">
        <f t="shared" si="17"/>
        <v xml:space="preserve">* El Número de Pueblos Originarios no puede superar el Total. </v>
      </c>
      <c r="CF28" s="1865" t="str">
        <f t="shared" si="18"/>
        <v xml:space="preserve">* El Número de Migrantes no puede superar el Total. </v>
      </c>
      <c r="CG28" s="1866"/>
      <c r="CH28" s="1865" t="str">
        <f t="shared" si="19"/>
        <v xml:space="preserve">* El Número de Niños, Niñas, Adolescentes y Jóvenes SENAME no puede superar el Total. </v>
      </c>
      <c r="CI28" s="1865" t="str">
        <f t="shared" si="20"/>
        <v xml:space="preserve">* El Número de Niños, Niñas, Adolescentes y Jóvenes Mejor Niñez no puede superar el Total. </v>
      </c>
      <c r="CJ28" s="1936"/>
      <c r="CK28" s="1867">
        <f t="shared" si="21"/>
        <v>1</v>
      </c>
      <c r="CL28" s="1867">
        <f t="shared" si="22"/>
        <v>1</v>
      </c>
      <c r="CM28" s="1867">
        <f t="shared" si="23"/>
        <v>1</v>
      </c>
      <c r="CN28" s="1867">
        <f t="shared" si="24"/>
        <v>1</v>
      </c>
      <c r="CO28" s="1867">
        <f t="shared" si="24"/>
        <v>1</v>
      </c>
      <c r="CP28" s="1868"/>
      <c r="CQ28" s="1867">
        <f t="shared" si="25"/>
        <v>1</v>
      </c>
      <c r="CR28" s="1867">
        <f t="shared" si="25"/>
        <v>1</v>
      </c>
    </row>
    <row r="29" spans="1:100" x14ac:dyDescent="0.25">
      <c r="A29" s="5818">
        <v>19184500</v>
      </c>
      <c r="B29" s="6058"/>
      <c r="C29" s="4093" t="s">
        <v>1034</v>
      </c>
      <c r="D29" s="3908" t="s">
        <v>4567</v>
      </c>
      <c r="E29" s="3978" t="s">
        <v>4568</v>
      </c>
      <c r="F29" s="4094" t="s">
        <v>4569</v>
      </c>
      <c r="G29" s="3913" t="s">
        <v>4570</v>
      </c>
      <c r="H29" s="329" t="s">
        <v>4571</v>
      </c>
      <c r="I29" s="3913" t="s">
        <v>4572</v>
      </c>
      <c r="J29" s="329" t="s">
        <v>4573</v>
      </c>
      <c r="K29" s="3913" t="s">
        <v>4574</v>
      </c>
      <c r="L29" s="1969" t="s">
        <v>4575</v>
      </c>
      <c r="M29" s="3913" t="s">
        <v>4576</v>
      </c>
      <c r="N29" s="1969" t="s">
        <v>4577</v>
      </c>
      <c r="O29" s="3913" t="s">
        <v>4578</v>
      </c>
      <c r="P29" s="1969" t="s">
        <v>4579</v>
      </c>
      <c r="Q29" s="3913" t="s">
        <v>4580</v>
      </c>
      <c r="R29" s="1969" t="s">
        <v>4581</v>
      </c>
      <c r="S29" s="3913" t="s">
        <v>4582</v>
      </c>
      <c r="T29" s="1969" t="s">
        <v>4583</v>
      </c>
      <c r="U29" s="3913" t="s">
        <v>4584</v>
      </c>
      <c r="V29" s="1969" t="s">
        <v>4585</v>
      </c>
      <c r="W29" s="3913" t="s">
        <v>4586</v>
      </c>
      <c r="X29" s="1969" t="s">
        <v>4587</v>
      </c>
      <c r="Y29" s="3913" t="s">
        <v>4588</v>
      </c>
      <c r="Z29" s="1969" t="s">
        <v>4589</v>
      </c>
      <c r="AA29" s="3913" t="s">
        <v>4590</v>
      </c>
      <c r="AB29" s="1969" t="s">
        <v>4591</v>
      </c>
      <c r="AC29" s="3913" t="s">
        <v>4592</v>
      </c>
      <c r="AD29" s="1969" t="s">
        <v>4593</v>
      </c>
      <c r="AE29" s="3913" t="s">
        <v>4594</v>
      </c>
      <c r="AF29" s="1969" t="s">
        <v>4595</v>
      </c>
      <c r="AG29" s="3913" t="s">
        <v>4596</v>
      </c>
      <c r="AH29" s="1969" t="s">
        <v>4597</v>
      </c>
      <c r="AI29" s="3913" t="s">
        <v>4598</v>
      </c>
      <c r="AJ29" s="1969" t="s">
        <v>4599</v>
      </c>
      <c r="AK29" s="3913" t="s">
        <v>4600</v>
      </c>
      <c r="AL29" s="1969" t="s">
        <v>4601</v>
      </c>
      <c r="AM29" s="4095" t="s">
        <v>4602</v>
      </c>
      <c r="AN29" s="331" t="s">
        <v>4603</v>
      </c>
      <c r="AO29" s="4096" t="s">
        <v>4604</v>
      </c>
      <c r="AP29" s="3904" t="s">
        <v>4605</v>
      </c>
      <c r="AQ29" s="329" t="s">
        <v>4606</v>
      </c>
      <c r="AR29" s="3968" t="s">
        <v>4934</v>
      </c>
      <c r="AS29" s="3968" t="s">
        <v>4935</v>
      </c>
      <c r="AT29" s="4097" t="s">
        <v>4936</v>
      </c>
      <c r="AU29" s="3968" t="s">
        <v>4937</v>
      </c>
      <c r="AV29" s="3968" t="s">
        <v>5234</v>
      </c>
      <c r="AW29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9" s="1865" t="str">
        <f t="shared" si="14"/>
        <v xml:space="preserve">* El Número de Espacios Amigables no puede superar el Total. </v>
      </c>
      <c r="CC29" s="1865" t="str">
        <f t="shared" si="15"/>
        <v xml:space="preserve">* El Número de TRANS Masculino no puede superar el Total Mujeres. </v>
      </c>
      <c r="CD29" s="1865" t="str">
        <f t="shared" si="16"/>
        <v xml:space="preserve">* El Número de TRANS Femenino no puede superar el Total Hombres. </v>
      </c>
      <c r="CE29" s="1865" t="str">
        <f t="shared" si="17"/>
        <v xml:space="preserve">* El Número de Pueblos Originarios no puede superar el Total. </v>
      </c>
      <c r="CF29" s="1865" t="str">
        <f t="shared" si="18"/>
        <v xml:space="preserve">* El Número de Migrantes no puede superar el Total. </v>
      </c>
      <c r="CG29" s="1866"/>
      <c r="CH29" s="1865" t="str">
        <f t="shared" si="19"/>
        <v xml:space="preserve">* El Número de Niños, Niñas, Adolescentes y Jóvenes SENAME no puede superar el Total. </v>
      </c>
      <c r="CI29" s="1865" t="str">
        <f t="shared" si="20"/>
        <v xml:space="preserve">* El Número de Niños, Niñas, Adolescentes y Jóvenes Mejor Niñez no puede superar el Total. </v>
      </c>
      <c r="CJ29" s="1936"/>
      <c r="CK29" s="1867">
        <f t="shared" si="21"/>
        <v>1</v>
      </c>
      <c r="CL29" s="1867">
        <f t="shared" si="22"/>
        <v>1</v>
      </c>
      <c r="CM29" s="1867">
        <f t="shared" si="23"/>
        <v>1</v>
      </c>
      <c r="CN29" s="1867">
        <f t="shared" si="24"/>
        <v>1</v>
      </c>
      <c r="CO29" s="1867">
        <f t="shared" si="24"/>
        <v>1</v>
      </c>
      <c r="CP29" s="1868"/>
      <c r="CQ29" s="1867">
        <f t="shared" si="25"/>
        <v>1</v>
      </c>
      <c r="CR29" s="1867">
        <f t="shared" si="25"/>
        <v>1</v>
      </c>
    </row>
    <row r="30" spans="1:100" x14ac:dyDescent="0.25">
      <c r="A30" s="5818">
        <v>19184600</v>
      </c>
      <c r="B30" s="6058"/>
      <c r="C30" s="4093" t="s">
        <v>1406</v>
      </c>
      <c r="D30" s="3908" t="s">
        <v>4567</v>
      </c>
      <c r="E30" s="3978" t="s">
        <v>4568</v>
      </c>
      <c r="F30" s="4094" t="s">
        <v>4569</v>
      </c>
      <c r="G30" s="3913" t="s">
        <v>4570</v>
      </c>
      <c r="H30" s="329" t="s">
        <v>4571</v>
      </c>
      <c r="I30" s="3913" t="s">
        <v>4572</v>
      </c>
      <c r="J30" s="329" t="s">
        <v>4573</v>
      </c>
      <c r="K30" s="3913" t="s">
        <v>4574</v>
      </c>
      <c r="L30" s="1969" t="s">
        <v>4575</v>
      </c>
      <c r="M30" s="3913" t="s">
        <v>4576</v>
      </c>
      <c r="N30" s="1969" t="s">
        <v>4577</v>
      </c>
      <c r="O30" s="3913" t="s">
        <v>4578</v>
      </c>
      <c r="P30" s="1969" t="s">
        <v>4579</v>
      </c>
      <c r="Q30" s="3913" t="s">
        <v>4580</v>
      </c>
      <c r="R30" s="1969" t="s">
        <v>4581</v>
      </c>
      <c r="S30" s="3913" t="s">
        <v>4582</v>
      </c>
      <c r="T30" s="1969" t="s">
        <v>4583</v>
      </c>
      <c r="U30" s="3913" t="s">
        <v>4584</v>
      </c>
      <c r="V30" s="1969" t="s">
        <v>4585</v>
      </c>
      <c r="W30" s="3913" t="s">
        <v>4586</v>
      </c>
      <c r="X30" s="1969" t="s">
        <v>4587</v>
      </c>
      <c r="Y30" s="3913" t="s">
        <v>4588</v>
      </c>
      <c r="Z30" s="1969" t="s">
        <v>4589</v>
      </c>
      <c r="AA30" s="3913" t="s">
        <v>4590</v>
      </c>
      <c r="AB30" s="1969" t="s">
        <v>4591</v>
      </c>
      <c r="AC30" s="3913" t="s">
        <v>4592</v>
      </c>
      <c r="AD30" s="1969" t="s">
        <v>4593</v>
      </c>
      <c r="AE30" s="3913" t="s">
        <v>4594</v>
      </c>
      <c r="AF30" s="1969" t="s">
        <v>4595</v>
      </c>
      <c r="AG30" s="3913" t="s">
        <v>4596</v>
      </c>
      <c r="AH30" s="1969" t="s">
        <v>4597</v>
      </c>
      <c r="AI30" s="3913" t="s">
        <v>4598</v>
      </c>
      <c r="AJ30" s="1969" t="s">
        <v>4599</v>
      </c>
      <c r="AK30" s="3913" t="s">
        <v>4600</v>
      </c>
      <c r="AL30" s="1969" t="s">
        <v>4601</v>
      </c>
      <c r="AM30" s="4095" t="s">
        <v>4602</v>
      </c>
      <c r="AN30" s="331" t="s">
        <v>4603</v>
      </c>
      <c r="AO30" s="4096" t="s">
        <v>4604</v>
      </c>
      <c r="AP30" s="3904" t="s">
        <v>4605</v>
      </c>
      <c r="AQ30" s="329" t="s">
        <v>4606</v>
      </c>
      <c r="AR30" s="3968" t="s">
        <v>4934</v>
      </c>
      <c r="AS30" s="3968" t="s">
        <v>4935</v>
      </c>
      <c r="AT30" s="4097" t="s">
        <v>4936</v>
      </c>
      <c r="AU30" s="3968" t="s">
        <v>4937</v>
      </c>
      <c r="AV30" s="3968" t="s">
        <v>5234</v>
      </c>
      <c r="AW30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0" s="1865" t="str">
        <f t="shared" si="14"/>
        <v xml:space="preserve">* El Número de Espacios Amigables no puede superar el Total. </v>
      </c>
      <c r="CC30" s="1865" t="str">
        <f t="shared" si="15"/>
        <v xml:space="preserve">* El Número de TRANS Masculino no puede superar el Total Mujeres. </v>
      </c>
      <c r="CD30" s="1865" t="str">
        <f t="shared" si="16"/>
        <v xml:space="preserve">* El Número de TRANS Femenino no puede superar el Total Hombres. </v>
      </c>
      <c r="CE30" s="1865" t="str">
        <f t="shared" si="17"/>
        <v xml:space="preserve">* El Número de Pueblos Originarios no puede superar el Total. </v>
      </c>
      <c r="CF30" s="1865" t="str">
        <f t="shared" si="18"/>
        <v xml:space="preserve">* El Número de Migrantes no puede superar el Total. </v>
      </c>
      <c r="CG30" s="1866"/>
      <c r="CH30" s="1865" t="str">
        <f t="shared" si="19"/>
        <v xml:space="preserve">* El Número de Niños, Niñas, Adolescentes y Jóvenes SENAME no puede superar el Total. </v>
      </c>
      <c r="CI30" s="1865" t="str">
        <f t="shared" si="20"/>
        <v xml:space="preserve">* El Número de Niños, Niñas, Adolescentes y Jóvenes Mejor Niñez no puede superar el Total. </v>
      </c>
      <c r="CJ30" s="1936"/>
      <c r="CK30" s="1867">
        <f t="shared" si="21"/>
        <v>1</v>
      </c>
      <c r="CL30" s="1867">
        <f t="shared" si="22"/>
        <v>1</v>
      </c>
      <c r="CM30" s="1867">
        <f t="shared" si="23"/>
        <v>1</v>
      </c>
      <c r="CN30" s="1867">
        <f t="shared" si="24"/>
        <v>1</v>
      </c>
      <c r="CO30" s="1867">
        <f t="shared" si="24"/>
        <v>1</v>
      </c>
      <c r="CP30" s="1868"/>
      <c r="CQ30" s="1867">
        <f t="shared" si="25"/>
        <v>1</v>
      </c>
      <c r="CR30" s="1867">
        <f t="shared" si="25"/>
        <v>1</v>
      </c>
    </row>
    <row r="31" spans="1:100" x14ac:dyDescent="0.25">
      <c r="A31" s="5818">
        <v>19184700</v>
      </c>
      <c r="B31" s="6058"/>
      <c r="C31" s="4098" t="s">
        <v>2063</v>
      </c>
      <c r="D31" s="3836" t="s">
        <v>4567</v>
      </c>
      <c r="E31" s="3989" t="s">
        <v>4568</v>
      </c>
      <c r="F31" s="3318" t="s">
        <v>4569</v>
      </c>
      <c r="G31" s="212" t="s">
        <v>4570</v>
      </c>
      <c r="H31" s="34" t="s">
        <v>4571</v>
      </c>
      <c r="I31" s="212" t="s">
        <v>4572</v>
      </c>
      <c r="J31" s="34" t="s">
        <v>4573</v>
      </c>
      <c r="K31" s="212" t="s">
        <v>4574</v>
      </c>
      <c r="L31" s="1136" t="s">
        <v>4575</v>
      </c>
      <c r="M31" s="212" t="s">
        <v>4576</v>
      </c>
      <c r="N31" s="1136" t="s">
        <v>4577</v>
      </c>
      <c r="O31" s="212" t="s">
        <v>4578</v>
      </c>
      <c r="P31" s="1136" t="s">
        <v>4579</v>
      </c>
      <c r="Q31" s="212" t="s">
        <v>4580</v>
      </c>
      <c r="R31" s="1136" t="s">
        <v>4581</v>
      </c>
      <c r="S31" s="212" t="s">
        <v>4582</v>
      </c>
      <c r="T31" s="1136" t="s">
        <v>4583</v>
      </c>
      <c r="U31" s="212" t="s">
        <v>4584</v>
      </c>
      <c r="V31" s="1136" t="s">
        <v>4585</v>
      </c>
      <c r="W31" s="212" t="s">
        <v>4586</v>
      </c>
      <c r="X31" s="1136" t="s">
        <v>4587</v>
      </c>
      <c r="Y31" s="212" t="s">
        <v>4588</v>
      </c>
      <c r="Z31" s="1136" t="s">
        <v>4589</v>
      </c>
      <c r="AA31" s="212" t="s">
        <v>4590</v>
      </c>
      <c r="AB31" s="1136" t="s">
        <v>4591</v>
      </c>
      <c r="AC31" s="212" t="s">
        <v>4592</v>
      </c>
      <c r="AD31" s="1136" t="s">
        <v>4593</v>
      </c>
      <c r="AE31" s="212" t="s">
        <v>4594</v>
      </c>
      <c r="AF31" s="1136" t="s">
        <v>4595</v>
      </c>
      <c r="AG31" s="212" t="s">
        <v>4596</v>
      </c>
      <c r="AH31" s="1136" t="s">
        <v>4597</v>
      </c>
      <c r="AI31" s="212" t="s">
        <v>4598</v>
      </c>
      <c r="AJ31" s="1136" t="s">
        <v>4599</v>
      </c>
      <c r="AK31" s="212" t="s">
        <v>4600</v>
      </c>
      <c r="AL31" s="1136" t="s">
        <v>4601</v>
      </c>
      <c r="AM31" s="2210" t="s">
        <v>4602</v>
      </c>
      <c r="AN31" s="2410" t="s">
        <v>4603</v>
      </c>
      <c r="AO31" s="4096" t="s">
        <v>4604</v>
      </c>
      <c r="AP31" s="1137" t="s">
        <v>4605</v>
      </c>
      <c r="AQ31" s="329" t="s">
        <v>4606</v>
      </c>
      <c r="AR31" s="3968" t="s">
        <v>4934</v>
      </c>
      <c r="AS31" s="3968" t="s">
        <v>4935</v>
      </c>
      <c r="AT31" s="4097" t="s">
        <v>4936</v>
      </c>
      <c r="AU31" s="3968" t="s">
        <v>4937</v>
      </c>
      <c r="AV31" s="3968" t="s">
        <v>5234</v>
      </c>
      <c r="AW31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1" s="1865" t="str">
        <f t="shared" si="14"/>
        <v xml:space="preserve">* El Número de Espacios Amigables no puede superar el Total. </v>
      </c>
      <c r="CC31" s="1865" t="str">
        <f t="shared" si="15"/>
        <v xml:space="preserve">* El Número de TRANS Masculino no puede superar el Total Mujeres. </v>
      </c>
      <c r="CD31" s="1865" t="str">
        <f t="shared" si="16"/>
        <v xml:space="preserve">* El Número de TRANS Femenino no puede superar el Total Hombres. </v>
      </c>
      <c r="CE31" s="1865" t="str">
        <f t="shared" si="17"/>
        <v xml:space="preserve">* El Número de Pueblos Originarios no puede superar el Total. </v>
      </c>
      <c r="CF31" s="1865" t="str">
        <f t="shared" si="18"/>
        <v xml:space="preserve">* El Número de Migrantes no puede superar el Total. </v>
      </c>
      <c r="CG31" s="1866"/>
      <c r="CH31" s="1865" t="str">
        <f t="shared" si="19"/>
        <v xml:space="preserve">* El Número de Niños, Niñas, Adolescentes y Jóvenes SENAME no puede superar el Total. </v>
      </c>
      <c r="CI31" s="1865" t="str">
        <f t="shared" si="20"/>
        <v xml:space="preserve">* El Número de Niños, Niñas, Adolescentes y Jóvenes Mejor Niñez no puede superar el Total. </v>
      </c>
      <c r="CJ31" s="1936"/>
      <c r="CK31" s="1867">
        <f t="shared" si="21"/>
        <v>1</v>
      </c>
      <c r="CL31" s="1867">
        <f t="shared" si="22"/>
        <v>1</v>
      </c>
      <c r="CM31" s="1867">
        <f t="shared" si="23"/>
        <v>1</v>
      </c>
      <c r="CN31" s="1867">
        <f t="shared" si="24"/>
        <v>1</v>
      </c>
      <c r="CO31" s="1867">
        <f t="shared" si="24"/>
        <v>1</v>
      </c>
      <c r="CP31" s="1868"/>
      <c r="CQ31" s="1867">
        <f t="shared" si="25"/>
        <v>1</v>
      </c>
      <c r="CR31" s="1867">
        <f t="shared" si="25"/>
        <v>1</v>
      </c>
    </row>
    <row r="32" spans="1:100" x14ac:dyDescent="0.25">
      <c r="A32" s="5818">
        <v>19184800</v>
      </c>
      <c r="B32" s="6058"/>
      <c r="C32" s="4093" t="s">
        <v>2064</v>
      </c>
      <c r="D32" s="3908" t="s">
        <v>4567</v>
      </c>
      <c r="E32" s="3978" t="s">
        <v>4568</v>
      </c>
      <c r="F32" s="4094" t="s">
        <v>4569</v>
      </c>
      <c r="G32" s="3913" t="s">
        <v>4570</v>
      </c>
      <c r="H32" s="329" t="s">
        <v>4571</v>
      </c>
      <c r="I32" s="3913" t="s">
        <v>4572</v>
      </c>
      <c r="J32" s="329" t="s">
        <v>4573</v>
      </c>
      <c r="K32" s="3913" t="s">
        <v>4574</v>
      </c>
      <c r="L32" s="1969" t="s">
        <v>4575</v>
      </c>
      <c r="M32" s="3913" t="s">
        <v>4576</v>
      </c>
      <c r="N32" s="1969" t="s">
        <v>4577</v>
      </c>
      <c r="O32" s="3913" t="s">
        <v>4578</v>
      </c>
      <c r="P32" s="1969" t="s">
        <v>4579</v>
      </c>
      <c r="Q32" s="3913" t="s">
        <v>4580</v>
      </c>
      <c r="R32" s="1969" t="s">
        <v>4581</v>
      </c>
      <c r="S32" s="3913" t="s">
        <v>4582</v>
      </c>
      <c r="T32" s="1969" t="s">
        <v>4583</v>
      </c>
      <c r="U32" s="3913" t="s">
        <v>4584</v>
      </c>
      <c r="V32" s="1969" t="s">
        <v>4585</v>
      </c>
      <c r="W32" s="3913" t="s">
        <v>4586</v>
      </c>
      <c r="X32" s="1969" t="s">
        <v>4587</v>
      </c>
      <c r="Y32" s="3913" t="s">
        <v>4588</v>
      </c>
      <c r="Z32" s="1969" t="s">
        <v>4589</v>
      </c>
      <c r="AA32" s="3913" t="s">
        <v>4590</v>
      </c>
      <c r="AB32" s="1969" t="s">
        <v>4591</v>
      </c>
      <c r="AC32" s="3913" t="s">
        <v>4592</v>
      </c>
      <c r="AD32" s="1969" t="s">
        <v>4593</v>
      </c>
      <c r="AE32" s="3913" t="s">
        <v>4594</v>
      </c>
      <c r="AF32" s="1969" t="s">
        <v>4595</v>
      </c>
      <c r="AG32" s="3913" t="s">
        <v>4596</v>
      </c>
      <c r="AH32" s="1969" t="s">
        <v>4597</v>
      </c>
      <c r="AI32" s="3913" t="s">
        <v>4598</v>
      </c>
      <c r="AJ32" s="1969" t="s">
        <v>4599</v>
      </c>
      <c r="AK32" s="3913" t="s">
        <v>4600</v>
      </c>
      <c r="AL32" s="1969" t="s">
        <v>4601</v>
      </c>
      <c r="AM32" s="4095" t="s">
        <v>4602</v>
      </c>
      <c r="AN32" s="331" t="s">
        <v>4603</v>
      </c>
      <c r="AO32" s="4096" t="s">
        <v>4604</v>
      </c>
      <c r="AP32" s="3904" t="s">
        <v>4605</v>
      </c>
      <c r="AQ32" s="329" t="s">
        <v>4606</v>
      </c>
      <c r="AR32" s="3968" t="s">
        <v>4934</v>
      </c>
      <c r="AS32" s="3968" t="s">
        <v>4935</v>
      </c>
      <c r="AT32" s="4097" t="s">
        <v>4936</v>
      </c>
      <c r="AU32" s="3968" t="s">
        <v>4937</v>
      </c>
      <c r="AV32" s="3968" t="s">
        <v>5234</v>
      </c>
      <c r="AW32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2" s="1865" t="str">
        <f t="shared" si="14"/>
        <v xml:space="preserve">* El Número de Espacios Amigables no puede superar el Total. </v>
      </c>
      <c r="CC32" s="1865" t="str">
        <f t="shared" si="15"/>
        <v xml:space="preserve">* El Número de TRANS Masculino no puede superar el Total Mujeres. </v>
      </c>
      <c r="CD32" s="1865" t="str">
        <f t="shared" si="16"/>
        <v xml:space="preserve">* El Número de TRANS Femenino no puede superar el Total Hombres. </v>
      </c>
      <c r="CE32" s="1865" t="str">
        <f t="shared" si="17"/>
        <v xml:space="preserve">* El Número de Pueblos Originarios no puede superar el Total. </v>
      </c>
      <c r="CF32" s="1865" t="str">
        <f t="shared" si="18"/>
        <v xml:space="preserve">* El Número de Migrantes no puede superar el Total. </v>
      </c>
      <c r="CG32" s="1866"/>
      <c r="CH32" s="1865" t="str">
        <f t="shared" si="19"/>
        <v xml:space="preserve">* El Número de Niños, Niñas, Adolescentes y Jóvenes SENAME no puede superar el Total. </v>
      </c>
      <c r="CI32" s="1865" t="str">
        <f t="shared" si="20"/>
        <v xml:space="preserve">* El Número de Niños, Niñas, Adolescentes y Jóvenes Mejor Niñez no puede superar el Total. </v>
      </c>
      <c r="CJ32" s="1936"/>
      <c r="CK32" s="1867">
        <f t="shared" si="21"/>
        <v>1</v>
      </c>
      <c r="CL32" s="1867">
        <f t="shared" si="22"/>
        <v>1</v>
      </c>
      <c r="CM32" s="1867">
        <f t="shared" si="23"/>
        <v>1</v>
      </c>
      <c r="CN32" s="1867">
        <f t="shared" si="24"/>
        <v>1</v>
      </c>
      <c r="CO32" s="1867">
        <f t="shared" si="24"/>
        <v>1</v>
      </c>
      <c r="CP32" s="1868"/>
      <c r="CQ32" s="1867">
        <f t="shared" si="25"/>
        <v>1</v>
      </c>
      <c r="CR32" s="1867">
        <f t="shared" si="25"/>
        <v>1</v>
      </c>
    </row>
    <row r="33" spans="1:96" x14ac:dyDescent="0.25">
      <c r="A33" s="5818">
        <v>19184801</v>
      </c>
      <c r="B33" s="6058"/>
      <c r="C33" s="24" t="s">
        <v>2065</v>
      </c>
      <c r="D33" s="3908" t="s">
        <v>4567</v>
      </c>
      <c r="E33" s="210" t="s">
        <v>4568</v>
      </c>
      <c r="F33" s="4099" t="s">
        <v>4569</v>
      </c>
      <c r="G33" s="3913" t="s">
        <v>4570</v>
      </c>
      <c r="H33" s="329" t="s">
        <v>4571</v>
      </c>
      <c r="I33" s="3913" t="s">
        <v>4572</v>
      </c>
      <c r="J33" s="329" t="s">
        <v>4573</v>
      </c>
      <c r="K33" s="3913" t="s">
        <v>4574</v>
      </c>
      <c r="L33" s="1969" t="s">
        <v>4575</v>
      </c>
      <c r="M33" s="3913" t="s">
        <v>4576</v>
      </c>
      <c r="N33" s="1969" t="s">
        <v>4577</v>
      </c>
      <c r="O33" s="3913" t="s">
        <v>4578</v>
      </c>
      <c r="P33" s="1969" t="s">
        <v>4579</v>
      </c>
      <c r="Q33" s="3913" t="s">
        <v>4580</v>
      </c>
      <c r="R33" s="1969" t="s">
        <v>4581</v>
      </c>
      <c r="S33" s="3913" t="s">
        <v>4582</v>
      </c>
      <c r="T33" s="1969" t="s">
        <v>4583</v>
      </c>
      <c r="U33" s="3913" t="s">
        <v>4584</v>
      </c>
      <c r="V33" s="1969" t="s">
        <v>4585</v>
      </c>
      <c r="W33" s="3913" t="s">
        <v>4586</v>
      </c>
      <c r="X33" s="1969" t="s">
        <v>4587</v>
      </c>
      <c r="Y33" s="3913" t="s">
        <v>4588</v>
      </c>
      <c r="Z33" s="1969" t="s">
        <v>4589</v>
      </c>
      <c r="AA33" s="3913" t="s">
        <v>4590</v>
      </c>
      <c r="AB33" s="1969" t="s">
        <v>4591</v>
      </c>
      <c r="AC33" s="3913" t="s">
        <v>4592</v>
      </c>
      <c r="AD33" s="1969" t="s">
        <v>4593</v>
      </c>
      <c r="AE33" s="3913" t="s">
        <v>4594</v>
      </c>
      <c r="AF33" s="1969" t="s">
        <v>4595</v>
      </c>
      <c r="AG33" s="3913" t="s">
        <v>4596</v>
      </c>
      <c r="AH33" s="1969" t="s">
        <v>4597</v>
      </c>
      <c r="AI33" s="3913" t="s">
        <v>4598</v>
      </c>
      <c r="AJ33" s="1969" t="s">
        <v>4599</v>
      </c>
      <c r="AK33" s="3913" t="s">
        <v>4600</v>
      </c>
      <c r="AL33" s="1969" t="s">
        <v>4601</v>
      </c>
      <c r="AM33" s="4100" t="s">
        <v>4602</v>
      </c>
      <c r="AN33" s="331" t="s">
        <v>4603</v>
      </c>
      <c r="AO33" s="4096" t="s">
        <v>4604</v>
      </c>
      <c r="AP33" s="3904" t="s">
        <v>4605</v>
      </c>
      <c r="AQ33" s="329" t="s">
        <v>4606</v>
      </c>
      <c r="AR33" s="3968" t="s">
        <v>4934</v>
      </c>
      <c r="AS33" s="3968" t="s">
        <v>4935</v>
      </c>
      <c r="AT33" s="4097" t="s">
        <v>4936</v>
      </c>
      <c r="AU33" s="3968" t="s">
        <v>4937</v>
      </c>
      <c r="AV33" s="3968" t="s">
        <v>5234</v>
      </c>
      <c r="AW33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3" s="1865" t="str">
        <f t="shared" si="14"/>
        <v xml:space="preserve">* El Número de Espacios Amigables no puede superar el Total. </v>
      </c>
      <c r="CC33" s="1865" t="str">
        <f t="shared" si="15"/>
        <v xml:space="preserve">* El Número de TRANS Masculino no puede superar el Total Mujeres. </v>
      </c>
      <c r="CD33" s="1865" t="str">
        <f t="shared" si="16"/>
        <v xml:space="preserve">* El Número de TRANS Femenino no puede superar el Total Hombres. </v>
      </c>
      <c r="CE33" s="1865" t="str">
        <f t="shared" si="17"/>
        <v xml:space="preserve">* El Número de Pueblos Originarios no puede superar el Total. </v>
      </c>
      <c r="CF33" s="1865" t="str">
        <f t="shared" si="18"/>
        <v xml:space="preserve">* El Número de Migrantes no puede superar el Total. </v>
      </c>
      <c r="CG33" s="1866"/>
      <c r="CH33" s="1865" t="str">
        <f t="shared" si="19"/>
        <v xml:space="preserve">* El Número de Niños, Niñas, Adolescentes y Jóvenes SENAME no puede superar el Total. </v>
      </c>
      <c r="CI33" s="1865" t="str">
        <f t="shared" si="20"/>
        <v xml:space="preserve">* El Número de Niños, Niñas, Adolescentes y Jóvenes Mejor Niñez no puede superar el Total. </v>
      </c>
      <c r="CJ33" s="1936"/>
      <c r="CK33" s="1867">
        <f t="shared" si="21"/>
        <v>1</v>
      </c>
      <c r="CL33" s="1867">
        <f t="shared" si="22"/>
        <v>1</v>
      </c>
      <c r="CM33" s="1867">
        <f t="shared" si="23"/>
        <v>1</v>
      </c>
      <c r="CN33" s="1867">
        <f t="shared" si="24"/>
        <v>1</v>
      </c>
      <c r="CO33" s="1867">
        <f t="shared" si="24"/>
        <v>1</v>
      </c>
      <c r="CP33" s="1868"/>
      <c r="CQ33" s="1867">
        <f t="shared" si="25"/>
        <v>1</v>
      </c>
      <c r="CR33" s="1867">
        <f t="shared" si="25"/>
        <v>1</v>
      </c>
    </row>
    <row r="34" spans="1:96" x14ac:dyDescent="0.25">
      <c r="A34" s="5818">
        <v>19184900</v>
      </c>
      <c r="B34" s="6842"/>
      <c r="C34" s="516" t="s">
        <v>99</v>
      </c>
      <c r="D34" s="623" t="s">
        <v>4567</v>
      </c>
      <c r="E34" s="3994" t="s">
        <v>4568</v>
      </c>
      <c r="F34" s="4101" t="s">
        <v>4569</v>
      </c>
      <c r="G34" s="874" t="s">
        <v>4570</v>
      </c>
      <c r="H34" s="3416" t="s">
        <v>4571</v>
      </c>
      <c r="I34" s="874" t="s">
        <v>4572</v>
      </c>
      <c r="J34" s="3416" t="s">
        <v>4573</v>
      </c>
      <c r="K34" s="874" t="s">
        <v>4574</v>
      </c>
      <c r="L34" s="324" t="s">
        <v>4575</v>
      </c>
      <c r="M34" s="874" t="s">
        <v>4576</v>
      </c>
      <c r="N34" s="324" t="s">
        <v>4577</v>
      </c>
      <c r="O34" s="874" t="s">
        <v>4578</v>
      </c>
      <c r="P34" s="324" t="s">
        <v>4579</v>
      </c>
      <c r="Q34" s="874" t="s">
        <v>4580</v>
      </c>
      <c r="R34" s="324" t="s">
        <v>4581</v>
      </c>
      <c r="S34" s="874" t="s">
        <v>4582</v>
      </c>
      <c r="T34" s="324" t="s">
        <v>4583</v>
      </c>
      <c r="U34" s="874" t="s">
        <v>4584</v>
      </c>
      <c r="V34" s="324" t="s">
        <v>4585</v>
      </c>
      <c r="W34" s="874" t="s">
        <v>4586</v>
      </c>
      <c r="X34" s="324" t="s">
        <v>4587</v>
      </c>
      <c r="Y34" s="874" t="s">
        <v>4588</v>
      </c>
      <c r="Z34" s="324" t="s">
        <v>4589</v>
      </c>
      <c r="AA34" s="874" t="s">
        <v>4590</v>
      </c>
      <c r="AB34" s="324" t="s">
        <v>4591</v>
      </c>
      <c r="AC34" s="874" t="s">
        <v>4592</v>
      </c>
      <c r="AD34" s="324" t="s">
        <v>4593</v>
      </c>
      <c r="AE34" s="874" t="s">
        <v>4594</v>
      </c>
      <c r="AF34" s="324" t="s">
        <v>4595</v>
      </c>
      <c r="AG34" s="874" t="s">
        <v>4596</v>
      </c>
      <c r="AH34" s="324" t="s">
        <v>4597</v>
      </c>
      <c r="AI34" s="874" t="s">
        <v>4598</v>
      </c>
      <c r="AJ34" s="324" t="s">
        <v>4599</v>
      </c>
      <c r="AK34" s="874" t="s">
        <v>4600</v>
      </c>
      <c r="AL34" s="324" t="s">
        <v>4601</v>
      </c>
      <c r="AM34" s="853" t="s">
        <v>4602</v>
      </c>
      <c r="AN34" s="325" t="s">
        <v>4603</v>
      </c>
      <c r="AO34" s="2286" t="s">
        <v>4604</v>
      </c>
      <c r="AP34" s="4039" t="s">
        <v>4605</v>
      </c>
      <c r="AQ34" s="854" t="s">
        <v>4606</v>
      </c>
      <c r="AR34" s="1920" t="s">
        <v>4934</v>
      </c>
      <c r="AS34" s="1920" t="s">
        <v>4935</v>
      </c>
      <c r="AT34" s="1881" t="s">
        <v>4936</v>
      </c>
      <c r="AU34" s="1920" t="s">
        <v>4937</v>
      </c>
      <c r="AV34" s="1920" t="s">
        <v>5234</v>
      </c>
      <c r="AW34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4" s="1865" t="str">
        <f t="shared" si="14"/>
        <v xml:space="preserve">* El Número de Espacios Amigables no puede superar el Total. </v>
      </c>
      <c r="CC34" s="1865" t="str">
        <f t="shared" si="15"/>
        <v xml:space="preserve">* El Número de TRANS Masculino no puede superar el Total Mujeres. </v>
      </c>
      <c r="CD34" s="1865" t="str">
        <f t="shared" si="16"/>
        <v xml:space="preserve">* El Número de TRANS Femenino no puede superar el Total Hombres. </v>
      </c>
      <c r="CE34" s="1865" t="str">
        <f t="shared" si="17"/>
        <v xml:space="preserve">* El Número de Pueblos Originarios no puede superar el Total. </v>
      </c>
      <c r="CF34" s="1865" t="str">
        <f t="shared" si="18"/>
        <v xml:space="preserve">* El Número de Migrantes no puede superar el Total. </v>
      </c>
      <c r="CG34" s="1866"/>
      <c r="CH34" s="1865" t="str">
        <f t="shared" si="19"/>
        <v xml:space="preserve">* El Número de Niños, Niñas, Adolescentes y Jóvenes SENAME no puede superar el Total. </v>
      </c>
      <c r="CI34" s="1865" t="str">
        <f t="shared" si="20"/>
        <v xml:space="preserve">* El Número de Niños, Niñas, Adolescentes y Jóvenes Mejor Niñez no puede superar el Total. </v>
      </c>
      <c r="CJ34" s="1936"/>
      <c r="CK34" s="1867">
        <f t="shared" si="21"/>
        <v>1</v>
      </c>
      <c r="CL34" s="1867">
        <f t="shared" si="22"/>
        <v>1</v>
      </c>
      <c r="CM34" s="1867">
        <f t="shared" si="23"/>
        <v>1</v>
      </c>
      <c r="CN34" s="1867">
        <f t="shared" si="24"/>
        <v>1</v>
      </c>
      <c r="CO34" s="1867">
        <f t="shared" si="24"/>
        <v>1</v>
      </c>
      <c r="CP34" s="1868"/>
      <c r="CQ34" s="1867">
        <f t="shared" si="25"/>
        <v>1</v>
      </c>
      <c r="CR34" s="1867">
        <f t="shared" si="25"/>
        <v>1</v>
      </c>
    </row>
    <row r="35" spans="1:96" x14ac:dyDescent="0.25">
      <c r="A35" s="5818">
        <v>19120301</v>
      </c>
      <c r="B35" s="7164" t="s">
        <v>203</v>
      </c>
      <c r="C35" s="3365" t="s">
        <v>64</v>
      </c>
      <c r="D35" s="3225" t="s">
        <v>4567</v>
      </c>
      <c r="E35" s="3972" t="s">
        <v>4568</v>
      </c>
      <c r="F35" s="4085" t="s">
        <v>4569</v>
      </c>
      <c r="G35" s="3950" t="s">
        <v>4570</v>
      </c>
      <c r="H35" s="4102" t="s">
        <v>4571</v>
      </c>
      <c r="I35" s="3927" t="s">
        <v>4572</v>
      </c>
      <c r="J35" s="4086" t="s">
        <v>4573</v>
      </c>
      <c r="K35" s="3927" t="s">
        <v>4574</v>
      </c>
      <c r="L35" s="3929" t="s">
        <v>4575</v>
      </c>
      <c r="M35" s="3927" t="s">
        <v>4576</v>
      </c>
      <c r="N35" s="3929" t="s">
        <v>4577</v>
      </c>
      <c r="O35" s="3927" t="s">
        <v>4578</v>
      </c>
      <c r="P35" s="3929" t="s">
        <v>4579</v>
      </c>
      <c r="Q35" s="3927" t="s">
        <v>4580</v>
      </c>
      <c r="R35" s="3929" t="s">
        <v>4581</v>
      </c>
      <c r="S35" s="3927" t="s">
        <v>4582</v>
      </c>
      <c r="T35" s="3929" t="s">
        <v>4583</v>
      </c>
      <c r="U35" s="3927" t="s">
        <v>4584</v>
      </c>
      <c r="V35" s="3929" t="s">
        <v>4585</v>
      </c>
      <c r="W35" s="3927" t="s">
        <v>4586</v>
      </c>
      <c r="X35" s="3929" t="s">
        <v>4587</v>
      </c>
      <c r="Y35" s="3927" t="s">
        <v>4588</v>
      </c>
      <c r="Z35" s="3929" t="s">
        <v>4589</v>
      </c>
      <c r="AA35" s="3927" t="s">
        <v>4590</v>
      </c>
      <c r="AB35" s="3929" t="s">
        <v>4591</v>
      </c>
      <c r="AC35" s="3927" t="s">
        <v>4592</v>
      </c>
      <c r="AD35" s="3929" t="s">
        <v>4593</v>
      </c>
      <c r="AE35" s="3927" t="s">
        <v>4594</v>
      </c>
      <c r="AF35" s="3929" t="s">
        <v>4595</v>
      </c>
      <c r="AG35" s="3927" t="s">
        <v>4596</v>
      </c>
      <c r="AH35" s="3929" t="s">
        <v>4597</v>
      </c>
      <c r="AI35" s="3927" t="s">
        <v>4598</v>
      </c>
      <c r="AJ35" s="3929" t="s">
        <v>4599</v>
      </c>
      <c r="AK35" s="3927" t="s">
        <v>4600</v>
      </c>
      <c r="AL35" s="3929" t="s">
        <v>4601</v>
      </c>
      <c r="AM35" s="4087" t="s">
        <v>4602</v>
      </c>
      <c r="AN35" s="4088" t="s">
        <v>4603</v>
      </c>
      <c r="AO35" s="2035" t="s">
        <v>4604</v>
      </c>
      <c r="AP35" s="4090" t="s">
        <v>4605</v>
      </c>
      <c r="AQ35" s="3930" t="s">
        <v>4606</v>
      </c>
      <c r="AR35" s="4091" t="s">
        <v>4934</v>
      </c>
      <c r="AS35" s="4091" t="s">
        <v>4935</v>
      </c>
      <c r="AT35" s="4092" t="s">
        <v>4936</v>
      </c>
      <c r="AU35" s="2036" t="s">
        <v>4937</v>
      </c>
      <c r="AV35" s="2036" t="s">
        <v>5234</v>
      </c>
      <c r="AW35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5" s="1865" t="str">
        <f t="shared" si="1"/>
        <v xml:space="preserve">* El Número de Espacios Amigables no puede superar el Total. </v>
      </c>
      <c r="CC35" s="1865" t="str">
        <f t="shared" si="2"/>
        <v xml:space="preserve">* El Número de TRANS Masculino no puede superar el Total Mujeres. </v>
      </c>
      <c r="CD35" s="1865" t="str">
        <f t="shared" si="3"/>
        <v xml:space="preserve">* El Número de TRANS Femenino no puede superar el Total Hombres. </v>
      </c>
      <c r="CE35" s="1865" t="str">
        <f t="shared" si="4"/>
        <v xml:space="preserve">* El Número de Pueblos Originarios no puede superar el Total. </v>
      </c>
      <c r="CF35" s="1865" t="str">
        <f t="shared" si="5"/>
        <v xml:space="preserve">* El Número de Migrantes no puede superar el Total. </v>
      </c>
      <c r="CG35" s="1866"/>
      <c r="CH35" s="1865" t="str">
        <f t="shared" si="6"/>
        <v xml:space="preserve">* El Número de Niños, Niñas, Adolescentes y Jóvenes SENAME no puede superar el Total. </v>
      </c>
      <c r="CI35" s="1865" t="str">
        <f t="shared" si="7"/>
        <v xml:space="preserve">* El Número de Niños, Niñas, Adolescentes y Jóvenes Mejor Niñez no puede superar el Total. </v>
      </c>
      <c r="CJ35" s="1936"/>
      <c r="CK35" s="1867">
        <f t="shared" si="8"/>
        <v>1</v>
      </c>
      <c r="CL35" s="1867">
        <f t="shared" si="9"/>
        <v>1</v>
      </c>
      <c r="CM35" s="1867">
        <f t="shared" si="10"/>
        <v>1</v>
      </c>
      <c r="CN35" s="1867">
        <f t="shared" si="11"/>
        <v>1</v>
      </c>
      <c r="CO35" s="1867">
        <f t="shared" si="11"/>
        <v>1</v>
      </c>
      <c r="CP35" s="1868"/>
      <c r="CQ35" s="1867">
        <f t="shared" si="12"/>
        <v>1</v>
      </c>
      <c r="CR35" s="1867">
        <f t="shared" si="12"/>
        <v>1</v>
      </c>
    </row>
    <row r="36" spans="1:96" x14ac:dyDescent="0.25">
      <c r="A36" s="5818">
        <v>19120302</v>
      </c>
      <c r="B36" s="6058"/>
      <c r="C36" s="4093" t="s">
        <v>1404</v>
      </c>
      <c r="D36" s="3908" t="s">
        <v>4567</v>
      </c>
      <c r="E36" s="3978" t="s">
        <v>4568</v>
      </c>
      <c r="F36" s="4094" t="s">
        <v>4569</v>
      </c>
      <c r="G36" s="1890" t="s">
        <v>4570</v>
      </c>
      <c r="H36" s="4103" t="s">
        <v>4571</v>
      </c>
      <c r="I36" s="3913" t="s">
        <v>4572</v>
      </c>
      <c r="J36" s="329" t="s">
        <v>4573</v>
      </c>
      <c r="K36" s="3913" t="s">
        <v>4574</v>
      </c>
      <c r="L36" s="1969" t="s">
        <v>4575</v>
      </c>
      <c r="M36" s="3913" t="s">
        <v>4576</v>
      </c>
      <c r="N36" s="1969" t="s">
        <v>4577</v>
      </c>
      <c r="O36" s="3913" t="s">
        <v>4578</v>
      </c>
      <c r="P36" s="1969" t="s">
        <v>4579</v>
      </c>
      <c r="Q36" s="3913" t="s">
        <v>4580</v>
      </c>
      <c r="R36" s="1969" t="s">
        <v>4581</v>
      </c>
      <c r="S36" s="3913" t="s">
        <v>4582</v>
      </c>
      <c r="T36" s="1969" t="s">
        <v>4583</v>
      </c>
      <c r="U36" s="3913" t="s">
        <v>4584</v>
      </c>
      <c r="V36" s="1969" t="s">
        <v>4585</v>
      </c>
      <c r="W36" s="3913" t="s">
        <v>4586</v>
      </c>
      <c r="X36" s="1969" t="s">
        <v>4587</v>
      </c>
      <c r="Y36" s="3913" t="s">
        <v>4588</v>
      </c>
      <c r="Z36" s="1969" t="s">
        <v>4589</v>
      </c>
      <c r="AA36" s="3913" t="s">
        <v>4590</v>
      </c>
      <c r="AB36" s="1969" t="s">
        <v>4591</v>
      </c>
      <c r="AC36" s="3913" t="s">
        <v>4592</v>
      </c>
      <c r="AD36" s="1969" t="s">
        <v>4593</v>
      </c>
      <c r="AE36" s="3913" t="s">
        <v>4594</v>
      </c>
      <c r="AF36" s="1969" t="s">
        <v>4595</v>
      </c>
      <c r="AG36" s="3913" t="s">
        <v>4596</v>
      </c>
      <c r="AH36" s="1969" t="s">
        <v>4597</v>
      </c>
      <c r="AI36" s="3913" t="s">
        <v>4598</v>
      </c>
      <c r="AJ36" s="1969" t="s">
        <v>4599</v>
      </c>
      <c r="AK36" s="3913" t="s">
        <v>4600</v>
      </c>
      <c r="AL36" s="1969" t="s">
        <v>4601</v>
      </c>
      <c r="AM36" s="4095" t="s">
        <v>4602</v>
      </c>
      <c r="AN36" s="331" t="s">
        <v>4603</v>
      </c>
      <c r="AO36" s="4096" t="s">
        <v>4604</v>
      </c>
      <c r="AP36" s="3904" t="s">
        <v>4605</v>
      </c>
      <c r="AQ36" s="329" t="s">
        <v>4606</v>
      </c>
      <c r="AR36" s="3968" t="s">
        <v>4934</v>
      </c>
      <c r="AS36" s="3968" t="s">
        <v>4935</v>
      </c>
      <c r="AT36" s="4097" t="s">
        <v>4936</v>
      </c>
      <c r="AU36" s="3968" t="s">
        <v>4937</v>
      </c>
      <c r="AV36" s="3968" t="s">
        <v>5234</v>
      </c>
      <c r="AW36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6" s="1865" t="str">
        <f t="shared" si="1"/>
        <v xml:space="preserve">* El Número de Espacios Amigables no puede superar el Total. </v>
      </c>
      <c r="CC36" s="1865" t="str">
        <f t="shared" si="2"/>
        <v xml:space="preserve">* El Número de TRANS Masculino no puede superar el Total Mujeres. </v>
      </c>
      <c r="CD36" s="1865" t="str">
        <f t="shared" si="3"/>
        <v xml:space="preserve">* El Número de TRANS Femenino no puede superar el Total Hombres. </v>
      </c>
      <c r="CE36" s="1865" t="str">
        <f t="shared" si="4"/>
        <v xml:space="preserve">* El Número de Pueblos Originarios no puede superar el Total. </v>
      </c>
      <c r="CF36" s="1865" t="str">
        <f t="shared" si="5"/>
        <v xml:space="preserve">* El Número de Migrantes no puede superar el Total. </v>
      </c>
      <c r="CG36" s="1866"/>
      <c r="CH36" s="1865" t="str">
        <f t="shared" si="6"/>
        <v xml:space="preserve">* El Número de Niños, Niñas, Adolescentes y Jóvenes SENAME no puede superar el Total. </v>
      </c>
      <c r="CI36" s="1865" t="str">
        <f t="shared" si="7"/>
        <v xml:space="preserve">* El Número de Niños, Niñas, Adolescentes y Jóvenes Mejor Niñez no puede superar el Total. </v>
      </c>
      <c r="CJ36" s="1936"/>
      <c r="CK36" s="1867">
        <f t="shared" si="8"/>
        <v>1</v>
      </c>
      <c r="CL36" s="1867">
        <f t="shared" si="9"/>
        <v>1</v>
      </c>
      <c r="CM36" s="1867">
        <f t="shared" si="10"/>
        <v>1</v>
      </c>
      <c r="CN36" s="1867">
        <f t="shared" si="11"/>
        <v>1</v>
      </c>
      <c r="CO36" s="1867">
        <f t="shared" si="11"/>
        <v>1</v>
      </c>
      <c r="CP36" s="1868"/>
      <c r="CQ36" s="1867">
        <f t="shared" si="12"/>
        <v>1</v>
      </c>
      <c r="CR36" s="1867">
        <f t="shared" si="12"/>
        <v>1</v>
      </c>
    </row>
    <row r="37" spans="1:96" x14ac:dyDescent="0.25">
      <c r="A37" s="5818">
        <v>19120303</v>
      </c>
      <c r="B37" s="6058"/>
      <c r="C37" s="4093" t="s">
        <v>65</v>
      </c>
      <c r="D37" s="3908" t="s">
        <v>4567</v>
      </c>
      <c r="E37" s="3978" t="s">
        <v>4568</v>
      </c>
      <c r="F37" s="4094" t="s">
        <v>4569</v>
      </c>
      <c r="G37" s="1890" t="s">
        <v>4570</v>
      </c>
      <c r="H37" s="4103" t="s">
        <v>4571</v>
      </c>
      <c r="I37" s="3913" t="s">
        <v>4572</v>
      </c>
      <c r="J37" s="329" t="s">
        <v>4573</v>
      </c>
      <c r="K37" s="3913" t="s">
        <v>4574</v>
      </c>
      <c r="L37" s="1969" t="s">
        <v>4575</v>
      </c>
      <c r="M37" s="3913" t="s">
        <v>4576</v>
      </c>
      <c r="N37" s="1969" t="s">
        <v>4577</v>
      </c>
      <c r="O37" s="3913" t="s">
        <v>4578</v>
      </c>
      <c r="P37" s="1969" t="s">
        <v>4579</v>
      </c>
      <c r="Q37" s="3913" t="s">
        <v>4580</v>
      </c>
      <c r="R37" s="1969" t="s">
        <v>4581</v>
      </c>
      <c r="S37" s="3913" t="s">
        <v>4582</v>
      </c>
      <c r="T37" s="1969" t="s">
        <v>4583</v>
      </c>
      <c r="U37" s="3913" t="s">
        <v>4584</v>
      </c>
      <c r="V37" s="1969" t="s">
        <v>4585</v>
      </c>
      <c r="W37" s="3913" t="s">
        <v>4586</v>
      </c>
      <c r="X37" s="1969" t="s">
        <v>4587</v>
      </c>
      <c r="Y37" s="3913" t="s">
        <v>4588</v>
      </c>
      <c r="Z37" s="1969" t="s">
        <v>4589</v>
      </c>
      <c r="AA37" s="3913" t="s">
        <v>4590</v>
      </c>
      <c r="AB37" s="1969" t="s">
        <v>4591</v>
      </c>
      <c r="AC37" s="3913" t="s">
        <v>4592</v>
      </c>
      <c r="AD37" s="1969" t="s">
        <v>4593</v>
      </c>
      <c r="AE37" s="3913" t="s">
        <v>4594</v>
      </c>
      <c r="AF37" s="1969" t="s">
        <v>4595</v>
      </c>
      <c r="AG37" s="3913" t="s">
        <v>4596</v>
      </c>
      <c r="AH37" s="1969" t="s">
        <v>4597</v>
      </c>
      <c r="AI37" s="3913" t="s">
        <v>4598</v>
      </c>
      <c r="AJ37" s="1969" t="s">
        <v>4599</v>
      </c>
      <c r="AK37" s="3913" t="s">
        <v>4600</v>
      </c>
      <c r="AL37" s="1969" t="s">
        <v>4601</v>
      </c>
      <c r="AM37" s="4095" t="s">
        <v>4602</v>
      </c>
      <c r="AN37" s="331" t="s">
        <v>4603</v>
      </c>
      <c r="AO37" s="4096" t="s">
        <v>4604</v>
      </c>
      <c r="AP37" s="3904" t="s">
        <v>4605</v>
      </c>
      <c r="AQ37" s="329" t="s">
        <v>4606</v>
      </c>
      <c r="AR37" s="3968" t="s">
        <v>4934</v>
      </c>
      <c r="AS37" s="3968" t="s">
        <v>4935</v>
      </c>
      <c r="AT37" s="4097" t="s">
        <v>4936</v>
      </c>
      <c r="AU37" s="3968" t="s">
        <v>4937</v>
      </c>
      <c r="AV37" s="3968" t="s">
        <v>5234</v>
      </c>
      <c r="AW37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7" s="1865" t="str">
        <f t="shared" si="1"/>
        <v xml:space="preserve">* El Número de Espacios Amigables no puede superar el Total. </v>
      </c>
      <c r="CC37" s="1865" t="str">
        <f t="shared" si="2"/>
        <v xml:space="preserve">* El Número de TRANS Masculino no puede superar el Total Mujeres. </v>
      </c>
      <c r="CD37" s="1865" t="str">
        <f t="shared" si="3"/>
        <v xml:space="preserve">* El Número de TRANS Femenino no puede superar el Total Hombres. </v>
      </c>
      <c r="CE37" s="1865" t="str">
        <f t="shared" si="4"/>
        <v xml:space="preserve">* El Número de Pueblos Originarios no puede superar el Total. </v>
      </c>
      <c r="CF37" s="1865" t="str">
        <f t="shared" si="5"/>
        <v xml:space="preserve">* El Número de Migrantes no puede superar el Total. </v>
      </c>
      <c r="CG37" s="1866"/>
      <c r="CH37" s="1865" t="str">
        <f t="shared" si="6"/>
        <v xml:space="preserve">* El Número de Niños, Niñas, Adolescentes y Jóvenes SENAME no puede superar el Total. </v>
      </c>
      <c r="CI37" s="1865" t="str">
        <f t="shared" si="7"/>
        <v xml:space="preserve">* El Número de Niños, Niñas, Adolescentes y Jóvenes Mejor Niñez no puede superar el Total. </v>
      </c>
      <c r="CJ37" s="1936"/>
      <c r="CK37" s="1867">
        <f t="shared" si="8"/>
        <v>1</v>
      </c>
      <c r="CL37" s="1867">
        <f t="shared" si="9"/>
        <v>1</v>
      </c>
      <c r="CM37" s="1867">
        <f t="shared" si="10"/>
        <v>1</v>
      </c>
      <c r="CN37" s="1867">
        <f t="shared" si="11"/>
        <v>1</v>
      </c>
      <c r="CO37" s="1867">
        <f t="shared" si="11"/>
        <v>1</v>
      </c>
      <c r="CP37" s="1868"/>
      <c r="CQ37" s="1867">
        <f t="shared" si="12"/>
        <v>1</v>
      </c>
      <c r="CR37" s="1867">
        <f t="shared" si="12"/>
        <v>1</v>
      </c>
    </row>
    <row r="38" spans="1:96" x14ac:dyDescent="0.25">
      <c r="A38" s="5818">
        <v>19120304</v>
      </c>
      <c r="B38" s="6058"/>
      <c r="C38" s="4093" t="s">
        <v>105</v>
      </c>
      <c r="D38" s="3908" t="s">
        <v>4567</v>
      </c>
      <c r="E38" s="3978" t="s">
        <v>4568</v>
      </c>
      <c r="F38" s="4094" t="s">
        <v>4569</v>
      </c>
      <c r="G38" s="1890" t="s">
        <v>4570</v>
      </c>
      <c r="H38" s="4103" t="s">
        <v>4571</v>
      </c>
      <c r="I38" s="3913" t="s">
        <v>4572</v>
      </c>
      <c r="J38" s="329" t="s">
        <v>4573</v>
      </c>
      <c r="K38" s="3913" t="s">
        <v>4574</v>
      </c>
      <c r="L38" s="1969" t="s">
        <v>4575</v>
      </c>
      <c r="M38" s="3913" t="s">
        <v>4576</v>
      </c>
      <c r="N38" s="1969" t="s">
        <v>4577</v>
      </c>
      <c r="O38" s="3913" t="s">
        <v>4578</v>
      </c>
      <c r="P38" s="1969" t="s">
        <v>4579</v>
      </c>
      <c r="Q38" s="3913" t="s">
        <v>4580</v>
      </c>
      <c r="R38" s="1969" t="s">
        <v>4581</v>
      </c>
      <c r="S38" s="3913" t="s">
        <v>4582</v>
      </c>
      <c r="T38" s="1969" t="s">
        <v>4583</v>
      </c>
      <c r="U38" s="3913" t="s">
        <v>4584</v>
      </c>
      <c r="V38" s="1969" t="s">
        <v>4585</v>
      </c>
      <c r="W38" s="3913" t="s">
        <v>4586</v>
      </c>
      <c r="X38" s="1969" t="s">
        <v>4587</v>
      </c>
      <c r="Y38" s="3913" t="s">
        <v>4588</v>
      </c>
      <c r="Z38" s="1969" t="s">
        <v>4589</v>
      </c>
      <c r="AA38" s="3913" t="s">
        <v>4590</v>
      </c>
      <c r="AB38" s="1969" t="s">
        <v>4591</v>
      </c>
      <c r="AC38" s="3913" t="s">
        <v>4592</v>
      </c>
      <c r="AD38" s="1969" t="s">
        <v>4593</v>
      </c>
      <c r="AE38" s="3913" t="s">
        <v>4594</v>
      </c>
      <c r="AF38" s="1969" t="s">
        <v>4595</v>
      </c>
      <c r="AG38" s="3913" t="s">
        <v>4596</v>
      </c>
      <c r="AH38" s="1969" t="s">
        <v>4597</v>
      </c>
      <c r="AI38" s="3913" t="s">
        <v>4598</v>
      </c>
      <c r="AJ38" s="1969" t="s">
        <v>4599</v>
      </c>
      <c r="AK38" s="3913" t="s">
        <v>4600</v>
      </c>
      <c r="AL38" s="1969" t="s">
        <v>4601</v>
      </c>
      <c r="AM38" s="4095" t="s">
        <v>4602</v>
      </c>
      <c r="AN38" s="331" t="s">
        <v>4603</v>
      </c>
      <c r="AO38" s="4096" t="s">
        <v>4604</v>
      </c>
      <c r="AP38" s="3904" t="s">
        <v>4605</v>
      </c>
      <c r="AQ38" s="329" t="s">
        <v>4606</v>
      </c>
      <c r="AR38" s="3968" t="s">
        <v>4934</v>
      </c>
      <c r="AS38" s="3968" t="s">
        <v>4935</v>
      </c>
      <c r="AT38" s="4097" t="s">
        <v>4936</v>
      </c>
      <c r="AU38" s="3968" t="s">
        <v>4937</v>
      </c>
      <c r="AV38" s="3968" t="s">
        <v>5234</v>
      </c>
      <c r="AW38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8" s="1865" t="str">
        <f t="shared" si="1"/>
        <v xml:space="preserve">* El Número de Espacios Amigables no puede superar el Total. </v>
      </c>
      <c r="CC38" s="1865" t="str">
        <f t="shared" si="2"/>
        <v xml:space="preserve">* El Número de TRANS Masculino no puede superar el Total Mujeres. </v>
      </c>
      <c r="CD38" s="1865" t="str">
        <f t="shared" si="3"/>
        <v xml:space="preserve">* El Número de TRANS Femenino no puede superar el Total Hombres. </v>
      </c>
      <c r="CE38" s="1865" t="str">
        <f t="shared" si="4"/>
        <v xml:space="preserve">* El Número de Pueblos Originarios no puede superar el Total. </v>
      </c>
      <c r="CF38" s="1865" t="str">
        <f t="shared" si="5"/>
        <v xml:space="preserve">* El Número de Migrantes no puede superar el Total. </v>
      </c>
      <c r="CG38" s="1866"/>
      <c r="CH38" s="1865" t="str">
        <f t="shared" si="6"/>
        <v xml:space="preserve">* El Número de Niños, Niñas, Adolescentes y Jóvenes SENAME no puede superar el Total. </v>
      </c>
      <c r="CI38" s="1865" t="str">
        <f t="shared" si="7"/>
        <v xml:space="preserve">* El Número de Niños, Niñas, Adolescentes y Jóvenes Mejor Niñez no puede superar el Total. </v>
      </c>
      <c r="CJ38" s="1936"/>
      <c r="CK38" s="1867">
        <f t="shared" si="8"/>
        <v>1</v>
      </c>
      <c r="CL38" s="1867">
        <f t="shared" si="9"/>
        <v>1</v>
      </c>
      <c r="CM38" s="1867">
        <f t="shared" si="10"/>
        <v>1</v>
      </c>
      <c r="CN38" s="1867">
        <f t="shared" si="11"/>
        <v>1</v>
      </c>
      <c r="CO38" s="1867">
        <f t="shared" si="11"/>
        <v>1</v>
      </c>
      <c r="CP38" s="1868"/>
      <c r="CQ38" s="1867">
        <f t="shared" si="12"/>
        <v>1</v>
      </c>
      <c r="CR38" s="1867">
        <f t="shared" si="12"/>
        <v>1</v>
      </c>
    </row>
    <row r="39" spans="1:96" x14ac:dyDescent="0.25">
      <c r="A39" s="5818">
        <v>19120306</v>
      </c>
      <c r="B39" s="6058"/>
      <c r="C39" s="4093" t="s">
        <v>2067</v>
      </c>
      <c r="D39" s="3908" t="s">
        <v>4567</v>
      </c>
      <c r="E39" s="3978" t="s">
        <v>4568</v>
      </c>
      <c r="F39" s="4094" t="s">
        <v>4569</v>
      </c>
      <c r="G39" s="1890" t="s">
        <v>4570</v>
      </c>
      <c r="H39" s="4103" t="s">
        <v>4571</v>
      </c>
      <c r="I39" s="3913" t="s">
        <v>4572</v>
      </c>
      <c r="J39" s="329" t="s">
        <v>4573</v>
      </c>
      <c r="K39" s="3913" t="s">
        <v>4574</v>
      </c>
      <c r="L39" s="1969" t="s">
        <v>4575</v>
      </c>
      <c r="M39" s="3913" t="s">
        <v>4576</v>
      </c>
      <c r="N39" s="1969" t="s">
        <v>4577</v>
      </c>
      <c r="O39" s="3913" t="s">
        <v>4578</v>
      </c>
      <c r="P39" s="1969" t="s">
        <v>4579</v>
      </c>
      <c r="Q39" s="3913" t="s">
        <v>4580</v>
      </c>
      <c r="R39" s="1969" t="s">
        <v>4581</v>
      </c>
      <c r="S39" s="3913" t="s">
        <v>4582</v>
      </c>
      <c r="T39" s="1969" t="s">
        <v>4583</v>
      </c>
      <c r="U39" s="3913" t="s">
        <v>4584</v>
      </c>
      <c r="V39" s="1969" t="s">
        <v>4585</v>
      </c>
      <c r="W39" s="3913" t="s">
        <v>4586</v>
      </c>
      <c r="X39" s="1969" t="s">
        <v>4587</v>
      </c>
      <c r="Y39" s="3913" t="s">
        <v>4588</v>
      </c>
      <c r="Z39" s="1969" t="s">
        <v>4589</v>
      </c>
      <c r="AA39" s="3913" t="s">
        <v>4590</v>
      </c>
      <c r="AB39" s="1969" t="s">
        <v>4591</v>
      </c>
      <c r="AC39" s="3913" t="s">
        <v>4592</v>
      </c>
      <c r="AD39" s="1969" t="s">
        <v>4593</v>
      </c>
      <c r="AE39" s="3913" t="s">
        <v>4594</v>
      </c>
      <c r="AF39" s="1969" t="s">
        <v>4595</v>
      </c>
      <c r="AG39" s="3913" t="s">
        <v>4596</v>
      </c>
      <c r="AH39" s="1969" t="s">
        <v>4597</v>
      </c>
      <c r="AI39" s="3913" t="s">
        <v>4598</v>
      </c>
      <c r="AJ39" s="1969" t="s">
        <v>4599</v>
      </c>
      <c r="AK39" s="3913" t="s">
        <v>4600</v>
      </c>
      <c r="AL39" s="1969" t="s">
        <v>4601</v>
      </c>
      <c r="AM39" s="4095" t="s">
        <v>4602</v>
      </c>
      <c r="AN39" s="331" t="s">
        <v>4603</v>
      </c>
      <c r="AO39" s="4096" t="s">
        <v>4604</v>
      </c>
      <c r="AP39" s="3904" t="s">
        <v>4605</v>
      </c>
      <c r="AQ39" s="329" t="s">
        <v>4606</v>
      </c>
      <c r="AR39" s="3968" t="s">
        <v>4934</v>
      </c>
      <c r="AS39" s="3968" t="s">
        <v>4935</v>
      </c>
      <c r="AT39" s="4097" t="s">
        <v>4936</v>
      </c>
      <c r="AU39" s="3968" t="s">
        <v>4937</v>
      </c>
      <c r="AV39" s="3968" t="s">
        <v>5234</v>
      </c>
      <c r="AW39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9" s="1865" t="str">
        <f t="shared" si="1"/>
        <v xml:space="preserve">* El Número de Espacios Amigables no puede superar el Total. </v>
      </c>
      <c r="CC39" s="1865" t="str">
        <f t="shared" si="2"/>
        <v xml:space="preserve">* El Número de TRANS Masculino no puede superar el Total Mujeres. </v>
      </c>
      <c r="CD39" s="1865" t="str">
        <f t="shared" si="3"/>
        <v xml:space="preserve">* El Número de TRANS Femenino no puede superar el Total Hombres. </v>
      </c>
      <c r="CE39" s="1865" t="str">
        <f t="shared" si="4"/>
        <v xml:space="preserve">* El Número de Pueblos Originarios no puede superar el Total. </v>
      </c>
      <c r="CF39" s="1865" t="str">
        <f t="shared" si="5"/>
        <v xml:space="preserve">* El Número de Migrantes no puede superar el Total. </v>
      </c>
      <c r="CG39" s="1866"/>
      <c r="CH39" s="1865" t="str">
        <f t="shared" si="6"/>
        <v xml:space="preserve">* El Número de Niños, Niñas, Adolescentes y Jóvenes SENAME no puede superar el Total. </v>
      </c>
      <c r="CI39" s="1865" t="str">
        <f t="shared" si="7"/>
        <v xml:space="preserve">* El Número de Niños, Niñas, Adolescentes y Jóvenes Mejor Niñez no puede superar el Total. </v>
      </c>
      <c r="CJ39" s="1936"/>
      <c r="CK39" s="1867">
        <f t="shared" si="8"/>
        <v>1</v>
      </c>
      <c r="CL39" s="1867">
        <f t="shared" si="9"/>
        <v>1</v>
      </c>
      <c r="CM39" s="1867">
        <f t="shared" si="10"/>
        <v>1</v>
      </c>
      <c r="CN39" s="1867">
        <f t="shared" si="11"/>
        <v>1</v>
      </c>
      <c r="CO39" s="1867">
        <f t="shared" si="11"/>
        <v>1</v>
      </c>
      <c r="CP39" s="1868"/>
      <c r="CQ39" s="1867">
        <f t="shared" si="12"/>
        <v>1</v>
      </c>
      <c r="CR39" s="1867">
        <f t="shared" si="12"/>
        <v>1</v>
      </c>
    </row>
    <row r="40" spans="1:96" x14ac:dyDescent="0.25">
      <c r="A40" s="5818">
        <v>19120308</v>
      </c>
      <c r="B40" s="6058"/>
      <c r="C40" s="4093" t="s">
        <v>2068</v>
      </c>
      <c r="D40" s="3908" t="s">
        <v>4567</v>
      </c>
      <c r="E40" s="3978" t="s">
        <v>4568</v>
      </c>
      <c r="F40" s="4094" t="s">
        <v>4569</v>
      </c>
      <c r="G40" s="1890" t="s">
        <v>4570</v>
      </c>
      <c r="H40" s="4103" t="s">
        <v>4571</v>
      </c>
      <c r="I40" s="3913" t="s">
        <v>4572</v>
      </c>
      <c r="J40" s="329" t="s">
        <v>4573</v>
      </c>
      <c r="K40" s="3913" t="s">
        <v>4574</v>
      </c>
      <c r="L40" s="1969" t="s">
        <v>4575</v>
      </c>
      <c r="M40" s="3913" t="s">
        <v>4576</v>
      </c>
      <c r="N40" s="1969" t="s">
        <v>4577</v>
      </c>
      <c r="O40" s="3913" t="s">
        <v>4578</v>
      </c>
      <c r="P40" s="1969" t="s">
        <v>4579</v>
      </c>
      <c r="Q40" s="3913" t="s">
        <v>4580</v>
      </c>
      <c r="R40" s="1969" t="s">
        <v>4581</v>
      </c>
      <c r="S40" s="3913" t="s">
        <v>4582</v>
      </c>
      <c r="T40" s="1969" t="s">
        <v>4583</v>
      </c>
      <c r="U40" s="3913" t="s">
        <v>4584</v>
      </c>
      <c r="V40" s="1969" t="s">
        <v>4585</v>
      </c>
      <c r="W40" s="3913" t="s">
        <v>4586</v>
      </c>
      <c r="X40" s="1969" t="s">
        <v>4587</v>
      </c>
      <c r="Y40" s="3913" t="s">
        <v>4588</v>
      </c>
      <c r="Z40" s="1969" t="s">
        <v>4589</v>
      </c>
      <c r="AA40" s="3913" t="s">
        <v>4590</v>
      </c>
      <c r="AB40" s="1969" t="s">
        <v>4591</v>
      </c>
      <c r="AC40" s="3913" t="s">
        <v>4592</v>
      </c>
      <c r="AD40" s="1969" t="s">
        <v>4593</v>
      </c>
      <c r="AE40" s="3913" t="s">
        <v>4594</v>
      </c>
      <c r="AF40" s="1969" t="s">
        <v>4595</v>
      </c>
      <c r="AG40" s="3913" t="s">
        <v>4596</v>
      </c>
      <c r="AH40" s="1969" t="s">
        <v>4597</v>
      </c>
      <c r="AI40" s="3913" t="s">
        <v>4598</v>
      </c>
      <c r="AJ40" s="1969" t="s">
        <v>4599</v>
      </c>
      <c r="AK40" s="3913" t="s">
        <v>4600</v>
      </c>
      <c r="AL40" s="1969" t="s">
        <v>4601</v>
      </c>
      <c r="AM40" s="4095" t="s">
        <v>4602</v>
      </c>
      <c r="AN40" s="331" t="s">
        <v>4603</v>
      </c>
      <c r="AO40" s="4096" t="s">
        <v>4604</v>
      </c>
      <c r="AP40" s="3904" t="s">
        <v>4605</v>
      </c>
      <c r="AQ40" s="329" t="s">
        <v>4606</v>
      </c>
      <c r="AR40" s="3968" t="s">
        <v>4934</v>
      </c>
      <c r="AS40" s="3968" t="s">
        <v>4935</v>
      </c>
      <c r="AT40" s="4097" t="s">
        <v>4936</v>
      </c>
      <c r="AU40" s="3968" t="s">
        <v>4937</v>
      </c>
      <c r="AV40" s="3968" t="s">
        <v>5234</v>
      </c>
      <c r="AW40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0" s="1865" t="str">
        <f t="shared" si="1"/>
        <v xml:space="preserve">* El Número de Espacios Amigables no puede superar el Total. </v>
      </c>
      <c r="CC40" s="1865" t="str">
        <f t="shared" si="2"/>
        <v xml:space="preserve">* El Número de TRANS Masculino no puede superar el Total Mujeres. </v>
      </c>
      <c r="CD40" s="1865" t="str">
        <f t="shared" si="3"/>
        <v xml:space="preserve">* El Número de TRANS Femenino no puede superar el Total Hombres. </v>
      </c>
      <c r="CE40" s="1865" t="str">
        <f t="shared" si="4"/>
        <v xml:space="preserve">* El Número de Pueblos Originarios no puede superar el Total. </v>
      </c>
      <c r="CF40" s="1865" t="str">
        <f t="shared" si="5"/>
        <v xml:space="preserve">* El Número de Migrantes no puede superar el Total. </v>
      </c>
      <c r="CG40" s="1866"/>
      <c r="CH40" s="1865" t="str">
        <f t="shared" si="6"/>
        <v xml:space="preserve">* El Número de Niños, Niñas, Adolescentes y Jóvenes SENAME no puede superar el Total. </v>
      </c>
      <c r="CI40" s="1865" t="str">
        <f t="shared" si="7"/>
        <v xml:space="preserve">* El Número de Niños, Niñas, Adolescentes y Jóvenes Mejor Niñez no puede superar el Total. </v>
      </c>
      <c r="CJ40" s="1936"/>
      <c r="CK40" s="1867">
        <f t="shared" si="8"/>
        <v>1</v>
      </c>
      <c r="CL40" s="1867">
        <f t="shared" si="9"/>
        <v>1</v>
      </c>
      <c r="CM40" s="1867">
        <f t="shared" si="10"/>
        <v>1</v>
      </c>
      <c r="CN40" s="1867">
        <f t="shared" si="11"/>
        <v>1</v>
      </c>
      <c r="CO40" s="1867">
        <f t="shared" si="11"/>
        <v>1</v>
      </c>
      <c r="CP40" s="1868"/>
      <c r="CQ40" s="1867">
        <f t="shared" si="12"/>
        <v>1</v>
      </c>
      <c r="CR40" s="1867">
        <f t="shared" si="12"/>
        <v>1</v>
      </c>
    </row>
    <row r="41" spans="1:96" x14ac:dyDescent="0.25">
      <c r="A41" s="5818">
        <v>19120310</v>
      </c>
      <c r="B41" s="6058"/>
      <c r="C41" s="4093" t="s">
        <v>1406</v>
      </c>
      <c r="D41" s="3908" t="s">
        <v>4567</v>
      </c>
      <c r="E41" s="3978" t="s">
        <v>4568</v>
      </c>
      <c r="F41" s="4094" t="s">
        <v>4569</v>
      </c>
      <c r="G41" s="1890" t="s">
        <v>4570</v>
      </c>
      <c r="H41" s="4103" t="s">
        <v>4571</v>
      </c>
      <c r="I41" s="3913" t="s">
        <v>4572</v>
      </c>
      <c r="J41" s="329" t="s">
        <v>4573</v>
      </c>
      <c r="K41" s="3913" t="s">
        <v>4574</v>
      </c>
      <c r="L41" s="1969" t="s">
        <v>4575</v>
      </c>
      <c r="M41" s="3913" t="s">
        <v>4576</v>
      </c>
      <c r="N41" s="1969" t="s">
        <v>4577</v>
      </c>
      <c r="O41" s="3913" t="s">
        <v>4578</v>
      </c>
      <c r="P41" s="1969" t="s">
        <v>4579</v>
      </c>
      <c r="Q41" s="3913" t="s">
        <v>4580</v>
      </c>
      <c r="R41" s="1969" t="s">
        <v>4581</v>
      </c>
      <c r="S41" s="3913" t="s">
        <v>4582</v>
      </c>
      <c r="T41" s="1969" t="s">
        <v>4583</v>
      </c>
      <c r="U41" s="3913" t="s">
        <v>4584</v>
      </c>
      <c r="V41" s="1969" t="s">
        <v>4585</v>
      </c>
      <c r="W41" s="3913" t="s">
        <v>4586</v>
      </c>
      <c r="X41" s="1969" t="s">
        <v>4587</v>
      </c>
      <c r="Y41" s="3913" t="s">
        <v>4588</v>
      </c>
      <c r="Z41" s="1969" t="s">
        <v>4589</v>
      </c>
      <c r="AA41" s="3913" t="s">
        <v>4590</v>
      </c>
      <c r="AB41" s="1969" t="s">
        <v>4591</v>
      </c>
      <c r="AC41" s="3913" t="s">
        <v>4592</v>
      </c>
      <c r="AD41" s="1969" t="s">
        <v>4593</v>
      </c>
      <c r="AE41" s="3913" t="s">
        <v>4594</v>
      </c>
      <c r="AF41" s="1969" t="s">
        <v>4595</v>
      </c>
      <c r="AG41" s="3913" t="s">
        <v>4596</v>
      </c>
      <c r="AH41" s="1969" t="s">
        <v>4597</v>
      </c>
      <c r="AI41" s="3913" t="s">
        <v>4598</v>
      </c>
      <c r="AJ41" s="1969" t="s">
        <v>4599</v>
      </c>
      <c r="AK41" s="3913" t="s">
        <v>4600</v>
      </c>
      <c r="AL41" s="1969" t="s">
        <v>4601</v>
      </c>
      <c r="AM41" s="4095" t="s">
        <v>4602</v>
      </c>
      <c r="AN41" s="331" t="s">
        <v>4603</v>
      </c>
      <c r="AO41" s="4096" t="s">
        <v>4604</v>
      </c>
      <c r="AP41" s="3904" t="s">
        <v>4605</v>
      </c>
      <c r="AQ41" s="329" t="s">
        <v>4606</v>
      </c>
      <c r="AR41" s="3968" t="s">
        <v>4934</v>
      </c>
      <c r="AS41" s="3968" t="s">
        <v>4935</v>
      </c>
      <c r="AT41" s="4097" t="s">
        <v>4936</v>
      </c>
      <c r="AU41" s="3968" t="s">
        <v>4937</v>
      </c>
      <c r="AV41" s="3968" t="s">
        <v>5234</v>
      </c>
      <c r="AW41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1" s="1865" t="str">
        <f t="shared" si="1"/>
        <v xml:space="preserve">* El Número de Espacios Amigables no puede superar el Total. </v>
      </c>
      <c r="CC41" s="1865" t="str">
        <f t="shared" si="2"/>
        <v xml:space="preserve">* El Número de TRANS Masculino no puede superar el Total Mujeres. </v>
      </c>
      <c r="CD41" s="1865" t="str">
        <f t="shared" si="3"/>
        <v xml:space="preserve">* El Número de TRANS Femenino no puede superar el Total Hombres. </v>
      </c>
      <c r="CE41" s="1865" t="str">
        <f t="shared" si="4"/>
        <v xml:space="preserve">* El Número de Pueblos Originarios no puede superar el Total. </v>
      </c>
      <c r="CF41" s="1865" t="str">
        <f t="shared" si="5"/>
        <v xml:space="preserve">* El Número de Migrantes no puede superar el Total. </v>
      </c>
      <c r="CG41" s="1866"/>
      <c r="CH41" s="1865" t="str">
        <f t="shared" si="6"/>
        <v xml:space="preserve">* El Número de Niños, Niñas, Adolescentes y Jóvenes SENAME no puede superar el Total. </v>
      </c>
      <c r="CI41" s="1865" t="str">
        <f t="shared" si="7"/>
        <v xml:space="preserve">* El Número de Niños, Niñas, Adolescentes y Jóvenes Mejor Niñez no puede superar el Total. </v>
      </c>
      <c r="CJ41" s="1936"/>
      <c r="CK41" s="1867">
        <f t="shared" si="8"/>
        <v>1</v>
      </c>
      <c r="CL41" s="1867">
        <f t="shared" si="9"/>
        <v>1</v>
      </c>
      <c r="CM41" s="1867">
        <f t="shared" si="10"/>
        <v>1</v>
      </c>
      <c r="CN41" s="1867">
        <f t="shared" si="11"/>
        <v>1</v>
      </c>
      <c r="CO41" s="1867">
        <f t="shared" si="11"/>
        <v>1</v>
      </c>
      <c r="CP41" s="1868"/>
      <c r="CQ41" s="1867">
        <f t="shared" si="12"/>
        <v>1</v>
      </c>
      <c r="CR41" s="1867">
        <f t="shared" si="12"/>
        <v>1</v>
      </c>
    </row>
    <row r="42" spans="1:96" x14ac:dyDescent="0.25">
      <c r="A42" s="5818">
        <v>19170200</v>
      </c>
      <c r="B42" s="6058"/>
      <c r="C42" s="4098" t="s">
        <v>2063</v>
      </c>
      <c r="D42" s="3836" t="s">
        <v>4567</v>
      </c>
      <c r="E42" s="3989" t="s">
        <v>4568</v>
      </c>
      <c r="F42" s="3318" t="s">
        <v>4569</v>
      </c>
      <c r="G42" s="1890" t="s">
        <v>4570</v>
      </c>
      <c r="H42" s="4103" t="s">
        <v>4571</v>
      </c>
      <c r="I42" s="212" t="s">
        <v>4572</v>
      </c>
      <c r="J42" s="34" t="s">
        <v>4573</v>
      </c>
      <c r="K42" s="212" t="s">
        <v>4574</v>
      </c>
      <c r="L42" s="1136" t="s">
        <v>4575</v>
      </c>
      <c r="M42" s="212" t="s">
        <v>4576</v>
      </c>
      <c r="N42" s="1136" t="s">
        <v>4577</v>
      </c>
      <c r="O42" s="212" t="s">
        <v>4578</v>
      </c>
      <c r="P42" s="1136" t="s">
        <v>4579</v>
      </c>
      <c r="Q42" s="212" t="s">
        <v>4580</v>
      </c>
      <c r="R42" s="1136" t="s">
        <v>4581</v>
      </c>
      <c r="S42" s="212" t="s">
        <v>4582</v>
      </c>
      <c r="T42" s="1136" t="s">
        <v>4583</v>
      </c>
      <c r="U42" s="212" t="s">
        <v>4584</v>
      </c>
      <c r="V42" s="1136" t="s">
        <v>4585</v>
      </c>
      <c r="W42" s="212" t="s">
        <v>4586</v>
      </c>
      <c r="X42" s="1136" t="s">
        <v>4587</v>
      </c>
      <c r="Y42" s="212" t="s">
        <v>4588</v>
      </c>
      <c r="Z42" s="1136" t="s">
        <v>4589</v>
      </c>
      <c r="AA42" s="212" t="s">
        <v>4590</v>
      </c>
      <c r="AB42" s="1136" t="s">
        <v>4591</v>
      </c>
      <c r="AC42" s="212" t="s">
        <v>4592</v>
      </c>
      <c r="AD42" s="1136" t="s">
        <v>4593</v>
      </c>
      <c r="AE42" s="212" t="s">
        <v>4594</v>
      </c>
      <c r="AF42" s="1136" t="s">
        <v>4595</v>
      </c>
      <c r="AG42" s="212" t="s">
        <v>4596</v>
      </c>
      <c r="AH42" s="1136" t="s">
        <v>4597</v>
      </c>
      <c r="AI42" s="212" t="s">
        <v>4598</v>
      </c>
      <c r="AJ42" s="1136" t="s">
        <v>4599</v>
      </c>
      <c r="AK42" s="212" t="s">
        <v>4600</v>
      </c>
      <c r="AL42" s="1136" t="s">
        <v>4601</v>
      </c>
      <c r="AM42" s="2210" t="s">
        <v>4602</v>
      </c>
      <c r="AN42" s="2410" t="s">
        <v>4603</v>
      </c>
      <c r="AO42" s="4096" t="s">
        <v>4604</v>
      </c>
      <c r="AP42" s="1137" t="s">
        <v>4605</v>
      </c>
      <c r="AQ42" s="329" t="s">
        <v>4606</v>
      </c>
      <c r="AR42" s="3968" t="s">
        <v>4934</v>
      </c>
      <c r="AS42" s="3968" t="s">
        <v>4935</v>
      </c>
      <c r="AT42" s="4097" t="s">
        <v>4936</v>
      </c>
      <c r="AU42" s="3968" t="s">
        <v>4937</v>
      </c>
      <c r="AV42" s="3968" t="s">
        <v>5234</v>
      </c>
      <c r="AW42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2" s="1865" t="str">
        <f t="shared" si="1"/>
        <v xml:space="preserve">* El Número de Espacios Amigables no puede superar el Total. </v>
      </c>
      <c r="CC42" s="1865" t="str">
        <f t="shared" si="2"/>
        <v xml:space="preserve">* El Número de TRANS Masculino no puede superar el Total Mujeres. </v>
      </c>
      <c r="CD42" s="1865" t="str">
        <f t="shared" si="3"/>
        <v xml:space="preserve">* El Número de TRANS Femenino no puede superar el Total Hombres. </v>
      </c>
      <c r="CE42" s="1865" t="str">
        <f t="shared" si="4"/>
        <v xml:space="preserve">* El Número de Pueblos Originarios no puede superar el Total. </v>
      </c>
      <c r="CF42" s="1865" t="str">
        <f t="shared" si="5"/>
        <v xml:space="preserve">* El Número de Migrantes no puede superar el Total. </v>
      </c>
      <c r="CG42" s="1866"/>
      <c r="CH42" s="1865" t="str">
        <f t="shared" si="6"/>
        <v xml:space="preserve">* El Número de Niños, Niñas, Adolescentes y Jóvenes SENAME no puede superar el Total. </v>
      </c>
      <c r="CI42" s="1865" t="str">
        <f t="shared" si="7"/>
        <v xml:space="preserve">* El Número de Niños, Niñas, Adolescentes y Jóvenes Mejor Niñez no puede superar el Total. </v>
      </c>
      <c r="CJ42" s="1936"/>
      <c r="CK42" s="1867">
        <f t="shared" si="8"/>
        <v>1</v>
      </c>
      <c r="CL42" s="1867">
        <f t="shared" si="9"/>
        <v>1</v>
      </c>
      <c r="CM42" s="1867">
        <f t="shared" si="10"/>
        <v>1</v>
      </c>
      <c r="CN42" s="1867">
        <f t="shared" si="11"/>
        <v>1</v>
      </c>
      <c r="CO42" s="1867">
        <f t="shared" si="11"/>
        <v>1</v>
      </c>
      <c r="CP42" s="1868"/>
      <c r="CQ42" s="1867">
        <f t="shared" si="12"/>
        <v>1</v>
      </c>
      <c r="CR42" s="1867">
        <f t="shared" si="12"/>
        <v>1</v>
      </c>
    </row>
    <row r="43" spans="1:96" x14ac:dyDescent="0.25">
      <c r="A43" s="5818">
        <v>19120311</v>
      </c>
      <c r="B43" s="6058"/>
      <c r="C43" s="4093" t="s">
        <v>2064</v>
      </c>
      <c r="D43" s="3908" t="s">
        <v>4567</v>
      </c>
      <c r="E43" s="3978" t="s">
        <v>4568</v>
      </c>
      <c r="F43" s="4094" t="s">
        <v>4569</v>
      </c>
      <c r="G43" s="1890" t="s">
        <v>4570</v>
      </c>
      <c r="H43" s="1968" t="s">
        <v>4571</v>
      </c>
      <c r="I43" s="3913" t="s">
        <v>4572</v>
      </c>
      <c r="J43" s="329" t="s">
        <v>4573</v>
      </c>
      <c r="K43" s="3913" t="s">
        <v>4574</v>
      </c>
      <c r="L43" s="1969" t="s">
        <v>4575</v>
      </c>
      <c r="M43" s="3913" t="s">
        <v>4576</v>
      </c>
      <c r="N43" s="1969" t="s">
        <v>4577</v>
      </c>
      <c r="O43" s="3913" t="s">
        <v>4578</v>
      </c>
      <c r="P43" s="1969" t="s">
        <v>4579</v>
      </c>
      <c r="Q43" s="3913" t="s">
        <v>4580</v>
      </c>
      <c r="R43" s="1969" t="s">
        <v>4581</v>
      </c>
      <c r="S43" s="3913" t="s">
        <v>4582</v>
      </c>
      <c r="T43" s="1969" t="s">
        <v>4583</v>
      </c>
      <c r="U43" s="3913" t="s">
        <v>4584</v>
      </c>
      <c r="V43" s="1969" t="s">
        <v>4585</v>
      </c>
      <c r="W43" s="3913" t="s">
        <v>4586</v>
      </c>
      <c r="X43" s="1969" t="s">
        <v>4587</v>
      </c>
      <c r="Y43" s="3913" t="s">
        <v>4588</v>
      </c>
      <c r="Z43" s="1969" t="s">
        <v>4589</v>
      </c>
      <c r="AA43" s="3913" t="s">
        <v>4590</v>
      </c>
      <c r="AB43" s="1969" t="s">
        <v>4591</v>
      </c>
      <c r="AC43" s="3913" t="s">
        <v>4592</v>
      </c>
      <c r="AD43" s="1969" t="s">
        <v>4593</v>
      </c>
      <c r="AE43" s="3913" t="s">
        <v>4594</v>
      </c>
      <c r="AF43" s="1969" t="s">
        <v>4595</v>
      </c>
      <c r="AG43" s="3913" t="s">
        <v>4596</v>
      </c>
      <c r="AH43" s="1969" t="s">
        <v>4597</v>
      </c>
      <c r="AI43" s="3913" t="s">
        <v>4598</v>
      </c>
      <c r="AJ43" s="1969" t="s">
        <v>4599</v>
      </c>
      <c r="AK43" s="3913" t="s">
        <v>4600</v>
      </c>
      <c r="AL43" s="1969" t="s">
        <v>4601</v>
      </c>
      <c r="AM43" s="4095" t="s">
        <v>4602</v>
      </c>
      <c r="AN43" s="331" t="s">
        <v>4603</v>
      </c>
      <c r="AO43" s="4096" t="s">
        <v>4604</v>
      </c>
      <c r="AP43" s="3904" t="s">
        <v>4605</v>
      </c>
      <c r="AQ43" s="329" t="s">
        <v>4606</v>
      </c>
      <c r="AR43" s="3968" t="s">
        <v>4934</v>
      </c>
      <c r="AS43" s="3968" t="s">
        <v>4935</v>
      </c>
      <c r="AT43" s="4097" t="s">
        <v>4936</v>
      </c>
      <c r="AU43" s="3968" t="s">
        <v>4937</v>
      </c>
      <c r="AV43" s="3968" t="s">
        <v>5234</v>
      </c>
      <c r="AW43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3" s="1865" t="str">
        <f t="shared" si="1"/>
        <v xml:space="preserve">* El Número de Espacios Amigables no puede superar el Total. </v>
      </c>
      <c r="CC43" s="1865" t="str">
        <f t="shared" si="2"/>
        <v xml:space="preserve">* El Número de TRANS Masculino no puede superar el Total Mujeres. </v>
      </c>
      <c r="CD43" s="1865" t="str">
        <f t="shared" si="3"/>
        <v xml:space="preserve">* El Número de TRANS Femenino no puede superar el Total Hombres. </v>
      </c>
      <c r="CE43" s="1865" t="str">
        <f t="shared" si="4"/>
        <v xml:space="preserve">* El Número de Pueblos Originarios no puede superar el Total. </v>
      </c>
      <c r="CF43" s="1865" t="str">
        <f t="shared" si="5"/>
        <v xml:space="preserve">* El Número de Migrantes no puede superar el Total. </v>
      </c>
      <c r="CG43" s="1866"/>
      <c r="CH43" s="1865" t="str">
        <f t="shared" si="6"/>
        <v xml:space="preserve">* El Número de Niños, Niñas, Adolescentes y Jóvenes SENAME no puede superar el Total. </v>
      </c>
      <c r="CI43" s="1865" t="str">
        <f t="shared" si="7"/>
        <v xml:space="preserve">* El Número de Niños, Niñas, Adolescentes y Jóvenes Mejor Niñez no puede superar el Total. </v>
      </c>
      <c r="CJ43" s="1936"/>
      <c r="CK43" s="1867">
        <f t="shared" si="8"/>
        <v>1</v>
      </c>
      <c r="CL43" s="1867">
        <f t="shared" si="9"/>
        <v>1</v>
      </c>
      <c r="CM43" s="1867">
        <f t="shared" si="10"/>
        <v>1</v>
      </c>
      <c r="CN43" s="1867">
        <f t="shared" si="11"/>
        <v>1</v>
      </c>
      <c r="CO43" s="1867">
        <f t="shared" si="11"/>
        <v>1</v>
      </c>
      <c r="CP43" s="1868"/>
      <c r="CQ43" s="1867">
        <f t="shared" si="12"/>
        <v>1</v>
      </c>
      <c r="CR43" s="1867">
        <f t="shared" si="12"/>
        <v>1</v>
      </c>
    </row>
    <row r="44" spans="1:96" x14ac:dyDescent="0.25">
      <c r="A44" s="5818">
        <v>19120312</v>
      </c>
      <c r="B44" s="6058"/>
      <c r="C44" s="24" t="s">
        <v>2065</v>
      </c>
      <c r="D44" s="3908" t="s">
        <v>4567</v>
      </c>
      <c r="E44" s="3978" t="s">
        <v>4568</v>
      </c>
      <c r="F44" s="4099" t="s">
        <v>4569</v>
      </c>
      <c r="G44" s="1890" t="s">
        <v>4570</v>
      </c>
      <c r="H44" s="987" t="s">
        <v>4571</v>
      </c>
      <c r="I44" s="326" t="s">
        <v>4572</v>
      </c>
      <c r="J44" s="142" t="s">
        <v>4573</v>
      </c>
      <c r="K44" s="326" t="s">
        <v>4574</v>
      </c>
      <c r="L44" s="882" t="s">
        <v>4575</v>
      </c>
      <c r="M44" s="326" t="s">
        <v>4576</v>
      </c>
      <c r="N44" s="882" t="s">
        <v>4577</v>
      </c>
      <c r="O44" s="326" t="s">
        <v>4578</v>
      </c>
      <c r="P44" s="882" t="s">
        <v>4579</v>
      </c>
      <c r="Q44" s="326" t="s">
        <v>4580</v>
      </c>
      <c r="R44" s="882" t="s">
        <v>4581</v>
      </c>
      <c r="S44" s="3913" t="s">
        <v>4582</v>
      </c>
      <c r="T44" s="1969" t="s">
        <v>4583</v>
      </c>
      <c r="U44" s="3913" t="s">
        <v>4584</v>
      </c>
      <c r="V44" s="1969" t="s">
        <v>4585</v>
      </c>
      <c r="W44" s="3913" t="s">
        <v>4586</v>
      </c>
      <c r="X44" s="1969" t="s">
        <v>4587</v>
      </c>
      <c r="Y44" s="3913" t="s">
        <v>4588</v>
      </c>
      <c r="Z44" s="1969" t="s">
        <v>4589</v>
      </c>
      <c r="AA44" s="3913" t="s">
        <v>4590</v>
      </c>
      <c r="AB44" s="1969" t="s">
        <v>4591</v>
      </c>
      <c r="AC44" s="3913" t="s">
        <v>4592</v>
      </c>
      <c r="AD44" s="1969" t="s">
        <v>4593</v>
      </c>
      <c r="AE44" s="3913" t="s">
        <v>4594</v>
      </c>
      <c r="AF44" s="1969" t="s">
        <v>4595</v>
      </c>
      <c r="AG44" s="3913" t="s">
        <v>4596</v>
      </c>
      <c r="AH44" s="1969" t="s">
        <v>4597</v>
      </c>
      <c r="AI44" s="3913" t="s">
        <v>4598</v>
      </c>
      <c r="AJ44" s="1969" t="s">
        <v>4599</v>
      </c>
      <c r="AK44" s="3913" t="s">
        <v>4600</v>
      </c>
      <c r="AL44" s="1969" t="s">
        <v>4601</v>
      </c>
      <c r="AM44" s="4095" t="s">
        <v>4602</v>
      </c>
      <c r="AN44" s="331" t="s">
        <v>4603</v>
      </c>
      <c r="AO44" s="4096" t="s">
        <v>4604</v>
      </c>
      <c r="AP44" s="3904" t="s">
        <v>4605</v>
      </c>
      <c r="AQ44" s="329" t="s">
        <v>4606</v>
      </c>
      <c r="AR44" s="3968" t="s">
        <v>4934</v>
      </c>
      <c r="AS44" s="3968" t="s">
        <v>4935</v>
      </c>
      <c r="AT44" s="4097" t="s">
        <v>4936</v>
      </c>
      <c r="AU44" s="3968" t="s">
        <v>4937</v>
      </c>
      <c r="AV44" s="3968" t="s">
        <v>5234</v>
      </c>
      <c r="AW44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4" s="1865" t="str">
        <f t="shared" si="1"/>
        <v xml:space="preserve">* El Número de Espacios Amigables no puede superar el Total. </v>
      </c>
      <c r="CC44" s="1865" t="str">
        <f t="shared" si="2"/>
        <v xml:space="preserve">* El Número de TRANS Masculino no puede superar el Total Mujeres. </v>
      </c>
      <c r="CD44" s="1865" t="str">
        <f t="shared" si="3"/>
        <v xml:space="preserve">* El Número de TRANS Femenino no puede superar el Total Hombres. </v>
      </c>
      <c r="CE44" s="1865" t="str">
        <f t="shared" si="4"/>
        <v xml:space="preserve">* El Número de Pueblos Originarios no puede superar el Total. </v>
      </c>
      <c r="CF44" s="1865" t="str">
        <f t="shared" si="5"/>
        <v xml:space="preserve">* El Número de Migrantes no puede superar el Total. </v>
      </c>
      <c r="CG44" s="1866"/>
      <c r="CH44" s="1865" t="str">
        <f t="shared" si="6"/>
        <v xml:space="preserve">* El Número de Niños, Niñas, Adolescentes y Jóvenes SENAME no puede superar el Total. </v>
      </c>
      <c r="CI44" s="1865" t="str">
        <f t="shared" si="7"/>
        <v xml:space="preserve">* El Número de Niños, Niñas, Adolescentes y Jóvenes Mejor Niñez no puede superar el Total. </v>
      </c>
      <c r="CJ44" s="1936"/>
      <c r="CK44" s="1867">
        <f t="shared" si="8"/>
        <v>1</v>
      </c>
      <c r="CL44" s="1867">
        <f t="shared" si="9"/>
        <v>1</v>
      </c>
      <c r="CM44" s="1867">
        <f t="shared" si="10"/>
        <v>1</v>
      </c>
      <c r="CN44" s="1867">
        <f t="shared" si="11"/>
        <v>1</v>
      </c>
      <c r="CO44" s="1867">
        <f t="shared" si="11"/>
        <v>1</v>
      </c>
      <c r="CP44" s="1868"/>
      <c r="CQ44" s="1867">
        <f t="shared" si="12"/>
        <v>1</v>
      </c>
      <c r="CR44" s="1867">
        <f t="shared" si="12"/>
        <v>1</v>
      </c>
    </row>
    <row r="45" spans="1:96" x14ac:dyDescent="0.25">
      <c r="A45" s="5818">
        <v>19120305</v>
      </c>
      <c r="B45" s="6842"/>
      <c r="C45" s="516" t="s">
        <v>99</v>
      </c>
      <c r="D45" s="623" t="s">
        <v>4567</v>
      </c>
      <c r="E45" s="3994" t="s">
        <v>4568</v>
      </c>
      <c r="F45" s="4101" t="s">
        <v>4569</v>
      </c>
      <c r="G45" s="1871" t="s">
        <v>4570</v>
      </c>
      <c r="H45" s="4104" t="s">
        <v>4571</v>
      </c>
      <c r="I45" s="874" t="s">
        <v>4572</v>
      </c>
      <c r="J45" s="3416" t="s">
        <v>4573</v>
      </c>
      <c r="K45" s="874" t="s">
        <v>4574</v>
      </c>
      <c r="L45" s="324" t="s">
        <v>4575</v>
      </c>
      <c r="M45" s="874" t="s">
        <v>4576</v>
      </c>
      <c r="N45" s="324" t="s">
        <v>4577</v>
      </c>
      <c r="O45" s="874" t="s">
        <v>4578</v>
      </c>
      <c r="P45" s="324" t="s">
        <v>4579</v>
      </c>
      <c r="Q45" s="874" t="s">
        <v>4580</v>
      </c>
      <c r="R45" s="324" t="s">
        <v>4581</v>
      </c>
      <c r="S45" s="874" t="s">
        <v>4582</v>
      </c>
      <c r="T45" s="324" t="s">
        <v>4583</v>
      </c>
      <c r="U45" s="874" t="s">
        <v>4584</v>
      </c>
      <c r="V45" s="324" t="s">
        <v>4585</v>
      </c>
      <c r="W45" s="874" t="s">
        <v>4586</v>
      </c>
      <c r="X45" s="324" t="s">
        <v>4587</v>
      </c>
      <c r="Y45" s="874" t="s">
        <v>4588</v>
      </c>
      <c r="Z45" s="324" t="s">
        <v>4589</v>
      </c>
      <c r="AA45" s="874" t="s">
        <v>4590</v>
      </c>
      <c r="AB45" s="324" t="s">
        <v>4591</v>
      </c>
      <c r="AC45" s="874" t="s">
        <v>4592</v>
      </c>
      <c r="AD45" s="324" t="s">
        <v>4593</v>
      </c>
      <c r="AE45" s="874" t="s">
        <v>4594</v>
      </c>
      <c r="AF45" s="324" t="s">
        <v>4595</v>
      </c>
      <c r="AG45" s="874" t="s">
        <v>4596</v>
      </c>
      <c r="AH45" s="324" t="s">
        <v>4597</v>
      </c>
      <c r="AI45" s="874" t="s">
        <v>4598</v>
      </c>
      <c r="AJ45" s="324" t="s">
        <v>4599</v>
      </c>
      <c r="AK45" s="874" t="s">
        <v>4600</v>
      </c>
      <c r="AL45" s="324" t="s">
        <v>4601</v>
      </c>
      <c r="AM45" s="4105" t="s">
        <v>4602</v>
      </c>
      <c r="AN45" s="325" t="s">
        <v>4603</v>
      </c>
      <c r="AO45" s="2286" t="s">
        <v>4604</v>
      </c>
      <c r="AP45" s="4039" t="s">
        <v>4605</v>
      </c>
      <c r="AQ45" s="854" t="s">
        <v>4606</v>
      </c>
      <c r="AR45" s="1920" t="s">
        <v>4934</v>
      </c>
      <c r="AS45" s="1920" t="s">
        <v>4935</v>
      </c>
      <c r="AT45" s="1881" t="s">
        <v>4936</v>
      </c>
      <c r="AU45" s="1920" t="s">
        <v>4937</v>
      </c>
      <c r="AV45" s="1920" t="s">
        <v>5234</v>
      </c>
      <c r="AW45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5" s="1865" t="str">
        <f t="shared" si="1"/>
        <v xml:space="preserve">* El Número de Espacios Amigables no puede superar el Total. </v>
      </c>
      <c r="CC45" s="1865" t="str">
        <f t="shared" si="2"/>
        <v xml:space="preserve">* El Número de TRANS Masculino no puede superar el Total Mujeres. </v>
      </c>
      <c r="CD45" s="1865" t="str">
        <f t="shared" si="3"/>
        <v xml:space="preserve">* El Número de TRANS Femenino no puede superar el Total Hombres. </v>
      </c>
      <c r="CE45" s="1865" t="str">
        <f t="shared" si="4"/>
        <v xml:space="preserve">* El Número de Pueblos Originarios no puede superar el Total. </v>
      </c>
      <c r="CF45" s="1865" t="str">
        <f t="shared" si="5"/>
        <v xml:space="preserve">* El Número de Migrantes no puede superar el Total. </v>
      </c>
      <c r="CG45" s="1866"/>
      <c r="CH45" s="1865" t="str">
        <f t="shared" si="6"/>
        <v xml:space="preserve">* El Número de Niños, Niñas, Adolescentes y Jóvenes SENAME no puede superar el Total. </v>
      </c>
      <c r="CI45" s="1865" t="str">
        <f t="shared" si="7"/>
        <v xml:space="preserve">* El Número de Niños, Niñas, Adolescentes y Jóvenes Mejor Niñez no puede superar el Total. </v>
      </c>
      <c r="CJ45" s="1936"/>
      <c r="CK45" s="1867">
        <f t="shared" si="8"/>
        <v>1</v>
      </c>
      <c r="CL45" s="1867">
        <f t="shared" si="9"/>
        <v>1</v>
      </c>
      <c r="CM45" s="1867">
        <f t="shared" si="10"/>
        <v>1</v>
      </c>
      <c r="CN45" s="1867">
        <f t="shared" si="11"/>
        <v>1</v>
      </c>
      <c r="CO45" s="1867">
        <f t="shared" si="11"/>
        <v>1</v>
      </c>
      <c r="CP45" s="1868"/>
      <c r="CQ45" s="1867">
        <f t="shared" si="12"/>
        <v>1</v>
      </c>
      <c r="CR45" s="1867">
        <f t="shared" si="12"/>
        <v>1</v>
      </c>
    </row>
    <row r="46" spans="1:96" x14ac:dyDescent="0.25">
      <c r="A46" s="5818">
        <v>19185000</v>
      </c>
      <c r="B46" s="7164" t="s">
        <v>2069</v>
      </c>
      <c r="C46" s="3365" t="s">
        <v>64</v>
      </c>
      <c r="D46" s="3225" t="s">
        <v>4567</v>
      </c>
      <c r="E46" s="3972" t="s">
        <v>4568</v>
      </c>
      <c r="F46" s="4085" t="s">
        <v>4569</v>
      </c>
      <c r="G46" s="3950" t="s">
        <v>4570</v>
      </c>
      <c r="H46" s="4102" t="s">
        <v>4571</v>
      </c>
      <c r="I46" s="3927" t="s">
        <v>4572</v>
      </c>
      <c r="J46" s="4086" t="s">
        <v>4573</v>
      </c>
      <c r="K46" s="3927" t="s">
        <v>4574</v>
      </c>
      <c r="L46" s="3929" t="s">
        <v>4575</v>
      </c>
      <c r="M46" s="3927" t="s">
        <v>4576</v>
      </c>
      <c r="N46" s="3929" t="s">
        <v>4577</v>
      </c>
      <c r="O46" s="3927" t="s">
        <v>4578</v>
      </c>
      <c r="P46" s="3929" t="s">
        <v>4579</v>
      </c>
      <c r="Q46" s="3927" t="s">
        <v>4580</v>
      </c>
      <c r="R46" s="3929" t="s">
        <v>4581</v>
      </c>
      <c r="S46" s="3927" t="s">
        <v>4582</v>
      </c>
      <c r="T46" s="3929" t="s">
        <v>4583</v>
      </c>
      <c r="U46" s="3927" t="s">
        <v>4584</v>
      </c>
      <c r="V46" s="3929" t="s">
        <v>4585</v>
      </c>
      <c r="W46" s="3927" t="s">
        <v>4586</v>
      </c>
      <c r="X46" s="3929" t="s">
        <v>4587</v>
      </c>
      <c r="Y46" s="3927" t="s">
        <v>4588</v>
      </c>
      <c r="Z46" s="3929" t="s">
        <v>4589</v>
      </c>
      <c r="AA46" s="3927" t="s">
        <v>4590</v>
      </c>
      <c r="AB46" s="3929" t="s">
        <v>4591</v>
      </c>
      <c r="AC46" s="3927" t="s">
        <v>4592</v>
      </c>
      <c r="AD46" s="3929" t="s">
        <v>4593</v>
      </c>
      <c r="AE46" s="3927" t="s">
        <v>4594</v>
      </c>
      <c r="AF46" s="3929" t="s">
        <v>4595</v>
      </c>
      <c r="AG46" s="3927" t="s">
        <v>4596</v>
      </c>
      <c r="AH46" s="3929" t="s">
        <v>4597</v>
      </c>
      <c r="AI46" s="3927" t="s">
        <v>4598</v>
      </c>
      <c r="AJ46" s="3929" t="s">
        <v>4599</v>
      </c>
      <c r="AK46" s="3927" t="s">
        <v>4600</v>
      </c>
      <c r="AL46" s="3929" t="s">
        <v>4601</v>
      </c>
      <c r="AM46" s="4087" t="s">
        <v>4602</v>
      </c>
      <c r="AN46" s="4088" t="s">
        <v>4603</v>
      </c>
      <c r="AO46" s="2035" t="s">
        <v>4604</v>
      </c>
      <c r="AP46" s="4090" t="s">
        <v>4605</v>
      </c>
      <c r="AQ46" s="3930" t="s">
        <v>4606</v>
      </c>
      <c r="AR46" s="2036" t="s">
        <v>4934</v>
      </c>
      <c r="AS46" s="2036" t="s">
        <v>4935</v>
      </c>
      <c r="AT46" s="4106" t="s">
        <v>4936</v>
      </c>
      <c r="AU46" s="2036" t="s">
        <v>4937</v>
      </c>
      <c r="AV46" s="2036" t="s">
        <v>5234</v>
      </c>
      <c r="AW46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6" s="1865" t="str">
        <f t="shared" si="1"/>
        <v xml:space="preserve">* El Número de Espacios Amigables no puede superar el Total. </v>
      </c>
      <c r="CC46" s="1865" t="str">
        <f t="shared" si="2"/>
        <v xml:space="preserve">* El Número de TRANS Masculino no puede superar el Total Mujeres. </v>
      </c>
      <c r="CD46" s="1865" t="str">
        <f t="shared" si="3"/>
        <v xml:space="preserve">* El Número de TRANS Femenino no puede superar el Total Hombres. </v>
      </c>
      <c r="CE46" s="1865" t="str">
        <f t="shared" si="4"/>
        <v xml:space="preserve">* El Número de Pueblos Originarios no puede superar el Total. </v>
      </c>
      <c r="CF46" s="1865" t="str">
        <f t="shared" si="5"/>
        <v xml:space="preserve">* El Número de Migrantes no puede superar el Total. </v>
      </c>
      <c r="CG46" s="1866"/>
      <c r="CH46" s="1865" t="str">
        <f t="shared" si="6"/>
        <v xml:space="preserve">* El Número de Niños, Niñas, Adolescentes y Jóvenes SENAME no puede superar el Total. </v>
      </c>
      <c r="CI46" s="1865" t="str">
        <f t="shared" si="7"/>
        <v xml:space="preserve">* El Número de Niños, Niñas, Adolescentes y Jóvenes Mejor Niñez no puede superar el Total. </v>
      </c>
      <c r="CJ46" s="1936"/>
      <c r="CK46" s="1867">
        <f t="shared" si="8"/>
        <v>1</v>
      </c>
      <c r="CL46" s="1867">
        <f t="shared" si="9"/>
        <v>1</v>
      </c>
      <c r="CM46" s="1867">
        <f t="shared" si="10"/>
        <v>1</v>
      </c>
      <c r="CN46" s="1867">
        <f t="shared" si="11"/>
        <v>1</v>
      </c>
      <c r="CO46" s="1867">
        <f t="shared" si="11"/>
        <v>1</v>
      </c>
      <c r="CP46" s="1868"/>
      <c r="CQ46" s="1867">
        <f t="shared" si="12"/>
        <v>1</v>
      </c>
      <c r="CR46" s="1867">
        <f t="shared" si="12"/>
        <v>1</v>
      </c>
    </row>
    <row r="47" spans="1:96" x14ac:dyDescent="0.25">
      <c r="A47" s="5818">
        <v>19185100</v>
      </c>
      <c r="B47" s="6058"/>
      <c r="C47" s="4093" t="s">
        <v>98</v>
      </c>
      <c r="D47" s="3908" t="s">
        <v>4567</v>
      </c>
      <c r="E47" s="3978" t="s">
        <v>4568</v>
      </c>
      <c r="F47" s="4094" t="s">
        <v>4569</v>
      </c>
      <c r="G47" s="1890" t="s">
        <v>4570</v>
      </c>
      <c r="H47" s="4103" t="s">
        <v>4571</v>
      </c>
      <c r="I47" s="3913" t="s">
        <v>4572</v>
      </c>
      <c r="J47" s="329" t="s">
        <v>4573</v>
      </c>
      <c r="K47" s="3913" t="s">
        <v>4574</v>
      </c>
      <c r="L47" s="1969" t="s">
        <v>4575</v>
      </c>
      <c r="M47" s="3913" t="s">
        <v>4576</v>
      </c>
      <c r="N47" s="1969" t="s">
        <v>4577</v>
      </c>
      <c r="O47" s="3913" t="s">
        <v>4578</v>
      </c>
      <c r="P47" s="1969" t="s">
        <v>4579</v>
      </c>
      <c r="Q47" s="3913" t="s">
        <v>4580</v>
      </c>
      <c r="R47" s="1969" t="s">
        <v>4581</v>
      </c>
      <c r="S47" s="3913" t="s">
        <v>4582</v>
      </c>
      <c r="T47" s="1969" t="s">
        <v>4583</v>
      </c>
      <c r="U47" s="3913" t="s">
        <v>4584</v>
      </c>
      <c r="V47" s="1969" t="s">
        <v>4585</v>
      </c>
      <c r="W47" s="3913" t="s">
        <v>4586</v>
      </c>
      <c r="X47" s="1969" t="s">
        <v>4587</v>
      </c>
      <c r="Y47" s="3913" t="s">
        <v>4588</v>
      </c>
      <c r="Z47" s="1969" t="s">
        <v>4589</v>
      </c>
      <c r="AA47" s="3913" t="s">
        <v>4590</v>
      </c>
      <c r="AB47" s="1969" t="s">
        <v>4591</v>
      </c>
      <c r="AC47" s="3913" t="s">
        <v>4592</v>
      </c>
      <c r="AD47" s="1969" t="s">
        <v>4593</v>
      </c>
      <c r="AE47" s="3913" t="s">
        <v>4594</v>
      </c>
      <c r="AF47" s="1969" t="s">
        <v>4595</v>
      </c>
      <c r="AG47" s="3913" t="s">
        <v>4596</v>
      </c>
      <c r="AH47" s="1969" t="s">
        <v>4597</v>
      </c>
      <c r="AI47" s="3913" t="s">
        <v>4598</v>
      </c>
      <c r="AJ47" s="1969" t="s">
        <v>4599</v>
      </c>
      <c r="AK47" s="3913" t="s">
        <v>4600</v>
      </c>
      <c r="AL47" s="1969" t="s">
        <v>4601</v>
      </c>
      <c r="AM47" s="4095" t="s">
        <v>4602</v>
      </c>
      <c r="AN47" s="331" t="s">
        <v>4603</v>
      </c>
      <c r="AO47" s="4096" t="s">
        <v>4604</v>
      </c>
      <c r="AP47" s="3904" t="s">
        <v>4605</v>
      </c>
      <c r="AQ47" s="329" t="s">
        <v>4606</v>
      </c>
      <c r="AR47" s="3968" t="s">
        <v>4934</v>
      </c>
      <c r="AS47" s="3968" t="s">
        <v>4935</v>
      </c>
      <c r="AT47" s="4097" t="s">
        <v>4936</v>
      </c>
      <c r="AU47" s="3968" t="s">
        <v>4937</v>
      </c>
      <c r="AV47" s="3968" t="s">
        <v>5234</v>
      </c>
      <c r="AW47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7" s="1865" t="str">
        <f t="shared" si="1"/>
        <v xml:space="preserve">* El Número de Espacios Amigables no puede superar el Total. </v>
      </c>
      <c r="CC47" s="1865" t="str">
        <f t="shared" si="2"/>
        <v xml:space="preserve">* El Número de TRANS Masculino no puede superar el Total Mujeres. </v>
      </c>
      <c r="CD47" s="1865" t="str">
        <f t="shared" si="3"/>
        <v xml:space="preserve">* El Número de TRANS Femenino no puede superar el Total Hombres. </v>
      </c>
      <c r="CE47" s="1865" t="str">
        <f t="shared" si="4"/>
        <v xml:space="preserve">* El Número de Pueblos Originarios no puede superar el Total. </v>
      </c>
      <c r="CF47" s="1865" t="str">
        <f t="shared" si="5"/>
        <v xml:space="preserve">* El Número de Migrantes no puede superar el Total. </v>
      </c>
      <c r="CG47" s="1866"/>
      <c r="CH47" s="1865" t="str">
        <f t="shared" si="6"/>
        <v xml:space="preserve">* El Número de Niños, Niñas, Adolescentes y Jóvenes SENAME no puede superar el Total. </v>
      </c>
      <c r="CI47" s="1865" t="str">
        <f t="shared" si="7"/>
        <v xml:space="preserve">* El Número de Niños, Niñas, Adolescentes y Jóvenes Mejor Niñez no puede superar el Total. </v>
      </c>
      <c r="CJ47" s="1936"/>
      <c r="CK47" s="1867">
        <f t="shared" si="8"/>
        <v>1</v>
      </c>
      <c r="CL47" s="1867">
        <f t="shared" si="9"/>
        <v>1</v>
      </c>
      <c r="CM47" s="1867">
        <f t="shared" si="10"/>
        <v>1</v>
      </c>
      <c r="CN47" s="1867">
        <f t="shared" si="11"/>
        <v>1</v>
      </c>
      <c r="CO47" s="1867">
        <f t="shared" si="11"/>
        <v>1</v>
      </c>
      <c r="CP47" s="1868"/>
      <c r="CQ47" s="1867">
        <f t="shared" si="12"/>
        <v>1</v>
      </c>
      <c r="CR47" s="1867">
        <f t="shared" si="12"/>
        <v>1</v>
      </c>
    </row>
    <row r="48" spans="1:96" x14ac:dyDescent="0.25">
      <c r="A48" s="5818">
        <v>19185200</v>
      </c>
      <c r="B48" s="6058"/>
      <c r="C48" s="4093" t="s">
        <v>65</v>
      </c>
      <c r="D48" s="3908" t="s">
        <v>4567</v>
      </c>
      <c r="E48" s="3978" t="s">
        <v>4568</v>
      </c>
      <c r="F48" s="4094" t="s">
        <v>4569</v>
      </c>
      <c r="G48" s="1890" t="s">
        <v>4570</v>
      </c>
      <c r="H48" s="4103" t="s">
        <v>4571</v>
      </c>
      <c r="I48" s="3913" t="s">
        <v>4572</v>
      </c>
      <c r="J48" s="329" t="s">
        <v>4573</v>
      </c>
      <c r="K48" s="3913" t="s">
        <v>4574</v>
      </c>
      <c r="L48" s="1969" t="s">
        <v>4575</v>
      </c>
      <c r="M48" s="3913" t="s">
        <v>4576</v>
      </c>
      <c r="N48" s="1969" t="s">
        <v>4577</v>
      </c>
      <c r="O48" s="3913" t="s">
        <v>4578</v>
      </c>
      <c r="P48" s="1969" t="s">
        <v>4579</v>
      </c>
      <c r="Q48" s="3913" t="s">
        <v>4580</v>
      </c>
      <c r="R48" s="1969" t="s">
        <v>4581</v>
      </c>
      <c r="S48" s="3913" t="s">
        <v>4582</v>
      </c>
      <c r="T48" s="1969" t="s">
        <v>4583</v>
      </c>
      <c r="U48" s="3913" t="s">
        <v>4584</v>
      </c>
      <c r="V48" s="1969" t="s">
        <v>4585</v>
      </c>
      <c r="W48" s="3913" t="s">
        <v>4586</v>
      </c>
      <c r="X48" s="1969" t="s">
        <v>4587</v>
      </c>
      <c r="Y48" s="3913" t="s">
        <v>4588</v>
      </c>
      <c r="Z48" s="1969" t="s">
        <v>4589</v>
      </c>
      <c r="AA48" s="3913" t="s">
        <v>4590</v>
      </c>
      <c r="AB48" s="1969" t="s">
        <v>4591</v>
      </c>
      <c r="AC48" s="3913" t="s">
        <v>4592</v>
      </c>
      <c r="AD48" s="1969" t="s">
        <v>4593</v>
      </c>
      <c r="AE48" s="3913" t="s">
        <v>4594</v>
      </c>
      <c r="AF48" s="1969" t="s">
        <v>4595</v>
      </c>
      <c r="AG48" s="3913" t="s">
        <v>4596</v>
      </c>
      <c r="AH48" s="1969" t="s">
        <v>4597</v>
      </c>
      <c r="AI48" s="3913" t="s">
        <v>4598</v>
      </c>
      <c r="AJ48" s="1969" t="s">
        <v>4599</v>
      </c>
      <c r="AK48" s="3913" t="s">
        <v>4600</v>
      </c>
      <c r="AL48" s="1969" t="s">
        <v>4601</v>
      </c>
      <c r="AM48" s="4095" t="s">
        <v>4602</v>
      </c>
      <c r="AN48" s="331" t="s">
        <v>4603</v>
      </c>
      <c r="AO48" s="4096" t="s">
        <v>4604</v>
      </c>
      <c r="AP48" s="3904" t="s">
        <v>4605</v>
      </c>
      <c r="AQ48" s="329" t="s">
        <v>4606</v>
      </c>
      <c r="AR48" s="3968" t="s">
        <v>4934</v>
      </c>
      <c r="AS48" s="3968" t="s">
        <v>4935</v>
      </c>
      <c r="AT48" s="4097" t="s">
        <v>4936</v>
      </c>
      <c r="AU48" s="3968" t="s">
        <v>4937</v>
      </c>
      <c r="AV48" s="3968" t="s">
        <v>5234</v>
      </c>
      <c r="AW48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8" s="1865" t="str">
        <f t="shared" si="1"/>
        <v xml:space="preserve">* El Número de Espacios Amigables no puede superar el Total. </v>
      </c>
      <c r="CC48" s="1865" t="str">
        <f t="shared" si="2"/>
        <v xml:space="preserve">* El Número de TRANS Masculino no puede superar el Total Mujeres. </v>
      </c>
      <c r="CD48" s="1865" t="str">
        <f t="shared" si="3"/>
        <v xml:space="preserve">* El Número de TRANS Femenino no puede superar el Total Hombres. </v>
      </c>
      <c r="CE48" s="1865" t="str">
        <f t="shared" si="4"/>
        <v xml:space="preserve">* El Número de Pueblos Originarios no puede superar el Total. </v>
      </c>
      <c r="CF48" s="1865" t="str">
        <f t="shared" si="5"/>
        <v xml:space="preserve">* El Número de Migrantes no puede superar el Total. </v>
      </c>
      <c r="CG48" s="1866"/>
      <c r="CH48" s="1865" t="str">
        <f t="shared" si="6"/>
        <v xml:space="preserve">* El Número de Niños, Niñas, Adolescentes y Jóvenes SENAME no puede superar el Total. </v>
      </c>
      <c r="CI48" s="1865" t="str">
        <f t="shared" si="7"/>
        <v xml:space="preserve">* El Número de Niños, Niñas, Adolescentes y Jóvenes Mejor Niñez no puede superar el Total. </v>
      </c>
      <c r="CJ48" s="1936"/>
      <c r="CK48" s="1867">
        <f t="shared" si="8"/>
        <v>1</v>
      </c>
      <c r="CL48" s="1867">
        <f t="shared" si="9"/>
        <v>1</v>
      </c>
      <c r="CM48" s="1867">
        <f t="shared" si="10"/>
        <v>1</v>
      </c>
      <c r="CN48" s="1867">
        <f t="shared" si="11"/>
        <v>1</v>
      </c>
      <c r="CO48" s="1867">
        <f t="shared" si="11"/>
        <v>1</v>
      </c>
      <c r="CP48" s="1868"/>
      <c r="CQ48" s="1867">
        <f t="shared" si="12"/>
        <v>1</v>
      </c>
      <c r="CR48" s="1867">
        <f t="shared" si="12"/>
        <v>1</v>
      </c>
    </row>
    <row r="49" spans="1:96" x14ac:dyDescent="0.25">
      <c r="A49" s="5818">
        <v>19185300</v>
      </c>
      <c r="B49" s="6058"/>
      <c r="C49" s="4093" t="s">
        <v>105</v>
      </c>
      <c r="D49" s="3908" t="s">
        <v>4567</v>
      </c>
      <c r="E49" s="3978" t="s">
        <v>4568</v>
      </c>
      <c r="F49" s="4094" t="s">
        <v>4569</v>
      </c>
      <c r="G49" s="1890" t="s">
        <v>4570</v>
      </c>
      <c r="H49" s="4103" t="s">
        <v>4571</v>
      </c>
      <c r="I49" s="3913" t="s">
        <v>4572</v>
      </c>
      <c r="J49" s="329" t="s">
        <v>4573</v>
      </c>
      <c r="K49" s="3913" t="s">
        <v>4574</v>
      </c>
      <c r="L49" s="1969" t="s">
        <v>4575</v>
      </c>
      <c r="M49" s="3913" t="s">
        <v>4576</v>
      </c>
      <c r="N49" s="1969" t="s">
        <v>4577</v>
      </c>
      <c r="O49" s="3913" t="s">
        <v>4578</v>
      </c>
      <c r="P49" s="1969" t="s">
        <v>4579</v>
      </c>
      <c r="Q49" s="3913" t="s">
        <v>4580</v>
      </c>
      <c r="R49" s="1969" t="s">
        <v>4581</v>
      </c>
      <c r="S49" s="3913" t="s">
        <v>4582</v>
      </c>
      <c r="T49" s="1969" t="s">
        <v>4583</v>
      </c>
      <c r="U49" s="3913" t="s">
        <v>4584</v>
      </c>
      <c r="V49" s="1969" t="s">
        <v>4585</v>
      </c>
      <c r="W49" s="3913" t="s">
        <v>4586</v>
      </c>
      <c r="X49" s="1969" t="s">
        <v>4587</v>
      </c>
      <c r="Y49" s="3913" t="s">
        <v>4588</v>
      </c>
      <c r="Z49" s="1969" t="s">
        <v>4589</v>
      </c>
      <c r="AA49" s="3913" t="s">
        <v>4590</v>
      </c>
      <c r="AB49" s="1969" t="s">
        <v>4591</v>
      </c>
      <c r="AC49" s="3913" t="s">
        <v>4592</v>
      </c>
      <c r="AD49" s="1969" t="s">
        <v>4593</v>
      </c>
      <c r="AE49" s="3913" t="s">
        <v>4594</v>
      </c>
      <c r="AF49" s="1969" t="s">
        <v>4595</v>
      </c>
      <c r="AG49" s="3913" t="s">
        <v>4596</v>
      </c>
      <c r="AH49" s="1969" t="s">
        <v>4597</v>
      </c>
      <c r="AI49" s="3913" t="s">
        <v>4598</v>
      </c>
      <c r="AJ49" s="1969" t="s">
        <v>4599</v>
      </c>
      <c r="AK49" s="3913" t="s">
        <v>4600</v>
      </c>
      <c r="AL49" s="1969" t="s">
        <v>4601</v>
      </c>
      <c r="AM49" s="4095" t="s">
        <v>4602</v>
      </c>
      <c r="AN49" s="331" t="s">
        <v>4603</v>
      </c>
      <c r="AO49" s="4096" t="s">
        <v>4604</v>
      </c>
      <c r="AP49" s="3904" t="s">
        <v>4605</v>
      </c>
      <c r="AQ49" s="329" t="s">
        <v>4606</v>
      </c>
      <c r="AR49" s="3968" t="s">
        <v>4934</v>
      </c>
      <c r="AS49" s="3968" t="s">
        <v>4935</v>
      </c>
      <c r="AT49" s="4097" t="s">
        <v>4936</v>
      </c>
      <c r="AU49" s="3968" t="s">
        <v>4937</v>
      </c>
      <c r="AV49" s="3968" t="s">
        <v>5234</v>
      </c>
      <c r="AW49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9" s="1865" t="str">
        <f t="shared" si="1"/>
        <v xml:space="preserve">* El Número de Espacios Amigables no puede superar el Total. </v>
      </c>
      <c r="CC49" s="1865" t="str">
        <f t="shared" si="2"/>
        <v xml:space="preserve">* El Número de TRANS Masculino no puede superar el Total Mujeres. </v>
      </c>
      <c r="CD49" s="1865" t="str">
        <f t="shared" si="3"/>
        <v xml:space="preserve">* El Número de TRANS Femenino no puede superar el Total Hombres. </v>
      </c>
      <c r="CE49" s="1865" t="str">
        <f t="shared" si="4"/>
        <v xml:space="preserve">* El Número de Pueblos Originarios no puede superar el Total. </v>
      </c>
      <c r="CF49" s="1865" t="str">
        <f t="shared" si="5"/>
        <v xml:space="preserve">* El Número de Migrantes no puede superar el Total. </v>
      </c>
      <c r="CG49" s="1866"/>
      <c r="CH49" s="1865" t="str">
        <f t="shared" si="6"/>
        <v xml:space="preserve">* El Número de Niños, Niñas, Adolescentes y Jóvenes SENAME no puede superar el Total. </v>
      </c>
      <c r="CI49" s="1865" t="str">
        <f t="shared" si="7"/>
        <v xml:space="preserve">* El Número de Niños, Niñas, Adolescentes y Jóvenes Mejor Niñez no puede superar el Total. </v>
      </c>
      <c r="CJ49" s="1936"/>
      <c r="CK49" s="1867">
        <f t="shared" si="8"/>
        <v>1</v>
      </c>
      <c r="CL49" s="1867">
        <f t="shared" si="9"/>
        <v>1</v>
      </c>
      <c r="CM49" s="1867">
        <f t="shared" si="10"/>
        <v>1</v>
      </c>
      <c r="CN49" s="1867">
        <f t="shared" si="11"/>
        <v>1</v>
      </c>
      <c r="CO49" s="1867">
        <f t="shared" si="11"/>
        <v>1</v>
      </c>
      <c r="CP49" s="1868"/>
      <c r="CQ49" s="1867">
        <f t="shared" si="12"/>
        <v>1</v>
      </c>
      <c r="CR49" s="1867">
        <f t="shared" si="12"/>
        <v>1</v>
      </c>
    </row>
    <row r="50" spans="1:96" x14ac:dyDescent="0.25">
      <c r="A50" s="5818">
        <v>19185400</v>
      </c>
      <c r="B50" s="6058"/>
      <c r="C50" s="4093" t="s">
        <v>2067</v>
      </c>
      <c r="D50" s="3908" t="s">
        <v>4567</v>
      </c>
      <c r="E50" s="3978" t="s">
        <v>4568</v>
      </c>
      <c r="F50" s="4094" t="s">
        <v>4569</v>
      </c>
      <c r="G50" s="1890" t="s">
        <v>4570</v>
      </c>
      <c r="H50" s="4103" t="s">
        <v>4571</v>
      </c>
      <c r="I50" s="3913" t="s">
        <v>4572</v>
      </c>
      <c r="J50" s="329" t="s">
        <v>4573</v>
      </c>
      <c r="K50" s="3913" t="s">
        <v>4574</v>
      </c>
      <c r="L50" s="1969" t="s">
        <v>4575</v>
      </c>
      <c r="M50" s="3913" t="s">
        <v>4576</v>
      </c>
      <c r="N50" s="1969" t="s">
        <v>4577</v>
      </c>
      <c r="O50" s="3913" t="s">
        <v>4578</v>
      </c>
      <c r="P50" s="1969" t="s">
        <v>4579</v>
      </c>
      <c r="Q50" s="3913" t="s">
        <v>4580</v>
      </c>
      <c r="R50" s="1969" t="s">
        <v>4581</v>
      </c>
      <c r="S50" s="3913" t="s">
        <v>4582</v>
      </c>
      <c r="T50" s="1969" t="s">
        <v>4583</v>
      </c>
      <c r="U50" s="3913" t="s">
        <v>4584</v>
      </c>
      <c r="V50" s="1969" t="s">
        <v>4585</v>
      </c>
      <c r="W50" s="3913" t="s">
        <v>4586</v>
      </c>
      <c r="X50" s="1969" t="s">
        <v>4587</v>
      </c>
      <c r="Y50" s="3913" t="s">
        <v>4588</v>
      </c>
      <c r="Z50" s="1969" t="s">
        <v>4589</v>
      </c>
      <c r="AA50" s="3913" t="s">
        <v>4590</v>
      </c>
      <c r="AB50" s="1969" t="s">
        <v>4591</v>
      </c>
      <c r="AC50" s="3913" t="s">
        <v>4592</v>
      </c>
      <c r="AD50" s="1969" t="s">
        <v>4593</v>
      </c>
      <c r="AE50" s="3913" t="s">
        <v>4594</v>
      </c>
      <c r="AF50" s="1969" t="s">
        <v>4595</v>
      </c>
      <c r="AG50" s="3913" t="s">
        <v>4596</v>
      </c>
      <c r="AH50" s="1969" t="s">
        <v>4597</v>
      </c>
      <c r="AI50" s="3913" t="s">
        <v>4598</v>
      </c>
      <c r="AJ50" s="1969" t="s">
        <v>4599</v>
      </c>
      <c r="AK50" s="3913" t="s">
        <v>4600</v>
      </c>
      <c r="AL50" s="1969" t="s">
        <v>4601</v>
      </c>
      <c r="AM50" s="4095" t="s">
        <v>4602</v>
      </c>
      <c r="AN50" s="331" t="s">
        <v>4603</v>
      </c>
      <c r="AO50" s="4096" t="s">
        <v>4604</v>
      </c>
      <c r="AP50" s="3904" t="s">
        <v>4605</v>
      </c>
      <c r="AQ50" s="329" t="s">
        <v>4606</v>
      </c>
      <c r="AR50" s="3968" t="s">
        <v>4934</v>
      </c>
      <c r="AS50" s="3968" t="s">
        <v>4935</v>
      </c>
      <c r="AT50" s="4097" t="s">
        <v>4936</v>
      </c>
      <c r="AU50" s="3968" t="s">
        <v>4937</v>
      </c>
      <c r="AV50" s="3968" t="s">
        <v>5234</v>
      </c>
      <c r="AW50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0" s="1865" t="str">
        <f t="shared" si="1"/>
        <v xml:space="preserve">* El Número de Espacios Amigables no puede superar el Total. </v>
      </c>
      <c r="CC50" s="1865" t="str">
        <f t="shared" si="2"/>
        <v xml:space="preserve">* El Número de TRANS Masculino no puede superar el Total Mujeres. </v>
      </c>
      <c r="CD50" s="1865" t="str">
        <f t="shared" si="3"/>
        <v xml:space="preserve">* El Número de TRANS Femenino no puede superar el Total Hombres. </v>
      </c>
      <c r="CE50" s="1865" t="str">
        <f t="shared" si="4"/>
        <v xml:space="preserve">* El Número de Pueblos Originarios no puede superar el Total. </v>
      </c>
      <c r="CF50" s="1865" t="str">
        <f t="shared" si="5"/>
        <v xml:space="preserve">* El Número de Migrantes no puede superar el Total. </v>
      </c>
      <c r="CG50" s="1866"/>
      <c r="CH50" s="1865" t="str">
        <f t="shared" si="6"/>
        <v xml:space="preserve">* El Número de Niños, Niñas, Adolescentes y Jóvenes SENAME no puede superar el Total. </v>
      </c>
      <c r="CI50" s="1865" t="str">
        <f t="shared" si="7"/>
        <v xml:space="preserve">* El Número de Niños, Niñas, Adolescentes y Jóvenes Mejor Niñez no puede superar el Total. </v>
      </c>
      <c r="CJ50" s="1936"/>
      <c r="CK50" s="1867">
        <f t="shared" si="8"/>
        <v>1</v>
      </c>
      <c r="CL50" s="1867">
        <f t="shared" si="9"/>
        <v>1</v>
      </c>
      <c r="CM50" s="1867">
        <f t="shared" si="10"/>
        <v>1</v>
      </c>
      <c r="CN50" s="1867">
        <f t="shared" si="11"/>
        <v>1</v>
      </c>
      <c r="CO50" s="1867">
        <f t="shared" si="11"/>
        <v>1</v>
      </c>
      <c r="CP50" s="1868"/>
      <c r="CQ50" s="1867">
        <f t="shared" si="12"/>
        <v>1</v>
      </c>
      <c r="CR50" s="1867">
        <f t="shared" si="12"/>
        <v>1</v>
      </c>
    </row>
    <row r="51" spans="1:96" x14ac:dyDescent="0.25">
      <c r="A51" s="5818">
        <v>19185500</v>
      </c>
      <c r="B51" s="6058"/>
      <c r="C51" s="4093" t="s">
        <v>1034</v>
      </c>
      <c r="D51" s="3908" t="s">
        <v>4567</v>
      </c>
      <c r="E51" s="3978" t="s">
        <v>4568</v>
      </c>
      <c r="F51" s="4094" t="s">
        <v>4569</v>
      </c>
      <c r="G51" s="1890" t="s">
        <v>4570</v>
      </c>
      <c r="H51" s="4103" t="s">
        <v>4571</v>
      </c>
      <c r="I51" s="3913" t="s">
        <v>4572</v>
      </c>
      <c r="J51" s="329" t="s">
        <v>4573</v>
      </c>
      <c r="K51" s="3913" t="s">
        <v>4574</v>
      </c>
      <c r="L51" s="1969" t="s">
        <v>4575</v>
      </c>
      <c r="M51" s="3913" t="s">
        <v>4576</v>
      </c>
      <c r="N51" s="1969" t="s">
        <v>4577</v>
      </c>
      <c r="O51" s="3913" t="s">
        <v>4578</v>
      </c>
      <c r="P51" s="1969" t="s">
        <v>4579</v>
      </c>
      <c r="Q51" s="3913" t="s">
        <v>4580</v>
      </c>
      <c r="R51" s="1969" t="s">
        <v>4581</v>
      </c>
      <c r="S51" s="3913" t="s">
        <v>4582</v>
      </c>
      <c r="T51" s="1969" t="s">
        <v>4583</v>
      </c>
      <c r="U51" s="3913" t="s">
        <v>4584</v>
      </c>
      <c r="V51" s="1969" t="s">
        <v>4585</v>
      </c>
      <c r="W51" s="3913" t="s">
        <v>4586</v>
      </c>
      <c r="X51" s="1969" t="s">
        <v>4587</v>
      </c>
      <c r="Y51" s="3913" t="s">
        <v>4588</v>
      </c>
      <c r="Z51" s="1969" t="s">
        <v>4589</v>
      </c>
      <c r="AA51" s="3913" t="s">
        <v>4590</v>
      </c>
      <c r="AB51" s="1969" t="s">
        <v>4591</v>
      </c>
      <c r="AC51" s="3913" t="s">
        <v>4592</v>
      </c>
      <c r="AD51" s="1969" t="s">
        <v>4593</v>
      </c>
      <c r="AE51" s="3913" t="s">
        <v>4594</v>
      </c>
      <c r="AF51" s="1969" t="s">
        <v>4595</v>
      </c>
      <c r="AG51" s="3913" t="s">
        <v>4596</v>
      </c>
      <c r="AH51" s="1969" t="s">
        <v>4597</v>
      </c>
      <c r="AI51" s="3913" t="s">
        <v>4598</v>
      </c>
      <c r="AJ51" s="1969" t="s">
        <v>4599</v>
      </c>
      <c r="AK51" s="3913" t="s">
        <v>4600</v>
      </c>
      <c r="AL51" s="1969" t="s">
        <v>4601</v>
      </c>
      <c r="AM51" s="4095" t="s">
        <v>4602</v>
      </c>
      <c r="AN51" s="331" t="s">
        <v>4603</v>
      </c>
      <c r="AO51" s="4096" t="s">
        <v>4604</v>
      </c>
      <c r="AP51" s="3904" t="s">
        <v>4605</v>
      </c>
      <c r="AQ51" s="329" t="s">
        <v>4606</v>
      </c>
      <c r="AR51" s="3968" t="s">
        <v>4934</v>
      </c>
      <c r="AS51" s="3968" t="s">
        <v>4935</v>
      </c>
      <c r="AT51" s="4097" t="s">
        <v>4936</v>
      </c>
      <c r="AU51" s="3968" t="s">
        <v>4937</v>
      </c>
      <c r="AV51" s="3968" t="s">
        <v>5234</v>
      </c>
      <c r="AW51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1" s="1865" t="str">
        <f t="shared" si="1"/>
        <v xml:space="preserve">* El Número de Espacios Amigables no puede superar el Total. </v>
      </c>
      <c r="CC51" s="1865" t="str">
        <f t="shared" si="2"/>
        <v xml:space="preserve">* El Número de TRANS Masculino no puede superar el Total Mujeres. </v>
      </c>
      <c r="CD51" s="1865" t="str">
        <f t="shared" si="3"/>
        <v xml:space="preserve">* El Número de TRANS Femenino no puede superar el Total Hombres. </v>
      </c>
      <c r="CE51" s="1865" t="str">
        <f t="shared" si="4"/>
        <v xml:space="preserve">* El Número de Pueblos Originarios no puede superar el Total. </v>
      </c>
      <c r="CF51" s="1865" t="str">
        <f t="shared" si="5"/>
        <v xml:space="preserve">* El Número de Migrantes no puede superar el Total. </v>
      </c>
      <c r="CG51" s="1866"/>
      <c r="CH51" s="1865" t="str">
        <f t="shared" si="6"/>
        <v xml:space="preserve">* El Número de Niños, Niñas, Adolescentes y Jóvenes SENAME no puede superar el Total. </v>
      </c>
      <c r="CI51" s="1865" t="str">
        <f t="shared" si="7"/>
        <v xml:space="preserve">* El Número de Niños, Niñas, Adolescentes y Jóvenes Mejor Niñez no puede superar el Total. </v>
      </c>
      <c r="CJ51" s="1936"/>
      <c r="CK51" s="1867">
        <f t="shared" si="8"/>
        <v>1</v>
      </c>
      <c r="CL51" s="1867">
        <f t="shared" si="9"/>
        <v>1</v>
      </c>
      <c r="CM51" s="1867">
        <f t="shared" si="10"/>
        <v>1</v>
      </c>
      <c r="CN51" s="1867">
        <f t="shared" si="11"/>
        <v>1</v>
      </c>
      <c r="CO51" s="1867">
        <f t="shared" si="11"/>
        <v>1</v>
      </c>
      <c r="CP51" s="1868"/>
      <c r="CQ51" s="1867">
        <f t="shared" si="12"/>
        <v>1</v>
      </c>
      <c r="CR51" s="1867">
        <f t="shared" si="12"/>
        <v>1</v>
      </c>
    </row>
    <row r="52" spans="1:96" x14ac:dyDescent="0.25">
      <c r="A52" s="5818">
        <v>19185600</v>
      </c>
      <c r="B52" s="6058"/>
      <c r="C52" s="4093" t="s">
        <v>1406</v>
      </c>
      <c r="D52" s="3908" t="s">
        <v>4567</v>
      </c>
      <c r="E52" s="3978" t="s">
        <v>4568</v>
      </c>
      <c r="F52" s="4094" t="s">
        <v>4569</v>
      </c>
      <c r="G52" s="1890" t="s">
        <v>4570</v>
      </c>
      <c r="H52" s="4103" t="s">
        <v>4571</v>
      </c>
      <c r="I52" s="3913" t="s">
        <v>4572</v>
      </c>
      <c r="J52" s="329" t="s">
        <v>4573</v>
      </c>
      <c r="K52" s="3913" t="s">
        <v>4574</v>
      </c>
      <c r="L52" s="1969" t="s">
        <v>4575</v>
      </c>
      <c r="M52" s="3913" t="s">
        <v>4576</v>
      </c>
      <c r="N52" s="1969" t="s">
        <v>4577</v>
      </c>
      <c r="O52" s="3913" t="s">
        <v>4578</v>
      </c>
      <c r="P52" s="1969" t="s">
        <v>4579</v>
      </c>
      <c r="Q52" s="3913" t="s">
        <v>4580</v>
      </c>
      <c r="R52" s="1969" t="s">
        <v>4581</v>
      </c>
      <c r="S52" s="3913" t="s">
        <v>4582</v>
      </c>
      <c r="T52" s="1969" t="s">
        <v>4583</v>
      </c>
      <c r="U52" s="3913" t="s">
        <v>4584</v>
      </c>
      <c r="V52" s="1969" t="s">
        <v>4585</v>
      </c>
      <c r="W52" s="3913" t="s">
        <v>4586</v>
      </c>
      <c r="X52" s="1969" t="s">
        <v>4587</v>
      </c>
      <c r="Y52" s="3913" t="s">
        <v>4588</v>
      </c>
      <c r="Z52" s="1969" t="s">
        <v>4589</v>
      </c>
      <c r="AA52" s="3913" t="s">
        <v>4590</v>
      </c>
      <c r="AB52" s="1969" t="s">
        <v>4591</v>
      </c>
      <c r="AC52" s="3913" t="s">
        <v>4592</v>
      </c>
      <c r="AD52" s="1969" t="s">
        <v>4593</v>
      </c>
      <c r="AE52" s="3913" t="s">
        <v>4594</v>
      </c>
      <c r="AF52" s="1969" t="s">
        <v>4595</v>
      </c>
      <c r="AG52" s="3913" t="s">
        <v>4596</v>
      </c>
      <c r="AH52" s="1969" t="s">
        <v>4597</v>
      </c>
      <c r="AI52" s="3913" t="s">
        <v>4598</v>
      </c>
      <c r="AJ52" s="1969" t="s">
        <v>4599</v>
      </c>
      <c r="AK52" s="3913" t="s">
        <v>4600</v>
      </c>
      <c r="AL52" s="1969" t="s">
        <v>4601</v>
      </c>
      <c r="AM52" s="4095" t="s">
        <v>4602</v>
      </c>
      <c r="AN52" s="331" t="s">
        <v>4603</v>
      </c>
      <c r="AO52" s="4096" t="s">
        <v>4604</v>
      </c>
      <c r="AP52" s="3904" t="s">
        <v>4605</v>
      </c>
      <c r="AQ52" s="329" t="s">
        <v>4606</v>
      </c>
      <c r="AR52" s="3968" t="s">
        <v>4934</v>
      </c>
      <c r="AS52" s="3968" t="s">
        <v>4935</v>
      </c>
      <c r="AT52" s="4097" t="s">
        <v>4936</v>
      </c>
      <c r="AU52" s="3968" t="s">
        <v>4937</v>
      </c>
      <c r="AV52" s="3968" t="s">
        <v>5234</v>
      </c>
      <c r="AW52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2" s="1865" t="str">
        <f t="shared" si="1"/>
        <v xml:space="preserve">* El Número de Espacios Amigables no puede superar el Total. </v>
      </c>
      <c r="CC52" s="1865" t="str">
        <f t="shared" si="2"/>
        <v xml:space="preserve">* El Número de TRANS Masculino no puede superar el Total Mujeres. </v>
      </c>
      <c r="CD52" s="1865" t="str">
        <f t="shared" si="3"/>
        <v xml:space="preserve">* El Número de TRANS Femenino no puede superar el Total Hombres. </v>
      </c>
      <c r="CE52" s="1865" t="str">
        <f t="shared" si="4"/>
        <v xml:space="preserve">* El Número de Pueblos Originarios no puede superar el Total. </v>
      </c>
      <c r="CF52" s="1865" t="str">
        <f t="shared" si="5"/>
        <v xml:space="preserve">* El Número de Migrantes no puede superar el Total. </v>
      </c>
      <c r="CG52" s="1866"/>
      <c r="CH52" s="1865" t="str">
        <f t="shared" si="6"/>
        <v xml:space="preserve">* El Número de Niños, Niñas, Adolescentes y Jóvenes SENAME no puede superar el Total. </v>
      </c>
      <c r="CI52" s="1865" t="str">
        <f t="shared" si="7"/>
        <v xml:space="preserve">* El Número de Niños, Niñas, Adolescentes y Jóvenes Mejor Niñez no puede superar el Total. </v>
      </c>
      <c r="CJ52" s="1936"/>
      <c r="CK52" s="1867">
        <f t="shared" si="8"/>
        <v>1</v>
      </c>
      <c r="CL52" s="1867">
        <f t="shared" si="9"/>
        <v>1</v>
      </c>
      <c r="CM52" s="1867">
        <f t="shared" si="10"/>
        <v>1</v>
      </c>
      <c r="CN52" s="1867">
        <f t="shared" si="11"/>
        <v>1</v>
      </c>
      <c r="CO52" s="1867">
        <f t="shared" si="11"/>
        <v>1</v>
      </c>
      <c r="CP52" s="1868"/>
      <c r="CQ52" s="1867">
        <f t="shared" si="12"/>
        <v>1</v>
      </c>
      <c r="CR52" s="1867">
        <f t="shared" si="12"/>
        <v>1</v>
      </c>
    </row>
    <row r="53" spans="1:96" x14ac:dyDescent="0.25">
      <c r="A53" s="5818">
        <v>19185700</v>
      </c>
      <c r="B53" s="6058"/>
      <c r="C53" s="4098" t="s">
        <v>2063</v>
      </c>
      <c r="D53" s="3836" t="s">
        <v>4567</v>
      </c>
      <c r="E53" s="3989" t="s">
        <v>4568</v>
      </c>
      <c r="F53" s="3318" t="s">
        <v>4569</v>
      </c>
      <c r="G53" s="1890" t="s">
        <v>4570</v>
      </c>
      <c r="H53" s="4103" t="s">
        <v>4571</v>
      </c>
      <c r="I53" s="212" t="s">
        <v>4572</v>
      </c>
      <c r="J53" s="34" t="s">
        <v>4573</v>
      </c>
      <c r="K53" s="212" t="s">
        <v>4574</v>
      </c>
      <c r="L53" s="1136" t="s">
        <v>4575</v>
      </c>
      <c r="M53" s="212" t="s">
        <v>4576</v>
      </c>
      <c r="N53" s="1136" t="s">
        <v>4577</v>
      </c>
      <c r="O53" s="212" t="s">
        <v>4578</v>
      </c>
      <c r="P53" s="1136" t="s">
        <v>4579</v>
      </c>
      <c r="Q53" s="212" t="s">
        <v>4580</v>
      </c>
      <c r="R53" s="1136" t="s">
        <v>4581</v>
      </c>
      <c r="S53" s="212" t="s">
        <v>4582</v>
      </c>
      <c r="T53" s="1136" t="s">
        <v>4583</v>
      </c>
      <c r="U53" s="212" t="s">
        <v>4584</v>
      </c>
      <c r="V53" s="1136" t="s">
        <v>4585</v>
      </c>
      <c r="W53" s="212" t="s">
        <v>4586</v>
      </c>
      <c r="X53" s="1136" t="s">
        <v>4587</v>
      </c>
      <c r="Y53" s="212" t="s">
        <v>4588</v>
      </c>
      <c r="Z53" s="1136" t="s">
        <v>4589</v>
      </c>
      <c r="AA53" s="212" t="s">
        <v>4590</v>
      </c>
      <c r="AB53" s="1136" t="s">
        <v>4591</v>
      </c>
      <c r="AC53" s="212" t="s">
        <v>4592</v>
      </c>
      <c r="AD53" s="1136" t="s">
        <v>4593</v>
      </c>
      <c r="AE53" s="212" t="s">
        <v>4594</v>
      </c>
      <c r="AF53" s="1136" t="s">
        <v>4595</v>
      </c>
      <c r="AG53" s="212" t="s">
        <v>4596</v>
      </c>
      <c r="AH53" s="1136" t="s">
        <v>4597</v>
      </c>
      <c r="AI53" s="212" t="s">
        <v>4598</v>
      </c>
      <c r="AJ53" s="1136" t="s">
        <v>4599</v>
      </c>
      <c r="AK53" s="212" t="s">
        <v>4600</v>
      </c>
      <c r="AL53" s="1136" t="s">
        <v>4601</v>
      </c>
      <c r="AM53" s="2210" t="s">
        <v>4602</v>
      </c>
      <c r="AN53" s="2410" t="s">
        <v>4603</v>
      </c>
      <c r="AO53" s="4096" t="s">
        <v>4604</v>
      </c>
      <c r="AP53" s="1137" t="s">
        <v>4605</v>
      </c>
      <c r="AQ53" s="329" t="s">
        <v>4606</v>
      </c>
      <c r="AR53" s="3968" t="s">
        <v>4934</v>
      </c>
      <c r="AS53" s="3968" t="s">
        <v>4935</v>
      </c>
      <c r="AT53" s="4097" t="s">
        <v>4936</v>
      </c>
      <c r="AU53" s="3968" t="s">
        <v>4937</v>
      </c>
      <c r="AV53" s="3968" t="s">
        <v>5234</v>
      </c>
      <c r="AW53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3" s="1865" t="str">
        <f t="shared" si="1"/>
        <v xml:space="preserve">* El Número de Espacios Amigables no puede superar el Total. </v>
      </c>
      <c r="CC53" s="1865" t="str">
        <f t="shared" si="2"/>
        <v xml:space="preserve">* El Número de TRANS Masculino no puede superar el Total Mujeres. </v>
      </c>
      <c r="CD53" s="1865" t="str">
        <f t="shared" si="3"/>
        <v xml:space="preserve">* El Número de TRANS Femenino no puede superar el Total Hombres. </v>
      </c>
      <c r="CE53" s="1865" t="str">
        <f t="shared" si="4"/>
        <v xml:space="preserve">* El Número de Pueblos Originarios no puede superar el Total. </v>
      </c>
      <c r="CF53" s="1865" t="str">
        <f t="shared" si="5"/>
        <v xml:space="preserve">* El Número de Migrantes no puede superar el Total. </v>
      </c>
      <c r="CG53" s="1866"/>
      <c r="CH53" s="1865" t="str">
        <f t="shared" si="6"/>
        <v xml:space="preserve">* El Número de Niños, Niñas, Adolescentes y Jóvenes SENAME no puede superar el Total. </v>
      </c>
      <c r="CI53" s="1865" t="str">
        <f t="shared" si="7"/>
        <v xml:space="preserve">* El Número de Niños, Niñas, Adolescentes y Jóvenes Mejor Niñez no puede superar el Total. </v>
      </c>
      <c r="CJ53" s="1936"/>
      <c r="CK53" s="1867">
        <f t="shared" si="8"/>
        <v>1</v>
      </c>
      <c r="CL53" s="1867">
        <f t="shared" si="9"/>
        <v>1</v>
      </c>
      <c r="CM53" s="1867">
        <f t="shared" si="10"/>
        <v>1</v>
      </c>
      <c r="CN53" s="1867">
        <f t="shared" si="11"/>
        <v>1</v>
      </c>
      <c r="CO53" s="1867">
        <f t="shared" si="11"/>
        <v>1</v>
      </c>
      <c r="CP53" s="1868"/>
      <c r="CQ53" s="1867">
        <f t="shared" si="12"/>
        <v>1</v>
      </c>
      <c r="CR53" s="1867">
        <f t="shared" si="12"/>
        <v>1</v>
      </c>
    </row>
    <row r="54" spans="1:96" x14ac:dyDescent="0.25">
      <c r="A54" s="5818">
        <v>19185800</v>
      </c>
      <c r="B54" s="6058"/>
      <c r="C54" s="4093" t="s">
        <v>2064</v>
      </c>
      <c r="D54" s="3908" t="s">
        <v>4567</v>
      </c>
      <c r="E54" s="3978" t="s">
        <v>4568</v>
      </c>
      <c r="F54" s="4094" t="s">
        <v>4569</v>
      </c>
      <c r="G54" s="1890" t="s">
        <v>4570</v>
      </c>
      <c r="H54" s="1968" t="s">
        <v>4571</v>
      </c>
      <c r="I54" s="3913" t="s">
        <v>4572</v>
      </c>
      <c r="J54" s="329" t="s">
        <v>4573</v>
      </c>
      <c r="K54" s="3913" t="s">
        <v>4574</v>
      </c>
      <c r="L54" s="1969" t="s">
        <v>4575</v>
      </c>
      <c r="M54" s="3913" t="s">
        <v>4576</v>
      </c>
      <c r="N54" s="1969" t="s">
        <v>4577</v>
      </c>
      <c r="O54" s="3913" t="s">
        <v>4578</v>
      </c>
      <c r="P54" s="1969" t="s">
        <v>4579</v>
      </c>
      <c r="Q54" s="3913" t="s">
        <v>4580</v>
      </c>
      <c r="R54" s="1969" t="s">
        <v>4581</v>
      </c>
      <c r="S54" s="3913" t="s">
        <v>4582</v>
      </c>
      <c r="T54" s="1969" t="s">
        <v>4583</v>
      </c>
      <c r="U54" s="3913" t="s">
        <v>4584</v>
      </c>
      <c r="V54" s="1969" t="s">
        <v>4585</v>
      </c>
      <c r="W54" s="3913" t="s">
        <v>4586</v>
      </c>
      <c r="X54" s="1969" t="s">
        <v>4587</v>
      </c>
      <c r="Y54" s="3913" t="s">
        <v>4588</v>
      </c>
      <c r="Z54" s="1969" t="s">
        <v>4589</v>
      </c>
      <c r="AA54" s="3913" t="s">
        <v>4590</v>
      </c>
      <c r="AB54" s="1969" t="s">
        <v>4591</v>
      </c>
      <c r="AC54" s="3913" t="s">
        <v>4592</v>
      </c>
      <c r="AD54" s="1969" t="s">
        <v>4593</v>
      </c>
      <c r="AE54" s="3913" t="s">
        <v>4594</v>
      </c>
      <c r="AF54" s="1969" t="s">
        <v>4595</v>
      </c>
      <c r="AG54" s="3913" t="s">
        <v>4596</v>
      </c>
      <c r="AH54" s="1969" t="s">
        <v>4597</v>
      </c>
      <c r="AI54" s="3913" t="s">
        <v>4598</v>
      </c>
      <c r="AJ54" s="1969" t="s">
        <v>4599</v>
      </c>
      <c r="AK54" s="3913" t="s">
        <v>4600</v>
      </c>
      <c r="AL54" s="1969" t="s">
        <v>4601</v>
      </c>
      <c r="AM54" s="4095" t="s">
        <v>4602</v>
      </c>
      <c r="AN54" s="331" t="s">
        <v>4603</v>
      </c>
      <c r="AO54" s="4096" t="s">
        <v>4604</v>
      </c>
      <c r="AP54" s="3904" t="s">
        <v>4605</v>
      </c>
      <c r="AQ54" s="329" t="s">
        <v>4606</v>
      </c>
      <c r="AR54" s="3968" t="s">
        <v>4934</v>
      </c>
      <c r="AS54" s="3968" t="s">
        <v>4935</v>
      </c>
      <c r="AT54" s="4097" t="s">
        <v>4936</v>
      </c>
      <c r="AU54" s="3968" t="s">
        <v>4937</v>
      </c>
      <c r="AV54" s="3968" t="s">
        <v>5234</v>
      </c>
      <c r="AW54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4" s="1865" t="str">
        <f t="shared" si="1"/>
        <v xml:space="preserve">* El Número de Espacios Amigables no puede superar el Total. </v>
      </c>
      <c r="CC54" s="1865" t="str">
        <f t="shared" si="2"/>
        <v xml:space="preserve">* El Número de TRANS Masculino no puede superar el Total Mujeres. </v>
      </c>
      <c r="CD54" s="1865" t="str">
        <f t="shared" si="3"/>
        <v xml:space="preserve">* El Número de TRANS Femenino no puede superar el Total Hombres. </v>
      </c>
      <c r="CE54" s="1865" t="str">
        <f t="shared" si="4"/>
        <v xml:space="preserve">* El Número de Pueblos Originarios no puede superar el Total. </v>
      </c>
      <c r="CF54" s="1865" t="str">
        <f t="shared" si="5"/>
        <v xml:space="preserve">* El Número de Migrantes no puede superar el Total. </v>
      </c>
      <c r="CG54" s="1866"/>
      <c r="CH54" s="1865" t="str">
        <f t="shared" si="6"/>
        <v xml:space="preserve">* El Número de Niños, Niñas, Adolescentes y Jóvenes SENAME no puede superar el Total. </v>
      </c>
      <c r="CI54" s="1865" t="str">
        <f t="shared" si="7"/>
        <v xml:space="preserve">* El Número de Niños, Niñas, Adolescentes y Jóvenes Mejor Niñez no puede superar el Total. </v>
      </c>
      <c r="CJ54" s="1936"/>
      <c r="CK54" s="1867">
        <f t="shared" si="8"/>
        <v>1</v>
      </c>
      <c r="CL54" s="1867">
        <f t="shared" si="9"/>
        <v>1</v>
      </c>
      <c r="CM54" s="1867">
        <f t="shared" si="10"/>
        <v>1</v>
      </c>
      <c r="CN54" s="1867">
        <f t="shared" si="11"/>
        <v>1</v>
      </c>
      <c r="CO54" s="1867">
        <f t="shared" si="11"/>
        <v>1</v>
      </c>
      <c r="CP54" s="1868"/>
      <c r="CQ54" s="1867">
        <f t="shared" si="12"/>
        <v>1</v>
      </c>
      <c r="CR54" s="1867">
        <f t="shared" si="12"/>
        <v>1</v>
      </c>
    </row>
    <row r="55" spans="1:96" x14ac:dyDescent="0.25">
      <c r="A55" s="5818">
        <v>19185801</v>
      </c>
      <c r="B55" s="6058"/>
      <c r="C55" s="24" t="s">
        <v>2065</v>
      </c>
      <c r="D55" s="3908" t="s">
        <v>4567</v>
      </c>
      <c r="E55" s="3978" t="s">
        <v>4568</v>
      </c>
      <c r="F55" s="4099" t="s">
        <v>4569</v>
      </c>
      <c r="G55" s="1890" t="s">
        <v>4570</v>
      </c>
      <c r="H55" s="987" t="s">
        <v>4571</v>
      </c>
      <c r="I55" s="3913" t="s">
        <v>4572</v>
      </c>
      <c r="J55" s="329" t="s">
        <v>4573</v>
      </c>
      <c r="K55" s="3913" t="s">
        <v>4574</v>
      </c>
      <c r="L55" s="1969" t="s">
        <v>4575</v>
      </c>
      <c r="M55" s="3913" t="s">
        <v>4576</v>
      </c>
      <c r="N55" s="1969" t="s">
        <v>4577</v>
      </c>
      <c r="O55" s="3913" t="s">
        <v>4578</v>
      </c>
      <c r="P55" s="1969" t="s">
        <v>4579</v>
      </c>
      <c r="Q55" s="3913" t="s">
        <v>4580</v>
      </c>
      <c r="R55" s="1969" t="s">
        <v>4581</v>
      </c>
      <c r="S55" s="3913" t="s">
        <v>4582</v>
      </c>
      <c r="T55" s="1969" t="s">
        <v>4583</v>
      </c>
      <c r="U55" s="3913" t="s">
        <v>4584</v>
      </c>
      <c r="V55" s="1969" t="s">
        <v>4585</v>
      </c>
      <c r="W55" s="3913" t="s">
        <v>4586</v>
      </c>
      <c r="X55" s="1969" t="s">
        <v>4587</v>
      </c>
      <c r="Y55" s="3913" t="s">
        <v>4588</v>
      </c>
      <c r="Z55" s="1969" t="s">
        <v>4589</v>
      </c>
      <c r="AA55" s="3913" t="s">
        <v>4590</v>
      </c>
      <c r="AB55" s="1969" t="s">
        <v>4591</v>
      </c>
      <c r="AC55" s="3913" t="s">
        <v>4592</v>
      </c>
      <c r="AD55" s="1969" t="s">
        <v>4593</v>
      </c>
      <c r="AE55" s="3913" t="s">
        <v>4594</v>
      </c>
      <c r="AF55" s="1969" t="s">
        <v>4595</v>
      </c>
      <c r="AG55" s="3913" t="s">
        <v>4596</v>
      </c>
      <c r="AH55" s="2201" t="s">
        <v>4597</v>
      </c>
      <c r="AI55" s="3913" t="s">
        <v>4598</v>
      </c>
      <c r="AJ55" s="1969" t="s">
        <v>4599</v>
      </c>
      <c r="AK55" s="3913" t="s">
        <v>4600</v>
      </c>
      <c r="AL55" s="1969" t="s">
        <v>4601</v>
      </c>
      <c r="AM55" s="4095" t="s">
        <v>4602</v>
      </c>
      <c r="AN55" s="331" t="s">
        <v>4603</v>
      </c>
      <c r="AO55" s="4096" t="s">
        <v>4604</v>
      </c>
      <c r="AP55" s="3904" t="s">
        <v>4605</v>
      </c>
      <c r="AQ55" s="329" t="s">
        <v>4606</v>
      </c>
      <c r="AR55" s="3968" t="s">
        <v>4934</v>
      </c>
      <c r="AS55" s="3968" t="s">
        <v>4935</v>
      </c>
      <c r="AT55" s="4097" t="s">
        <v>4936</v>
      </c>
      <c r="AU55" s="3968" t="s">
        <v>4937</v>
      </c>
      <c r="AV55" s="3968" t="s">
        <v>5234</v>
      </c>
      <c r="AW55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5" s="1865" t="str">
        <f t="shared" si="1"/>
        <v xml:space="preserve">* El Número de Espacios Amigables no puede superar el Total. </v>
      </c>
      <c r="CC55" s="1865" t="str">
        <f t="shared" si="2"/>
        <v xml:space="preserve">* El Número de TRANS Masculino no puede superar el Total Mujeres. </v>
      </c>
      <c r="CD55" s="1865" t="str">
        <f t="shared" si="3"/>
        <v xml:space="preserve">* El Número de TRANS Femenino no puede superar el Total Hombres. </v>
      </c>
      <c r="CE55" s="1865" t="str">
        <f t="shared" si="4"/>
        <v xml:space="preserve">* El Número de Pueblos Originarios no puede superar el Total. </v>
      </c>
      <c r="CF55" s="1865" t="str">
        <f t="shared" si="5"/>
        <v xml:space="preserve">* El Número de Migrantes no puede superar el Total. </v>
      </c>
      <c r="CG55" s="1866"/>
      <c r="CH55" s="1865" t="str">
        <f t="shared" si="6"/>
        <v xml:space="preserve">* El Número de Niños, Niñas, Adolescentes y Jóvenes SENAME no puede superar el Total. </v>
      </c>
      <c r="CI55" s="1865" t="str">
        <f t="shared" si="7"/>
        <v xml:space="preserve">* El Número de Niños, Niñas, Adolescentes y Jóvenes Mejor Niñez no puede superar el Total. </v>
      </c>
      <c r="CJ55" s="1936"/>
      <c r="CK55" s="1867">
        <f t="shared" si="8"/>
        <v>1</v>
      </c>
      <c r="CL55" s="1867">
        <f t="shared" si="9"/>
        <v>1</v>
      </c>
      <c r="CM55" s="1867">
        <f t="shared" si="10"/>
        <v>1</v>
      </c>
      <c r="CN55" s="1867">
        <f t="shared" si="11"/>
        <v>1</v>
      </c>
      <c r="CO55" s="1867">
        <f t="shared" si="11"/>
        <v>1</v>
      </c>
      <c r="CP55" s="1868"/>
      <c r="CQ55" s="1867">
        <f t="shared" si="12"/>
        <v>1</v>
      </c>
      <c r="CR55" s="1867">
        <f t="shared" si="12"/>
        <v>1</v>
      </c>
    </row>
    <row r="56" spans="1:96" x14ac:dyDescent="0.25">
      <c r="A56" s="5818">
        <v>19185900</v>
      </c>
      <c r="B56" s="6842"/>
      <c r="C56" s="516" t="s">
        <v>99</v>
      </c>
      <c r="D56" s="623" t="s">
        <v>4567</v>
      </c>
      <c r="E56" s="3994" t="s">
        <v>4568</v>
      </c>
      <c r="F56" s="4101" t="s">
        <v>4569</v>
      </c>
      <c r="G56" s="1871" t="s">
        <v>4570</v>
      </c>
      <c r="H56" s="4104" t="s">
        <v>4571</v>
      </c>
      <c r="I56" s="874" t="s">
        <v>4572</v>
      </c>
      <c r="J56" s="3416" t="s">
        <v>4573</v>
      </c>
      <c r="K56" s="874" t="s">
        <v>4574</v>
      </c>
      <c r="L56" s="324" t="s">
        <v>4575</v>
      </c>
      <c r="M56" s="874" t="s">
        <v>4576</v>
      </c>
      <c r="N56" s="324" t="s">
        <v>4577</v>
      </c>
      <c r="O56" s="874" t="s">
        <v>4578</v>
      </c>
      <c r="P56" s="324" t="s">
        <v>4579</v>
      </c>
      <c r="Q56" s="874" t="s">
        <v>4580</v>
      </c>
      <c r="R56" s="324" t="s">
        <v>4581</v>
      </c>
      <c r="S56" s="874" t="s">
        <v>4582</v>
      </c>
      <c r="T56" s="324" t="s">
        <v>4583</v>
      </c>
      <c r="U56" s="874" t="s">
        <v>4584</v>
      </c>
      <c r="V56" s="324" t="s">
        <v>4585</v>
      </c>
      <c r="W56" s="874" t="s">
        <v>4586</v>
      </c>
      <c r="X56" s="324" t="s">
        <v>4587</v>
      </c>
      <c r="Y56" s="874" t="s">
        <v>4588</v>
      </c>
      <c r="Z56" s="324" t="s">
        <v>4589</v>
      </c>
      <c r="AA56" s="874" t="s">
        <v>4590</v>
      </c>
      <c r="AB56" s="324" t="s">
        <v>4591</v>
      </c>
      <c r="AC56" s="874" t="s">
        <v>4592</v>
      </c>
      <c r="AD56" s="324" t="s">
        <v>4593</v>
      </c>
      <c r="AE56" s="874" t="s">
        <v>4594</v>
      </c>
      <c r="AF56" s="324" t="s">
        <v>4595</v>
      </c>
      <c r="AG56" s="874" t="s">
        <v>4596</v>
      </c>
      <c r="AH56" s="324" t="s">
        <v>4597</v>
      </c>
      <c r="AI56" s="874" t="s">
        <v>4598</v>
      </c>
      <c r="AJ56" s="324" t="s">
        <v>4599</v>
      </c>
      <c r="AK56" s="874" t="s">
        <v>4600</v>
      </c>
      <c r="AL56" s="324" t="s">
        <v>4601</v>
      </c>
      <c r="AM56" s="4105" t="s">
        <v>4602</v>
      </c>
      <c r="AN56" s="325" t="s">
        <v>4603</v>
      </c>
      <c r="AO56" s="2286" t="s">
        <v>4604</v>
      </c>
      <c r="AP56" s="4039" t="s">
        <v>4605</v>
      </c>
      <c r="AQ56" s="854" t="s">
        <v>4606</v>
      </c>
      <c r="AR56" s="1920" t="s">
        <v>4934</v>
      </c>
      <c r="AS56" s="1920" t="s">
        <v>4935</v>
      </c>
      <c r="AT56" s="4097" t="s">
        <v>4936</v>
      </c>
      <c r="AU56" s="3968" t="s">
        <v>4937</v>
      </c>
      <c r="AV56" s="3968" t="s">
        <v>5234</v>
      </c>
      <c r="AW56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6" s="1865" t="str">
        <f t="shared" si="1"/>
        <v xml:space="preserve">* El Número de Espacios Amigables no puede superar el Total. </v>
      </c>
      <c r="CC56" s="1865" t="str">
        <f t="shared" si="2"/>
        <v xml:space="preserve">* El Número de TRANS Masculino no puede superar el Total Mujeres. </v>
      </c>
      <c r="CD56" s="1865" t="str">
        <f t="shared" si="3"/>
        <v xml:space="preserve">* El Número de TRANS Femenino no puede superar el Total Hombres. </v>
      </c>
      <c r="CE56" s="1865" t="str">
        <f t="shared" si="4"/>
        <v xml:space="preserve">* El Número de Pueblos Originarios no puede superar el Total. </v>
      </c>
      <c r="CF56" s="1865" t="str">
        <f t="shared" si="5"/>
        <v xml:space="preserve">* El Número de Migrantes no puede superar el Total. </v>
      </c>
      <c r="CG56" s="1866"/>
      <c r="CH56" s="1865" t="str">
        <f t="shared" si="6"/>
        <v xml:space="preserve">* El Número de Niños, Niñas, Adolescentes y Jóvenes SENAME no puede superar el Total. </v>
      </c>
      <c r="CI56" s="1865" t="str">
        <f t="shared" si="7"/>
        <v xml:space="preserve">* El Número de Niños, Niñas, Adolescentes y Jóvenes Mejor Niñez no puede superar el Total. </v>
      </c>
      <c r="CJ56" s="1936"/>
      <c r="CK56" s="1867">
        <f t="shared" si="8"/>
        <v>1</v>
      </c>
      <c r="CL56" s="1867">
        <f t="shared" si="9"/>
        <v>1</v>
      </c>
      <c r="CM56" s="1867">
        <f t="shared" si="10"/>
        <v>1</v>
      </c>
      <c r="CN56" s="1867">
        <f t="shared" si="11"/>
        <v>1</v>
      </c>
      <c r="CO56" s="1867">
        <f t="shared" si="11"/>
        <v>1</v>
      </c>
      <c r="CP56" s="1868"/>
      <c r="CQ56" s="1867">
        <f t="shared" si="12"/>
        <v>1</v>
      </c>
      <c r="CR56" s="1867">
        <f t="shared" si="12"/>
        <v>1</v>
      </c>
    </row>
    <row r="57" spans="1:96" x14ac:dyDescent="0.25">
      <c r="A57" s="5818">
        <v>19120601</v>
      </c>
      <c r="B57" s="7164" t="s">
        <v>2070</v>
      </c>
      <c r="C57" s="3365" t="s">
        <v>64</v>
      </c>
      <c r="D57" s="3225" t="s">
        <v>4567</v>
      </c>
      <c r="E57" s="3972" t="s">
        <v>4568</v>
      </c>
      <c r="F57" s="4085" t="s">
        <v>4569</v>
      </c>
      <c r="G57" s="3950" t="s">
        <v>4570</v>
      </c>
      <c r="H57" s="4102" t="s">
        <v>4571</v>
      </c>
      <c r="I57" s="3950" t="s">
        <v>4572</v>
      </c>
      <c r="J57" s="4102" t="s">
        <v>4573</v>
      </c>
      <c r="K57" s="3927" t="s">
        <v>4574</v>
      </c>
      <c r="L57" s="3929" t="s">
        <v>4575</v>
      </c>
      <c r="M57" s="3927" t="s">
        <v>4576</v>
      </c>
      <c r="N57" s="3929" t="s">
        <v>4577</v>
      </c>
      <c r="O57" s="3927" t="s">
        <v>4578</v>
      </c>
      <c r="P57" s="3929" t="s">
        <v>4579</v>
      </c>
      <c r="Q57" s="3927" t="s">
        <v>4580</v>
      </c>
      <c r="R57" s="3929" t="s">
        <v>4581</v>
      </c>
      <c r="S57" s="3927" t="s">
        <v>4582</v>
      </c>
      <c r="T57" s="3929" t="s">
        <v>4583</v>
      </c>
      <c r="U57" s="3927" t="s">
        <v>4584</v>
      </c>
      <c r="V57" s="3929" t="s">
        <v>4585</v>
      </c>
      <c r="W57" s="3927" t="s">
        <v>4586</v>
      </c>
      <c r="X57" s="3929" t="s">
        <v>4587</v>
      </c>
      <c r="Y57" s="3927" t="s">
        <v>4588</v>
      </c>
      <c r="Z57" s="3929" t="s">
        <v>4589</v>
      </c>
      <c r="AA57" s="3927" t="s">
        <v>4590</v>
      </c>
      <c r="AB57" s="3929" t="s">
        <v>4591</v>
      </c>
      <c r="AC57" s="3927" t="s">
        <v>4592</v>
      </c>
      <c r="AD57" s="3929" t="s">
        <v>4593</v>
      </c>
      <c r="AE57" s="3927" t="s">
        <v>4594</v>
      </c>
      <c r="AF57" s="3929" t="s">
        <v>4595</v>
      </c>
      <c r="AG57" s="3927" t="s">
        <v>4596</v>
      </c>
      <c r="AH57" s="3929" t="s">
        <v>4597</v>
      </c>
      <c r="AI57" s="3927" t="s">
        <v>4598</v>
      </c>
      <c r="AJ57" s="3929" t="s">
        <v>4599</v>
      </c>
      <c r="AK57" s="3927" t="s">
        <v>4600</v>
      </c>
      <c r="AL57" s="3929" t="s">
        <v>4601</v>
      </c>
      <c r="AM57" s="4087" t="s">
        <v>4602</v>
      </c>
      <c r="AN57" s="4088" t="s">
        <v>4603</v>
      </c>
      <c r="AO57" s="2035" t="s">
        <v>4604</v>
      </c>
      <c r="AP57" s="4090" t="s">
        <v>4605</v>
      </c>
      <c r="AQ57" s="4086" t="s">
        <v>4606</v>
      </c>
      <c r="AR57" s="4107" t="s">
        <v>4934</v>
      </c>
      <c r="AS57" s="4107" t="s">
        <v>4935</v>
      </c>
      <c r="AT57" s="4107" t="s">
        <v>4936</v>
      </c>
      <c r="AU57" s="4107" t="s">
        <v>4937</v>
      </c>
      <c r="AV57" s="4107" t="s">
        <v>5234</v>
      </c>
      <c r="AW57" s="1864" t="str">
        <f>$CB57&amp;$CC57&amp;CD57&amp;CE57&amp;CF57&amp;CG57&amp;CH57&amp;CI57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7" s="1865" t="str">
        <f t="shared" si="1"/>
        <v xml:space="preserve">* El Número de Espacios Amigables no puede superar el Total. </v>
      </c>
      <c r="CC57" s="1865" t="str">
        <f t="shared" si="2"/>
        <v xml:space="preserve">* El Número de TRANS Masculino no puede superar el Total Mujeres. </v>
      </c>
      <c r="CD57" s="1865" t="str">
        <f t="shared" si="3"/>
        <v xml:space="preserve">* El Número de TRANS Femenino no puede superar el Total Hombres. </v>
      </c>
      <c r="CE57" s="1865" t="str">
        <f t="shared" si="4"/>
        <v xml:space="preserve">* El Número de Pueblos Originarios no puede superar el Total. </v>
      </c>
      <c r="CF57" s="1865" t="str">
        <f>IF(AND($D57&lt;&gt;0,AS57=""),"* No olvide ingresar la columna Migrantes (Digite CERO si no tiene).  ",IF(AS57&gt;$D57,"* El Número de Migrantes no puede superar el Total. ",""))</f>
        <v xml:space="preserve">* El Número de Migrantes no puede superar el Total. </v>
      </c>
      <c r="CG57" s="4108" t="str">
        <f>IF(AND(SUM(K57:N57)&gt;0,AT57=""),"* No olvide digitar la variable 14-18 años. Si no tiene digite Cero.",IF(AT57&gt;SUM(K57:N57),"* La variable 14-18 años no puede ser mayor al total por grupo edad de 10 a 19 años. ",""))</f>
        <v xml:space="preserve">* La variable 14-18 años no puede ser mayor al total por grupo edad de 10 a 19 años. </v>
      </c>
      <c r="CH57" s="1865" t="str">
        <f t="shared" si="6"/>
        <v xml:space="preserve">* El Número de Niños, Niñas, Adolescentes y Jóvenes SENAME no puede superar el Total. </v>
      </c>
      <c r="CI57" s="1865" t="str">
        <f t="shared" si="7"/>
        <v xml:space="preserve">* El Número de Niños, Niñas, Adolescentes y Jóvenes Mejor Niñez no puede superar el Total. </v>
      </c>
      <c r="CJ57" s="1936"/>
      <c r="CK57" s="1867">
        <f t="shared" si="8"/>
        <v>1</v>
      </c>
      <c r="CL57" s="1867">
        <f t="shared" si="9"/>
        <v>1</v>
      </c>
      <c r="CM57" s="1867">
        <f t="shared" si="10"/>
        <v>1</v>
      </c>
      <c r="CN57" s="1867">
        <f t="shared" si="11"/>
        <v>1</v>
      </c>
      <c r="CO57" s="1867">
        <f t="shared" si="11"/>
        <v>1</v>
      </c>
      <c r="CP57" s="3906">
        <f>IF(AND(SUM(K57:N57)&gt;0,AT57=""),1,IF(AT57&gt;SUM(K57:N57),1,0))</f>
        <v>1</v>
      </c>
      <c r="CQ57" s="1867">
        <f t="shared" si="12"/>
        <v>1</v>
      </c>
      <c r="CR57" s="1867">
        <f t="shared" si="12"/>
        <v>1</v>
      </c>
    </row>
    <row r="58" spans="1:96" x14ac:dyDescent="0.25">
      <c r="A58" s="5818">
        <v>19120602</v>
      </c>
      <c r="B58" s="6058"/>
      <c r="C58" s="4093" t="s">
        <v>98</v>
      </c>
      <c r="D58" s="3908" t="s">
        <v>4567</v>
      </c>
      <c r="E58" s="3978" t="s">
        <v>4568</v>
      </c>
      <c r="F58" s="4094" t="s">
        <v>4569</v>
      </c>
      <c r="G58" s="1890" t="s">
        <v>4570</v>
      </c>
      <c r="H58" s="4103" t="s">
        <v>4571</v>
      </c>
      <c r="I58" s="1890" t="s">
        <v>4572</v>
      </c>
      <c r="J58" s="4103" t="s">
        <v>4573</v>
      </c>
      <c r="K58" s="3913" t="s">
        <v>4574</v>
      </c>
      <c r="L58" s="1969" t="s">
        <v>4575</v>
      </c>
      <c r="M58" s="3913" t="s">
        <v>4576</v>
      </c>
      <c r="N58" s="1969" t="s">
        <v>4577</v>
      </c>
      <c r="O58" s="3913" t="s">
        <v>4578</v>
      </c>
      <c r="P58" s="1969" t="s">
        <v>4579</v>
      </c>
      <c r="Q58" s="3913" t="s">
        <v>4580</v>
      </c>
      <c r="R58" s="1969" t="s">
        <v>4581</v>
      </c>
      <c r="S58" s="3913" t="s">
        <v>4582</v>
      </c>
      <c r="T58" s="1969" t="s">
        <v>4583</v>
      </c>
      <c r="U58" s="3913" t="s">
        <v>4584</v>
      </c>
      <c r="V58" s="1969" t="s">
        <v>4585</v>
      </c>
      <c r="W58" s="3913" t="s">
        <v>4586</v>
      </c>
      <c r="X58" s="1969" t="s">
        <v>4587</v>
      </c>
      <c r="Y58" s="3913" t="s">
        <v>4588</v>
      </c>
      <c r="Z58" s="1969" t="s">
        <v>4589</v>
      </c>
      <c r="AA58" s="3913" t="s">
        <v>4590</v>
      </c>
      <c r="AB58" s="1969" t="s">
        <v>4591</v>
      </c>
      <c r="AC58" s="3913" t="s">
        <v>4592</v>
      </c>
      <c r="AD58" s="1969" t="s">
        <v>4593</v>
      </c>
      <c r="AE58" s="3913" t="s">
        <v>4594</v>
      </c>
      <c r="AF58" s="1969" t="s">
        <v>4595</v>
      </c>
      <c r="AG58" s="3913" t="s">
        <v>4596</v>
      </c>
      <c r="AH58" s="1969" t="s">
        <v>4597</v>
      </c>
      <c r="AI58" s="3913" t="s">
        <v>4598</v>
      </c>
      <c r="AJ58" s="1969" t="s">
        <v>4599</v>
      </c>
      <c r="AK58" s="3913" t="s">
        <v>4600</v>
      </c>
      <c r="AL58" s="1969" t="s">
        <v>4601</v>
      </c>
      <c r="AM58" s="4095" t="s">
        <v>4602</v>
      </c>
      <c r="AN58" s="331" t="s">
        <v>4603</v>
      </c>
      <c r="AO58" s="4096" t="s">
        <v>4604</v>
      </c>
      <c r="AP58" s="3904" t="s">
        <v>4605</v>
      </c>
      <c r="AQ58" s="329" t="s">
        <v>4606</v>
      </c>
      <c r="AR58" s="3968" t="s">
        <v>4934</v>
      </c>
      <c r="AS58" s="3968" t="s">
        <v>4935</v>
      </c>
      <c r="AT58" s="3968" t="s">
        <v>4936</v>
      </c>
      <c r="AU58" s="3968" t="s">
        <v>4937</v>
      </c>
      <c r="AV58" s="3968" t="s">
        <v>5234</v>
      </c>
      <c r="AW58" s="1864" t="str">
        <f t="shared" ref="AW58:AW89" si="26">$CB58&amp;$CC58&amp;CD58&amp;CE58&amp;CF58&amp;CG58&amp;CH58&amp;CI58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8" s="1865" t="str">
        <f t="shared" si="1"/>
        <v xml:space="preserve">* El Número de Espacios Amigables no puede superar el Total. </v>
      </c>
      <c r="CC58" s="1865" t="str">
        <f t="shared" si="2"/>
        <v xml:space="preserve">* El Número de TRANS Masculino no puede superar el Total Mujeres. </v>
      </c>
      <c r="CD58" s="1865" t="str">
        <f t="shared" si="3"/>
        <v xml:space="preserve">* El Número de TRANS Femenino no puede superar el Total Hombres. </v>
      </c>
      <c r="CE58" s="1865" t="str">
        <f t="shared" si="4"/>
        <v xml:space="preserve">* El Número de Pueblos Originarios no puede superar el Total. </v>
      </c>
      <c r="CF58" s="1865" t="str">
        <f t="shared" si="5"/>
        <v xml:space="preserve">* El Número de Migrantes no puede superar el Total. </v>
      </c>
      <c r="CG58" s="4108" t="str">
        <f t="shared" ref="CG58:CG89" si="27">IF(AND(SUM(K58:N58)&gt;0,AT58=""),"* No olvide digitar la variable 14-18 años. Si no tiene digite Cero.",IF(AT58&gt;SUM(K58:N58),"* La variable 14-18 años no puede ser mayor al total por grupo edad de 10 a 19 años. ",""))</f>
        <v xml:space="preserve">* La variable 14-18 años no puede ser mayor al total por grupo edad de 10 a 19 años. </v>
      </c>
      <c r="CH58" s="1865" t="str">
        <f t="shared" si="6"/>
        <v xml:space="preserve">* El Número de Niños, Niñas, Adolescentes y Jóvenes SENAME no puede superar el Total. </v>
      </c>
      <c r="CI58" s="1865" t="str">
        <f t="shared" si="7"/>
        <v xml:space="preserve">* El Número de Niños, Niñas, Adolescentes y Jóvenes Mejor Niñez no puede superar el Total. </v>
      </c>
      <c r="CJ58" s="1936"/>
      <c r="CK58" s="1867">
        <f t="shared" si="8"/>
        <v>1</v>
      </c>
      <c r="CL58" s="1867">
        <f t="shared" si="9"/>
        <v>1</v>
      </c>
      <c r="CM58" s="1867">
        <f t="shared" si="10"/>
        <v>1</v>
      </c>
      <c r="CN58" s="1867">
        <f t="shared" si="11"/>
        <v>1</v>
      </c>
      <c r="CO58" s="1867">
        <f t="shared" si="11"/>
        <v>1</v>
      </c>
      <c r="CP58" s="3906">
        <f t="shared" ref="CP58:CP89" si="28">IF(AND(SUM(K58:N58)&gt;0,AT58=""),1,IF(AT58&gt;SUM(K58:N58),1,0))</f>
        <v>1</v>
      </c>
      <c r="CQ58" s="1867">
        <f t="shared" si="12"/>
        <v>1</v>
      </c>
      <c r="CR58" s="1867">
        <f t="shared" si="12"/>
        <v>1</v>
      </c>
    </row>
    <row r="59" spans="1:96" x14ac:dyDescent="0.25">
      <c r="A59" s="5818">
        <v>19120603</v>
      </c>
      <c r="B59" s="6058"/>
      <c r="C59" s="4093" t="s">
        <v>65</v>
      </c>
      <c r="D59" s="3908" t="s">
        <v>4567</v>
      </c>
      <c r="E59" s="3978" t="s">
        <v>4568</v>
      </c>
      <c r="F59" s="4094" t="s">
        <v>4569</v>
      </c>
      <c r="G59" s="1890" t="s">
        <v>4570</v>
      </c>
      <c r="H59" s="4103" t="s">
        <v>4571</v>
      </c>
      <c r="I59" s="1890" t="s">
        <v>4572</v>
      </c>
      <c r="J59" s="4103" t="s">
        <v>4573</v>
      </c>
      <c r="K59" s="3913" t="s">
        <v>4574</v>
      </c>
      <c r="L59" s="1969" t="s">
        <v>4575</v>
      </c>
      <c r="M59" s="3913" t="s">
        <v>4576</v>
      </c>
      <c r="N59" s="1969" t="s">
        <v>4577</v>
      </c>
      <c r="O59" s="3913" t="s">
        <v>4578</v>
      </c>
      <c r="P59" s="1969" t="s">
        <v>4579</v>
      </c>
      <c r="Q59" s="3913" t="s">
        <v>4580</v>
      </c>
      <c r="R59" s="1969" t="s">
        <v>4581</v>
      </c>
      <c r="S59" s="3913" t="s">
        <v>4582</v>
      </c>
      <c r="T59" s="1969" t="s">
        <v>4583</v>
      </c>
      <c r="U59" s="3913" t="s">
        <v>4584</v>
      </c>
      <c r="V59" s="1969" t="s">
        <v>4585</v>
      </c>
      <c r="W59" s="3913" t="s">
        <v>4586</v>
      </c>
      <c r="X59" s="1969" t="s">
        <v>4587</v>
      </c>
      <c r="Y59" s="3913" t="s">
        <v>4588</v>
      </c>
      <c r="Z59" s="1969" t="s">
        <v>4589</v>
      </c>
      <c r="AA59" s="3913" t="s">
        <v>4590</v>
      </c>
      <c r="AB59" s="1969" t="s">
        <v>4591</v>
      </c>
      <c r="AC59" s="3913" t="s">
        <v>4592</v>
      </c>
      <c r="AD59" s="1969" t="s">
        <v>4593</v>
      </c>
      <c r="AE59" s="3913" t="s">
        <v>4594</v>
      </c>
      <c r="AF59" s="1969" t="s">
        <v>4595</v>
      </c>
      <c r="AG59" s="3913" t="s">
        <v>4596</v>
      </c>
      <c r="AH59" s="1969" t="s">
        <v>4597</v>
      </c>
      <c r="AI59" s="3913" t="s">
        <v>4598</v>
      </c>
      <c r="AJ59" s="1969" t="s">
        <v>4599</v>
      </c>
      <c r="AK59" s="3913" t="s">
        <v>4600</v>
      </c>
      <c r="AL59" s="1969" t="s">
        <v>4601</v>
      </c>
      <c r="AM59" s="4095" t="s">
        <v>4602</v>
      </c>
      <c r="AN59" s="331" t="s">
        <v>4603</v>
      </c>
      <c r="AO59" s="4096" t="s">
        <v>4604</v>
      </c>
      <c r="AP59" s="3904" t="s">
        <v>4605</v>
      </c>
      <c r="AQ59" s="329" t="s">
        <v>4606</v>
      </c>
      <c r="AR59" s="3968" t="s">
        <v>4934</v>
      </c>
      <c r="AS59" s="3968" t="s">
        <v>4935</v>
      </c>
      <c r="AT59" s="3968" t="s">
        <v>4936</v>
      </c>
      <c r="AU59" s="3968" t="s">
        <v>4937</v>
      </c>
      <c r="AV59" s="3968" t="s">
        <v>5234</v>
      </c>
      <c r="AW59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9" s="1865" t="str">
        <f t="shared" si="1"/>
        <v xml:space="preserve">* El Número de Espacios Amigables no puede superar el Total. </v>
      </c>
      <c r="CC59" s="1865" t="str">
        <f t="shared" si="2"/>
        <v xml:space="preserve">* El Número de TRANS Masculino no puede superar el Total Mujeres. </v>
      </c>
      <c r="CD59" s="1865" t="str">
        <f t="shared" si="3"/>
        <v xml:space="preserve">* El Número de TRANS Femenino no puede superar el Total Hombres. </v>
      </c>
      <c r="CE59" s="1865" t="str">
        <f t="shared" si="4"/>
        <v xml:space="preserve">* El Número de Pueblos Originarios no puede superar el Total. </v>
      </c>
      <c r="CF59" s="1865" t="str">
        <f t="shared" si="5"/>
        <v xml:space="preserve">* El Número de Migrantes no puede superar el Total. </v>
      </c>
      <c r="CG59" s="4108" t="str">
        <f t="shared" si="27"/>
        <v xml:space="preserve">* La variable 14-18 años no puede ser mayor al total por grupo edad de 10 a 19 años. </v>
      </c>
      <c r="CH59" s="1865" t="str">
        <f t="shared" si="6"/>
        <v xml:space="preserve">* El Número de Niños, Niñas, Adolescentes y Jóvenes SENAME no puede superar el Total. </v>
      </c>
      <c r="CI59" s="1865" t="str">
        <f t="shared" si="7"/>
        <v xml:space="preserve">* El Número de Niños, Niñas, Adolescentes y Jóvenes Mejor Niñez no puede superar el Total. </v>
      </c>
      <c r="CJ59" s="1936"/>
      <c r="CK59" s="1867">
        <f t="shared" si="8"/>
        <v>1</v>
      </c>
      <c r="CL59" s="1867">
        <f t="shared" si="9"/>
        <v>1</v>
      </c>
      <c r="CM59" s="1867">
        <f t="shared" si="10"/>
        <v>1</v>
      </c>
      <c r="CN59" s="1867">
        <f t="shared" si="11"/>
        <v>1</v>
      </c>
      <c r="CO59" s="1867">
        <f t="shared" si="11"/>
        <v>1</v>
      </c>
      <c r="CP59" s="3906">
        <f t="shared" si="28"/>
        <v>1</v>
      </c>
      <c r="CQ59" s="1867">
        <f t="shared" si="12"/>
        <v>1</v>
      </c>
      <c r="CR59" s="1867">
        <f t="shared" si="12"/>
        <v>1</v>
      </c>
    </row>
    <row r="60" spans="1:96" x14ac:dyDescent="0.25">
      <c r="A60" s="5818">
        <v>19120608</v>
      </c>
      <c r="B60" s="6058"/>
      <c r="C60" s="4093" t="s">
        <v>1034</v>
      </c>
      <c r="D60" s="3908" t="s">
        <v>4567</v>
      </c>
      <c r="E60" s="3978" t="s">
        <v>4568</v>
      </c>
      <c r="F60" s="4094" t="s">
        <v>4569</v>
      </c>
      <c r="G60" s="1890" t="s">
        <v>4570</v>
      </c>
      <c r="H60" s="4103" t="s">
        <v>4571</v>
      </c>
      <c r="I60" s="1890" t="s">
        <v>4572</v>
      </c>
      <c r="J60" s="4103" t="s">
        <v>4573</v>
      </c>
      <c r="K60" s="3913" t="s">
        <v>4574</v>
      </c>
      <c r="L60" s="1969" t="s">
        <v>4575</v>
      </c>
      <c r="M60" s="3913" t="s">
        <v>4576</v>
      </c>
      <c r="N60" s="1969" t="s">
        <v>4577</v>
      </c>
      <c r="O60" s="3913" t="s">
        <v>4578</v>
      </c>
      <c r="P60" s="1969" t="s">
        <v>4579</v>
      </c>
      <c r="Q60" s="3913" t="s">
        <v>4580</v>
      </c>
      <c r="R60" s="1969" t="s">
        <v>4581</v>
      </c>
      <c r="S60" s="3913" t="s">
        <v>4582</v>
      </c>
      <c r="T60" s="1969" t="s">
        <v>4583</v>
      </c>
      <c r="U60" s="3913" t="s">
        <v>4584</v>
      </c>
      <c r="V60" s="1969" t="s">
        <v>4585</v>
      </c>
      <c r="W60" s="3913" t="s">
        <v>4586</v>
      </c>
      <c r="X60" s="1969" t="s">
        <v>4587</v>
      </c>
      <c r="Y60" s="3913" t="s">
        <v>4588</v>
      </c>
      <c r="Z60" s="1969" t="s">
        <v>4589</v>
      </c>
      <c r="AA60" s="3913" t="s">
        <v>4590</v>
      </c>
      <c r="AB60" s="1969" t="s">
        <v>4591</v>
      </c>
      <c r="AC60" s="3913" t="s">
        <v>4592</v>
      </c>
      <c r="AD60" s="1969" t="s">
        <v>4593</v>
      </c>
      <c r="AE60" s="3913" t="s">
        <v>4594</v>
      </c>
      <c r="AF60" s="1969" t="s">
        <v>4595</v>
      </c>
      <c r="AG60" s="3913" t="s">
        <v>4596</v>
      </c>
      <c r="AH60" s="1969" t="s">
        <v>4597</v>
      </c>
      <c r="AI60" s="3913" t="s">
        <v>4598</v>
      </c>
      <c r="AJ60" s="1969" t="s">
        <v>4599</v>
      </c>
      <c r="AK60" s="3913" t="s">
        <v>4600</v>
      </c>
      <c r="AL60" s="1969" t="s">
        <v>4601</v>
      </c>
      <c r="AM60" s="4095" t="s">
        <v>4602</v>
      </c>
      <c r="AN60" s="331" t="s">
        <v>4603</v>
      </c>
      <c r="AO60" s="4096" t="s">
        <v>4604</v>
      </c>
      <c r="AP60" s="3904" t="s">
        <v>4605</v>
      </c>
      <c r="AQ60" s="329" t="s">
        <v>4606</v>
      </c>
      <c r="AR60" s="3968" t="s">
        <v>4934</v>
      </c>
      <c r="AS60" s="3968" t="s">
        <v>4935</v>
      </c>
      <c r="AT60" s="3968" t="s">
        <v>4936</v>
      </c>
      <c r="AU60" s="3968" t="s">
        <v>4937</v>
      </c>
      <c r="AV60" s="3968" t="s">
        <v>5234</v>
      </c>
      <c r="AW60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0" s="1865" t="str">
        <f t="shared" si="1"/>
        <v xml:space="preserve">* El Número de Espacios Amigables no puede superar el Total. </v>
      </c>
      <c r="CC60" s="1865" t="str">
        <f t="shared" si="2"/>
        <v xml:space="preserve">* El Número de TRANS Masculino no puede superar el Total Mujeres. </v>
      </c>
      <c r="CD60" s="1865" t="str">
        <f t="shared" si="3"/>
        <v xml:space="preserve">* El Número de TRANS Femenino no puede superar el Total Hombres. </v>
      </c>
      <c r="CE60" s="1865" t="str">
        <f t="shared" si="4"/>
        <v xml:space="preserve">* El Número de Pueblos Originarios no puede superar el Total. </v>
      </c>
      <c r="CF60" s="1865" t="str">
        <f t="shared" si="5"/>
        <v xml:space="preserve">* El Número de Migrantes no puede superar el Total. </v>
      </c>
      <c r="CG60" s="4108" t="str">
        <f t="shared" si="27"/>
        <v xml:space="preserve">* La variable 14-18 años no puede ser mayor al total por grupo edad de 10 a 19 años. </v>
      </c>
      <c r="CH60" s="1865" t="str">
        <f t="shared" si="6"/>
        <v xml:space="preserve">* El Número de Niños, Niñas, Adolescentes y Jóvenes SENAME no puede superar el Total. </v>
      </c>
      <c r="CI60" s="1865" t="str">
        <f t="shared" si="7"/>
        <v xml:space="preserve">* El Número de Niños, Niñas, Adolescentes y Jóvenes Mejor Niñez no puede superar el Total. </v>
      </c>
      <c r="CJ60" s="1936"/>
      <c r="CK60" s="1867">
        <f t="shared" si="8"/>
        <v>1</v>
      </c>
      <c r="CL60" s="1867">
        <f t="shared" si="9"/>
        <v>1</v>
      </c>
      <c r="CM60" s="1867">
        <f t="shared" si="10"/>
        <v>1</v>
      </c>
      <c r="CN60" s="1867">
        <f t="shared" si="11"/>
        <v>1</v>
      </c>
      <c r="CO60" s="1867">
        <f t="shared" si="11"/>
        <v>1</v>
      </c>
      <c r="CP60" s="3906">
        <f t="shared" si="28"/>
        <v>1</v>
      </c>
      <c r="CQ60" s="1867">
        <f t="shared" si="12"/>
        <v>1</v>
      </c>
      <c r="CR60" s="1867">
        <f t="shared" si="12"/>
        <v>1</v>
      </c>
    </row>
    <row r="61" spans="1:96" x14ac:dyDescent="0.25">
      <c r="A61" s="5818">
        <v>19120609</v>
      </c>
      <c r="B61" s="6058"/>
      <c r="C61" s="3977" t="s">
        <v>2065</v>
      </c>
      <c r="D61" s="231" t="s">
        <v>4567</v>
      </c>
      <c r="E61" s="3978" t="s">
        <v>4568</v>
      </c>
      <c r="F61" s="4099" t="s">
        <v>4569</v>
      </c>
      <c r="G61" s="1890" t="s">
        <v>4570</v>
      </c>
      <c r="H61" s="4103" t="s">
        <v>4571</v>
      </c>
      <c r="I61" s="1890" t="s">
        <v>4572</v>
      </c>
      <c r="J61" s="4103" t="s">
        <v>4573</v>
      </c>
      <c r="K61" s="212" t="s">
        <v>4574</v>
      </c>
      <c r="L61" s="1136" t="s">
        <v>4575</v>
      </c>
      <c r="M61" s="212" t="s">
        <v>4576</v>
      </c>
      <c r="N61" s="1136" t="s">
        <v>4577</v>
      </c>
      <c r="O61" s="212" t="s">
        <v>4578</v>
      </c>
      <c r="P61" s="1136" t="s">
        <v>4579</v>
      </c>
      <c r="Q61" s="212" t="s">
        <v>4580</v>
      </c>
      <c r="R61" s="1136" t="s">
        <v>4581</v>
      </c>
      <c r="S61" s="212" t="s">
        <v>4582</v>
      </c>
      <c r="T61" s="1136" t="s">
        <v>4583</v>
      </c>
      <c r="U61" s="212" t="s">
        <v>4584</v>
      </c>
      <c r="V61" s="1136" t="s">
        <v>4585</v>
      </c>
      <c r="W61" s="212" t="s">
        <v>4586</v>
      </c>
      <c r="X61" s="1136" t="s">
        <v>4587</v>
      </c>
      <c r="Y61" s="212" t="s">
        <v>4588</v>
      </c>
      <c r="Z61" s="1136" t="s">
        <v>4589</v>
      </c>
      <c r="AA61" s="212" t="s">
        <v>4590</v>
      </c>
      <c r="AB61" s="1136" t="s">
        <v>4591</v>
      </c>
      <c r="AC61" s="212" t="s">
        <v>4592</v>
      </c>
      <c r="AD61" s="1136" t="s">
        <v>4593</v>
      </c>
      <c r="AE61" s="212" t="s">
        <v>4594</v>
      </c>
      <c r="AF61" s="1136" t="s">
        <v>4595</v>
      </c>
      <c r="AG61" s="212" t="s">
        <v>4596</v>
      </c>
      <c r="AH61" s="1136" t="s">
        <v>4597</v>
      </c>
      <c r="AI61" s="212" t="s">
        <v>4598</v>
      </c>
      <c r="AJ61" s="1136" t="s">
        <v>4599</v>
      </c>
      <c r="AK61" s="212" t="s">
        <v>4600</v>
      </c>
      <c r="AL61" s="1136" t="s">
        <v>4601</v>
      </c>
      <c r="AM61" s="2210" t="s">
        <v>4602</v>
      </c>
      <c r="AN61" s="2410" t="s">
        <v>4603</v>
      </c>
      <c r="AO61" s="4096" t="s">
        <v>4604</v>
      </c>
      <c r="AP61" s="1137" t="s">
        <v>4605</v>
      </c>
      <c r="AQ61" s="34" t="s">
        <v>4606</v>
      </c>
      <c r="AR61" s="4109" t="s">
        <v>4934</v>
      </c>
      <c r="AS61" s="4109" t="s">
        <v>4935</v>
      </c>
      <c r="AT61" s="4109" t="s">
        <v>4936</v>
      </c>
      <c r="AU61" s="4109" t="s">
        <v>4937</v>
      </c>
      <c r="AV61" s="4109" t="s">
        <v>5234</v>
      </c>
      <c r="AW61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1" s="1865" t="str">
        <f t="shared" si="1"/>
        <v xml:space="preserve">* El Número de Espacios Amigables no puede superar el Total. </v>
      </c>
      <c r="CC61" s="1865" t="str">
        <f t="shared" si="2"/>
        <v xml:space="preserve">* El Número de TRANS Masculino no puede superar el Total Mujeres. </v>
      </c>
      <c r="CD61" s="1865" t="str">
        <f t="shared" si="3"/>
        <v xml:space="preserve">* El Número de TRANS Femenino no puede superar el Total Hombres. </v>
      </c>
      <c r="CE61" s="1865" t="str">
        <f t="shared" si="4"/>
        <v xml:space="preserve">* El Número de Pueblos Originarios no puede superar el Total. </v>
      </c>
      <c r="CF61" s="1865" t="str">
        <f t="shared" si="5"/>
        <v xml:space="preserve">* El Número de Migrantes no puede superar el Total. </v>
      </c>
      <c r="CG61" s="4108" t="str">
        <f t="shared" si="27"/>
        <v xml:space="preserve">* La variable 14-18 años no puede ser mayor al total por grupo edad de 10 a 19 años. </v>
      </c>
      <c r="CH61" s="1865" t="str">
        <f t="shared" si="6"/>
        <v xml:space="preserve">* El Número de Niños, Niñas, Adolescentes y Jóvenes SENAME no puede superar el Total. </v>
      </c>
      <c r="CI61" s="1865" t="str">
        <f t="shared" si="7"/>
        <v xml:space="preserve">* El Número de Niños, Niñas, Adolescentes y Jóvenes Mejor Niñez no puede superar el Total. </v>
      </c>
      <c r="CJ61" s="1936"/>
      <c r="CK61" s="1867">
        <f t="shared" si="8"/>
        <v>1</v>
      </c>
      <c r="CL61" s="1867">
        <f t="shared" si="9"/>
        <v>1</v>
      </c>
      <c r="CM61" s="1867">
        <f t="shared" si="10"/>
        <v>1</v>
      </c>
      <c r="CN61" s="1867">
        <f t="shared" si="11"/>
        <v>1</v>
      </c>
      <c r="CO61" s="1867">
        <f t="shared" si="11"/>
        <v>1</v>
      </c>
      <c r="CP61" s="3906">
        <f t="shared" si="28"/>
        <v>1</v>
      </c>
      <c r="CQ61" s="1867">
        <f t="shared" si="12"/>
        <v>1</v>
      </c>
      <c r="CR61" s="1867">
        <f t="shared" si="12"/>
        <v>1</v>
      </c>
    </row>
    <row r="62" spans="1:96" x14ac:dyDescent="0.25">
      <c r="A62" s="5818">
        <v>19120611</v>
      </c>
      <c r="B62" s="6842"/>
      <c r="C62" s="516" t="s">
        <v>2064</v>
      </c>
      <c r="D62" s="623" t="s">
        <v>4567</v>
      </c>
      <c r="E62" s="3994" t="s">
        <v>4568</v>
      </c>
      <c r="F62" s="4101" t="s">
        <v>4569</v>
      </c>
      <c r="G62" s="1871" t="s">
        <v>4570</v>
      </c>
      <c r="H62" s="1986" t="s">
        <v>4571</v>
      </c>
      <c r="I62" s="1871" t="s">
        <v>4572</v>
      </c>
      <c r="J62" s="1986" t="s">
        <v>4573</v>
      </c>
      <c r="K62" s="853" t="s">
        <v>4574</v>
      </c>
      <c r="L62" s="1975" t="s">
        <v>4575</v>
      </c>
      <c r="M62" s="853" t="s">
        <v>4576</v>
      </c>
      <c r="N62" s="1975" t="s">
        <v>4577</v>
      </c>
      <c r="O62" s="853" t="s">
        <v>4578</v>
      </c>
      <c r="P62" s="1975" t="s">
        <v>4579</v>
      </c>
      <c r="Q62" s="853" t="s">
        <v>4580</v>
      </c>
      <c r="R62" s="1975" t="s">
        <v>4581</v>
      </c>
      <c r="S62" s="853" t="s">
        <v>4582</v>
      </c>
      <c r="T62" s="1975" t="s">
        <v>4583</v>
      </c>
      <c r="U62" s="853" t="s">
        <v>4584</v>
      </c>
      <c r="V62" s="1975" t="s">
        <v>4585</v>
      </c>
      <c r="W62" s="853" t="s">
        <v>4586</v>
      </c>
      <c r="X62" s="1975" t="s">
        <v>4587</v>
      </c>
      <c r="Y62" s="853" t="s">
        <v>4588</v>
      </c>
      <c r="Z62" s="1975" t="s">
        <v>4589</v>
      </c>
      <c r="AA62" s="853" t="s">
        <v>4590</v>
      </c>
      <c r="AB62" s="1975" t="s">
        <v>4591</v>
      </c>
      <c r="AC62" s="853" t="s">
        <v>4592</v>
      </c>
      <c r="AD62" s="1975" t="s">
        <v>4593</v>
      </c>
      <c r="AE62" s="853" t="s">
        <v>4594</v>
      </c>
      <c r="AF62" s="1975" t="s">
        <v>4595</v>
      </c>
      <c r="AG62" s="853" t="s">
        <v>4596</v>
      </c>
      <c r="AH62" s="1975" t="s">
        <v>4597</v>
      </c>
      <c r="AI62" s="853" t="s">
        <v>4598</v>
      </c>
      <c r="AJ62" s="1975" t="s">
        <v>4599</v>
      </c>
      <c r="AK62" s="853" t="s">
        <v>4600</v>
      </c>
      <c r="AL62" s="1975" t="s">
        <v>4601</v>
      </c>
      <c r="AM62" s="2015" t="s">
        <v>4602</v>
      </c>
      <c r="AN62" s="1919" t="s">
        <v>4603</v>
      </c>
      <c r="AO62" s="2286" t="s">
        <v>4604</v>
      </c>
      <c r="AP62" s="1877" t="s">
        <v>4605</v>
      </c>
      <c r="AQ62" s="854" t="s">
        <v>4606</v>
      </c>
      <c r="AR62" s="1920" t="s">
        <v>4934</v>
      </c>
      <c r="AS62" s="1920" t="s">
        <v>4935</v>
      </c>
      <c r="AT62" s="1920" t="s">
        <v>4936</v>
      </c>
      <c r="AU62" s="1920" t="s">
        <v>4937</v>
      </c>
      <c r="AV62" s="1920" t="s">
        <v>5234</v>
      </c>
      <c r="AW62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2" s="1865" t="str">
        <f t="shared" si="1"/>
        <v xml:space="preserve">* El Número de Espacios Amigables no puede superar el Total. </v>
      </c>
      <c r="CC62" s="1865" t="str">
        <f t="shared" si="2"/>
        <v xml:space="preserve">* El Número de TRANS Masculino no puede superar el Total Mujeres. </v>
      </c>
      <c r="CD62" s="1865" t="str">
        <f t="shared" si="3"/>
        <v xml:space="preserve">* El Número de TRANS Femenino no puede superar el Total Hombres. </v>
      </c>
      <c r="CE62" s="1865" t="str">
        <f t="shared" si="4"/>
        <v xml:space="preserve">* El Número de Pueblos Originarios no puede superar el Total. </v>
      </c>
      <c r="CF62" s="1865" t="str">
        <f t="shared" si="5"/>
        <v xml:space="preserve">* El Número de Migrantes no puede superar el Total. </v>
      </c>
      <c r="CG62" s="4108" t="str">
        <f t="shared" si="27"/>
        <v xml:space="preserve">* La variable 14-18 años no puede ser mayor al total por grupo edad de 10 a 19 años. </v>
      </c>
      <c r="CH62" s="1865" t="str">
        <f t="shared" si="6"/>
        <v xml:space="preserve">* El Número de Niños, Niñas, Adolescentes y Jóvenes SENAME no puede superar el Total. </v>
      </c>
      <c r="CI62" s="1865" t="str">
        <f t="shared" si="7"/>
        <v xml:space="preserve">* El Número de Niños, Niñas, Adolescentes y Jóvenes Mejor Niñez no puede superar el Total. </v>
      </c>
      <c r="CJ62" s="1936"/>
      <c r="CK62" s="1867">
        <f t="shared" si="8"/>
        <v>1</v>
      </c>
      <c r="CL62" s="1867">
        <f t="shared" si="9"/>
        <v>1</v>
      </c>
      <c r="CM62" s="1867">
        <f t="shared" si="10"/>
        <v>1</v>
      </c>
      <c r="CN62" s="1867">
        <f t="shared" si="11"/>
        <v>1</v>
      </c>
      <c r="CO62" s="1867">
        <f t="shared" si="11"/>
        <v>1</v>
      </c>
      <c r="CP62" s="3906">
        <f t="shared" si="28"/>
        <v>1</v>
      </c>
      <c r="CQ62" s="1867">
        <f t="shared" si="12"/>
        <v>1</v>
      </c>
      <c r="CR62" s="1867">
        <f t="shared" si="12"/>
        <v>1</v>
      </c>
    </row>
    <row r="63" spans="1:96" x14ac:dyDescent="0.25">
      <c r="A63" s="5818">
        <v>19182010</v>
      </c>
      <c r="B63" s="7164" t="s">
        <v>2071</v>
      </c>
      <c r="C63" s="3365" t="s">
        <v>64</v>
      </c>
      <c r="D63" s="3225" t="s">
        <v>4567</v>
      </c>
      <c r="E63" s="3972" t="s">
        <v>4568</v>
      </c>
      <c r="F63" s="4085" t="s">
        <v>4569</v>
      </c>
      <c r="G63" s="3950" t="s">
        <v>4570</v>
      </c>
      <c r="H63" s="4102" t="s">
        <v>4571</v>
      </c>
      <c r="I63" s="3950" t="s">
        <v>4572</v>
      </c>
      <c r="J63" s="4102" t="s">
        <v>4573</v>
      </c>
      <c r="K63" s="3927" t="s">
        <v>4574</v>
      </c>
      <c r="L63" s="3929" t="s">
        <v>4575</v>
      </c>
      <c r="M63" s="3927" t="s">
        <v>4576</v>
      </c>
      <c r="N63" s="3929" t="s">
        <v>4577</v>
      </c>
      <c r="O63" s="3927" t="s">
        <v>4578</v>
      </c>
      <c r="P63" s="3929" t="s">
        <v>4579</v>
      </c>
      <c r="Q63" s="3927" t="s">
        <v>4580</v>
      </c>
      <c r="R63" s="3929" t="s">
        <v>4581</v>
      </c>
      <c r="S63" s="3927" t="s">
        <v>4582</v>
      </c>
      <c r="T63" s="3929" t="s">
        <v>4583</v>
      </c>
      <c r="U63" s="3927" t="s">
        <v>4584</v>
      </c>
      <c r="V63" s="3929" t="s">
        <v>4585</v>
      </c>
      <c r="W63" s="3927" t="s">
        <v>4586</v>
      </c>
      <c r="X63" s="3929" t="s">
        <v>4587</v>
      </c>
      <c r="Y63" s="3927" t="s">
        <v>4588</v>
      </c>
      <c r="Z63" s="3929" t="s">
        <v>4589</v>
      </c>
      <c r="AA63" s="3927" t="s">
        <v>4590</v>
      </c>
      <c r="AB63" s="3929" t="s">
        <v>4591</v>
      </c>
      <c r="AC63" s="3913" t="s">
        <v>4592</v>
      </c>
      <c r="AD63" s="1969" t="s">
        <v>4593</v>
      </c>
      <c r="AE63" s="3914" t="s">
        <v>4594</v>
      </c>
      <c r="AF63" s="2308" t="s">
        <v>4595</v>
      </c>
      <c r="AG63" s="3940" t="s">
        <v>4596</v>
      </c>
      <c r="AH63" s="1008" t="s">
        <v>4597</v>
      </c>
      <c r="AI63" s="3940" t="s">
        <v>4598</v>
      </c>
      <c r="AJ63" s="1008" t="s">
        <v>4599</v>
      </c>
      <c r="AK63" s="3940" t="s">
        <v>4600</v>
      </c>
      <c r="AL63" s="1008" t="s">
        <v>4601</v>
      </c>
      <c r="AM63" s="4110" t="s">
        <v>4602</v>
      </c>
      <c r="AN63" s="989" t="s">
        <v>4603</v>
      </c>
      <c r="AO63" s="2035" t="s">
        <v>4604</v>
      </c>
      <c r="AP63" s="3953" t="s">
        <v>4605</v>
      </c>
      <c r="AQ63" s="3930" t="s">
        <v>4606</v>
      </c>
      <c r="AR63" s="4091" t="s">
        <v>4934</v>
      </c>
      <c r="AS63" s="4091" t="s">
        <v>4935</v>
      </c>
      <c r="AT63" s="4091" t="s">
        <v>4936</v>
      </c>
      <c r="AU63" s="4091" t="s">
        <v>4937</v>
      </c>
      <c r="AV63" s="4091" t="s">
        <v>5234</v>
      </c>
      <c r="AW63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3" s="1865" t="str">
        <f t="shared" si="1"/>
        <v xml:space="preserve">* El Número de Espacios Amigables no puede superar el Total. </v>
      </c>
      <c r="CC63" s="1865" t="str">
        <f t="shared" si="2"/>
        <v xml:space="preserve">* El Número de TRANS Masculino no puede superar el Total Mujeres. </v>
      </c>
      <c r="CD63" s="1865" t="str">
        <f t="shared" si="3"/>
        <v xml:space="preserve">* El Número de TRANS Femenino no puede superar el Total Hombres. </v>
      </c>
      <c r="CE63" s="1865" t="str">
        <f t="shared" si="4"/>
        <v xml:space="preserve">* El Número de Pueblos Originarios no puede superar el Total. </v>
      </c>
      <c r="CF63" s="1865" t="str">
        <f t="shared" si="5"/>
        <v xml:space="preserve">* El Número de Migrantes no puede superar el Total. </v>
      </c>
      <c r="CG63" s="4108" t="str">
        <f t="shared" si="27"/>
        <v xml:space="preserve">* La variable 14-18 años no puede ser mayor al total por grupo edad de 10 a 19 años. </v>
      </c>
      <c r="CH63" s="1865" t="str">
        <f t="shared" si="6"/>
        <v xml:space="preserve">* El Número de Niños, Niñas, Adolescentes y Jóvenes SENAME no puede superar el Total. </v>
      </c>
      <c r="CI63" s="1865" t="str">
        <f t="shared" si="7"/>
        <v xml:space="preserve">* El Número de Niños, Niñas, Adolescentes y Jóvenes Mejor Niñez no puede superar el Total. </v>
      </c>
      <c r="CJ63" s="1936"/>
      <c r="CK63" s="1867">
        <f t="shared" si="8"/>
        <v>1</v>
      </c>
      <c r="CL63" s="1867">
        <f t="shared" si="9"/>
        <v>1</v>
      </c>
      <c r="CM63" s="1867">
        <f t="shared" si="10"/>
        <v>1</v>
      </c>
      <c r="CN63" s="1867">
        <f t="shared" si="11"/>
        <v>1</v>
      </c>
      <c r="CO63" s="1867">
        <f t="shared" si="11"/>
        <v>1</v>
      </c>
      <c r="CP63" s="3906">
        <f t="shared" si="28"/>
        <v>1</v>
      </c>
      <c r="CQ63" s="1867">
        <f t="shared" si="12"/>
        <v>1</v>
      </c>
      <c r="CR63" s="1867">
        <f t="shared" si="12"/>
        <v>1</v>
      </c>
    </row>
    <row r="64" spans="1:96" x14ac:dyDescent="0.25">
      <c r="A64" s="5818">
        <v>19182020</v>
      </c>
      <c r="B64" s="6058"/>
      <c r="C64" s="4093" t="s">
        <v>65</v>
      </c>
      <c r="D64" s="3908" t="s">
        <v>4567</v>
      </c>
      <c r="E64" s="3978" t="s">
        <v>4568</v>
      </c>
      <c r="F64" s="4094" t="s">
        <v>4569</v>
      </c>
      <c r="G64" s="1890" t="s">
        <v>4570</v>
      </c>
      <c r="H64" s="4103" t="s">
        <v>4571</v>
      </c>
      <c r="I64" s="1890" t="s">
        <v>4572</v>
      </c>
      <c r="J64" s="4103" t="s">
        <v>4573</v>
      </c>
      <c r="K64" s="3913" t="s">
        <v>4574</v>
      </c>
      <c r="L64" s="1969" t="s">
        <v>4575</v>
      </c>
      <c r="M64" s="3913" t="s">
        <v>4576</v>
      </c>
      <c r="N64" s="1969" t="s">
        <v>4577</v>
      </c>
      <c r="O64" s="3913" t="s">
        <v>4578</v>
      </c>
      <c r="P64" s="1969" t="s">
        <v>4579</v>
      </c>
      <c r="Q64" s="3913" t="s">
        <v>4580</v>
      </c>
      <c r="R64" s="1969" t="s">
        <v>4581</v>
      </c>
      <c r="S64" s="3913" t="s">
        <v>4582</v>
      </c>
      <c r="T64" s="1969" t="s">
        <v>4583</v>
      </c>
      <c r="U64" s="3913" t="s">
        <v>4584</v>
      </c>
      <c r="V64" s="1969" t="s">
        <v>4585</v>
      </c>
      <c r="W64" s="3913" t="s">
        <v>4586</v>
      </c>
      <c r="X64" s="1969" t="s">
        <v>4587</v>
      </c>
      <c r="Y64" s="3913" t="s">
        <v>4588</v>
      </c>
      <c r="Z64" s="1969" t="s">
        <v>4589</v>
      </c>
      <c r="AA64" s="3913" t="s">
        <v>4590</v>
      </c>
      <c r="AB64" s="1969" t="s">
        <v>4591</v>
      </c>
      <c r="AC64" s="3913" t="s">
        <v>4592</v>
      </c>
      <c r="AD64" s="1969" t="s">
        <v>4593</v>
      </c>
      <c r="AE64" s="3914" t="s">
        <v>4594</v>
      </c>
      <c r="AF64" s="2308" t="s">
        <v>4595</v>
      </c>
      <c r="AG64" s="3909" t="s">
        <v>4596</v>
      </c>
      <c r="AH64" s="1968" t="s">
        <v>4597</v>
      </c>
      <c r="AI64" s="3909" t="s">
        <v>4598</v>
      </c>
      <c r="AJ64" s="1968" t="s">
        <v>4599</v>
      </c>
      <c r="AK64" s="3909" t="s">
        <v>4600</v>
      </c>
      <c r="AL64" s="1968" t="s">
        <v>4601</v>
      </c>
      <c r="AM64" s="4111" t="s">
        <v>4602</v>
      </c>
      <c r="AN64" s="2021" t="s">
        <v>4603</v>
      </c>
      <c r="AO64" s="4096" t="s">
        <v>4604</v>
      </c>
      <c r="AP64" s="3904" t="s">
        <v>4605</v>
      </c>
      <c r="AQ64" s="329" t="s">
        <v>4606</v>
      </c>
      <c r="AR64" s="3968" t="s">
        <v>4934</v>
      </c>
      <c r="AS64" s="3968" t="s">
        <v>4935</v>
      </c>
      <c r="AT64" s="3968" t="s">
        <v>4936</v>
      </c>
      <c r="AU64" s="3968" t="s">
        <v>4937</v>
      </c>
      <c r="AV64" s="3968" t="s">
        <v>5234</v>
      </c>
      <c r="AW64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4" s="1865" t="str">
        <f t="shared" si="1"/>
        <v xml:space="preserve">* El Número de Espacios Amigables no puede superar el Total. </v>
      </c>
      <c r="CC64" s="1865" t="str">
        <f t="shared" si="2"/>
        <v xml:space="preserve">* El Número de TRANS Masculino no puede superar el Total Mujeres. </v>
      </c>
      <c r="CD64" s="1865" t="str">
        <f t="shared" si="3"/>
        <v xml:space="preserve">* El Número de TRANS Femenino no puede superar el Total Hombres. </v>
      </c>
      <c r="CE64" s="1865" t="str">
        <f t="shared" si="4"/>
        <v xml:space="preserve">* El Número de Pueblos Originarios no puede superar el Total. </v>
      </c>
      <c r="CF64" s="1865" t="str">
        <f t="shared" si="5"/>
        <v xml:space="preserve">* El Número de Migrantes no puede superar el Total. </v>
      </c>
      <c r="CG64" s="4108" t="str">
        <f t="shared" si="27"/>
        <v xml:space="preserve">* La variable 14-18 años no puede ser mayor al total por grupo edad de 10 a 19 años. </v>
      </c>
      <c r="CH64" s="1865" t="str">
        <f t="shared" si="6"/>
        <v xml:space="preserve">* El Número de Niños, Niñas, Adolescentes y Jóvenes SENAME no puede superar el Total. </v>
      </c>
      <c r="CI64" s="1865" t="str">
        <f t="shared" si="7"/>
        <v xml:space="preserve">* El Número de Niños, Niñas, Adolescentes y Jóvenes Mejor Niñez no puede superar el Total. </v>
      </c>
      <c r="CJ64" s="1936"/>
      <c r="CK64" s="1867">
        <f t="shared" si="8"/>
        <v>1</v>
      </c>
      <c r="CL64" s="1867">
        <f t="shared" si="9"/>
        <v>1</v>
      </c>
      <c r="CM64" s="1867">
        <f t="shared" si="10"/>
        <v>1</v>
      </c>
      <c r="CN64" s="1867">
        <f t="shared" si="11"/>
        <v>1</v>
      </c>
      <c r="CO64" s="1867">
        <f t="shared" si="11"/>
        <v>1</v>
      </c>
      <c r="CP64" s="3906">
        <f t="shared" si="28"/>
        <v>1</v>
      </c>
      <c r="CQ64" s="1867">
        <f t="shared" si="12"/>
        <v>1</v>
      </c>
      <c r="CR64" s="1867">
        <f t="shared" si="12"/>
        <v>1</v>
      </c>
    </row>
    <row r="65" spans="1:96" x14ac:dyDescent="0.25">
      <c r="A65" s="5818">
        <v>19182021</v>
      </c>
      <c r="B65" s="6058"/>
      <c r="C65" s="24" t="s">
        <v>2065</v>
      </c>
      <c r="D65" s="3908" t="s">
        <v>4567</v>
      </c>
      <c r="E65" s="3978" t="s">
        <v>4568</v>
      </c>
      <c r="F65" s="4099" t="s">
        <v>4569</v>
      </c>
      <c r="G65" s="1890" t="s">
        <v>4570</v>
      </c>
      <c r="H65" s="4103" t="s">
        <v>4571</v>
      </c>
      <c r="I65" s="1890" t="s">
        <v>4572</v>
      </c>
      <c r="J65" s="4103" t="s">
        <v>4573</v>
      </c>
      <c r="K65" s="212" t="s">
        <v>4574</v>
      </c>
      <c r="L65" s="1136" t="s">
        <v>4575</v>
      </c>
      <c r="M65" s="212" t="s">
        <v>4576</v>
      </c>
      <c r="N65" s="1136" t="s">
        <v>4577</v>
      </c>
      <c r="O65" s="212" t="s">
        <v>4578</v>
      </c>
      <c r="P65" s="1136" t="s">
        <v>4579</v>
      </c>
      <c r="Q65" s="212" t="s">
        <v>4580</v>
      </c>
      <c r="R65" s="1136" t="s">
        <v>4581</v>
      </c>
      <c r="S65" s="212" t="s">
        <v>4582</v>
      </c>
      <c r="T65" s="1136" t="s">
        <v>4583</v>
      </c>
      <c r="U65" s="212" t="s">
        <v>4584</v>
      </c>
      <c r="V65" s="1136" t="s">
        <v>4585</v>
      </c>
      <c r="W65" s="212" t="s">
        <v>4586</v>
      </c>
      <c r="X65" s="1136" t="s">
        <v>4587</v>
      </c>
      <c r="Y65" s="212" t="s">
        <v>4588</v>
      </c>
      <c r="Z65" s="1136" t="s">
        <v>4589</v>
      </c>
      <c r="AA65" s="212" t="s">
        <v>4590</v>
      </c>
      <c r="AB65" s="1136" t="s">
        <v>4591</v>
      </c>
      <c r="AC65" s="3913" t="s">
        <v>4592</v>
      </c>
      <c r="AD65" s="1969" t="s">
        <v>4593</v>
      </c>
      <c r="AE65" s="3914" t="s">
        <v>4594</v>
      </c>
      <c r="AF65" s="2308" t="s">
        <v>4595</v>
      </c>
      <c r="AG65" s="1890" t="s">
        <v>4596</v>
      </c>
      <c r="AH65" s="4112" t="s">
        <v>4597</v>
      </c>
      <c r="AI65" s="1890" t="s">
        <v>4598</v>
      </c>
      <c r="AJ65" s="4112" t="s">
        <v>4599</v>
      </c>
      <c r="AK65" s="1890" t="s">
        <v>4600</v>
      </c>
      <c r="AL65" s="4112" t="s">
        <v>4601</v>
      </c>
      <c r="AM65" s="4113" t="s">
        <v>4602</v>
      </c>
      <c r="AN65" s="1893" t="s">
        <v>4603</v>
      </c>
      <c r="AO65" s="4096" t="s">
        <v>4604</v>
      </c>
      <c r="AP65" s="1137" t="s">
        <v>4605</v>
      </c>
      <c r="AQ65" s="34" t="s">
        <v>4606</v>
      </c>
      <c r="AR65" s="4109" t="s">
        <v>4934</v>
      </c>
      <c r="AS65" s="4109" t="s">
        <v>4935</v>
      </c>
      <c r="AT65" s="4109" t="s">
        <v>4936</v>
      </c>
      <c r="AU65" s="4109" t="s">
        <v>4937</v>
      </c>
      <c r="AV65" s="4109" t="s">
        <v>5234</v>
      </c>
      <c r="AW65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5" s="1865" t="str">
        <f t="shared" si="1"/>
        <v xml:space="preserve">* El Número de Espacios Amigables no puede superar el Total. </v>
      </c>
      <c r="CC65" s="1865" t="str">
        <f t="shared" si="2"/>
        <v xml:space="preserve">* El Número de TRANS Masculino no puede superar el Total Mujeres. </v>
      </c>
      <c r="CD65" s="1865" t="str">
        <f t="shared" si="3"/>
        <v xml:space="preserve">* El Número de TRANS Femenino no puede superar el Total Hombres. </v>
      </c>
      <c r="CE65" s="1865" t="str">
        <f t="shared" si="4"/>
        <v xml:space="preserve">* El Número de Pueblos Originarios no puede superar el Total. </v>
      </c>
      <c r="CF65" s="1865" t="str">
        <f t="shared" si="5"/>
        <v xml:space="preserve">* El Número de Migrantes no puede superar el Total. </v>
      </c>
      <c r="CG65" s="4108" t="str">
        <f t="shared" si="27"/>
        <v xml:space="preserve">* La variable 14-18 años no puede ser mayor al total por grupo edad de 10 a 19 años. </v>
      </c>
      <c r="CH65" s="1865" t="str">
        <f t="shared" si="6"/>
        <v xml:space="preserve">* El Número de Niños, Niñas, Adolescentes y Jóvenes SENAME no puede superar el Total. </v>
      </c>
      <c r="CI65" s="1865" t="str">
        <f t="shared" si="7"/>
        <v xml:space="preserve">* El Número de Niños, Niñas, Adolescentes y Jóvenes Mejor Niñez no puede superar el Total. </v>
      </c>
      <c r="CJ65" s="1936"/>
      <c r="CK65" s="1867">
        <f t="shared" si="8"/>
        <v>1</v>
      </c>
      <c r="CL65" s="1867">
        <f t="shared" si="9"/>
        <v>1</v>
      </c>
      <c r="CM65" s="1867">
        <f t="shared" si="10"/>
        <v>1</v>
      </c>
      <c r="CN65" s="1867">
        <f t="shared" si="11"/>
        <v>1</v>
      </c>
      <c r="CO65" s="1867">
        <f t="shared" si="11"/>
        <v>1</v>
      </c>
      <c r="CP65" s="3906">
        <f t="shared" si="28"/>
        <v>1</v>
      </c>
      <c r="CQ65" s="1867">
        <f t="shared" si="12"/>
        <v>1</v>
      </c>
      <c r="CR65" s="1867">
        <f t="shared" si="12"/>
        <v>1</v>
      </c>
    </row>
    <row r="66" spans="1:96" x14ac:dyDescent="0.25">
      <c r="A66" s="5818">
        <v>19182030</v>
      </c>
      <c r="B66" s="6842"/>
      <c r="C66" s="516" t="s">
        <v>2064</v>
      </c>
      <c r="D66" s="623" t="s">
        <v>4567</v>
      </c>
      <c r="E66" s="3994" t="s">
        <v>4568</v>
      </c>
      <c r="F66" s="4101" t="s">
        <v>4569</v>
      </c>
      <c r="G66" s="1871" t="s">
        <v>4570</v>
      </c>
      <c r="H66" s="1986" t="s">
        <v>4571</v>
      </c>
      <c r="I66" s="1871" t="s">
        <v>4572</v>
      </c>
      <c r="J66" s="1986" t="s">
        <v>4573</v>
      </c>
      <c r="K66" s="853" t="s">
        <v>4574</v>
      </c>
      <c r="L66" s="1975" t="s">
        <v>4575</v>
      </c>
      <c r="M66" s="853" t="s">
        <v>4576</v>
      </c>
      <c r="N66" s="1975" t="s">
        <v>4577</v>
      </c>
      <c r="O66" s="853" t="s">
        <v>4578</v>
      </c>
      <c r="P66" s="1975" t="s">
        <v>4579</v>
      </c>
      <c r="Q66" s="853" t="s">
        <v>4580</v>
      </c>
      <c r="R66" s="1975" t="s">
        <v>4581</v>
      </c>
      <c r="S66" s="853" t="s">
        <v>4582</v>
      </c>
      <c r="T66" s="1975" t="s">
        <v>4583</v>
      </c>
      <c r="U66" s="853" t="s">
        <v>4584</v>
      </c>
      <c r="V66" s="1975" t="s">
        <v>4585</v>
      </c>
      <c r="W66" s="853" t="s">
        <v>4586</v>
      </c>
      <c r="X66" s="1975" t="s">
        <v>4587</v>
      </c>
      <c r="Y66" s="853" t="s">
        <v>4588</v>
      </c>
      <c r="Z66" s="1975" t="s">
        <v>4589</v>
      </c>
      <c r="AA66" s="853" t="s">
        <v>4590</v>
      </c>
      <c r="AB66" s="1975" t="s">
        <v>4591</v>
      </c>
      <c r="AC66" s="3913" t="s">
        <v>4592</v>
      </c>
      <c r="AD66" s="1969" t="s">
        <v>4593</v>
      </c>
      <c r="AE66" s="3914" t="s">
        <v>4594</v>
      </c>
      <c r="AF66" s="2308" t="s">
        <v>4595</v>
      </c>
      <c r="AG66" s="1871" t="s">
        <v>4596</v>
      </c>
      <c r="AH66" s="1987" t="s">
        <v>4597</v>
      </c>
      <c r="AI66" s="1871" t="s">
        <v>4598</v>
      </c>
      <c r="AJ66" s="1987" t="s">
        <v>4599</v>
      </c>
      <c r="AK66" s="1871" t="s">
        <v>4600</v>
      </c>
      <c r="AL66" s="1987" t="s">
        <v>4601</v>
      </c>
      <c r="AM66" s="2025" t="s">
        <v>4602</v>
      </c>
      <c r="AN66" s="1876" t="s">
        <v>4603</v>
      </c>
      <c r="AO66" s="2286" t="s">
        <v>4604</v>
      </c>
      <c r="AP66" s="1877" t="s">
        <v>4605</v>
      </c>
      <c r="AQ66" s="854" t="s">
        <v>4606</v>
      </c>
      <c r="AR66" s="1920" t="s">
        <v>4934</v>
      </c>
      <c r="AS66" s="1920" t="s">
        <v>4935</v>
      </c>
      <c r="AT66" s="1920" t="s">
        <v>4936</v>
      </c>
      <c r="AU66" s="1920" t="s">
        <v>4937</v>
      </c>
      <c r="AV66" s="1920" t="s">
        <v>5234</v>
      </c>
      <c r="AW66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6" s="1865" t="str">
        <f t="shared" si="1"/>
        <v xml:space="preserve">* El Número de Espacios Amigables no puede superar el Total. </v>
      </c>
      <c r="CC66" s="1865" t="str">
        <f t="shared" si="2"/>
        <v xml:space="preserve">* El Número de TRANS Masculino no puede superar el Total Mujeres. </v>
      </c>
      <c r="CD66" s="1865" t="str">
        <f t="shared" si="3"/>
        <v xml:space="preserve">* El Número de TRANS Femenino no puede superar el Total Hombres. </v>
      </c>
      <c r="CE66" s="1865" t="str">
        <f t="shared" si="4"/>
        <v xml:space="preserve">* El Número de Pueblos Originarios no puede superar el Total. </v>
      </c>
      <c r="CF66" s="1865" t="str">
        <f t="shared" si="5"/>
        <v xml:space="preserve">* El Número de Migrantes no puede superar el Total. </v>
      </c>
      <c r="CG66" s="4108" t="str">
        <f t="shared" si="27"/>
        <v xml:space="preserve">* La variable 14-18 años no puede ser mayor al total por grupo edad de 10 a 19 años. </v>
      </c>
      <c r="CH66" s="1865" t="str">
        <f t="shared" si="6"/>
        <v xml:space="preserve">* El Número de Niños, Niñas, Adolescentes y Jóvenes SENAME no puede superar el Total. </v>
      </c>
      <c r="CI66" s="1865" t="str">
        <f t="shared" si="7"/>
        <v xml:space="preserve">* El Número de Niños, Niñas, Adolescentes y Jóvenes Mejor Niñez no puede superar el Total. </v>
      </c>
      <c r="CJ66" s="1936"/>
      <c r="CK66" s="1867">
        <f t="shared" si="8"/>
        <v>1</v>
      </c>
      <c r="CL66" s="1867">
        <f t="shared" si="9"/>
        <v>1</v>
      </c>
      <c r="CM66" s="1867">
        <f t="shared" si="10"/>
        <v>1</v>
      </c>
      <c r="CN66" s="1867">
        <f t="shared" si="11"/>
        <v>1</v>
      </c>
      <c r="CO66" s="1867">
        <f t="shared" si="11"/>
        <v>1</v>
      </c>
      <c r="CP66" s="3906">
        <f t="shared" si="28"/>
        <v>1</v>
      </c>
      <c r="CQ66" s="1867">
        <f t="shared" si="12"/>
        <v>1</v>
      </c>
      <c r="CR66" s="1867">
        <f t="shared" si="12"/>
        <v>1</v>
      </c>
    </row>
    <row r="67" spans="1:96" x14ac:dyDescent="0.25">
      <c r="A67" s="5818">
        <v>19120701</v>
      </c>
      <c r="B67" s="7164" t="s">
        <v>2072</v>
      </c>
      <c r="C67" s="3365" t="s">
        <v>64</v>
      </c>
      <c r="D67" s="3225" t="s">
        <v>4567</v>
      </c>
      <c r="E67" s="3972" t="s">
        <v>4568</v>
      </c>
      <c r="F67" s="4085" t="s">
        <v>4569</v>
      </c>
      <c r="G67" s="3950" t="s">
        <v>4570</v>
      </c>
      <c r="H67" s="4102" t="s">
        <v>4571</v>
      </c>
      <c r="I67" s="3950" t="s">
        <v>4572</v>
      </c>
      <c r="J67" s="4102" t="s">
        <v>4573</v>
      </c>
      <c r="K67" s="3927" t="s">
        <v>4574</v>
      </c>
      <c r="L67" s="3929" t="s">
        <v>4575</v>
      </c>
      <c r="M67" s="3927" t="s">
        <v>4576</v>
      </c>
      <c r="N67" s="3929" t="s">
        <v>4577</v>
      </c>
      <c r="O67" s="3927" t="s">
        <v>4578</v>
      </c>
      <c r="P67" s="3929" t="s">
        <v>4579</v>
      </c>
      <c r="Q67" s="3927" t="s">
        <v>4580</v>
      </c>
      <c r="R67" s="3929" t="s">
        <v>4581</v>
      </c>
      <c r="S67" s="3927" t="s">
        <v>4582</v>
      </c>
      <c r="T67" s="3929" t="s">
        <v>4583</v>
      </c>
      <c r="U67" s="3927" t="s">
        <v>4584</v>
      </c>
      <c r="V67" s="3929" t="s">
        <v>4585</v>
      </c>
      <c r="W67" s="3927" t="s">
        <v>4586</v>
      </c>
      <c r="X67" s="3929" t="s">
        <v>4587</v>
      </c>
      <c r="Y67" s="3927" t="s">
        <v>4588</v>
      </c>
      <c r="Z67" s="3929" t="s">
        <v>4589</v>
      </c>
      <c r="AA67" s="3927" t="s">
        <v>4590</v>
      </c>
      <c r="AB67" s="3929" t="s">
        <v>4591</v>
      </c>
      <c r="AC67" s="3927" t="s">
        <v>4592</v>
      </c>
      <c r="AD67" s="3929" t="s">
        <v>4593</v>
      </c>
      <c r="AE67" s="3927" t="s">
        <v>4594</v>
      </c>
      <c r="AF67" s="3929" t="s">
        <v>4595</v>
      </c>
      <c r="AG67" s="3927" t="s">
        <v>4596</v>
      </c>
      <c r="AH67" s="3929" t="s">
        <v>4597</v>
      </c>
      <c r="AI67" s="3927" t="s">
        <v>4598</v>
      </c>
      <c r="AJ67" s="3929" t="s">
        <v>4599</v>
      </c>
      <c r="AK67" s="3927" t="s">
        <v>4600</v>
      </c>
      <c r="AL67" s="3929" t="s">
        <v>4601</v>
      </c>
      <c r="AM67" s="4087" t="s">
        <v>4602</v>
      </c>
      <c r="AN67" s="4088" t="s">
        <v>4603</v>
      </c>
      <c r="AO67" s="2035" t="s">
        <v>4604</v>
      </c>
      <c r="AP67" s="3953" t="s">
        <v>4605</v>
      </c>
      <c r="AQ67" s="3930" t="s">
        <v>4606</v>
      </c>
      <c r="AR67" s="4091" t="s">
        <v>4934</v>
      </c>
      <c r="AS67" s="4091" t="s">
        <v>4935</v>
      </c>
      <c r="AT67" s="4091" t="s">
        <v>4936</v>
      </c>
      <c r="AU67" s="4091" t="s">
        <v>4937</v>
      </c>
      <c r="AV67" s="4091" t="s">
        <v>5234</v>
      </c>
      <c r="AW67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7" s="1865" t="str">
        <f t="shared" si="1"/>
        <v xml:space="preserve">* El Número de Espacios Amigables no puede superar el Total. </v>
      </c>
      <c r="CC67" s="1865" t="str">
        <f t="shared" si="2"/>
        <v xml:space="preserve">* El Número de TRANS Masculino no puede superar el Total Mujeres. </v>
      </c>
      <c r="CD67" s="1865" t="str">
        <f t="shared" si="3"/>
        <v xml:space="preserve">* El Número de TRANS Femenino no puede superar el Total Hombres. </v>
      </c>
      <c r="CE67" s="1865" t="str">
        <f t="shared" si="4"/>
        <v xml:space="preserve">* El Número de Pueblos Originarios no puede superar el Total. </v>
      </c>
      <c r="CF67" s="1865" t="str">
        <f t="shared" si="5"/>
        <v xml:space="preserve">* El Número de Migrantes no puede superar el Total. </v>
      </c>
      <c r="CG67" s="4108" t="str">
        <f t="shared" si="27"/>
        <v xml:space="preserve">* La variable 14-18 años no puede ser mayor al total por grupo edad de 10 a 19 años. </v>
      </c>
      <c r="CH67" s="1865" t="str">
        <f t="shared" si="6"/>
        <v xml:space="preserve">* El Número de Niños, Niñas, Adolescentes y Jóvenes SENAME no puede superar el Total. </v>
      </c>
      <c r="CI67" s="1865" t="str">
        <f t="shared" si="7"/>
        <v xml:space="preserve">* El Número de Niños, Niñas, Adolescentes y Jóvenes Mejor Niñez no puede superar el Total. </v>
      </c>
      <c r="CJ67" s="1936"/>
      <c r="CK67" s="1867">
        <f t="shared" si="8"/>
        <v>1</v>
      </c>
      <c r="CL67" s="1867">
        <f t="shared" si="9"/>
        <v>1</v>
      </c>
      <c r="CM67" s="1867">
        <f t="shared" si="10"/>
        <v>1</v>
      </c>
      <c r="CN67" s="1867">
        <f t="shared" si="11"/>
        <v>1</v>
      </c>
      <c r="CO67" s="1867">
        <f t="shared" si="11"/>
        <v>1</v>
      </c>
      <c r="CP67" s="3906">
        <f t="shared" si="28"/>
        <v>1</v>
      </c>
      <c r="CQ67" s="1867">
        <f t="shared" si="12"/>
        <v>1</v>
      </c>
      <c r="CR67" s="1867">
        <f t="shared" si="12"/>
        <v>1</v>
      </c>
    </row>
    <row r="68" spans="1:96" x14ac:dyDescent="0.25">
      <c r="A68" s="5818">
        <v>19120702</v>
      </c>
      <c r="B68" s="6058"/>
      <c r="C68" s="4093" t="s">
        <v>1404</v>
      </c>
      <c r="D68" s="3908" t="s">
        <v>4567</v>
      </c>
      <c r="E68" s="3978" t="s">
        <v>4568</v>
      </c>
      <c r="F68" s="4094" t="s">
        <v>4569</v>
      </c>
      <c r="G68" s="1890" t="s">
        <v>4570</v>
      </c>
      <c r="H68" s="4103" t="s">
        <v>4571</v>
      </c>
      <c r="I68" s="1890" t="s">
        <v>4572</v>
      </c>
      <c r="J68" s="4103" t="s">
        <v>4573</v>
      </c>
      <c r="K68" s="3913" t="s">
        <v>4574</v>
      </c>
      <c r="L68" s="1969" t="s">
        <v>4575</v>
      </c>
      <c r="M68" s="3913" t="s">
        <v>4576</v>
      </c>
      <c r="N68" s="1969" t="s">
        <v>4577</v>
      </c>
      <c r="O68" s="3913" t="s">
        <v>4578</v>
      </c>
      <c r="P68" s="1969" t="s">
        <v>4579</v>
      </c>
      <c r="Q68" s="3913" t="s">
        <v>4580</v>
      </c>
      <c r="R68" s="1969" t="s">
        <v>4581</v>
      </c>
      <c r="S68" s="3913" t="s">
        <v>4582</v>
      </c>
      <c r="T68" s="1969" t="s">
        <v>4583</v>
      </c>
      <c r="U68" s="3913" t="s">
        <v>4584</v>
      </c>
      <c r="V68" s="1969" t="s">
        <v>4585</v>
      </c>
      <c r="W68" s="3913" t="s">
        <v>4586</v>
      </c>
      <c r="X68" s="1969" t="s">
        <v>4587</v>
      </c>
      <c r="Y68" s="3913" t="s">
        <v>4588</v>
      </c>
      <c r="Z68" s="1969" t="s">
        <v>4589</v>
      </c>
      <c r="AA68" s="3913" t="s">
        <v>4590</v>
      </c>
      <c r="AB68" s="1969" t="s">
        <v>4591</v>
      </c>
      <c r="AC68" s="3913" t="s">
        <v>4592</v>
      </c>
      <c r="AD68" s="1969" t="s">
        <v>4593</v>
      </c>
      <c r="AE68" s="3913" t="s">
        <v>4594</v>
      </c>
      <c r="AF68" s="1969" t="s">
        <v>4595</v>
      </c>
      <c r="AG68" s="3913" t="s">
        <v>4596</v>
      </c>
      <c r="AH68" s="1969" t="s">
        <v>4597</v>
      </c>
      <c r="AI68" s="3913" t="s">
        <v>4598</v>
      </c>
      <c r="AJ68" s="1969" t="s">
        <v>4599</v>
      </c>
      <c r="AK68" s="3913" t="s">
        <v>4600</v>
      </c>
      <c r="AL68" s="1969" t="s">
        <v>4601</v>
      </c>
      <c r="AM68" s="4095" t="s">
        <v>4602</v>
      </c>
      <c r="AN68" s="331" t="s">
        <v>4603</v>
      </c>
      <c r="AO68" s="4096" t="s">
        <v>4604</v>
      </c>
      <c r="AP68" s="214" t="s">
        <v>4605</v>
      </c>
      <c r="AQ68" s="29" t="s">
        <v>4606</v>
      </c>
      <c r="AR68" s="1918" t="s">
        <v>4934</v>
      </c>
      <c r="AS68" s="1918" t="s">
        <v>4935</v>
      </c>
      <c r="AT68" s="1918" t="s">
        <v>4936</v>
      </c>
      <c r="AU68" s="1918" t="s">
        <v>4937</v>
      </c>
      <c r="AV68" s="1918" t="s">
        <v>5234</v>
      </c>
      <c r="AW68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8" s="1865" t="str">
        <f t="shared" si="1"/>
        <v xml:space="preserve">* El Número de Espacios Amigables no puede superar el Total. </v>
      </c>
      <c r="CC68" s="1865" t="str">
        <f t="shared" si="2"/>
        <v xml:space="preserve">* El Número de TRANS Masculino no puede superar el Total Mujeres. </v>
      </c>
      <c r="CD68" s="1865" t="str">
        <f t="shared" si="3"/>
        <v xml:space="preserve">* El Número de TRANS Femenino no puede superar el Total Hombres. </v>
      </c>
      <c r="CE68" s="1865" t="str">
        <f t="shared" si="4"/>
        <v xml:space="preserve">* El Número de Pueblos Originarios no puede superar el Total. </v>
      </c>
      <c r="CF68" s="1865" t="str">
        <f t="shared" si="5"/>
        <v xml:space="preserve">* El Número de Migrantes no puede superar el Total. </v>
      </c>
      <c r="CG68" s="4108" t="str">
        <f t="shared" si="27"/>
        <v xml:space="preserve">* La variable 14-18 años no puede ser mayor al total por grupo edad de 10 a 19 años. </v>
      </c>
      <c r="CH68" s="1865" t="str">
        <f t="shared" si="6"/>
        <v xml:space="preserve">* El Número de Niños, Niñas, Adolescentes y Jóvenes SENAME no puede superar el Total. </v>
      </c>
      <c r="CI68" s="1865" t="str">
        <f t="shared" si="7"/>
        <v xml:space="preserve">* El Número de Niños, Niñas, Adolescentes y Jóvenes Mejor Niñez no puede superar el Total. </v>
      </c>
      <c r="CJ68" s="1936"/>
      <c r="CK68" s="1867">
        <f t="shared" si="8"/>
        <v>1</v>
      </c>
      <c r="CL68" s="1867">
        <f t="shared" si="9"/>
        <v>1</v>
      </c>
      <c r="CM68" s="1867">
        <f t="shared" si="10"/>
        <v>1</v>
      </c>
      <c r="CN68" s="1867">
        <f t="shared" si="11"/>
        <v>1</v>
      </c>
      <c r="CO68" s="1867">
        <f t="shared" si="11"/>
        <v>1</v>
      </c>
      <c r="CP68" s="3906">
        <f t="shared" si="28"/>
        <v>1</v>
      </c>
      <c r="CQ68" s="1867">
        <f t="shared" si="12"/>
        <v>1</v>
      </c>
      <c r="CR68" s="1867">
        <f t="shared" si="12"/>
        <v>1</v>
      </c>
    </row>
    <row r="69" spans="1:96" x14ac:dyDescent="0.25">
      <c r="A69" s="5818">
        <v>19120703</v>
      </c>
      <c r="B69" s="6058"/>
      <c r="C69" s="4093" t="s">
        <v>65</v>
      </c>
      <c r="D69" s="3908" t="s">
        <v>4567</v>
      </c>
      <c r="E69" s="3978" t="s">
        <v>4568</v>
      </c>
      <c r="F69" s="4094" t="s">
        <v>4569</v>
      </c>
      <c r="G69" s="1890" t="s">
        <v>4570</v>
      </c>
      <c r="H69" s="4103" t="s">
        <v>4571</v>
      </c>
      <c r="I69" s="1890" t="s">
        <v>4572</v>
      </c>
      <c r="J69" s="4103" t="s">
        <v>4573</v>
      </c>
      <c r="K69" s="3913" t="s">
        <v>4574</v>
      </c>
      <c r="L69" s="1969" t="s">
        <v>4575</v>
      </c>
      <c r="M69" s="3913" t="s">
        <v>4576</v>
      </c>
      <c r="N69" s="1969" t="s">
        <v>4577</v>
      </c>
      <c r="O69" s="3913" t="s">
        <v>4578</v>
      </c>
      <c r="P69" s="1969" t="s">
        <v>4579</v>
      </c>
      <c r="Q69" s="3913" t="s">
        <v>4580</v>
      </c>
      <c r="R69" s="1969" t="s">
        <v>4581</v>
      </c>
      <c r="S69" s="3913" t="s">
        <v>4582</v>
      </c>
      <c r="T69" s="1969" t="s">
        <v>4583</v>
      </c>
      <c r="U69" s="3913" t="s">
        <v>4584</v>
      </c>
      <c r="V69" s="1969" t="s">
        <v>4585</v>
      </c>
      <c r="W69" s="3913" t="s">
        <v>4586</v>
      </c>
      <c r="X69" s="1969" t="s">
        <v>4587</v>
      </c>
      <c r="Y69" s="3913" t="s">
        <v>4588</v>
      </c>
      <c r="Z69" s="1969" t="s">
        <v>4589</v>
      </c>
      <c r="AA69" s="3913" t="s">
        <v>4590</v>
      </c>
      <c r="AB69" s="1969" t="s">
        <v>4591</v>
      </c>
      <c r="AC69" s="3913" t="s">
        <v>4592</v>
      </c>
      <c r="AD69" s="1969" t="s">
        <v>4593</v>
      </c>
      <c r="AE69" s="3913" t="s">
        <v>4594</v>
      </c>
      <c r="AF69" s="1969" t="s">
        <v>4595</v>
      </c>
      <c r="AG69" s="3913" t="s">
        <v>4596</v>
      </c>
      <c r="AH69" s="1969" t="s">
        <v>4597</v>
      </c>
      <c r="AI69" s="3913" t="s">
        <v>4598</v>
      </c>
      <c r="AJ69" s="1969" t="s">
        <v>4599</v>
      </c>
      <c r="AK69" s="3913" t="s">
        <v>4600</v>
      </c>
      <c r="AL69" s="1969" t="s">
        <v>4601</v>
      </c>
      <c r="AM69" s="4095" t="s">
        <v>4602</v>
      </c>
      <c r="AN69" s="331" t="s">
        <v>4603</v>
      </c>
      <c r="AO69" s="4096" t="s">
        <v>4604</v>
      </c>
      <c r="AP69" s="3904" t="s">
        <v>4605</v>
      </c>
      <c r="AQ69" s="329" t="s">
        <v>4606</v>
      </c>
      <c r="AR69" s="3968" t="s">
        <v>4934</v>
      </c>
      <c r="AS69" s="3968" t="s">
        <v>4935</v>
      </c>
      <c r="AT69" s="3968" t="s">
        <v>4936</v>
      </c>
      <c r="AU69" s="3968" t="s">
        <v>4937</v>
      </c>
      <c r="AV69" s="3968" t="s">
        <v>5234</v>
      </c>
      <c r="AW69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9" s="1865" t="str">
        <f t="shared" si="1"/>
        <v xml:space="preserve">* El Número de Espacios Amigables no puede superar el Total. </v>
      </c>
      <c r="CC69" s="1865" t="str">
        <f t="shared" si="2"/>
        <v xml:space="preserve">* El Número de TRANS Masculino no puede superar el Total Mujeres. </v>
      </c>
      <c r="CD69" s="1865" t="str">
        <f t="shared" si="3"/>
        <v xml:space="preserve">* El Número de TRANS Femenino no puede superar el Total Hombres. </v>
      </c>
      <c r="CE69" s="1865" t="str">
        <f t="shared" si="4"/>
        <v xml:space="preserve">* El Número de Pueblos Originarios no puede superar el Total. </v>
      </c>
      <c r="CF69" s="1865" t="str">
        <f t="shared" si="5"/>
        <v xml:space="preserve">* El Número de Migrantes no puede superar el Total. </v>
      </c>
      <c r="CG69" s="4108" t="str">
        <f t="shared" si="27"/>
        <v xml:space="preserve">* La variable 14-18 años no puede ser mayor al total por grupo edad de 10 a 19 años. </v>
      </c>
      <c r="CH69" s="1865" t="str">
        <f t="shared" si="6"/>
        <v xml:space="preserve">* El Número de Niños, Niñas, Adolescentes y Jóvenes SENAME no puede superar el Total. </v>
      </c>
      <c r="CI69" s="1865" t="str">
        <f t="shared" si="7"/>
        <v xml:space="preserve">* El Número de Niños, Niñas, Adolescentes y Jóvenes Mejor Niñez no puede superar el Total. </v>
      </c>
      <c r="CJ69" s="1936"/>
      <c r="CK69" s="1867">
        <f t="shared" si="8"/>
        <v>1</v>
      </c>
      <c r="CL69" s="1867">
        <f t="shared" si="9"/>
        <v>1</v>
      </c>
      <c r="CM69" s="1867">
        <f t="shared" si="10"/>
        <v>1</v>
      </c>
      <c r="CN69" s="1867">
        <f t="shared" si="11"/>
        <v>1</v>
      </c>
      <c r="CO69" s="1867">
        <f t="shared" si="11"/>
        <v>1</v>
      </c>
      <c r="CP69" s="3906">
        <f t="shared" si="28"/>
        <v>1</v>
      </c>
      <c r="CQ69" s="1867">
        <f t="shared" si="12"/>
        <v>1</v>
      </c>
      <c r="CR69" s="1867">
        <f t="shared" si="12"/>
        <v>1</v>
      </c>
    </row>
    <row r="70" spans="1:96" x14ac:dyDescent="0.25">
      <c r="A70" s="5818">
        <v>19120706</v>
      </c>
      <c r="B70" s="6058"/>
      <c r="C70" s="4093" t="s">
        <v>2067</v>
      </c>
      <c r="D70" s="3908" t="s">
        <v>4567</v>
      </c>
      <c r="E70" s="3978" t="s">
        <v>4568</v>
      </c>
      <c r="F70" s="4094" t="s">
        <v>4569</v>
      </c>
      <c r="G70" s="1890" t="s">
        <v>4570</v>
      </c>
      <c r="H70" s="4103" t="s">
        <v>4571</v>
      </c>
      <c r="I70" s="1890" t="s">
        <v>4572</v>
      </c>
      <c r="J70" s="4103" t="s">
        <v>4573</v>
      </c>
      <c r="K70" s="3913" t="s">
        <v>4574</v>
      </c>
      <c r="L70" s="1969" t="s">
        <v>4575</v>
      </c>
      <c r="M70" s="3913" t="s">
        <v>4576</v>
      </c>
      <c r="N70" s="1969" t="s">
        <v>4577</v>
      </c>
      <c r="O70" s="3913" t="s">
        <v>4578</v>
      </c>
      <c r="P70" s="1969" t="s">
        <v>4579</v>
      </c>
      <c r="Q70" s="3913" t="s">
        <v>4580</v>
      </c>
      <c r="R70" s="1969" t="s">
        <v>4581</v>
      </c>
      <c r="S70" s="3913" t="s">
        <v>4582</v>
      </c>
      <c r="T70" s="1969" t="s">
        <v>4583</v>
      </c>
      <c r="U70" s="3913" t="s">
        <v>4584</v>
      </c>
      <c r="V70" s="1969" t="s">
        <v>4585</v>
      </c>
      <c r="W70" s="3913" t="s">
        <v>4586</v>
      </c>
      <c r="X70" s="1969" t="s">
        <v>4587</v>
      </c>
      <c r="Y70" s="3913" t="s">
        <v>4588</v>
      </c>
      <c r="Z70" s="1969" t="s">
        <v>4589</v>
      </c>
      <c r="AA70" s="3913" t="s">
        <v>4590</v>
      </c>
      <c r="AB70" s="1969" t="s">
        <v>4591</v>
      </c>
      <c r="AC70" s="3913" t="s">
        <v>4592</v>
      </c>
      <c r="AD70" s="1969" t="s">
        <v>4593</v>
      </c>
      <c r="AE70" s="3913" t="s">
        <v>4594</v>
      </c>
      <c r="AF70" s="1969" t="s">
        <v>4595</v>
      </c>
      <c r="AG70" s="3913" t="s">
        <v>4596</v>
      </c>
      <c r="AH70" s="1969" t="s">
        <v>4597</v>
      </c>
      <c r="AI70" s="3913" t="s">
        <v>4598</v>
      </c>
      <c r="AJ70" s="1969" t="s">
        <v>4599</v>
      </c>
      <c r="AK70" s="3913" t="s">
        <v>4600</v>
      </c>
      <c r="AL70" s="1969" t="s">
        <v>4601</v>
      </c>
      <c r="AM70" s="4095" t="s">
        <v>4602</v>
      </c>
      <c r="AN70" s="331" t="s">
        <v>4603</v>
      </c>
      <c r="AO70" s="4096" t="s">
        <v>4604</v>
      </c>
      <c r="AP70" s="3904" t="s">
        <v>4605</v>
      </c>
      <c r="AQ70" s="329" t="s">
        <v>4606</v>
      </c>
      <c r="AR70" s="3968" t="s">
        <v>4934</v>
      </c>
      <c r="AS70" s="3968" t="s">
        <v>4935</v>
      </c>
      <c r="AT70" s="3968" t="s">
        <v>4936</v>
      </c>
      <c r="AU70" s="3968" t="s">
        <v>4937</v>
      </c>
      <c r="AV70" s="3968" t="s">
        <v>5234</v>
      </c>
      <c r="AW70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0" s="1865" t="str">
        <f t="shared" si="1"/>
        <v xml:space="preserve">* El Número de Espacios Amigables no puede superar el Total. </v>
      </c>
      <c r="CC70" s="1865" t="str">
        <f t="shared" si="2"/>
        <v xml:space="preserve">* El Número de TRANS Masculino no puede superar el Total Mujeres. </v>
      </c>
      <c r="CD70" s="1865" t="str">
        <f t="shared" si="3"/>
        <v xml:space="preserve">* El Número de TRANS Femenino no puede superar el Total Hombres. </v>
      </c>
      <c r="CE70" s="1865" t="str">
        <f t="shared" si="4"/>
        <v xml:space="preserve">* El Número de Pueblos Originarios no puede superar el Total. </v>
      </c>
      <c r="CF70" s="1865" t="str">
        <f t="shared" si="5"/>
        <v xml:space="preserve">* El Número de Migrantes no puede superar el Total. </v>
      </c>
      <c r="CG70" s="4108" t="str">
        <f t="shared" si="27"/>
        <v xml:space="preserve">* La variable 14-18 años no puede ser mayor al total por grupo edad de 10 a 19 años. </v>
      </c>
      <c r="CH70" s="1865" t="str">
        <f t="shared" si="6"/>
        <v xml:space="preserve">* El Número de Niños, Niñas, Adolescentes y Jóvenes SENAME no puede superar el Total. </v>
      </c>
      <c r="CI70" s="1865" t="str">
        <f t="shared" si="7"/>
        <v xml:space="preserve">* El Número de Niños, Niñas, Adolescentes y Jóvenes Mejor Niñez no puede superar el Total. </v>
      </c>
      <c r="CJ70" s="1936"/>
      <c r="CK70" s="1867">
        <f t="shared" si="8"/>
        <v>1</v>
      </c>
      <c r="CL70" s="1867">
        <f t="shared" si="9"/>
        <v>1</v>
      </c>
      <c r="CM70" s="1867">
        <f t="shared" si="10"/>
        <v>1</v>
      </c>
      <c r="CN70" s="1867">
        <f t="shared" si="11"/>
        <v>1</v>
      </c>
      <c r="CO70" s="1867">
        <f t="shared" si="11"/>
        <v>1</v>
      </c>
      <c r="CP70" s="3906">
        <f t="shared" si="28"/>
        <v>1</v>
      </c>
      <c r="CQ70" s="1867">
        <f t="shared" si="12"/>
        <v>1</v>
      </c>
      <c r="CR70" s="1867">
        <f t="shared" si="12"/>
        <v>1</v>
      </c>
    </row>
    <row r="71" spans="1:96" x14ac:dyDescent="0.25">
      <c r="A71" s="5818">
        <v>19120708</v>
      </c>
      <c r="B71" s="6058"/>
      <c r="C71" s="4093" t="s">
        <v>2073</v>
      </c>
      <c r="D71" s="3908" t="s">
        <v>4567</v>
      </c>
      <c r="E71" s="3978" t="s">
        <v>4568</v>
      </c>
      <c r="F71" s="4094" t="s">
        <v>4569</v>
      </c>
      <c r="G71" s="1890" t="s">
        <v>4570</v>
      </c>
      <c r="H71" s="4103" t="s">
        <v>4571</v>
      </c>
      <c r="I71" s="1890" t="s">
        <v>4572</v>
      </c>
      <c r="J71" s="4103" t="s">
        <v>4573</v>
      </c>
      <c r="K71" s="3913" t="s">
        <v>4574</v>
      </c>
      <c r="L71" s="1969" t="s">
        <v>4575</v>
      </c>
      <c r="M71" s="3913" t="s">
        <v>4576</v>
      </c>
      <c r="N71" s="1969" t="s">
        <v>4577</v>
      </c>
      <c r="O71" s="3913" t="s">
        <v>4578</v>
      </c>
      <c r="P71" s="1969" t="s">
        <v>4579</v>
      </c>
      <c r="Q71" s="3913" t="s">
        <v>4580</v>
      </c>
      <c r="R71" s="1969" t="s">
        <v>4581</v>
      </c>
      <c r="S71" s="3913" t="s">
        <v>4582</v>
      </c>
      <c r="T71" s="1969" t="s">
        <v>4583</v>
      </c>
      <c r="U71" s="3913" t="s">
        <v>4584</v>
      </c>
      <c r="V71" s="1969" t="s">
        <v>4585</v>
      </c>
      <c r="W71" s="3913" t="s">
        <v>4586</v>
      </c>
      <c r="X71" s="1969" t="s">
        <v>4587</v>
      </c>
      <c r="Y71" s="3913" t="s">
        <v>4588</v>
      </c>
      <c r="Z71" s="1969" t="s">
        <v>4589</v>
      </c>
      <c r="AA71" s="3913" t="s">
        <v>4590</v>
      </c>
      <c r="AB71" s="1969" t="s">
        <v>4591</v>
      </c>
      <c r="AC71" s="3913" t="s">
        <v>4592</v>
      </c>
      <c r="AD71" s="1969" t="s">
        <v>4593</v>
      </c>
      <c r="AE71" s="3913" t="s">
        <v>4594</v>
      </c>
      <c r="AF71" s="1969" t="s">
        <v>4595</v>
      </c>
      <c r="AG71" s="3913" t="s">
        <v>4596</v>
      </c>
      <c r="AH71" s="1969" t="s">
        <v>4597</v>
      </c>
      <c r="AI71" s="3913" t="s">
        <v>4598</v>
      </c>
      <c r="AJ71" s="1969" t="s">
        <v>4599</v>
      </c>
      <c r="AK71" s="3913" t="s">
        <v>4600</v>
      </c>
      <c r="AL71" s="1969" t="s">
        <v>4601</v>
      </c>
      <c r="AM71" s="4095" t="s">
        <v>4602</v>
      </c>
      <c r="AN71" s="331" t="s">
        <v>4603</v>
      </c>
      <c r="AO71" s="4096" t="s">
        <v>4604</v>
      </c>
      <c r="AP71" s="3904" t="s">
        <v>4605</v>
      </c>
      <c r="AQ71" s="329" t="s">
        <v>4606</v>
      </c>
      <c r="AR71" s="3968" t="s">
        <v>4934</v>
      </c>
      <c r="AS71" s="3968" t="s">
        <v>4935</v>
      </c>
      <c r="AT71" s="3968" t="s">
        <v>4936</v>
      </c>
      <c r="AU71" s="3968" t="s">
        <v>4937</v>
      </c>
      <c r="AV71" s="3968" t="s">
        <v>5234</v>
      </c>
      <c r="AW71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1" s="1865" t="str">
        <f t="shared" si="1"/>
        <v xml:space="preserve">* El Número de Espacios Amigables no puede superar el Total. </v>
      </c>
      <c r="CC71" s="1865" t="str">
        <f t="shared" si="2"/>
        <v xml:space="preserve">* El Número de TRANS Masculino no puede superar el Total Mujeres. </v>
      </c>
      <c r="CD71" s="1865" t="str">
        <f t="shared" si="3"/>
        <v xml:space="preserve">* El Número de TRANS Femenino no puede superar el Total Hombres. </v>
      </c>
      <c r="CE71" s="1865" t="str">
        <f t="shared" si="4"/>
        <v xml:space="preserve">* El Número de Pueblos Originarios no puede superar el Total. </v>
      </c>
      <c r="CF71" s="1865" t="str">
        <f t="shared" si="5"/>
        <v xml:space="preserve">* El Número de Migrantes no puede superar el Total. </v>
      </c>
      <c r="CG71" s="4108" t="str">
        <f t="shared" si="27"/>
        <v xml:space="preserve">* La variable 14-18 años no puede ser mayor al total por grupo edad de 10 a 19 años. </v>
      </c>
      <c r="CH71" s="1865" t="str">
        <f t="shared" si="6"/>
        <v xml:space="preserve">* El Número de Niños, Niñas, Adolescentes y Jóvenes SENAME no puede superar el Total. </v>
      </c>
      <c r="CI71" s="1865" t="str">
        <f t="shared" si="7"/>
        <v xml:space="preserve">* El Número de Niños, Niñas, Adolescentes y Jóvenes Mejor Niñez no puede superar el Total. </v>
      </c>
      <c r="CJ71" s="1936"/>
      <c r="CK71" s="1867">
        <f t="shared" si="8"/>
        <v>1</v>
      </c>
      <c r="CL71" s="1867">
        <f t="shared" si="9"/>
        <v>1</v>
      </c>
      <c r="CM71" s="1867">
        <f t="shared" si="10"/>
        <v>1</v>
      </c>
      <c r="CN71" s="1867">
        <f t="shared" si="11"/>
        <v>1</v>
      </c>
      <c r="CO71" s="1867">
        <f t="shared" si="11"/>
        <v>1</v>
      </c>
      <c r="CP71" s="3906">
        <f t="shared" si="28"/>
        <v>1</v>
      </c>
      <c r="CQ71" s="1867">
        <f t="shared" si="12"/>
        <v>1</v>
      </c>
      <c r="CR71" s="1867">
        <f t="shared" si="12"/>
        <v>1</v>
      </c>
    </row>
    <row r="72" spans="1:96" x14ac:dyDescent="0.25">
      <c r="A72" s="5818">
        <v>19120709</v>
      </c>
      <c r="B72" s="6058"/>
      <c r="C72" s="3977" t="s">
        <v>2065</v>
      </c>
      <c r="D72" s="231" t="s">
        <v>4567</v>
      </c>
      <c r="E72" s="3978" t="s">
        <v>4568</v>
      </c>
      <c r="F72" s="4099" t="s">
        <v>4569</v>
      </c>
      <c r="G72" s="1890" t="s">
        <v>4570</v>
      </c>
      <c r="H72" s="4103" t="s">
        <v>4571</v>
      </c>
      <c r="I72" s="1890" t="s">
        <v>4572</v>
      </c>
      <c r="J72" s="4103" t="s">
        <v>4573</v>
      </c>
      <c r="K72" s="212" t="s">
        <v>4574</v>
      </c>
      <c r="L72" s="1136" t="s">
        <v>4575</v>
      </c>
      <c r="M72" s="212" t="s">
        <v>4576</v>
      </c>
      <c r="N72" s="1136" t="s">
        <v>4577</v>
      </c>
      <c r="O72" s="212" t="s">
        <v>4578</v>
      </c>
      <c r="P72" s="1136" t="s">
        <v>4579</v>
      </c>
      <c r="Q72" s="212" t="s">
        <v>4580</v>
      </c>
      <c r="R72" s="1136" t="s">
        <v>4581</v>
      </c>
      <c r="S72" s="212" t="s">
        <v>4582</v>
      </c>
      <c r="T72" s="1136" t="s">
        <v>4583</v>
      </c>
      <c r="U72" s="212" t="s">
        <v>4584</v>
      </c>
      <c r="V72" s="1136" t="s">
        <v>4585</v>
      </c>
      <c r="W72" s="212" t="s">
        <v>4586</v>
      </c>
      <c r="X72" s="1136" t="s">
        <v>4587</v>
      </c>
      <c r="Y72" s="212" t="s">
        <v>4588</v>
      </c>
      <c r="Z72" s="1136" t="s">
        <v>4589</v>
      </c>
      <c r="AA72" s="212" t="s">
        <v>4590</v>
      </c>
      <c r="AB72" s="1136" t="s">
        <v>4591</v>
      </c>
      <c r="AC72" s="212" t="s">
        <v>4592</v>
      </c>
      <c r="AD72" s="1136" t="s">
        <v>4593</v>
      </c>
      <c r="AE72" s="212" t="s">
        <v>4594</v>
      </c>
      <c r="AF72" s="1136" t="s">
        <v>4595</v>
      </c>
      <c r="AG72" s="212" t="s">
        <v>4596</v>
      </c>
      <c r="AH72" s="1136" t="s">
        <v>4597</v>
      </c>
      <c r="AI72" s="212" t="s">
        <v>4598</v>
      </c>
      <c r="AJ72" s="1136" t="s">
        <v>4599</v>
      </c>
      <c r="AK72" s="212" t="s">
        <v>4600</v>
      </c>
      <c r="AL72" s="1136" t="s">
        <v>4601</v>
      </c>
      <c r="AM72" s="2210" t="s">
        <v>4602</v>
      </c>
      <c r="AN72" s="2410" t="s">
        <v>4603</v>
      </c>
      <c r="AO72" s="4096" t="s">
        <v>4604</v>
      </c>
      <c r="AP72" s="1137" t="s">
        <v>4605</v>
      </c>
      <c r="AQ72" s="34" t="s">
        <v>4606</v>
      </c>
      <c r="AR72" s="4109" t="s">
        <v>4934</v>
      </c>
      <c r="AS72" s="4109" t="s">
        <v>4935</v>
      </c>
      <c r="AT72" s="4109" t="s">
        <v>4936</v>
      </c>
      <c r="AU72" s="4109" t="s">
        <v>4937</v>
      </c>
      <c r="AV72" s="4109" t="s">
        <v>5234</v>
      </c>
      <c r="AW72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2" s="1865" t="str">
        <f t="shared" si="1"/>
        <v xml:space="preserve">* El Número de Espacios Amigables no puede superar el Total. </v>
      </c>
      <c r="CC72" s="1865" t="str">
        <f t="shared" si="2"/>
        <v xml:space="preserve">* El Número de TRANS Masculino no puede superar el Total Mujeres. </v>
      </c>
      <c r="CD72" s="1865" t="str">
        <f t="shared" si="3"/>
        <v xml:space="preserve">* El Número de TRANS Femenino no puede superar el Total Hombres. </v>
      </c>
      <c r="CE72" s="1865" t="str">
        <f t="shared" si="4"/>
        <v xml:space="preserve">* El Número de Pueblos Originarios no puede superar el Total. </v>
      </c>
      <c r="CF72" s="1865" t="str">
        <f t="shared" si="5"/>
        <v xml:space="preserve">* El Número de Migrantes no puede superar el Total. </v>
      </c>
      <c r="CG72" s="4108" t="str">
        <f t="shared" si="27"/>
        <v xml:space="preserve">* La variable 14-18 años no puede ser mayor al total por grupo edad de 10 a 19 años. </v>
      </c>
      <c r="CH72" s="1865" t="str">
        <f t="shared" si="6"/>
        <v xml:space="preserve">* El Número de Niños, Niñas, Adolescentes y Jóvenes SENAME no puede superar el Total. </v>
      </c>
      <c r="CI72" s="1865" t="str">
        <f t="shared" si="7"/>
        <v xml:space="preserve">* El Número de Niños, Niñas, Adolescentes y Jóvenes Mejor Niñez no puede superar el Total. </v>
      </c>
      <c r="CJ72" s="1936"/>
      <c r="CK72" s="1867">
        <f t="shared" si="8"/>
        <v>1</v>
      </c>
      <c r="CL72" s="1867">
        <f t="shared" si="9"/>
        <v>1</v>
      </c>
      <c r="CM72" s="1867">
        <f t="shared" si="10"/>
        <v>1</v>
      </c>
      <c r="CN72" s="1867">
        <f t="shared" si="11"/>
        <v>1</v>
      </c>
      <c r="CO72" s="1867">
        <f t="shared" si="11"/>
        <v>1</v>
      </c>
      <c r="CP72" s="3906">
        <f t="shared" si="28"/>
        <v>1</v>
      </c>
      <c r="CQ72" s="1867">
        <f t="shared" si="12"/>
        <v>1</v>
      </c>
      <c r="CR72" s="1867">
        <f t="shared" si="12"/>
        <v>1</v>
      </c>
    </row>
    <row r="73" spans="1:96" x14ac:dyDescent="0.25">
      <c r="A73" s="5818">
        <v>19120711</v>
      </c>
      <c r="B73" s="6842"/>
      <c r="C73" s="516" t="s">
        <v>2064</v>
      </c>
      <c r="D73" s="623" t="s">
        <v>4567</v>
      </c>
      <c r="E73" s="3994" t="s">
        <v>4568</v>
      </c>
      <c r="F73" s="4101" t="s">
        <v>4569</v>
      </c>
      <c r="G73" s="1871" t="s">
        <v>4570</v>
      </c>
      <c r="H73" s="1986" t="s">
        <v>4571</v>
      </c>
      <c r="I73" s="1871" t="s">
        <v>4572</v>
      </c>
      <c r="J73" s="1986" t="s">
        <v>4573</v>
      </c>
      <c r="K73" s="853" t="s">
        <v>4574</v>
      </c>
      <c r="L73" s="1975" t="s">
        <v>4575</v>
      </c>
      <c r="M73" s="853" t="s">
        <v>4576</v>
      </c>
      <c r="N73" s="1975" t="s">
        <v>4577</v>
      </c>
      <c r="O73" s="853" t="s">
        <v>4578</v>
      </c>
      <c r="P73" s="1975" t="s">
        <v>4579</v>
      </c>
      <c r="Q73" s="853" t="s">
        <v>4580</v>
      </c>
      <c r="R73" s="1975" t="s">
        <v>4581</v>
      </c>
      <c r="S73" s="853" t="s">
        <v>4582</v>
      </c>
      <c r="T73" s="1975" t="s">
        <v>4583</v>
      </c>
      <c r="U73" s="853" t="s">
        <v>4584</v>
      </c>
      <c r="V73" s="1975" t="s">
        <v>4585</v>
      </c>
      <c r="W73" s="853" t="s">
        <v>4586</v>
      </c>
      <c r="X73" s="1975" t="s">
        <v>4587</v>
      </c>
      <c r="Y73" s="853" t="s">
        <v>4588</v>
      </c>
      <c r="Z73" s="1975" t="s">
        <v>4589</v>
      </c>
      <c r="AA73" s="853" t="s">
        <v>4590</v>
      </c>
      <c r="AB73" s="1975" t="s">
        <v>4591</v>
      </c>
      <c r="AC73" s="853" t="s">
        <v>4592</v>
      </c>
      <c r="AD73" s="1975" t="s">
        <v>4593</v>
      </c>
      <c r="AE73" s="853" t="s">
        <v>4594</v>
      </c>
      <c r="AF73" s="1975" t="s">
        <v>4595</v>
      </c>
      <c r="AG73" s="853" t="s">
        <v>4596</v>
      </c>
      <c r="AH73" s="1975" t="s">
        <v>4597</v>
      </c>
      <c r="AI73" s="853" t="s">
        <v>4598</v>
      </c>
      <c r="AJ73" s="1975" t="s">
        <v>4599</v>
      </c>
      <c r="AK73" s="853" t="s">
        <v>4600</v>
      </c>
      <c r="AL73" s="1975" t="s">
        <v>4601</v>
      </c>
      <c r="AM73" s="2015" t="s">
        <v>4602</v>
      </c>
      <c r="AN73" s="1919" t="s">
        <v>4603</v>
      </c>
      <c r="AO73" s="2286" t="s">
        <v>4604</v>
      </c>
      <c r="AP73" s="1877" t="s">
        <v>4605</v>
      </c>
      <c r="AQ73" s="854" t="s">
        <v>4606</v>
      </c>
      <c r="AR73" s="1920" t="s">
        <v>4934</v>
      </c>
      <c r="AS73" s="1920" t="s">
        <v>4935</v>
      </c>
      <c r="AT73" s="1920" t="s">
        <v>4936</v>
      </c>
      <c r="AU73" s="1920" t="s">
        <v>4937</v>
      </c>
      <c r="AV73" s="1920" t="s">
        <v>5234</v>
      </c>
      <c r="AW73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3" s="1865" t="str">
        <f t="shared" si="1"/>
        <v xml:space="preserve">* El Número de Espacios Amigables no puede superar el Total. </v>
      </c>
      <c r="CC73" s="1865" t="str">
        <f t="shared" si="2"/>
        <v xml:space="preserve">* El Número de TRANS Masculino no puede superar el Total Mujeres. </v>
      </c>
      <c r="CD73" s="1865" t="str">
        <f t="shared" si="3"/>
        <v xml:space="preserve">* El Número de TRANS Femenino no puede superar el Total Hombres. </v>
      </c>
      <c r="CE73" s="1865" t="str">
        <f t="shared" si="4"/>
        <v xml:space="preserve">* El Número de Pueblos Originarios no puede superar el Total. </v>
      </c>
      <c r="CF73" s="1865" t="str">
        <f t="shared" si="5"/>
        <v xml:space="preserve">* El Número de Migrantes no puede superar el Total. </v>
      </c>
      <c r="CG73" s="4108" t="str">
        <f t="shared" si="27"/>
        <v xml:space="preserve">* La variable 14-18 años no puede ser mayor al total por grupo edad de 10 a 19 años. </v>
      </c>
      <c r="CH73" s="1865" t="str">
        <f t="shared" si="6"/>
        <v xml:space="preserve">* El Número de Niños, Niñas, Adolescentes y Jóvenes SENAME no puede superar el Total. </v>
      </c>
      <c r="CI73" s="1865" t="str">
        <f t="shared" si="7"/>
        <v xml:space="preserve">* El Número de Niños, Niñas, Adolescentes y Jóvenes Mejor Niñez no puede superar el Total. </v>
      </c>
      <c r="CJ73" s="1936"/>
      <c r="CK73" s="1867">
        <f t="shared" si="8"/>
        <v>1</v>
      </c>
      <c r="CL73" s="1867">
        <f t="shared" si="9"/>
        <v>1</v>
      </c>
      <c r="CM73" s="1867">
        <f t="shared" si="10"/>
        <v>1</v>
      </c>
      <c r="CN73" s="1867">
        <f t="shared" si="11"/>
        <v>1</v>
      </c>
      <c r="CO73" s="1867">
        <f t="shared" si="11"/>
        <v>1</v>
      </c>
      <c r="CP73" s="3906">
        <f t="shared" si="28"/>
        <v>1</v>
      </c>
      <c r="CQ73" s="1867">
        <f t="shared" si="12"/>
        <v>1</v>
      </c>
      <c r="CR73" s="1867">
        <f t="shared" si="12"/>
        <v>1</v>
      </c>
    </row>
    <row r="74" spans="1:96" x14ac:dyDescent="0.25">
      <c r="A74" s="5818">
        <v>19150900</v>
      </c>
      <c r="B74" s="7164" t="s">
        <v>4353</v>
      </c>
      <c r="C74" s="3365" t="s">
        <v>2074</v>
      </c>
      <c r="D74" s="3225" t="s">
        <v>4567</v>
      </c>
      <c r="E74" s="4114" t="s">
        <v>4568</v>
      </c>
      <c r="F74" s="4085" t="s">
        <v>4569</v>
      </c>
      <c r="G74" s="3950" t="s">
        <v>4570</v>
      </c>
      <c r="H74" s="4102" t="s">
        <v>4571</v>
      </c>
      <c r="I74" s="3950" t="s">
        <v>4572</v>
      </c>
      <c r="J74" s="4102" t="s">
        <v>4573</v>
      </c>
      <c r="K74" s="3950" t="s">
        <v>4574</v>
      </c>
      <c r="L74" s="3929" t="s">
        <v>4575</v>
      </c>
      <c r="M74" s="3950" t="s">
        <v>4576</v>
      </c>
      <c r="N74" s="3929" t="s">
        <v>4577</v>
      </c>
      <c r="O74" s="3950" t="s">
        <v>4578</v>
      </c>
      <c r="P74" s="3929" t="s">
        <v>4579</v>
      </c>
      <c r="Q74" s="3950" t="s">
        <v>4580</v>
      </c>
      <c r="R74" s="3929" t="s">
        <v>4581</v>
      </c>
      <c r="S74" s="3950" t="s">
        <v>4582</v>
      </c>
      <c r="T74" s="3929" t="s">
        <v>4583</v>
      </c>
      <c r="U74" s="3950" t="s">
        <v>4584</v>
      </c>
      <c r="V74" s="3929" t="s">
        <v>4585</v>
      </c>
      <c r="W74" s="3950" t="s">
        <v>4586</v>
      </c>
      <c r="X74" s="3929" t="s">
        <v>4587</v>
      </c>
      <c r="Y74" s="3950" t="s">
        <v>4588</v>
      </c>
      <c r="Z74" s="3929" t="s">
        <v>4589</v>
      </c>
      <c r="AA74" s="3950" t="s">
        <v>4590</v>
      </c>
      <c r="AB74" s="3929" t="s">
        <v>4591</v>
      </c>
      <c r="AC74" s="3950" t="s">
        <v>4592</v>
      </c>
      <c r="AD74" s="1136" t="s">
        <v>4593</v>
      </c>
      <c r="AE74" s="2311" t="s">
        <v>4594</v>
      </c>
      <c r="AF74" s="2313" t="s">
        <v>4595</v>
      </c>
      <c r="AG74" s="3940" t="s">
        <v>4596</v>
      </c>
      <c r="AH74" s="1008" t="s">
        <v>4597</v>
      </c>
      <c r="AI74" s="3940" t="s">
        <v>4598</v>
      </c>
      <c r="AJ74" s="1008" t="s">
        <v>4599</v>
      </c>
      <c r="AK74" s="3940" t="s">
        <v>4600</v>
      </c>
      <c r="AL74" s="1008" t="s">
        <v>4601</v>
      </c>
      <c r="AM74" s="4110" t="s">
        <v>4602</v>
      </c>
      <c r="AN74" s="989" t="s">
        <v>4603</v>
      </c>
      <c r="AO74" s="2035" t="s">
        <v>4604</v>
      </c>
      <c r="AP74" s="3953" t="s">
        <v>4605</v>
      </c>
      <c r="AQ74" s="3930" t="s">
        <v>4606</v>
      </c>
      <c r="AR74" s="4091" t="s">
        <v>4934</v>
      </c>
      <c r="AS74" s="4091" t="s">
        <v>4935</v>
      </c>
      <c r="AT74" s="4091" t="s">
        <v>4936</v>
      </c>
      <c r="AU74" s="4091" t="s">
        <v>4937</v>
      </c>
      <c r="AV74" s="4091" t="s">
        <v>5234</v>
      </c>
      <c r="AW74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4" s="1865" t="str">
        <f t="shared" si="1"/>
        <v xml:space="preserve">* El Número de Espacios Amigables no puede superar el Total. </v>
      </c>
      <c r="CC74" s="1865" t="str">
        <f t="shared" si="2"/>
        <v xml:space="preserve">* El Número de TRANS Masculino no puede superar el Total Mujeres. </v>
      </c>
      <c r="CD74" s="1945"/>
      <c r="CE74" s="1865" t="str">
        <f t="shared" si="4"/>
        <v xml:space="preserve">* El Número de Pueblos Originarios no puede superar el Total. </v>
      </c>
      <c r="CF74" s="1865" t="str">
        <f t="shared" si="5"/>
        <v xml:space="preserve">* El Número de Migrantes no puede superar el Total. </v>
      </c>
      <c r="CG74" s="4108" t="str">
        <f t="shared" si="27"/>
        <v xml:space="preserve">* La variable 14-18 años no puede ser mayor al total por grupo edad de 10 a 19 años. </v>
      </c>
      <c r="CH74" s="1865" t="str">
        <f t="shared" si="6"/>
        <v xml:space="preserve">* El Número de Niños, Niñas, Adolescentes y Jóvenes SENAME no puede superar el Total. </v>
      </c>
      <c r="CI74" s="1865" t="str">
        <f t="shared" si="7"/>
        <v xml:space="preserve">* El Número de Niños, Niñas, Adolescentes y Jóvenes Mejor Niñez no puede superar el Total. </v>
      </c>
      <c r="CJ74" s="1936"/>
      <c r="CK74" s="1867">
        <f t="shared" si="8"/>
        <v>1</v>
      </c>
      <c r="CL74" s="1867">
        <f t="shared" si="9"/>
        <v>1</v>
      </c>
      <c r="CM74" s="2949"/>
      <c r="CN74" s="1867">
        <f t="shared" si="11"/>
        <v>1</v>
      </c>
      <c r="CO74" s="1867">
        <f t="shared" si="11"/>
        <v>1</v>
      </c>
      <c r="CP74" s="3906">
        <f t="shared" si="28"/>
        <v>1</v>
      </c>
      <c r="CQ74" s="1867">
        <f t="shared" si="12"/>
        <v>1</v>
      </c>
      <c r="CR74" s="1867">
        <f t="shared" si="12"/>
        <v>1</v>
      </c>
    </row>
    <row r="75" spans="1:96" x14ac:dyDescent="0.25">
      <c r="A75" s="5818">
        <v>19150920</v>
      </c>
      <c r="B75" s="6058"/>
      <c r="C75" s="4093" t="s">
        <v>2075</v>
      </c>
      <c r="D75" s="199" t="s">
        <v>4567</v>
      </c>
      <c r="E75" s="1891" t="s">
        <v>4568</v>
      </c>
      <c r="F75" s="4099" t="s">
        <v>4569</v>
      </c>
      <c r="G75" s="1890" t="s">
        <v>4570</v>
      </c>
      <c r="H75" s="4103" t="s">
        <v>4571</v>
      </c>
      <c r="I75" s="1890" t="s">
        <v>4572</v>
      </c>
      <c r="J75" s="4103" t="s">
        <v>4573</v>
      </c>
      <c r="K75" s="1890" t="s">
        <v>4574</v>
      </c>
      <c r="L75" s="1969" t="s">
        <v>4575</v>
      </c>
      <c r="M75" s="1890" t="s">
        <v>4576</v>
      </c>
      <c r="N75" s="1969" t="s">
        <v>4577</v>
      </c>
      <c r="O75" s="1890" t="s">
        <v>4578</v>
      </c>
      <c r="P75" s="1969" t="s">
        <v>4579</v>
      </c>
      <c r="Q75" s="1890" t="s">
        <v>4580</v>
      </c>
      <c r="R75" s="1969" t="s">
        <v>4581</v>
      </c>
      <c r="S75" s="1890" t="s">
        <v>4582</v>
      </c>
      <c r="T75" s="1969" t="s">
        <v>4583</v>
      </c>
      <c r="U75" s="1890" t="s">
        <v>4584</v>
      </c>
      <c r="V75" s="1969" t="s">
        <v>4585</v>
      </c>
      <c r="W75" s="1890" t="s">
        <v>4586</v>
      </c>
      <c r="X75" s="1969" t="s">
        <v>4587</v>
      </c>
      <c r="Y75" s="1890" t="s">
        <v>4588</v>
      </c>
      <c r="Z75" s="1969" t="s">
        <v>4589</v>
      </c>
      <c r="AA75" s="1890" t="s">
        <v>4590</v>
      </c>
      <c r="AB75" s="1969" t="s">
        <v>4591</v>
      </c>
      <c r="AC75" s="1890" t="s">
        <v>4592</v>
      </c>
      <c r="AD75" s="1136" t="s">
        <v>4593</v>
      </c>
      <c r="AE75" s="2311" t="s">
        <v>4594</v>
      </c>
      <c r="AF75" s="2313" t="s">
        <v>4595</v>
      </c>
      <c r="AG75" s="3909" t="s">
        <v>4596</v>
      </c>
      <c r="AH75" s="1968" t="s">
        <v>4597</v>
      </c>
      <c r="AI75" s="3909" t="s">
        <v>4598</v>
      </c>
      <c r="AJ75" s="1968" t="s">
        <v>4599</v>
      </c>
      <c r="AK75" s="3909" t="s">
        <v>4600</v>
      </c>
      <c r="AL75" s="1968" t="s">
        <v>4601</v>
      </c>
      <c r="AM75" s="4111" t="s">
        <v>4602</v>
      </c>
      <c r="AN75" s="2021" t="s">
        <v>4603</v>
      </c>
      <c r="AO75" s="4096" t="s">
        <v>4604</v>
      </c>
      <c r="AP75" s="3904" t="s">
        <v>4605</v>
      </c>
      <c r="AQ75" s="329" t="s">
        <v>4606</v>
      </c>
      <c r="AR75" s="3968" t="s">
        <v>4934</v>
      </c>
      <c r="AS75" s="3968" t="s">
        <v>4935</v>
      </c>
      <c r="AT75" s="3968" t="s">
        <v>4936</v>
      </c>
      <c r="AU75" s="3968" t="s">
        <v>4937</v>
      </c>
      <c r="AV75" s="3968" t="s">
        <v>5234</v>
      </c>
      <c r="AW75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5" s="1865" t="str">
        <f t="shared" si="1"/>
        <v xml:space="preserve">* El Número de Espacios Amigables no puede superar el Total. </v>
      </c>
      <c r="CC75" s="1865" t="str">
        <f t="shared" si="2"/>
        <v xml:space="preserve">* El Número de TRANS Masculino no puede superar el Total Mujeres. </v>
      </c>
      <c r="CD75" s="1945"/>
      <c r="CE75" s="1865" t="str">
        <f t="shared" si="4"/>
        <v xml:space="preserve">* El Número de Pueblos Originarios no puede superar el Total. </v>
      </c>
      <c r="CF75" s="1865" t="str">
        <f t="shared" si="5"/>
        <v xml:space="preserve">* El Número de Migrantes no puede superar el Total. </v>
      </c>
      <c r="CG75" s="4108" t="str">
        <f t="shared" si="27"/>
        <v xml:space="preserve">* La variable 14-18 años no puede ser mayor al total por grupo edad de 10 a 19 años. </v>
      </c>
      <c r="CH75" s="1865" t="str">
        <f t="shared" si="6"/>
        <v xml:space="preserve">* El Número de Niños, Niñas, Adolescentes y Jóvenes SENAME no puede superar el Total. </v>
      </c>
      <c r="CI75" s="1865" t="str">
        <f t="shared" si="7"/>
        <v xml:space="preserve">* El Número de Niños, Niñas, Adolescentes y Jóvenes Mejor Niñez no puede superar el Total. </v>
      </c>
      <c r="CJ75" s="1936"/>
      <c r="CK75" s="1867">
        <f t="shared" si="8"/>
        <v>1</v>
      </c>
      <c r="CL75" s="1867">
        <f t="shared" si="9"/>
        <v>1</v>
      </c>
      <c r="CM75" s="2949"/>
      <c r="CN75" s="1867">
        <f t="shared" si="11"/>
        <v>1</v>
      </c>
      <c r="CO75" s="1867">
        <f t="shared" si="11"/>
        <v>1</v>
      </c>
      <c r="CP75" s="3906">
        <f t="shared" si="28"/>
        <v>1</v>
      </c>
      <c r="CQ75" s="1867">
        <f t="shared" si="12"/>
        <v>1</v>
      </c>
      <c r="CR75" s="1867">
        <f t="shared" si="12"/>
        <v>1</v>
      </c>
    </row>
    <row r="76" spans="1:96" x14ac:dyDescent="0.25">
      <c r="A76" s="5818">
        <v>19170300</v>
      </c>
      <c r="B76" s="6058"/>
      <c r="C76" s="4115" t="s">
        <v>2076</v>
      </c>
      <c r="D76" s="199" t="s">
        <v>4567</v>
      </c>
      <c r="E76" s="3918" t="s">
        <v>4568</v>
      </c>
      <c r="F76" s="4099" t="s">
        <v>4569</v>
      </c>
      <c r="G76" s="3909" t="s">
        <v>4570</v>
      </c>
      <c r="H76" s="1944" t="s">
        <v>4571</v>
      </c>
      <c r="I76" s="3909" t="s">
        <v>4572</v>
      </c>
      <c r="J76" s="1944" t="s">
        <v>4573</v>
      </c>
      <c r="K76" s="3909" t="s">
        <v>4574</v>
      </c>
      <c r="L76" s="1969" t="s">
        <v>4575</v>
      </c>
      <c r="M76" s="3909" t="s">
        <v>4576</v>
      </c>
      <c r="N76" s="1969" t="s">
        <v>4577</v>
      </c>
      <c r="O76" s="3909" t="s">
        <v>4578</v>
      </c>
      <c r="P76" s="1969" t="s">
        <v>4579</v>
      </c>
      <c r="Q76" s="3909" t="s">
        <v>4580</v>
      </c>
      <c r="R76" s="1969" t="s">
        <v>4581</v>
      </c>
      <c r="S76" s="3909" t="s">
        <v>4582</v>
      </c>
      <c r="T76" s="1969" t="s">
        <v>4583</v>
      </c>
      <c r="U76" s="3909" t="s">
        <v>4584</v>
      </c>
      <c r="V76" s="1969" t="s">
        <v>4585</v>
      </c>
      <c r="W76" s="3909" t="s">
        <v>4586</v>
      </c>
      <c r="X76" s="1969" t="s">
        <v>4587</v>
      </c>
      <c r="Y76" s="3909" t="s">
        <v>4588</v>
      </c>
      <c r="Z76" s="1969" t="s">
        <v>4589</v>
      </c>
      <c r="AA76" s="3909" t="s">
        <v>4590</v>
      </c>
      <c r="AB76" s="1969" t="s">
        <v>4591</v>
      </c>
      <c r="AC76" s="3909" t="s">
        <v>4592</v>
      </c>
      <c r="AD76" s="1136" t="s">
        <v>4593</v>
      </c>
      <c r="AE76" s="2311" t="s">
        <v>4594</v>
      </c>
      <c r="AF76" s="2313" t="s">
        <v>4595</v>
      </c>
      <c r="AG76" s="3909" t="s">
        <v>4596</v>
      </c>
      <c r="AH76" s="1968" t="s">
        <v>4597</v>
      </c>
      <c r="AI76" s="3909" t="s">
        <v>4598</v>
      </c>
      <c r="AJ76" s="1968" t="s">
        <v>4599</v>
      </c>
      <c r="AK76" s="3909" t="s">
        <v>4600</v>
      </c>
      <c r="AL76" s="1968" t="s">
        <v>4601</v>
      </c>
      <c r="AM76" s="4111" t="s">
        <v>4602</v>
      </c>
      <c r="AN76" s="2021" t="s">
        <v>4603</v>
      </c>
      <c r="AO76" s="4096" t="s">
        <v>4604</v>
      </c>
      <c r="AP76" s="1137" t="s">
        <v>4605</v>
      </c>
      <c r="AQ76" s="34" t="s">
        <v>4606</v>
      </c>
      <c r="AR76" s="4109" t="s">
        <v>4934</v>
      </c>
      <c r="AS76" s="4109" t="s">
        <v>4935</v>
      </c>
      <c r="AT76" s="4109" t="s">
        <v>4936</v>
      </c>
      <c r="AU76" s="4109" t="s">
        <v>4937</v>
      </c>
      <c r="AV76" s="4109" t="s">
        <v>5234</v>
      </c>
      <c r="AW76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6" s="1865" t="str">
        <f t="shared" si="1"/>
        <v xml:space="preserve">* El Número de Espacios Amigables no puede superar el Total. </v>
      </c>
      <c r="CC76" s="1865" t="str">
        <f t="shared" si="2"/>
        <v xml:space="preserve">* El Número de TRANS Masculino no puede superar el Total Mujeres. </v>
      </c>
      <c r="CD76" s="1945"/>
      <c r="CE76" s="1865" t="str">
        <f t="shared" si="4"/>
        <v xml:space="preserve">* El Número de Pueblos Originarios no puede superar el Total. </v>
      </c>
      <c r="CF76" s="1865" t="str">
        <f t="shared" si="5"/>
        <v xml:space="preserve">* El Número de Migrantes no puede superar el Total. </v>
      </c>
      <c r="CG76" s="4108" t="str">
        <f t="shared" si="27"/>
        <v xml:space="preserve">* La variable 14-18 años no puede ser mayor al total por grupo edad de 10 a 19 años. </v>
      </c>
      <c r="CH76" s="1865" t="str">
        <f t="shared" si="6"/>
        <v xml:space="preserve">* El Número de Niños, Niñas, Adolescentes y Jóvenes SENAME no puede superar el Total. </v>
      </c>
      <c r="CI76" s="1865" t="str">
        <f t="shared" si="7"/>
        <v xml:space="preserve">* El Número de Niños, Niñas, Adolescentes y Jóvenes Mejor Niñez no puede superar el Total. </v>
      </c>
      <c r="CJ76" s="1936"/>
      <c r="CK76" s="1867">
        <f t="shared" si="8"/>
        <v>1</v>
      </c>
      <c r="CL76" s="1867">
        <f t="shared" si="9"/>
        <v>1</v>
      </c>
      <c r="CM76" s="2949"/>
      <c r="CN76" s="1867">
        <f t="shared" si="11"/>
        <v>1</v>
      </c>
      <c r="CO76" s="1867">
        <f t="shared" si="11"/>
        <v>1</v>
      </c>
      <c r="CP76" s="3906">
        <f t="shared" si="28"/>
        <v>1</v>
      </c>
      <c r="CQ76" s="1867">
        <f t="shared" si="12"/>
        <v>1</v>
      </c>
      <c r="CR76" s="1867">
        <f t="shared" si="12"/>
        <v>1</v>
      </c>
    </row>
    <row r="77" spans="1:96" x14ac:dyDescent="0.25">
      <c r="A77" s="5818">
        <v>19170400</v>
      </c>
      <c r="B77" s="6058"/>
      <c r="C77" s="3977" t="s">
        <v>2077</v>
      </c>
      <c r="D77" s="3908" t="s">
        <v>4567</v>
      </c>
      <c r="E77" s="1891" t="s">
        <v>4568</v>
      </c>
      <c r="F77" s="4099" t="s">
        <v>4569</v>
      </c>
      <c r="G77" s="1890" t="s">
        <v>4570</v>
      </c>
      <c r="H77" s="4103" t="s">
        <v>4571</v>
      </c>
      <c r="I77" s="1890" t="s">
        <v>4572</v>
      </c>
      <c r="J77" s="4103" t="s">
        <v>4573</v>
      </c>
      <c r="K77" s="1890" t="s">
        <v>4574</v>
      </c>
      <c r="L77" s="1136" t="s">
        <v>4575</v>
      </c>
      <c r="M77" s="1890" t="s">
        <v>4576</v>
      </c>
      <c r="N77" s="1136" t="s">
        <v>4577</v>
      </c>
      <c r="O77" s="1890" t="s">
        <v>4578</v>
      </c>
      <c r="P77" s="1136" t="s">
        <v>4579</v>
      </c>
      <c r="Q77" s="1890" t="s">
        <v>4580</v>
      </c>
      <c r="R77" s="1136" t="s">
        <v>4581</v>
      </c>
      <c r="S77" s="1890" t="s">
        <v>4582</v>
      </c>
      <c r="T77" s="1136" t="s">
        <v>4583</v>
      </c>
      <c r="U77" s="1890" t="s">
        <v>4584</v>
      </c>
      <c r="V77" s="1136" t="s">
        <v>4585</v>
      </c>
      <c r="W77" s="1890" t="s">
        <v>4586</v>
      </c>
      <c r="X77" s="1136" t="s">
        <v>4587</v>
      </c>
      <c r="Y77" s="1890" t="s">
        <v>4588</v>
      </c>
      <c r="Z77" s="1136" t="s">
        <v>4589</v>
      </c>
      <c r="AA77" s="1890" t="s">
        <v>4590</v>
      </c>
      <c r="AB77" s="1136" t="s">
        <v>4591</v>
      </c>
      <c r="AC77" s="1890" t="s">
        <v>4592</v>
      </c>
      <c r="AD77" s="1136" t="s">
        <v>4593</v>
      </c>
      <c r="AE77" s="2311" t="s">
        <v>4594</v>
      </c>
      <c r="AF77" s="2313" t="s">
        <v>4595</v>
      </c>
      <c r="AG77" s="3909" t="s">
        <v>4596</v>
      </c>
      <c r="AH77" s="1968" t="s">
        <v>4597</v>
      </c>
      <c r="AI77" s="3909" t="s">
        <v>4598</v>
      </c>
      <c r="AJ77" s="1968" t="s">
        <v>4599</v>
      </c>
      <c r="AK77" s="3909" t="s">
        <v>4600</v>
      </c>
      <c r="AL77" s="1968" t="s">
        <v>4601</v>
      </c>
      <c r="AM77" s="4111" t="s">
        <v>4602</v>
      </c>
      <c r="AN77" s="2021" t="s">
        <v>4603</v>
      </c>
      <c r="AO77" s="4096" t="s">
        <v>4604</v>
      </c>
      <c r="AP77" s="1137" t="s">
        <v>4605</v>
      </c>
      <c r="AQ77" s="34" t="s">
        <v>4606</v>
      </c>
      <c r="AR77" s="4109" t="s">
        <v>4934</v>
      </c>
      <c r="AS77" s="4109" t="s">
        <v>4935</v>
      </c>
      <c r="AT77" s="4109" t="s">
        <v>4936</v>
      </c>
      <c r="AU77" s="4109" t="s">
        <v>4937</v>
      </c>
      <c r="AV77" s="4109" t="s">
        <v>5234</v>
      </c>
      <c r="AW77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7" s="1865" t="str">
        <f t="shared" si="1"/>
        <v xml:space="preserve">* El Número de Espacios Amigables no puede superar el Total. </v>
      </c>
      <c r="CC77" s="1865" t="str">
        <f t="shared" si="2"/>
        <v xml:space="preserve">* El Número de TRANS Masculino no puede superar el Total Mujeres. </v>
      </c>
      <c r="CD77" s="1945"/>
      <c r="CE77" s="1865" t="str">
        <f t="shared" si="4"/>
        <v xml:space="preserve">* El Número de Pueblos Originarios no puede superar el Total. </v>
      </c>
      <c r="CF77" s="1865" t="str">
        <f t="shared" si="5"/>
        <v xml:space="preserve">* El Número de Migrantes no puede superar el Total. </v>
      </c>
      <c r="CG77" s="4108" t="str">
        <f t="shared" si="27"/>
        <v xml:space="preserve">* La variable 14-18 años no puede ser mayor al total por grupo edad de 10 a 19 años. </v>
      </c>
      <c r="CH77" s="1865" t="str">
        <f t="shared" si="6"/>
        <v xml:space="preserve">* El Número de Niños, Niñas, Adolescentes y Jóvenes SENAME no puede superar el Total. </v>
      </c>
      <c r="CI77" s="1865" t="str">
        <f t="shared" si="7"/>
        <v xml:space="preserve">* El Número de Niños, Niñas, Adolescentes y Jóvenes Mejor Niñez no puede superar el Total. </v>
      </c>
      <c r="CJ77" s="1936"/>
      <c r="CK77" s="1867">
        <f t="shared" si="8"/>
        <v>1</v>
      </c>
      <c r="CL77" s="1867">
        <f t="shared" si="9"/>
        <v>1</v>
      </c>
      <c r="CM77" s="2949"/>
      <c r="CN77" s="1867">
        <f t="shared" si="11"/>
        <v>1</v>
      </c>
      <c r="CO77" s="1867">
        <f t="shared" si="11"/>
        <v>1</v>
      </c>
      <c r="CP77" s="3906">
        <f t="shared" si="28"/>
        <v>1</v>
      </c>
      <c r="CQ77" s="1867">
        <f t="shared" si="12"/>
        <v>1</v>
      </c>
      <c r="CR77" s="1867">
        <f t="shared" si="12"/>
        <v>1</v>
      </c>
    </row>
    <row r="78" spans="1:96" x14ac:dyDescent="0.25">
      <c r="A78" s="5818">
        <v>19170401</v>
      </c>
      <c r="B78" s="6842"/>
      <c r="C78" s="3108" t="s">
        <v>2065</v>
      </c>
      <c r="D78" s="1058" t="s">
        <v>4567</v>
      </c>
      <c r="E78" s="1872" t="s">
        <v>4568</v>
      </c>
      <c r="F78" s="4101" t="s">
        <v>4569</v>
      </c>
      <c r="G78" s="1871" t="s">
        <v>4570</v>
      </c>
      <c r="H78" s="1986" t="s">
        <v>4571</v>
      </c>
      <c r="I78" s="1871" t="s">
        <v>4572</v>
      </c>
      <c r="J78" s="1986" t="s">
        <v>4573</v>
      </c>
      <c r="K78" s="1871" t="s">
        <v>4574</v>
      </c>
      <c r="L78" s="1975" t="s">
        <v>4575</v>
      </c>
      <c r="M78" s="1871" t="s">
        <v>4576</v>
      </c>
      <c r="N78" s="1975" t="s">
        <v>4577</v>
      </c>
      <c r="O78" s="1871" t="s">
        <v>4578</v>
      </c>
      <c r="P78" s="1975" t="s">
        <v>4579</v>
      </c>
      <c r="Q78" s="1871" t="s">
        <v>4580</v>
      </c>
      <c r="R78" s="1975" t="s">
        <v>4581</v>
      </c>
      <c r="S78" s="1871" t="s">
        <v>4582</v>
      </c>
      <c r="T78" s="1975" t="s">
        <v>4583</v>
      </c>
      <c r="U78" s="1871" t="s">
        <v>4584</v>
      </c>
      <c r="V78" s="1975" t="s">
        <v>4585</v>
      </c>
      <c r="W78" s="1871" t="s">
        <v>4586</v>
      </c>
      <c r="X78" s="1975" t="s">
        <v>4587</v>
      </c>
      <c r="Y78" s="1871" t="s">
        <v>4588</v>
      </c>
      <c r="Z78" s="1975" t="s">
        <v>4589</v>
      </c>
      <c r="AA78" s="1871" t="s">
        <v>4590</v>
      </c>
      <c r="AB78" s="1975" t="s">
        <v>4591</v>
      </c>
      <c r="AC78" s="1871" t="s">
        <v>4592</v>
      </c>
      <c r="AD78" s="1975" t="s">
        <v>4593</v>
      </c>
      <c r="AE78" s="1908" t="s">
        <v>4594</v>
      </c>
      <c r="AF78" s="4116" t="s">
        <v>4595</v>
      </c>
      <c r="AG78" s="1871" t="s">
        <v>4596</v>
      </c>
      <c r="AH78" s="1987" t="s">
        <v>4597</v>
      </c>
      <c r="AI78" s="1871" t="s">
        <v>4598</v>
      </c>
      <c r="AJ78" s="1987" t="s">
        <v>4599</v>
      </c>
      <c r="AK78" s="1871" t="s">
        <v>4600</v>
      </c>
      <c r="AL78" s="1987" t="s">
        <v>4601</v>
      </c>
      <c r="AM78" s="2025" t="s">
        <v>4602</v>
      </c>
      <c r="AN78" s="1876" t="s">
        <v>4603</v>
      </c>
      <c r="AO78" s="2286" t="s">
        <v>4604</v>
      </c>
      <c r="AP78" s="1877" t="s">
        <v>4605</v>
      </c>
      <c r="AQ78" s="854" t="s">
        <v>4606</v>
      </c>
      <c r="AR78" s="1920" t="s">
        <v>4934</v>
      </c>
      <c r="AS78" s="1920" t="s">
        <v>4935</v>
      </c>
      <c r="AT78" s="1920" t="s">
        <v>4936</v>
      </c>
      <c r="AU78" s="1920" t="s">
        <v>4937</v>
      </c>
      <c r="AV78" s="1920" t="s">
        <v>5234</v>
      </c>
      <c r="AW78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8" s="1865" t="str">
        <f t="shared" si="1"/>
        <v xml:space="preserve">* El Número de Espacios Amigables no puede superar el Total. </v>
      </c>
      <c r="CC78" s="1865" t="str">
        <f t="shared" si="2"/>
        <v xml:space="preserve">* El Número de TRANS Masculino no puede superar el Total Mujeres. </v>
      </c>
      <c r="CD78" s="1945"/>
      <c r="CE78" s="1865" t="str">
        <f t="shared" si="4"/>
        <v xml:space="preserve">* El Número de Pueblos Originarios no puede superar el Total. </v>
      </c>
      <c r="CF78" s="1865" t="str">
        <f t="shared" si="5"/>
        <v xml:space="preserve">* El Número de Migrantes no puede superar el Total. </v>
      </c>
      <c r="CG78" s="4108" t="str">
        <f t="shared" si="27"/>
        <v xml:space="preserve">* La variable 14-18 años no puede ser mayor al total por grupo edad de 10 a 19 años. </v>
      </c>
      <c r="CH78" s="1865" t="str">
        <f t="shared" si="6"/>
        <v xml:space="preserve">* El Número de Niños, Niñas, Adolescentes y Jóvenes SENAME no puede superar el Total. </v>
      </c>
      <c r="CI78" s="1865" t="str">
        <f t="shared" si="7"/>
        <v xml:space="preserve">* El Número de Niños, Niñas, Adolescentes y Jóvenes Mejor Niñez no puede superar el Total. </v>
      </c>
      <c r="CJ78" s="1936"/>
      <c r="CK78" s="1867">
        <f t="shared" si="8"/>
        <v>1</v>
      </c>
      <c r="CL78" s="1867">
        <f t="shared" si="9"/>
        <v>1</v>
      </c>
      <c r="CM78" s="2949"/>
      <c r="CN78" s="1867">
        <f t="shared" si="11"/>
        <v>1</v>
      </c>
      <c r="CO78" s="1867">
        <f t="shared" si="11"/>
        <v>1</v>
      </c>
      <c r="CP78" s="3906">
        <f t="shared" si="28"/>
        <v>1</v>
      </c>
      <c r="CQ78" s="1867">
        <f t="shared" si="12"/>
        <v>1</v>
      </c>
      <c r="CR78" s="1867">
        <f t="shared" si="12"/>
        <v>1</v>
      </c>
    </row>
    <row r="79" spans="1:96" x14ac:dyDescent="0.25">
      <c r="A79" s="5823">
        <v>19201010</v>
      </c>
      <c r="B79" s="6058" t="s">
        <v>2078</v>
      </c>
      <c r="C79" s="3365" t="s">
        <v>64</v>
      </c>
      <c r="D79" s="3459" t="s">
        <v>4567</v>
      </c>
      <c r="E79" s="2292" t="s">
        <v>4568</v>
      </c>
      <c r="F79" s="3456" t="s">
        <v>4569</v>
      </c>
      <c r="G79" s="290" t="s">
        <v>4570</v>
      </c>
      <c r="H79" s="107" t="s">
        <v>4571</v>
      </c>
      <c r="I79" s="290" t="s">
        <v>4572</v>
      </c>
      <c r="J79" s="107" t="s">
        <v>4573</v>
      </c>
      <c r="K79" s="290" t="s">
        <v>4574</v>
      </c>
      <c r="L79" s="107" t="s">
        <v>4575</v>
      </c>
      <c r="M79" s="290" t="s">
        <v>4576</v>
      </c>
      <c r="N79" s="107" t="s">
        <v>4577</v>
      </c>
      <c r="O79" s="290" t="s">
        <v>4578</v>
      </c>
      <c r="P79" s="107" t="s">
        <v>4579</v>
      </c>
      <c r="Q79" s="290" t="s">
        <v>4580</v>
      </c>
      <c r="R79" s="107" t="s">
        <v>4581</v>
      </c>
      <c r="S79" s="290" t="s">
        <v>4582</v>
      </c>
      <c r="T79" s="107" t="s">
        <v>4583</v>
      </c>
      <c r="U79" s="290" t="s">
        <v>4584</v>
      </c>
      <c r="V79" s="107" t="s">
        <v>4585</v>
      </c>
      <c r="W79" s="290" t="s">
        <v>4586</v>
      </c>
      <c r="X79" s="107" t="s">
        <v>4587</v>
      </c>
      <c r="Y79" s="290" t="s">
        <v>4588</v>
      </c>
      <c r="Z79" s="107" t="s">
        <v>4589</v>
      </c>
      <c r="AA79" s="290" t="s">
        <v>4590</v>
      </c>
      <c r="AB79" s="107" t="s">
        <v>4591</v>
      </c>
      <c r="AC79" s="290" t="s">
        <v>4592</v>
      </c>
      <c r="AD79" s="107" t="s">
        <v>4593</v>
      </c>
      <c r="AE79" s="290" t="s">
        <v>4594</v>
      </c>
      <c r="AF79" s="107" t="s">
        <v>4595</v>
      </c>
      <c r="AG79" s="290" t="s">
        <v>4596</v>
      </c>
      <c r="AH79" s="107" t="s">
        <v>4597</v>
      </c>
      <c r="AI79" s="290" t="s">
        <v>4598</v>
      </c>
      <c r="AJ79" s="107" t="s">
        <v>4599</v>
      </c>
      <c r="AK79" s="290" t="s">
        <v>4600</v>
      </c>
      <c r="AL79" s="107" t="s">
        <v>4601</v>
      </c>
      <c r="AM79" s="290" t="s">
        <v>4602</v>
      </c>
      <c r="AN79" s="107" t="s">
        <v>4603</v>
      </c>
      <c r="AO79" s="4096" t="s">
        <v>4604</v>
      </c>
      <c r="AP79" s="1137" t="s">
        <v>4605</v>
      </c>
      <c r="AQ79" s="34" t="s">
        <v>4606</v>
      </c>
      <c r="AR79" s="4109" t="s">
        <v>4934</v>
      </c>
      <c r="AS79" s="4109" t="s">
        <v>4935</v>
      </c>
      <c r="AT79" s="4109" t="s">
        <v>4936</v>
      </c>
      <c r="AU79" s="4109" t="s">
        <v>4937</v>
      </c>
      <c r="AV79" s="4109" t="s">
        <v>5234</v>
      </c>
      <c r="AW79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9" s="1865" t="str">
        <f>IF(AND($D79&lt;&gt;0,AO79=""),"* No olvide ingresar la columna Espacios Amigables /adolescentes (Digite CERO si no tiene). ",IF(AO79&gt;$D79,"* El Número de Espacios Amigables no puede superar el Total. ",""))</f>
        <v xml:space="preserve">* El Número de Espacios Amigables no puede superar el Total. </v>
      </c>
      <c r="CC79" s="1865" t="str">
        <f t="shared" si="2"/>
        <v xml:space="preserve">* El Número de TRANS Masculino no puede superar el Total Mujeres. </v>
      </c>
      <c r="CD79" s="1865" t="str">
        <f t="shared" si="3"/>
        <v xml:space="preserve">* El Número de TRANS Femenino no puede superar el Total Hombres. </v>
      </c>
      <c r="CE79" s="1865" t="str">
        <f t="shared" si="4"/>
        <v xml:space="preserve">* El Número de Pueblos Originarios no puede superar el Total. </v>
      </c>
      <c r="CF79" s="1865" t="str">
        <f t="shared" si="5"/>
        <v xml:space="preserve">* El Número de Migrantes no puede superar el Total. </v>
      </c>
      <c r="CG79" s="4108" t="str">
        <f t="shared" si="27"/>
        <v xml:space="preserve">* La variable 14-18 años no puede ser mayor al total por grupo edad de 10 a 19 años. </v>
      </c>
      <c r="CH79" s="1865" t="str">
        <f t="shared" si="6"/>
        <v xml:space="preserve">* El Número de Niños, Niñas, Adolescentes y Jóvenes SENAME no puede superar el Total. </v>
      </c>
      <c r="CI79" s="1865" t="str">
        <f t="shared" si="7"/>
        <v xml:space="preserve">* El Número de Niños, Niñas, Adolescentes y Jóvenes Mejor Niñez no puede superar el Total. </v>
      </c>
      <c r="CJ79" s="1936"/>
      <c r="CK79" s="1867">
        <f t="shared" si="8"/>
        <v>1</v>
      </c>
      <c r="CL79" s="1867">
        <f t="shared" si="9"/>
        <v>1</v>
      </c>
      <c r="CM79" s="1867">
        <f t="shared" si="10"/>
        <v>1</v>
      </c>
      <c r="CN79" s="1867">
        <f t="shared" si="11"/>
        <v>1</v>
      </c>
      <c r="CO79" s="1867">
        <f t="shared" si="11"/>
        <v>1</v>
      </c>
      <c r="CP79" s="3906">
        <f t="shared" si="28"/>
        <v>1</v>
      </c>
      <c r="CQ79" s="1867">
        <f t="shared" si="12"/>
        <v>1</v>
      </c>
      <c r="CR79" s="1867">
        <f t="shared" si="12"/>
        <v>1</v>
      </c>
    </row>
    <row r="80" spans="1:96" x14ac:dyDescent="0.25">
      <c r="A80" s="5823">
        <v>19201011</v>
      </c>
      <c r="B80" s="6058"/>
      <c r="C80" s="4093" t="s">
        <v>98</v>
      </c>
      <c r="D80" s="4117" t="s">
        <v>4567</v>
      </c>
      <c r="E80" s="4118" t="s">
        <v>4568</v>
      </c>
      <c r="F80" s="3455" t="s">
        <v>4569</v>
      </c>
      <c r="G80" s="4006" t="s">
        <v>4570</v>
      </c>
      <c r="H80" s="346" t="s">
        <v>4571</v>
      </c>
      <c r="I80" s="4006" t="s">
        <v>4572</v>
      </c>
      <c r="J80" s="346" t="s">
        <v>4573</v>
      </c>
      <c r="K80" s="4006" t="s">
        <v>4574</v>
      </c>
      <c r="L80" s="346" t="s">
        <v>4575</v>
      </c>
      <c r="M80" s="4006" t="s">
        <v>4576</v>
      </c>
      <c r="N80" s="346" t="s">
        <v>4577</v>
      </c>
      <c r="O80" s="4006" t="s">
        <v>4578</v>
      </c>
      <c r="P80" s="346" t="s">
        <v>4579</v>
      </c>
      <c r="Q80" s="4006" t="s">
        <v>4580</v>
      </c>
      <c r="R80" s="346" t="s">
        <v>4581</v>
      </c>
      <c r="S80" s="4006" t="s">
        <v>4582</v>
      </c>
      <c r="T80" s="346" t="s">
        <v>4583</v>
      </c>
      <c r="U80" s="4006" t="s">
        <v>4584</v>
      </c>
      <c r="V80" s="346" t="s">
        <v>4585</v>
      </c>
      <c r="W80" s="4006" t="s">
        <v>4586</v>
      </c>
      <c r="X80" s="346" t="s">
        <v>4587</v>
      </c>
      <c r="Y80" s="4006" t="s">
        <v>4588</v>
      </c>
      <c r="Z80" s="346" t="s">
        <v>4589</v>
      </c>
      <c r="AA80" s="4006" t="s">
        <v>4590</v>
      </c>
      <c r="AB80" s="346" t="s">
        <v>4591</v>
      </c>
      <c r="AC80" s="4006" t="s">
        <v>4592</v>
      </c>
      <c r="AD80" s="346" t="s">
        <v>4593</v>
      </c>
      <c r="AE80" s="4006" t="s">
        <v>4594</v>
      </c>
      <c r="AF80" s="346" t="s">
        <v>4595</v>
      </c>
      <c r="AG80" s="4006" t="s">
        <v>4596</v>
      </c>
      <c r="AH80" s="346" t="s">
        <v>4597</v>
      </c>
      <c r="AI80" s="4006" t="s">
        <v>4598</v>
      </c>
      <c r="AJ80" s="346" t="s">
        <v>4599</v>
      </c>
      <c r="AK80" s="4006" t="s">
        <v>4600</v>
      </c>
      <c r="AL80" s="346" t="s">
        <v>4601</v>
      </c>
      <c r="AM80" s="4006" t="s">
        <v>4602</v>
      </c>
      <c r="AN80" s="346" t="s">
        <v>4603</v>
      </c>
      <c r="AO80" s="4096" t="s">
        <v>4604</v>
      </c>
      <c r="AP80" s="1137" t="s">
        <v>4605</v>
      </c>
      <c r="AQ80" s="34" t="s">
        <v>4606</v>
      </c>
      <c r="AR80" s="4109" t="s">
        <v>4934</v>
      </c>
      <c r="AS80" s="4109" t="s">
        <v>4935</v>
      </c>
      <c r="AT80" s="4109" t="s">
        <v>4936</v>
      </c>
      <c r="AU80" s="4109" t="s">
        <v>4937</v>
      </c>
      <c r="AV80" s="4109" t="s">
        <v>5234</v>
      </c>
      <c r="AW80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0" s="1865" t="str">
        <f t="shared" si="1"/>
        <v xml:space="preserve">* El Número de Espacios Amigables no puede superar el Total. </v>
      </c>
      <c r="CC80" s="1865" t="str">
        <f t="shared" si="2"/>
        <v xml:space="preserve">* El Número de TRANS Masculino no puede superar el Total Mujeres. </v>
      </c>
      <c r="CD80" s="1865" t="str">
        <f t="shared" si="3"/>
        <v xml:space="preserve">* El Número de TRANS Femenino no puede superar el Total Hombres. </v>
      </c>
      <c r="CE80" s="1865" t="str">
        <f t="shared" si="4"/>
        <v xml:space="preserve">* El Número de Pueblos Originarios no puede superar el Total. </v>
      </c>
      <c r="CF80" s="1865" t="str">
        <f t="shared" si="5"/>
        <v xml:space="preserve">* El Número de Migrantes no puede superar el Total. </v>
      </c>
      <c r="CG80" s="4108" t="str">
        <f t="shared" si="27"/>
        <v xml:space="preserve">* La variable 14-18 años no puede ser mayor al total por grupo edad de 10 a 19 años. </v>
      </c>
      <c r="CH80" s="1865" t="str">
        <f t="shared" si="6"/>
        <v xml:space="preserve">* El Número de Niños, Niñas, Adolescentes y Jóvenes SENAME no puede superar el Total. </v>
      </c>
      <c r="CI80" s="1865" t="str">
        <f t="shared" si="7"/>
        <v xml:space="preserve">* El Número de Niños, Niñas, Adolescentes y Jóvenes Mejor Niñez no puede superar el Total. </v>
      </c>
      <c r="CJ80" s="1936"/>
      <c r="CK80" s="1867">
        <f t="shared" si="8"/>
        <v>1</v>
      </c>
      <c r="CL80" s="1867">
        <f t="shared" si="9"/>
        <v>1</v>
      </c>
      <c r="CM80" s="1867">
        <f t="shared" si="10"/>
        <v>1</v>
      </c>
      <c r="CN80" s="1867">
        <f t="shared" si="11"/>
        <v>1</v>
      </c>
      <c r="CO80" s="1867">
        <f t="shared" si="11"/>
        <v>1</v>
      </c>
      <c r="CP80" s="3906">
        <f t="shared" si="28"/>
        <v>1</v>
      </c>
      <c r="CQ80" s="1867">
        <f t="shared" si="12"/>
        <v>1</v>
      </c>
      <c r="CR80" s="1867">
        <f t="shared" si="12"/>
        <v>1</v>
      </c>
    </row>
    <row r="81" spans="1:96" x14ac:dyDescent="0.25">
      <c r="A81" s="5823">
        <v>19201012</v>
      </c>
      <c r="B81" s="6058"/>
      <c r="C81" s="4093" t="s">
        <v>65</v>
      </c>
      <c r="D81" s="4117" t="s">
        <v>4567</v>
      </c>
      <c r="E81" s="4118" t="s">
        <v>4568</v>
      </c>
      <c r="F81" s="3455" t="s">
        <v>4569</v>
      </c>
      <c r="G81" s="4006" t="s">
        <v>4570</v>
      </c>
      <c r="H81" s="346" t="s">
        <v>4571</v>
      </c>
      <c r="I81" s="4006" t="s">
        <v>4572</v>
      </c>
      <c r="J81" s="346" t="s">
        <v>4573</v>
      </c>
      <c r="K81" s="4006" t="s">
        <v>4574</v>
      </c>
      <c r="L81" s="346" t="s">
        <v>4575</v>
      </c>
      <c r="M81" s="4006" t="s">
        <v>4576</v>
      </c>
      <c r="N81" s="346" t="s">
        <v>4577</v>
      </c>
      <c r="O81" s="4006" t="s">
        <v>4578</v>
      </c>
      <c r="P81" s="346" t="s">
        <v>4579</v>
      </c>
      <c r="Q81" s="4006" t="s">
        <v>4580</v>
      </c>
      <c r="R81" s="346" t="s">
        <v>4581</v>
      </c>
      <c r="S81" s="4006" t="s">
        <v>4582</v>
      </c>
      <c r="T81" s="346" t="s">
        <v>4583</v>
      </c>
      <c r="U81" s="4006" t="s">
        <v>4584</v>
      </c>
      <c r="V81" s="346" t="s">
        <v>4585</v>
      </c>
      <c r="W81" s="4006" t="s">
        <v>4586</v>
      </c>
      <c r="X81" s="346" t="s">
        <v>4587</v>
      </c>
      <c r="Y81" s="4006" t="s">
        <v>4588</v>
      </c>
      <c r="Z81" s="346" t="s">
        <v>4589</v>
      </c>
      <c r="AA81" s="4006" t="s">
        <v>4590</v>
      </c>
      <c r="AB81" s="346" t="s">
        <v>4591</v>
      </c>
      <c r="AC81" s="4006" t="s">
        <v>4592</v>
      </c>
      <c r="AD81" s="346" t="s">
        <v>4593</v>
      </c>
      <c r="AE81" s="4006" t="s">
        <v>4594</v>
      </c>
      <c r="AF81" s="346" t="s">
        <v>4595</v>
      </c>
      <c r="AG81" s="4006" t="s">
        <v>4596</v>
      </c>
      <c r="AH81" s="346" t="s">
        <v>4597</v>
      </c>
      <c r="AI81" s="4006" t="s">
        <v>4598</v>
      </c>
      <c r="AJ81" s="346" t="s">
        <v>4599</v>
      </c>
      <c r="AK81" s="4006" t="s">
        <v>4600</v>
      </c>
      <c r="AL81" s="346" t="s">
        <v>4601</v>
      </c>
      <c r="AM81" s="4006" t="s">
        <v>4602</v>
      </c>
      <c r="AN81" s="346" t="s">
        <v>4603</v>
      </c>
      <c r="AO81" s="4096" t="s">
        <v>4604</v>
      </c>
      <c r="AP81" s="1137" t="s">
        <v>4605</v>
      </c>
      <c r="AQ81" s="34" t="s">
        <v>4606</v>
      </c>
      <c r="AR81" s="4109" t="s">
        <v>4934</v>
      </c>
      <c r="AS81" s="4109" t="s">
        <v>4935</v>
      </c>
      <c r="AT81" s="4109" t="s">
        <v>4936</v>
      </c>
      <c r="AU81" s="4109" t="s">
        <v>4937</v>
      </c>
      <c r="AV81" s="4109" t="s">
        <v>5234</v>
      </c>
      <c r="AW81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1" s="1865" t="str">
        <f t="shared" si="1"/>
        <v xml:space="preserve">* El Número de Espacios Amigables no puede superar el Total. </v>
      </c>
      <c r="CC81" s="1865" t="str">
        <f t="shared" si="2"/>
        <v xml:space="preserve">* El Número de TRANS Masculino no puede superar el Total Mujeres. </v>
      </c>
      <c r="CD81" s="1865" t="str">
        <f t="shared" si="3"/>
        <v xml:space="preserve">* El Número de TRANS Femenino no puede superar el Total Hombres. </v>
      </c>
      <c r="CE81" s="1865" t="str">
        <f t="shared" si="4"/>
        <v xml:space="preserve">* El Número de Pueblos Originarios no puede superar el Total. </v>
      </c>
      <c r="CF81" s="1865" t="str">
        <f t="shared" si="5"/>
        <v xml:space="preserve">* El Número de Migrantes no puede superar el Total. </v>
      </c>
      <c r="CG81" s="4108" t="str">
        <f t="shared" si="27"/>
        <v xml:space="preserve">* La variable 14-18 años no puede ser mayor al total por grupo edad de 10 a 19 años. </v>
      </c>
      <c r="CH81" s="1865" t="str">
        <f t="shared" si="6"/>
        <v xml:space="preserve">* El Número de Niños, Niñas, Adolescentes y Jóvenes SENAME no puede superar el Total. </v>
      </c>
      <c r="CI81" s="1865" t="str">
        <f t="shared" si="7"/>
        <v xml:space="preserve">* El Número de Niños, Niñas, Adolescentes y Jóvenes Mejor Niñez no puede superar el Total. </v>
      </c>
      <c r="CJ81" s="1936"/>
      <c r="CK81" s="1867">
        <f t="shared" si="8"/>
        <v>1</v>
      </c>
      <c r="CL81" s="1867">
        <f t="shared" si="9"/>
        <v>1</v>
      </c>
      <c r="CM81" s="1867">
        <f t="shared" si="10"/>
        <v>1</v>
      </c>
      <c r="CN81" s="1867">
        <f t="shared" si="11"/>
        <v>1</v>
      </c>
      <c r="CO81" s="1867">
        <f t="shared" si="11"/>
        <v>1</v>
      </c>
      <c r="CP81" s="3906">
        <f t="shared" si="28"/>
        <v>1</v>
      </c>
      <c r="CQ81" s="1867">
        <f t="shared" si="12"/>
        <v>1</v>
      </c>
      <c r="CR81" s="1867">
        <f t="shared" si="12"/>
        <v>1</v>
      </c>
    </row>
    <row r="82" spans="1:96" x14ac:dyDescent="0.25">
      <c r="A82" s="5823">
        <v>19201013</v>
      </c>
      <c r="B82" s="6058"/>
      <c r="C82" s="4093" t="s">
        <v>105</v>
      </c>
      <c r="D82" s="4117" t="s">
        <v>4567</v>
      </c>
      <c r="E82" s="4118" t="s">
        <v>4568</v>
      </c>
      <c r="F82" s="3455" t="s">
        <v>4569</v>
      </c>
      <c r="G82" s="4006" t="s">
        <v>4570</v>
      </c>
      <c r="H82" s="346" t="s">
        <v>4571</v>
      </c>
      <c r="I82" s="4006" t="s">
        <v>4572</v>
      </c>
      <c r="J82" s="346" t="s">
        <v>4573</v>
      </c>
      <c r="K82" s="4006" t="s">
        <v>4574</v>
      </c>
      <c r="L82" s="346" t="s">
        <v>4575</v>
      </c>
      <c r="M82" s="4006" t="s">
        <v>4576</v>
      </c>
      <c r="N82" s="346" t="s">
        <v>4577</v>
      </c>
      <c r="O82" s="4006" t="s">
        <v>4578</v>
      </c>
      <c r="P82" s="346" t="s">
        <v>4579</v>
      </c>
      <c r="Q82" s="4006" t="s">
        <v>4580</v>
      </c>
      <c r="R82" s="346" t="s">
        <v>4581</v>
      </c>
      <c r="S82" s="4006" t="s">
        <v>4582</v>
      </c>
      <c r="T82" s="346" t="s">
        <v>4583</v>
      </c>
      <c r="U82" s="4006" t="s">
        <v>4584</v>
      </c>
      <c r="V82" s="346" t="s">
        <v>4585</v>
      </c>
      <c r="W82" s="4006" t="s">
        <v>4586</v>
      </c>
      <c r="X82" s="346" t="s">
        <v>4587</v>
      </c>
      <c r="Y82" s="4006" t="s">
        <v>4588</v>
      </c>
      <c r="Z82" s="346" t="s">
        <v>4589</v>
      </c>
      <c r="AA82" s="4006" t="s">
        <v>4590</v>
      </c>
      <c r="AB82" s="346" t="s">
        <v>4591</v>
      </c>
      <c r="AC82" s="4006" t="s">
        <v>4592</v>
      </c>
      <c r="AD82" s="346" t="s">
        <v>4593</v>
      </c>
      <c r="AE82" s="4006" t="s">
        <v>4594</v>
      </c>
      <c r="AF82" s="346" t="s">
        <v>4595</v>
      </c>
      <c r="AG82" s="4006" t="s">
        <v>4596</v>
      </c>
      <c r="AH82" s="346" t="s">
        <v>4597</v>
      </c>
      <c r="AI82" s="4006" t="s">
        <v>4598</v>
      </c>
      <c r="AJ82" s="346" t="s">
        <v>4599</v>
      </c>
      <c r="AK82" s="4006" t="s">
        <v>4600</v>
      </c>
      <c r="AL82" s="346" t="s">
        <v>4601</v>
      </c>
      <c r="AM82" s="4006" t="s">
        <v>4602</v>
      </c>
      <c r="AN82" s="346" t="s">
        <v>4603</v>
      </c>
      <c r="AO82" s="4096" t="s">
        <v>4604</v>
      </c>
      <c r="AP82" s="1137" t="s">
        <v>4605</v>
      </c>
      <c r="AQ82" s="34" t="s">
        <v>4606</v>
      </c>
      <c r="AR82" s="4109" t="s">
        <v>4934</v>
      </c>
      <c r="AS82" s="4109" t="s">
        <v>4935</v>
      </c>
      <c r="AT82" s="4109" t="s">
        <v>4936</v>
      </c>
      <c r="AU82" s="4109" t="s">
        <v>4937</v>
      </c>
      <c r="AV82" s="4109" t="s">
        <v>5234</v>
      </c>
      <c r="AW82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2" s="1865" t="str">
        <f t="shared" si="1"/>
        <v xml:space="preserve">* El Número de Espacios Amigables no puede superar el Total. </v>
      </c>
      <c r="CC82" s="1865" t="str">
        <f t="shared" si="2"/>
        <v xml:space="preserve">* El Número de TRANS Masculino no puede superar el Total Mujeres. </v>
      </c>
      <c r="CD82" s="1865" t="str">
        <f t="shared" si="3"/>
        <v xml:space="preserve">* El Número de TRANS Femenino no puede superar el Total Hombres. </v>
      </c>
      <c r="CE82" s="1865" t="str">
        <f t="shared" si="4"/>
        <v xml:space="preserve">* El Número de Pueblos Originarios no puede superar el Total. </v>
      </c>
      <c r="CF82" s="1865" t="str">
        <f t="shared" si="5"/>
        <v xml:space="preserve">* El Número de Migrantes no puede superar el Total. </v>
      </c>
      <c r="CG82" s="4108" t="str">
        <f t="shared" si="27"/>
        <v xml:space="preserve">* La variable 14-18 años no puede ser mayor al total por grupo edad de 10 a 19 años. </v>
      </c>
      <c r="CH82" s="1865" t="str">
        <f t="shared" si="6"/>
        <v xml:space="preserve">* El Número de Niños, Niñas, Adolescentes y Jóvenes SENAME no puede superar el Total. </v>
      </c>
      <c r="CI82" s="1865" t="str">
        <f t="shared" si="7"/>
        <v xml:space="preserve">* El Número de Niños, Niñas, Adolescentes y Jóvenes Mejor Niñez no puede superar el Total. </v>
      </c>
      <c r="CJ82" s="1936"/>
      <c r="CK82" s="1867">
        <f t="shared" ref="CK82:CK84" si="29">IF(AND($D82&lt;&gt;0,AO82=""),1,IF(AO82&gt;$D82,1,0))</f>
        <v>1</v>
      </c>
      <c r="CL82" s="1867">
        <f t="shared" ref="CL82:CL84" si="30">IF(AND(F82&gt;0,OR(AP82="")),1,IF(AP82&gt;F82,1,0))</f>
        <v>1</v>
      </c>
      <c r="CM82" s="1867">
        <f t="shared" ref="CM82:CM84" si="31">IF(AND(E82&gt;0,OR(AQ82="")),1,IF(AQ82&gt;E82,1,0))</f>
        <v>1</v>
      </c>
      <c r="CN82" s="1867">
        <f t="shared" ref="CN82:CN84" si="32">IF(AND($D82&lt;&gt;0,AR82=""),1,IF(AR82&gt;$D82,1,0))</f>
        <v>1</v>
      </c>
      <c r="CO82" s="1867">
        <f t="shared" ref="CO82:CO84" si="33">IF(AND($D82&lt;&gt;0,AS82=""),1,IF(AS82&gt;$D82,1,0))</f>
        <v>1</v>
      </c>
      <c r="CP82" s="3906">
        <f t="shared" ref="CP82:CP84" si="34">IF(AND(SUM(K82:N82)&gt;0,AT82=""),1,IF(AT82&gt;SUM(K82:N82),1,0))</f>
        <v>1</v>
      </c>
      <c r="CQ82" s="1867">
        <f t="shared" ref="CQ82:CQ84" si="35">IF(AND($D82&lt;&gt;0,AU82=""),1,IF(AU82&gt;$D82,1,0))</f>
        <v>1</v>
      </c>
      <c r="CR82" s="1867">
        <f t="shared" ref="CR82:CR84" si="36">IF(AND($D82&lt;&gt;0,AV82=""),1,IF(AV82&gt;$D82,1,0))</f>
        <v>1</v>
      </c>
    </row>
    <row r="83" spans="1:96" x14ac:dyDescent="0.25">
      <c r="A83" s="5823">
        <v>19201014</v>
      </c>
      <c r="B83" s="6058"/>
      <c r="C83" s="4093" t="s">
        <v>1035</v>
      </c>
      <c r="D83" s="4117" t="s">
        <v>4567</v>
      </c>
      <c r="E83" s="4118" t="s">
        <v>4568</v>
      </c>
      <c r="F83" s="3455" t="s">
        <v>4569</v>
      </c>
      <c r="G83" s="4006" t="s">
        <v>4570</v>
      </c>
      <c r="H83" s="346" t="s">
        <v>4571</v>
      </c>
      <c r="I83" s="4006" t="s">
        <v>4572</v>
      </c>
      <c r="J83" s="346" t="s">
        <v>4573</v>
      </c>
      <c r="K83" s="4006" t="s">
        <v>4574</v>
      </c>
      <c r="L83" s="346" t="s">
        <v>4575</v>
      </c>
      <c r="M83" s="4006" t="s">
        <v>4576</v>
      </c>
      <c r="N83" s="346" t="s">
        <v>4577</v>
      </c>
      <c r="O83" s="4006" t="s">
        <v>4578</v>
      </c>
      <c r="P83" s="346" t="s">
        <v>4579</v>
      </c>
      <c r="Q83" s="4006" t="s">
        <v>4580</v>
      </c>
      <c r="R83" s="346" t="s">
        <v>4581</v>
      </c>
      <c r="S83" s="4006" t="s">
        <v>4582</v>
      </c>
      <c r="T83" s="346" t="s">
        <v>4583</v>
      </c>
      <c r="U83" s="4006" t="s">
        <v>4584</v>
      </c>
      <c r="V83" s="346" t="s">
        <v>4585</v>
      </c>
      <c r="W83" s="4006" t="s">
        <v>4586</v>
      </c>
      <c r="X83" s="346" t="s">
        <v>4587</v>
      </c>
      <c r="Y83" s="4006" t="s">
        <v>4588</v>
      </c>
      <c r="Z83" s="346" t="s">
        <v>4589</v>
      </c>
      <c r="AA83" s="4006" t="s">
        <v>4590</v>
      </c>
      <c r="AB83" s="346" t="s">
        <v>4591</v>
      </c>
      <c r="AC83" s="4006" t="s">
        <v>4592</v>
      </c>
      <c r="AD83" s="346" t="s">
        <v>4593</v>
      </c>
      <c r="AE83" s="4006" t="s">
        <v>4594</v>
      </c>
      <c r="AF83" s="346" t="s">
        <v>4595</v>
      </c>
      <c r="AG83" s="4006" t="s">
        <v>4596</v>
      </c>
      <c r="AH83" s="346" t="s">
        <v>4597</v>
      </c>
      <c r="AI83" s="4006" t="s">
        <v>4598</v>
      </c>
      <c r="AJ83" s="346" t="s">
        <v>4599</v>
      </c>
      <c r="AK83" s="4006" t="s">
        <v>4600</v>
      </c>
      <c r="AL83" s="346" t="s">
        <v>4601</v>
      </c>
      <c r="AM83" s="4006" t="s">
        <v>4602</v>
      </c>
      <c r="AN83" s="346" t="s">
        <v>4603</v>
      </c>
      <c r="AO83" s="4096" t="s">
        <v>4604</v>
      </c>
      <c r="AP83" s="1137" t="s">
        <v>4605</v>
      </c>
      <c r="AQ83" s="34" t="s">
        <v>4606</v>
      </c>
      <c r="AR83" s="4109" t="s">
        <v>4934</v>
      </c>
      <c r="AS83" s="4109" t="s">
        <v>4935</v>
      </c>
      <c r="AT83" s="4109" t="s">
        <v>4936</v>
      </c>
      <c r="AU83" s="4109" t="s">
        <v>4937</v>
      </c>
      <c r="AV83" s="4109" t="s">
        <v>5234</v>
      </c>
      <c r="AW83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3" s="1865" t="str">
        <f t="shared" si="1"/>
        <v xml:space="preserve">* El Número de Espacios Amigables no puede superar el Total. </v>
      </c>
      <c r="CC83" s="1865" t="str">
        <f t="shared" si="2"/>
        <v xml:space="preserve">* El Número de TRANS Masculino no puede superar el Total Mujeres. </v>
      </c>
      <c r="CD83" s="1865" t="str">
        <f t="shared" si="3"/>
        <v xml:space="preserve">* El Número de TRANS Femenino no puede superar el Total Hombres. </v>
      </c>
      <c r="CE83" s="1865" t="str">
        <f t="shared" si="4"/>
        <v xml:space="preserve">* El Número de Pueblos Originarios no puede superar el Total. </v>
      </c>
      <c r="CF83" s="1865" t="str">
        <f t="shared" si="5"/>
        <v xml:space="preserve">* El Número de Migrantes no puede superar el Total. </v>
      </c>
      <c r="CG83" s="4108" t="str">
        <f t="shared" si="27"/>
        <v xml:space="preserve">* La variable 14-18 años no puede ser mayor al total por grupo edad de 10 a 19 años. </v>
      </c>
      <c r="CH83" s="1865" t="str">
        <f t="shared" si="6"/>
        <v xml:space="preserve">* El Número de Niños, Niñas, Adolescentes y Jóvenes SENAME no puede superar el Total. </v>
      </c>
      <c r="CI83" s="1865" t="str">
        <f t="shared" si="7"/>
        <v xml:space="preserve">* El Número de Niños, Niñas, Adolescentes y Jóvenes Mejor Niñez no puede superar el Total. </v>
      </c>
      <c r="CJ83" s="1936"/>
      <c r="CK83" s="1867">
        <f t="shared" si="29"/>
        <v>1</v>
      </c>
      <c r="CL83" s="1867">
        <f t="shared" si="30"/>
        <v>1</v>
      </c>
      <c r="CM83" s="1867">
        <f t="shared" si="31"/>
        <v>1</v>
      </c>
      <c r="CN83" s="1867">
        <f t="shared" si="32"/>
        <v>1</v>
      </c>
      <c r="CO83" s="1867">
        <f t="shared" si="33"/>
        <v>1</v>
      </c>
      <c r="CP83" s="3906">
        <f t="shared" si="34"/>
        <v>1</v>
      </c>
      <c r="CQ83" s="1867">
        <f t="shared" si="35"/>
        <v>1</v>
      </c>
      <c r="CR83" s="1867">
        <f t="shared" si="36"/>
        <v>1</v>
      </c>
    </row>
    <row r="84" spans="1:96" ht="14.25" customHeight="1" x14ac:dyDescent="0.25">
      <c r="A84" s="5823">
        <v>19201015</v>
      </c>
      <c r="B84" s="6058"/>
      <c r="C84" s="4093" t="s">
        <v>1034</v>
      </c>
      <c r="D84" s="4117" t="s">
        <v>4567</v>
      </c>
      <c r="E84" s="4118" t="s">
        <v>4568</v>
      </c>
      <c r="F84" s="3455" t="s">
        <v>4569</v>
      </c>
      <c r="G84" s="4006" t="s">
        <v>4570</v>
      </c>
      <c r="H84" s="346" t="s">
        <v>4571</v>
      </c>
      <c r="I84" s="4006" t="s">
        <v>4572</v>
      </c>
      <c r="J84" s="346" t="s">
        <v>4573</v>
      </c>
      <c r="K84" s="4006" t="s">
        <v>4574</v>
      </c>
      <c r="L84" s="346" t="s">
        <v>4575</v>
      </c>
      <c r="M84" s="4006" t="s">
        <v>4576</v>
      </c>
      <c r="N84" s="346" t="s">
        <v>4577</v>
      </c>
      <c r="O84" s="4006" t="s">
        <v>4578</v>
      </c>
      <c r="P84" s="346" t="s">
        <v>4579</v>
      </c>
      <c r="Q84" s="4006" t="s">
        <v>4580</v>
      </c>
      <c r="R84" s="346" t="s">
        <v>4581</v>
      </c>
      <c r="S84" s="4006" t="s">
        <v>4582</v>
      </c>
      <c r="T84" s="346" t="s">
        <v>4583</v>
      </c>
      <c r="U84" s="4006" t="s">
        <v>4584</v>
      </c>
      <c r="V84" s="346" t="s">
        <v>4585</v>
      </c>
      <c r="W84" s="4006" t="s">
        <v>4586</v>
      </c>
      <c r="X84" s="346" t="s">
        <v>4587</v>
      </c>
      <c r="Y84" s="4006" t="s">
        <v>4588</v>
      </c>
      <c r="Z84" s="346" t="s">
        <v>4589</v>
      </c>
      <c r="AA84" s="4006" t="s">
        <v>4590</v>
      </c>
      <c r="AB84" s="346" t="s">
        <v>4591</v>
      </c>
      <c r="AC84" s="4006" t="s">
        <v>4592</v>
      </c>
      <c r="AD84" s="346" t="s">
        <v>4593</v>
      </c>
      <c r="AE84" s="4006" t="s">
        <v>4594</v>
      </c>
      <c r="AF84" s="346" t="s">
        <v>4595</v>
      </c>
      <c r="AG84" s="4006" t="s">
        <v>4596</v>
      </c>
      <c r="AH84" s="346" t="s">
        <v>4597</v>
      </c>
      <c r="AI84" s="4006" t="s">
        <v>4598</v>
      </c>
      <c r="AJ84" s="346" t="s">
        <v>4599</v>
      </c>
      <c r="AK84" s="4006" t="s">
        <v>4600</v>
      </c>
      <c r="AL84" s="346" t="s">
        <v>4601</v>
      </c>
      <c r="AM84" s="4006" t="s">
        <v>4602</v>
      </c>
      <c r="AN84" s="346" t="s">
        <v>4603</v>
      </c>
      <c r="AO84" s="4096" t="s">
        <v>4604</v>
      </c>
      <c r="AP84" s="1137" t="s">
        <v>4605</v>
      </c>
      <c r="AQ84" s="34" t="s">
        <v>4606</v>
      </c>
      <c r="AR84" s="4109" t="s">
        <v>4934</v>
      </c>
      <c r="AS84" s="4109" t="s">
        <v>4935</v>
      </c>
      <c r="AT84" s="4109" t="s">
        <v>4936</v>
      </c>
      <c r="AU84" s="4109" t="s">
        <v>4937</v>
      </c>
      <c r="AV84" s="4109" t="s">
        <v>5234</v>
      </c>
      <c r="AW84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4" s="1865" t="str">
        <f t="shared" si="1"/>
        <v xml:space="preserve">* El Número de Espacios Amigables no puede superar el Total. </v>
      </c>
      <c r="CC84" s="1865" t="str">
        <f t="shared" si="2"/>
        <v xml:space="preserve">* El Número de TRANS Masculino no puede superar el Total Mujeres. </v>
      </c>
      <c r="CD84" s="1865" t="str">
        <f t="shared" si="3"/>
        <v xml:space="preserve">* El Número de TRANS Femenino no puede superar el Total Hombres. </v>
      </c>
      <c r="CE84" s="1865" t="str">
        <f t="shared" si="4"/>
        <v xml:space="preserve">* El Número de Pueblos Originarios no puede superar el Total. </v>
      </c>
      <c r="CF84" s="1865" t="str">
        <f t="shared" si="5"/>
        <v xml:space="preserve">* El Número de Migrantes no puede superar el Total. </v>
      </c>
      <c r="CG84" s="4108" t="str">
        <f t="shared" si="27"/>
        <v xml:space="preserve">* La variable 14-18 años no puede ser mayor al total por grupo edad de 10 a 19 años. </v>
      </c>
      <c r="CH84" s="1865" t="str">
        <f t="shared" si="6"/>
        <v xml:space="preserve">* El Número de Niños, Niñas, Adolescentes y Jóvenes SENAME no puede superar el Total. </v>
      </c>
      <c r="CI84" s="1865" t="str">
        <f t="shared" si="7"/>
        <v xml:space="preserve">* El Número de Niños, Niñas, Adolescentes y Jóvenes Mejor Niñez no puede superar el Total. </v>
      </c>
      <c r="CJ84" s="1936"/>
      <c r="CK84" s="1867">
        <f t="shared" si="29"/>
        <v>1</v>
      </c>
      <c r="CL84" s="1867">
        <f t="shared" si="30"/>
        <v>1</v>
      </c>
      <c r="CM84" s="1867">
        <f t="shared" si="31"/>
        <v>1</v>
      </c>
      <c r="CN84" s="1867">
        <f t="shared" si="32"/>
        <v>1</v>
      </c>
      <c r="CO84" s="1867">
        <f t="shared" si="33"/>
        <v>1</v>
      </c>
      <c r="CP84" s="3906">
        <f t="shared" si="34"/>
        <v>1</v>
      </c>
      <c r="CQ84" s="1867">
        <f t="shared" si="35"/>
        <v>1</v>
      </c>
      <c r="CR84" s="1867">
        <f t="shared" si="36"/>
        <v>1</v>
      </c>
    </row>
    <row r="85" spans="1:96" x14ac:dyDescent="0.25">
      <c r="A85" s="5823">
        <v>19201016</v>
      </c>
      <c r="B85" s="6058"/>
      <c r="C85" s="4093" t="s">
        <v>1406</v>
      </c>
      <c r="D85" s="4117" t="s">
        <v>4567</v>
      </c>
      <c r="E85" s="4118" t="s">
        <v>4568</v>
      </c>
      <c r="F85" s="3455" t="s">
        <v>4569</v>
      </c>
      <c r="G85" s="4006" t="s">
        <v>4570</v>
      </c>
      <c r="H85" s="346" t="s">
        <v>4571</v>
      </c>
      <c r="I85" s="4006" t="s">
        <v>4572</v>
      </c>
      <c r="J85" s="346" t="s">
        <v>4573</v>
      </c>
      <c r="K85" s="4006" t="s">
        <v>4574</v>
      </c>
      <c r="L85" s="346" t="s">
        <v>4575</v>
      </c>
      <c r="M85" s="4006" t="s">
        <v>4576</v>
      </c>
      <c r="N85" s="346" t="s">
        <v>4577</v>
      </c>
      <c r="O85" s="4006" t="s">
        <v>4578</v>
      </c>
      <c r="P85" s="346" t="s">
        <v>4579</v>
      </c>
      <c r="Q85" s="4006" t="s">
        <v>4580</v>
      </c>
      <c r="R85" s="346" t="s">
        <v>4581</v>
      </c>
      <c r="S85" s="4006" t="s">
        <v>4582</v>
      </c>
      <c r="T85" s="346" t="s">
        <v>4583</v>
      </c>
      <c r="U85" s="4006" t="s">
        <v>4584</v>
      </c>
      <c r="V85" s="346" t="s">
        <v>4585</v>
      </c>
      <c r="W85" s="4006" t="s">
        <v>4586</v>
      </c>
      <c r="X85" s="346" t="s">
        <v>4587</v>
      </c>
      <c r="Y85" s="4006" t="s">
        <v>4588</v>
      </c>
      <c r="Z85" s="346" t="s">
        <v>4589</v>
      </c>
      <c r="AA85" s="4006" t="s">
        <v>4590</v>
      </c>
      <c r="AB85" s="346" t="s">
        <v>4591</v>
      </c>
      <c r="AC85" s="4006" t="s">
        <v>4592</v>
      </c>
      <c r="AD85" s="346" t="s">
        <v>4593</v>
      </c>
      <c r="AE85" s="4006" t="s">
        <v>4594</v>
      </c>
      <c r="AF85" s="346" t="s">
        <v>4595</v>
      </c>
      <c r="AG85" s="4006" t="s">
        <v>4596</v>
      </c>
      <c r="AH85" s="346" t="s">
        <v>4597</v>
      </c>
      <c r="AI85" s="4006" t="s">
        <v>4598</v>
      </c>
      <c r="AJ85" s="346" t="s">
        <v>4599</v>
      </c>
      <c r="AK85" s="4006" t="s">
        <v>4600</v>
      </c>
      <c r="AL85" s="346" t="s">
        <v>4601</v>
      </c>
      <c r="AM85" s="4006" t="s">
        <v>4602</v>
      </c>
      <c r="AN85" s="346" t="s">
        <v>4603</v>
      </c>
      <c r="AO85" s="4096" t="s">
        <v>4604</v>
      </c>
      <c r="AP85" s="1137" t="s">
        <v>4605</v>
      </c>
      <c r="AQ85" s="34" t="s">
        <v>4606</v>
      </c>
      <c r="AR85" s="4109" t="s">
        <v>4934</v>
      </c>
      <c r="AS85" s="4109" t="s">
        <v>4935</v>
      </c>
      <c r="AT85" s="4109" t="s">
        <v>4936</v>
      </c>
      <c r="AU85" s="4109" t="s">
        <v>4937</v>
      </c>
      <c r="AV85" s="4109" t="s">
        <v>5234</v>
      </c>
      <c r="AW85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5" s="1865" t="str">
        <f t="shared" si="1"/>
        <v xml:space="preserve">* El Número de Espacios Amigables no puede superar el Total. </v>
      </c>
      <c r="CC85" s="1865" t="str">
        <f t="shared" si="2"/>
        <v xml:space="preserve">* El Número de TRANS Masculino no puede superar el Total Mujeres. </v>
      </c>
      <c r="CD85" s="1865" t="str">
        <f t="shared" si="3"/>
        <v xml:space="preserve">* El Número de TRANS Femenino no puede superar el Total Hombres. </v>
      </c>
      <c r="CE85" s="1865" t="str">
        <f t="shared" si="4"/>
        <v xml:space="preserve">* El Número de Pueblos Originarios no puede superar el Total. </v>
      </c>
      <c r="CF85" s="1865" t="str">
        <f t="shared" si="5"/>
        <v xml:space="preserve">* El Número de Migrantes no puede superar el Total. </v>
      </c>
      <c r="CG85" s="4108" t="str">
        <f t="shared" si="27"/>
        <v xml:space="preserve">* La variable 14-18 años no puede ser mayor al total por grupo edad de 10 a 19 años. </v>
      </c>
      <c r="CH85" s="1865" t="str">
        <f t="shared" si="6"/>
        <v xml:space="preserve">* El Número de Niños, Niñas, Adolescentes y Jóvenes SENAME no puede superar el Total. </v>
      </c>
      <c r="CI85" s="1865" t="str">
        <f t="shared" si="7"/>
        <v xml:space="preserve">* El Número de Niños, Niñas, Adolescentes y Jóvenes Mejor Niñez no puede superar el Total. </v>
      </c>
      <c r="CJ85" s="1936"/>
      <c r="CK85" s="1867">
        <f t="shared" si="8"/>
        <v>1</v>
      </c>
      <c r="CL85" s="1867">
        <f t="shared" si="9"/>
        <v>1</v>
      </c>
      <c r="CM85" s="1867">
        <f t="shared" si="10"/>
        <v>1</v>
      </c>
      <c r="CN85" s="1867">
        <f t="shared" si="11"/>
        <v>1</v>
      </c>
      <c r="CO85" s="1867">
        <f t="shared" si="11"/>
        <v>1</v>
      </c>
      <c r="CP85" s="3906">
        <f t="shared" si="28"/>
        <v>1</v>
      </c>
      <c r="CQ85" s="1867">
        <f t="shared" si="12"/>
        <v>1</v>
      </c>
      <c r="CR85" s="1867">
        <f t="shared" si="12"/>
        <v>1</v>
      </c>
    </row>
    <row r="86" spans="1:96" x14ac:dyDescent="0.25">
      <c r="A86" s="5823">
        <v>19201017</v>
      </c>
      <c r="B86" s="6058"/>
      <c r="C86" s="4098" t="s">
        <v>2063</v>
      </c>
      <c r="D86" s="4117" t="s">
        <v>4567</v>
      </c>
      <c r="E86" s="4118" t="s">
        <v>4568</v>
      </c>
      <c r="F86" s="3455" t="s">
        <v>4569</v>
      </c>
      <c r="G86" s="4006" t="s">
        <v>4570</v>
      </c>
      <c r="H86" s="346" t="s">
        <v>4571</v>
      </c>
      <c r="I86" s="4006" t="s">
        <v>4572</v>
      </c>
      <c r="J86" s="346" t="s">
        <v>4573</v>
      </c>
      <c r="K86" s="4006" t="s">
        <v>4574</v>
      </c>
      <c r="L86" s="346" t="s">
        <v>4575</v>
      </c>
      <c r="M86" s="4006" t="s">
        <v>4576</v>
      </c>
      <c r="N86" s="346" t="s">
        <v>4577</v>
      </c>
      <c r="O86" s="4006" t="s">
        <v>4578</v>
      </c>
      <c r="P86" s="346" t="s">
        <v>4579</v>
      </c>
      <c r="Q86" s="4006" t="s">
        <v>4580</v>
      </c>
      <c r="R86" s="346" t="s">
        <v>4581</v>
      </c>
      <c r="S86" s="4006" t="s">
        <v>4582</v>
      </c>
      <c r="T86" s="346" t="s">
        <v>4583</v>
      </c>
      <c r="U86" s="4006" t="s">
        <v>4584</v>
      </c>
      <c r="V86" s="346" t="s">
        <v>4585</v>
      </c>
      <c r="W86" s="4006" t="s">
        <v>4586</v>
      </c>
      <c r="X86" s="346" t="s">
        <v>4587</v>
      </c>
      <c r="Y86" s="4006" t="s">
        <v>4588</v>
      </c>
      <c r="Z86" s="346" t="s">
        <v>4589</v>
      </c>
      <c r="AA86" s="4006" t="s">
        <v>4590</v>
      </c>
      <c r="AB86" s="346" t="s">
        <v>4591</v>
      </c>
      <c r="AC86" s="4006" t="s">
        <v>4592</v>
      </c>
      <c r="AD86" s="346" t="s">
        <v>4593</v>
      </c>
      <c r="AE86" s="4006" t="s">
        <v>4594</v>
      </c>
      <c r="AF86" s="346" t="s">
        <v>4595</v>
      </c>
      <c r="AG86" s="4006" t="s">
        <v>4596</v>
      </c>
      <c r="AH86" s="346" t="s">
        <v>4597</v>
      </c>
      <c r="AI86" s="4006" t="s">
        <v>4598</v>
      </c>
      <c r="AJ86" s="346" t="s">
        <v>4599</v>
      </c>
      <c r="AK86" s="4006" t="s">
        <v>4600</v>
      </c>
      <c r="AL86" s="346" t="s">
        <v>4601</v>
      </c>
      <c r="AM86" s="4006" t="s">
        <v>4602</v>
      </c>
      <c r="AN86" s="346" t="s">
        <v>4603</v>
      </c>
      <c r="AO86" s="4096" t="s">
        <v>4604</v>
      </c>
      <c r="AP86" s="1137" t="s">
        <v>4605</v>
      </c>
      <c r="AQ86" s="34" t="s">
        <v>4606</v>
      </c>
      <c r="AR86" s="4109" t="s">
        <v>4934</v>
      </c>
      <c r="AS86" s="4109" t="s">
        <v>4935</v>
      </c>
      <c r="AT86" s="4109" t="s">
        <v>4936</v>
      </c>
      <c r="AU86" s="4109" t="s">
        <v>4937</v>
      </c>
      <c r="AV86" s="4109" t="s">
        <v>5234</v>
      </c>
      <c r="AW86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6" s="1865" t="str">
        <f t="shared" si="1"/>
        <v xml:space="preserve">* El Número de Espacios Amigables no puede superar el Total. </v>
      </c>
      <c r="CC86" s="1865" t="str">
        <f t="shared" si="2"/>
        <v xml:space="preserve">* El Número de TRANS Masculino no puede superar el Total Mujeres. </v>
      </c>
      <c r="CD86" s="1865" t="str">
        <f t="shared" si="3"/>
        <v xml:space="preserve">* El Número de TRANS Femenino no puede superar el Total Hombres. </v>
      </c>
      <c r="CE86" s="1865" t="str">
        <f t="shared" si="4"/>
        <v xml:space="preserve">* El Número de Pueblos Originarios no puede superar el Total. </v>
      </c>
      <c r="CF86" s="1865" t="str">
        <f t="shared" si="5"/>
        <v xml:space="preserve">* El Número de Migrantes no puede superar el Total. </v>
      </c>
      <c r="CG86" s="4108" t="str">
        <f t="shared" si="27"/>
        <v xml:space="preserve">* La variable 14-18 años no puede ser mayor al total por grupo edad de 10 a 19 años. </v>
      </c>
      <c r="CH86" s="1865" t="str">
        <f t="shared" si="6"/>
        <v xml:space="preserve">* El Número de Niños, Niñas, Adolescentes y Jóvenes SENAME no puede superar el Total. </v>
      </c>
      <c r="CI86" s="1865" t="str">
        <f t="shared" si="7"/>
        <v xml:space="preserve">* El Número de Niños, Niñas, Adolescentes y Jóvenes Mejor Niñez no puede superar el Total. </v>
      </c>
      <c r="CJ86" s="1936"/>
      <c r="CK86" s="1867">
        <f t="shared" si="8"/>
        <v>1</v>
      </c>
      <c r="CL86" s="1867">
        <f t="shared" si="9"/>
        <v>1</v>
      </c>
      <c r="CM86" s="1867">
        <f t="shared" si="10"/>
        <v>1</v>
      </c>
      <c r="CN86" s="1867">
        <f t="shared" si="11"/>
        <v>1</v>
      </c>
      <c r="CO86" s="1867">
        <f t="shared" si="11"/>
        <v>1</v>
      </c>
      <c r="CP86" s="3906">
        <f t="shared" si="28"/>
        <v>1</v>
      </c>
      <c r="CQ86" s="1867">
        <f t="shared" si="12"/>
        <v>1</v>
      </c>
      <c r="CR86" s="1867">
        <f t="shared" si="12"/>
        <v>1</v>
      </c>
    </row>
    <row r="87" spans="1:96" x14ac:dyDescent="0.25">
      <c r="A87" s="5823">
        <v>19201018</v>
      </c>
      <c r="B87" s="6058"/>
      <c r="C87" s="4093" t="s">
        <v>2064</v>
      </c>
      <c r="D87" s="4117" t="s">
        <v>4567</v>
      </c>
      <c r="E87" s="4118" t="s">
        <v>4568</v>
      </c>
      <c r="F87" s="3455" t="s">
        <v>4569</v>
      </c>
      <c r="G87" s="4006" t="s">
        <v>4570</v>
      </c>
      <c r="H87" s="346" t="s">
        <v>4571</v>
      </c>
      <c r="I87" s="4006" t="s">
        <v>4572</v>
      </c>
      <c r="J87" s="346" t="s">
        <v>4573</v>
      </c>
      <c r="K87" s="4006" t="s">
        <v>4574</v>
      </c>
      <c r="L87" s="346" t="s">
        <v>4575</v>
      </c>
      <c r="M87" s="4006" t="s">
        <v>4576</v>
      </c>
      <c r="N87" s="346" t="s">
        <v>4577</v>
      </c>
      <c r="O87" s="4006" t="s">
        <v>4578</v>
      </c>
      <c r="P87" s="346" t="s">
        <v>4579</v>
      </c>
      <c r="Q87" s="4006" t="s">
        <v>4580</v>
      </c>
      <c r="R87" s="346" t="s">
        <v>4581</v>
      </c>
      <c r="S87" s="4006" t="s">
        <v>4582</v>
      </c>
      <c r="T87" s="346" t="s">
        <v>4583</v>
      </c>
      <c r="U87" s="4006" t="s">
        <v>4584</v>
      </c>
      <c r="V87" s="346" t="s">
        <v>4585</v>
      </c>
      <c r="W87" s="4006" t="s">
        <v>4586</v>
      </c>
      <c r="X87" s="346" t="s">
        <v>4587</v>
      </c>
      <c r="Y87" s="4006" t="s">
        <v>4588</v>
      </c>
      <c r="Z87" s="346" t="s">
        <v>4589</v>
      </c>
      <c r="AA87" s="4006" t="s">
        <v>4590</v>
      </c>
      <c r="AB87" s="346" t="s">
        <v>4591</v>
      </c>
      <c r="AC87" s="4006" t="s">
        <v>4592</v>
      </c>
      <c r="AD87" s="346" t="s">
        <v>4593</v>
      </c>
      <c r="AE87" s="4006" t="s">
        <v>4594</v>
      </c>
      <c r="AF87" s="346" t="s">
        <v>4595</v>
      </c>
      <c r="AG87" s="4006" t="s">
        <v>4596</v>
      </c>
      <c r="AH87" s="346" t="s">
        <v>4597</v>
      </c>
      <c r="AI87" s="4006" t="s">
        <v>4598</v>
      </c>
      <c r="AJ87" s="346" t="s">
        <v>4599</v>
      </c>
      <c r="AK87" s="4006" t="s">
        <v>4600</v>
      </c>
      <c r="AL87" s="346" t="s">
        <v>4601</v>
      </c>
      <c r="AM87" s="4006" t="s">
        <v>4602</v>
      </c>
      <c r="AN87" s="346" t="s">
        <v>4603</v>
      </c>
      <c r="AO87" s="4096" t="s">
        <v>4604</v>
      </c>
      <c r="AP87" s="1137" t="s">
        <v>4605</v>
      </c>
      <c r="AQ87" s="34" t="s">
        <v>4606</v>
      </c>
      <c r="AR87" s="4109" t="s">
        <v>4934</v>
      </c>
      <c r="AS87" s="4109" t="s">
        <v>4935</v>
      </c>
      <c r="AT87" s="4109" t="s">
        <v>4936</v>
      </c>
      <c r="AU87" s="4109" t="s">
        <v>4937</v>
      </c>
      <c r="AV87" s="4109" t="s">
        <v>5234</v>
      </c>
      <c r="AW87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7" s="1865" t="str">
        <f t="shared" si="1"/>
        <v xml:space="preserve">* El Número de Espacios Amigables no puede superar el Total. </v>
      </c>
      <c r="CC87" s="1865" t="str">
        <f t="shared" si="2"/>
        <v xml:space="preserve">* El Número de TRANS Masculino no puede superar el Total Mujeres. </v>
      </c>
      <c r="CD87" s="1865" t="str">
        <f t="shared" si="3"/>
        <v xml:space="preserve">* El Número de TRANS Femenino no puede superar el Total Hombres. </v>
      </c>
      <c r="CE87" s="1865" t="str">
        <f t="shared" si="4"/>
        <v xml:space="preserve">* El Número de Pueblos Originarios no puede superar el Total. </v>
      </c>
      <c r="CF87" s="1865" t="str">
        <f t="shared" si="5"/>
        <v xml:space="preserve">* El Número de Migrantes no puede superar el Total. </v>
      </c>
      <c r="CG87" s="4108" t="str">
        <f t="shared" si="27"/>
        <v xml:space="preserve">* La variable 14-18 años no puede ser mayor al total por grupo edad de 10 a 19 años. </v>
      </c>
      <c r="CH87" s="1865" t="str">
        <f t="shared" si="6"/>
        <v xml:space="preserve">* El Número de Niños, Niñas, Adolescentes y Jóvenes SENAME no puede superar el Total. </v>
      </c>
      <c r="CI87" s="1865" t="str">
        <f t="shared" si="7"/>
        <v xml:space="preserve">* El Número de Niños, Niñas, Adolescentes y Jóvenes Mejor Niñez no puede superar el Total. </v>
      </c>
      <c r="CJ87" s="1936"/>
      <c r="CK87" s="1867">
        <f t="shared" si="8"/>
        <v>1</v>
      </c>
      <c r="CL87" s="1867">
        <f t="shared" si="9"/>
        <v>1</v>
      </c>
      <c r="CM87" s="1867">
        <f t="shared" si="10"/>
        <v>1</v>
      </c>
      <c r="CN87" s="1867">
        <f t="shared" si="11"/>
        <v>1</v>
      </c>
      <c r="CO87" s="1867">
        <f t="shared" si="11"/>
        <v>1</v>
      </c>
      <c r="CP87" s="3906">
        <f t="shared" si="28"/>
        <v>1</v>
      </c>
      <c r="CQ87" s="1867">
        <f t="shared" si="12"/>
        <v>1</v>
      </c>
      <c r="CR87" s="1867">
        <f t="shared" si="12"/>
        <v>1</v>
      </c>
    </row>
    <row r="88" spans="1:96" x14ac:dyDescent="0.25">
      <c r="A88" s="5823">
        <v>19201019</v>
      </c>
      <c r="B88" s="6058"/>
      <c r="C88" s="24" t="s">
        <v>2065</v>
      </c>
      <c r="D88" s="4117" t="s">
        <v>4567</v>
      </c>
      <c r="E88" s="4118" t="s">
        <v>4568</v>
      </c>
      <c r="F88" s="4119" t="s">
        <v>4569</v>
      </c>
      <c r="G88" s="4006" t="s">
        <v>4570</v>
      </c>
      <c r="H88" s="346" t="s">
        <v>4571</v>
      </c>
      <c r="I88" s="4006" t="s">
        <v>4572</v>
      </c>
      <c r="J88" s="346" t="s">
        <v>4573</v>
      </c>
      <c r="K88" s="4006" t="s">
        <v>4574</v>
      </c>
      <c r="L88" s="346" t="s">
        <v>4575</v>
      </c>
      <c r="M88" s="4006" t="s">
        <v>4576</v>
      </c>
      <c r="N88" s="346" t="s">
        <v>4577</v>
      </c>
      <c r="O88" s="4006" t="s">
        <v>4578</v>
      </c>
      <c r="P88" s="346" t="s">
        <v>4579</v>
      </c>
      <c r="Q88" s="4006" t="s">
        <v>4580</v>
      </c>
      <c r="R88" s="346" t="s">
        <v>4581</v>
      </c>
      <c r="S88" s="4006" t="s">
        <v>4582</v>
      </c>
      <c r="T88" s="346" t="s">
        <v>4583</v>
      </c>
      <c r="U88" s="4006" t="s">
        <v>4584</v>
      </c>
      <c r="V88" s="346" t="s">
        <v>4585</v>
      </c>
      <c r="W88" s="4006" t="s">
        <v>4586</v>
      </c>
      <c r="X88" s="346" t="s">
        <v>4587</v>
      </c>
      <c r="Y88" s="4006" t="s">
        <v>4588</v>
      </c>
      <c r="Z88" s="346" t="s">
        <v>4589</v>
      </c>
      <c r="AA88" s="4006" t="s">
        <v>4590</v>
      </c>
      <c r="AB88" s="346" t="s">
        <v>4591</v>
      </c>
      <c r="AC88" s="4006" t="s">
        <v>4592</v>
      </c>
      <c r="AD88" s="346" t="s">
        <v>4593</v>
      </c>
      <c r="AE88" s="4006" t="s">
        <v>4594</v>
      </c>
      <c r="AF88" s="346" t="s">
        <v>4595</v>
      </c>
      <c r="AG88" s="4006" t="s">
        <v>4596</v>
      </c>
      <c r="AH88" s="346" t="s">
        <v>4597</v>
      </c>
      <c r="AI88" s="4006" t="s">
        <v>4598</v>
      </c>
      <c r="AJ88" s="346" t="s">
        <v>4599</v>
      </c>
      <c r="AK88" s="4006" t="s">
        <v>4600</v>
      </c>
      <c r="AL88" s="346" t="s">
        <v>4601</v>
      </c>
      <c r="AM88" s="4006" t="s">
        <v>4602</v>
      </c>
      <c r="AN88" s="346" t="s">
        <v>4603</v>
      </c>
      <c r="AO88" s="4096" t="s">
        <v>4604</v>
      </c>
      <c r="AP88" s="1137" t="s">
        <v>4605</v>
      </c>
      <c r="AQ88" s="34" t="s">
        <v>4606</v>
      </c>
      <c r="AR88" s="4109" t="s">
        <v>4934</v>
      </c>
      <c r="AS88" s="4109" t="s">
        <v>4935</v>
      </c>
      <c r="AT88" s="4109" t="s">
        <v>4936</v>
      </c>
      <c r="AU88" s="4109" t="s">
        <v>4937</v>
      </c>
      <c r="AV88" s="4109" t="s">
        <v>5234</v>
      </c>
      <c r="AW88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8" s="1865" t="str">
        <f t="shared" si="1"/>
        <v xml:space="preserve">* El Número de Espacios Amigables no puede superar el Total. </v>
      </c>
      <c r="CC88" s="1865" t="str">
        <f t="shared" si="2"/>
        <v xml:space="preserve">* El Número de TRANS Masculino no puede superar el Total Mujeres. </v>
      </c>
      <c r="CD88" s="1865" t="str">
        <f t="shared" si="3"/>
        <v xml:space="preserve">* El Número de TRANS Femenino no puede superar el Total Hombres. </v>
      </c>
      <c r="CE88" s="1865" t="str">
        <f t="shared" si="4"/>
        <v xml:space="preserve">* El Número de Pueblos Originarios no puede superar el Total. </v>
      </c>
      <c r="CF88" s="1865" t="str">
        <f t="shared" si="5"/>
        <v xml:space="preserve">* El Número de Migrantes no puede superar el Total. </v>
      </c>
      <c r="CG88" s="4108" t="str">
        <f t="shared" si="27"/>
        <v xml:space="preserve">* La variable 14-18 años no puede ser mayor al total por grupo edad de 10 a 19 años. </v>
      </c>
      <c r="CH88" s="1865" t="str">
        <f t="shared" si="6"/>
        <v xml:space="preserve">* El Número de Niños, Niñas, Adolescentes y Jóvenes SENAME no puede superar el Total. </v>
      </c>
      <c r="CI88" s="1865" t="str">
        <f t="shared" si="7"/>
        <v xml:space="preserve">* El Número de Niños, Niñas, Adolescentes y Jóvenes Mejor Niñez no puede superar el Total. </v>
      </c>
      <c r="CJ88" s="1936"/>
      <c r="CK88" s="1867">
        <f t="shared" si="8"/>
        <v>1</v>
      </c>
      <c r="CL88" s="1867">
        <f t="shared" si="9"/>
        <v>1</v>
      </c>
      <c r="CM88" s="1867">
        <f t="shared" si="10"/>
        <v>1</v>
      </c>
      <c r="CN88" s="1867">
        <f t="shared" si="11"/>
        <v>1</v>
      </c>
      <c r="CO88" s="1867">
        <f t="shared" si="11"/>
        <v>1</v>
      </c>
      <c r="CP88" s="3906">
        <f t="shared" si="28"/>
        <v>1</v>
      </c>
      <c r="CQ88" s="1867">
        <f t="shared" si="12"/>
        <v>1</v>
      </c>
      <c r="CR88" s="1867">
        <f t="shared" si="12"/>
        <v>1</v>
      </c>
    </row>
    <row r="89" spans="1:96" x14ac:dyDescent="0.25">
      <c r="A89" s="5823">
        <v>19201020</v>
      </c>
      <c r="B89" s="6842"/>
      <c r="C89" s="516" t="s">
        <v>99</v>
      </c>
      <c r="D89" s="482" t="s">
        <v>4567</v>
      </c>
      <c r="E89" s="483" t="s">
        <v>4568</v>
      </c>
      <c r="F89" s="4120" t="s">
        <v>4569</v>
      </c>
      <c r="G89" s="379" t="s">
        <v>4570</v>
      </c>
      <c r="H89" s="387" t="s">
        <v>4571</v>
      </c>
      <c r="I89" s="379" t="s">
        <v>4572</v>
      </c>
      <c r="J89" s="387" t="s">
        <v>4573</v>
      </c>
      <c r="K89" s="379" t="s">
        <v>4574</v>
      </c>
      <c r="L89" s="387" t="s">
        <v>4575</v>
      </c>
      <c r="M89" s="379" t="s">
        <v>4576</v>
      </c>
      <c r="N89" s="387" t="s">
        <v>4577</v>
      </c>
      <c r="O89" s="379" t="s">
        <v>4578</v>
      </c>
      <c r="P89" s="387" t="s">
        <v>4579</v>
      </c>
      <c r="Q89" s="379" t="s">
        <v>4580</v>
      </c>
      <c r="R89" s="387" t="s">
        <v>4581</v>
      </c>
      <c r="S89" s="379" t="s">
        <v>4582</v>
      </c>
      <c r="T89" s="387" t="s">
        <v>4583</v>
      </c>
      <c r="U89" s="379" t="s">
        <v>4584</v>
      </c>
      <c r="V89" s="387" t="s">
        <v>4585</v>
      </c>
      <c r="W89" s="379" t="s">
        <v>4586</v>
      </c>
      <c r="X89" s="387" t="s">
        <v>4587</v>
      </c>
      <c r="Y89" s="379" t="s">
        <v>4588</v>
      </c>
      <c r="Z89" s="387" t="s">
        <v>4589</v>
      </c>
      <c r="AA89" s="379" t="s">
        <v>4590</v>
      </c>
      <c r="AB89" s="387" t="s">
        <v>4591</v>
      </c>
      <c r="AC89" s="379" t="s">
        <v>4592</v>
      </c>
      <c r="AD89" s="387" t="s">
        <v>4593</v>
      </c>
      <c r="AE89" s="379" t="s">
        <v>4594</v>
      </c>
      <c r="AF89" s="387" t="s">
        <v>4595</v>
      </c>
      <c r="AG89" s="379" t="s">
        <v>4596</v>
      </c>
      <c r="AH89" s="387" t="s">
        <v>4597</v>
      </c>
      <c r="AI89" s="379" t="s">
        <v>4598</v>
      </c>
      <c r="AJ89" s="387" t="s">
        <v>4599</v>
      </c>
      <c r="AK89" s="379" t="s">
        <v>4600</v>
      </c>
      <c r="AL89" s="387" t="s">
        <v>4601</v>
      </c>
      <c r="AM89" s="379" t="s">
        <v>4602</v>
      </c>
      <c r="AN89" s="387" t="s">
        <v>4603</v>
      </c>
      <c r="AO89" s="2286" t="s">
        <v>4604</v>
      </c>
      <c r="AP89" s="1877" t="s">
        <v>4605</v>
      </c>
      <c r="AQ89" s="854" t="s">
        <v>4606</v>
      </c>
      <c r="AR89" s="1920" t="s">
        <v>4934</v>
      </c>
      <c r="AS89" s="1920" t="s">
        <v>4935</v>
      </c>
      <c r="AT89" s="1920" t="s">
        <v>4936</v>
      </c>
      <c r="AU89" s="1920" t="s">
        <v>4937</v>
      </c>
      <c r="AV89" s="1920" t="s">
        <v>5234</v>
      </c>
      <c r="AW89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9" s="1865" t="str">
        <f t="shared" si="1"/>
        <v xml:space="preserve">* El Número de Espacios Amigables no puede superar el Total. </v>
      </c>
      <c r="CC89" s="1865" t="str">
        <f t="shared" si="2"/>
        <v xml:space="preserve">* El Número de TRANS Masculino no puede superar el Total Mujeres. </v>
      </c>
      <c r="CD89" s="1865" t="str">
        <f t="shared" si="3"/>
        <v xml:space="preserve">* El Número de TRANS Femenino no puede superar el Total Hombres. </v>
      </c>
      <c r="CE89" s="1865" t="str">
        <f t="shared" si="4"/>
        <v xml:space="preserve">* El Número de Pueblos Originarios no puede superar el Total. </v>
      </c>
      <c r="CF89" s="1865" t="str">
        <f t="shared" si="5"/>
        <v xml:space="preserve">* El Número de Migrantes no puede superar el Total. </v>
      </c>
      <c r="CG89" s="4108" t="str">
        <f t="shared" si="27"/>
        <v xml:space="preserve">* La variable 14-18 años no puede ser mayor al total por grupo edad de 10 a 19 años. </v>
      </c>
      <c r="CH89" s="1865" t="str">
        <f t="shared" si="6"/>
        <v xml:space="preserve">* El Número de Niños, Niñas, Adolescentes y Jóvenes SENAME no puede superar el Total. </v>
      </c>
      <c r="CI89" s="1865" t="str">
        <f t="shared" si="7"/>
        <v xml:space="preserve">* El Número de Niños, Niñas, Adolescentes y Jóvenes Mejor Niñez no puede superar el Total. </v>
      </c>
      <c r="CJ89" s="1936"/>
      <c r="CK89" s="1867">
        <f t="shared" si="8"/>
        <v>1</v>
      </c>
      <c r="CL89" s="1867">
        <f t="shared" si="9"/>
        <v>1</v>
      </c>
      <c r="CM89" s="1867">
        <f t="shared" si="10"/>
        <v>1</v>
      </c>
      <c r="CN89" s="1867">
        <f t="shared" si="11"/>
        <v>1</v>
      </c>
      <c r="CO89" s="1867">
        <f t="shared" si="11"/>
        <v>1</v>
      </c>
      <c r="CP89" s="3906">
        <f t="shared" si="28"/>
        <v>1</v>
      </c>
      <c r="CQ89" s="1867">
        <f t="shared" si="12"/>
        <v>1</v>
      </c>
      <c r="CR89" s="1867">
        <f t="shared" si="12"/>
        <v>1</v>
      </c>
    </row>
    <row r="90" spans="1:96" ht="18" customHeight="1" x14ac:dyDescent="0.25">
      <c r="B90" s="7179" t="s">
        <v>2079</v>
      </c>
      <c r="C90" s="7179"/>
      <c r="D90" s="7179"/>
      <c r="E90" s="7179"/>
      <c r="F90" s="7179"/>
      <c r="G90" s="7179"/>
      <c r="H90" s="7179"/>
      <c r="I90" s="7179"/>
      <c r="J90" s="7179"/>
      <c r="K90" s="7179"/>
      <c r="L90" s="7179"/>
      <c r="M90" s="7179"/>
      <c r="N90" s="7179"/>
      <c r="O90" s="7179"/>
      <c r="P90" s="7179"/>
      <c r="Q90" s="7179"/>
      <c r="R90" s="7179"/>
      <c r="S90" s="7179"/>
      <c r="T90" s="7179"/>
      <c r="U90" s="7179"/>
      <c r="V90" s="7179"/>
      <c r="W90" s="7179"/>
      <c r="X90" s="7179"/>
      <c r="Y90" s="7179"/>
      <c r="Z90" s="7179"/>
      <c r="AA90" s="7179"/>
      <c r="AB90" s="7179"/>
      <c r="AC90" s="7179"/>
      <c r="AD90" s="7179"/>
      <c r="AE90" s="7179"/>
      <c r="AF90" s="7179"/>
      <c r="AG90" s="7179"/>
      <c r="AH90" s="7179"/>
      <c r="AI90" s="7179"/>
      <c r="AJ90" s="7179"/>
      <c r="AK90" s="7179"/>
      <c r="AL90" s="7179"/>
      <c r="AM90" s="7179"/>
      <c r="AN90" s="7179"/>
    </row>
    <row r="91" spans="1:96" ht="18" customHeight="1" x14ac:dyDescent="0.25">
      <c r="B91" s="7105" t="s">
        <v>2080</v>
      </c>
      <c r="C91" s="7198" t="s">
        <v>2081</v>
      </c>
      <c r="D91" s="7121" t="s">
        <v>302</v>
      </c>
      <c r="E91" s="6510"/>
      <c r="F91" s="6511"/>
      <c r="G91" s="7107" t="s">
        <v>101</v>
      </c>
      <c r="H91" s="7108"/>
      <c r="I91" s="7108"/>
      <c r="J91" s="7108"/>
      <c r="K91" s="7108"/>
      <c r="L91" s="7108"/>
      <c r="M91" s="7108"/>
      <c r="N91" s="7108"/>
      <c r="O91" s="7108"/>
      <c r="P91" s="7108"/>
      <c r="Q91" s="7108"/>
      <c r="R91" s="7108"/>
      <c r="S91" s="7108"/>
      <c r="T91" s="7108"/>
      <c r="U91" s="7108"/>
      <c r="V91" s="7108"/>
      <c r="W91" s="7108"/>
      <c r="X91" s="7108"/>
      <c r="Y91" s="7108"/>
      <c r="Z91" s="7108"/>
      <c r="AA91" s="7108"/>
      <c r="AB91" s="7108"/>
      <c r="AC91" s="7108"/>
      <c r="AD91" s="7108"/>
      <c r="AE91" s="7108"/>
      <c r="AF91" s="7108"/>
      <c r="AG91" s="7108"/>
      <c r="AH91" s="7108"/>
      <c r="AI91" s="7108"/>
      <c r="AJ91" s="7108"/>
      <c r="AK91" s="7108"/>
      <c r="AL91" s="7108"/>
      <c r="AM91" s="7108"/>
      <c r="AN91" s="7109"/>
      <c r="AO91" s="6510" t="s">
        <v>457</v>
      </c>
      <c r="AP91" s="6511"/>
      <c r="AQ91" s="7197" t="s">
        <v>36</v>
      </c>
      <c r="AR91" s="7208" t="s">
        <v>37</v>
      </c>
      <c r="AS91" s="7208" t="s">
        <v>34</v>
      </c>
      <c r="AT91" s="6511" t="s">
        <v>2055</v>
      </c>
    </row>
    <row r="92" spans="1:96" ht="18" customHeight="1" x14ac:dyDescent="0.25">
      <c r="B92" s="6023"/>
      <c r="C92" s="6039"/>
      <c r="D92" s="6734"/>
      <c r="E92" s="6735"/>
      <c r="F92" s="6955"/>
      <c r="G92" s="7116" t="s">
        <v>343</v>
      </c>
      <c r="H92" s="7117"/>
      <c r="I92" s="7116" t="s">
        <v>326</v>
      </c>
      <c r="J92" s="7117"/>
      <c r="K92" s="7116" t="s">
        <v>94</v>
      </c>
      <c r="L92" s="7117"/>
      <c r="M92" s="7116" t="s">
        <v>2056</v>
      </c>
      <c r="N92" s="7117"/>
      <c r="O92" s="7116" t="s">
        <v>305</v>
      </c>
      <c r="P92" s="7117"/>
      <c r="Q92" s="7116" t="s">
        <v>974</v>
      </c>
      <c r="R92" s="7117"/>
      <c r="S92" s="7116" t="s">
        <v>629</v>
      </c>
      <c r="T92" s="7117"/>
      <c r="U92" s="7116" t="s">
        <v>2057</v>
      </c>
      <c r="V92" s="7117"/>
      <c r="W92" s="7116" t="s">
        <v>630</v>
      </c>
      <c r="X92" s="7117"/>
      <c r="Y92" s="7116" t="s">
        <v>2058</v>
      </c>
      <c r="Z92" s="7117"/>
      <c r="AA92" s="7116" t="s">
        <v>2059</v>
      </c>
      <c r="AB92" s="7117"/>
      <c r="AC92" s="7116" t="s">
        <v>1949</v>
      </c>
      <c r="AD92" s="7117"/>
      <c r="AE92" s="7116" t="s">
        <v>1583</v>
      </c>
      <c r="AF92" s="7117"/>
      <c r="AG92" s="7116" t="s">
        <v>308</v>
      </c>
      <c r="AH92" s="7117"/>
      <c r="AI92" s="7116" t="s">
        <v>2060</v>
      </c>
      <c r="AJ92" s="7117"/>
      <c r="AK92" s="7116" t="s">
        <v>2061</v>
      </c>
      <c r="AL92" s="7117"/>
      <c r="AM92" s="7107" t="s">
        <v>57</v>
      </c>
      <c r="AN92" s="7109"/>
      <c r="AO92" s="6735"/>
      <c r="AP92" s="6955"/>
      <c r="AQ92" s="6102"/>
      <c r="AR92" s="6386"/>
      <c r="AS92" s="6386"/>
      <c r="AT92" s="6027"/>
    </row>
    <row r="93" spans="1:96" ht="18" customHeight="1" x14ac:dyDescent="0.25">
      <c r="B93" s="6739"/>
      <c r="C93" s="6733"/>
      <c r="D93" s="3894" t="s">
        <v>79</v>
      </c>
      <c r="E93" s="3897" t="s">
        <v>58</v>
      </c>
      <c r="F93" s="3893" t="s">
        <v>59</v>
      </c>
      <c r="G93" s="3894" t="s">
        <v>58</v>
      </c>
      <c r="H93" s="3893" t="s">
        <v>59</v>
      </c>
      <c r="I93" s="3894" t="s">
        <v>58</v>
      </c>
      <c r="J93" s="3893" t="s">
        <v>59</v>
      </c>
      <c r="K93" s="3894" t="s">
        <v>58</v>
      </c>
      <c r="L93" s="3893" t="s">
        <v>59</v>
      </c>
      <c r="M93" s="3894" t="s">
        <v>58</v>
      </c>
      <c r="N93" s="3893" t="s">
        <v>59</v>
      </c>
      <c r="O93" s="3894" t="s">
        <v>58</v>
      </c>
      <c r="P93" s="3893" t="s">
        <v>59</v>
      </c>
      <c r="Q93" s="3894" t="s">
        <v>58</v>
      </c>
      <c r="R93" s="3893" t="s">
        <v>59</v>
      </c>
      <c r="S93" s="3894" t="s">
        <v>58</v>
      </c>
      <c r="T93" s="3893" t="s">
        <v>59</v>
      </c>
      <c r="U93" s="3894" t="s">
        <v>58</v>
      </c>
      <c r="V93" s="3893" t="s">
        <v>59</v>
      </c>
      <c r="W93" s="3894" t="s">
        <v>58</v>
      </c>
      <c r="X93" s="3893" t="s">
        <v>59</v>
      </c>
      <c r="Y93" s="3894" t="s">
        <v>58</v>
      </c>
      <c r="Z93" s="3893" t="s">
        <v>59</v>
      </c>
      <c r="AA93" s="3894" t="s">
        <v>58</v>
      </c>
      <c r="AB93" s="3893" t="s">
        <v>59</v>
      </c>
      <c r="AC93" s="3894" t="s">
        <v>58</v>
      </c>
      <c r="AD93" s="3893" t="s">
        <v>59</v>
      </c>
      <c r="AE93" s="3894" t="s">
        <v>58</v>
      </c>
      <c r="AF93" s="3893" t="s">
        <v>59</v>
      </c>
      <c r="AG93" s="3894" t="s">
        <v>58</v>
      </c>
      <c r="AH93" s="3893" t="s">
        <v>59</v>
      </c>
      <c r="AI93" s="3894" t="s">
        <v>58</v>
      </c>
      <c r="AJ93" s="3893" t="s">
        <v>59</v>
      </c>
      <c r="AK93" s="3894" t="s">
        <v>58</v>
      </c>
      <c r="AL93" s="3893" t="s">
        <v>59</v>
      </c>
      <c r="AM93" s="3894" t="s">
        <v>58</v>
      </c>
      <c r="AN93" s="3891" t="s">
        <v>59</v>
      </c>
      <c r="AO93" s="863" t="s">
        <v>462</v>
      </c>
      <c r="AP93" s="3896" t="s">
        <v>463</v>
      </c>
      <c r="AQ93" s="6751"/>
      <c r="AR93" s="6086"/>
      <c r="AS93" s="6086"/>
      <c r="AT93" s="6955"/>
    </row>
    <row r="94" spans="1:96" ht="21" x14ac:dyDescent="0.25">
      <c r="A94" s="5818">
        <v>19150960</v>
      </c>
      <c r="B94" s="7164" t="s">
        <v>2082</v>
      </c>
      <c r="C94" s="4122" t="s">
        <v>2083</v>
      </c>
      <c r="D94" s="3225" t="s">
        <v>4567</v>
      </c>
      <c r="E94" s="3972" t="s">
        <v>4568</v>
      </c>
      <c r="F94" s="3900" t="s">
        <v>4569</v>
      </c>
      <c r="G94" s="4123" t="s">
        <v>4570</v>
      </c>
      <c r="H94" s="4124" t="s">
        <v>4571</v>
      </c>
      <c r="I94" s="4123" t="s">
        <v>4572</v>
      </c>
      <c r="J94" s="3955" t="s">
        <v>4573</v>
      </c>
      <c r="K94" s="4123" t="s">
        <v>4574</v>
      </c>
      <c r="L94" s="3955" t="s">
        <v>4575</v>
      </c>
      <c r="M94" s="3278" t="s">
        <v>4576</v>
      </c>
      <c r="N94" s="867" t="s">
        <v>4577</v>
      </c>
      <c r="O94" s="3953" t="s">
        <v>4578</v>
      </c>
      <c r="P94" s="4125" t="s">
        <v>4579</v>
      </c>
      <c r="Q94" s="3280" t="s">
        <v>4580</v>
      </c>
      <c r="R94" s="867" t="s">
        <v>4581</v>
      </c>
      <c r="S94" s="4126" t="s">
        <v>4582</v>
      </c>
      <c r="T94" s="4125" t="s">
        <v>4583</v>
      </c>
      <c r="U94" s="3278" t="s">
        <v>4584</v>
      </c>
      <c r="V94" s="3930" t="s">
        <v>4585</v>
      </c>
      <c r="W94" s="3953" t="s">
        <v>4586</v>
      </c>
      <c r="X94" s="4126" t="s">
        <v>4587</v>
      </c>
      <c r="Y94" s="3278" t="s">
        <v>4588</v>
      </c>
      <c r="Z94" s="3930" t="s">
        <v>4589</v>
      </c>
      <c r="AA94" s="3953" t="s">
        <v>4590</v>
      </c>
      <c r="AB94" s="4126" t="s">
        <v>4591</v>
      </c>
      <c r="AC94" s="3278" t="s">
        <v>4592</v>
      </c>
      <c r="AD94" s="3930" t="s">
        <v>4593</v>
      </c>
      <c r="AE94" s="3278" t="s">
        <v>4594</v>
      </c>
      <c r="AF94" s="867" t="s">
        <v>4595</v>
      </c>
      <c r="AG94" s="3278" t="s">
        <v>4596</v>
      </c>
      <c r="AH94" s="867" t="s">
        <v>4597</v>
      </c>
      <c r="AI94" s="3278" t="s">
        <v>4598</v>
      </c>
      <c r="AJ94" s="867" t="s">
        <v>4599</v>
      </c>
      <c r="AK94" s="4123" t="s">
        <v>4600</v>
      </c>
      <c r="AL94" s="3955" t="s">
        <v>4601</v>
      </c>
      <c r="AM94" s="4124" t="s">
        <v>4602</v>
      </c>
      <c r="AN94" s="4127" t="s">
        <v>4603</v>
      </c>
      <c r="AO94" s="3904" t="s">
        <v>4604</v>
      </c>
      <c r="AP94" s="867" t="s">
        <v>4605</v>
      </c>
      <c r="AQ94" s="3278" t="s">
        <v>4606</v>
      </c>
      <c r="AR94" s="935" t="s">
        <v>4934</v>
      </c>
      <c r="AS94" s="935" t="s">
        <v>4935</v>
      </c>
      <c r="AT94" s="3930" t="s">
        <v>4936</v>
      </c>
      <c r="AU94" s="1864" t="str">
        <f>$CB94&amp;CC94&amp;$CD94&amp;CE94&amp;CF94&amp;CG94</f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4" s="1865" t="str">
        <f>IF(AND(F94&gt;0,OR(AO94="")),"No olvide digitar los campos *TRANS Masculino (Digite CERO si no tiene).",IF(AO94&gt;$F94,"* El Número de TRANS Masculino no puede superar el Total Mujeres. ",""))</f>
        <v xml:space="preserve">* El Número de TRANS Masculino no puede superar el Total Mujeres. </v>
      </c>
      <c r="CC94" s="1865" t="str">
        <f>IF(AND(E94&gt;0,OR(AP94="")),"No olvide digitar los campos *TRANS Femenino (Digite CERO si no tiene).",IF(AP94&gt;E94,"* El Número de TRANS Femenino no puede superar el Total Hombres. ",""))</f>
        <v xml:space="preserve">* El Número de TRANS Femenino no puede superar el Total Hombres. </v>
      </c>
      <c r="CD94" s="1865" t="str">
        <f>IF(AND($D94&lt;&gt;0,AQ94=""),"* No olvide ingresar la columna Pueblos Originarios (Digite CERO si no tiene).  ",IF(AQ94&gt;$D94,"* El Número de Pueblos Originarios no puede superar el Total. ",""))</f>
        <v xml:space="preserve">* El Número de Pueblos Originarios no puede superar el Total. </v>
      </c>
      <c r="CE94" s="1865" t="str">
        <f>IF(AND($D94&lt;&gt;0,AR94=""),"* No olvide ingresar la columna Migrantes (Digite CERO si no tiene).  ",IF(AR94&gt;$D94,"* El Número de Migrantes no puede superar el Total. ",""))</f>
        <v xml:space="preserve">* El Número de Migrantes no puede superar el Total. </v>
      </c>
      <c r="CF94" s="1865" t="str">
        <f>IF(AND($D94&lt;&gt;0,AS94=""),"* No olvide ingresar la columna Niños, Niñas, Adolescentes y Jóvenes SENAME (Digite CERO si no tiene).  ",IF(AS94&gt;$D94,"* El Número de Niños, Niñas, Adolescentes y Jóvenes SENAME no puede superar el Total. ",""))</f>
        <v xml:space="preserve">* El Número de Niños, Niñas, Adolescentes y Jóvenes SENAME no puede superar el Total. </v>
      </c>
      <c r="CG94" s="1865" t="str">
        <f>IF(AND($D94&lt;&gt;0,AT94=""),"* No olvide ingresar la columna Niños, Niñas, Adolescentes y Jóvenes Mejor Niñez (Digite CERO si no tiene). ",IF(AT94&gt;$D94,"* El Número de Niños, Niñas, Adolescentes y Jóvenes Mejor Niñez no puede superar el Total. ",""))</f>
        <v xml:space="preserve">* El Número de Niños, Niñas, Adolescentes y Jóvenes Mejor Niñez no puede superar el Total. </v>
      </c>
      <c r="CK94" s="1867">
        <f>IF(AND($F94&lt;&gt;0,AO94=""),1,IF(AO94&gt;$F94,1,0))</f>
        <v>1</v>
      </c>
      <c r="CL94" s="1867">
        <f>IF(AND($E94&lt;&gt;0,AP94=""),1,IF(AP94&gt;$E94,1,0))</f>
        <v>1</v>
      </c>
      <c r="CM94" s="1867">
        <f>IF(AND($D94&lt;&gt;0,AQ94=""),1,IF(AQ94&gt;$D94,1,0))</f>
        <v>1</v>
      </c>
      <c r="CN94" s="1867">
        <f>IF(AND($D94&lt;&gt;0,AR94=""),1,IF(AR94&gt;$D94,1,0))</f>
        <v>1</v>
      </c>
      <c r="CO94" s="1867">
        <f>IF(AND($D94&lt;&gt;0,AS94=""),1,IF(AS94&gt;$D94,1,0))</f>
        <v>1</v>
      </c>
      <c r="CP94" s="1867">
        <f>IF(AND($D94&lt;&gt;0,AT94=""),1,IF(AT94&gt;$D94,1,0))</f>
        <v>1</v>
      </c>
    </row>
    <row r="95" spans="1:96" x14ac:dyDescent="0.25">
      <c r="A95" s="5818">
        <v>19150970</v>
      </c>
      <c r="B95" s="6058"/>
      <c r="C95" s="4093" t="s">
        <v>2084</v>
      </c>
      <c r="D95" s="3908" t="s">
        <v>4567</v>
      </c>
      <c r="E95" s="3978" t="s">
        <v>4568</v>
      </c>
      <c r="F95" s="344" t="s">
        <v>4569</v>
      </c>
      <c r="G95" s="3913" t="s">
        <v>4570</v>
      </c>
      <c r="H95" s="330" t="s">
        <v>4571</v>
      </c>
      <c r="I95" s="3913" t="s">
        <v>4572</v>
      </c>
      <c r="J95" s="329" t="s">
        <v>4573</v>
      </c>
      <c r="K95" s="3904" t="s">
        <v>4574</v>
      </c>
      <c r="L95" s="2201" t="s">
        <v>4575</v>
      </c>
      <c r="M95" s="3913" t="s">
        <v>4576</v>
      </c>
      <c r="N95" s="1969" t="s">
        <v>4577</v>
      </c>
      <c r="O95" s="3904" t="s">
        <v>4578</v>
      </c>
      <c r="P95" s="2201" t="s">
        <v>4579</v>
      </c>
      <c r="Q95" s="4095" t="s">
        <v>4580</v>
      </c>
      <c r="R95" s="1969" t="s">
        <v>4581</v>
      </c>
      <c r="S95" s="330" t="s">
        <v>4582</v>
      </c>
      <c r="T95" s="2201" t="s">
        <v>4583</v>
      </c>
      <c r="U95" s="3913" t="s">
        <v>4584</v>
      </c>
      <c r="V95" s="329" t="s">
        <v>4585</v>
      </c>
      <c r="W95" s="3904" t="s">
        <v>4586</v>
      </c>
      <c r="X95" s="330" t="s">
        <v>4587</v>
      </c>
      <c r="Y95" s="3913" t="s">
        <v>4588</v>
      </c>
      <c r="Z95" s="329" t="s">
        <v>4589</v>
      </c>
      <c r="AA95" s="3904" t="s">
        <v>4590</v>
      </c>
      <c r="AB95" s="330" t="s">
        <v>4591</v>
      </c>
      <c r="AC95" s="3913" t="s">
        <v>4592</v>
      </c>
      <c r="AD95" s="329" t="s">
        <v>4593</v>
      </c>
      <c r="AE95" s="3913" t="s">
        <v>4594</v>
      </c>
      <c r="AF95" s="1969" t="s">
        <v>4595</v>
      </c>
      <c r="AG95" s="3913" t="s">
        <v>4596</v>
      </c>
      <c r="AH95" s="329" t="s">
        <v>4597</v>
      </c>
      <c r="AI95" s="3913" t="s">
        <v>4598</v>
      </c>
      <c r="AJ95" s="329" t="s">
        <v>4599</v>
      </c>
      <c r="AK95" s="3913" t="s">
        <v>4600</v>
      </c>
      <c r="AL95" s="329" t="s">
        <v>4601</v>
      </c>
      <c r="AM95" s="3904" t="s">
        <v>4602</v>
      </c>
      <c r="AN95" s="3943" t="s">
        <v>4603</v>
      </c>
      <c r="AO95" s="3904" t="s">
        <v>4604</v>
      </c>
      <c r="AP95" s="1969" t="s">
        <v>4605</v>
      </c>
      <c r="AQ95" s="3913" t="s">
        <v>4606</v>
      </c>
      <c r="AR95" s="1939" t="s">
        <v>4934</v>
      </c>
      <c r="AS95" s="1939" t="s">
        <v>4935</v>
      </c>
      <c r="AT95" s="329" t="s">
        <v>4936</v>
      </c>
      <c r="AU95" s="1864" t="str">
        <f t="shared" ref="AU95:AU105" si="37">$CB95&amp;CC95&amp;$CD95&amp;CE95&amp;CF95&amp;CG95</f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5" s="1865" t="str">
        <f t="shared" ref="CB95:CB105" si="38">IF(AND(F95&gt;0,OR(AO95="")),"No olvide digitar los campos *TRANS Masculino (Digite CERO si no tiene).",IF(AO95&gt;$F95,"* El Número de TRANS Masculino no puede superar el Total Mujeres. ",""))</f>
        <v xml:space="preserve">* El Número de TRANS Masculino no puede superar el Total Mujeres. </v>
      </c>
      <c r="CC95" s="1865" t="str">
        <f t="shared" ref="CC95:CC105" si="39">IF(AND(E95&gt;0,OR(AP95="")),"No olvide digitar los campos *TRANS Femenino (Digite CERO si no tiene).",IF(AP95&gt;E95,"* El Número de TRANS Femenino no puede superar el Total Hombres. ",""))</f>
        <v xml:space="preserve">* El Número de TRANS Femenino no puede superar el Total Hombres. </v>
      </c>
      <c r="CD95" s="1865" t="str">
        <f t="shared" ref="CD95:CD105" si="40">IF(AND($D95&lt;&gt;0,AQ95=""),"* No olvide ingresar la columna Pueblos Originarios (Digite CERO si no tiene).  ",IF(AQ95&gt;$D95,"* El Número de Pueblos Originarios no puede superar el Total. ",""))</f>
        <v xml:space="preserve">* El Número de Pueblos Originarios no puede superar el Total. </v>
      </c>
      <c r="CE95" s="1865" t="str">
        <f t="shared" ref="CE95:CE105" si="41">IF(AND($D95&lt;&gt;0,AR95=""),"* No olvide ingresar la columna Migrantes (Digite CERO si no tiene).  ",IF(AR95&gt;$D95,"* El Número de Migrantes no puede superar el Total. ",""))</f>
        <v xml:space="preserve">* El Número de Migrantes no puede superar el Total. </v>
      </c>
      <c r="CF95" s="1865" t="str">
        <f t="shared" ref="CF95:CF105" si="42">IF(AND($D95&lt;&gt;0,AS95=""),"* No olvide ingresar la columna Niños, Niñas, Adolescentes y Jóvenes SENAME (Digite CERO si no tiene).  ",IF(AS95&gt;$D95,"* El Número de Niños, Niñas, Adolescentes y Jóvenes SENAME no puede superar el Total. ",""))</f>
        <v xml:space="preserve">* El Número de Niños, Niñas, Adolescentes y Jóvenes SENAME no puede superar el Total. </v>
      </c>
      <c r="CG95" s="1865" t="str">
        <f t="shared" ref="CG95:CG105" si="43">IF(AND($D95&lt;&gt;0,AT95=""),"* No olvide ingresar la columna Niños, Niñas, Adolescentes y Jóvenes Mejor Niñez (Digite CERO si no tiene). ",IF(AT95&gt;$D95,"* El Número de Niños, Niñas, Adolescentes y Jóvenes Mejor Niñez no puede superar el Total. ",""))</f>
        <v xml:space="preserve">* El Número de Niños, Niñas, Adolescentes y Jóvenes Mejor Niñez no puede superar el Total. </v>
      </c>
      <c r="CK95" s="1867">
        <f t="shared" ref="CK95:CK105" si="44">IF(AND($F95&lt;&gt;0,AO95=""),1,IF(AO95&gt;$F95,1,0))</f>
        <v>1</v>
      </c>
      <c r="CL95" s="1867">
        <f t="shared" ref="CL95:CL105" si="45">IF(AND($E95&lt;&gt;0,AP95=""),1,IF(AP95&gt;$E95,1,0))</f>
        <v>1</v>
      </c>
      <c r="CM95" s="1867">
        <f t="shared" ref="CM95:CP105" si="46">IF(AND($D95&lt;&gt;0,AQ95=""),1,IF(AQ95&gt;$D95,1,0))</f>
        <v>1</v>
      </c>
      <c r="CN95" s="1867">
        <f t="shared" si="46"/>
        <v>1</v>
      </c>
      <c r="CO95" s="1867">
        <f t="shared" si="46"/>
        <v>1</v>
      </c>
      <c r="CP95" s="1867">
        <f t="shared" si="46"/>
        <v>1</v>
      </c>
    </row>
    <row r="96" spans="1:96" x14ac:dyDescent="0.25">
      <c r="A96" s="5818">
        <v>19150980</v>
      </c>
      <c r="B96" s="6058"/>
      <c r="C96" s="4093" t="s">
        <v>2085</v>
      </c>
      <c r="D96" s="3908" t="s">
        <v>4567</v>
      </c>
      <c r="E96" s="3978" t="s">
        <v>4568</v>
      </c>
      <c r="F96" s="344" t="s">
        <v>4569</v>
      </c>
      <c r="G96" s="3913" t="s">
        <v>4570</v>
      </c>
      <c r="H96" s="330" t="s">
        <v>4571</v>
      </c>
      <c r="I96" s="3913" t="s">
        <v>4572</v>
      </c>
      <c r="J96" s="329" t="s">
        <v>4573</v>
      </c>
      <c r="K96" s="3904" t="s">
        <v>4574</v>
      </c>
      <c r="L96" s="2201" t="s">
        <v>4575</v>
      </c>
      <c r="M96" s="3913" t="s">
        <v>4576</v>
      </c>
      <c r="N96" s="1969" t="s">
        <v>4577</v>
      </c>
      <c r="O96" s="3904" t="s">
        <v>4578</v>
      </c>
      <c r="P96" s="2201" t="s">
        <v>4579</v>
      </c>
      <c r="Q96" s="4095" t="s">
        <v>4580</v>
      </c>
      <c r="R96" s="1969" t="s">
        <v>4581</v>
      </c>
      <c r="S96" s="330" t="s">
        <v>4582</v>
      </c>
      <c r="T96" s="2201" t="s">
        <v>4583</v>
      </c>
      <c r="U96" s="3913" t="s">
        <v>4584</v>
      </c>
      <c r="V96" s="329" t="s">
        <v>4585</v>
      </c>
      <c r="W96" s="3904" t="s">
        <v>4586</v>
      </c>
      <c r="X96" s="330" t="s">
        <v>4587</v>
      </c>
      <c r="Y96" s="3913" t="s">
        <v>4588</v>
      </c>
      <c r="Z96" s="329" t="s">
        <v>4589</v>
      </c>
      <c r="AA96" s="3904" t="s">
        <v>4590</v>
      </c>
      <c r="AB96" s="330" t="s">
        <v>4591</v>
      </c>
      <c r="AC96" s="3913" t="s">
        <v>4592</v>
      </c>
      <c r="AD96" s="329" t="s">
        <v>4593</v>
      </c>
      <c r="AE96" s="3913" t="s">
        <v>4594</v>
      </c>
      <c r="AF96" s="1969" t="s">
        <v>4595</v>
      </c>
      <c r="AG96" s="3913" t="s">
        <v>4596</v>
      </c>
      <c r="AH96" s="329" t="s">
        <v>4597</v>
      </c>
      <c r="AI96" s="3913" t="s">
        <v>4598</v>
      </c>
      <c r="AJ96" s="329" t="s">
        <v>4599</v>
      </c>
      <c r="AK96" s="3913" t="s">
        <v>4600</v>
      </c>
      <c r="AL96" s="329" t="s">
        <v>4601</v>
      </c>
      <c r="AM96" s="3904" t="s">
        <v>4602</v>
      </c>
      <c r="AN96" s="3943" t="s">
        <v>4603</v>
      </c>
      <c r="AO96" s="3904" t="s">
        <v>4604</v>
      </c>
      <c r="AP96" s="1969" t="s">
        <v>4605</v>
      </c>
      <c r="AQ96" s="3913" t="s">
        <v>4606</v>
      </c>
      <c r="AR96" s="1939" t="s">
        <v>4934</v>
      </c>
      <c r="AS96" s="1939" t="s">
        <v>4935</v>
      </c>
      <c r="AT96" s="329" t="s">
        <v>4936</v>
      </c>
      <c r="AU96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6" s="1865" t="str">
        <f t="shared" si="38"/>
        <v xml:space="preserve">* El Número de TRANS Masculino no puede superar el Total Mujeres. </v>
      </c>
      <c r="CC96" s="1865" t="str">
        <f t="shared" si="39"/>
        <v xml:space="preserve">* El Número de TRANS Femenino no puede superar el Total Hombres. </v>
      </c>
      <c r="CD96" s="1865" t="str">
        <f t="shared" si="40"/>
        <v xml:space="preserve">* El Número de Pueblos Originarios no puede superar el Total. </v>
      </c>
      <c r="CE96" s="1865" t="str">
        <f t="shared" si="41"/>
        <v xml:space="preserve">* El Número de Migrantes no puede superar el Total. </v>
      </c>
      <c r="CF96" s="1865" t="str">
        <f t="shared" si="42"/>
        <v xml:space="preserve">* El Número de Niños, Niñas, Adolescentes y Jóvenes SENAME no puede superar el Total. </v>
      </c>
      <c r="CG96" s="1865" t="str">
        <f t="shared" si="43"/>
        <v xml:space="preserve">* El Número de Niños, Niñas, Adolescentes y Jóvenes Mejor Niñez no puede superar el Total. </v>
      </c>
      <c r="CK96" s="1867">
        <f t="shared" si="44"/>
        <v>1</v>
      </c>
      <c r="CL96" s="1867">
        <f t="shared" si="45"/>
        <v>1</v>
      </c>
      <c r="CM96" s="1867">
        <f t="shared" si="46"/>
        <v>1</v>
      </c>
      <c r="CN96" s="1867">
        <f t="shared" si="46"/>
        <v>1</v>
      </c>
      <c r="CO96" s="1867">
        <f t="shared" si="46"/>
        <v>1</v>
      </c>
      <c r="CP96" s="1867">
        <f t="shared" si="46"/>
        <v>1</v>
      </c>
    </row>
    <row r="97" spans="1:94" x14ac:dyDescent="0.25">
      <c r="A97" s="5818">
        <v>19150990</v>
      </c>
      <c r="B97" s="6058"/>
      <c r="C97" s="4093" t="s">
        <v>2086</v>
      </c>
      <c r="D97" s="3908" t="s">
        <v>4567</v>
      </c>
      <c r="E97" s="3978" t="s">
        <v>4568</v>
      </c>
      <c r="F97" s="344" t="s">
        <v>4569</v>
      </c>
      <c r="G97" s="3913" t="s">
        <v>4570</v>
      </c>
      <c r="H97" s="330" t="s">
        <v>4571</v>
      </c>
      <c r="I97" s="3913" t="s">
        <v>4572</v>
      </c>
      <c r="J97" s="329" t="s">
        <v>4573</v>
      </c>
      <c r="K97" s="3904" t="s">
        <v>4574</v>
      </c>
      <c r="L97" s="2201" t="s">
        <v>4575</v>
      </c>
      <c r="M97" s="3913" t="s">
        <v>4576</v>
      </c>
      <c r="N97" s="1969" t="s">
        <v>4577</v>
      </c>
      <c r="O97" s="3904" t="s">
        <v>4578</v>
      </c>
      <c r="P97" s="2201" t="s">
        <v>4579</v>
      </c>
      <c r="Q97" s="4095" t="s">
        <v>4580</v>
      </c>
      <c r="R97" s="1969" t="s">
        <v>4581</v>
      </c>
      <c r="S97" s="330" t="s">
        <v>4582</v>
      </c>
      <c r="T97" s="2201" t="s">
        <v>4583</v>
      </c>
      <c r="U97" s="3913" t="s">
        <v>4584</v>
      </c>
      <c r="V97" s="329" t="s">
        <v>4585</v>
      </c>
      <c r="W97" s="3904" t="s">
        <v>4586</v>
      </c>
      <c r="X97" s="330" t="s">
        <v>4587</v>
      </c>
      <c r="Y97" s="3913" t="s">
        <v>4588</v>
      </c>
      <c r="Z97" s="329" t="s">
        <v>4589</v>
      </c>
      <c r="AA97" s="3904" t="s">
        <v>4590</v>
      </c>
      <c r="AB97" s="330" t="s">
        <v>4591</v>
      </c>
      <c r="AC97" s="3913" t="s">
        <v>4592</v>
      </c>
      <c r="AD97" s="329" t="s">
        <v>4593</v>
      </c>
      <c r="AE97" s="3913" t="s">
        <v>4594</v>
      </c>
      <c r="AF97" s="1969" t="s">
        <v>4595</v>
      </c>
      <c r="AG97" s="3913" t="s">
        <v>4596</v>
      </c>
      <c r="AH97" s="329" t="s">
        <v>4597</v>
      </c>
      <c r="AI97" s="3913" t="s">
        <v>4598</v>
      </c>
      <c r="AJ97" s="329" t="s">
        <v>4599</v>
      </c>
      <c r="AK97" s="3913" t="s">
        <v>4600</v>
      </c>
      <c r="AL97" s="329" t="s">
        <v>4601</v>
      </c>
      <c r="AM97" s="3904" t="s">
        <v>4602</v>
      </c>
      <c r="AN97" s="3943" t="s">
        <v>4603</v>
      </c>
      <c r="AO97" s="3904" t="s">
        <v>4604</v>
      </c>
      <c r="AP97" s="1969" t="s">
        <v>4605</v>
      </c>
      <c r="AQ97" s="3913" t="s">
        <v>4606</v>
      </c>
      <c r="AR97" s="1939" t="s">
        <v>4934</v>
      </c>
      <c r="AS97" s="1939" t="s">
        <v>4935</v>
      </c>
      <c r="AT97" s="329" t="s">
        <v>4936</v>
      </c>
      <c r="AU97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7" s="1865" t="str">
        <f t="shared" si="38"/>
        <v xml:space="preserve">* El Número de TRANS Masculino no puede superar el Total Mujeres. </v>
      </c>
      <c r="CC97" s="1865" t="str">
        <f t="shared" si="39"/>
        <v xml:space="preserve">* El Número de TRANS Femenino no puede superar el Total Hombres. </v>
      </c>
      <c r="CD97" s="1865" t="str">
        <f t="shared" si="40"/>
        <v xml:space="preserve">* El Número de Pueblos Originarios no puede superar el Total. </v>
      </c>
      <c r="CE97" s="1865" t="str">
        <f t="shared" si="41"/>
        <v xml:space="preserve">* El Número de Migrantes no puede superar el Total. </v>
      </c>
      <c r="CF97" s="1865" t="str">
        <f t="shared" si="42"/>
        <v xml:space="preserve">* El Número de Niños, Niñas, Adolescentes y Jóvenes SENAME no puede superar el Total. </v>
      </c>
      <c r="CG97" s="1865" t="str">
        <f t="shared" si="43"/>
        <v xml:space="preserve">* El Número de Niños, Niñas, Adolescentes y Jóvenes Mejor Niñez no puede superar el Total. </v>
      </c>
      <c r="CK97" s="1867">
        <f t="shared" si="44"/>
        <v>1</v>
      </c>
      <c r="CL97" s="1867">
        <f t="shared" si="45"/>
        <v>1</v>
      </c>
      <c r="CM97" s="1867">
        <f t="shared" si="46"/>
        <v>1</v>
      </c>
      <c r="CN97" s="1867">
        <f t="shared" si="46"/>
        <v>1</v>
      </c>
      <c r="CO97" s="1867">
        <f t="shared" si="46"/>
        <v>1</v>
      </c>
      <c r="CP97" s="1867">
        <f t="shared" si="46"/>
        <v>1</v>
      </c>
    </row>
    <row r="98" spans="1:94" x14ac:dyDescent="0.25">
      <c r="A98" s="5818">
        <v>19182040</v>
      </c>
      <c r="B98" s="6058"/>
      <c r="C98" s="4115" t="s">
        <v>2087</v>
      </c>
      <c r="D98" s="199" t="s">
        <v>4567</v>
      </c>
      <c r="E98" s="1126" t="s">
        <v>4568</v>
      </c>
      <c r="F98" s="10" t="s">
        <v>4569</v>
      </c>
      <c r="G98" s="1890" t="s">
        <v>4570</v>
      </c>
      <c r="H98" s="4128" t="s">
        <v>4571</v>
      </c>
      <c r="I98" s="1890" t="s">
        <v>4572</v>
      </c>
      <c r="J98" s="4103" t="s">
        <v>4573</v>
      </c>
      <c r="K98" s="3904" t="s">
        <v>4574</v>
      </c>
      <c r="L98" s="2201" t="s">
        <v>4575</v>
      </c>
      <c r="M98" s="212" t="s">
        <v>4576</v>
      </c>
      <c r="N98" s="1136" t="s">
        <v>4577</v>
      </c>
      <c r="O98" s="1137" t="s">
        <v>4578</v>
      </c>
      <c r="P98" s="1138" t="s">
        <v>4579</v>
      </c>
      <c r="Q98" s="4113" t="s">
        <v>4580</v>
      </c>
      <c r="R98" s="4112" t="s">
        <v>4581</v>
      </c>
      <c r="S98" s="4128" t="s">
        <v>4582</v>
      </c>
      <c r="T98" s="4129" t="s">
        <v>4583</v>
      </c>
      <c r="U98" s="1890" t="s">
        <v>4584</v>
      </c>
      <c r="V98" s="4103" t="s">
        <v>4585</v>
      </c>
      <c r="W98" s="1891" t="s">
        <v>4586</v>
      </c>
      <c r="X98" s="4128" t="s">
        <v>4587</v>
      </c>
      <c r="Y98" s="1890" t="s">
        <v>4588</v>
      </c>
      <c r="Z98" s="4103" t="s">
        <v>4589</v>
      </c>
      <c r="AA98" s="1891" t="s">
        <v>4590</v>
      </c>
      <c r="AB98" s="4128" t="s">
        <v>4591</v>
      </c>
      <c r="AC98" s="1890" t="s">
        <v>4592</v>
      </c>
      <c r="AD98" s="4103" t="s">
        <v>4593</v>
      </c>
      <c r="AE98" s="1890" t="s">
        <v>4594</v>
      </c>
      <c r="AF98" s="4112" t="s">
        <v>4595</v>
      </c>
      <c r="AG98" s="1890" t="s">
        <v>4596</v>
      </c>
      <c r="AH98" s="4103" t="s">
        <v>4597</v>
      </c>
      <c r="AI98" s="1890" t="s">
        <v>4598</v>
      </c>
      <c r="AJ98" s="4103" t="s">
        <v>4599</v>
      </c>
      <c r="AK98" s="1890" t="s">
        <v>4600</v>
      </c>
      <c r="AL98" s="4103" t="s">
        <v>4601</v>
      </c>
      <c r="AM98" s="4128" t="s">
        <v>4602</v>
      </c>
      <c r="AN98" s="1893" t="s">
        <v>4603</v>
      </c>
      <c r="AO98" s="3904" t="s">
        <v>4604</v>
      </c>
      <c r="AP98" s="1969" t="s">
        <v>4605</v>
      </c>
      <c r="AQ98" s="3913" t="s">
        <v>4606</v>
      </c>
      <c r="AR98" s="993" t="s">
        <v>4934</v>
      </c>
      <c r="AS98" s="993" t="s">
        <v>4935</v>
      </c>
      <c r="AT98" s="34" t="s">
        <v>4936</v>
      </c>
      <c r="AU98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8" s="1865" t="str">
        <f t="shared" si="38"/>
        <v xml:space="preserve">* El Número de TRANS Masculino no puede superar el Total Mujeres. </v>
      </c>
      <c r="CC98" s="1865" t="str">
        <f t="shared" si="39"/>
        <v xml:space="preserve">* El Número de TRANS Femenino no puede superar el Total Hombres. </v>
      </c>
      <c r="CD98" s="1865" t="str">
        <f t="shared" si="40"/>
        <v xml:space="preserve">* El Número de Pueblos Originarios no puede superar el Total. </v>
      </c>
      <c r="CE98" s="1865" t="str">
        <f t="shared" si="41"/>
        <v xml:space="preserve">* El Número de Migrantes no puede superar el Total. </v>
      </c>
      <c r="CF98" s="1865" t="str">
        <f t="shared" si="42"/>
        <v xml:space="preserve">* El Número de Niños, Niñas, Adolescentes y Jóvenes SENAME no puede superar el Total. </v>
      </c>
      <c r="CG98" s="1865" t="str">
        <f t="shared" si="43"/>
        <v xml:space="preserve">* El Número de Niños, Niñas, Adolescentes y Jóvenes Mejor Niñez no puede superar el Total. </v>
      </c>
      <c r="CK98" s="1867">
        <f t="shared" si="44"/>
        <v>1</v>
      </c>
      <c r="CL98" s="1867">
        <f t="shared" si="45"/>
        <v>1</v>
      </c>
      <c r="CM98" s="1867">
        <f t="shared" si="46"/>
        <v>1</v>
      </c>
      <c r="CN98" s="1867">
        <f t="shared" si="46"/>
        <v>1</v>
      </c>
      <c r="CO98" s="1867">
        <f t="shared" si="46"/>
        <v>1</v>
      </c>
      <c r="CP98" s="1867">
        <f t="shared" si="46"/>
        <v>1</v>
      </c>
    </row>
    <row r="99" spans="1:94" x14ac:dyDescent="0.25">
      <c r="A99" s="5818">
        <v>19160100</v>
      </c>
      <c r="B99" s="6842"/>
      <c r="C99" s="516" t="s">
        <v>2088</v>
      </c>
      <c r="D99" s="623" t="s">
        <v>4567</v>
      </c>
      <c r="E99" s="3994" t="s">
        <v>4568</v>
      </c>
      <c r="F99" s="625" t="s">
        <v>4569</v>
      </c>
      <c r="G99" s="853" t="s">
        <v>4570</v>
      </c>
      <c r="H99" s="968" t="s">
        <v>4571</v>
      </c>
      <c r="I99" s="853" t="s">
        <v>4572</v>
      </c>
      <c r="J99" s="854" t="s">
        <v>4573</v>
      </c>
      <c r="K99" s="1877" t="s">
        <v>4574</v>
      </c>
      <c r="L99" s="2203" t="s">
        <v>4575</v>
      </c>
      <c r="M99" s="853" t="s">
        <v>4576</v>
      </c>
      <c r="N99" s="1975" t="s">
        <v>4577</v>
      </c>
      <c r="O99" s="1877" t="s">
        <v>4578</v>
      </c>
      <c r="P99" s="2203" t="s">
        <v>4579</v>
      </c>
      <c r="Q99" s="2015" t="s">
        <v>4580</v>
      </c>
      <c r="R99" s="1975" t="s">
        <v>4581</v>
      </c>
      <c r="S99" s="968" t="s">
        <v>4582</v>
      </c>
      <c r="T99" s="2203" t="s">
        <v>4583</v>
      </c>
      <c r="U99" s="853" t="s">
        <v>4584</v>
      </c>
      <c r="V99" s="854" t="s">
        <v>4585</v>
      </c>
      <c r="W99" s="1877" t="s">
        <v>4586</v>
      </c>
      <c r="X99" s="968" t="s">
        <v>4587</v>
      </c>
      <c r="Y99" s="853" t="s">
        <v>4588</v>
      </c>
      <c r="Z99" s="854" t="s">
        <v>4589</v>
      </c>
      <c r="AA99" s="1877" t="s">
        <v>4590</v>
      </c>
      <c r="AB99" s="968" t="s">
        <v>4591</v>
      </c>
      <c r="AC99" s="853" t="s">
        <v>4592</v>
      </c>
      <c r="AD99" s="854" t="s">
        <v>4593</v>
      </c>
      <c r="AE99" s="853" t="s">
        <v>4594</v>
      </c>
      <c r="AF99" s="1975" t="s">
        <v>4595</v>
      </c>
      <c r="AG99" s="853" t="s">
        <v>4596</v>
      </c>
      <c r="AH99" s="854" t="s">
        <v>4597</v>
      </c>
      <c r="AI99" s="853" t="s">
        <v>4598</v>
      </c>
      <c r="AJ99" s="854" t="s">
        <v>4599</v>
      </c>
      <c r="AK99" s="853" t="s">
        <v>4600</v>
      </c>
      <c r="AL99" s="854" t="s">
        <v>4601</v>
      </c>
      <c r="AM99" s="853" t="s">
        <v>4602</v>
      </c>
      <c r="AN99" s="1919" t="s">
        <v>4603</v>
      </c>
      <c r="AO99" s="3904" t="s">
        <v>4604</v>
      </c>
      <c r="AP99" s="1969" t="s">
        <v>4605</v>
      </c>
      <c r="AQ99" s="3913" t="s">
        <v>4606</v>
      </c>
      <c r="AR99" s="1939" t="s">
        <v>4934</v>
      </c>
      <c r="AS99" s="1939" t="s">
        <v>4935</v>
      </c>
      <c r="AT99" s="329" t="s">
        <v>4936</v>
      </c>
      <c r="AU99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9" s="1865" t="str">
        <f t="shared" si="38"/>
        <v xml:space="preserve">* El Número de TRANS Masculino no puede superar el Total Mujeres. </v>
      </c>
      <c r="CC99" s="1865" t="str">
        <f t="shared" si="39"/>
        <v xml:space="preserve">* El Número de TRANS Femenino no puede superar el Total Hombres. </v>
      </c>
      <c r="CD99" s="1865" t="str">
        <f t="shared" si="40"/>
        <v xml:space="preserve">* El Número de Pueblos Originarios no puede superar el Total. </v>
      </c>
      <c r="CE99" s="1865" t="str">
        <f t="shared" si="41"/>
        <v xml:space="preserve">* El Número de Migrantes no puede superar el Total. </v>
      </c>
      <c r="CF99" s="1865" t="str">
        <f t="shared" si="42"/>
        <v xml:space="preserve">* El Número de Niños, Niñas, Adolescentes y Jóvenes SENAME no puede superar el Total. </v>
      </c>
      <c r="CG99" s="1865" t="str">
        <f t="shared" si="43"/>
        <v xml:space="preserve">* El Número de Niños, Niñas, Adolescentes y Jóvenes Mejor Niñez no puede superar el Total. </v>
      </c>
      <c r="CK99" s="1867">
        <f t="shared" si="44"/>
        <v>1</v>
      </c>
      <c r="CL99" s="1867">
        <f t="shared" si="45"/>
        <v>1</v>
      </c>
      <c r="CM99" s="1867">
        <f t="shared" si="46"/>
        <v>1</v>
      </c>
      <c r="CN99" s="1867">
        <f t="shared" si="46"/>
        <v>1</v>
      </c>
      <c r="CO99" s="1867">
        <f t="shared" si="46"/>
        <v>1</v>
      </c>
      <c r="CP99" s="1867">
        <f t="shared" si="46"/>
        <v>1</v>
      </c>
    </row>
    <row r="100" spans="1:94" ht="21" x14ac:dyDescent="0.25">
      <c r="A100" s="5818">
        <v>19160200</v>
      </c>
      <c r="B100" s="7164" t="s">
        <v>2089</v>
      </c>
      <c r="C100" s="4122" t="s">
        <v>2083</v>
      </c>
      <c r="D100" s="3225" t="s">
        <v>4567</v>
      </c>
      <c r="E100" s="3972" t="s">
        <v>4568</v>
      </c>
      <c r="F100" s="3900" t="s">
        <v>4569</v>
      </c>
      <c r="G100" s="4123" t="s">
        <v>4570</v>
      </c>
      <c r="H100" s="4124" t="s">
        <v>4571</v>
      </c>
      <c r="I100" s="4123" t="s">
        <v>4572</v>
      </c>
      <c r="J100" s="3955" t="s">
        <v>4573</v>
      </c>
      <c r="K100" s="4123" t="s">
        <v>4574</v>
      </c>
      <c r="L100" s="3955" t="s">
        <v>4575</v>
      </c>
      <c r="M100" s="3278" t="s">
        <v>4576</v>
      </c>
      <c r="N100" s="867" t="s">
        <v>4577</v>
      </c>
      <c r="O100" s="3953" t="s">
        <v>4578</v>
      </c>
      <c r="P100" s="4125" t="s">
        <v>4579</v>
      </c>
      <c r="Q100" s="3280" t="s">
        <v>4580</v>
      </c>
      <c r="R100" s="867" t="s">
        <v>4581</v>
      </c>
      <c r="S100" s="4126" t="s">
        <v>4582</v>
      </c>
      <c r="T100" s="4125" t="s">
        <v>4583</v>
      </c>
      <c r="U100" s="3278" t="s">
        <v>4584</v>
      </c>
      <c r="V100" s="3930" t="s">
        <v>4585</v>
      </c>
      <c r="W100" s="3953" t="s">
        <v>4586</v>
      </c>
      <c r="X100" s="4126" t="s">
        <v>4587</v>
      </c>
      <c r="Y100" s="3278" t="s">
        <v>4588</v>
      </c>
      <c r="Z100" s="3930" t="s">
        <v>4589</v>
      </c>
      <c r="AA100" s="3953" t="s">
        <v>4590</v>
      </c>
      <c r="AB100" s="4126" t="s">
        <v>4591</v>
      </c>
      <c r="AC100" s="3278" t="s">
        <v>4592</v>
      </c>
      <c r="AD100" s="3930" t="s">
        <v>4593</v>
      </c>
      <c r="AE100" s="3278" t="s">
        <v>4594</v>
      </c>
      <c r="AF100" s="867" t="s">
        <v>4595</v>
      </c>
      <c r="AG100" s="3278" t="s">
        <v>4596</v>
      </c>
      <c r="AH100" s="867" t="s">
        <v>4597</v>
      </c>
      <c r="AI100" s="3278" t="s">
        <v>4598</v>
      </c>
      <c r="AJ100" s="867" t="s">
        <v>4599</v>
      </c>
      <c r="AK100" s="3914" t="s">
        <v>4600</v>
      </c>
      <c r="AL100" s="2318" t="s">
        <v>4601</v>
      </c>
      <c r="AM100" s="3901" t="s">
        <v>4602</v>
      </c>
      <c r="AN100" s="3976" t="s">
        <v>4603</v>
      </c>
      <c r="AO100" s="3904" t="s">
        <v>4604</v>
      </c>
      <c r="AP100" s="1969" t="s">
        <v>4605</v>
      </c>
      <c r="AQ100" s="3913" t="s">
        <v>4606</v>
      </c>
      <c r="AR100" s="1014" t="s">
        <v>4934</v>
      </c>
      <c r="AS100" s="1014" t="s">
        <v>4935</v>
      </c>
      <c r="AT100" s="142" t="s">
        <v>4936</v>
      </c>
      <c r="AU100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0" s="1865" t="str">
        <f t="shared" si="38"/>
        <v xml:space="preserve">* El Número de TRANS Masculino no puede superar el Total Mujeres. </v>
      </c>
      <c r="CC100" s="1865" t="str">
        <f t="shared" si="39"/>
        <v xml:space="preserve">* El Número de TRANS Femenino no puede superar el Total Hombres. </v>
      </c>
      <c r="CD100" s="1865" t="str">
        <f t="shared" si="40"/>
        <v xml:space="preserve">* El Número de Pueblos Originarios no puede superar el Total. </v>
      </c>
      <c r="CE100" s="1865" t="str">
        <f t="shared" si="41"/>
        <v xml:space="preserve">* El Número de Migrantes no puede superar el Total. </v>
      </c>
      <c r="CF100" s="1865" t="str">
        <f t="shared" si="42"/>
        <v xml:space="preserve">* El Número de Niños, Niñas, Adolescentes y Jóvenes SENAME no puede superar el Total. </v>
      </c>
      <c r="CG100" s="1865" t="str">
        <f t="shared" si="43"/>
        <v xml:space="preserve">* El Número de Niños, Niñas, Adolescentes y Jóvenes Mejor Niñez no puede superar el Total. </v>
      </c>
      <c r="CK100" s="1867">
        <f t="shared" si="44"/>
        <v>1</v>
      </c>
      <c r="CL100" s="1867">
        <f t="shared" si="45"/>
        <v>1</v>
      </c>
      <c r="CM100" s="1867">
        <f t="shared" si="46"/>
        <v>1</v>
      </c>
      <c r="CN100" s="1867">
        <f t="shared" si="46"/>
        <v>1</v>
      </c>
      <c r="CO100" s="1867">
        <f t="shared" si="46"/>
        <v>1</v>
      </c>
      <c r="CP100" s="1867">
        <f t="shared" si="46"/>
        <v>1</v>
      </c>
    </row>
    <row r="101" spans="1:94" x14ac:dyDescent="0.25">
      <c r="A101" s="5818">
        <v>19160300</v>
      </c>
      <c r="B101" s="6058"/>
      <c r="C101" s="4093" t="s">
        <v>2084</v>
      </c>
      <c r="D101" s="3908" t="s">
        <v>4567</v>
      </c>
      <c r="E101" s="3978" t="s">
        <v>4568</v>
      </c>
      <c r="F101" s="344" t="s">
        <v>4569</v>
      </c>
      <c r="G101" s="326" t="s">
        <v>4570</v>
      </c>
      <c r="H101" s="45" t="s">
        <v>4571</v>
      </c>
      <c r="I101" s="326" t="s">
        <v>4572</v>
      </c>
      <c r="J101" s="142" t="s">
        <v>4573</v>
      </c>
      <c r="K101" s="326" t="s">
        <v>4574</v>
      </c>
      <c r="L101" s="45" t="s">
        <v>4575</v>
      </c>
      <c r="M101" s="3913" t="s">
        <v>4576</v>
      </c>
      <c r="N101" s="142" t="s">
        <v>4577</v>
      </c>
      <c r="O101" s="3904" t="s">
        <v>4578</v>
      </c>
      <c r="P101" s="45" t="s">
        <v>4579</v>
      </c>
      <c r="Q101" s="3913" t="s">
        <v>4580</v>
      </c>
      <c r="R101" s="142" t="s">
        <v>4581</v>
      </c>
      <c r="S101" s="3904" t="s">
        <v>4582</v>
      </c>
      <c r="T101" s="45" t="s">
        <v>4583</v>
      </c>
      <c r="U101" s="3913" t="s">
        <v>4584</v>
      </c>
      <c r="V101" s="142" t="s">
        <v>4585</v>
      </c>
      <c r="W101" s="3904" t="s">
        <v>4586</v>
      </c>
      <c r="X101" s="45" t="s">
        <v>4587</v>
      </c>
      <c r="Y101" s="3913" t="s">
        <v>4588</v>
      </c>
      <c r="Z101" s="142" t="s">
        <v>4589</v>
      </c>
      <c r="AA101" s="3904" t="s">
        <v>4590</v>
      </c>
      <c r="AB101" s="45" t="s">
        <v>4591</v>
      </c>
      <c r="AC101" s="3913" t="s">
        <v>4592</v>
      </c>
      <c r="AD101" s="142" t="s">
        <v>4593</v>
      </c>
      <c r="AE101" s="3913" t="s">
        <v>4594</v>
      </c>
      <c r="AF101" s="882" t="s">
        <v>4595</v>
      </c>
      <c r="AG101" s="3913" t="s">
        <v>4596</v>
      </c>
      <c r="AH101" s="329" t="s">
        <v>4597</v>
      </c>
      <c r="AI101" s="3913" t="s">
        <v>4598</v>
      </c>
      <c r="AJ101" s="329" t="s">
        <v>4599</v>
      </c>
      <c r="AK101" s="3913" t="s">
        <v>4600</v>
      </c>
      <c r="AL101" s="329" t="s">
        <v>4601</v>
      </c>
      <c r="AM101" s="3904" t="s">
        <v>4602</v>
      </c>
      <c r="AN101" s="3943" t="s">
        <v>4603</v>
      </c>
      <c r="AO101" s="3904" t="s">
        <v>4604</v>
      </c>
      <c r="AP101" s="1969" t="s">
        <v>4605</v>
      </c>
      <c r="AQ101" s="3913" t="s">
        <v>4606</v>
      </c>
      <c r="AR101" s="1014" t="s">
        <v>4934</v>
      </c>
      <c r="AS101" s="1014" t="s">
        <v>4935</v>
      </c>
      <c r="AT101" s="142" t="s">
        <v>4936</v>
      </c>
      <c r="AU101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1" s="1865" t="str">
        <f t="shared" si="38"/>
        <v xml:space="preserve">* El Número de TRANS Masculino no puede superar el Total Mujeres. </v>
      </c>
      <c r="CC101" s="1865" t="str">
        <f t="shared" si="39"/>
        <v xml:space="preserve">* El Número de TRANS Femenino no puede superar el Total Hombres. </v>
      </c>
      <c r="CD101" s="1865" t="str">
        <f t="shared" si="40"/>
        <v xml:space="preserve">* El Número de Pueblos Originarios no puede superar el Total. </v>
      </c>
      <c r="CE101" s="1865" t="str">
        <f t="shared" si="41"/>
        <v xml:space="preserve">* El Número de Migrantes no puede superar el Total. </v>
      </c>
      <c r="CF101" s="1865" t="str">
        <f t="shared" si="42"/>
        <v xml:space="preserve">* El Número de Niños, Niñas, Adolescentes y Jóvenes SENAME no puede superar el Total. </v>
      </c>
      <c r="CG101" s="1865" t="str">
        <f t="shared" si="43"/>
        <v xml:space="preserve">* El Número de Niños, Niñas, Adolescentes y Jóvenes Mejor Niñez no puede superar el Total. </v>
      </c>
      <c r="CK101" s="1867">
        <f t="shared" si="44"/>
        <v>1</v>
      </c>
      <c r="CL101" s="1867">
        <f t="shared" si="45"/>
        <v>1</v>
      </c>
      <c r="CM101" s="1867">
        <f t="shared" si="46"/>
        <v>1</v>
      </c>
      <c r="CN101" s="1867">
        <f t="shared" si="46"/>
        <v>1</v>
      </c>
      <c r="CO101" s="1867">
        <f t="shared" si="46"/>
        <v>1</v>
      </c>
      <c r="CP101" s="1867">
        <f t="shared" si="46"/>
        <v>1</v>
      </c>
    </row>
    <row r="102" spans="1:94" x14ac:dyDescent="0.25">
      <c r="A102" s="5818">
        <v>19160400</v>
      </c>
      <c r="B102" s="6058"/>
      <c r="C102" s="4093" t="s">
        <v>2085</v>
      </c>
      <c r="D102" s="3908" t="s">
        <v>4567</v>
      </c>
      <c r="E102" s="3978" t="s">
        <v>4568</v>
      </c>
      <c r="F102" s="344" t="s">
        <v>4569</v>
      </c>
      <c r="G102" s="3913" t="s">
        <v>4570</v>
      </c>
      <c r="H102" s="330" t="s">
        <v>4571</v>
      </c>
      <c r="I102" s="3913" t="s">
        <v>4572</v>
      </c>
      <c r="J102" s="329" t="s">
        <v>4573</v>
      </c>
      <c r="K102" s="3913" t="s">
        <v>4574</v>
      </c>
      <c r="L102" s="330" t="s">
        <v>4575</v>
      </c>
      <c r="M102" s="3913" t="s">
        <v>4576</v>
      </c>
      <c r="N102" s="329" t="s">
        <v>4577</v>
      </c>
      <c r="O102" s="3904" t="s">
        <v>4578</v>
      </c>
      <c r="P102" s="330" t="s">
        <v>4579</v>
      </c>
      <c r="Q102" s="3913" t="s">
        <v>4580</v>
      </c>
      <c r="R102" s="329" t="s">
        <v>4581</v>
      </c>
      <c r="S102" s="3904" t="s">
        <v>4582</v>
      </c>
      <c r="T102" s="330" t="s">
        <v>4583</v>
      </c>
      <c r="U102" s="3913" t="s">
        <v>4584</v>
      </c>
      <c r="V102" s="329" t="s">
        <v>4585</v>
      </c>
      <c r="W102" s="3904" t="s">
        <v>4586</v>
      </c>
      <c r="X102" s="330" t="s">
        <v>4587</v>
      </c>
      <c r="Y102" s="3913" t="s">
        <v>4588</v>
      </c>
      <c r="Z102" s="329" t="s">
        <v>4589</v>
      </c>
      <c r="AA102" s="3904" t="s">
        <v>4590</v>
      </c>
      <c r="AB102" s="330" t="s">
        <v>4591</v>
      </c>
      <c r="AC102" s="3913" t="s">
        <v>4592</v>
      </c>
      <c r="AD102" s="329" t="s">
        <v>4593</v>
      </c>
      <c r="AE102" s="3913" t="s">
        <v>4594</v>
      </c>
      <c r="AF102" s="1969" t="s">
        <v>4595</v>
      </c>
      <c r="AG102" s="3913" t="s">
        <v>4596</v>
      </c>
      <c r="AH102" s="329" t="s">
        <v>4597</v>
      </c>
      <c r="AI102" s="3913" t="s">
        <v>4598</v>
      </c>
      <c r="AJ102" s="329" t="s">
        <v>4599</v>
      </c>
      <c r="AK102" s="3913" t="s">
        <v>4600</v>
      </c>
      <c r="AL102" s="329" t="s">
        <v>4601</v>
      </c>
      <c r="AM102" s="3904" t="s">
        <v>4602</v>
      </c>
      <c r="AN102" s="3943" t="s">
        <v>4603</v>
      </c>
      <c r="AO102" s="3904" t="s">
        <v>4604</v>
      </c>
      <c r="AP102" s="1969" t="s">
        <v>4605</v>
      </c>
      <c r="AQ102" s="3913" t="s">
        <v>4606</v>
      </c>
      <c r="AR102" s="1939" t="s">
        <v>4934</v>
      </c>
      <c r="AS102" s="1939" t="s">
        <v>4935</v>
      </c>
      <c r="AT102" s="329" t="s">
        <v>4936</v>
      </c>
      <c r="AU102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2" s="1865" t="str">
        <f t="shared" si="38"/>
        <v xml:space="preserve">* El Número de TRANS Masculino no puede superar el Total Mujeres. </v>
      </c>
      <c r="CC102" s="1865" t="str">
        <f t="shared" si="39"/>
        <v xml:space="preserve">* El Número de TRANS Femenino no puede superar el Total Hombres. </v>
      </c>
      <c r="CD102" s="1865" t="str">
        <f t="shared" si="40"/>
        <v xml:space="preserve">* El Número de Pueblos Originarios no puede superar el Total. </v>
      </c>
      <c r="CE102" s="1865" t="str">
        <f t="shared" si="41"/>
        <v xml:space="preserve">* El Número de Migrantes no puede superar el Total. </v>
      </c>
      <c r="CF102" s="1865" t="str">
        <f t="shared" si="42"/>
        <v xml:space="preserve">* El Número de Niños, Niñas, Adolescentes y Jóvenes SENAME no puede superar el Total. </v>
      </c>
      <c r="CG102" s="1865" t="str">
        <f t="shared" si="43"/>
        <v xml:space="preserve">* El Número de Niños, Niñas, Adolescentes y Jóvenes Mejor Niñez no puede superar el Total. </v>
      </c>
      <c r="CK102" s="1867">
        <f t="shared" si="44"/>
        <v>1</v>
      </c>
      <c r="CL102" s="1867">
        <f t="shared" si="45"/>
        <v>1</v>
      </c>
      <c r="CM102" s="1867">
        <f t="shared" si="46"/>
        <v>1</v>
      </c>
      <c r="CN102" s="1867">
        <f t="shared" si="46"/>
        <v>1</v>
      </c>
      <c r="CO102" s="1867">
        <f t="shared" si="46"/>
        <v>1</v>
      </c>
      <c r="CP102" s="1867">
        <f t="shared" si="46"/>
        <v>1</v>
      </c>
    </row>
    <row r="103" spans="1:94" x14ac:dyDescent="0.25">
      <c r="A103" s="5818">
        <v>19160500</v>
      </c>
      <c r="B103" s="6058"/>
      <c r="C103" s="4093" t="s">
        <v>2086</v>
      </c>
      <c r="D103" s="3908" t="s">
        <v>4567</v>
      </c>
      <c r="E103" s="3978" t="s">
        <v>4568</v>
      </c>
      <c r="F103" s="344" t="s">
        <v>4569</v>
      </c>
      <c r="G103" s="3913" t="s">
        <v>4570</v>
      </c>
      <c r="H103" s="330" t="s">
        <v>4571</v>
      </c>
      <c r="I103" s="3913" t="s">
        <v>4572</v>
      </c>
      <c r="J103" s="329" t="s">
        <v>4573</v>
      </c>
      <c r="K103" s="3913" t="s">
        <v>4574</v>
      </c>
      <c r="L103" s="330" t="s">
        <v>4575</v>
      </c>
      <c r="M103" s="3913" t="s">
        <v>4576</v>
      </c>
      <c r="N103" s="329" t="s">
        <v>4577</v>
      </c>
      <c r="O103" s="3904" t="s">
        <v>4578</v>
      </c>
      <c r="P103" s="330" t="s">
        <v>4579</v>
      </c>
      <c r="Q103" s="3913" t="s">
        <v>4580</v>
      </c>
      <c r="R103" s="329" t="s">
        <v>4581</v>
      </c>
      <c r="S103" s="3904" t="s">
        <v>4582</v>
      </c>
      <c r="T103" s="330" t="s">
        <v>4583</v>
      </c>
      <c r="U103" s="3913" t="s">
        <v>4584</v>
      </c>
      <c r="V103" s="329" t="s">
        <v>4585</v>
      </c>
      <c r="W103" s="3904" t="s">
        <v>4586</v>
      </c>
      <c r="X103" s="330" t="s">
        <v>4587</v>
      </c>
      <c r="Y103" s="3913" t="s">
        <v>4588</v>
      </c>
      <c r="Z103" s="329" t="s">
        <v>4589</v>
      </c>
      <c r="AA103" s="3904" t="s">
        <v>4590</v>
      </c>
      <c r="AB103" s="330" t="s">
        <v>4591</v>
      </c>
      <c r="AC103" s="3913" t="s">
        <v>4592</v>
      </c>
      <c r="AD103" s="329" t="s">
        <v>4593</v>
      </c>
      <c r="AE103" s="3913" t="s">
        <v>4594</v>
      </c>
      <c r="AF103" s="1969" t="s">
        <v>4595</v>
      </c>
      <c r="AG103" s="3913" t="s">
        <v>4596</v>
      </c>
      <c r="AH103" s="329" t="s">
        <v>4597</v>
      </c>
      <c r="AI103" s="3913" t="s">
        <v>4598</v>
      </c>
      <c r="AJ103" s="329" t="s">
        <v>4599</v>
      </c>
      <c r="AK103" s="3913" t="s">
        <v>4600</v>
      </c>
      <c r="AL103" s="329" t="s">
        <v>4601</v>
      </c>
      <c r="AM103" s="3904" t="s">
        <v>4602</v>
      </c>
      <c r="AN103" s="3943" t="s">
        <v>4603</v>
      </c>
      <c r="AO103" s="3904" t="s">
        <v>4604</v>
      </c>
      <c r="AP103" s="1969" t="s">
        <v>4605</v>
      </c>
      <c r="AQ103" s="3913" t="s">
        <v>4606</v>
      </c>
      <c r="AR103" s="1939" t="s">
        <v>4934</v>
      </c>
      <c r="AS103" s="1939" t="s">
        <v>4935</v>
      </c>
      <c r="AT103" s="329" t="s">
        <v>4936</v>
      </c>
      <c r="AU103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3" s="1865" t="str">
        <f t="shared" si="38"/>
        <v xml:space="preserve">* El Número de TRANS Masculino no puede superar el Total Mujeres. </v>
      </c>
      <c r="CC103" s="1865" t="str">
        <f t="shared" si="39"/>
        <v xml:space="preserve">* El Número de TRANS Femenino no puede superar el Total Hombres. </v>
      </c>
      <c r="CD103" s="1865" t="str">
        <f t="shared" si="40"/>
        <v xml:space="preserve">* El Número de Pueblos Originarios no puede superar el Total. </v>
      </c>
      <c r="CE103" s="1865" t="str">
        <f t="shared" si="41"/>
        <v xml:space="preserve">* El Número de Migrantes no puede superar el Total. </v>
      </c>
      <c r="CF103" s="1865" t="str">
        <f t="shared" si="42"/>
        <v xml:space="preserve">* El Número de Niños, Niñas, Adolescentes y Jóvenes SENAME no puede superar el Total. </v>
      </c>
      <c r="CG103" s="1865" t="str">
        <f t="shared" si="43"/>
        <v xml:space="preserve">* El Número de Niños, Niñas, Adolescentes y Jóvenes Mejor Niñez no puede superar el Total. </v>
      </c>
      <c r="CK103" s="1867">
        <f t="shared" si="44"/>
        <v>1</v>
      </c>
      <c r="CL103" s="1867">
        <f t="shared" si="45"/>
        <v>1</v>
      </c>
      <c r="CM103" s="1867">
        <f t="shared" si="46"/>
        <v>1</v>
      </c>
      <c r="CN103" s="1867">
        <f t="shared" si="46"/>
        <v>1</v>
      </c>
      <c r="CO103" s="1867">
        <f t="shared" si="46"/>
        <v>1</v>
      </c>
      <c r="CP103" s="1867">
        <f t="shared" si="46"/>
        <v>1</v>
      </c>
    </row>
    <row r="104" spans="1:94" x14ac:dyDescent="0.25">
      <c r="A104" s="5818">
        <v>19182050</v>
      </c>
      <c r="B104" s="6058"/>
      <c r="C104" s="4115" t="s">
        <v>2087</v>
      </c>
      <c r="D104" s="199" t="s">
        <v>4567</v>
      </c>
      <c r="E104" s="1126" t="s">
        <v>4568</v>
      </c>
      <c r="F104" s="10" t="s">
        <v>4569</v>
      </c>
      <c r="G104" s="1890" t="s">
        <v>4570</v>
      </c>
      <c r="H104" s="4128" t="s">
        <v>4571</v>
      </c>
      <c r="I104" s="2311" t="s">
        <v>4572</v>
      </c>
      <c r="J104" s="3732" t="s">
        <v>4573</v>
      </c>
      <c r="K104" s="3913" t="s">
        <v>4574</v>
      </c>
      <c r="L104" s="330" t="s">
        <v>4575</v>
      </c>
      <c r="M104" s="3913" t="s">
        <v>4576</v>
      </c>
      <c r="N104" s="329" t="s">
        <v>4577</v>
      </c>
      <c r="O104" s="3904" t="s">
        <v>4578</v>
      </c>
      <c r="P104" s="330" t="s">
        <v>4579</v>
      </c>
      <c r="Q104" s="4130" t="s">
        <v>4580</v>
      </c>
      <c r="R104" s="2313" t="s">
        <v>4581</v>
      </c>
      <c r="S104" s="2312" t="s">
        <v>4582</v>
      </c>
      <c r="T104" s="4131" t="s">
        <v>4583</v>
      </c>
      <c r="U104" s="2311" t="s">
        <v>4584</v>
      </c>
      <c r="V104" s="3732" t="s">
        <v>4585</v>
      </c>
      <c r="W104" s="3731" t="s">
        <v>4586</v>
      </c>
      <c r="X104" s="2312" t="s">
        <v>4587</v>
      </c>
      <c r="Y104" s="2311" t="s">
        <v>4588</v>
      </c>
      <c r="Z104" s="3732" t="s">
        <v>4589</v>
      </c>
      <c r="AA104" s="3731" t="s">
        <v>4590</v>
      </c>
      <c r="AB104" s="2312" t="s">
        <v>4591</v>
      </c>
      <c r="AC104" s="2311" t="s">
        <v>4592</v>
      </c>
      <c r="AD104" s="3732" t="s">
        <v>4593</v>
      </c>
      <c r="AE104" s="2311" t="s">
        <v>4594</v>
      </c>
      <c r="AF104" s="2313" t="s">
        <v>4595</v>
      </c>
      <c r="AG104" s="2311" t="s">
        <v>4596</v>
      </c>
      <c r="AH104" s="3732" t="s">
        <v>4597</v>
      </c>
      <c r="AI104" s="2311" t="s">
        <v>4598</v>
      </c>
      <c r="AJ104" s="3732" t="s">
        <v>4599</v>
      </c>
      <c r="AK104" s="2311" t="s">
        <v>4600</v>
      </c>
      <c r="AL104" s="3732" t="s">
        <v>4601</v>
      </c>
      <c r="AM104" s="2312" t="s">
        <v>4602</v>
      </c>
      <c r="AN104" s="4132" t="s">
        <v>4603</v>
      </c>
      <c r="AO104" s="3904" t="s">
        <v>4604</v>
      </c>
      <c r="AP104" s="1969" t="s">
        <v>4605</v>
      </c>
      <c r="AQ104" s="3913" t="s">
        <v>4606</v>
      </c>
      <c r="AR104" s="1939" t="s">
        <v>4934</v>
      </c>
      <c r="AS104" s="1939" t="s">
        <v>4935</v>
      </c>
      <c r="AT104" s="329" t="s">
        <v>4936</v>
      </c>
      <c r="AU104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4" s="1865" t="str">
        <f t="shared" si="38"/>
        <v xml:space="preserve">* El Número de TRANS Masculino no puede superar el Total Mujeres. </v>
      </c>
      <c r="CC104" s="1865" t="str">
        <f t="shared" si="39"/>
        <v xml:space="preserve">* El Número de TRANS Femenino no puede superar el Total Hombres. </v>
      </c>
      <c r="CD104" s="1865" t="str">
        <f t="shared" si="40"/>
        <v xml:space="preserve">* El Número de Pueblos Originarios no puede superar el Total. </v>
      </c>
      <c r="CE104" s="1865" t="str">
        <f t="shared" si="41"/>
        <v xml:space="preserve">* El Número de Migrantes no puede superar el Total. </v>
      </c>
      <c r="CF104" s="1865" t="str">
        <f t="shared" si="42"/>
        <v xml:space="preserve">* El Número de Niños, Niñas, Adolescentes y Jóvenes SENAME no puede superar el Total. </v>
      </c>
      <c r="CG104" s="1865" t="str">
        <f t="shared" si="43"/>
        <v xml:space="preserve">* El Número de Niños, Niñas, Adolescentes y Jóvenes Mejor Niñez no puede superar el Total. </v>
      </c>
      <c r="CK104" s="1867">
        <f t="shared" si="44"/>
        <v>1</v>
      </c>
      <c r="CL104" s="1867">
        <f t="shared" si="45"/>
        <v>1</v>
      </c>
      <c r="CM104" s="1867">
        <f t="shared" si="46"/>
        <v>1</v>
      </c>
      <c r="CN104" s="1867">
        <f t="shared" si="46"/>
        <v>1</v>
      </c>
      <c r="CO104" s="1867">
        <f t="shared" si="46"/>
        <v>1</v>
      </c>
      <c r="CP104" s="1867">
        <f t="shared" si="46"/>
        <v>1</v>
      </c>
    </row>
    <row r="105" spans="1:94" x14ac:dyDescent="0.25">
      <c r="A105" s="5818">
        <v>19160600</v>
      </c>
      <c r="B105" s="6842"/>
      <c r="C105" s="516" t="s">
        <v>2088</v>
      </c>
      <c r="D105" s="623" t="s">
        <v>4567</v>
      </c>
      <c r="E105" s="3994" t="s">
        <v>4568</v>
      </c>
      <c r="F105" s="625" t="s">
        <v>4569</v>
      </c>
      <c r="G105" s="853" t="s">
        <v>4570</v>
      </c>
      <c r="H105" s="968" t="s">
        <v>4571</v>
      </c>
      <c r="I105" s="853" t="s">
        <v>4572</v>
      </c>
      <c r="J105" s="854" t="s">
        <v>4573</v>
      </c>
      <c r="K105" s="1877" t="s">
        <v>4574</v>
      </c>
      <c r="L105" s="2203" t="s">
        <v>4575</v>
      </c>
      <c r="M105" s="853" t="s">
        <v>4576</v>
      </c>
      <c r="N105" s="1975" t="s">
        <v>4577</v>
      </c>
      <c r="O105" s="1877" t="s">
        <v>4578</v>
      </c>
      <c r="P105" s="2203" t="s">
        <v>4579</v>
      </c>
      <c r="Q105" s="2015" t="s">
        <v>4580</v>
      </c>
      <c r="R105" s="1975" t="s">
        <v>4581</v>
      </c>
      <c r="S105" s="968" t="s">
        <v>4582</v>
      </c>
      <c r="T105" s="2203" t="s">
        <v>4583</v>
      </c>
      <c r="U105" s="853" t="s">
        <v>4584</v>
      </c>
      <c r="V105" s="854" t="s">
        <v>4585</v>
      </c>
      <c r="W105" s="1877" t="s">
        <v>4586</v>
      </c>
      <c r="X105" s="968" t="s">
        <v>4587</v>
      </c>
      <c r="Y105" s="853" t="s">
        <v>4588</v>
      </c>
      <c r="Z105" s="854" t="s">
        <v>4589</v>
      </c>
      <c r="AA105" s="1877" t="s">
        <v>4590</v>
      </c>
      <c r="AB105" s="968" t="s">
        <v>4591</v>
      </c>
      <c r="AC105" s="853" t="s">
        <v>4592</v>
      </c>
      <c r="AD105" s="854" t="s">
        <v>4593</v>
      </c>
      <c r="AE105" s="853" t="s">
        <v>4594</v>
      </c>
      <c r="AF105" s="1975" t="s">
        <v>4595</v>
      </c>
      <c r="AG105" s="853" t="s">
        <v>4596</v>
      </c>
      <c r="AH105" s="854" t="s">
        <v>4597</v>
      </c>
      <c r="AI105" s="853" t="s">
        <v>4598</v>
      </c>
      <c r="AJ105" s="854" t="s">
        <v>4599</v>
      </c>
      <c r="AK105" s="853" t="s">
        <v>4600</v>
      </c>
      <c r="AL105" s="854" t="s">
        <v>4601</v>
      </c>
      <c r="AM105" s="968" t="s">
        <v>4602</v>
      </c>
      <c r="AN105" s="1919" t="s">
        <v>4603</v>
      </c>
      <c r="AO105" s="1877" t="s">
        <v>4604</v>
      </c>
      <c r="AP105" s="1975" t="s">
        <v>4605</v>
      </c>
      <c r="AQ105" s="853" t="s">
        <v>4606</v>
      </c>
      <c r="AR105" s="1873" t="s">
        <v>4934</v>
      </c>
      <c r="AS105" s="1873" t="s">
        <v>4935</v>
      </c>
      <c r="AT105" s="854" t="s">
        <v>4936</v>
      </c>
      <c r="AU105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5" s="1865" t="str">
        <f t="shared" si="38"/>
        <v xml:space="preserve">* El Número de TRANS Masculino no puede superar el Total Mujeres. </v>
      </c>
      <c r="CC105" s="1865" t="str">
        <f t="shared" si="39"/>
        <v xml:space="preserve">* El Número de TRANS Femenino no puede superar el Total Hombres. </v>
      </c>
      <c r="CD105" s="1865" t="str">
        <f t="shared" si="40"/>
        <v xml:space="preserve">* El Número de Pueblos Originarios no puede superar el Total. </v>
      </c>
      <c r="CE105" s="1865" t="str">
        <f t="shared" si="41"/>
        <v xml:space="preserve">* El Número de Migrantes no puede superar el Total. </v>
      </c>
      <c r="CF105" s="1865" t="str">
        <f t="shared" si="42"/>
        <v xml:space="preserve">* El Número de Niños, Niñas, Adolescentes y Jóvenes SENAME no puede superar el Total. </v>
      </c>
      <c r="CG105" s="1865" t="str">
        <f t="shared" si="43"/>
        <v xml:space="preserve">* El Número de Niños, Niñas, Adolescentes y Jóvenes Mejor Niñez no puede superar el Total. </v>
      </c>
      <c r="CK105" s="1867">
        <f t="shared" si="44"/>
        <v>1</v>
      </c>
      <c r="CL105" s="1867">
        <f t="shared" si="45"/>
        <v>1</v>
      </c>
      <c r="CM105" s="1867">
        <f t="shared" si="46"/>
        <v>1</v>
      </c>
      <c r="CN105" s="1867">
        <f t="shared" si="46"/>
        <v>1</v>
      </c>
      <c r="CO105" s="1867">
        <f t="shared" si="46"/>
        <v>1</v>
      </c>
      <c r="CP105" s="1867">
        <f t="shared" si="46"/>
        <v>1</v>
      </c>
    </row>
    <row r="106" spans="1:94" ht="18" customHeight="1" x14ac:dyDescent="0.25">
      <c r="B106" s="7173" t="s">
        <v>2090</v>
      </c>
      <c r="C106" s="7173"/>
      <c r="D106" s="7173"/>
      <c r="E106" s="7173"/>
    </row>
    <row r="107" spans="1:94" x14ac:dyDescent="0.25">
      <c r="B107" s="7164" t="s">
        <v>2091</v>
      </c>
      <c r="C107" s="3926" t="s">
        <v>2092</v>
      </c>
      <c r="D107" s="3893" t="s">
        <v>2093</v>
      </c>
      <c r="E107" s="3893" t="s">
        <v>492</v>
      </c>
    </row>
    <row r="108" spans="1:94" x14ac:dyDescent="0.25">
      <c r="A108" s="5824">
        <v>19140700</v>
      </c>
      <c r="B108" s="6058"/>
      <c r="C108" s="3340" t="s">
        <v>279</v>
      </c>
      <c r="D108" s="4091" t="s">
        <v>4567</v>
      </c>
      <c r="E108" s="4091" t="s">
        <v>4568</v>
      </c>
      <c r="F108" s="1864" t="str">
        <f>$CB108</f>
        <v xml:space="preserve">* Las consejerías realizadas en Espacios Amigables NO DEBEN ser mayor al Total de Actividades. </v>
      </c>
      <c r="G108" s="3229"/>
      <c r="H108" s="3229"/>
      <c r="I108" s="3229"/>
      <c r="J108" s="3229"/>
      <c r="K108" s="3229"/>
      <c r="L108" s="3229"/>
      <c r="M108" s="3229"/>
      <c r="N108" s="3229"/>
      <c r="O108" s="3229"/>
      <c r="P108" s="3229"/>
      <c r="Q108" s="3229"/>
      <c r="R108" s="2149"/>
      <c r="S108" s="2149"/>
      <c r="T108" s="2149"/>
      <c r="U108" s="2150"/>
      <c r="V108" s="2150"/>
      <c r="W108" s="2150"/>
      <c r="X108" s="2150"/>
      <c r="Y108" s="2150"/>
      <c r="Z108" s="2150"/>
      <c r="AA108" s="2150"/>
      <c r="AB108" s="2150"/>
      <c r="AC108" s="2150"/>
      <c r="AD108" s="2150"/>
      <c r="AE108" s="2150"/>
      <c r="AF108" s="2150"/>
      <c r="AG108" s="2150"/>
      <c r="AH108" s="2150"/>
      <c r="AI108" s="2150"/>
      <c r="AJ108" s="2150"/>
      <c r="AK108" s="2150"/>
      <c r="AL108" s="2150"/>
      <c r="AM108" s="2150"/>
      <c r="AN108" s="2150"/>
      <c r="AO108" s="2150"/>
      <c r="AP108" s="2150"/>
      <c r="AQ108" s="2150"/>
      <c r="AR108" s="2150"/>
      <c r="AS108" s="2150"/>
      <c r="AT108" s="2150"/>
      <c r="AU108" s="2150"/>
      <c r="AV108" s="2150"/>
      <c r="AW108" s="2150"/>
      <c r="AX108" s="2150"/>
      <c r="AY108" s="2150"/>
      <c r="AZ108" s="2150"/>
      <c r="BA108" s="2150"/>
      <c r="BB108" s="2150"/>
      <c r="BC108" s="2150"/>
      <c r="BD108" s="2150"/>
      <c r="BE108" s="2150"/>
      <c r="BF108" s="2150"/>
      <c r="BG108" s="2150"/>
      <c r="BH108" s="2150"/>
      <c r="BI108" s="2150"/>
      <c r="BJ108" s="2150"/>
      <c r="BK108" s="2150"/>
      <c r="BL108" s="2150"/>
      <c r="BM108" s="2150"/>
      <c r="BN108" s="2150"/>
      <c r="BO108" s="2150"/>
      <c r="BP108" s="2150"/>
      <c r="BQ108" s="2150"/>
      <c r="BR108" s="2150"/>
      <c r="BS108" s="2150"/>
      <c r="BT108" s="2150"/>
      <c r="BU108" s="2150"/>
      <c r="BV108" s="2150"/>
      <c r="BW108" s="2150"/>
      <c r="BX108" s="2150"/>
      <c r="BY108" s="4083"/>
      <c r="BZ108" s="4083"/>
      <c r="CA108" s="4083"/>
      <c r="CB108" s="4133" t="str">
        <f>IF(E108&lt;=D108,"","* Las consejerías realizadas en Espacios Amigables NO DEBEN ser mayor al Total de Actividades. ")</f>
        <v xml:space="preserve">* Las consejerías realizadas en Espacios Amigables NO DEBEN ser mayor al Total de Actividades. </v>
      </c>
      <c r="CC108" s="3886"/>
      <c r="CD108" s="3886"/>
      <c r="CE108" s="3886"/>
      <c r="CF108" s="3886"/>
      <c r="CG108" s="3886"/>
      <c r="CK108" s="4134">
        <f>IF(E108&lt;=D108,0,1)</f>
        <v>1</v>
      </c>
    </row>
    <row r="109" spans="1:94" x14ac:dyDescent="0.25">
      <c r="A109" s="5824">
        <v>19140800</v>
      </c>
      <c r="B109" s="6058"/>
      <c r="C109" s="3874" t="s">
        <v>2094</v>
      </c>
      <c r="D109" s="3968" t="s">
        <v>4567</v>
      </c>
      <c r="E109" s="3968" t="s">
        <v>4568</v>
      </c>
      <c r="F109" s="1864" t="str">
        <f t="shared" ref="F109:F110" si="47">$CB109</f>
        <v xml:space="preserve">* Las consejerías realizadas en Espacios Amigables NO DEBEN ser mayor al Total de Actividades. </v>
      </c>
      <c r="G109" s="3229"/>
      <c r="H109" s="3229"/>
      <c r="I109" s="3229"/>
      <c r="J109" s="3229"/>
      <c r="K109" s="3229"/>
      <c r="L109" s="3229"/>
      <c r="M109" s="3229"/>
      <c r="N109" s="3229"/>
      <c r="O109" s="3229"/>
      <c r="P109" s="3229"/>
      <c r="Q109" s="3229"/>
      <c r="R109" s="2149"/>
      <c r="S109" s="2149"/>
      <c r="T109" s="2149"/>
      <c r="U109" s="2150"/>
      <c r="V109" s="2150"/>
      <c r="W109" s="2150"/>
      <c r="X109" s="2150"/>
      <c r="Y109" s="2150"/>
      <c r="Z109" s="2150"/>
      <c r="AA109" s="2150"/>
      <c r="AB109" s="2150"/>
      <c r="AC109" s="2150"/>
      <c r="AD109" s="2150"/>
      <c r="AE109" s="2150"/>
      <c r="AF109" s="2150"/>
      <c r="AG109" s="2150"/>
      <c r="AH109" s="2150"/>
      <c r="AI109" s="2150"/>
      <c r="AJ109" s="2150"/>
      <c r="AK109" s="2150"/>
      <c r="AL109" s="2150"/>
      <c r="AM109" s="2150"/>
      <c r="AN109" s="2150"/>
      <c r="AO109" s="2150"/>
      <c r="AP109" s="2150"/>
      <c r="AQ109" s="2150"/>
      <c r="AR109" s="2150"/>
      <c r="AS109" s="2150"/>
      <c r="AT109" s="2150"/>
      <c r="AU109" s="2150"/>
      <c r="AV109" s="2150"/>
      <c r="AW109" s="2150"/>
      <c r="AX109" s="2150"/>
      <c r="AY109" s="2150"/>
      <c r="AZ109" s="2150"/>
      <c r="BA109" s="2150"/>
      <c r="BB109" s="2150"/>
      <c r="BC109" s="2150"/>
      <c r="BD109" s="2150"/>
      <c r="BE109" s="2150"/>
      <c r="BF109" s="2150"/>
      <c r="BG109" s="2150"/>
      <c r="BH109" s="2150"/>
      <c r="BI109" s="2150"/>
      <c r="BJ109" s="2150"/>
      <c r="BK109" s="2150"/>
      <c r="BL109" s="2150"/>
      <c r="BM109" s="2150"/>
      <c r="BN109" s="2150"/>
      <c r="BO109" s="2150"/>
      <c r="BP109" s="2150"/>
      <c r="BQ109" s="2150"/>
      <c r="BR109" s="2150"/>
      <c r="BS109" s="2150"/>
      <c r="BT109" s="2150"/>
      <c r="BU109" s="2150"/>
      <c r="BV109" s="2150"/>
      <c r="BW109" s="2150"/>
      <c r="BX109" s="2150"/>
      <c r="BY109" s="4083"/>
      <c r="BZ109" s="4083"/>
      <c r="CA109" s="4083"/>
      <c r="CB109" s="4133" t="str">
        <f t="shared" ref="CB109:CB110" si="48">IF(E109&lt;=D109,"","* Las consejerías realizadas en Espacios Amigables NO DEBEN ser mayor al Total de Actividades. ")</f>
        <v xml:space="preserve">* Las consejerías realizadas en Espacios Amigables NO DEBEN ser mayor al Total de Actividades. </v>
      </c>
      <c r="CC109" s="3886"/>
      <c r="CD109" s="3886"/>
      <c r="CE109" s="3886"/>
      <c r="CF109" s="3886"/>
      <c r="CG109" s="3886"/>
      <c r="CK109" s="4134">
        <f>IF(E109&lt;=D109,0,1)</f>
        <v>1</v>
      </c>
    </row>
    <row r="110" spans="1:94" ht="21" x14ac:dyDescent="0.25">
      <c r="A110" s="5824">
        <v>19140900</v>
      </c>
      <c r="B110" s="6058"/>
      <c r="C110" s="3874" t="s">
        <v>2095</v>
      </c>
      <c r="D110" s="3968" t="s">
        <v>4567</v>
      </c>
      <c r="E110" s="3968" t="s">
        <v>4568</v>
      </c>
      <c r="F110" s="1864" t="str">
        <f t="shared" si="47"/>
        <v xml:space="preserve">* Las consejerías realizadas en Espacios Amigables NO DEBEN ser mayor al Total de Actividades. </v>
      </c>
      <c r="G110" s="3229"/>
      <c r="H110" s="3229"/>
      <c r="I110" s="3229"/>
      <c r="J110" s="3229"/>
      <c r="K110" s="3229"/>
      <c r="L110" s="3229"/>
      <c r="M110" s="3229"/>
      <c r="N110" s="3229"/>
      <c r="O110" s="3229"/>
      <c r="P110" s="3229"/>
      <c r="Q110" s="3229"/>
      <c r="R110" s="2149"/>
      <c r="S110" s="2149"/>
      <c r="T110" s="2149"/>
      <c r="U110" s="2150"/>
      <c r="V110" s="2150"/>
      <c r="W110" s="2150"/>
      <c r="X110" s="2150"/>
      <c r="Y110" s="2150"/>
      <c r="Z110" s="2150"/>
      <c r="AA110" s="2150"/>
      <c r="AB110" s="2150"/>
      <c r="AC110" s="2150"/>
      <c r="AD110" s="2150"/>
      <c r="AE110" s="2150"/>
      <c r="AF110" s="2150"/>
      <c r="AG110" s="2150"/>
      <c r="AH110" s="2150"/>
      <c r="AI110" s="2150"/>
      <c r="AJ110" s="2150"/>
      <c r="AK110" s="2150"/>
      <c r="AL110" s="2150"/>
      <c r="AM110" s="2150"/>
      <c r="AN110" s="2150"/>
      <c r="AO110" s="2150"/>
      <c r="AP110" s="2150"/>
      <c r="AQ110" s="2150"/>
      <c r="AR110" s="2150"/>
      <c r="AS110" s="2150"/>
      <c r="AT110" s="2150"/>
      <c r="AU110" s="2150"/>
      <c r="AV110" s="2150"/>
      <c r="AW110" s="2150"/>
      <c r="AX110" s="2150"/>
      <c r="AY110" s="2150"/>
      <c r="AZ110" s="2150"/>
      <c r="BA110" s="2150"/>
      <c r="BB110" s="2150"/>
      <c r="BC110" s="2150"/>
      <c r="BD110" s="2150"/>
      <c r="BE110" s="2150"/>
      <c r="BF110" s="2150"/>
      <c r="BG110" s="2150"/>
      <c r="BH110" s="2150"/>
      <c r="BI110" s="2150"/>
      <c r="BJ110" s="2150"/>
      <c r="BK110" s="2150"/>
      <c r="BL110" s="2150"/>
      <c r="BM110" s="2150"/>
      <c r="BN110" s="2150"/>
      <c r="BO110" s="2150"/>
      <c r="BP110" s="2150"/>
      <c r="BQ110" s="2150"/>
      <c r="BR110" s="2150"/>
      <c r="BS110" s="2150"/>
      <c r="BT110" s="2150"/>
      <c r="BU110" s="2150"/>
      <c r="BV110" s="2150"/>
      <c r="BW110" s="2150"/>
      <c r="BX110" s="2150"/>
      <c r="BY110" s="4083"/>
      <c r="BZ110" s="4083"/>
      <c r="CA110" s="4083"/>
      <c r="CB110" s="4133" t="str">
        <f t="shared" si="48"/>
        <v xml:space="preserve">* Las consejerías realizadas en Espacios Amigables NO DEBEN ser mayor al Total de Actividades. </v>
      </c>
      <c r="CC110" s="3886"/>
      <c r="CD110" s="3886"/>
      <c r="CE110" s="3886"/>
      <c r="CF110" s="3886"/>
      <c r="CG110" s="3886"/>
      <c r="CK110" s="4134">
        <f>IF(E110&lt;=D110,0,1)</f>
        <v>1</v>
      </c>
    </row>
    <row r="111" spans="1:94" x14ac:dyDescent="0.25">
      <c r="A111" s="5824">
        <v>19150100</v>
      </c>
      <c r="B111" s="6058"/>
      <c r="C111" s="3874" t="s">
        <v>4354</v>
      </c>
      <c r="D111" s="3968" t="s">
        <v>4567</v>
      </c>
      <c r="E111" s="4135" t="s">
        <v>4568</v>
      </c>
    </row>
    <row r="112" spans="1:94" x14ac:dyDescent="0.25">
      <c r="A112" s="5825">
        <v>19201021</v>
      </c>
      <c r="B112" s="6058"/>
      <c r="C112" s="3924" t="s">
        <v>2096</v>
      </c>
      <c r="D112" s="329" t="s">
        <v>4567</v>
      </c>
      <c r="E112" s="4135" t="s">
        <v>4568</v>
      </c>
    </row>
    <row r="113" spans="1:112" ht="21" x14ac:dyDescent="0.25">
      <c r="A113" s="5824">
        <v>19150300</v>
      </c>
      <c r="B113" s="6058"/>
      <c r="C113" s="3924" t="s">
        <v>2097</v>
      </c>
      <c r="D113" s="329" t="s">
        <v>4567</v>
      </c>
      <c r="E113" s="3968" t="s">
        <v>4568</v>
      </c>
      <c r="F113" s="1864" t="str">
        <f t="shared" ref="F113:F117" si="49">$CB113</f>
        <v xml:space="preserve">* Las consejerías realizadas en Espacios Amigables NO DEBEN ser mayor al Total de Actividades. </v>
      </c>
      <c r="G113" s="3229"/>
      <c r="H113" s="3229"/>
      <c r="I113" s="3229"/>
      <c r="J113" s="3229"/>
      <c r="K113" s="3229"/>
      <c r="L113" s="3229"/>
      <c r="M113" s="3229"/>
      <c r="N113" s="3229"/>
      <c r="O113" s="3229"/>
      <c r="P113" s="3229"/>
      <c r="Q113" s="3229"/>
      <c r="R113" s="2149"/>
      <c r="S113" s="2149"/>
      <c r="T113" s="2149"/>
      <c r="U113" s="2150"/>
      <c r="V113" s="2150"/>
      <c r="W113" s="2150"/>
      <c r="X113" s="2150"/>
      <c r="Y113" s="2150"/>
      <c r="Z113" s="2150"/>
      <c r="AA113" s="2150"/>
      <c r="AB113" s="2150"/>
      <c r="AC113" s="2150"/>
      <c r="AD113" s="2150"/>
      <c r="AE113" s="2150"/>
      <c r="AF113" s="2150"/>
      <c r="AG113" s="2150"/>
      <c r="AH113" s="2150"/>
      <c r="AI113" s="2150"/>
      <c r="AJ113" s="2150"/>
      <c r="AK113" s="2150"/>
      <c r="AL113" s="2150"/>
      <c r="AM113" s="2150"/>
      <c r="AN113" s="2150"/>
      <c r="AO113" s="2150"/>
      <c r="AP113" s="2150"/>
      <c r="AQ113" s="2150"/>
      <c r="AR113" s="2150"/>
      <c r="AS113" s="2150"/>
      <c r="AT113" s="2150"/>
      <c r="AU113" s="2150"/>
      <c r="AV113" s="2150"/>
      <c r="AW113" s="2150"/>
      <c r="AX113" s="2150"/>
      <c r="AY113" s="2150"/>
      <c r="AZ113" s="2150"/>
      <c r="BA113" s="2150"/>
      <c r="BB113" s="2150"/>
      <c r="BC113" s="2150"/>
      <c r="BD113" s="2150"/>
      <c r="BE113" s="2150"/>
      <c r="BF113" s="2150"/>
      <c r="BG113" s="2150"/>
      <c r="BH113" s="2150"/>
      <c r="BI113" s="2150"/>
      <c r="BJ113" s="2150"/>
      <c r="BK113" s="2150"/>
      <c r="BL113" s="2150"/>
      <c r="BM113" s="2150"/>
      <c r="BN113" s="2150"/>
      <c r="BO113" s="2150"/>
      <c r="BP113" s="2150"/>
      <c r="BQ113" s="2150"/>
      <c r="BR113" s="2150"/>
      <c r="BS113" s="2150"/>
      <c r="BT113" s="2150"/>
      <c r="BU113" s="2150"/>
      <c r="BV113" s="2150"/>
      <c r="BW113" s="2150"/>
      <c r="BX113" s="2150"/>
      <c r="BY113" s="4083"/>
      <c r="BZ113" s="4083"/>
      <c r="CA113" s="4083"/>
      <c r="CB113" s="4133" t="str">
        <f>IF(E113&lt;=D113,"","* Las consejerías realizadas en Espacios Amigables NO DEBEN ser mayor al Total de Actividades. ")</f>
        <v xml:space="preserve">* Las consejerías realizadas en Espacios Amigables NO DEBEN ser mayor al Total de Actividades. </v>
      </c>
      <c r="CC113" s="3886"/>
      <c r="CD113" s="3886"/>
      <c r="CE113" s="3886"/>
      <c r="CF113" s="3886"/>
      <c r="CG113" s="3886"/>
      <c r="CK113" s="4134">
        <f>IF(E113&lt;=D113,0,1)</f>
        <v>1</v>
      </c>
    </row>
    <row r="114" spans="1:112" x14ac:dyDescent="0.25">
      <c r="A114" s="5824">
        <v>19150400</v>
      </c>
      <c r="B114" s="6058"/>
      <c r="C114" s="3924" t="s">
        <v>2098</v>
      </c>
      <c r="D114" s="329" t="s">
        <v>4567</v>
      </c>
      <c r="E114" s="3968" t="s">
        <v>4568</v>
      </c>
      <c r="F114" s="1864" t="str">
        <f t="shared" si="49"/>
        <v xml:space="preserve">* Las consejerías realizadas en Espacios Amigables NO DEBEN ser mayor al Total de Actividades. </v>
      </c>
      <c r="G114" s="3229"/>
      <c r="H114" s="3229"/>
      <c r="I114" s="3229"/>
      <c r="J114" s="3229"/>
      <c r="K114" s="3229"/>
      <c r="L114" s="3229"/>
      <c r="M114" s="3229"/>
      <c r="N114" s="3229"/>
      <c r="O114" s="3229"/>
      <c r="P114" s="3229"/>
      <c r="Q114" s="3229"/>
      <c r="R114" s="2149"/>
      <c r="S114" s="2149"/>
      <c r="T114" s="2149"/>
      <c r="U114" s="2150"/>
      <c r="V114" s="2150"/>
      <c r="W114" s="2150"/>
      <c r="X114" s="2150"/>
      <c r="Y114" s="2150"/>
      <c r="Z114" s="2150"/>
      <c r="AA114" s="2150"/>
      <c r="AB114" s="2150"/>
      <c r="AC114" s="2150"/>
      <c r="AD114" s="2150"/>
      <c r="AE114" s="2150"/>
      <c r="AF114" s="2150"/>
      <c r="AG114" s="2150"/>
      <c r="AH114" s="2150"/>
      <c r="AI114" s="2150"/>
      <c r="AJ114" s="2150"/>
      <c r="AK114" s="2150"/>
      <c r="AL114" s="2150"/>
      <c r="AM114" s="2150"/>
      <c r="AN114" s="2150"/>
      <c r="AO114" s="2150"/>
      <c r="AP114" s="2150"/>
      <c r="AQ114" s="2150"/>
      <c r="AR114" s="2150"/>
      <c r="AS114" s="2150"/>
      <c r="AT114" s="2150"/>
      <c r="AU114" s="2150"/>
      <c r="AV114" s="2150"/>
      <c r="AW114" s="2150"/>
      <c r="AX114" s="2150"/>
      <c r="AY114" s="2150"/>
      <c r="AZ114" s="2150"/>
      <c r="BA114" s="2150"/>
      <c r="BB114" s="2150"/>
      <c r="BC114" s="2150"/>
      <c r="BD114" s="2150"/>
      <c r="BE114" s="2150"/>
      <c r="BF114" s="2150"/>
      <c r="BG114" s="2150"/>
      <c r="BH114" s="2150"/>
      <c r="BI114" s="2150"/>
      <c r="BJ114" s="2150"/>
      <c r="BK114" s="2150"/>
      <c r="BL114" s="2150"/>
      <c r="BM114" s="2150"/>
      <c r="BN114" s="2150"/>
      <c r="BO114" s="2150"/>
      <c r="BP114" s="2150"/>
      <c r="BQ114" s="2150"/>
      <c r="BR114" s="2150"/>
      <c r="BS114" s="2150"/>
      <c r="BT114" s="2150"/>
      <c r="BU114" s="2150"/>
      <c r="BV114" s="2150"/>
      <c r="BW114" s="2150"/>
      <c r="BX114" s="2150"/>
      <c r="BY114" s="4083"/>
      <c r="BZ114" s="4083"/>
      <c r="CA114" s="4083"/>
      <c r="CB114" s="4133" t="str">
        <f t="shared" ref="CB114:CB117" si="50">IF(E114&lt;=D114,"","* Las consejerías realizadas en Espacios Amigables NO DEBEN ser mayor al Total de Actividades. ")</f>
        <v xml:space="preserve">* Las consejerías realizadas en Espacios Amigables NO DEBEN ser mayor al Total de Actividades. </v>
      </c>
      <c r="CC114" s="3886"/>
      <c r="CD114" s="3886"/>
      <c r="CE114" s="3886"/>
      <c r="CF114" s="3886"/>
      <c r="CG114" s="3886"/>
      <c r="CK114" s="4134">
        <f>IF(E114&lt;=D114,0,1)</f>
        <v>1</v>
      </c>
    </row>
    <row r="115" spans="1:112" x14ac:dyDescent="0.25">
      <c r="A115" s="5826">
        <v>19150500</v>
      </c>
      <c r="B115" s="6058"/>
      <c r="C115" s="3924" t="s">
        <v>2099</v>
      </c>
      <c r="D115" s="3968" t="s">
        <v>4567</v>
      </c>
      <c r="E115" s="3968" t="s">
        <v>4568</v>
      </c>
      <c r="F115" s="1864" t="str">
        <f t="shared" si="49"/>
        <v xml:space="preserve">* Las consejerías realizadas en Espacios Amigables NO DEBEN ser mayor al Total de Actividades. </v>
      </c>
      <c r="G115" s="3229"/>
      <c r="H115" s="3229"/>
      <c r="I115" s="3229"/>
      <c r="J115" s="3229"/>
      <c r="K115" s="3229"/>
      <c r="L115" s="3229"/>
      <c r="M115" s="3229"/>
      <c r="N115" s="3229"/>
      <c r="O115" s="3229"/>
      <c r="P115" s="3229"/>
      <c r="Q115" s="3229"/>
      <c r="R115" s="2149"/>
      <c r="S115" s="2149"/>
      <c r="T115" s="2149"/>
      <c r="U115" s="2150"/>
      <c r="V115" s="2150"/>
      <c r="W115" s="2150"/>
      <c r="X115" s="2150"/>
      <c r="Y115" s="2150"/>
      <c r="Z115" s="2150"/>
      <c r="AA115" s="2150"/>
      <c r="AB115" s="2150"/>
      <c r="AC115" s="2150"/>
      <c r="AD115" s="2150"/>
      <c r="AE115" s="2150"/>
      <c r="AF115" s="2150"/>
      <c r="AG115" s="2150"/>
      <c r="AH115" s="2150"/>
      <c r="AI115" s="2150"/>
      <c r="AJ115" s="2150"/>
      <c r="AK115" s="2150"/>
      <c r="AL115" s="2150"/>
      <c r="AM115" s="2150"/>
      <c r="AN115" s="2150"/>
      <c r="AO115" s="2150"/>
      <c r="AP115" s="2150"/>
      <c r="AQ115" s="2150"/>
      <c r="AR115" s="2150"/>
      <c r="AS115" s="2150"/>
      <c r="AT115" s="2150"/>
      <c r="AU115" s="2150"/>
      <c r="AV115" s="2150"/>
      <c r="AW115" s="2150"/>
      <c r="AX115" s="2150"/>
      <c r="AY115" s="2150"/>
      <c r="AZ115" s="2150"/>
      <c r="BA115" s="2150"/>
      <c r="BB115" s="2150"/>
      <c r="BC115" s="2150"/>
      <c r="BD115" s="2150"/>
      <c r="BE115" s="2150"/>
      <c r="BF115" s="2150"/>
      <c r="BG115" s="2150"/>
      <c r="BH115" s="2150"/>
      <c r="BI115" s="2150"/>
      <c r="BJ115" s="2150"/>
      <c r="BK115" s="2150"/>
      <c r="BL115" s="2150"/>
      <c r="BM115" s="2150"/>
      <c r="BN115" s="2150"/>
      <c r="BO115" s="2150"/>
      <c r="BP115" s="2150"/>
      <c r="BQ115" s="2150"/>
      <c r="BR115" s="2150"/>
      <c r="BS115" s="2150"/>
      <c r="BT115" s="2150"/>
      <c r="BU115" s="2150"/>
      <c r="BV115" s="2150"/>
      <c r="BW115" s="2150"/>
      <c r="BX115" s="2150"/>
      <c r="BY115" s="4083"/>
      <c r="BZ115" s="4083"/>
      <c r="CA115" s="4083"/>
      <c r="CB115" s="4133" t="str">
        <f t="shared" si="50"/>
        <v xml:space="preserve">* Las consejerías realizadas en Espacios Amigables NO DEBEN ser mayor al Total de Actividades. </v>
      </c>
      <c r="CC115" s="3886"/>
      <c r="CD115" s="3886"/>
      <c r="CE115" s="3886"/>
      <c r="CF115" s="3886"/>
      <c r="CG115" s="3886"/>
      <c r="CK115" s="4134">
        <f>IF(E115&lt;=D115,0,1)</f>
        <v>1</v>
      </c>
    </row>
    <row r="116" spans="1:112" x14ac:dyDescent="0.25">
      <c r="A116" s="5826">
        <v>19190100</v>
      </c>
      <c r="B116" s="6058"/>
      <c r="C116" s="1766" t="s">
        <v>2100</v>
      </c>
      <c r="D116" s="3968" t="s">
        <v>4567</v>
      </c>
      <c r="E116" s="3968" t="s">
        <v>4568</v>
      </c>
      <c r="F116" s="1864"/>
      <c r="G116" s="3229"/>
      <c r="H116" s="3229"/>
      <c r="I116" s="3229"/>
      <c r="J116" s="3229"/>
      <c r="K116" s="3229"/>
      <c r="L116" s="3229"/>
      <c r="M116" s="3229"/>
      <c r="N116" s="3229"/>
      <c r="O116" s="3229"/>
      <c r="P116" s="3229"/>
      <c r="Q116" s="3229"/>
      <c r="R116" s="2149"/>
      <c r="S116" s="2149"/>
      <c r="T116" s="2149"/>
      <c r="U116" s="2150"/>
      <c r="V116" s="2150"/>
      <c r="W116" s="2150"/>
      <c r="X116" s="2150"/>
      <c r="Y116" s="2150"/>
      <c r="Z116" s="2150"/>
      <c r="AA116" s="2150"/>
      <c r="AB116" s="2150"/>
      <c r="AC116" s="2150"/>
      <c r="AD116" s="2150"/>
      <c r="AE116" s="2150"/>
      <c r="AF116" s="2150"/>
      <c r="AG116" s="2150"/>
      <c r="AH116" s="2150"/>
      <c r="AI116" s="2150"/>
      <c r="AJ116" s="2150"/>
      <c r="AK116" s="2150"/>
      <c r="AL116" s="2150"/>
      <c r="AM116" s="2150"/>
      <c r="AN116" s="2150"/>
      <c r="AO116" s="2150"/>
      <c r="AP116" s="2150"/>
      <c r="AQ116" s="2150"/>
      <c r="AR116" s="2150"/>
      <c r="AS116" s="2150"/>
      <c r="AT116" s="2150"/>
      <c r="AU116" s="2150"/>
      <c r="AV116" s="2150"/>
      <c r="AW116" s="2150"/>
      <c r="AX116" s="2150"/>
      <c r="AY116" s="2150"/>
      <c r="AZ116" s="2150"/>
      <c r="BA116" s="2150"/>
      <c r="BB116" s="2150"/>
      <c r="BC116" s="2150"/>
      <c r="BD116" s="2150"/>
      <c r="BE116" s="2150"/>
      <c r="BF116" s="2150"/>
      <c r="BG116" s="2150"/>
      <c r="BH116" s="2150"/>
      <c r="BI116" s="2150"/>
      <c r="BJ116" s="2150"/>
      <c r="BK116" s="2150"/>
      <c r="BL116" s="2150"/>
      <c r="BM116" s="2150"/>
      <c r="BN116" s="2150"/>
      <c r="BO116" s="2150"/>
      <c r="BP116" s="2150"/>
      <c r="BQ116" s="2150"/>
      <c r="BR116" s="2150"/>
      <c r="BS116" s="2150"/>
      <c r="BT116" s="2150"/>
      <c r="BU116" s="2150"/>
      <c r="BV116" s="2150"/>
      <c r="BW116" s="2150"/>
      <c r="BX116" s="2150"/>
      <c r="BY116" s="4083"/>
      <c r="BZ116" s="4083"/>
      <c r="CA116" s="4083"/>
      <c r="CB116" s="4133"/>
      <c r="CC116" s="3886"/>
      <c r="CD116" s="3886"/>
      <c r="CE116" s="3886"/>
      <c r="CF116" s="3886"/>
      <c r="CG116" s="3886"/>
      <c r="CK116" s="4134"/>
    </row>
    <row r="117" spans="1:112" x14ac:dyDescent="0.25">
      <c r="A117" s="5825">
        <v>19201022</v>
      </c>
      <c r="B117" s="6842"/>
      <c r="C117" s="523" t="s">
        <v>2101</v>
      </c>
      <c r="D117" s="4136" t="s">
        <v>4567</v>
      </c>
      <c r="E117" s="4136" t="s">
        <v>4568</v>
      </c>
      <c r="F117" s="1864" t="str">
        <f t="shared" si="49"/>
        <v xml:space="preserve">* Las consejerías realizadas en Espacios Amigables NO DEBEN ser mayor al Total de Actividades. </v>
      </c>
      <c r="G117" s="3229"/>
      <c r="H117" s="3229"/>
      <c r="I117" s="3229"/>
      <c r="J117" s="3229"/>
      <c r="K117" s="3229"/>
      <c r="L117" s="3229"/>
      <c r="M117" s="3229"/>
      <c r="N117" s="3229"/>
      <c r="O117" s="3229"/>
      <c r="P117" s="3229"/>
      <c r="Q117" s="3229"/>
      <c r="R117" s="2149"/>
      <c r="S117" s="2149"/>
      <c r="T117" s="2149"/>
      <c r="U117" s="2150"/>
      <c r="V117" s="2150"/>
      <c r="W117" s="2150"/>
      <c r="X117" s="2150"/>
      <c r="Y117" s="2150"/>
      <c r="Z117" s="2150"/>
      <c r="AA117" s="2150"/>
      <c r="AB117" s="2150"/>
      <c r="AC117" s="2150"/>
      <c r="AD117" s="2150"/>
      <c r="AE117" s="2150"/>
      <c r="AF117" s="2150"/>
      <c r="AG117" s="2150"/>
      <c r="AH117" s="2150"/>
      <c r="AI117" s="2150"/>
      <c r="AJ117" s="2150"/>
      <c r="AK117" s="2150"/>
      <c r="AL117" s="2150"/>
      <c r="AM117" s="2150"/>
      <c r="AN117" s="2150"/>
      <c r="AO117" s="2150"/>
      <c r="AP117" s="2150"/>
      <c r="AQ117" s="2150"/>
      <c r="AR117" s="2150"/>
      <c r="AS117" s="2150"/>
      <c r="AT117" s="2150"/>
      <c r="AU117" s="2150"/>
      <c r="AV117" s="2150"/>
      <c r="AW117" s="2150"/>
      <c r="AX117" s="2150"/>
      <c r="AY117" s="2150"/>
      <c r="AZ117" s="2150"/>
      <c r="BA117" s="2150"/>
      <c r="BB117" s="2150"/>
      <c r="BC117" s="2150"/>
      <c r="BD117" s="2150"/>
      <c r="BE117" s="2150"/>
      <c r="BF117" s="2150"/>
      <c r="BG117" s="2150"/>
      <c r="BH117" s="2150"/>
      <c r="BI117" s="2150"/>
      <c r="BJ117" s="2150"/>
      <c r="BK117" s="2150"/>
      <c r="BL117" s="2150"/>
      <c r="BM117" s="2150"/>
      <c r="BN117" s="2150"/>
      <c r="BO117" s="2150"/>
      <c r="BP117" s="2150"/>
      <c r="BQ117" s="2150"/>
      <c r="BR117" s="2150"/>
      <c r="BS117" s="2150"/>
      <c r="BT117" s="2150"/>
      <c r="BU117" s="2150"/>
      <c r="BV117" s="2150"/>
      <c r="BW117" s="2150"/>
      <c r="BX117" s="2150"/>
      <c r="BY117" s="4083"/>
      <c r="BZ117" s="4083"/>
      <c r="CA117" s="4083"/>
      <c r="CB117" s="4133" t="str">
        <f t="shared" si="50"/>
        <v xml:space="preserve">* Las consejerías realizadas en Espacios Amigables NO DEBEN ser mayor al Total de Actividades. </v>
      </c>
      <c r="CC117" s="3886"/>
      <c r="CD117" s="3886"/>
      <c r="CE117" s="3886"/>
      <c r="CF117" s="3886"/>
      <c r="CG117" s="3886"/>
      <c r="CK117" s="4134">
        <f>IF(E117&lt;=D117,0,1)</f>
        <v>1</v>
      </c>
    </row>
    <row r="118" spans="1:112" ht="18" customHeight="1" x14ac:dyDescent="0.25">
      <c r="B118" s="7199" t="s">
        <v>2102</v>
      </c>
      <c r="C118" s="7199"/>
      <c r="D118" s="7199"/>
      <c r="E118" s="7199"/>
      <c r="F118" s="7199"/>
      <c r="G118" s="7199"/>
      <c r="H118" s="7199"/>
      <c r="I118" s="7199"/>
      <c r="J118" s="7199"/>
      <c r="K118" s="7199"/>
      <c r="L118" s="7199"/>
      <c r="M118" s="7199"/>
      <c r="N118" s="7199"/>
      <c r="O118" s="7199"/>
      <c r="P118" s="7199"/>
      <c r="Q118" s="7199"/>
      <c r="R118" s="7199"/>
      <c r="S118" s="7199"/>
      <c r="T118" s="7199"/>
      <c r="U118" s="7199"/>
      <c r="V118" s="7199"/>
      <c r="W118" s="7199"/>
      <c r="X118" s="7199"/>
      <c r="Y118" s="7199"/>
      <c r="Z118" s="7199"/>
      <c r="AA118" s="7199"/>
      <c r="AB118" s="7199"/>
      <c r="AC118" s="7199"/>
      <c r="AD118" s="7199"/>
      <c r="AE118" s="7199"/>
      <c r="AF118" s="7199"/>
      <c r="AG118" s="7199"/>
      <c r="AH118" s="7199"/>
      <c r="AI118" s="7199"/>
      <c r="AJ118" s="7199"/>
      <c r="AK118" s="7199"/>
      <c r="AL118" s="7199"/>
    </row>
    <row r="119" spans="1:112" ht="15" customHeight="1" x14ac:dyDescent="0.25">
      <c r="B119" s="7121" t="s">
        <v>219</v>
      </c>
      <c r="C119" s="6511"/>
      <c r="D119" s="7121" t="s">
        <v>77</v>
      </c>
      <c r="E119" s="6510"/>
      <c r="F119" s="6511"/>
      <c r="G119" s="7200" t="s">
        <v>101</v>
      </c>
      <c r="H119" s="7133"/>
      <c r="I119" s="7133"/>
      <c r="J119" s="7133"/>
      <c r="K119" s="7133"/>
      <c r="L119" s="7133"/>
      <c r="M119" s="7133"/>
      <c r="N119" s="7133"/>
      <c r="O119" s="7133"/>
      <c r="P119" s="7133"/>
      <c r="Q119" s="7133"/>
      <c r="R119" s="7133"/>
      <c r="S119" s="7133"/>
      <c r="T119" s="7133"/>
      <c r="U119" s="7133"/>
      <c r="V119" s="7133"/>
      <c r="W119" s="7133"/>
      <c r="X119" s="7133"/>
      <c r="Y119" s="7133"/>
      <c r="Z119" s="7133"/>
      <c r="AA119" s="7133"/>
      <c r="AB119" s="7133"/>
      <c r="AC119" s="7133"/>
      <c r="AD119" s="7133"/>
      <c r="AE119" s="7133"/>
      <c r="AF119" s="7133"/>
      <c r="AG119" s="7133"/>
      <c r="AH119" s="7133"/>
      <c r="AI119" s="7133"/>
      <c r="AJ119" s="7133"/>
      <c r="AK119" s="7201" t="s">
        <v>2103</v>
      </c>
      <c r="AL119" s="7202"/>
      <c r="AM119" s="7205" t="s">
        <v>33</v>
      </c>
    </row>
    <row r="120" spans="1:112" x14ac:dyDescent="0.25">
      <c r="B120" s="6044"/>
      <c r="C120" s="6027"/>
      <c r="D120" s="6734"/>
      <c r="E120" s="6735"/>
      <c r="F120" s="6955"/>
      <c r="G120" s="7116" t="s">
        <v>94</v>
      </c>
      <c r="H120" s="7117"/>
      <c r="I120" s="7116" t="s">
        <v>304</v>
      </c>
      <c r="J120" s="7117"/>
      <c r="K120" s="7116" t="s">
        <v>305</v>
      </c>
      <c r="L120" s="7117"/>
      <c r="M120" s="7116" t="s">
        <v>974</v>
      </c>
      <c r="N120" s="7117"/>
      <c r="O120" s="7116" t="s">
        <v>629</v>
      </c>
      <c r="P120" s="7117"/>
      <c r="Q120" s="7116" t="s">
        <v>2057</v>
      </c>
      <c r="R120" s="7117"/>
      <c r="S120" s="7116" t="s">
        <v>630</v>
      </c>
      <c r="T120" s="7117"/>
      <c r="U120" s="7116" t="s">
        <v>2058</v>
      </c>
      <c r="V120" s="7117"/>
      <c r="W120" s="7116" t="s">
        <v>2059</v>
      </c>
      <c r="X120" s="7117"/>
      <c r="Y120" s="7116" t="s">
        <v>1949</v>
      </c>
      <c r="Z120" s="7117"/>
      <c r="AA120" s="7116" t="s">
        <v>1583</v>
      </c>
      <c r="AB120" s="7117"/>
      <c r="AC120" s="7116" t="s">
        <v>308</v>
      </c>
      <c r="AD120" s="7117"/>
      <c r="AE120" s="7116" t="s">
        <v>2060</v>
      </c>
      <c r="AF120" s="7117"/>
      <c r="AG120" s="7116" t="s">
        <v>2061</v>
      </c>
      <c r="AH120" s="7117"/>
      <c r="AI120" s="7107" t="s">
        <v>57</v>
      </c>
      <c r="AJ120" s="7108"/>
      <c r="AK120" s="7203"/>
      <c r="AL120" s="7204"/>
      <c r="AM120" s="7206"/>
    </row>
    <row r="121" spans="1:112" x14ac:dyDescent="0.25">
      <c r="B121" s="6734"/>
      <c r="C121" s="6955"/>
      <c r="D121" s="3894" t="s">
        <v>79</v>
      </c>
      <c r="E121" s="3897" t="s">
        <v>58</v>
      </c>
      <c r="F121" s="3893" t="s">
        <v>59</v>
      </c>
      <c r="G121" s="3894" t="s">
        <v>58</v>
      </c>
      <c r="H121" s="3893" t="s">
        <v>59</v>
      </c>
      <c r="I121" s="3894" t="s">
        <v>58</v>
      </c>
      <c r="J121" s="3893" t="s">
        <v>59</v>
      </c>
      <c r="K121" s="3894" t="s">
        <v>58</v>
      </c>
      <c r="L121" s="3893" t="s">
        <v>59</v>
      </c>
      <c r="M121" s="3894" t="s">
        <v>58</v>
      </c>
      <c r="N121" s="3893" t="s">
        <v>59</v>
      </c>
      <c r="O121" s="3894" t="s">
        <v>58</v>
      </c>
      <c r="P121" s="3893" t="s">
        <v>59</v>
      </c>
      <c r="Q121" s="3894" t="s">
        <v>58</v>
      </c>
      <c r="R121" s="3893" t="s">
        <v>59</v>
      </c>
      <c r="S121" s="3894" t="s">
        <v>58</v>
      </c>
      <c r="T121" s="3893" t="s">
        <v>59</v>
      </c>
      <c r="U121" s="3894" t="s">
        <v>58</v>
      </c>
      <c r="V121" s="3893" t="s">
        <v>59</v>
      </c>
      <c r="W121" s="3894" t="s">
        <v>58</v>
      </c>
      <c r="X121" s="3893" t="s">
        <v>59</v>
      </c>
      <c r="Y121" s="3894" t="s">
        <v>58</v>
      </c>
      <c r="Z121" s="3893" t="s">
        <v>59</v>
      </c>
      <c r="AA121" s="3894" t="s">
        <v>58</v>
      </c>
      <c r="AB121" s="3893" t="s">
        <v>59</v>
      </c>
      <c r="AC121" s="3894" t="s">
        <v>58</v>
      </c>
      <c r="AD121" s="3893" t="s">
        <v>59</v>
      </c>
      <c r="AE121" s="3894" t="s">
        <v>58</v>
      </c>
      <c r="AF121" s="3893" t="s">
        <v>59</v>
      </c>
      <c r="AG121" s="3894" t="s">
        <v>58</v>
      </c>
      <c r="AH121" s="3893" t="s">
        <v>59</v>
      </c>
      <c r="AI121" s="3894" t="s">
        <v>58</v>
      </c>
      <c r="AJ121" s="3891" t="s">
        <v>59</v>
      </c>
      <c r="AK121" s="3897" t="s">
        <v>58</v>
      </c>
      <c r="AL121" s="3890" t="s">
        <v>59</v>
      </c>
      <c r="AM121" s="6937"/>
    </row>
    <row r="122" spans="1:112" x14ac:dyDescent="0.25">
      <c r="A122" s="5826">
        <v>19190101</v>
      </c>
      <c r="B122" s="7164" t="s">
        <v>2104</v>
      </c>
      <c r="C122" s="3365" t="s">
        <v>2105</v>
      </c>
      <c r="D122" s="3225" t="s">
        <v>4567</v>
      </c>
      <c r="E122" s="3972" t="s">
        <v>4568</v>
      </c>
      <c r="F122" s="4085" t="s">
        <v>4569</v>
      </c>
      <c r="G122" s="3927" t="s">
        <v>4570</v>
      </c>
      <c r="H122" s="3929" t="s">
        <v>4571</v>
      </c>
      <c r="I122" s="3927" t="s">
        <v>4572</v>
      </c>
      <c r="J122" s="3929" t="s">
        <v>4573</v>
      </c>
      <c r="K122" s="3927" t="s">
        <v>4574</v>
      </c>
      <c r="L122" s="3929" t="s">
        <v>4575</v>
      </c>
      <c r="M122" s="3927" t="s">
        <v>4576</v>
      </c>
      <c r="N122" s="3929" t="s">
        <v>4577</v>
      </c>
      <c r="O122" s="3927" t="s">
        <v>4578</v>
      </c>
      <c r="P122" s="3929" t="s">
        <v>4579</v>
      </c>
      <c r="Q122" s="3927" t="s">
        <v>4580</v>
      </c>
      <c r="R122" s="3929" t="s">
        <v>4581</v>
      </c>
      <c r="S122" s="3927" t="s">
        <v>4582</v>
      </c>
      <c r="T122" s="3929" t="s">
        <v>4583</v>
      </c>
      <c r="U122" s="3927" t="s">
        <v>4584</v>
      </c>
      <c r="V122" s="3929" t="s">
        <v>4585</v>
      </c>
      <c r="W122" s="3927" t="s">
        <v>4586</v>
      </c>
      <c r="X122" s="3929" t="s">
        <v>4587</v>
      </c>
      <c r="Y122" s="3927" t="s">
        <v>4588</v>
      </c>
      <c r="Z122" s="3929" t="s">
        <v>4589</v>
      </c>
      <c r="AA122" s="3927" t="s">
        <v>4590</v>
      </c>
      <c r="AB122" s="3929" t="s">
        <v>4591</v>
      </c>
      <c r="AC122" s="3927" t="s">
        <v>4592</v>
      </c>
      <c r="AD122" s="3929" t="s">
        <v>4593</v>
      </c>
      <c r="AE122" s="3927" t="s">
        <v>4594</v>
      </c>
      <c r="AF122" s="3929" t="s">
        <v>4595</v>
      </c>
      <c r="AG122" s="3927" t="s">
        <v>4596</v>
      </c>
      <c r="AH122" s="3929" t="s">
        <v>4597</v>
      </c>
      <c r="AI122" s="4087" t="s">
        <v>4598</v>
      </c>
      <c r="AJ122" s="4088" t="s">
        <v>4599</v>
      </c>
      <c r="AK122" s="4137" t="s">
        <v>4600</v>
      </c>
      <c r="AL122" s="4138" t="s">
        <v>4601</v>
      </c>
      <c r="AM122" s="4089" t="s">
        <v>4602</v>
      </c>
      <c r="AN122" s="1864" t="e">
        <f>CB122&amp;CC122&amp;CD122</f>
        <v>#VALUE!</v>
      </c>
      <c r="AO122" s="3229"/>
      <c r="AP122" s="3229"/>
      <c r="AQ122" s="3229"/>
      <c r="AR122" s="3229"/>
      <c r="AS122" s="3229"/>
      <c r="AT122" s="3229"/>
      <c r="AU122" s="3229"/>
      <c r="AV122" s="3229"/>
      <c r="AW122" s="3229"/>
      <c r="AX122" s="3229"/>
      <c r="AY122" s="3229"/>
      <c r="AZ122" s="2149"/>
      <c r="BA122" s="2149"/>
      <c r="BB122" s="2149"/>
      <c r="BC122" s="2150"/>
      <c r="BD122" s="2150"/>
      <c r="BE122" s="2150"/>
      <c r="BF122" s="2150"/>
      <c r="BG122" s="2150"/>
      <c r="BH122" s="2150"/>
      <c r="BI122" s="2150"/>
      <c r="BJ122" s="2150"/>
      <c r="BK122" s="2150"/>
      <c r="BL122" s="2150"/>
      <c r="BM122" s="2150"/>
      <c r="BN122" s="2150"/>
      <c r="BO122" s="2150"/>
      <c r="BP122" s="2150"/>
      <c r="BQ122" s="2150"/>
      <c r="BR122" s="2150"/>
      <c r="BS122" s="2150"/>
      <c r="BT122" s="2150"/>
      <c r="BU122" s="2150"/>
      <c r="BV122" s="2150"/>
      <c r="BW122" s="2150"/>
      <c r="BX122" s="2150"/>
      <c r="BY122" s="2150"/>
      <c r="BZ122" s="2150"/>
      <c r="CB122" s="1865" t="e">
        <f>IF(AND(SUM(G122+I122)&gt;0,(AK122=""))," * No olvide digitar la variable 14-18 años Hombres. Si no tiene Digite CERO .",IF(AK122&gt;G122+I122,"* La suma del grupo de 14 a 18 años Hombres no puede superar el Total Hombres Grupo Etario de 10 a 19 años. ",""))</f>
        <v>#VALUE!</v>
      </c>
      <c r="CC122" s="1865" t="e">
        <f>IF(AND(SUM(H122+J122)&gt;0,(AL122="")),"* No olvide digitar la variable 14-18 años Mujeres. Si no tiene Digite CERO.",IF(AL122&gt;(H122+J122),"* La suma del grupo de 14 a 18 años Mujeres no puede superar el Total Mujeres Grupo Etario de 10 a 19 años. ",""))</f>
        <v>#VALUE!</v>
      </c>
      <c r="CD122" s="1865" t="str">
        <f>IF(AND($D122&lt;&gt;0,AM122=""),"* No olvide ingresar la columna Espacios Amigables/Adolescentes (Digite CERO si no tiene).  ",IF(AM122&gt;$D122,"* El Número de Espacios Amigables/Adolescentes no puede superar el Total. ",""))</f>
        <v xml:space="preserve">* El Número de Espacios Amigables/Adolescentes no puede superar el Total. </v>
      </c>
      <c r="CE122" s="3886"/>
      <c r="CF122" s="3886"/>
      <c r="CG122" s="3886"/>
      <c r="CK122" s="1867" t="e">
        <f>IF(AND(SUM(G122+I122)&gt;0,(AK122="")),1,IF(AK122&gt;G122+I122,1,0))</f>
        <v>#VALUE!</v>
      </c>
      <c r="CL122" s="1867" t="e">
        <f>IF(AND(SUM(H122+J122)&gt;0,(AL122="")),1,IF(AL122&gt;(H122+J122),1,0))</f>
        <v>#VALUE!</v>
      </c>
      <c r="CM122" s="1867">
        <f>IF(AND($D122&lt;&gt;0,AM122=""),1,IF(AM122&gt;$D122,1,0))</f>
        <v>1</v>
      </c>
      <c r="CN122" s="2150"/>
      <c r="CO122" s="2150"/>
      <c r="CP122" s="2150"/>
      <c r="CQ122" s="2150"/>
      <c r="CR122" s="2150"/>
      <c r="CS122" s="2150"/>
      <c r="CT122" s="2150"/>
      <c r="CU122" s="2150"/>
      <c r="CV122" s="2150"/>
      <c r="CW122" s="2150"/>
      <c r="CX122" s="2150"/>
      <c r="CY122" s="2150"/>
      <c r="CZ122" s="2150"/>
      <c r="DA122" s="2150"/>
      <c r="DB122" s="2150"/>
      <c r="DC122" s="2150"/>
      <c r="DD122" s="2150"/>
      <c r="DE122" s="2150"/>
      <c r="DF122" s="4083"/>
      <c r="DG122" s="4083"/>
      <c r="DH122" s="4083"/>
    </row>
    <row r="123" spans="1:112" x14ac:dyDescent="0.25">
      <c r="A123" s="5826">
        <v>19190102</v>
      </c>
      <c r="B123" s="6058"/>
      <c r="C123" s="4093" t="s">
        <v>2106</v>
      </c>
      <c r="D123" s="3908" t="s">
        <v>4567</v>
      </c>
      <c r="E123" s="3978" t="s">
        <v>4568</v>
      </c>
      <c r="F123" s="4094" t="s">
        <v>4569</v>
      </c>
      <c r="G123" s="3913" t="s">
        <v>4570</v>
      </c>
      <c r="H123" s="1969" t="s">
        <v>4571</v>
      </c>
      <c r="I123" s="3913" t="s">
        <v>4572</v>
      </c>
      <c r="J123" s="1969" t="s">
        <v>4573</v>
      </c>
      <c r="K123" s="3913" t="s">
        <v>4574</v>
      </c>
      <c r="L123" s="1969" t="s">
        <v>4575</v>
      </c>
      <c r="M123" s="3913" t="s">
        <v>4576</v>
      </c>
      <c r="N123" s="1969" t="s">
        <v>4577</v>
      </c>
      <c r="O123" s="3913" t="s">
        <v>4578</v>
      </c>
      <c r="P123" s="1969" t="s">
        <v>4579</v>
      </c>
      <c r="Q123" s="3913" t="s">
        <v>4580</v>
      </c>
      <c r="R123" s="1969" t="s">
        <v>4581</v>
      </c>
      <c r="S123" s="3913" t="s">
        <v>4582</v>
      </c>
      <c r="T123" s="1969" t="s">
        <v>4583</v>
      </c>
      <c r="U123" s="3913" t="s">
        <v>4584</v>
      </c>
      <c r="V123" s="1969" t="s">
        <v>4585</v>
      </c>
      <c r="W123" s="3913" t="s">
        <v>4586</v>
      </c>
      <c r="X123" s="1969" t="s">
        <v>4587</v>
      </c>
      <c r="Y123" s="3913" t="s">
        <v>4588</v>
      </c>
      <c r="Z123" s="1969" t="s">
        <v>4589</v>
      </c>
      <c r="AA123" s="3913" t="s">
        <v>4590</v>
      </c>
      <c r="AB123" s="1969" t="s">
        <v>4591</v>
      </c>
      <c r="AC123" s="3913" t="s">
        <v>4592</v>
      </c>
      <c r="AD123" s="1969" t="s">
        <v>4593</v>
      </c>
      <c r="AE123" s="3913" t="s">
        <v>4594</v>
      </c>
      <c r="AF123" s="1969" t="s">
        <v>4595</v>
      </c>
      <c r="AG123" s="3913" t="s">
        <v>4596</v>
      </c>
      <c r="AH123" s="1969" t="s">
        <v>4597</v>
      </c>
      <c r="AI123" s="4095" t="s">
        <v>4598</v>
      </c>
      <c r="AJ123" s="331" t="s">
        <v>4599</v>
      </c>
      <c r="AK123" s="330" t="s">
        <v>4600</v>
      </c>
      <c r="AL123" s="2201" t="s">
        <v>4601</v>
      </c>
      <c r="AM123" s="4096" t="s">
        <v>4602</v>
      </c>
      <c r="AN123" s="1864" t="e">
        <f>CB123&amp;CC123&amp;CD123</f>
        <v>#VALUE!</v>
      </c>
      <c r="AO123" s="3229"/>
      <c r="AP123" s="3229"/>
      <c r="AQ123" s="3229"/>
      <c r="AR123" s="3229"/>
      <c r="AS123" s="3229"/>
      <c r="AT123" s="3229"/>
      <c r="AU123" s="3229"/>
      <c r="AV123" s="3229"/>
      <c r="AW123" s="3229"/>
      <c r="AX123" s="3229"/>
      <c r="AY123" s="3229"/>
      <c r="AZ123" s="2149"/>
      <c r="BA123" s="2149"/>
      <c r="BB123" s="2149"/>
      <c r="BC123" s="2150"/>
      <c r="BD123" s="2150"/>
      <c r="BE123" s="2150"/>
      <c r="BF123" s="2150"/>
      <c r="BG123" s="2150"/>
      <c r="BH123" s="2150"/>
      <c r="BI123" s="2150"/>
      <c r="BJ123" s="2150"/>
      <c r="BK123" s="2150"/>
      <c r="BL123" s="2150"/>
      <c r="BM123" s="2150"/>
      <c r="BN123" s="2150"/>
      <c r="BO123" s="2150"/>
      <c r="BP123" s="2150"/>
      <c r="BQ123" s="2150"/>
      <c r="BR123" s="2150"/>
      <c r="BS123" s="2150"/>
      <c r="BT123" s="2150"/>
      <c r="BU123" s="2150"/>
      <c r="BV123" s="2150"/>
      <c r="BW123" s="2150"/>
      <c r="BX123" s="2150"/>
      <c r="BY123" s="2150"/>
      <c r="BZ123" s="2150"/>
      <c r="CB123" s="1865" t="e">
        <f>IF(AND(SUM(G123+I123)&gt;0,(AK123=""))," * No olvide digitar la variable 14-18 años Hombres. Si no tiene Digite CERO .",IF(AK123&gt;G123+I123,"* La suma del grupo de 14 a 18 años Hombres no puede superar el Total Hombres Grupo Etario de 10 a 19 años. ",""))</f>
        <v>#VALUE!</v>
      </c>
      <c r="CC123" s="1865" t="e">
        <f>IF(AND(SUM(H123+J123)&gt;0,(AL123="")),"* No olvide digitar la variable 14-18 años Mujeres. Si no tiene Digite CERO.",IF(AL123&gt;(H123+J123),"* La suma del grupo de 14 a 18 años Mujeres no puede superar el Total Mujeres Grupo Etario de 10 a 19 años. ",""))</f>
        <v>#VALUE!</v>
      </c>
      <c r="CD123" s="1865" t="str">
        <f>IF(AND($D123&lt;&gt;0,AM123=""),"* No olvide ingresar la columna Espacios Amigables/Adolescentes (Digite CERO si no tiene).  ",IF(AM123&gt;$D123,"* El Número de Espacios Amigables/Adolescentes no puede superar el Total. ",""))</f>
        <v xml:space="preserve">* El Número de Espacios Amigables/Adolescentes no puede superar el Total. </v>
      </c>
      <c r="CE123" s="3886"/>
      <c r="CF123" s="3886"/>
      <c r="CG123" s="3886"/>
      <c r="CK123" s="1867" t="e">
        <f>IF(AND(SUM(G123+I123)&gt;0,(AK123="")),1,IF(AK123&gt;G123+I123,1,0))</f>
        <v>#VALUE!</v>
      </c>
      <c r="CL123" s="1867" t="e">
        <f>IF(AND(SUM(H123+J123)&gt;0,(AL123="")),1,IF(AL123&gt;(H123+J123),1,0))</f>
        <v>#VALUE!</v>
      </c>
      <c r="CM123" s="1867">
        <f>IF(AND($D123&lt;&gt;0,AM123=""),1,IF(AM123&gt;$D123,1,0))</f>
        <v>1</v>
      </c>
    </row>
    <row r="124" spans="1:112" x14ac:dyDescent="0.25">
      <c r="A124" s="5826">
        <v>19190103</v>
      </c>
      <c r="B124" s="6842"/>
      <c r="C124" s="516" t="s">
        <v>2107</v>
      </c>
      <c r="D124" s="623" t="s">
        <v>4567</v>
      </c>
      <c r="E124" s="3994" t="s">
        <v>4568</v>
      </c>
      <c r="F124" s="4101" t="s">
        <v>4569</v>
      </c>
      <c r="G124" s="853" t="s">
        <v>4570</v>
      </c>
      <c r="H124" s="1975" t="s">
        <v>4571</v>
      </c>
      <c r="I124" s="853" t="s">
        <v>4572</v>
      </c>
      <c r="J124" s="1975" t="s">
        <v>4573</v>
      </c>
      <c r="K124" s="853" t="s">
        <v>4574</v>
      </c>
      <c r="L124" s="1975" t="s">
        <v>4575</v>
      </c>
      <c r="M124" s="853" t="s">
        <v>4576</v>
      </c>
      <c r="N124" s="1975" t="s">
        <v>4577</v>
      </c>
      <c r="O124" s="853" t="s">
        <v>4578</v>
      </c>
      <c r="P124" s="1975" t="s">
        <v>4579</v>
      </c>
      <c r="Q124" s="853" t="s">
        <v>4580</v>
      </c>
      <c r="R124" s="1975" t="s">
        <v>4581</v>
      </c>
      <c r="S124" s="853" t="s">
        <v>4582</v>
      </c>
      <c r="T124" s="1975" t="s">
        <v>4583</v>
      </c>
      <c r="U124" s="853" t="s">
        <v>4584</v>
      </c>
      <c r="V124" s="1975" t="s">
        <v>4585</v>
      </c>
      <c r="W124" s="853" t="s">
        <v>4586</v>
      </c>
      <c r="X124" s="1975" t="s">
        <v>4587</v>
      </c>
      <c r="Y124" s="853" t="s">
        <v>4588</v>
      </c>
      <c r="Z124" s="1975" t="s">
        <v>4589</v>
      </c>
      <c r="AA124" s="853" t="s">
        <v>4590</v>
      </c>
      <c r="AB124" s="1975" t="s">
        <v>4591</v>
      </c>
      <c r="AC124" s="853" t="s">
        <v>4592</v>
      </c>
      <c r="AD124" s="1975" t="s">
        <v>4593</v>
      </c>
      <c r="AE124" s="853" t="s">
        <v>4594</v>
      </c>
      <c r="AF124" s="1975" t="s">
        <v>4595</v>
      </c>
      <c r="AG124" s="853" t="s">
        <v>4596</v>
      </c>
      <c r="AH124" s="1975" t="s">
        <v>4597</v>
      </c>
      <c r="AI124" s="2015" t="s">
        <v>4598</v>
      </c>
      <c r="AJ124" s="1919" t="s">
        <v>4599</v>
      </c>
      <c r="AK124" s="968" t="s">
        <v>4600</v>
      </c>
      <c r="AL124" s="2203" t="s">
        <v>4601</v>
      </c>
      <c r="AM124" s="2286" t="s">
        <v>4602</v>
      </c>
      <c r="AN124" s="1864" t="e">
        <f>CB124&amp;CC124&amp;CD124</f>
        <v>#VALUE!</v>
      </c>
      <c r="AO124" s="3229"/>
      <c r="AP124" s="3229"/>
      <c r="AQ124" s="3229"/>
      <c r="AR124" s="3229"/>
      <c r="AS124" s="3229"/>
      <c r="AT124" s="3229"/>
      <c r="AU124" s="3229"/>
      <c r="AV124" s="3229"/>
      <c r="AW124" s="3229"/>
      <c r="AX124" s="3229"/>
      <c r="AY124" s="3229"/>
      <c r="AZ124" s="2149"/>
      <c r="BA124" s="2149"/>
      <c r="BB124" s="2149"/>
      <c r="BC124" s="2150"/>
      <c r="BD124" s="2150"/>
      <c r="BE124" s="2150"/>
      <c r="BF124" s="2150"/>
      <c r="BG124" s="2150"/>
      <c r="BH124" s="2150"/>
      <c r="BI124" s="2150"/>
      <c r="BJ124" s="2150"/>
      <c r="BK124" s="2150"/>
      <c r="BL124" s="2150"/>
      <c r="BM124" s="2150"/>
      <c r="BN124" s="2150"/>
      <c r="BO124" s="2150"/>
      <c r="BP124" s="2150"/>
      <c r="BQ124" s="2150"/>
      <c r="BR124" s="2150"/>
      <c r="BS124" s="2150"/>
      <c r="BT124" s="2150"/>
      <c r="BU124" s="2150"/>
      <c r="BV124" s="2150"/>
      <c r="BW124" s="2150"/>
      <c r="BX124" s="2150"/>
      <c r="BY124" s="2150"/>
      <c r="BZ124" s="2150"/>
      <c r="CB124" s="1865" t="e">
        <f>IF(AND(SUM(G124+I124)&gt;0,(AK124=""))," * No olvide digitar la variable 14-18 años Hombres. Si no tiene Digite CERO .",IF(AK124&gt;G124+I124,"* La suma del grupo de 14 a 18 años Hombres no puede superar el Total Hombres Grupo Etario de 10 a 19 años. ",""))</f>
        <v>#VALUE!</v>
      </c>
      <c r="CC124" s="1865" t="e">
        <f>IF(AND(SUM(H124+J124)&gt;0,(AL124="")),"* No olvide digitar la variable 14-18 años Mujeres. Si no tiene Digite CERO.",IF(AL124&gt;(H124+J124),"* La suma del grupo de 14 a 18 años Mujeres no puede superar el Total Mujeres Grupo Etario de 10 a 19 años. ",""))</f>
        <v>#VALUE!</v>
      </c>
      <c r="CD124" s="1865" t="str">
        <f>IF(AND($D124&lt;&gt;0,AM124=""),"* No olvide ingresar la columna Espacios Amigables/Adolescentes (Digite CERO si no tiene).  ",IF(AM124&gt;$D124,"* El Número de Espacios Amigables/Adolescentes no puede superar el Total. ",""))</f>
        <v xml:space="preserve">* El Número de Espacios Amigables/Adolescentes no puede superar el Total. </v>
      </c>
      <c r="CE124" s="3886"/>
      <c r="CF124" s="3886"/>
      <c r="CG124" s="3886"/>
      <c r="CK124" s="1867" t="e">
        <f>IF(AND(SUM(G124+I124)&gt;0,(AK124="")),1,IF(AK124&gt;G124+I124,1,0))</f>
        <v>#VALUE!</v>
      </c>
      <c r="CL124" s="1867" t="e">
        <f>IF(AND(SUM(H124+J124)&gt;0,(AL124="")),1,IF(AL124&gt;(H124+J124),1,0))</f>
        <v>#VALUE!</v>
      </c>
      <c r="CM124" s="1867">
        <f>IF(AND($D124&lt;&gt;0,AM124=""),1,IF(AM124&gt;$D124,1,0))</f>
        <v>1</v>
      </c>
    </row>
    <row r="125" spans="1:112" ht="18" customHeight="1" x14ac:dyDescent="0.25">
      <c r="B125" s="7209" t="s">
        <v>2108</v>
      </c>
      <c r="C125" s="7209"/>
      <c r="D125" s="7209"/>
      <c r="E125" s="7209"/>
      <c r="F125" s="7209"/>
      <c r="G125" s="7209"/>
      <c r="H125" s="7209"/>
      <c r="I125" s="7209"/>
      <c r="J125" s="7209"/>
      <c r="K125" s="7209"/>
    </row>
    <row r="126" spans="1:112" ht="18" customHeight="1" x14ac:dyDescent="0.25">
      <c r="B126" s="7179" t="s">
        <v>2109</v>
      </c>
      <c r="C126" s="7179"/>
      <c r="D126" s="7179"/>
      <c r="E126" s="7199"/>
      <c r="F126" s="7199"/>
      <c r="G126" s="7199"/>
      <c r="H126" s="7199"/>
      <c r="I126" s="7199"/>
      <c r="J126" s="7199"/>
      <c r="K126" s="7199"/>
    </row>
    <row r="127" spans="1:112" ht="15" customHeight="1" x14ac:dyDescent="0.25">
      <c r="B127" s="7207" t="s">
        <v>1093</v>
      </c>
      <c r="C127" s="7207" t="s">
        <v>2110</v>
      </c>
      <c r="D127" s="7116" t="s">
        <v>1613</v>
      </c>
      <c r="E127" s="7116" t="s">
        <v>2111</v>
      </c>
      <c r="F127" s="7110"/>
      <c r="G127" s="7110"/>
      <c r="H127" s="7110"/>
      <c r="I127" s="7110"/>
      <c r="J127" s="7110"/>
      <c r="K127" s="7110"/>
      <c r="L127" s="7110"/>
      <c r="M127" s="7110"/>
      <c r="N127" s="7111"/>
      <c r="O127" s="7210" t="s">
        <v>2112</v>
      </c>
      <c r="P127" s="6511" t="s">
        <v>2113</v>
      </c>
    </row>
    <row r="128" spans="1:112" ht="50.1" customHeight="1" x14ac:dyDescent="0.25">
      <c r="B128" s="7207"/>
      <c r="C128" s="7207"/>
      <c r="D128" s="7207"/>
      <c r="E128" s="1745" t="s">
        <v>2062</v>
      </c>
      <c r="F128" s="1756" t="s">
        <v>2114</v>
      </c>
      <c r="G128" s="1756" t="s">
        <v>2115</v>
      </c>
      <c r="H128" s="1756" t="s">
        <v>2116</v>
      </c>
      <c r="I128" s="1756" t="s">
        <v>2117</v>
      </c>
      <c r="J128" s="2944" t="s">
        <v>2118</v>
      </c>
      <c r="K128" s="2944" t="s">
        <v>2119</v>
      </c>
      <c r="L128" s="4084" t="s">
        <v>2120</v>
      </c>
      <c r="M128" s="1768" t="s">
        <v>2121</v>
      </c>
      <c r="N128" s="4139" t="s">
        <v>2122</v>
      </c>
      <c r="O128" s="7211"/>
      <c r="P128" s="6955"/>
    </row>
    <row r="129" spans="1:89" x14ac:dyDescent="0.25">
      <c r="A129" s="5818">
        <v>19140101</v>
      </c>
      <c r="B129" s="7164" t="s">
        <v>2123</v>
      </c>
      <c r="C129" s="3235" t="s">
        <v>2124</v>
      </c>
      <c r="D129" s="4140" t="s">
        <v>4567</v>
      </c>
      <c r="E129" s="3927" t="s">
        <v>4568</v>
      </c>
      <c r="F129" s="3928" t="s">
        <v>4569</v>
      </c>
      <c r="G129" s="3928" t="s">
        <v>4570</v>
      </c>
      <c r="H129" s="3928" t="s">
        <v>4571</v>
      </c>
      <c r="I129" s="3928" t="s">
        <v>4572</v>
      </c>
      <c r="J129" s="4138" t="s">
        <v>4573</v>
      </c>
      <c r="K129" s="3929" t="s">
        <v>4574</v>
      </c>
      <c r="L129" s="4086" t="s">
        <v>4575</v>
      </c>
      <c r="M129" s="4107" t="s">
        <v>4576</v>
      </c>
      <c r="N129" s="4141" t="s">
        <v>4577</v>
      </c>
      <c r="O129" s="4090" t="s">
        <v>4578</v>
      </c>
      <c r="P129" s="4107" t="s">
        <v>4579</v>
      </c>
      <c r="Q129" s="1936" t="str">
        <f>CB129</f>
        <v/>
      </c>
      <c r="CB129" s="1865" t="str">
        <f>IF(AND(D129&gt;0,P129="")," * No olvide digitar la variable Total Participantes. Digite CERO si no tiene. ","")</f>
        <v/>
      </c>
      <c r="CK129" s="3922">
        <f t="shared" ref="CK129:CK148" si="51">IF(AND(D129&gt;0,P129=""),1,0)</f>
        <v>0</v>
      </c>
    </row>
    <row r="130" spans="1:89" x14ac:dyDescent="0.25">
      <c r="A130" s="5818">
        <v>19170700</v>
      </c>
      <c r="B130" s="6058"/>
      <c r="C130" s="3924" t="s">
        <v>2125</v>
      </c>
      <c r="D130" s="4142" t="s">
        <v>4567</v>
      </c>
      <c r="E130" s="3913" t="s">
        <v>4568</v>
      </c>
      <c r="F130" s="1939" t="s">
        <v>4569</v>
      </c>
      <c r="G130" s="1939" t="s">
        <v>4570</v>
      </c>
      <c r="H130" s="1939" t="s">
        <v>4571</v>
      </c>
      <c r="I130" s="1939" t="s">
        <v>4572</v>
      </c>
      <c r="J130" s="2201" t="s">
        <v>4573</v>
      </c>
      <c r="K130" s="1969" t="s">
        <v>4574</v>
      </c>
      <c r="L130" s="329" t="s">
        <v>4575</v>
      </c>
      <c r="M130" s="3968" t="s">
        <v>4576</v>
      </c>
      <c r="N130" s="4143" t="s">
        <v>4577</v>
      </c>
      <c r="O130" s="3904" t="s">
        <v>4578</v>
      </c>
      <c r="P130" s="3968" t="s">
        <v>4579</v>
      </c>
      <c r="Q130" s="1936" t="str">
        <f t="shared" ref="Q130:Q148" si="52">CB130</f>
        <v/>
      </c>
      <c r="CB130" s="1865" t="str">
        <f t="shared" ref="CB130:CB148" si="53">IF(AND(D130&gt;0,P130="")," * No olvide digitar la variable Total Participantes. Digite CERO si no tiene. ","")</f>
        <v/>
      </c>
      <c r="CK130" s="3922">
        <f t="shared" si="51"/>
        <v>0</v>
      </c>
    </row>
    <row r="131" spans="1:89" x14ac:dyDescent="0.25">
      <c r="A131" s="5818">
        <v>19140102</v>
      </c>
      <c r="B131" s="6058"/>
      <c r="C131" s="3924" t="s">
        <v>2126</v>
      </c>
      <c r="D131" s="4142" t="s">
        <v>4567</v>
      </c>
      <c r="E131" s="3913" t="s">
        <v>4568</v>
      </c>
      <c r="F131" s="1939" t="s">
        <v>4569</v>
      </c>
      <c r="G131" s="1939" t="s">
        <v>4570</v>
      </c>
      <c r="H131" s="1939" t="s">
        <v>4571</v>
      </c>
      <c r="I131" s="1939" t="s">
        <v>4572</v>
      </c>
      <c r="J131" s="2201" t="s">
        <v>4573</v>
      </c>
      <c r="K131" s="1969" t="s">
        <v>4574</v>
      </c>
      <c r="L131" s="329" t="s">
        <v>4575</v>
      </c>
      <c r="M131" s="3968" t="s">
        <v>4576</v>
      </c>
      <c r="N131" s="4143" t="s">
        <v>4577</v>
      </c>
      <c r="O131" s="3904" t="s">
        <v>4578</v>
      </c>
      <c r="P131" s="3968" t="s">
        <v>4579</v>
      </c>
      <c r="Q131" s="1936" t="str">
        <f t="shared" si="52"/>
        <v/>
      </c>
      <c r="CB131" s="1865" t="str">
        <f t="shared" si="53"/>
        <v/>
      </c>
      <c r="CK131" s="3922">
        <f t="shared" si="51"/>
        <v>0</v>
      </c>
    </row>
    <row r="132" spans="1:89" x14ac:dyDescent="0.25">
      <c r="A132" s="5818">
        <v>19140103</v>
      </c>
      <c r="B132" s="6058"/>
      <c r="C132" s="3924" t="s">
        <v>2127</v>
      </c>
      <c r="D132" s="4038" t="s">
        <v>4567</v>
      </c>
      <c r="E132" s="20" t="s">
        <v>4568</v>
      </c>
      <c r="F132" s="1939" t="s">
        <v>4569</v>
      </c>
      <c r="G132" s="1939" t="s">
        <v>4570</v>
      </c>
      <c r="H132" s="1939" t="s">
        <v>4571</v>
      </c>
      <c r="I132" s="232" t="s">
        <v>4572</v>
      </c>
      <c r="J132" s="1939" t="s">
        <v>4573</v>
      </c>
      <c r="K132" s="1969" t="s">
        <v>4574</v>
      </c>
      <c r="L132" s="329" t="s">
        <v>4575</v>
      </c>
      <c r="M132" s="1918" t="s">
        <v>4576</v>
      </c>
      <c r="N132" s="4143" t="s">
        <v>4577</v>
      </c>
      <c r="O132" s="329" t="s">
        <v>4578</v>
      </c>
      <c r="P132" s="1918" t="s">
        <v>4579</v>
      </c>
      <c r="Q132" s="1936" t="str">
        <f t="shared" si="52"/>
        <v/>
      </c>
      <c r="CB132" s="1865" t="str">
        <f t="shared" si="53"/>
        <v/>
      </c>
      <c r="CK132" s="3922">
        <f t="shared" si="51"/>
        <v>0</v>
      </c>
    </row>
    <row r="133" spans="1:89" x14ac:dyDescent="0.25">
      <c r="A133" s="5825">
        <v>19201023</v>
      </c>
      <c r="B133" s="6842"/>
      <c r="C133" s="870" t="s">
        <v>2128</v>
      </c>
      <c r="D133" s="4144" t="s">
        <v>4567</v>
      </c>
      <c r="E133" s="853" t="s">
        <v>4568</v>
      </c>
      <c r="F133" s="1880" t="s">
        <v>4569</v>
      </c>
      <c r="G133" s="1880" t="s">
        <v>4570</v>
      </c>
      <c r="H133" s="1880" t="s">
        <v>4571</v>
      </c>
      <c r="I133" s="1873" t="s">
        <v>4572</v>
      </c>
      <c r="J133" s="2231" t="s">
        <v>4573</v>
      </c>
      <c r="K133" s="324" t="s">
        <v>4574</v>
      </c>
      <c r="L133" s="3416" t="s">
        <v>4575</v>
      </c>
      <c r="M133" s="1920" t="s">
        <v>4576</v>
      </c>
      <c r="N133" s="3348" t="s">
        <v>4577</v>
      </c>
      <c r="O133" s="4039" t="s">
        <v>4578</v>
      </c>
      <c r="P133" s="1920" t="s">
        <v>4579</v>
      </c>
      <c r="Q133" s="1936" t="str">
        <f t="shared" si="52"/>
        <v/>
      </c>
      <c r="CB133" s="1865" t="str">
        <f t="shared" si="53"/>
        <v/>
      </c>
      <c r="CK133" s="3922">
        <f t="shared" si="51"/>
        <v>0</v>
      </c>
    </row>
    <row r="134" spans="1:89" x14ac:dyDescent="0.25">
      <c r="A134" s="5818">
        <v>19140201</v>
      </c>
      <c r="B134" s="7164" t="s">
        <v>2129</v>
      </c>
      <c r="C134" s="3235" t="s">
        <v>2124</v>
      </c>
      <c r="D134" s="4140" t="s">
        <v>4567</v>
      </c>
      <c r="E134" s="3278" t="s">
        <v>4568</v>
      </c>
      <c r="F134" s="935" t="s">
        <v>4569</v>
      </c>
      <c r="G134" s="935" t="s">
        <v>4570</v>
      </c>
      <c r="H134" s="935" t="s">
        <v>4571</v>
      </c>
      <c r="I134" s="935" t="s">
        <v>4572</v>
      </c>
      <c r="J134" s="4125" t="s">
        <v>4573</v>
      </c>
      <c r="K134" s="867" t="s">
        <v>4574</v>
      </c>
      <c r="L134" s="3930" t="s">
        <v>4575</v>
      </c>
      <c r="M134" s="4091" t="s">
        <v>4576</v>
      </c>
      <c r="N134" s="3343" t="s">
        <v>4577</v>
      </c>
      <c r="O134" s="3953" t="s">
        <v>4578</v>
      </c>
      <c r="P134" s="4091" t="s">
        <v>4579</v>
      </c>
      <c r="Q134" s="1936" t="str">
        <f t="shared" si="52"/>
        <v/>
      </c>
      <c r="CB134" s="1865" t="str">
        <f t="shared" si="53"/>
        <v/>
      </c>
      <c r="CK134" s="3922">
        <f t="shared" si="51"/>
        <v>0</v>
      </c>
    </row>
    <row r="135" spans="1:89" x14ac:dyDescent="0.25">
      <c r="A135" s="5818">
        <v>19170800</v>
      </c>
      <c r="B135" s="6058"/>
      <c r="C135" s="3924" t="s">
        <v>2125</v>
      </c>
      <c r="D135" s="4038" t="s">
        <v>4567</v>
      </c>
      <c r="E135" s="20" t="s">
        <v>4568</v>
      </c>
      <c r="F135" s="232" t="s">
        <v>4569</v>
      </c>
      <c r="G135" s="232" t="s">
        <v>4570</v>
      </c>
      <c r="H135" s="232" t="s">
        <v>4571</v>
      </c>
      <c r="I135" s="232" t="s">
        <v>4572</v>
      </c>
      <c r="J135" s="2397" t="s">
        <v>4573</v>
      </c>
      <c r="K135" s="30" t="s">
        <v>4574</v>
      </c>
      <c r="L135" s="29" t="s">
        <v>4575</v>
      </c>
      <c r="M135" s="1918" t="s">
        <v>4576</v>
      </c>
      <c r="N135" s="4145" t="s">
        <v>4577</v>
      </c>
      <c r="O135" s="214" t="s">
        <v>4578</v>
      </c>
      <c r="P135" s="1918" t="s">
        <v>4579</v>
      </c>
      <c r="Q135" s="1936" t="str">
        <f t="shared" si="52"/>
        <v/>
      </c>
      <c r="CB135" s="1865" t="str">
        <f t="shared" si="53"/>
        <v/>
      </c>
      <c r="CK135" s="3922">
        <f t="shared" si="51"/>
        <v>0</v>
      </c>
    </row>
    <row r="136" spans="1:89" x14ac:dyDescent="0.25">
      <c r="A136" s="5818">
        <v>19140202</v>
      </c>
      <c r="B136" s="6058"/>
      <c r="C136" s="3924" t="s">
        <v>2126</v>
      </c>
      <c r="D136" s="4144" t="s">
        <v>4567</v>
      </c>
      <c r="E136" s="3913" t="s">
        <v>4568</v>
      </c>
      <c r="F136" s="1939" t="s">
        <v>4569</v>
      </c>
      <c r="G136" s="1939" t="s">
        <v>4570</v>
      </c>
      <c r="H136" s="1939" t="s">
        <v>4571</v>
      </c>
      <c r="I136" s="1939" t="s">
        <v>4572</v>
      </c>
      <c r="J136" s="2201" t="s">
        <v>4573</v>
      </c>
      <c r="K136" s="1969" t="s">
        <v>4574</v>
      </c>
      <c r="L136" s="329" t="s">
        <v>4575</v>
      </c>
      <c r="M136" s="3968" t="s">
        <v>4576</v>
      </c>
      <c r="N136" s="4143" t="s">
        <v>4577</v>
      </c>
      <c r="O136" s="3904" t="s">
        <v>4578</v>
      </c>
      <c r="P136" s="3968" t="s">
        <v>4579</v>
      </c>
      <c r="Q136" s="1936" t="str">
        <f t="shared" si="52"/>
        <v/>
      </c>
      <c r="CB136" s="1865" t="str">
        <f t="shared" si="53"/>
        <v/>
      </c>
      <c r="CK136" s="3922">
        <f t="shared" si="51"/>
        <v>0</v>
      </c>
    </row>
    <row r="137" spans="1:89" x14ac:dyDescent="0.25">
      <c r="A137" s="5818">
        <v>19140203</v>
      </c>
      <c r="B137" s="6058"/>
      <c r="C137" s="3924" t="s">
        <v>2127</v>
      </c>
      <c r="D137" s="4038" t="s">
        <v>4567</v>
      </c>
      <c r="E137" s="20" t="s">
        <v>4568</v>
      </c>
      <c r="F137" s="1939" t="s">
        <v>4569</v>
      </c>
      <c r="G137" s="1939" t="s">
        <v>4570</v>
      </c>
      <c r="H137" s="1939" t="s">
        <v>4571</v>
      </c>
      <c r="I137" s="232" t="s">
        <v>4572</v>
      </c>
      <c r="J137" s="1939" t="s">
        <v>4573</v>
      </c>
      <c r="K137" s="1969" t="s">
        <v>4574</v>
      </c>
      <c r="L137" s="329" t="s">
        <v>4575</v>
      </c>
      <c r="M137" s="1918" t="s">
        <v>4576</v>
      </c>
      <c r="N137" s="4143" t="s">
        <v>4577</v>
      </c>
      <c r="O137" s="329" t="s">
        <v>4578</v>
      </c>
      <c r="P137" s="1918" t="s">
        <v>4579</v>
      </c>
      <c r="Q137" s="1936" t="str">
        <f t="shared" si="52"/>
        <v/>
      </c>
      <c r="CB137" s="1865" t="str">
        <f t="shared" si="53"/>
        <v/>
      </c>
      <c r="CK137" s="3922">
        <f t="shared" si="51"/>
        <v>0</v>
      </c>
    </row>
    <row r="138" spans="1:89" x14ac:dyDescent="0.25">
      <c r="A138" s="5825">
        <v>19201024</v>
      </c>
      <c r="B138" s="6842"/>
      <c r="C138" s="870" t="s">
        <v>2128</v>
      </c>
      <c r="D138" s="4144" t="s">
        <v>4567</v>
      </c>
      <c r="E138" s="853" t="s">
        <v>4568</v>
      </c>
      <c r="F138" s="1880" t="s">
        <v>4569</v>
      </c>
      <c r="G138" s="1880" t="s">
        <v>4570</v>
      </c>
      <c r="H138" s="1880" t="s">
        <v>4571</v>
      </c>
      <c r="I138" s="1873" t="s">
        <v>4572</v>
      </c>
      <c r="J138" s="2231" t="s">
        <v>4573</v>
      </c>
      <c r="K138" s="324" t="s">
        <v>4574</v>
      </c>
      <c r="L138" s="3416" t="s">
        <v>4575</v>
      </c>
      <c r="M138" s="1920" t="s">
        <v>4576</v>
      </c>
      <c r="N138" s="3348" t="s">
        <v>4577</v>
      </c>
      <c r="O138" s="4039" t="s">
        <v>4578</v>
      </c>
      <c r="P138" s="1920" t="s">
        <v>4579</v>
      </c>
      <c r="Q138" s="1936" t="str">
        <f t="shared" si="52"/>
        <v/>
      </c>
      <c r="CB138" s="1865" t="str">
        <f t="shared" si="53"/>
        <v/>
      </c>
      <c r="CK138" s="3922">
        <f t="shared" si="51"/>
        <v>0</v>
      </c>
    </row>
    <row r="139" spans="1:89" x14ac:dyDescent="0.25">
      <c r="A139" s="5818">
        <v>19140301</v>
      </c>
      <c r="B139" s="7164" t="s">
        <v>2130</v>
      </c>
      <c r="C139" s="3235" t="s">
        <v>2124</v>
      </c>
      <c r="D139" s="4146" t="s">
        <v>4567</v>
      </c>
      <c r="E139" s="3278" t="s">
        <v>4568</v>
      </c>
      <c r="F139" s="935" t="s">
        <v>4569</v>
      </c>
      <c r="G139" s="935" t="s">
        <v>4570</v>
      </c>
      <c r="H139" s="935" t="s">
        <v>4571</v>
      </c>
      <c r="I139" s="935" t="s">
        <v>4572</v>
      </c>
      <c r="J139" s="4125" t="s">
        <v>4573</v>
      </c>
      <c r="K139" s="867" t="s">
        <v>4574</v>
      </c>
      <c r="L139" s="3930" t="s">
        <v>4575</v>
      </c>
      <c r="M139" s="4091" t="s">
        <v>4576</v>
      </c>
      <c r="N139" s="3343" t="s">
        <v>4577</v>
      </c>
      <c r="O139" s="3953" t="s">
        <v>4578</v>
      </c>
      <c r="P139" s="4091" t="s">
        <v>4579</v>
      </c>
      <c r="Q139" s="1936" t="str">
        <f t="shared" si="52"/>
        <v/>
      </c>
      <c r="CB139" s="1865" t="str">
        <f t="shared" si="53"/>
        <v/>
      </c>
      <c r="CK139" s="3922">
        <f t="shared" si="51"/>
        <v>0</v>
      </c>
    </row>
    <row r="140" spans="1:89" x14ac:dyDescent="0.25">
      <c r="A140" s="5818">
        <v>19170900</v>
      </c>
      <c r="B140" s="6058"/>
      <c r="C140" s="3924" t="s">
        <v>2125</v>
      </c>
      <c r="D140" s="4144" t="s">
        <v>4567</v>
      </c>
      <c r="E140" s="20" t="s">
        <v>4568</v>
      </c>
      <c r="F140" s="232" t="s">
        <v>4569</v>
      </c>
      <c r="G140" s="232" t="s">
        <v>4570</v>
      </c>
      <c r="H140" s="232" t="s">
        <v>4571</v>
      </c>
      <c r="I140" s="232" t="s">
        <v>4572</v>
      </c>
      <c r="J140" s="2397" t="s">
        <v>4573</v>
      </c>
      <c r="K140" s="30" t="s">
        <v>4574</v>
      </c>
      <c r="L140" s="29" t="s">
        <v>4575</v>
      </c>
      <c r="M140" s="1918" t="s">
        <v>4576</v>
      </c>
      <c r="N140" s="4145" t="s">
        <v>4577</v>
      </c>
      <c r="O140" s="214" t="s">
        <v>4578</v>
      </c>
      <c r="P140" s="1918" t="s">
        <v>4579</v>
      </c>
      <c r="Q140" s="1936" t="str">
        <f t="shared" si="52"/>
        <v/>
      </c>
      <c r="CB140" s="1865" t="str">
        <f t="shared" si="53"/>
        <v/>
      </c>
      <c r="CK140" s="3922">
        <f t="shared" si="51"/>
        <v>0</v>
      </c>
    </row>
    <row r="141" spans="1:89" x14ac:dyDescent="0.25">
      <c r="A141" s="5818">
        <v>19140302</v>
      </c>
      <c r="B141" s="6058"/>
      <c r="C141" s="3924" t="s">
        <v>2126</v>
      </c>
      <c r="D141" s="4142" t="s">
        <v>4567</v>
      </c>
      <c r="E141" s="3913" t="s">
        <v>4568</v>
      </c>
      <c r="F141" s="1939" t="s">
        <v>4569</v>
      </c>
      <c r="G141" s="1939" t="s">
        <v>4570</v>
      </c>
      <c r="H141" s="1939" t="s">
        <v>4571</v>
      </c>
      <c r="I141" s="1939" t="s">
        <v>4572</v>
      </c>
      <c r="J141" s="2201" t="s">
        <v>4573</v>
      </c>
      <c r="K141" s="1969" t="s">
        <v>4574</v>
      </c>
      <c r="L141" s="329" t="s">
        <v>4575</v>
      </c>
      <c r="M141" s="3968" t="s">
        <v>4576</v>
      </c>
      <c r="N141" s="4143" t="s">
        <v>4577</v>
      </c>
      <c r="O141" s="3904" t="s">
        <v>4578</v>
      </c>
      <c r="P141" s="3968" t="s">
        <v>4579</v>
      </c>
      <c r="Q141" s="1936" t="str">
        <f t="shared" si="52"/>
        <v/>
      </c>
      <c r="CB141" s="1865" t="str">
        <f t="shared" si="53"/>
        <v/>
      </c>
      <c r="CK141" s="3922">
        <f t="shared" si="51"/>
        <v>0</v>
      </c>
    </row>
    <row r="142" spans="1:89" x14ac:dyDescent="0.25">
      <c r="A142" s="5818">
        <v>19140303</v>
      </c>
      <c r="B142" s="6058"/>
      <c r="C142" s="3924" t="s">
        <v>2127</v>
      </c>
      <c r="D142" s="4038" t="s">
        <v>4567</v>
      </c>
      <c r="E142" s="212" t="s">
        <v>4568</v>
      </c>
      <c r="F142" s="993" t="s">
        <v>4569</v>
      </c>
      <c r="G142" s="993" t="s">
        <v>4570</v>
      </c>
      <c r="H142" s="993" t="s">
        <v>4571</v>
      </c>
      <c r="I142" s="993" t="s">
        <v>4572</v>
      </c>
      <c r="J142" s="1138" t="s">
        <v>4573</v>
      </c>
      <c r="K142" s="1136" t="s">
        <v>4574</v>
      </c>
      <c r="L142" s="34" t="s">
        <v>4575</v>
      </c>
      <c r="M142" s="4109" t="s">
        <v>4576</v>
      </c>
      <c r="N142" s="4147" t="s">
        <v>4577</v>
      </c>
      <c r="O142" s="1137" t="s">
        <v>4578</v>
      </c>
      <c r="P142" s="4109" t="s">
        <v>4579</v>
      </c>
      <c r="Q142" s="1936" t="str">
        <f t="shared" si="52"/>
        <v/>
      </c>
      <c r="CB142" s="1865" t="str">
        <f t="shared" si="53"/>
        <v/>
      </c>
      <c r="CK142" s="3922">
        <f t="shared" si="51"/>
        <v>0</v>
      </c>
    </row>
    <row r="143" spans="1:89" x14ac:dyDescent="0.25">
      <c r="A143" s="5825">
        <v>19201025</v>
      </c>
      <c r="B143" s="6842"/>
      <c r="C143" s="870" t="s">
        <v>2128</v>
      </c>
      <c r="D143" s="4144" t="s">
        <v>4567</v>
      </c>
      <c r="E143" s="853" t="s">
        <v>4568</v>
      </c>
      <c r="F143" s="1873" t="s">
        <v>4569</v>
      </c>
      <c r="G143" s="1873" t="s">
        <v>4570</v>
      </c>
      <c r="H143" s="1873" t="s">
        <v>4571</v>
      </c>
      <c r="I143" s="1873" t="s">
        <v>4572</v>
      </c>
      <c r="J143" s="2203" t="s">
        <v>4573</v>
      </c>
      <c r="K143" s="1975" t="s">
        <v>4574</v>
      </c>
      <c r="L143" s="854" t="s">
        <v>4575</v>
      </c>
      <c r="M143" s="1920" t="s">
        <v>4576</v>
      </c>
      <c r="N143" s="4037" t="s">
        <v>4577</v>
      </c>
      <c r="O143" s="1877" t="s">
        <v>4578</v>
      </c>
      <c r="P143" s="1920" t="s">
        <v>4579</v>
      </c>
      <c r="Q143" s="1936" t="str">
        <f t="shared" si="52"/>
        <v/>
      </c>
      <c r="CB143" s="1865" t="str">
        <f t="shared" si="53"/>
        <v/>
      </c>
      <c r="CK143" s="3922">
        <f t="shared" si="51"/>
        <v>0</v>
      </c>
    </row>
    <row r="144" spans="1:89" x14ac:dyDescent="0.25">
      <c r="A144" s="5818">
        <v>19140401</v>
      </c>
      <c r="B144" s="7164" t="s">
        <v>2131</v>
      </c>
      <c r="C144" s="3235" t="s">
        <v>2124</v>
      </c>
      <c r="D144" s="4140" t="s">
        <v>4567</v>
      </c>
      <c r="E144" s="3278" t="s">
        <v>4568</v>
      </c>
      <c r="F144" s="935" t="s">
        <v>4569</v>
      </c>
      <c r="G144" s="935" t="s">
        <v>4570</v>
      </c>
      <c r="H144" s="935" t="s">
        <v>4571</v>
      </c>
      <c r="I144" s="935" t="s">
        <v>4572</v>
      </c>
      <c r="J144" s="4125" t="s">
        <v>4573</v>
      </c>
      <c r="K144" s="867" t="s">
        <v>4574</v>
      </c>
      <c r="L144" s="3930" t="s">
        <v>4575</v>
      </c>
      <c r="M144" s="4091" t="s">
        <v>4576</v>
      </c>
      <c r="N144" s="3343" t="s">
        <v>4577</v>
      </c>
      <c r="O144" s="3953" t="s">
        <v>4578</v>
      </c>
      <c r="P144" s="4091" t="s">
        <v>4579</v>
      </c>
      <c r="Q144" s="1936" t="str">
        <f t="shared" si="52"/>
        <v/>
      </c>
      <c r="CB144" s="1865" t="str">
        <f t="shared" si="53"/>
        <v/>
      </c>
      <c r="CK144" s="3922">
        <f t="shared" si="51"/>
        <v>0</v>
      </c>
    </row>
    <row r="145" spans="1:89" x14ac:dyDescent="0.25">
      <c r="A145" s="5818">
        <v>19180000</v>
      </c>
      <c r="B145" s="6058"/>
      <c r="C145" s="3924" t="s">
        <v>2125</v>
      </c>
      <c r="D145" s="4142" t="s">
        <v>4567</v>
      </c>
      <c r="E145" s="20" t="s">
        <v>4568</v>
      </c>
      <c r="F145" s="232" t="s">
        <v>4569</v>
      </c>
      <c r="G145" s="232" t="s">
        <v>4570</v>
      </c>
      <c r="H145" s="232" t="s">
        <v>4571</v>
      </c>
      <c r="I145" s="232" t="s">
        <v>4572</v>
      </c>
      <c r="J145" s="2397" t="s">
        <v>4573</v>
      </c>
      <c r="K145" s="30" t="s">
        <v>4574</v>
      </c>
      <c r="L145" s="29" t="s">
        <v>4575</v>
      </c>
      <c r="M145" s="1918" t="s">
        <v>4576</v>
      </c>
      <c r="N145" s="4145" t="s">
        <v>4577</v>
      </c>
      <c r="O145" s="214" t="s">
        <v>4578</v>
      </c>
      <c r="P145" s="1918" t="s">
        <v>4579</v>
      </c>
      <c r="Q145" s="1936" t="str">
        <f t="shared" si="52"/>
        <v/>
      </c>
      <c r="CB145" s="1865" t="str">
        <f t="shared" si="53"/>
        <v/>
      </c>
      <c r="CK145" s="3922">
        <f t="shared" si="51"/>
        <v>0</v>
      </c>
    </row>
    <row r="146" spans="1:89" x14ac:dyDescent="0.25">
      <c r="A146" s="5818">
        <v>19140402</v>
      </c>
      <c r="B146" s="6058"/>
      <c r="C146" s="3924" t="s">
        <v>2126</v>
      </c>
      <c r="D146" s="4142" t="s">
        <v>4567</v>
      </c>
      <c r="E146" s="3913" t="s">
        <v>4568</v>
      </c>
      <c r="F146" s="1939" t="s">
        <v>4569</v>
      </c>
      <c r="G146" s="1939" t="s">
        <v>4570</v>
      </c>
      <c r="H146" s="1939" t="s">
        <v>4571</v>
      </c>
      <c r="I146" s="1939" t="s">
        <v>4572</v>
      </c>
      <c r="J146" s="2201" t="s">
        <v>4573</v>
      </c>
      <c r="K146" s="1969" t="s">
        <v>4574</v>
      </c>
      <c r="L146" s="329" t="s">
        <v>4575</v>
      </c>
      <c r="M146" s="3968" t="s">
        <v>4576</v>
      </c>
      <c r="N146" s="4143" t="s">
        <v>4577</v>
      </c>
      <c r="O146" s="3904" t="s">
        <v>4578</v>
      </c>
      <c r="P146" s="3968" t="s">
        <v>4579</v>
      </c>
      <c r="Q146" s="1936" t="str">
        <f t="shared" si="52"/>
        <v/>
      </c>
      <c r="CB146" s="1865" t="str">
        <f t="shared" si="53"/>
        <v/>
      </c>
      <c r="CK146" s="3922">
        <f t="shared" si="51"/>
        <v>0</v>
      </c>
    </row>
    <row r="147" spans="1:89" x14ac:dyDescent="0.25">
      <c r="A147" s="5818">
        <v>19140403</v>
      </c>
      <c r="B147" s="6058"/>
      <c r="C147" s="3924" t="s">
        <v>2127</v>
      </c>
      <c r="D147" s="4142" t="s">
        <v>4567</v>
      </c>
      <c r="E147" s="212" t="s">
        <v>4568</v>
      </c>
      <c r="F147" s="993" t="s">
        <v>4569</v>
      </c>
      <c r="G147" s="993" t="s">
        <v>4570</v>
      </c>
      <c r="H147" s="993" t="s">
        <v>4571</v>
      </c>
      <c r="I147" s="993" t="s">
        <v>4572</v>
      </c>
      <c r="J147" s="1138" t="s">
        <v>4573</v>
      </c>
      <c r="K147" s="1136" t="s">
        <v>4574</v>
      </c>
      <c r="L147" s="34" t="s">
        <v>4575</v>
      </c>
      <c r="M147" s="4109" t="s">
        <v>4576</v>
      </c>
      <c r="N147" s="4147" t="s">
        <v>4577</v>
      </c>
      <c r="O147" s="1137" t="s">
        <v>4578</v>
      </c>
      <c r="P147" s="4109" t="s">
        <v>4579</v>
      </c>
      <c r="Q147" s="1936" t="str">
        <f t="shared" si="52"/>
        <v/>
      </c>
      <c r="CB147" s="1865" t="str">
        <f t="shared" si="53"/>
        <v/>
      </c>
      <c r="CK147" s="3922">
        <f t="shared" si="51"/>
        <v>0</v>
      </c>
    </row>
    <row r="148" spans="1:89" x14ac:dyDescent="0.25">
      <c r="A148" s="5825">
        <v>19201026</v>
      </c>
      <c r="B148" s="6842"/>
      <c r="C148" s="870" t="s">
        <v>2128</v>
      </c>
      <c r="D148" s="2747" t="s">
        <v>4567</v>
      </c>
      <c r="E148" s="853" t="s">
        <v>4568</v>
      </c>
      <c r="F148" s="1873" t="s">
        <v>4569</v>
      </c>
      <c r="G148" s="1873" t="s">
        <v>4570</v>
      </c>
      <c r="H148" s="1873" t="s">
        <v>4571</v>
      </c>
      <c r="I148" s="1873" t="s">
        <v>4572</v>
      </c>
      <c r="J148" s="2203" t="s">
        <v>4573</v>
      </c>
      <c r="K148" s="1975" t="s">
        <v>4574</v>
      </c>
      <c r="L148" s="854" t="s">
        <v>4575</v>
      </c>
      <c r="M148" s="1920" t="s">
        <v>4576</v>
      </c>
      <c r="N148" s="4037" t="s">
        <v>4577</v>
      </c>
      <c r="O148" s="1877" t="s">
        <v>4578</v>
      </c>
      <c r="P148" s="1920" t="s">
        <v>4579</v>
      </c>
      <c r="Q148" s="1936" t="str">
        <f t="shared" si="52"/>
        <v/>
      </c>
      <c r="CB148" s="1865" t="str">
        <f t="shared" si="53"/>
        <v/>
      </c>
      <c r="CK148" s="3922">
        <f t="shared" si="51"/>
        <v>0</v>
      </c>
    </row>
    <row r="149" spans="1:89" ht="18" customHeight="1" x14ac:dyDescent="0.25">
      <c r="B149" s="7173" t="s">
        <v>2132</v>
      </c>
      <c r="C149" s="7173"/>
      <c r="D149" s="7173"/>
      <c r="E149" s="7173"/>
      <c r="F149" s="7173"/>
      <c r="G149" s="7173"/>
      <c r="H149" s="7173"/>
      <c r="I149" s="7173"/>
    </row>
    <row r="150" spans="1:89" ht="21" x14ac:dyDescent="0.25">
      <c r="B150" s="3926" t="s">
        <v>2133</v>
      </c>
      <c r="C150" s="4084" t="s">
        <v>2134</v>
      </c>
      <c r="D150" s="3894" t="s">
        <v>2135</v>
      </c>
      <c r="E150" s="3895" t="s">
        <v>2136</v>
      </c>
      <c r="F150" s="3895" t="s">
        <v>2137</v>
      </c>
      <c r="G150" s="3895" t="s">
        <v>2138</v>
      </c>
      <c r="H150" s="3895" t="s">
        <v>2139</v>
      </c>
      <c r="I150" s="3896" t="s">
        <v>2140</v>
      </c>
    </row>
    <row r="151" spans="1:89" x14ac:dyDescent="0.25">
      <c r="A151" s="5818">
        <v>19140501</v>
      </c>
      <c r="B151" s="3235" t="s">
        <v>2124</v>
      </c>
      <c r="C151" s="4146" t="s">
        <v>4567</v>
      </c>
      <c r="D151" s="3278" t="s">
        <v>4568</v>
      </c>
      <c r="E151" s="4148" t="s">
        <v>4569</v>
      </c>
      <c r="F151" s="4149" t="s">
        <v>4570</v>
      </c>
      <c r="G151" s="4149" t="s">
        <v>4571</v>
      </c>
      <c r="H151" s="4149" t="s">
        <v>4572</v>
      </c>
      <c r="I151" s="4150" t="s">
        <v>4573</v>
      </c>
    </row>
    <row r="152" spans="1:89" x14ac:dyDescent="0.25">
      <c r="A152" s="5818">
        <v>19180100</v>
      </c>
      <c r="B152" s="3924" t="s">
        <v>2125</v>
      </c>
      <c r="C152" s="4038" t="s">
        <v>4567</v>
      </c>
      <c r="D152" s="20" t="s">
        <v>4568</v>
      </c>
      <c r="E152" s="232" t="s">
        <v>4569</v>
      </c>
      <c r="F152" s="232" t="s">
        <v>4570</v>
      </c>
      <c r="G152" s="232" t="s">
        <v>4571</v>
      </c>
      <c r="H152" s="232" t="s">
        <v>4572</v>
      </c>
      <c r="I152" s="30" t="s">
        <v>4573</v>
      </c>
    </row>
    <row r="153" spans="1:89" x14ac:dyDescent="0.25">
      <c r="A153" s="5818">
        <v>19140502</v>
      </c>
      <c r="B153" s="3924" t="s">
        <v>2126</v>
      </c>
      <c r="C153" s="4038" t="s">
        <v>4567</v>
      </c>
      <c r="D153" s="3913" t="s">
        <v>4568</v>
      </c>
      <c r="E153" s="1939" t="s">
        <v>4569</v>
      </c>
      <c r="F153" s="1939" t="s">
        <v>4570</v>
      </c>
      <c r="G153" s="1939" t="s">
        <v>4571</v>
      </c>
      <c r="H153" s="1939" t="s">
        <v>4572</v>
      </c>
      <c r="I153" s="1969" t="s">
        <v>4573</v>
      </c>
    </row>
    <row r="154" spans="1:89" x14ac:dyDescent="0.25">
      <c r="A154" s="5818">
        <v>19140503</v>
      </c>
      <c r="B154" s="3924" t="s">
        <v>2141</v>
      </c>
      <c r="C154" s="4038" t="s">
        <v>4567</v>
      </c>
      <c r="D154" s="3913" t="s">
        <v>4568</v>
      </c>
      <c r="E154" s="1939" t="s">
        <v>4569</v>
      </c>
      <c r="F154" s="1939" t="s">
        <v>4570</v>
      </c>
      <c r="G154" s="1939" t="s">
        <v>4571</v>
      </c>
      <c r="H154" s="1939" t="s">
        <v>4572</v>
      </c>
      <c r="I154" s="1969" t="s">
        <v>4573</v>
      </c>
    </row>
    <row r="155" spans="1:89" x14ac:dyDescent="0.25">
      <c r="A155" s="5825">
        <v>19201027</v>
      </c>
      <c r="B155" s="523" t="s">
        <v>2128</v>
      </c>
      <c r="C155" s="4142" t="s">
        <v>4567</v>
      </c>
      <c r="D155" s="853" t="s">
        <v>4568</v>
      </c>
      <c r="E155" s="1873" t="s">
        <v>4569</v>
      </c>
      <c r="F155" s="1873" t="s">
        <v>4570</v>
      </c>
      <c r="G155" s="1873" t="s">
        <v>4571</v>
      </c>
      <c r="H155" s="1873" t="s">
        <v>4572</v>
      </c>
      <c r="I155" s="1975" t="s">
        <v>4573</v>
      </c>
    </row>
    <row r="156" spans="1:89" ht="18" customHeight="1" x14ac:dyDescent="0.25">
      <c r="B156" s="7173" t="s">
        <v>2142</v>
      </c>
      <c r="C156" s="7173"/>
      <c r="D156" s="7173"/>
      <c r="E156" s="7173"/>
      <c r="F156" s="7173"/>
      <c r="G156" s="7173"/>
      <c r="H156" s="7173"/>
      <c r="I156" s="7173"/>
    </row>
    <row r="157" spans="1:89" ht="31.5" x14ac:dyDescent="0.25">
      <c r="B157" s="3926" t="s">
        <v>2133</v>
      </c>
      <c r="C157" s="4084" t="s">
        <v>1613</v>
      </c>
      <c r="D157" s="3894" t="s">
        <v>2143</v>
      </c>
      <c r="E157" s="3895" t="s">
        <v>2144</v>
      </c>
      <c r="F157" s="3895" t="s">
        <v>2145</v>
      </c>
      <c r="G157" s="3895" t="s">
        <v>2146</v>
      </c>
      <c r="H157" s="3895" t="s">
        <v>2147</v>
      </c>
      <c r="I157" s="3896" t="s">
        <v>2148</v>
      </c>
    </row>
    <row r="158" spans="1:89" x14ac:dyDescent="0.25">
      <c r="A158" s="5818">
        <v>19140601</v>
      </c>
      <c r="B158" s="3235" t="s">
        <v>2124</v>
      </c>
      <c r="C158" s="4146" t="s">
        <v>4567</v>
      </c>
      <c r="D158" s="3278" t="s">
        <v>4568</v>
      </c>
      <c r="E158" s="4149" t="s">
        <v>4569</v>
      </c>
      <c r="F158" s="4149" t="s">
        <v>4570</v>
      </c>
      <c r="G158" s="4149" t="s">
        <v>4571</v>
      </c>
      <c r="H158" s="4149" t="s">
        <v>4572</v>
      </c>
      <c r="I158" s="4150" t="s">
        <v>4573</v>
      </c>
    </row>
    <row r="159" spans="1:89" x14ac:dyDescent="0.25">
      <c r="A159" s="5818">
        <v>19180200</v>
      </c>
      <c r="B159" s="3924" t="s">
        <v>2125</v>
      </c>
      <c r="C159" s="4038" t="s">
        <v>4567</v>
      </c>
      <c r="D159" s="3913" t="s">
        <v>4568</v>
      </c>
      <c r="E159" s="1939" t="s">
        <v>4569</v>
      </c>
      <c r="F159" s="1939" t="s">
        <v>4570</v>
      </c>
      <c r="G159" s="1939" t="s">
        <v>4571</v>
      </c>
      <c r="H159" s="1939" t="s">
        <v>4572</v>
      </c>
      <c r="I159" s="1969" t="s">
        <v>4573</v>
      </c>
    </row>
    <row r="160" spans="1:89" x14ac:dyDescent="0.25">
      <c r="A160" s="5818">
        <v>19140602</v>
      </c>
      <c r="B160" s="3924" t="s">
        <v>2126</v>
      </c>
      <c r="C160" s="4038" t="s">
        <v>4567</v>
      </c>
      <c r="D160" s="3913" t="s">
        <v>4568</v>
      </c>
      <c r="E160" s="1939" t="s">
        <v>4569</v>
      </c>
      <c r="F160" s="1939" t="s">
        <v>4570</v>
      </c>
      <c r="G160" s="1939" t="s">
        <v>4571</v>
      </c>
      <c r="H160" s="1939" t="s">
        <v>4572</v>
      </c>
      <c r="I160" s="1969" t="s">
        <v>4573</v>
      </c>
    </row>
    <row r="161" spans="1:39" x14ac:dyDescent="0.25">
      <c r="A161" s="5818">
        <v>19140603</v>
      </c>
      <c r="B161" s="3923" t="s">
        <v>2141</v>
      </c>
      <c r="C161" s="4038" t="s">
        <v>4567</v>
      </c>
      <c r="D161" s="3913" t="s">
        <v>4568</v>
      </c>
      <c r="E161" s="1939" t="s">
        <v>4569</v>
      </c>
      <c r="F161" s="1939" t="s">
        <v>4570</v>
      </c>
      <c r="G161" s="1939" t="s">
        <v>4571</v>
      </c>
      <c r="H161" s="1939" t="s">
        <v>4572</v>
      </c>
      <c r="I161" s="1969" t="s">
        <v>4573</v>
      </c>
    </row>
    <row r="162" spans="1:39" x14ac:dyDescent="0.25">
      <c r="A162" s="5825">
        <v>19201028</v>
      </c>
      <c r="B162" s="203" t="s">
        <v>2128</v>
      </c>
      <c r="C162" s="4142" t="s">
        <v>4567</v>
      </c>
      <c r="D162" s="212" t="s">
        <v>4568</v>
      </c>
      <c r="E162" s="993" t="s">
        <v>4569</v>
      </c>
      <c r="F162" s="993" t="s">
        <v>4570</v>
      </c>
      <c r="G162" s="993" t="s">
        <v>4571</v>
      </c>
      <c r="H162" s="993" t="s">
        <v>4572</v>
      </c>
      <c r="I162" s="1136" t="s">
        <v>4573</v>
      </c>
    </row>
    <row r="163" spans="1:39" x14ac:dyDescent="0.25">
      <c r="A163" s="5825">
        <v>19201029</v>
      </c>
      <c r="B163" s="203" t="s">
        <v>2149</v>
      </c>
      <c r="C163" s="4142" t="s">
        <v>4567</v>
      </c>
      <c r="D163" s="212" t="s">
        <v>4568</v>
      </c>
      <c r="E163" s="993" t="s">
        <v>4569</v>
      </c>
      <c r="F163" s="993" t="s">
        <v>4570</v>
      </c>
      <c r="G163" s="993" t="s">
        <v>4571</v>
      </c>
      <c r="H163" s="993" t="s">
        <v>4572</v>
      </c>
      <c r="I163" s="1136" t="s">
        <v>4573</v>
      </c>
    </row>
    <row r="164" spans="1:39" x14ac:dyDescent="0.25">
      <c r="A164" s="5818">
        <v>19140610</v>
      </c>
      <c r="B164" s="517" t="s">
        <v>591</v>
      </c>
      <c r="C164" s="2747" t="s">
        <v>4567</v>
      </c>
      <c r="D164" s="853" t="s">
        <v>4568</v>
      </c>
      <c r="E164" s="1873" t="s">
        <v>4569</v>
      </c>
      <c r="F164" s="1873" t="s">
        <v>4570</v>
      </c>
      <c r="G164" s="1873" t="s">
        <v>4571</v>
      </c>
      <c r="H164" s="1873" t="s">
        <v>4572</v>
      </c>
      <c r="I164" s="1975" t="s">
        <v>4573</v>
      </c>
    </row>
    <row r="165" spans="1:39" s="6" customFormat="1" ht="18" customHeight="1" x14ac:dyDescent="0.2">
      <c r="B165" s="15" t="s">
        <v>2150</v>
      </c>
      <c r="C165" s="8"/>
      <c r="D165" s="8"/>
      <c r="E165" s="8"/>
      <c r="F165" s="8"/>
      <c r="G165" s="8"/>
      <c r="H165" s="8"/>
      <c r="I165" s="8"/>
      <c r="J165" s="2151"/>
      <c r="K165" s="2151"/>
    </row>
    <row r="166" spans="1:39" ht="52.5" x14ac:dyDescent="0.25">
      <c r="B166" s="3926" t="s">
        <v>2133</v>
      </c>
      <c r="C166" s="3926" t="s">
        <v>2134</v>
      </c>
      <c r="D166" s="3890" t="s">
        <v>2113</v>
      </c>
      <c r="E166" s="3894" t="s">
        <v>2151</v>
      </c>
      <c r="F166" s="3895" t="s">
        <v>2152</v>
      </c>
      <c r="G166" s="3895" t="s">
        <v>2153</v>
      </c>
      <c r="H166" s="3895" t="s">
        <v>2154</v>
      </c>
      <c r="I166" s="3895" t="s">
        <v>2155</v>
      </c>
      <c r="J166" s="3895" t="s">
        <v>2156</v>
      </c>
      <c r="K166" s="3893" t="s">
        <v>2157</v>
      </c>
    </row>
    <row r="167" spans="1:39" x14ac:dyDescent="0.25">
      <c r="A167" s="5818">
        <v>19190104</v>
      </c>
      <c r="B167" s="3235" t="s">
        <v>2158</v>
      </c>
      <c r="C167" s="4146" t="s">
        <v>4567</v>
      </c>
      <c r="D167" s="4151" t="s">
        <v>4568</v>
      </c>
      <c r="E167" s="3227" t="s">
        <v>4569</v>
      </c>
      <c r="F167" s="4152" t="s">
        <v>4570</v>
      </c>
      <c r="G167" s="4152" t="s">
        <v>4571</v>
      </c>
      <c r="H167" s="4152" t="s">
        <v>4572</v>
      </c>
      <c r="I167" s="4152" t="s">
        <v>4573</v>
      </c>
      <c r="J167" s="4152" t="s">
        <v>4574</v>
      </c>
      <c r="K167" s="4153" t="s">
        <v>4575</v>
      </c>
    </row>
    <row r="168" spans="1:39" x14ac:dyDescent="0.25">
      <c r="A168" s="5818">
        <v>19190105</v>
      </c>
      <c r="B168" s="3924" t="s">
        <v>1120</v>
      </c>
      <c r="C168" s="4038" t="s">
        <v>4567</v>
      </c>
      <c r="D168" s="554" t="s">
        <v>4568</v>
      </c>
      <c r="E168" s="4006" t="s">
        <v>4569</v>
      </c>
      <c r="F168" s="368" t="s">
        <v>4570</v>
      </c>
      <c r="G168" s="368" t="s">
        <v>4571</v>
      </c>
      <c r="H168" s="368" t="s">
        <v>4572</v>
      </c>
      <c r="I168" s="368" t="s">
        <v>4573</v>
      </c>
      <c r="J168" s="368" t="s">
        <v>4574</v>
      </c>
      <c r="K168" s="346" t="s">
        <v>4575</v>
      </c>
    </row>
    <row r="169" spans="1:39" x14ac:dyDescent="0.25">
      <c r="A169" s="5818">
        <v>19190106</v>
      </c>
      <c r="B169" s="3924" t="s">
        <v>2159</v>
      </c>
      <c r="C169" s="4038" t="s">
        <v>4567</v>
      </c>
      <c r="D169" s="554" t="s">
        <v>4568</v>
      </c>
      <c r="E169" s="4006" t="s">
        <v>4569</v>
      </c>
      <c r="F169" s="368" t="s">
        <v>4570</v>
      </c>
      <c r="G169" s="368" t="s">
        <v>4571</v>
      </c>
      <c r="H169" s="368" t="s">
        <v>4572</v>
      </c>
      <c r="I169" s="368" t="s">
        <v>4573</v>
      </c>
      <c r="J169" s="368" t="s">
        <v>4574</v>
      </c>
      <c r="K169" s="346" t="s">
        <v>4575</v>
      </c>
    </row>
    <row r="170" spans="1:39" x14ac:dyDescent="0.25">
      <c r="A170" s="5825">
        <v>19201030</v>
      </c>
      <c r="B170" s="2143" t="s">
        <v>2128</v>
      </c>
      <c r="C170" s="4038" t="s">
        <v>4567</v>
      </c>
      <c r="D170" s="557" t="s">
        <v>4568</v>
      </c>
      <c r="E170" s="379" t="s">
        <v>4569</v>
      </c>
      <c r="F170" s="2872" t="s">
        <v>4570</v>
      </c>
      <c r="G170" s="2872" t="s">
        <v>4571</v>
      </c>
      <c r="H170" s="2872" t="s">
        <v>4572</v>
      </c>
      <c r="I170" s="2872" t="s">
        <v>4573</v>
      </c>
      <c r="J170" s="2872" t="s">
        <v>4574</v>
      </c>
      <c r="K170" s="387" t="s">
        <v>4575</v>
      </c>
    </row>
    <row r="171" spans="1:39" ht="18" customHeight="1" x14ac:dyDescent="0.25">
      <c r="A171" s="5612"/>
      <c r="B171" s="7209" t="s">
        <v>2160</v>
      </c>
      <c r="C171" s="7209"/>
      <c r="D171" s="7209"/>
      <c r="E171" s="7209"/>
      <c r="F171" s="7209"/>
      <c r="G171" s="7209"/>
      <c r="H171" s="7209"/>
      <c r="I171" s="7209"/>
      <c r="J171" s="7209"/>
      <c r="K171" s="7209"/>
    </row>
    <row r="172" spans="1:39" ht="15" customHeight="1" x14ac:dyDescent="0.25">
      <c r="A172" s="5827"/>
      <c r="B172" s="6511" t="s">
        <v>1093</v>
      </c>
      <c r="C172" s="7121" t="s">
        <v>77</v>
      </c>
      <c r="D172" s="6510"/>
      <c r="E172" s="6511"/>
      <c r="F172" s="7200" t="s">
        <v>101</v>
      </c>
      <c r="G172" s="7133"/>
      <c r="H172" s="7133"/>
      <c r="I172" s="7133"/>
      <c r="J172" s="7133"/>
      <c r="K172" s="7133"/>
      <c r="L172" s="7133"/>
      <c r="M172" s="7133"/>
      <c r="N172" s="7133"/>
      <c r="O172" s="7133"/>
      <c r="P172" s="7133"/>
      <c r="Q172" s="7133"/>
      <c r="R172" s="7133"/>
      <c r="S172" s="7133"/>
      <c r="T172" s="7133"/>
      <c r="U172" s="7133"/>
      <c r="V172" s="7133"/>
      <c r="W172" s="7133"/>
      <c r="X172" s="7133"/>
      <c r="Y172" s="7133"/>
      <c r="Z172" s="7133"/>
      <c r="AA172" s="7133"/>
      <c r="AB172" s="7133"/>
      <c r="AC172" s="7133"/>
      <c r="AD172" s="7133"/>
      <c r="AE172" s="7133"/>
      <c r="AF172" s="7133"/>
      <c r="AG172" s="7133"/>
      <c r="AH172" s="7133"/>
      <c r="AI172" s="7133"/>
      <c r="AJ172" s="7133"/>
      <c r="AK172" s="7133"/>
      <c r="AL172" s="7133"/>
      <c r="AM172" s="7212"/>
    </row>
    <row r="173" spans="1:39" ht="15" customHeight="1" x14ac:dyDescent="0.25">
      <c r="A173" s="5827"/>
      <c r="B173" s="6027"/>
      <c r="C173" s="6734"/>
      <c r="D173" s="6735"/>
      <c r="E173" s="6955"/>
      <c r="F173" s="7207" t="s">
        <v>343</v>
      </c>
      <c r="G173" s="7207"/>
      <c r="H173" s="7116" t="s">
        <v>326</v>
      </c>
      <c r="I173" s="7117"/>
      <c r="J173" s="7116" t="s">
        <v>94</v>
      </c>
      <c r="K173" s="7117"/>
      <c r="L173" s="7116" t="s">
        <v>2056</v>
      </c>
      <c r="M173" s="7117"/>
      <c r="N173" s="7116" t="s">
        <v>305</v>
      </c>
      <c r="O173" s="7117"/>
      <c r="P173" s="7116" t="s">
        <v>974</v>
      </c>
      <c r="Q173" s="7117"/>
      <c r="R173" s="7116" t="s">
        <v>629</v>
      </c>
      <c r="S173" s="7117"/>
      <c r="T173" s="7116" t="s">
        <v>2057</v>
      </c>
      <c r="U173" s="7117"/>
      <c r="V173" s="7116" t="s">
        <v>630</v>
      </c>
      <c r="W173" s="7117"/>
      <c r="X173" s="7116" t="s">
        <v>2058</v>
      </c>
      <c r="Y173" s="7117"/>
      <c r="Z173" s="7116" t="s">
        <v>2059</v>
      </c>
      <c r="AA173" s="7117"/>
      <c r="AB173" s="7116" t="s">
        <v>1949</v>
      </c>
      <c r="AC173" s="7117"/>
      <c r="AD173" s="7116" t="s">
        <v>1583</v>
      </c>
      <c r="AE173" s="7117"/>
      <c r="AF173" s="7116" t="s">
        <v>308</v>
      </c>
      <c r="AG173" s="7117"/>
      <c r="AH173" s="7116" t="s">
        <v>2060</v>
      </c>
      <c r="AI173" s="7117"/>
      <c r="AJ173" s="7116" t="s">
        <v>2061</v>
      </c>
      <c r="AK173" s="7117"/>
      <c r="AL173" s="7107" t="s">
        <v>57</v>
      </c>
      <c r="AM173" s="7122"/>
    </row>
    <row r="174" spans="1:39" ht="15" customHeight="1" x14ac:dyDescent="0.25">
      <c r="A174" s="5827"/>
      <c r="B174" s="6955"/>
      <c r="C174" s="3894" t="s">
        <v>79</v>
      </c>
      <c r="D174" s="3897" t="s">
        <v>58</v>
      </c>
      <c r="E174" s="3893" t="s">
        <v>59</v>
      </c>
      <c r="F174" s="3894" t="s">
        <v>58</v>
      </c>
      <c r="G174" s="3893" t="s">
        <v>59</v>
      </c>
      <c r="H174" s="3894" t="s">
        <v>58</v>
      </c>
      <c r="I174" s="3893" t="s">
        <v>59</v>
      </c>
      <c r="J174" s="3894" t="s">
        <v>58</v>
      </c>
      <c r="K174" s="3893" t="s">
        <v>59</v>
      </c>
      <c r="L174" s="3894" t="s">
        <v>58</v>
      </c>
      <c r="M174" s="3893" t="s">
        <v>59</v>
      </c>
      <c r="N174" s="3894" t="s">
        <v>58</v>
      </c>
      <c r="O174" s="3893" t="s">
        <v>59</v>
      </c>
      <c r="P174" s="3894" t="s">
        <v>58</v>
      </c>
      <c r="Q174" s="3893" t="s">
        <v>59</v>
      </c>
      <c r="R174" s="3894" t="s">
        <v>58</v>
      </c>
      <c r="S174" s="3893" t="s">
        <v>59</v>
      </c>
      <c r="T174" s="3894" t="s">
        <v>58</v>
      </c>
      <c r="U174" s="3893" t="s">
        <v>59</v>
      </c>
      <c r="V174" s="3894" t="s">
        <v>58</v>
      </c>
      <c r="W174" s="3893" t="s">
        <v>59</v>
      </c>
      <c r="X174" s="3894" t="s">
        <v>58</v>
      </c>
      <c r="Y174" s="3893" t="s">
        <v>59</v>
      </c>
      <c r="Z174" s="3894" t="s">
        <v>58</v>
      </c>
      <c r="AA174" s="3893" t="s">
        <v>59</v>
      </c>
      <c r="AB174" s="3894" t="s">
        <v>58</v>
      </c>
      <c r="AC174" s="3893" t="s">
        <v>59</v>
      </c>
      <c r="AD174" s="3894" t="s">
        <v>58</v>
      </c>
      <c r="AE174" s="3893" t="s">
        <v>59</v>
      </c>
      <c r="AF174" s="3894" t="s">
        <v>58</v>
      </c>
      <c r="AG174" s="3893" t="s">
        <v>59</v>
      </c>
      <c r="AH174" s="3894" t="s">
        <v>58</v>
      </c>
      <c r="AI174" s="3893" t="s">
        <v>59</v>
      </c>
      <c r="AJ174" s="3894" t="s">
        <v>58</v>
      </c>
      <c r="AK174" s="3893" t="s">
        <v>59</v>
      </c>
      <c r="AL174" s="3894" t="s">
        <v>58</v>
      </c>
      <c r="AM174" s="3893" t="s">
        <v>59</v>
      </c>
    </row>
    <row r="175" spans="1:39" x14ac:dyDescent="0.25">
      <c r="A175" s="5825">
        <v>19201031</v>
      </c>
      <c r="B175" s="4154" t="s">
        <v>2161</v>
      </c>
      <c r="C175" s="5388" t="s">
        <v>4567</v>
      </c>
      <c r="D175" s="5829" t="s">
        <v>4568</v>
      </c>
      <c r="E175" s="5830" t="s">
        <v>4569</v>
      </c>
      <c r="F175" s="5831" t="s">
        <v>4570</v>
      </c>
      <c r="G175" s="5832" t="s">
        <v>4571</v>
      </c>
      <c r="H175" s="5831" t="s">
        <v>4572</v>
      </c>
      <c r="I175" s="5832" t="s">
        <v>4573</v>
      </c>
      <c r="J175" s="5831" t="s">
        <v>4574</v>
      </c>
      <c r="K175" s="5833" t="s">
        <v>4575</v>
      </c>
      <c r="L175" s="5831" t="s">
        <v>4576</v>
      </c>
      <c r="M175" s="5833" t="s">
        <v>4577</v>
      </c>
      <c r="N175" s="5831" t="s">
        <v>4578</v>
      </c>
      <c r="O175" s="5833" t="s">
        <v>4579</v>
      </c>
      <c r="P175" s="5831" t="s">
        <v>4580</v>
      </c>
      <c r="Q175" s="5833" t="s">
        <v>4581</v>
      </c>
      <c r="R175" s="5831" t="s">
        <v>4582</v>
      </c>
      <c r="S175" s="5833" t="s">
        <v>4583</v>
      </c>
      <c r="T175" s="5831" t="s">
        <v>4584</v>
      </c>
      <c r="U175" s="5833" t="s">
        <v>4585</v>
      </c>
      <c r="V175" s="5831" t="s">
        <v>4586</v>
      </c>
      <c r="W175" s="5833" t="s">
        <v>4587</v>
      </c>
      <c r="X175" s="5831" t="s">
        <v>4588</v>
      </c>
      <c r="Y175" s="5833" t="s">
        <v>4589</v>
      </c>
      <c r="Z175" s="5831" t="s">
        <v>4590</v>
      </c>
      <c r="AA175" s="5833" t="s">
        <v>4591</v>
      </c>
      <c r="AB175" s="5831" t="s">
        <v>4592</v>
      </c>
      <c r="AC175" s="5833" t="s">
        <v>4593</v>
      </c>
      <c r="AD175" s="5831" t="s">
        <v>4594</v>
      </c>
      <c r="AE175" s="5833" t="s">
        <v>4595</v>
      </c>
      <c r="AF175" s="5831" t="s">
        <v>4596</v>
      </c>
      <c r="AG175" s="5833" t="s">
        <v>4597</v>
      </c>
      <c r="AH175" s="5831" t="s">
        <v>4598</v>
      </c>
      <c r="AI175" s="5833" t="s">
        <v>4599</v>
      </c>
      <c r="AJ175" s="5831" t="s">
        <v>4600</v>
      </c>
      <c r="AK175" s="5833" t="s">
        <v>4601</v>
      </c>
      <c r="AL175" s="5834" t="s">
        <v>4602</v>
      </c>
      <c r="AM175" s="5833" t="s">
        <v>4603</v>
      </c>
    </row>
    <row r="176" spans="1:39" x14ac:dyDescent="0.25">
      <c r="A176" s="5825">
        <v>19201032</v>
      </c>
      <c r="B176" s="205" t="s">
        <v>2162</v>
      </c>
      <c r="C176" s="1050" t="s">
        <v>4567</v>
      </c>
      <c r="D176" s="5835" t="s">
        <v>4568</v>
      </c>
      <c r="E176" s="5836" t="s">
        <v>4569</v>
      </c>
      <c r="F176" s="940" t="s">
        <v>4570</v>
      </c>
      <c r="G176" s="941" t="s">
        <v>4571</v>
      </c>
      <c r="H176" s="940" t="s">
        <v>4572</v>
      </c>
      <c r="I176" s="941" t="s">
        <v>4573</v>
      </c>
      <c r="J176" s="940" t="s">
        <v>4574</v>
      </c>
      <c r="K176" s="3905" t="s">
        <v>4575</v>
      </c>
      <c r="L176" s="940" t="s">
        <v>4576</v>
      </c>
      <c r="M176" s="3905" t="s">
        <v>4577</v>
      </c>
      <c r="N176" s="940" t="s">
        <v>4578</v>
      </c>
      <c r="O176" s="3905" t="s">
        <v>4579</v>
      </c>
      <c r="P176" s="940" t="s">
        <v>4580</v>
      </c>
      <c r="Q176" s="3905" t="s">
        <v>4581</v>
      </c>
      <c r="R176" s="940" t="s">
        <v>4582</v>
      </c>
      <c r="S176" s="3905" t="s">
        <v>4583</v>
      </c>
      <c r="T176" s="940" t="s">
        <v>4584</v>
      </c>
      <c r="U176" s="3905" t="s">
        <v>4585</v>
      </c>
      <c r="V176" s="940" t="s">
        <v>4586</v>
      </c>
      <c r="W176" s="3905" t="s">
        <v>4587</v>
      </c>
      <c r="X176" s="940" t="s">
        <v>4588</v>
      </c>
      <c r="Y176" s="3905" t="s">
        <v>4589</v>
      </c>
      <c r="Z176" s="940" t="s">
        <v>4590</v>
      </c>
      <c r="AA176" s="3905" t="s">
        <v>4591</v>
      </c>
      <c r="AB176" s="940" t="s">
        <v>4592</v>
      </c>
      <c r="AC176" s="3905" t="s">
        <v>4593</v>
      </c>
      <c r="AD176" s="940" t="s">
        <v>4594</v>
      </c>
      <c r="AE176" s="3905" t="s">
        <v>4595</v>
      </c>
      <c r="AF176" s="940" t="s">
        <v>4596</v>
      </c>
      <c r="AG176" s="3905" t="s">
        <v>4597</v>
      </c>
      <c r="AH176" s="940" t="s">
        <v>4598</v>
      </c>
      <c r="AI176" s="3905" t="s">
        <v>4599</v>
      </c>
      <c r="AJ176" s="940" t="s">
        <v>4600</v>
      </c>
      <c r="AK176" s="3905" t="s">
        <v>4601</v>
      </c>
      <c r="AL176" s="1017" t="s">
        <v>4602</v>
      </c>
      <c r="AM176" s="3905" t="s">
        <v>4603</v>
      </c>
    </row>
    <row r="177" spans="1:39" ht="21" x14ac:dyDescent="0.25">
      <c r="A177" s="5825">
        <v>19201033</v>
      </c>
      <c r="B177" s="205" t="s">
        <v>2163</v>
      </c>
      <c r="C177" s="1050" t="s">
        <v>4567</v>
      </c>
      <c r="D177" s="5835" t="s">
        <v>4568</v>
      </c>
      <c r="E177" s="3947" t="s">
        <v>4569</v>
      </c>
      <c r="F177" s="5837" t="s">
        <v>4570</v>
      </c>
      <c r="G177" s="34" t="s">
        <v>4571</v>
      </c>
      <c r="H177" s="5837" t="s">
        <v>4572</v>
      </c>
      <c r="I177" s="34" t="s">
        <v>4573</v>
      </c>
      <c r="J177" s="940" t="s">
        <v>4574</v>
      </c>
      <c r="K177" s="5838" t="s">
        <v>4575</v>
      </c>
      <c r="L177" s="940" t="s">
        <v>4576</v>
      </c>
      <c r="M177" s="3905" t="s">
        <v>4577</v>
      </c>
      <c r="N177" s="940" t="s">
        <v>4578</v>
      </c>
      <c r="O177" s="3905" t="s">
        <v>4579</v>
      </c>
      <c r="P177" s="940" t="s">
        <v>4580</v>
      </c>
      <c r="Q177" s="3905" t="s">
        <v>4581</v>
      </c>
      <c r="R177" s="940" t="s">
        <v>4582</v>
      </c>
      <c r="S177" s="3905" t="s">
        <v>4583</v>
      </c>
      <c r="T177" s="940" t="s">
        <v>4584</v>
      </c>
      <c r="U177" s="3905" t="s">
        <v>4585</v>
      </c>
      <c r="V177" s="940" t="s">
        <v>4586</v>
      </c>
      <c r="W177" s="3905" t="s">
        <v>4587</v>
      </c>
      <c r="X177" s="940" t="s">
        <v>4588</v>
      </c>
      <c r="Y177" s="3905" t="s">
        <v>4589</v>
      </c>
      <c r="Z177" s="940" t="s">
        <v>4590</v>
      </c>
      <c r="AA177" s="3905" t="s">
        <v>4591</v>
      </c>
      <c r="AB177" s="940" t="s">
        <v>4592</v>
      </c>
      <c r="AC177" s="3905" t="s">
        <v>4593</v>
      </c>
      <c r="AD177" s="940" t="s">
        <v>4594</v>
      </c>
      <c r="AE177" s="3905" t="s">
        <v>4595</v>
      </c>
      <c r="AF177" s="940" t="s">
        <v>4596</v>
      </c>
      <c r="AG177" s="3905" t="s">
        <v>4597</v>
      </c>
      <c r="AH177" s="940" t="s">
        <v>4598</v>
      </c>
      <c r="AI177" s="3905" t="s">
        <v>4599</v>
      </c>
      <c r="AJ177" s="940" t="s">
        <v>4600</v>
      </c>
      <c r="AK177" s="3905" t="s">
        <v>4601</v>
      </c>
      <c r="AL177" s="1017" t="s">
        <v>4602</v>
      </c>
      <c r="AM177" s="3905" t="s">
        <v>4603</v>
      </c>
    </row>
    <row r="178" spans="1:39" ht="21" x14ac:dyDescent="0.25">
      <c r="A178" s="5825">
        <v>19201034</v>
      </c>
      <c r="B178" s="3935" t="s">
        <v>2164</v>
      </c>
      <c r="C178" s="5839" t="s">
        <v>4567</v>
      </c>
      <c r="D178" s="5840" t="s">
        <v>4568</v>
      </c>
      <c r="E178" s="3947" t="s">
        <v>4569</v>
      </c>
      <c r="F178" s="940" t="s">
        <v>4570</v>
      </c>
      <c r="G178" s="3905" t="s">
        <v>4571</v>
      </c>
      <c r="H178" s="5837" t="s">
        <v>4572</v>
      </c>
      <c r="I178" s="3905" t="s">
        <v>4573</v>
      </c>
      <c r="J178" s="1887" t="s">
        <v>4574</v>
      </c>
      <c r="K178" s="3905" t="s">
        <v>4575</v>
      </c>
      <c r="L178" s="326" t="s">
        <v>4576</v>
      </c>
      <c r="M178" s="882" t="s">
        <v>4577</v>
      </c>
      <c r="N178" s="326" t="s">
        <v>4578</v>
      </c>
      <c r="O178" s="882" t="s">
        <v>4579</v>
      </c>
      <c r="P178" s="326" t="s">
        <v>4580</v>
      </c>
      <c r="Q178" s="3905" t="s">
        <v>4581</v>
      </c>
      <c r="R178" s="940" t="s">
        <v>4582</v>
      </c>
      <c r="S178" s="3905" t="s">
        <v>4583</v>
      </c>
      <c r="T178" s="940" t="s">
        <v>4584</v>
      </c>
      <c r="U178" s="3905" t="s">
        <v>4585</v>
      </c>
      <c r="V178" s="940" t="s">
        <v>4586</v>
      </c>
      <c r="W178" s="3905" t="s">
        <v>4587</v>
      </c>
      <c r="X178" s="940" t="s">
        <v>4588</v>
      </c>
      <c r="Y178" s="3905" t="s">
        <v>4589</v>
      </c>
      <c r="Z178" s="940" t="s">
        <v>4590</v>
      </c>
      <c r="AA178" s="3905" t="s">
        <v>4591</v>
      </c>
      <c r="AB178" s="940" t="s">
        <v>4592</v>
      </c>
      <c r="AC178" s="3905" t="s">
        <v>4593</v>
      </c>
      <c r="AD178" s="940" t="s">
        <v>4594</v>
      </c>
      <c r="AE178" s="3905" t="s">
        <v>4595</v>
      </c>
      <c r="AF178" s="940" t="s">
        <v>4596</v>
      </c>
      <c r="AG178" s="3905" t="s">
        <v>4597</v>
      </c>
      <c r="AH178" s="940" t="s">
        <v>4598</v>
      </c>
      <c r="AI178" s="3905" t="s">
        <v>4599</v>
      </c>
      <c r="AJ178" s="940" t="s">
        <v>4600</v>
      </c>
      <c r="AK178" s="3905" t="s">
        <v>4601</v>
      </c>
      <c r="AL178" s="1017" t="s">
        <v>4602</v>
      </c>
      <c r="AM178" s="3905" t="s">
        <v>4603</v>
      </c>
    </row>
    <row r="179" spans="1:39" ht="21" x14ac:dyDescent="0.25">
      <c r="A179" s="5825">
        <v>19201035</v>
      </c>
      <c r="B179" s="2284" t="s">
        <v>2165</v>
      </c>
      <c r="C179" s="1096" t="s">
        <v>4567</v>
      </c>
      <c r="D179" s="5841" t="s">
        <v>4568</v>
      </c>
      <c r="E179" s="5842" t="s">
        <v>4569</v>
      </c>
      <c r="F179" s="964" t="s">
        <v>4570</v>
      </c>
      <c r="G179" s="5843" t="s">
        <v>4571</v>
      </c>
      <c r="H179" s="964" t="s">
        <v>4572</v>
      </c>
      <c r="I179" s="5843" t="s">
        <v>4573</v>
      </c>
      <c r="J179" s="964" t="s">
        <v>4574</v>
      </c>
      <c r="K179" s="324" t="s">
        <v>4575</v>
      </c>
      <c r="L179" s="5844" t="s">
        <v>4576</v>
      </c>
      <c r="M179" s="324" t="s">
        <v>4577</v>
      </c>
      <c r="N179" s="5844" t="s">
        <v>4578</v>
      </c>
      <c r="O179" s="324" t="s">
        <v>4579</v>
      </c>
      <c r="P179" s="5844" t="s">
        <v>4580</v>
      </c>
      <c r="Q179" s="324" t="s">
        <v>4581</v>
      </c>
      <c r="R179" s="5844" t="s">
        <v>4582</v>
      </c>
      <c r="S179" s="324" t="s">
        <v>4583</v>
      </c>
      <c r="T179" s="5844" t="s">
        <v>4584</v>
      </c>
      <c r="U179" s="324" t="s">
        <v>4585</v>
      </c>
      <c r="V179" s="5844" t="s">
        <v>4586</v>
      </c>
      <c r="W179" s="324" t="s">
        <v>4587</v>
      </c>
      <c r="X179" s="5844" t="s">
        <v>4588</v>
      </c>
      <c r="Y179" s="324" t="s">
        <v>4589</v>
      </c>
      <c r="Z179" s="5844" t="s">
        <v>4590</v>
      </c>
      <c r="AA179" s="324" t="s">
        <v>4591</v>
      </c>
      <c r="AB179" s="5844" t="s">
        <v>4592</v>
      </c>
      <c r="AC179" s="324" t="s">
        <v>4593</v>
      </c>
      <c r="AD179" s="5844" t="s">
        <v>4594</v>
      </c>
      <c r="AE179" s="324" t="s">
        <v>4595</v>
      </c>
      <c r="AF179" s="5844" t="s">
        <v>4596</v>
      </c>
      <c r="AG179" s="324" t="s">
        <v>4597</v>
      </c>
      <c r="AH179" s="5844" t="s">
        <v>4598</v>
      </c>
      <c r="AI179" s="324" t="s">
        <v>4599</v>
      </c>
      <c r="AJ179" s="5844" t="s">
        <v>4600</v>
      </c>
      <c r="AK179" s="324" t="s">
        <v>4601</v>
      </c>
      <c r="AL179" s="5845" t="s">
        <v>4602</v>
      </c>
      <c r="AM179" s="324" t="s">
        <v>4603</v>
      </c>
    </row>
    <row r="180" spans="1:39" x14ac:dyDescent="0.25">
      <c r="A180" s="5828"/>
      <c r="B180" s="1764" t="s">
        <v>77</v>
      </c>
      <c r="C180" s="623">
        <f>SUM(C175:C179)</f>
        <v>0</v>
      </c>
      <c r="D180" s="4155">
        <f t="shared" ref="D180:AM180" si="54">SUM(D175:D179)</f>
        <v>0</v>
      </c>
      <c r="E180" s="4156">
        <f t="shared" si="54"/>
        <v>0</v>
      </c>
      <c r="F180" s="4157">
        <f t="shared" si="54"/>
        <v>0</v>
      </c>
      <c r="G180" s="4158">
        <f t="shared" si="54"/>
        <v>0</v>
      </c>
      <c r="H180" s="4157">
        <f t="shared" si="54"/>
        <v>0</v>
      </c>
      <c r="I180" s="4158">
        <f t="shared" si="54"/>
        <v>0</v>
      </c>
      <c r="J180" s="4157">
        <f t="shared" si="54"/>
        <v>0</v>
      </c>
      <c r="K180" s="4158">
        <f t="shared" si="54"/>
        <v>0</v>
      </c>
      <c r="L180" s="4157">
        <f t="shared" si="54"/>
        <v>0</v>
      </c>
      <c r="M180" s="4158">
        <f t="shared" si="54"/>
        <v>0</v>
      </c>
      <c r="N180" s="4157">
        <f t="shared" si="54"/>
        <v>0</v>
      </c>
      <c r="O180" s="4158">
        <f t="shared" si="54"/>
        <v>0</v>
      </c>
      <c r="P180" s="4157">
        <f t="shared" si="54"/>
        <v>0</v>
      </c>
      <c r="Q180" s="4158">
        <f t="shared" si="54"/>
        <v>0</v>
      </c>
      <c r="R180" s="4157">
        <f t="shared" si="54"/>
        <v>0</v>
      </c>
      <c r="S180" s="4158">
        <f t="shared" si="54"/>
        <v>0</v>
      </c>
      <c r="T180" s="4157">
        <f t="shared" si="54"/>
        <v>0</v>
      </c>
      <c r="U180" s="4158">
        <f t="shared" si="54"/>
        <v>0</v>
      </c>
      <c r="V180" s="4157">
        <f t="shared" si="54"/>
        <v>0</v>
      </c>
      <c r="W180" s="4158">
        <f t="shared" si="54"/>
        <v>0</v>
      </c>
      <c r="X180" s="4157">
        <f t="shared" si="54"/>
        <v>0</v>
      </c>
      <c r="Y180" s="4158">
        <f t="shared" si="54"/>
        <v>0</v>
      </c>
      <c r="Z180" s="4157">
        <f t="shared" si="54"/>
        <v>0</v>
      </c>
      <c r="AA180" s="4158">
        <f t="shared" si="54"/>
        <v>0</v>
      </c>
      <c r="AB180" s="4159">
        <f t="shared" si="54"/>
        <v>0</v>
      </c>
      <c r="AC180" s="625">
        <f t="shared" si="54"/>
        <v>0</v>
      </c>
      <c r="AD180" s="4157">
        <f t="shared" si="54"/>
        <v>0</v>
      </c>
      <c r="AE180" s="4158">
        <f t="shared" si="54"/>
        <v>0</v>
      </c>
      <c r="AF180" s="4157">
        <f t="shared" si="54"/>
        <v>0</v>
      </c>
      <c r="AG180" s="4158">
        <f t="shared" si="54"/>
        <v>0</v>
      </c>
      <c r="AH180" s="4159">
        <f t="shared" si="54"/>
        <v>0</v>
      </c>
      <c r="AI180" s="625">
        <f t="shared" si="54"/>
        <v>0</v>
      </c>
      <c r="AJ180" s="4157">
        <f t="shared" si="54"/>
        <v>0</v>
      </c>
      <c r="AK180" s="4158">
        <f t="shared" si="54"/>
        <v>0</v>
      </c>
      <c r="AL180" s="4157">
        <f t="shared" si="54"/>
        <v>0</v>
      </c>
      <c r="AM180" s="4158">
        <f t="shared" si="54"/>
        <v>0</v>
      </c>
    </row>
    <row r="181" spans="1:39" ht="23.45" customHeight="1" x14ac:dyDescent="0.25">
      <c r="A181" s="5612"/>
      <c r="B181" s="1245" t="s">
        <v>2166</v>
      </c>
      <c r="C181" s="25"/>
      <c r="D181" s="25"/>
      <c r="E181" s="25"/>
    </row>
    <row r="182" spans="1:39" x14ac:dyDescent="0.25">
      <c r="B182" s="3889" t="s">
        <v>651</v>
      </c>
      <c r="C182" s="3925" t="s">
        <v>77</v>
      </c>
      <c r="D182" s="3892" t="s">
        <v>2167</v>
      </c>
      <c r="E182" s="3896" t="s">
        <v>2168</v>
      </c>
    </row>
    <row r="183" spans="1:39" x14ac:dyDescent="0.25">
      <c r="A183" s="5825">
        <v>19201107</v>
      </c>
      <c r="B183" s="3271" t="s">
        <v>2169</v>
      </c>
      <c r="C183" s="4160" t="s">
        <v>4567</v>
      </c>
      <c r="D183" s="290" t="s">
        <v>4568</v>
      </c>
      <c r="E183" s="622" t="s">
        <v>4569</v>
      </c>
    </row>
    <row r="184" spans="1:39" x14ac:dyDescent="0.25">
      <c r="A184" s="5825">
        <v>19201108</v>
      </c>
      <c r="B184" s="255" t="s">
        <v>655</v>
      </c>
      <c r="C184" s="4161" t="s">
        <v>4567</v>
      </c>
      <c r="D184" s="290" t="s">
        <v>4568</v>
      </c>
      <c r="E184" s="622" t="s">
        <v>4569</v>
      </c>
    </row>
    <row r="185" spans="1:39" ht="21" x14ac:dyDescent="0.25">
      <c r="A185" s="5825">
        <v>19201109</v>
      </c>
      <c r="B185" s="4162" t="s">
        <v>2170</v>
      </c>
      <c r="C185" s="4076" t="s">
        <v>4567</v>
      </c>
      <c r="D185" s="4006" t="s">
        <v>4568</v>
      </c>
      <c r="E185" s="349" t="s">
        <v>4569</v>
      </c>
    </row>
    <row r="186" spans="1:39" x14ac:dyDescent="0.25">
      <c r="A186" s="5825">
        <v>19201110</v>
      </c>
      <c r="B186" s="2243" t="s">
        <v>657</v>
      </c>
      <c r="C186" s="775" t="s">
        <v>4567</v>
      </c>
      <c r="D186" s="379" t="s">
        <v>4568</v>
      </c>
      <c r="E186" s="388" t="s">
        <v>4569</v>
      </c>
    </row>
    <row r="187" spans="1:39" x14ac:dyDescent="0.25">
      <c r="A187" s="5548"/>
    </row>
    <row r="188" spans="1:39" x14ac:dyDescent="0.25">
      <c r="A188" t="s">
        <v>4777</v>
      </c>
    </row>
    <row r="189" spans="1:39" x14ac:dyDescent="0.25">
      <c r="A189" s="5601" t="s">
        <v>5988</v>
      </c>
    </row>
    <row r="190" spans="1:39" x14ac:dyDescent="0.25">
      <c r="A190" s="5601" t="s">
        <v>5989</v>
      </c>
    </row>
    <row r="191" spans="1:39" x14ac:dyDescent="0.25">
      <c r="A191" s="5601" t="s">
        <v>5990</v>
      </c>
    </row>
    <row r="192" spans="1:39" x14ac:dyDescent="0.25">
      <c r="A192" s="5601" t="s">
        <v>5991</v>
      </c>
    </row>
    <row r="193" spans="1:3" x14ac:dyDescent="0.25">
      <c r="A193" s="5601" t="s">
        <v>5992</v>
      </c>
    </row>
    <row r="194" spans="1:3" x14ac:dyDescent="0.25">
      <c r="A194" s="5601" t="s">
        <v>5993</v>
      </c>
    </row>
    <row r="195" spans="1:3" x14ac:dyDescent="0.25">
      <c r="A195" s="5601" t="s">
        <v>5994</v>
      </c>
    </row>
    <row r="196" spans="1:3" x14ac:dyDescent="0.25">
      <c r="A196" s="5601" t="s">
        <v>5995</v>
      </c>
    </row>
    <row r="197" spans="1:3" x14ac:dyDescent="0.25">
      <c r="A197" s="5601" t="s">
        <v>5996</v>
      </c>
    </row>
    <row r="198" spans="1:3" x14ac:dyDescent="0.25">
      <c r="A198" s="5601" t="s">
        <v>5997</v>
      </c>
    </row>
    <row r="199" spans="1:3" x14ac:dyDescent="0.25">
      <c r="A199" s="5601" t="s">
        <v>5998</v>
      </c>
    </row>
    <row r="200" spans="1:3" x14ac:dyDescent="0.25">
      <c r="A200" s="5601">
        <v>19190107</v>
      </c>
    </row>
    <row r="201" spans="1:3" hidden="1" x14ac:dyDescent="0.25">
      <c r="A201" s="5601">
        <v>19140604</v>
      </c>
    </row>
    <row r="202" spans="1:3" hidden="1" x14ac:dyDescent="0.25">
      <c r="A202" s="5601">
        <v>19140605</v>
      </c>
      <c r="B202" s="105">
        <f>SUM(D13:D89,D94:D105,D108:E117,D122:D124,D129:D148,C151:C155,C158:C164,C167:C170,D167:D170,C175:C179,C183:C186)</f>
        <v>0</v>
      </c>
      <c r="C202" s="105" t="e">
        <f>SUM(CK13:CR148)</f>
        <v>#VALUE!</v>
      </c>
    </row>
    <row r="203" spans="1:3" hidden="1" x14ac:dyDescent="0.25">
      <c r="A203" s="5601">
        <v>19140606</v>
      </c>
    </row>
    <row r="204" spans="1:3" x14ac:dyDescent="0.25">
      <c r="A204" s="5601">
        <v>19140607</v>
      </c>
    </row>
    <row r="205" spans="1:3" x14ac:dyDescent="0.25">
      <c r="A205" s="5601">
        <v>19140608</v>
      </c>
    </row>
    <row r="206" spans="1:3" x14ac:dyDescent="0.25">
      <c r="A206" s="5601">
        <v>19170500</v>
      </c>
    </row>
    <row r="207" spans="1:3" x14ac:dyDescent="0.25">
      <c r="A207" s="5601">
        <v>19170501</v>
      </c>
    </row>
    <row r="208" spans="1:3" x14ac:dyDescent="0.25">
      <c r="A208" s="5601">
        <v>19140609</v>
      </c>
    </row>
    <row r="209" spans="1:1" x14ac:dyDescent="0.25">
      <c r="A209" s="5609">
        <v>19150200</v>
      </c>
    </row>
    <row r="210" spans="1:1" x14ac:dyDescent="0.25">
      <c r="A210" s="5601">
        <v>19182060</v>
      </c>
    </row>
    <row r="211" spans="1:1" x14ac:dyDescent="0.25">
      <c r="A211" s="5601" t="s">
        <v>5999</v>
      </c>
    </row>
    <row r="212" spans="1:1" x14ac:dyDescent="0.25">
      <c r="A212" s="5601" t="s">
        <v>6000</v>
      </c>
    </row>
    <row r="213" spans="1:1" x14ac:dyDescent="0.25">
      <c r="A213" s="5601" t="s">
        <v>6001</v>
      </c>
    </row>
    <row r="214" spans="1:1" x14ac:dyDescent="0.25">
      <c r="A214" s="5601" t="s">
        <v>6002</v>
      </c>
    </row>
    <row r="215" spans="1:1" x14ac:dyDescent="0.25">
      <c r="A215" s="5601" t="s">
        <v>6003</v>
      </c>
    </row>
    <row r="216" spans="1:1" x14ac:dyDescent="0.25">
      <c r="A216" s="5601" t="s">
        <v>6004</v>
      </c>
    </row>
    <row r="217" spans="1:1" x14ac:dyDescent="0.25">
      <c r="A217" s="5601" t="s">
        <v>6005</v>
      </c>
    </row>
    <row r="218" spans="1:1" x14ac:dyDescent="0.25">
      <c r="A218" s="5601" t="s">
        <v>6006</v>
      </c>
    </row>
    <row r="219" spans="1:1" x14ac:dyDescent="0.25">
      <c r="A219" s="5601" t="s">
        <v>6007</v>
      </c>
    </row>
    <row r="220" spans="1:1" x14ac:dyDescent="0.25">
      <c r="A220" s="5601" t="s">
        <v>6008</v>
      </c>
    </row>
    <row r="221" spans="1:1" x14ac:dyDescent="0.25">
      <c r="A221" s="5601" t="s">
        <v>6009</v>
      </c>
    </row>
    <row r="222" spans="1:1" x14ac:dyDescent="0.25">
      <c r="A222" s="5601" t="s">
        <v>6010</v>
      </c>
    </row>
    <row r="223" spans="1:1" x14ac:dyDescent="0.25">
      <c r="A223" s="5601" t="s">
        <v>6011</v>
      </c>
    </row>
    <row r="224" spans="1:1" x14ac:dyDescent="0.25">
      <c r="A224" s="5601" t="s">
        <v>6012</v>
      </c>
    </row>
    <row r="225" spans="1:1" x14ac:dyDescent="0.25">
      <c r="A225" s="5601" t="s">
        <v>6013</v>
      </c>
    </row>
    <row r="226" spans="1:1" x14ac:dyDescent="0.25">
      <c r="A226" s="5601" t="s">
        <v>6014</v>
      </c>
    </row>
    <row r="227" spans="1:1" x14ac:dyDescent="0.25">
      <c r="A227" s="5601" t="s">
        <v>6015</v>
      </c>
    </row>
    <row r="228" spans="1:1" x14ac:dyDescent="0.25">
      <c r="A228" s="5601" t="s">
        <v>6016</v>
      </c>
    </row>
    <row r="229" spans="1:1" x14ac:dyDescent="0.25">
      <c r="A229" s="5601" t="s">
        <v>6017</v>
      </c>
    </row>
    <row r="230" spans="1:1" x14ac:dyDescent="0.25">
      <c r="A230" s="5601" t="s">
        <v>6018</v>
      </c>
    </row>
    <row r="231" spans="1:1" x14ac:dyDescent="0.25">
      <c r="A231" s="5601" t="s">
        <v>6019</v>
      </c>
    </row>
    <row r="232" spans="1:1" x14ac:dyDescent="0.25">
      <c r="A232" s="5601" t="s">
        <v>6020</v>
      </c>
    </row>
    <row r="233" spans="1:1" x14ac:dyDescent="0.25">
      <c r="A233" s="5601" t="s">
        <v>6021</v>
      </c>
    </row>
    <row r="234" spans="1:1" x14ac:dyDescent="0.25">
      <c r="A234" s="5618" t="s">
        <v>4566</v>
      </c>
    </row>
    <row r="235" spans="1:1" x14ac:dyDescent="0.25">
      <c r="A235" s="5605">
        <v>19201010</v>
      </c>
    </row>
    <row r="236" spans="1:1" x14ac:dyDescent="0.25">
      <c r="A236" s="5605">
        <v>19201011</v>
      </c>
    </row>
    <row r="237" spans="1:1" x14ac:dyDescent="0.25">
      <c r="A237" s="5605">
        <v>19201012</v>
      </c>
    </row>
    <row r="238" spans="1:1" x14ac:dyDescent="0.25">
      <c r="A238" s="5605">
        <v>19201013</v>
      </c>
    </row>
    <row r="239" spans="1:1" x14ac:dyDescent="0.25">
      <c r="A239" s="5605">
        <v>19201014</v>
      </c>
    </row>
    <row r="240" spans="1:1" x14ac:dyDescent="0.25">
      <c r="A240" s="5605">
        <v>19201015</v>
      </c>
    </row>
    <row r="241" spans="1:1" x14ac:dyDescent="0.25">
      <c r="A241" s="5605">
        <v>19201016</v>
      </c>
    </row>
    <row r="242" spans="1:1" x14ac:dyDescent="0.25">
      <c r="A242" s="5605">
        <v>19201017</v>
      </c>
    </row>
    <row r="243" spans="1:1" x14ac:dyDescent="0.25">
      <c r="A243" s="5605">
        <v>19201018</v>
      </c>
    </row>
    <row r="244" spans="1:1" x14ac:dyDescent="0.25">
      <c r="A244" s="5605">
        <v>19201019</v>
      </c>
    </row>
    <row r="245" spans="1:1" x14ac:dyDescent="0.25">
      <c r="A245" s="5605">
        <v>19201020</v>
      </c>
    </row>
    <row r="246" spans="1:1" x14ac:dyDescent="0.25">
      <c r="A246" s="5617">
        <v>19201021</v>
      </c>
    </row>
    <row r="247" spans="1:1" x14ac:dyDescent="0.25">
      <c r="A247" s="5617">
        <v>19201022</v>
      </c>
    </row>
    <row r="248" spans="1:1" x14ac:dyDescent="0.25">
      <c r="A248" s="5617">
        <v>19201023</v>
      </c>
    </row>
    <row r="249" spans="1:1" x14ac:dyDescent="0.25">
      <c r="A249" s="5617">
        <v>19201024</v>
      </c>
    </row>
    <row r="250" spans="1:1" x14ac:dyDescent="0.25">
      <c r="A250" s="5617">
        <v>19201025</v>
      </c>
    </row>
    <row r="251" spans="1:1" x14ac:dyDescent="0.25">
      <c r="A251" s="5617">
        <v>19201026</v>
      </c>
    </row>
    <row r="252" spans="1:1" x14ac:dyDescent="0.25">
      <c r="A252" s="5617">
        <v>19201027</v>
      </c>
    </row>
    <row r="253" spans="1:1" x14ac:dyDescent="0.25">
      <c r="A253" s="5617">
        <v>19201028</v>
      </c>
    </row>
    <row r="254" spans="1:1" x14ac:dyDescent="0.25">
      <c r="A254" s="5617">
        <v>19201029</v>
      </c>
    </row>
    <row r="255" spans="1:1" x14ac:dyDescent="0.25">
      <c r="A255" s="5617">
        <v>19201030</v>
      </c>
    </row>
    <row r="256" spans="1:1" x14ac:dyDescent="0.25">
      <c r="A256" s="5617">
        <v>19201031</v>
      </c>
    </row>
    <row r="257" spans="1:1" x14ac:dyDescent="0.25">
      <c r="A257" s="5617">
        <v>19201032</v>
      </c>
    </row>
    <row r="258" spans="1:1" x14ac:dyDescent="0.25">
      <c r="A258" s="5617">
        <v>19201033</v>
      </c>
    </row>
    <row r="259" spans="1:1" x14ac:dyDescent="0.25">
      <c r="A259" s="5617">
        <v>19201034</v>
      </c>
    </row>
    <row r="260" spans="1:1" x14ac:dyDescent="0.25">
      <c r="A260" s="5617">
        <v>19201035</v>
      </c>
    </row>
    <row r="261" spans="1:1" x14ac:dyDescent="0.25">
      <c r="A261" s="5825">
        <v>19201107</v>
      </c>
    </row>
    <row r="262" spans="1:1" x14ac:dyDescent="0.25">
      <c r="A262" s="5825">
        <v>19201108</v>
      </c>
    </row>
    <row r="263" spans="1:1" x14ac:dyDescent="0.25">
      <c r="A263" s="5825">
        <v>19201109</v>
      </c>
    </row>
    <row r="264" spans="1:1" x14ac:dyDescent="0.25">
      <c r="A264" s="5825">
        <v>19201110</v>
      </c>
    </row>
  </sheetData>
  <mergeCells count="128">
    <mergeCell ref="B171:K171"/>
    <mergeCell ref="B172:B174"/>
    <mergeCell ref="C172:E173"/>
    <mergeCell ref="F172:AM172"/>
    <mergeCell ref="F173:G173"/>
    <mergeCell ref="H173:I173"/>
    <mergeCell ref="J173:K173"/>
    <mergeCell ref="L173:M173"/>
    <mergeCell ref="N173:O173"/>
    <mergeCell ref="P173:Q173"/>
    <mergeCell ref="R173:S173"/>
    <mergeCell ref="T173:U173"/>
    <mergeCell ref="V173:W173"/>
    <mergeCell ref="X173:Y173"/>
    <mergeCell ref="Z173:AA173"/>
    <mergeCell ref="AB173:AC173"/>
    <mergeCell ref="AD173:AE173"/>
    <mergeCell ref="AF173:AG173"/>
    <mergeCell ref="AH173:AI173"/>
    <mergeCell ref="AJ173:AK173"/>
    <mergeCell ref="AL173:AM173"/>
    <mergeCell ref="AA120:AB120"/>
    <mergeCell ref="AC120:AD120"/>
    <mergeCell ref="AE120:AF120"/>
    <mergeCell ref="AG120:AH120"/>
    <mergeCell ref="AI120:AJ120"/>
    <mergeCell ref="B122:B124"/>
    <mergeCell ref="B125:K125"/>
    <mergeCell ref="B126:K126"/>
    <mergeCell ref="B127:B128"/>
    <mergeCell ref="C127:C128"/>
    <mergeCell ref="D127:D128"/>
    <mergeCell ref="E127:N127"/>
    <mergeCell ref="O127:O128"/>
    <mergeCell ref="P127:P128"/>
    <mergeCell ref="I120:J120"/>
    <mergeCell ref="K120:L120"/>
    <mergeCell ref="M120:N120"/>
    <mergeCell ref="O120:P120"/>
    <mergeCell ref="Q120:R120"/>
    <mergeCell ref="S120:T120"/>
    <mergeCell ref="U120:V120"/>
    <mergeCell ref="W120:X120"/>
    <mergeCell ref="Y120:Z120"/>
    <mergeCell ref="AO91:AP92"/>
    <mergeCell ref="AQ91:AQ93"/>
    <mergeCell ref="AR91:AR93"/>
    <mergeCell ref="AS91:AS93"/>
    <mergeCell ref="AT91:AT93"/>
    <mergeCell ref="G92:H92"/>
    <mergeCell ref="I92:J92"/>
    <mergeCell ref="K92:L92"/>
    <mergeCell ref="M92:N92"/>
    <mergeCell ref="O92:P92"/>
    <mergeCell ref="Q92:R92"/>
    <mergeCell ref="S92:T92"/>
    <mergeCell ref="U92:V92"/>
    <mergeCell ref="W92:X92"/>
    <mergeCell ref="Y92:Z92"/>
    <mergeCell ref="AA92:AB92"/>
    <mergeCell ref="AC92:AD92"/>
    <mergeCell ref="AE92:AF92"/>
    <mergeCell ref="AG92:AH92"/>
    <mergeCell ref="AI92:AJ92"/>
    <mergeCell ref="AK92:AL92"/>
    <mergeCell ref="AM92:AN92"/>
    <mergeCell ref="B6:U6"/>
    <mergeCell ref="B8:AN8"/>
    <mergeCell ref="B9:AN9"/>
    <mergeCell ref="B10:B12"/>
    <mergeCell ref="C10:C12"/>
    <mergeCell ref="D10:F11"/>
    <mergeCell ref="G10:AN10"/>
    <mergeCell ref="Y11:Z11"/>
    <mergeCell ref="AA11:AB11"/>
    <mergeCell ref="AC11:AD11"/>
    <mergeCell ref="AK11:AL11"/>
    <mergeCell ref="AM11:AN11"/>
    <mergeCell ref="AG11:AH11"/>
    <mergeCell ref="AI11:AJ11"/>
    <mergeCell ref="B24:B34"/>
    <mergeCell ref="B35:B45"/>
    <mergeCell ref="B13:B23"/>
    <mergeCell ref="B46:B56"/>
    <mergeCell ref="B57:B62"/>
    <mergeCell ref="B63:B66"/>
    <mergeCell ref="B67:B73"/>
    <mergeCell ref="AV10:AV12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AO10:AO12"/>
    <mergeCell ref="AP10:AQ11"/>
    <mergeCell ref="AR10:AR12"/>
    <mergeCell ref="AS10:AS12"/>
    <mergeCell ref="AT10:AT12"/>
    <mergeCell ref="AU10:AU12"/>
    <mergeCell ref="AE11:AF11"/>
    <mergeCell ref="B74:B78"/>
    <mergeCell ref="B79:B89"/>
    <mergeCell ref="B90:AN90"/>
    <mergeCell ref="B129:B133"/>
    <mergeCell ref="B134:B138"/>
    <mergeCell ref="B139:B143"/>
    <mergeCell ref="B144:B148"/>
    <mergeCell ref="B149:I149"/>
    <mergeCell ref="B156:I156"/>
    <mergeCell ref="B91:B93"/>
    <mergeCell ref="C91:C93"/>
    <mergeCell ref="D91:F92"/>
    <mergeCell ref="G91:AN91"/>
    <mergeCell ref="B94:B99"/>
    <mergeCell ref="B100:B105"/>
    <mergeCell ref="B106:E106"/>
    <mergeCell ref="B107:B117"/>
    <mergeCell ref="B118:AL118"/>
    <mergeCell ref="B119:C121"/>
    <mergeCell ref="D119:F120"/>
    <mergeCell ref="G119:AJ119"/>
    <mergeCell ref="AK119:AL120"/>
    <mergeCell ref="AM119:AM121"/>
    <mergeCell ref="G120:H120"/>
  </mergeCells>
  <dataValidations count="8">
    <dataValidation type="whole" operator="greaterThanOrEqual" allowBlank="1" showInputMessage="1" showErrorMessage="1" sqref="E129:P148 D151:I155 D167:K170 D158:I164 G122:AM124 F175:AM179" xr:uid="{085D0FAA-C666-4243-A55C-C92701E16422}">
      <formula1>0</formula1>
    </dataValidation>
    <dataValidation type="whole" allowBlank="1" showInputMessage="1" showErrorMessage="1" error="Valor no Permitido" sqref="C122:F124 B118:B119 B122 D119:F120 D79:F89 C172:E173 C175:E179" xr:uid="{6CF93087-5F8B-4FD2-A381-E0996E77D8BF}">
      <formula1>0</formula1>
      <formula2>1E+30</formula2>
    </dataValidation>
    <dataValidation allowBlank="1" showInputMessage="1" showErrorMessage="1" error="Valor no Permitido" sqref="B79:B89" xr:uid="{9148145F-E1B9-4561-8E36-A8B7C316C989}"/>
    <dataValidation type="whole" operator="equal" allowBlank="1" showInputMessage="1" showErrorMessage="1" sqref="E74:E78" xr:uid="{ED97BE5D-EBB5-4A90-A1F5-8D1AA3375209}">
      <formula1>0</formula1>
    </dataValidation>
    <dataValidation type="whole" allowBlank="1" showInputMessage="1" showErrorMessage="1" sqref="D108:E117" xr:uid="{E5589492-A47C-4D7E-B36F-D5983D1DB5D5}">
      <formula1>0</formula1>
      <formula2>9.99999999999999E+34</formula2>
    </dataValidation>
    <dataValidation type="whole" allowBlank="1" showInputMessage="1" showErrorMessage="1" sqref="G94:AT105" xr:uid="{7BCCA604-FF9D-49E6-BC29-7678615C930E}">
      <formula1>0</formula1>
      <formula2>9.99999999999999E+36</formula2>
    </dataValidation>
    <dataValidation type="whole" allowBlank="1" showInputMessage="1" showErrorMessage="1" sqref="G13:AV89" xr:uid="{50A39DE8-7DD9-4FA6-92B1-0546525D5C25}">
      <formula1>0</formula1>
      <formula2>9.99999999999999E+35</formula2>
    </dataValidation>
    <dataValidation type="whole" allowBlank="1" showInputMessage="1" showErrorMessage="1" sqref="D183:E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V205"/>
  <sheetViews>
    <sheetView showGridLines="0" zoomScaleNormal="100" workbookViewId="0"/>
  </sheetViews>
  <sheetFormatPr baseColWidth="10" defaultColWidth="11.42578125" defaultRowHeight="15" x14ac:dyDescent="0.25"/>
  <cols>
    <col min="1" max="1" width="16.85546875" customWidth="1"/>
    <col min="2" max="2" width="55.5703125" customWidth="1"/>
    <col min="3" max="3" width="14.5703125" customWidth="1"/>
    <col min="4" max="5" width="15.7109375" customWidth="1"/>
    <col min="6" max="7" width="14.5703125" customWidth="1"/>
    <col min="8" max="8" width="16.140625" customWidth="1"/>
    <col min="9" max="9" width="16.7109375" customWidth="1"/>
    <col min="10" max="10" width="15.42578125" customWidth="1"/>
    <col min="11" max="11" width="15.85546875" customWidth="1"/>
    <col min="12" max="12" width="16" customWidth="1"/>
    <col min="15" max="15" width="15.7109375" customWidth="1"/>
    <col min="16" max="16" width="12.7109375" customWidth="1"/>
    <col min="18" max="19" width="13.42578125" customWidth="1"/>
    <col min="78" max="79" width="11.42578125" customWidth="1"/>
    <col min="80" max="81" width="10.7109375" style="25" hidden="1" customWidth="1"/>
    <col min="82" max="86" width="11.42578125" style="25" hidden="1" customWidth="1"/>
    <col min="87" max="98" width="0" style="25" hidden="1" customWidth="1"/>
    <col min="99" max="100" width="0" hidden="1" customWidth="1"/>
  </cols>
  <sheetData>
    <row r="1" spans="1:100" x14ac:dyDescent="0.25">
      <c r="B1" s="50" t="s">
        <v>23</v>
      </c>
    </row>
    <row r="2" spans="1:100" x14ac:dyDescent="0.25">
      <c r="B2" s="50" t="str">
        <f>CONCATENATE("COMUNA: ",NOMBRE!B2, " (",NOMBRE!C2,NOMBRE!D2,NOMBRE!E2,NOMBRE!F2,NOMBRE!G2,")")</f>
        <v>COMUNA:  ()</v>
      </c>
    </row>
    <row r="3" spans="1:100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100" x14ac:dyDescent="0.25">
      <c r="B4" s="50" t="str">
        <f>CONCATENATE("MES: ",NOMBRE!B6, " (",NOMBRE!C6,NOMBRE!D6,")")</f>
        <v>MES:  ()</v>
      </c>
    </row>
    <row r="5" spans="1:100" x14ac:dyDescent="0.25">
      <c r="B5" s="50" t="str">
        <f>CONCATENATE("AÑO: ",NOMBRE!B7)</f>
        <v>AÑO: 2025</v>
      </c>
    </row>
    <row r="6" spans="1:100" ht="18" customHeight="1" x14ac:dyDescent="0.25">
      <c r="B6" s="6087" t="s">
        <v>2171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</row>
    <row r="8" spans="1:100" ht="18" customHeight="1" x14ac:dyDescent="0.25">
      <c r="B8" s="7179" t="s">
        <v>2172</v>
      </c>
      <c r="C8" s="7179"/>
      <c r="D8" s="7179"/>
      <c r="E8" s="7179"/>
      <c r="F8" s="7179"/>
      <c r="G8" s="7179"/>
      <c r="H8" s="7179"/>
      <c r="I8" s="7179"/>
      <c r="J8" s="7179"/>
      <c r="K8" s="7179"/>
      <c r="L8" s="7179"/>
    </row>
    <row r="9" spans="1:100" ht="24" customHeight="1" x14ac:dyDescent="0.25">
      <c r="B9" s="7198" t="s">
        <v>2173</v>
      </c>
      <c r="C9" s="7107" t="s">
        <v>2174</v>
      </c>
      <c r="D9" s="7108"/>
      <c r="E9" s="7108"/>
      <c r="F9" s="7116" t="s">
        <v>2175</v>
      </c>
      <c r="G9" s="7117"/>
      <c r="H9" s="6511" t="s">
        <v>2176</v>
      </c>
      <c r="I9" s="7107" t="s">
        <v>2177</v>
      </c>
      <c r="J9" s="7109"/>
      <c r="K9" s="7108" t="s">
        <v>457</v>
      </c>
      <c r="L9" s="7122"/>
      <c r="M9" s="7197" t="s">
        <v>1355</v>
      </c>
      <c r="N9" s="7208" t="s">
        <v>2178</v>
      </c>
      <c r="O9" s="7208" t="s">
        <v>36</v>
      </c>
      <c r="P9" s="7213" t="s">
        <v>37</v>
      </c>
      <c r="Q9" s="6491" t="s">
        <v>2179</v>
      </c>
      <c r="R9" s="7116" t="s">
        <v>2180</v>
      </c>
      <c r="S9" s="7117"/>
      <c r="T9" s="167"/>
    </row>
    <row r="10" spans="1:100" ht="35.1" customHeight="1" x14ac:dyDescent="0.25">
      <c r="B10" s="6039"/>
      <c r="C10" s="3888" t="s">
        <v>2181</v>
      </c>
      <c r="D10" s="4163" t="s">
        <v>58</v>
      </c>
      <c r="E10" s="4164" t="s">
        <v>59</v>
      </c>
      <c r="F10" s="3894" t="s">
        <v>2182</v>
      </c>
      <c r="G10" s="486" t="s">
        <v>2183</v>
      </c>
      <c r="H10" s="6027"/>
      <c r="I10" s="3894" t="s">
        <v>2184</v>
      </c>
      <c r="J10" s="579" t="s">
        <v>2185</v>
      </c>
      <c r="K10" s="4165" t="s">
        <v>2186</v>
      </c>
      <c r="L10" s="3893" t="s">
        <v>2187</v>
      </c>
      <c r="M10" s="6751"/>
      <c r="N10" s="6086"/>
      <c r="O10" s="6086"/>
      <c r="P10" s="7214"/>
      <c r="Q10" s="6749"/>
      <c r="R10" s="3894" t="s">
        <v>2188</v>
      </c>
      <c r="S10" s="3893" t="s">
        <v>453</v>
      </c>
    </row>
    <row r="11" spans="1:100" x14ac:dyDescent="0.25">
      <c r="A11" s="5793"/>
      <c r="B11" s="3892" t="s">
        <v>2189</v>
      </c>
      <c r="C11" s="4166">
        <f t="shared" ref="C11" si="0">SUM(D11:E11)</f>
        <v>0</v>
      </c>
      <c r="D11" s="4167">
        <f>SUM(D12:D51)</f>
        <v>0</v>
      </c>
      <c r="E11" s="4168">
        <f t="shared" ref="E11:S11" si="1">SUM(E12:E51)</f>
        <v>0</v>
      </c>
      <c r="F11" s="4167">
        <f t="shared" si="1"/>
        <v>0</v>
      </c>
      <c r="G11" s="4168">
        <f t="shared" si="1"/>
        <v>0</v>
      </c>
      <c r="H11" s="4169">
        <f t="shared" si="1"/>
        <v>0</v>
      </c>
      <c r="I11" s="4170">
        <f t="shared" si="1"/>
        <v>0</v>
      </c>
      <c r="J11" s="4171">
        <f t="shared" si="1"/>
        <v>0</v>
      </c>
      <c r="K11" s="4172">
        <f t="shared" si="1"/>
        <v>0</v>
      </c>
      <c r="L11" s="4169">
        <f t="shared" si="1"/>
        <v>0</v>
      </c>
      <c r="M11" s="4167">
        <f t="shared" si="1"/>
        <v>0</v>
      </c>
      <c r="N11" s="4170">
        <f t="shared" si="1"/>
        <v>0</v>
      </c>
      <c r="O11" s="4170">
        <f t="shared" si="1"/>
        <v>0</v>
      </c>
      <c r="P11" s="4170">
        <f t="shared" si="1"/>
        <v>0</v>
      </c>
      <c r="Q11" s="4169">
        <f t="shared" si="1"/>
        <v>0</v>
      </c>
      <c r="R11" s="4167">
        <f t="shared" si="1"/>
        <v>0</v>
      </c>
      <c r="S11" s="4169">
        <f t="shared" si="1"/>
        <v>0</v>
      </c>
    </row>
    <row r="12" spans="1:100" x14ac:dyDescent="0.25">
      <c r="A12" s="5823">
        <v>19201036</v>
      </c>
      <c r="B12" s="2206" t="s">
        <v>2190</v>
      </c>
      <c r="C12" s="4173" t="s">
        <v>4567</v>
      </c>
      <c r="D12" s="326" t="s">
        <v>4568</v>
      </c>
      <c r="E12" s="882" t="s">
        <v>4569</v>
      </c>
      <c r="F12" s="326" t="s">
        <v>4570</v>
      </c>
      <c r="G12" s="882" t="s">
        <v>4571</v>
      </c>
      <c r="H12" s="142" t="s">
        <v>4572</v>
      </c>
      <c r="I12" s="1014" t="s">
        <v>4573</v>
      </c>
      <c r="J12" s="1001" t="s">
        <v>4574</v>
      </c>
      <c r="K12" s="336" t="s">
        <v>4575</v>
      </c>
      <c r="L12" s="142" t="s">
        <v>4576</v>
      </c>
      <c r="M12" s="326" t="s">
        <v>4577</v>
      </c>
      <c r="N12" s="1014" t="s">
        <v>4578</v>
      </c>
      <c r="O12" s="1014" t="s">
        <v>4579</v>
      </c>
      <c r="P12" s="1014" t="s">
        <v>4580</v>
      </c>
      <c r="Q12" s="142" t="s">
        <v>4581</v>
      </c>
      <c r="R12" s="326" t="s">
        <v>4582</v>
      </c>
      <c r="S12" s="142" t="s">
        <v>4583</v>
      </c>
      <c r="T12" s="1936" t="str">
        <f>CB12&amp;CC12&amp;CD12&amp;CE12&amp;CF12&amp;CG12&amp;CH12&amp;CI12&amp;CJ12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2" s="4174" t="str">
        <f t="shared" ref="CB12:CB51" si="2">IF(AND(E12&gt;0,K12=""),"*No olvide digitar el campo TRANS Masculino (Digite CERO si no tiene).", IF(K12&gt;E12," * El Número de TRANS Masculino no puede superar el Total Mujeres. ",""))</f>
        <v xml:space="preserve"> * El Número de TRANS Masculino no puede superar el Total Mujeres. </v>
      </c>
      <c r="CC12" s="4174" t="str">
        <f t="shared" ref="CC12:CC51" si="3">IF(AND(D12&gt;0,OR(L12=""))," *No olvide digitar el campo TRANS Femenino (Digite CERO si no tiene).",IF(L12&gt;$D12," * El Número de TRANS Femenino no puede superar el Total Hombres. ",""))</f>
        <v xml:space="preserve"> * El Número de TRANS Femenino no puede superar el Total Hombres. </v>
      </c>
      <c r="CD12" s="4174" t="str">
        <f>IF(AND($C12&gt;0,OR(M12=""))," *No olvide digitar el campo "&amp;M$9&amp;""&amp;". Digite CERO si no tiene.", IF(M12&gt;$C12," * La variable "&amp;M$9&amp;""&amp;" no puede superar el Total Ambos Sexos. ",""))</f>
        <v xml:space="preserve"> * La variable No Binarie no puede superar el Total Ambos Sexos. </v>
      </c>
      <c r="CE12" s="4174" t="str">
        <f>IF(AND($C12&gt;0,OR(N12=""))," *No olvide digitar el campo "&amp;N$9&amp;""&amp;". Digite CERO si no tiene.", IF(N12&gt;$C12," * La variable "&amp;N$9&amp;""&amp;" no puede superar el Total Ambos Sexos. ",""))</f>
        <v xml:space="preserve"> * La variable No revelado no puede superar el Total Ambos Sexos. </v>
      </c>
      <c r="CF12" s="4174" t="str">
        <f>IF(AND($C12&gt;0,OR(O12=""))," *No olvide digitar el campo "&amp;O$9&amp;""&amp;". Digite CERO si no tiene.", IF(O12&gt;$C12," * La variable "&amp;O$9&amp;""&amp;" no puede superar el Total Ambos Sexos. ",""))</f>
        <v xml:space="preserve"> * La variable Pueblos Originarios no puede superar el Total Ambos Sexos. </v>
      </c>
      <c r="CG12" s="4174" t="str">
        <f>IF(AND($C12&gt;0,OR(P12=""))," *No olvide digitar el campo "&amp;P$9&amp;""&amp;". Digite CERO si no tiene.", IF(P12&gt;$C12," * La variable "&amp;P$9&amp;""&amp;" no puede superar el Total Ambos Sexos. ",""))</f>
        <v xml:space="preserve"> * La variable Migrantes no puede superar el Total Ambos Sexos. </v>
      </c>
      <c r="CH12" s="4174" t="str">
        <f>IF(AND($C12&gt;0,OR(Q12=""))," *No olvide digitar el campo "&amp;Q$9&amp;""&amp;". Digite CERO si no tiene.", IF(Q12&gt;$C12," * La variable "&amp;Q$9&amp;""&amp;" no puede superar el Total Ambos Sexos. ",""))</f>
        <v xml:space="preserve"> * La variable PRAIS no puede superar el Total Ambos Sexos. </v>
      </c>
      <c r="CI12" s="4174" t="str">
        <f>IF(AND($C12&gt;0,OR(R12=""))," *No olvide digitar el campo "&amp;R$9&amp;""&amp;". Niños, niñas y adolescentes. Digite CERO si no tiene.", IF(R12&gt;$C12," * La variable "&amp;R$9&amp;""&amp;" no puede superar el Total Ambos Sexos. ",""))</f>
        <v xml:space="preserve"> * La variable N° DE ATENCIONES EN EL MES (Ley Mila) no puede superar el Total Ambos Sexos. </v>
      </c>
      <c r="CJ12" s="4174" t="str">
        <f>IF(AND($E12&gt;0,OR(S12=""))," *No olvide digitar el campo "&amp;R$9&amp;""&amp;" Gestantes. Digite CERO si no tiene.", IF(S12&gt;$E12," * La variable "&amp;R$9&amp;""&amp;" no puede superar el Total Mujeres. ",""))</f>
        <v xml:space="preserve"> * La variable N° DE ATENCIONES EN EL MES (Ley Mila) no puede superar el Total Mujeres. </v>
      </c>
      <c r="CN12" s="434">
        <f t="shared" ref="CN12:CN51" si="4">IF(AND(E12&gt;0,OR(K12="")),1,IF(K12&gt;E12,1,0))</f>
        <v>1</v>
      </c>
      <c r="CO12" s="434">
        <f t="shared" ref="CO12:CO51" si="5">IF(AND(D12&gt;0,OR(L12="")),1,IF(L12&gt;D12,1,0))</f>
        <v>1</v>
      </c>
      <c r="CP12" s="434">
        <f t="shared" ref="CP12:CU12" si="6">IF(AND($C12&gt;0,OR(M12="")),1,IF(M12&gt;$C12,1,0))</f>
        <v>1</v>
      </c>
      <c r="CQ12" s="434">
        <f t="shared" si="6"/>
        <v>1</v>
      </c>
      <c r="CR12" s="434">
        <f t="shared" si="6"/>
        <v>1</v>
      </c>
      <c r="CS12" s="434">
        <f t="shared" si="6"/>
        <v>1</v>
      </c>
      <c r="CT12" s="434">
        <f t="shared" si="6"/>
        <v>1</v>
      </c>
      <c r="CU12" s="1867">
        <f t="shared" si="6"/>
        <v>1</v>
      </c>
      <c r="CV12" s="1867">
        <f>IF(AND($E12&gt;0,OR(S12="")),1,IF(S12&gt;$E12,1,0))</f>
        <v>1</v>
      </c>
    </row>
    <row r="13" spans="1:100" x14ac:dyDescent="0.25">
      <c r="A13" s="5823">
        <v>19201037</v>
      </c>
      <c r="B13" s="318" t="s">
        <v>2191</v>
      </c>
      <c r="C13" s="4175" t="s">
        <v>4567</v>
      </c>
      <c r="D13" s="3913" t="s">
        <v>4568</v>
      </c>
      <c r="E13" s="1969" t="s">
        <v>4569</v>
      </c>
      <c r="F13" s="3913" t="s">
        <v>4570</v>
      </c>
      <c r="G13" s="1969" t="s">
        <v>4571</v>
      </c>
      <c r="H13" s="329" t="s">
        <v>4572</v>
      </c>
      <c r="I13" s="1939" t="s">
        <v>4573</v>
      </c>
      <c r="J13" s="331" t="s">
        <v>4574</v>
      </c>
      <c r="K13" s="3903" t="s">
        <v>4575</v>
      </c>
      <c r="L13" s="329" t="s">
        <v>4576</v>
      </c>
      <c r="M13" s="3913" t="s">
        <v>4577</v>
      </c>
      <c r="N13" s="1939" t="s">
        <v>4578</v>
      </c>
      <c r="O13" s="1939" t="s">
        <v>4579</v>
      </c>
      <c r="P13" s="1939" t="s">
        <v>4580</v>
      </c>
      <c r="Q13" s="329" t="s">
        <v>4581</v>
      </c>
      <c r="R13" s="3913" t="s">
        <v>4582</v>
      </c>
      <c r="S13" s="329" t="s">
        <v>4583</v>
      </c>
      <c r="T13" s="1936" t="str">
        <f t="shared" ref="T13:T56" si="7">CB13&amp;CC13&amp;CD13&amp;CE13&amp;CF13&amp;CG13&amp;CH13&amp;CI13&amp;CJ13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3" s="4174" t="str">
        <f t="shared" si="2"/>
        <v xml:space="preserve"> * El Número de TRANS Masculino no puede superar el Total Mujeres. </v>
      </c>
      <c r="CC13" s="4174" t="str">
        <f t="shared" si="3"/>
        <v xml:space="preserve"> * El Número de TRANS Femenino no puede superar el Total Hombres. </v>
      </c>
      <c r="CD13" s="4174" t="str">
        <f t="shared" ref="CD13:CD57" si="8">IF(AND($C13&gt;0,OR(M13=""))," *No olvide digitar el campo "&amp;M$9&amp;""&amp;". Digite CERO si no tiene.", IF(M13&gt;$C13," * La variable "&amp;M$9&amp;""&amp;" no puede superar el Total Ambos Sexos. ",""))</f>
        <v xml:space="preserve"> * La variable No Binarie no puede superar el Total Ambos Sexos. </v>
      </c>
      <c r="CE13" s="4174" t="str">
        <f t="shared" ref="CE13:CE57" si="9">IF(AND($C13&gt;0,OR(N13=""))," *No olvide digitar el campo "&amp;N$9&amp;""&amp;". Digite CERO si no tiene.", IF(N13&gt;$C13," * La variable "&amp;N$9&amp;""&amp;" no puede superar el Total Ambos Sexos. ",""))</f>
        <v xml:space="preserve"> * La variable No revelado no puede superar el Total Ambos Sexos. </v>
      </c>
      <c r="CF13" s="4174" t="str">
        <f t="shared" ref="CF13:CF57" si="10">IF(AND($C13&gt;0,OR(O13=""))," *No olvide digitar el campo "&amp;O$9&amp;""&amp;". Digite CERO si no tiene.", IF(O13&gt;$C13," * La variable "&amp;O$9&amp;""&amp;" no puede superar el Total Ambos Sexos. ",""))</f>
        <v xml:space="preserve"> * La variable Pueblos Originarios no puede superar el Total Ambos Sexos. </v>
      </c>
      <c r="CG13" s="4174" t="str">
        <f t="shared" ref="CG13:CG57" si="11">IF(AND($C13&gt;0,OR(P13=""))," *No olvide digitar el campo "&amp;P$9&amp;""&amp;". Digite CERO si no tiene.", IF(P13&gt;$C13," * La variable "&amp;P$9&amp;""&amp;" no puede superar el Total Ambos Sexos. ",""))</f>
        <v xml:space="preserve"> * La variable Migrantes no puede superar el Total Ambos Sexos. </v>
      </c>
      <c r="CH13" s="4174" t="str">
        <f t="shared" ref="CH13:CH57" si="12">IF(AND($C13&gt;0,OR(Q13=""))," *No olvide digitar el campo "&amp;Q$9&amp;""&amp;". Digite CERO si no tiene.", IF(Q13&gt;$C13," * La variable "&amp;Q$9&amp;""&amp;" no puede superar el Total Ambos Sexos. ",""))</f>
        <v xml:space="preserve"> * La variable PRAIS no puede superar el Total Ambos Sexos. </v>
      </c>
      <c r="CI13" s="4174" t="str">
        <f t="shared" ref="CI13:CI57" si="13">IF(AND($C13&gt;0,OR(R13=""))," *No olvide digitar el campo "&amp;R$9&amp;""&amp;". Niños, niñas y adolescentes. Digite CERO si no tiene.", IF(R13&gt;$C13," * La variable "&amp;R$9&amp;""&amp;" no puede superar el Total Ambos Sexos. ",""))</f>
        <v xml:space="preserve"> * La variable N° DE ATENCIONES EN EL MES (Ley Mila) no puede superar el Total Ambos Sexos. </v>
      </c>
      <c r="CJ13" s="4174" t="str">
        <f t="shared" ref="CJ13:CJ57" si="14">IF(AND($E13&gt;0,OR(S13=""))," *No olvide digitar el campo "&amp;R$9&amp;""&amp;" Gestantes. Digite CERO si no tiene.", IF(S13&gt;$E13," * La variable "&amp;R$9&amp;""&amp;" no puede superar el Total Mujeres. ",""))</f>
        <v xml:space="preserve"> * La variable N° DE ATENCIONES EN EL MES (Ley Mila) no puede superar el Total Mujeres. </v>
      </c>
      <c r="CN13" s="434">
        <f t="shared" si="4"/>
        <v>1</v>
      </c>
      <c r="CO13" s="434">
        <f t="shared" si="5"/>
        <v>1</v>
      </c>
      <c r="CP13" s="434">
        <f t="shared" ref="CP13:CP57" si="15">IF(AND($C13&gt;0,OR(M13="")),1,IF(M13&gt;$C13,1,0))</f>
        <v>1</v>
      </c>
      <c r="CQ13" s="434">
        <f t="shared" ref="CQ13:CQ57" si="16">IF(AND($C13&gt;0,OR(N13="")),1,IF(N13&gt;$C13,1,0))</f>
        <v>1</v>
      </c>
      <c r="CR13" s="434">
        <f t="shared" ref="CR13:CR57" si="17">IF(AND($C13&gt;0,OR(O13="")),1,IF(O13&gt;$C13,1,0))</f>
        <v>1</v>
      </c>
      <c r="CS13" s="434">
        <f t="shared" ref="CS13:CS57" si="18">IF(AND($C13&gt;0,OR(P13="")),1,IF(P13&gt;$C13,1,0))</f>
        <v>1</v>
      </c>
      <c r="CT13" s="434">
        <f t="shared" ref="CT13:CT57" si="19">IF(AND($C13&gt;0,OR(Q13="")),1,IF(Q13&gt;$C13,1,0))</f>
        <v>1</v>
      </c>
      <c r="CU13" s="1867">
        <f t="shared" ref="CU13:CU57" si="20">IF(AND($C13&gt;0,OR(R13="")),1,IF(R13&gt;$C13,1,0))</f>
        <v>1</v>
      </c>
      <c r="CV13" s="1867">
        <f t="shared" ref="CV13:CV57" si="21">IF(AND($E13&gt;0,OR(S13="")),1,IF(S13&gt;$E13,1,0))</f>
        <v>1</v>
      </c>
    </row>
    <row r="14" spans="1:100" x14ac:dyDescent="0.25">
      <c r="A14" s="5823">
        <v>19201038</v>
      </c>
      <c r="B14" s="318" t="s">
        <v>2192</v>
      </c>
      <c r="C14" s="4175" t="s">
        <v>4567</v>
      </c>
      <c r="D14" s="3913" t="s">
        <v>4568</v>
      </c>
      <c r="E14" s="1969" t="s">
        <v>4569</v>
      </c>
      <c r="F14" s="3913" t="s">
        <v>4570</v>
      </c>
      <c r="G14" s="329" t="s">
        <v>4571</v>
      </c>
      <c r="H14" s="329" t="s">
        <v>4572</v>
      </c>
      <c r="I14" s="3904" t="s">
        <v>4573</v>
      </c>
      <c r="J14" s="3943" t="s">
        <v>4574</v>
      </c>
      <c r="K14" s="3903" t="s">
        <v>4575</v>
      </c>
      <c r="L14" s="329" t="s">
        <v>4576</v>
      </c>
      <c r="M14" s="3913" t="s">
        <v>4577</v>
      </c>
      <c r="N14" s="1939" t="s">
        <v>4578</v>
      </c>
      <c r="O14" s="1939" t="s">
        <v>4579</v>
      </c>
      <c r="P14" s="1939" t="s">
        <v>4580</v>
      </c>
      <c r="Q14" s="329" t="s">
        <v>4581</v>
      </c>
      <c r="R14" s="3913" t="s">
        <v>4582</v>
      </c>
      <c r="S14" s="329" t="s">
        <v>4583</v>
      </c>
      <c r="T1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4" s="4174" t="str">
        <f t="shared" si="2"/>
        <v xml:space="preserve"> * El Número de TRANS Masculino no puede superar el Total Mujeres. </v>
      </c>
      <c r="CC14" s="4174" t="str">
        <f t="shared" si="3"/>
        <v xml:space="preserve"> * El Número de TRANS Femenino no puede superar el Total Hombres. </v>
      </c>
      <c r="CD14" s="4174" t="str">
        <f t="shared" si="8"/>
        <v xml:space="preserve"> * La variable No Binarie no puede superar el Total Ambos Sexos. </v>
      </c>
      <c r="CE14" s="4174" t="str">
        <f t="shared" si="9"/>
        <v xml:space="preserve"> * La variable No revelado no puede superar el Total Ambos Sexos. </v>
      </c>
      <c r="CF14" s="4174" t="str">
        <f t="shared" si="10"/>
        <v xml:space="preserve"> * La variable Pueblos Originarios no puede superar el Total Ambos Sexos. </v>
      </c>
      <c r="CG14" s="4174" t="str">
        <f t="shared" si="11"/>
        <v xml:space="preserve"> * La variable Migrantes no puede superar el Total Ambos Sexos. </v>
      </c>
      <c r="CH14" s="4174" t="str">
        <f t="shared" si="12"/>
        <v xml:space="preserve"> * La variable PRAIS no puede superar el Total Ambos Sexos. </v>
      </c>
      <c r="CI14" s="4174" t="str">
        <f t="shared" si="13"/>
        <v xml:space="preserve"> * La variable N° DE ATENCIONES EN EL MES (Ley Mila) no puede superar el Total Ambos Sexos. </v>
      </c>
      <c r="CJ14" s="4174" t="str">
        <f t="shared" si="14"/>
        <v xml:space="preserve"> * La variable N° DE ATENCIONES EN EL MES (Ley Mila) no puede superar el Total Mujeres. </v>
      </c>
      <c r="CN14" s="434">
        <f t="shared" si="4"/>
        <v>1</v>
      </c>
      <c r="CO14" s="434">
        <f t="shared" si="5"/>
        <v>1</v>
      </c>
      <c r="CP14" s="434">
        <f t="shared" si="15"/>
        <v>1</v>
      </c>
      <c r="CQ14" s="434">
        <f t="shared" si="16"/>
        <v>1</v>
      </c>
      <c r="CR14" s="434">
        <f t="shared" si="17"/>
        <v>1</v>
      </c>
      <c r="CS14" s="434">
        <f t="shared" si="18"/>
        <v>1</v>
      </c>
      <c r="CT14" s="434">
        <f t="shared" si="19"/>
        <v>1</v>
      </c>
      <c r="CU14" s="1867">
        <f t="shared" si="20"/>
        <v>1</v>
      </c>
      <c r="CV14" s="1867">
        <f t="shared" si="21"/>
        <v>1</v>
      </c>
    </row>
    <row r="15" spans="1:100" x14ac:dyDescent="0.25">
      <c r="A15" s="5823">
        <v>19201039</v>
      </c>
      <c r="B15" s="318" t="s">
        <v>2193</v>
      </c>
      <c r="C15" s="4175" t="s">
        <v>4567</v>
      </c>
      <c r="D15" s="3913" t="s">
        <v>4568</v>
      </c>
      <c r="E15" s="1969" t="s">
        <v>4569</v>
      </c>
      <c r="F15" s="3913" t="s">
        <v>4570</v>
      </c>
      <c r="G15" s="329" t="s">
        <v>4571</v>
      </c>
      <c r="H15" s="329" t="s">
        <v>4572</v>
      </c>
      <c r="I15" s="3904" t="s">
        <v>4573</v>
      </c>
      <c r="J15" s="3943" t="s">
        <v>4574</v>
      </c>
      <c r="K15" s="3903" t="s">
        <v>4575</v>
      </c>
      <c r="L15" s="329" t="s">
        <v>4576</v>
      </c>
      <c r="M15" s="3913" t="s">
        <v>4577</v>
      </c>
      <c r="N15" s="1939" t="s">
        <v>4578</v>
      </c>
      <c r="O15" s="1939" t="s">
        <v>4579</v>
      </c>
      <c r="P15" s="1939" t="s">
        <v>4580</v>
      </c>
      <c r="Q15" s="329" t="s">
        <v>4581</v>
      </c>
      <c r="R15" s="3913" t="s">
        <v>4582</v>
      </c>
      <c r="S15" s="329" t="s">
        <v>4583</v>
      </c>
      <c r="T1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5" s="4174" t="str">
        <f t="shared" si="2"/>
        <v xml:space="preserve"> * El Número de TRANS Masculino no puede superar el Total Mujeres. </v>
      </c>
      <c r="CC15" s="4174" t="str">
        <f t="shared" si="3"/>
        <v xml:space="preserve"> * El Número de TRANS Femenino no puede superar el Total Hombres. </v>
      </c>
      <c r="CD15" s="4174" t="str">
        <f t="shared" si="8"/>
        <v xml:space="preserve"> * La variable No Binarie no puede superar el Total Ambos Sexos. </v>
      </c>
      <c r="CE15" s="4174" t="str">
        <f t="shared" si="9"/>
        <v xml:space="preserve"> * La variable No revelado no puede superar el Total Ambos Sexos. </v>
      </c>
      <c r="CF15" s="4174" t="str">
        <f t="shared" si="10"/>
        <v xml:space="preserve"> * La variable Pueblos Originarios no puede superar el Total Ambos Sexos. </v>
      </c>
      <c r="CG15" s="4174" t="str">
        <f t="shared" si="11"/>
        <v xml:space="preserve"> * La variable Migrantes no puede superar el Total Ambos Sexos. </v>
      </c>
      <c r="CH15" s="4174" t="str">
        <f t="shared" si="12"/>
        <v xml:space="preserve"> * La variable PRAIS no puede superar el Total Ambos Sexos. </v>
      </c>
      <c r="CI15" s="4174" t="str">
        <f t="shared" si="13"/>
        <v xml:space="preserve"> * La variable N° DE ATENCIONES EN EL MES (Ley Mila) no puede superar el Total Ambos Sexos. </v>
      </c>
      <c r="CJ15" s="4174" t="str">
        <f t="shared" si="14"/>
        <v xml:space="preserve"> * La variable N° DE ATENCIONES EN EL MES (Ley Mila) no puede superar el Total Mujeres. </v>
      </c>
      <c r="CN15" s="434">
        <f t="shared" si="4"/>
        <v>1</v>
      </c>
      <c r="CO15" s="434">
        <f t="shared" si="5"/>
        <v>1</v>
      </c>
      <c r="CP15" s="434">
        <f t="shared" si="15"/>
        <v>1</v>
      </c>
      <c r="CQ15" s="434">
        <f t="shared" si="16"/>
        <v>1</v>
      </c>
      <c r="CR15" s="434">
        <f t="shared" si="17"/>
        <v>1</v>
      </c>
      <c r="CS15" s="434">
        <f t="shared" si="18"/>
        <v>1</v>
      </c>
      <c r="CT15" s="434">
        <f t="shared" si="19"/>
        <v>1</v>
      </c>
      <c r="CU15" s="1867">
        <f t="shared" si="20"/>
        <v>1</v>
      </c>
      <c r="CV15" s="1867">
        <f t="shared" si="21"/>
        <v>1</v>
      </c>
    </row>
    <row r="16" spans="1:100" ht="15" customHeight="1" x14ac:dyDescent="0.25">
      <c r="A16" s="5823">
        <v>19201040</v>
      </c>
      <c r="B16" s="318" t="s">
        <v>2194</v>
      </c>
      <c r="C16" s="4175" t="s">
        <v>4567</v>
      </c>
      <c r="D16" s="3913" t="s">
        <v>4568</v>
      </c>
      <c r="E16" s="1969" t="s">
        <v>4569</v>
      </c>
      <c r="F16" s="3913" t="s">
        <v>4570</v>
      </c>
      <c r="G16" s="329" t="s">
        <v>4571</v>
      </c>
      <c r="H16" s="3968" t="s">
        <v>4572</v>
      </c>
      <c r="I16" s="3904" t="s">
        <v>4573</v>
      </c>
      <c r="J16" s="3943" t="s">
        <v>4574</v>
      </c>
      <c r="K16" s="3903" t="s">
        <v>4575</v>
      </c>
      <c r="L16" s="329" t="s">
        <v>4576</v>
      </c>
      <c r="M16" s="3913" t="s">
        <v>4577</v>
      </c>
      <c r="N16" s="1939" t="s">
        <v>4578</v>
      </c>
      <c r="O16" s="1939" t="s">
        <v>4579</v>
      </c>
      <c r="P16" s="1939" t="s">
        <v>4580</v>
      </c>
      <c r="Q16" s="329" t="s">
        <v>4581</v>
      </c>
      <c r="R16" s="3913" t="s">
        <v>4582</v>
      </c>
      <c r="S16" s="329" t="s">
        <v>4583</v>
      </c>
      <c r="T1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6" s="4174" t="str">
        <f t="shared" si="2"/>
        <v xml:space="preserve"> * El Número de TRANS Masculino no puede superar el Total Mujeres. </v>
      </c>
      <c r="CC16" s="4174" t="str">
        <f t="shared" si="3"/>
        <v xml:space="preserve"> * El Número de TRANS Femenino no puede superar el Total Hombres. </v>
      </c>
      <c r="CD16" s="4174" t="str">
        <f t="shared" si="8"/>
        <v xml:space="preserve"> * La variable No Binarie no puede superar el Total Ambos Sexos. </v>
      </c>
      <c r="CE16" s="4174" t="str">
        <f t="shared" si="9"/>
        <v xml:space="preserve"> * La variable No revelado no puede superar el Total Ambos Sexos. </v>
      </c>
      <c r="CF16" s="4174" t="str">
        <f t="shared" si="10"/>
        <v xml:space="preserve"> * La variable Pueblos Originarios no puede superar el Total Ambos Sexos. </v>
      </c>
      <c r="CG16" s="4174" t="str">
        <f t="shared" si="11"/>
        <v xml:space="preserve"> * La variable Migrantes no puede superar el Total Ambos Sexos. </v>
      </c>
      <c r="CH16" s="4174" t="str">
        <f t="shared" si="12"/>
        <v xml:space="preserve"> * La variable PRAIS no puede superar el Total Ambos Sexos. </v>
      </c>
      <c r="CI16" s="4174" t="str">
        <f t="shared" si="13"/>
        <v xml:space="preserve"> * La variable N° DE ATENCIONES EN EL MES (Ley Mila) no puede superar el Total Ambos Sexos. </v>
      </c>
      <c r="CJ16" s="4174" t="str">
        <f t="shared" si="14"/>
        <v xml:space="preserve"> * La variable N° DE ATENCIONES EN EL MES (Ley Mila) no puede superar el Total Mujeres. </v>
      </c>
      <c r="CN16" s="434">
        <f t="shared" si="4"/>
        <v>1</v>
      </c>
      <c r="CO16" s="434">
        <f t="shared" si="5"/>
        <v>1</v>
      </c>
      <c r="CP16" s="434">
        <f t="shared" si="15"/>
        <v>1</v>
      </c>
      <c r="CQ16" s="434">
        <f t="shared" si="16"/>
        <v>1</v>
      </c>
      <c r="CR16" s="434">
        <f t="shared" si="17"/>
        <v>1</v>
      </c>
      <c r="CS16" s="434">
        <f t="shared" si="18"/>
        <v>1</v>
      </c>
      <c r="CT16" s="434">
        <f t="shared" si="19"/>
        <v>1</v>
      </c>
      <c r="CU16" s="1867">
        <f t="shared" si="20"/>
        <v>1</v>
      </c>
      <c r="CV16" s="1867">
        <f t="shared" si="21"/>
        <v>1</v>
      </c>
    </row>
    <row r="17" spans="1:100" x14ac:dyDescent="0.25">
      <c r="A17" s="5823">
        <v>19201041</v>
      </c>
      <c r="B17" s="523" t="s">
        <v>2195</v>
      </c>
      <c r="C17" s="4157" t="s">
        <v>4567</v>
      </c>
      <c r="D17" s="853" t="s">
        <v>4568</v>
      </c>
      <c r="E17" s="1975" t="s">
        <v>4569</v>
      </c>
      <c r="F17" s="853" t="s">
        <v>4570</v>
      </c>
      <c r="G17" s="854" t="s">
        <v>4571</v>
      </c>
      <c r="H17" s="1920" t="s">
        <v>4572</v>
      </c>
      <c r="I17" s="1877" t="s">
        <v>4573</v>
      </c>
      <c r="J17" s="1878" t="s">
        <v>4574</v>
      </c>
      <c r="K17" s="1879" t="s">
        <v>4575</v>
      </c>
      <c r="L17" s="854" t="s">
        <v>4576</v>
      </c>
      <c r="M17" s="853" t="s">
        <v>4577</v>
      </c>
      <c r="N17" s="1873" t="s">
        <v>4578</v>
      </c>
      <c r="O17" s="1873" t="s">
        <v>4579</v>
      </c>
      <c r="P17" s="1873" t="s">
        <v>4580</v>
      </c>
      <c r="Q17" s="854" t="s">
        <v>4581</v>
      </c>
      <c r="R17" s="853" t="s">
        <v>4582</v>
      </c>
      <c r="S17" s="854" t="s">
        <v>4583</v>
      </c>
      <c r="T17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7" s="4174" t="str">
        <f t="shared" si="2"/>
        <v xml:space="preserve"> * El Número de TRANS Masculino no puede superar el Total Mujeres. </v>
      </c>
      <c r="CC17" s="4174" t="str">
        <f t="shared" si="3"/>
        <v xml:space="preserve"> * El Número de TRANS Femenino no puede superar el Total Hombres. </v>
      </c>
      <c r="CD17" s="4174" t="str">
        <f t="shared" si="8"/>
        <v xml:space="preserve"> * La variable No Binarie no puede superar el Total Ambos Sexos. </v>
      </c>
      <c r="CE17" s="4174" t="str">
        <f t="shared" si="9"/>
        <v xml:space="preserve"> * La variable No revelado no puede superar el Total Ambos Sexos. </v>
      </c>
      <c r="CF17" s="4174" t="str">
        <f t="shared" si="10"/>
        <v xml:space="preserve"> * La variable Pueblos Originarios no puede superar el Total Ambos Sexos. </v>
      </c>
      <c r="CG17" s="4174" t="str">
        <f t="shared" si="11"/>
        <v xml:space="preserve"> * La variable Migrantes no puede superar el Total Ambos Sexos. </v>
      </c>
      <c r="CH17" s="4174" t="str">
        <f t="shared" si="12"/>
        <v xml:space="preserve"> * La variable PRAIS no puede superar el Total Ambos Sexos. </v>
      </c>
      <c r="CI17" s="4174" t="str">
        <f t="shared" si="13"/>
        <v xml:space="preserve"> * La variable N° DE ATENCIONES EN EL MES (Ley Mila) no puede superar el Total Ambos Sexos. </v>
      </c>
      <c r="CJ17" s="4174" t="str">
        <f t="shared" si="14"/>
        <v xml:space="preserve"> * La variable N° DE ATENCIONES EN EL MES (Ley Mila) no puede superar el Total Mujeres. </v>
      </c>
      <c r="CN17" s="434">
        <f t="shared" si="4"/>
        <v>1</v>
      </c>
      <c r="CO17" s="434">
        <f t="shared" si="5"/>
        <v>1</v>
      </c>
      <c r="CP17" s="434">
        <f t="shared" si="15"/>
        <v>1</v>
      </c>
      <c r="CQ17" s="434">
        <f t="shared" si="16"/>
        <v>1</v>
      </c>
      <c r="CR17" s="434">
        <f t="shared" si="17"/>
        <v>1</v>
      </c>
      <c r="CS17" s="434">
        <f t="shared" si="18"/>
        <v>1</v>
      </c>
      <c r="CT17" s="434">
        <f t="shared" si="19"/>
        <v>1</v>
      </c>
      <c r="CU17" s="1867">
        <f t="shared" si="20"/>
        <v>1</v>
      </c>
      <c r="CV17" s="1867">
        <f t="shared" si="21"/>
        <v>1</v>
      </c>
    </row>
    <row r="18" spans="1:100" x14ac:dyDescent="0.25">
      <c r="A18" s="5823">
        <v>19201042</v>
      </c>
      <c r="B18" s="318" t="s">
        <v>2196</v>
      </c>
      <c r="C18" s="4173" t="s">
        <v>4567</v>
      </c>
      <c r="D18" s="326" t="s">
        <v>4568</v>
      </c>
      <c r="E18" s="882" t="s">
        <v>4569</v>
      </c>
      <c r="F18" s="326" t="s">
        <v>4570</v>
      </c>
      <c r="G18" s="142" t="s">
        <v>4571</v>
      </c>
      <c r="H18" s="2036" t="s">
        <v>4572</v>
      </c>
      <c r="I18" s="44" t="s">
        <v>4573</v>
      </c>
      <c r="J18" s="1884" t="s">
        <v>4574</v>
      </c>
      <c r="K18" s="336" t="s">
        <v>4575</v>
      </c>
      <c r="L18" s="142" t="s">
        <v>4576</v>
      </c>
      <c r="M18" s="326" t="s">
        <v>4577</v>
      </c>
      <c r="N18" s="1014" t="s">
        <v>4578</v>
      </c>
      <c r="O18" s="1014" t="s">
        <v>4579</v>
      </c>
      <c r="P18" s="1014" t="s">
        <v>4580</v>
      </c>
      <c r="Q18" s="142" t="s">
        <v>4581</v>
      </c>
      <c r="R18" s="326" t="s">
        <v>4582</v>
      </c>
      <c r="S18" s="142" t="s">
        <v>4583</v>
      </c>
      <c r="T18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8" s="4174" t="str">
        <f t="shared" si="2"/>
        <v xml:space="preserve"> * El Número de TRANS Masculino no puede superar el Total Mujeres. </v>
      </c>
      <c r="CC18" s="4174" t="str">
        <f t="shared" si="3"/>
        <v xml:space="preserve"> * El Número de TRANS Femenino no puede superar el Total Hombres. </v>
      </c>
      <c r="CD18" s="4174" t="str">
        <f t="shared" si="8"/>
        <v xml:space="preserve"> * La variable No Binarie no puede superar el Total Ambos Sexos. </v>
      </c>
      <c r="CE18" s="4174" t="str">
        <f t="shared" si="9"/>
        <v xml:space="preserve"> * La variable No revelado no puede superar el Total Ambos Sexos. </v>
      </c>
      <c r="CF18" s="4174" t="str">
        <f t="shared" si="10"/>
        <v xml:space="preserve"> * La variable Pueblos Originarios no puede superar el Total Ambos Sexos. </v>
      </c>
      <c r="CG18" s="4174" t="str">
        <f t="shared" si="11"/>
        <v xml:space="preserve"> * La variable Migrantes no puede superar el Total Ambos Sexos. </v>
      </c>
      <c r="CH18" s="4174" t="str">
        <f t="shared" si="12"/>
        <v xml:space="preserve"> * La variable PRAIS no puede superar el Total Ambos Sexos. </v>
      </c>
      <c r="CI18" s="4174" t="str">
        <f t="shared" si="13"/>
        <v xml:space="preserve"> * La variable N° DE ATENCIONES EN EL MES (Ley Mila) no puede superar el Total Ambos Sexos. </v>
      </c>
      <c r="CJ18" s="4174" t="str">
        <f t="shared" si="14"/>
        <v xml:space="preserve"> * La variable N° DE ATENCIONES EN EL MES (Ley Mila) no puede superar el Total Mujeres. </v>
      </c>
      <c r="CN18" s="434">
        <f t="shared" si="4"/>
        <v>1</v>
      </c>
      <c r="CO18" s="434">
        <f t="shared" si="5"/>
        <v>1</v>
      </c>
      <c r="CP18" s="434">
        <f t="shared" si="15"/>
        <v>1</v>
      </c>
      <c r="CQ18" s="434">
        <f t="shared" si="16"/>
        <v>1</v>
      </c>
      <c r="CR18" s="434">
        <f t="shared" si="17"/>
        <v>1</v>
      </c>
      <c r="CS18" s="434">
        <f t="shared" si="18"/>
        <v>1</v>
      </c>
      <c r="CT18" s="434">
        <f t="shared" si="19"/>
        <v>1</v>
      </c>
      <c r="CU18" s="1867">
        <f t="shared" si="20"/>
        <v>1</v>
      </c>
      <c r="CV18" s="1867">
        <f t="shared" si="21"/>
        <v>1</v>
      </c>
    </row>
    <row r="19" spans="1:100" x14ac:dyDescent="0.25">
      <c r="A19" s="5823">
        <v>19201043</v>
      </c>
      <c r="B19" s="318" t="s">
        <v>2197</v>
      </c>
      <c r="C19" s="4175" t="s">
        <v>4567</v>
      </c>
      <c r="D19" s="3913" t="s">
        <v>4568</v>
      </c>
      <c r="E19" s="1969" t="s">
        <v>4569</v>
      </c>
      <c r="F19" s="3913" t="s">
        <v>4570</v>
      </c>
      <c r="G19" s="329" t="s">
        <v>4571</v>
      </c>
      <c r="H19" s="329" t="s">
        <v>4572</v>
      </c>
      <c r="I19" s="3904" t="s">
        <v>4573</v>
      </c>
      <c r="J19" s="3943" t="s">
        <v>4574</v>
      </c>
      <c r="K19" s="3903" t="s">
        <v>4575</v>
      </c>
      <c r="L19" s="329" t="s">
        <v>4576</v>
      </c>
      <c r="M19" s="3913" t="s">
        <v>4577</v>
      </c>
      <c r="N19" s="1939" t="s">
        <v>4578</v>
      </c>
      <c r="O19" s="1939" t="s">
        <v>4579</v>
      </c>
      <c r="P19" s="1939" t="s">
        <v>4580</v>
      </c>
      <c r="Q19" s="329" t="s">
        <v>4581</v>
      </c>
      <c r="R19" s="3913" t="s">
        <v>4582</v>
      </c>
      <c r="S19" s="329" t="s">
        <v>4583</v>
      </c>
      <c r="T19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9" s="4174" t="str">
        <f t="shared" si="2"/>
        <v xml:space="preserve"> * El Número de TRANS Masculino no puede superar el Total Mujeres. </v>
      </c>
      <c r="CC19" s="4174" t="str">
        <f t="shared" si="3"/>
        <v xml:space="preserve"> * El Número de TRANS Femenino no puede superar el Total Hombres. </v>
      </c>
      <c r="CD19" s="4174" t="str">
        <f t="shared" si="8"/>
        <v xml:space="preserve"> * La variable No Binarie no puede superar el Total Ambos Sexos. </v>
      </c>
      <c r="CE19" s="4174" t="str">
        <f t="shared" si="9"/>
        <v xml:space="preserve"> * La variable No revelado no puede superar el Total Ambos Sexos. </v>
      </c>
      <c r="CF19" s="4174" t="str">
        <f t="shared" si="10"/>
        <v xml:space="preserve"> * La variable Pueblos Originarios no puede superar el Total Ambos Sexos. </v>
      </c>
      <c r="CG19" s="4174" t="str">
        <f t="shared" si="11"/>
        <v xml:space="preserve"> * La variable Migrantes no puede superar el Total Ambos Sexos. </v>
      </c>
      <c r="CH19" s="4174" t="str">
        <f t="shared" si="12"/>
        <v xml:space="preserve"> * La variable PRAIS no puede superar el Total Ambos Sexos. </v>
      </c>
      <c r="CI19" s="4174" t="str">
        <f t="shared" si="13"/>
        <v xml:space="preserve"> * La variable N° DE ATENCIONES EN EL MES (Ley Mila) no puede superar el Total Ambos Sexos. </v>
      </c>
      <c r="CJ19" s="4174" t="str">
        <f t="shared" si="14"/>
        <v xml:space="preserve"> * La variable N° DE ATENCIONES EN EL MES (Ley Mila) no puede superar el Total Mujeres. </v>
      </c>
      <c r="CN19" s="434">
        <f t="shared" si="4"/>
        <v>1</v>
      </c>
      <c r="CO19" s="434">
        <f t="shared" si="5"/>
        <v>1</v>
      </c>
      <c r="CP19" s="434">
        <f t="shared" si="15"/>
        <v>1</v>
      </c>
      <c r="CQ19" s="434">
        <f t="shared" si="16"/>
        <v>1</v>
      </c>
      <c r="CR19" s="434">
        <f t="shared" si="17"/>
        <v>1</v>
      </c>
      <c r="CS19" s="434">
        <f t="shared" si="18"/>
        <v>1</v>
      </c>
      <c r="CT19" s="434">
        <f t="shared" si="19"/>
        <v>1</v>
      </c>
      <c r="CU19" s="1867">
        <f t="shared" si="20"/>
        <v>1</v>
      </c>
      <c r="CV19" s="1867">
        <f t="shared" si="21"/>
        <v>1</v>
      </c>
    </row>
    <row r="20" spans="1:100" x14ac:dyDescent="0.25">
      <c r="A20" s="5823">
        <v>19201044</v>
      </c>
      <c r="B20" s="523" t="s">
        <v>2198</v>
      </c>
      <c r="C20" s="4157" t="s">
        <v>4567</v>
      </c>
      <c r="D20" s="853" t="s">
        <v>4568</v>
      </c>
      <c r="E20" s="1975" t="s">
        <v>4569</v>
      </c>
      <c r="F20" s="853" t="s">
        <v>4570</v>
      </c>
      <c r="G20" s="854" t="s">
        <v>4571</v>
      </c>
      <c r="H20" s="854" t="s">
        <v>4572</v>
      </c>
      <c r="I20" s="1877" t="s">
        <v>4573</v>
      </c>
      <c r="J20" s="1878" t="s">
        <v>4574</v>
      </c>
      <c r="K20" s="1879" t="s">
        <v>4575</v>
      </c>
      <c r="L20" s="854" t="s">
        <v>4576</v>
      </c>
      <c r="M20" s="853" t="s">
        <v>4577</v>
      </c>
      <c r="N20" s="1873" t="s">
        <v>4578</v>
      </c>
      <c r="O20" s="1873" t="s">
        <v>4579</v>
      </c>
      <c r="P20" s="1873" t="s">
        <v>4580</v>
      </c>
      <c r="Q20" s="854" t="s">
        <v>4581</v>
      </c>
      <c r="R20" s="853" t="s">
        <v>4582</v>
      </c>
      <c r="S20" s="854" t="s">
        <v>4583</v>
      </c>
      <c r="T20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0" s="4174" t="str">
        <f t="shared" si="2"/>
        <v xml:space="preserve"> * El Número de TRANS Masculino no puede superar el Total Mujeres. </v>
      </c>
      <c r="CC20" s="4174" t="str">
        <f t="shared" si="3"/>
        <v xml:space="preserve"> * El Número de TRANS Femenino no puede superar el Total Hombres. </v>
      </c>
      <c r="CD20" s="4174" t="str">
        <f t="shared" si="8"/>
        <v xml:space="preserve"> * La variable No Binarie no puede superar el Total Ambos Sexos. </v>
      </c>
      <c r="CE20" s="4174" t="str">
        <f t="shared" si="9"/>
        <v xml:space="preserve"> * La variable No revelado no puede superar el Total Ambos Sexos. </v>
      </c>
      <c r="CF20" s="4174" t="str">
        <f t="shared" si="10"/>
        <v xml:space="preserve"> * La variable Pueblos Originarios no puede superar el Total Ambos Sexos. </v>
      </c>
      <c r="CG20" s="4174" t="str">
        <f t="shared" si="11"/>
        <v xml:space="preserve"> * La variable Migrantes no puede superar el Total Ambos Sexos. </v>
      </c>
      <c r="CH20" s="4174" t="str">
        <f t="shared" si="12"/>
        <v xml:space="preserve"> * La variable PRAIS no puede superar el Total Ambos Sexos. </v>
      </c>
      <c r="CI20" s="4174" t="str">
        <f t="shared" si="13"/>
        <v xml:space="preserve"> * La variable N° DE ATENCIONES EN EL MES (Ley Mila) no puede superar el Total Ambos Sexos. </v>
      </c>
      <c r="CJ20" s="4174" t="str">
        <f t="shared" si="14"/>
        <v xml:space="preserve"> * La variable N° DE ATENCIONES EN EL MES (Ley Mila) no puede superar el Total Mujeres. </v>
      </c>
      <c r="CN20" s="434">
        <f t="shared" si="4"/>
        <v>1</v>
      </c>
      <c r="CO20" s="434">
        <f t="shared" si="5"/>
        <v>1</v>
      </c>
      <c r="CP20" s="434">
        <f t="shared" si="15"/>
        <v>1</v>
      </c>
      <c r="CQ20" s="434">
        <f t="shared" si="16"/>
        <v>1</v>
      </c>
      <c r="CR20" s="434">
        <f t="shared" si="17"/>
        <v>1</v>
      </c>
      <c r="CS20" s="434">
        <f t="shared" si="18"/>
        <v>1</v>
      </c>
      <c r="CT20" s="434">
        <f t="shared" si="19"/>
        <v>1</v>
      </c>
      <c r="CU20" s="1867">
        <f t="shared" si="20"/>
        <v>1</v>
      </c>
      <c r="CV20" s="1867">
        <f t="shared" si="21"/>
        <v>1</v>
      </c>
    </row>
    <row r="21" spans="1:100" x14ac:dyDescent="0.25">
      <c r="A21" s="5823">
        <v>19201045</v>
      </c>
      <c r="B21" s="318" t="s">
        <v>2199</v>
      </c>
      <c r="C21" s="4173" t="s">
        <v>4567</v>
      </c>
      <c r="D21" s="326" t="s">
        <v>4568</v>
      </c>
      <c r="E21" s="882" t="s">
        <v>4569</v>
      </c>
      <c r="F21" s="326" t="s">
        <v>4570</v>
      </c>
      <c r="G21" s="142" t="s">
        <v>4571</v>
      </c>
      <c r="H21" s="142" t="s">
        <v>4572</v>
      </c>
      <c r="I21" s="44" t="s">
        <v>4573</v>
      </c>
      <c r="J21" s="1001" t="s">
        <v>4574</v>
      </c>
      <c r="K21" s="336" t="s">
        <v>4575</v>
      </c>
      <c r="L21" s="142" t="s">
        <v>4576</v>
      </c>
      <c r="M21" s="326" t="s">
        <v>4577</v>
      </c>
      <c r="N21" s="1014" t="s">
        <v>4578</v>
      </c>
      <c r="O21" s="1014" t="s">
        <v>4579</v>
      </c>
      <c r="P21" s="1014" t="s">
        <v>4580</v>
      </c>
      <c r="Q21" s="142" t="s">
        <v>4581</v>
      </c>
      <c r="R21" s="326" t="s">
        <v>4582</v>
      </c>
      <c r="S21" s="142" t="s">
        <v>4583</v>
      </c>
      <c r="T21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1" s="4174" t="str">
        <f t="shared" si="2"/>
        <v xml:space="preserve"> * El Número de TRANS Masculino no puede superar el Total Mujeres. </v>
      </c>
      <c r="CC21" s="4174" t="str">
        <f t="shared" si="3"/>
        <v xml:space="preserve"> * El Número de TRANS Femenino no puede superar el Total Hombres. </v>
      </c>
      <c r="CD21" s="4174" t="str">
        <f t="shared" si="8"/>
        <v xml:space="preserve"> * La variable No Binarie no puede superar el Total Ambos Sexos. </v>
      </c>
      <c r="CE21" s="4174" t="str">
        <f t="shared" si="9"/>
        <v xml:space="preserve"> * La variable No revelado no puede superar el Total Ambos Sexos. </v>
      </c>
      <c r="CF21" s="4174" t="str">
        <f t="shared" si="10"/>
        <v xml:space="preserve"> * La variable Pueblos Originarios no puede superar el Total Ambos Sexos. </v>
      </c>
      <c r="CG21" s="4174" t="str">
        <f t="shared" si="11"/>
        <v xml:space="preserve"> * La variable Migrantes no puede superar el Total Ambos Sexos. </v>
      </c>
      <c r="CH21" s="4174" t="str">
        <f t="shared" si="12"/>
        <v xml:space="preserve"> * La variable PRAIS no puede superar el Total Ambos Sexos. </v>
      </c>
      <c r="CI21" s="4174" t="str">
        <f t="shared" si="13"/>
        <v xml:space="preserve"> * La variable N° DE ATENCIONES EN EL MES (Ley Mila) no puede superar el Total Ambos Sexos. </v>
      </c>
      <c r="CJ21" s="4174" t="str">
        <f t="shared" si="14"/>
        <v xml:space="preserve"> * La variable N° DE ATENCIONES EN EL MES (Ley Mila) no puede superar el Total Mujeres. </v>
      </c>
      <c r="CN21" s="434">
        <f t="shared" si="4"/>
        <v>1</v>
      </c>
      <c r="CO21" s="434">
        <f t="shared" si="5"/>
        <v>1</v>
      </c>
      <c r="CP21" s="434">
        <f t="shared" si="15"/>
        <v>1</v>
      </c>
      <c r="CQ21" s="434">
        <f t="shared" si="16"/>
        <v>1</v>
      </c>
      <c r="CR21" s="434">
        <f t="shared" si="17"/>
        <v>1</v>
      </c>
      <c r="CS21" s="434">
        <f t="shared" si="18"/>
        <v>1</v>
      </c>
      <c r="CT21" s="434">
        <f t="shared" si="19"/>
        <v>1</v>
      </c>
      <c r="CU21" s="1867">
        <f t="shared" si="20"/>
        <v>1</v>
      </c>
      <c r="CV21" s="1867">
        <f t="shared" si="21"/>
        <v>1</v>
      </c>
    </row>
    <row r="22" spans="1:100" ht="21" x14ac:dyDescent="0.25">
      <c r="A22" s="5823">
        <v>19201046</v>
      </c>
      <c r="B22" s="318" t="s">
        <v>2200</v>
      </c>
      <c r="C22" s="4175" t="s">
        <v>4567</v>
      </c>
      <c r="D22" s="3913" t="s">
        <v>4568</v>
      </c>
      <c r="E22" s="1969" t="s">
        <v>4569</v>
      </c>
      <c r="F22" s="3913" t="s">
        <v>4570</v>
      </c>
      <c r="G22" s="329" t="s">
        <v>4571</v>
      </c>
      <c r="H22" s="329" t="s">
        <v>4572</v>
      </c>
      <c r="I22" s="3904" t="s">
        <v>4573</v>
      </c>
      <c r="J22" s="331" t="s">
        <v>4574</v>
      </c>
      <c r="K22" s="3903" t="s">
        <v>4575</v>
      </c>
      <c r="L22" s="329" t="s">
        <v>4576</v>
      </c>
      <c r="M22" s="3913" t="s">
        <v>4577</v>
      </c>
      <c r="N22" s="1939" t="s">
        <v>4578</v>
      </c>
      <c r="O22" s="1939" t="s">
        <v>4579</v>
      </c>
      <c r="P22" s="1939" t="s">
        <v>4580</v>
      </c>
      <c r="Q22" s="329" t="s">
        <v>4581</v>
      </c>
      <c r="R22" s="3913" t="s">
        <v>4582</v>
      </c>
      <c r="S22" s="329" t="s">
        <v>4583</v>
      </c>
      <c r="T22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2" s="4174" t="str">
        <f t="shared" si="2"/>
        <v xml:space="preserve"> * El Número de TRANS Masculino no puede superar el Total Mujeres. </v>
      </c>
      <c r="CC22" s="4174" t="str">
        <f t="shared" si="3"/>
        <v xml:space="preserve"> * El Número de TRANS Femenino no puede superar el Total Hombres. </v>
      </c>
      <c r="CD22" s="4174" t="str">
        <f t="shared" si="8"/>
        <v xml:space="preserve"> * La variable No Binarie no puede superar el Total Ambos Sexos. </v>
      </c>
      <c r="CE22" s="4174" t="str">
        <f t="shared" si="9"/>
        <v xml:space="preserve"> * La variable No revelado no puede superar el Total Ambos Sexos. </v>
      </c>
      <c r="CF22" s="4174" t="str">
        <f t="shared" si="10"/>
        <v xml:space="preserve"> * La variable Pueblos Originarios no puede superar el Total Ambos Sexos. </v>
      </c>
      <c r="CG22" s="4174" t="str">
        <f t="shared" si="11"/>
        <v xml:space="preserve"> * La variable Migrantes no puede superar el Total Ambos Sexos. </v>
      </c>
      <c r="CH22" s="4174" t="str">
        <f t="shared" si="12"/>
        <v xml:space="preserve"> * La variable PRAIS no puede superar el Total Ambos Sexos. </v>
      </c>
      <c r="CI22" s="4174" t="str">
        <f t="shared" si="13"/>
        <v xml:space="preserve"> * La variable N° DE ATENCIONES EN EL MES (Ley Mila) no puede superar el Total Ambos Sexos. </v>
      </c>
      <c r="CJ22" s="4174" t="str">
        <f t="shared" si="14"/>
        <v xml:space="preserve"> * La variable N° DE ATENCIONES EN EL MES (Ley Mila) no puede superar el Total Mujeres. </v>
      </c>
      <c r="CN22" s="434">
        <f t="shared" si="4"/>
        <v>1</v>
      </c>
      <c r="CO22" s="434">
        <f t="shared" si="5"/>
        <v>1</v>
      </c>
      <c r="CP22" s="434">
        <f t="shared" si="15"/>
        <v>1</v>
      </c>
      <c r="CQ22" s="434">
        <f t="shared" si="16"/>
        <v>1</v>
      </c>
      <c r="CR22" s="434">
        <f t="shared" si="17"/>
        <v>1</v>
      </c>
      <c r="CS22" s="434">
        <f t="shared" si="18"/>
        <v>1</v>
      </c>
      <c r="CT22" s="434">
        <f t="shared" si="19"/>
        <v>1</v>
      </c>
      <c r="CU22" s="1867">
        <f t="shared" si="20"/>
        <v>1</v>
      </c>
      <c r="CV22" s="1867">
        <f t="shared" si="21"/>
        <v>1</v>
      </c>
    </row>
    <row r="23" spans="1:100" x14ac:dyDescent="0.25">
      <c r="A23" s="5825">
        <v>19201047</v>
      </c>
      <c r="B23" s="318" t="s">
        <v>2201</v>
      </c>
      <c r="C23" s="4175" t="s">
        <v>4567</v>
      </c>
      <c r="D23" s="3913" t="s">
        <v>4568</v>
      </c>
      <c r="E23" s="1969" t="s">
        <v>4569</v>
      </c>
      <c r="F23" s="3913" t="s">
        <v>4570</v>
      </c>
      <c r="G23" s="1969" t="s">
        <v>4571</v>
      </c>
      <c r="H23" s="329" t="s">
        <v>4572</v>
      </c>
      <c r="I23" s="1939" t="s">
        <v>4573</v>
      </c>
      <c r="J23" s="331" t="s">
        <v>4574</v>
      </c>
      <c r="K23" s="3903" t="s">
        <v>4575</v>
      </c>
      <c r="L23" s="329" t="s">
        <v>4576</v>
      </c>
      <c r="M23" s="3913" t="s">
        <v>4577</v>
      </c>
      <c r="N23" s="1939" t="s">
        <v>4578</v>
      </c>
      <c r="O23" s="1939" t="s">
        <v>4579</v>
      </c>
      <c r="P23" s="1939" t="s">
        <v>4580</v>
      </c>
      <c r="Q23" s="329" t="s">
        <v>4581</v>
      </c>
      <c r="R23" s="3913" t="s">
        <v>4582</v>
      </c>
      <c r="S23" s="329" t="s">
        <v>4583</v>
      </c>
      <c r="T23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3" s="4174" t="str">
        <f t="shared" si="2"/>
        <v xml:space="preserve"> * El Número de TRANS Masculino no puede superar el Total Mujeres. </v>
      </c>
      <c r="CC23" s="4174" t="str">
        <f t="shared" si="3"/>
        <v xml:space="preserve"> * El Número de TRANS Femenino no puede superar el Total Hombres. </v>
      </c>
      <c r="CD23" s="4174" t="str">
        <f t="shared" si="8"/>
        <v xml:space="preserve"> * La variable No Binarie no puede superar el Total Ambos Sexos. </v>
      </c>
      <c r="CE23" s="4174" t="str">
        <f t="shared" si="9"/>
        <v xml:space="preserve"> * La variable No revelado no puede superar el Total Ambos Sexos. </v>
      </c>
      <c r="CF23" s="4174" t="str">
        <f t="shared" si="10"/>
        <v xml:space="preserve"> * La variable Pueblos Originarios no puede superar el Total Ambos Sexos. </v>
      </c>
      <c r="CG23" s="4174" t="str">
        <f t="shared" si="11"/>
        <v xml:space="preserve"> * La variable Migrantes no puede superar el Total Ambos Sexos. </v>
      </c>
      <c r="CH23" s="4174" t="str">
        <f t="shared" si="12"/>
        <v xml:space="preserve"> * La variable PRAIS no puede superar el Total Ambos Sexos. </v>
      </c>
      <c r="CI23" s="4174" t="str">
        <f t="shared" si="13"/>
        <v xml:space="preserve"> * La variable N° DE ATENCIONES EN EL MES (Ley Mila) no puede superar el Total Ambos Sexos. </v>
      </c>
      <c r="CJ23" s="4174" t="str">
        <f t="shared" si="14"/>
        <v xml:space="preserve"> * La variable N° DE ATENCIONES EN EL MES (Ley Mila) no puede superar el Total Mujeres. </v>
      </c>
      <c r="CN23" s="434">
        <f t="shared" si="4"/>
        <v>1</v>
      </c>
      <c r="CO23" s="434">
        <f t="shared" si="5"/>
        <v>1</v>
      </c>
      <c r="CP23" s="434">
        <f t="shared" si="15"/>
        <v>1</v>
      </c>
      <c r="CQ23" s="434">
        <f t="shared" si="16"/>
        <v>1</v>
      </c>
      <c r="CR23" s="434">
        <f t="shared" si="17"/>
        <v>1</v>
      </c>
      <c r="CS23" s="434">
        <f t="shared" si="18"/>
        <v>1</v>
      </c>
      <c r="CT23" s="434">
        <f t="shared" si="19"/>
        <v>1</v>
      </c>
      <c r="CU23" s="1867">
        <f t="shared" si="20"/>
        <v>1</v>
      </c>
      <c r="CV23" s="1867">
        <f t="shared" si="21"/>
        <v>1</v>
      </c>
    </row>
    <row r="24" spans="1:100" ht="21" x14ac:dyDescent="0.25">
      <c r="A24" s="5825">
        <v>19201048</v>
      </c>
      <c r="B24" s="318" t="s">
        <v>2202</v>
      </c>
      <c r="C24" s="4175" t="s">
        <v>4567</v>
      </c>
      <c r="D24" s="3913" t="s">
        <v>4568</v>
      </c>
      <c r="E24" s="1969" t="s">
        <v>4569</v>
      </c>
      <c r="F24" s="3913" t="s">
        <v>4570</v>
      </c>
      <c r="G24" s="329" t="s">
        <v>4571</v>
      </c>
      <c r="H24" s="329" t="s">
        <v>4572</v>
      </c>
      <c r="I24" s="3904" t="s">
        <v>4573</v>
      </c>
      <c r="J24" s="3943" t="s">
        <v>4574</v>
      </c>
      <c r="K24" s="3903" t="s">
        <v>4575</v>
      </c>
      <c r="L24" s="329" t="s">
        <v>4576</v>
      </c>
      <c r="M24" s="3913" t="s">
        <v>4577</v>
      </c>
      <c r="N24" s="1939" t="s">
        <v>4578</v>
      </c>
      <c r="O24" s="1939" t="s">
        <v>4579</v>
      </c>
      <c r="P24" s="1939" t="s">
        <v>4580</v>
      </c>
      <c r="Q24" s="329" t="s">
        <v>4581</v>
      </c>
      <c r="R24" s="3913" t="s">
        <v>4582</v>
      </c>
      <c r="S24" s="329" t="s">
        <v>4583</v>
      </c>
      <c r="T2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4" s="4174" t="str">
        <f t="shared" si="2"/>
        <v xml:space="preserve"> * El Número de TRANS Masculino no puede superar el Total Mujeres. </v>
      </c>
      <c r="CC24" s="4174" t="str">
        <f t="shared" si="3"/>
        <v xml:space="preserve"> * El Número de TRANS Femenino no puede superar el Total Hombres. </v>
      </c>
      <c r="CD24" s="4174" t="str">
        <f t="shared" si="8"/>
        <v xml:space="preserve"> * La variable No Binarie no puede superar el Total Ambos Sexos. </v>
      </c>
      <c r="CE24" s="4174" t="str">
        <f t="shared" si="9"/>
        <v xml:space="preserve"> * La variable No revelado no puede superar el Total Ambos Sexos. </v>
      </c>
      <c r="CF24" s="4174" t="str">
        <f t="shared" si="10"/>
        <v xml:space="preserve"> * La variable Pueblos Originarios no puede superar el Total Ambos Sexos. </v>
      </c>
      <c r="CG24" s="4174" t="str">
        <f t="shared" si="11"/>
        <v xml:space="preserve"> * La variable Migrantes no puede superar el Total Ambos Sexos. </v>
      </c>
      <c r="CH24" s="4174" t="str">
        <f t="shared" si="12"/>
        <v xml:space="preserve"> * La variable PRAIS no puede superar el Total Ambos Sexos. </v>
      </c>
      <c r="CI24" s="4174" t="str">
        <f t="shared" si="13"/>
        <v xml:space="preserve"> * La variable N° DE ATENCIONES EN EL MES (Ley Mila) no puede superar el Total Ambos Sexos. </v>
      </c>
      <c r="CJ24" s="4174" t="str">
        <f t="shared" si="14"/>
        <v xml:space="preserve"> * La variable N° DE ATENCIONES EN EL MES (Ley Mila) no puede superar el Total Mujeres. </v>
      </c>
      <c r="CN24" s="434">
        <f t="shared" si="4"/>
        <v>1</v>
      </c>
      <c r="CO24" s="434">
        <f t="shared" si="5"/>
        <v>1</v>
      </c>
      <c r="CP24" s="434">
        <f t="shared" si="15"/>
        <v>1</v>
      </c>
      <c r="CQ24" s="434">
        <f t="shared" si="16"/>
        <v>1</v>
      </c>
      <c r="CR24" s="434">
        <f t="shared" si="17"/>
        <v>1</v>
      </c>
      <c r="CS24" s="434">
        <f t="shared" si="18"/>
        <v>1</v>
      </c>
      <c r="CT24" s="434">
        <f t="shared" si="19"/>
        <v>1</v>
      </c>
      <c r="CU24" s="1867">
        <f t="shared" si="20"/>
        <v>1</v>
      </c>
      <c r="CV24" s="1867">
        <f t="shared" si="21"/>
        <v>1</v>
      </c>
    </row>
    <row r="25" spans="1:100" x14ac:dyDescent="0.25">
      <c r="A25" s="5825">
        <v>19201049</v>
      </c>
      <c r="B25" s="523" t="s">
        <v>2203</v>
      </c>
      <c r="C25" s="4157" t="s">
        <v>4567</v>
      </c>
      <c r="D25" s="853" t="s">
        <v>4568</v>
      </c>
      <c r="E25" s="1975" t="s">
        <v>4569</v>
      </c>
      <c r="F25" s="853" t="s">
        <v>4570</v>
      </c>
      <c r="G25" s="854" t="s">
        <v>4571</v>
      </c>
      <c r="H25" s="854" t="s">
        <v>4572</v>
      </c>
      <c r="I25" s="1877" t="s">
        <v>4573</v>
      </c>
      <c r="J25" s="1878" t="s">
        <v>4574</v>
      </c>
      <c r="K25" s="1879" t="s">
        <v>4575</v>
      </c>
      <c r="L25" s="854" t="s">
        <v>4576</v>
      </c>
      <c r="M25" s="853" t="s">
        <v>4577</v>
      </c>
      <c r="N25" s="1873" t="s">
        <v>4578</v>
      </c>
      <c r="O25" s="1873" t="s">
        <v>4579</v>
      </c>
      <c r="P25" s="1873" t="s">
        <v>4580</v>
      </c>
      <c r="Q25" s="854" t="s">
        <v>4581</v>
      </c>
      <c r="R25" s="853" t="s">
        <v>4582</v>
      </c>
      <c r="S25" s="854" t="s">
        <v>4583</v>
      </c>
      <c r="T2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5" s="4174" t="str">
        <f t="shared" si="2"/>
        <v xml:space="preserve"> * El Número de TRANS Masculino no puede superar el Total Mujeres. </v>
      </c>
      <c r="CC25" s="4174" t="str">
        <f t="shared" si="3"/>
        <v xml:space="preserve"> * El Número de TRANS Femenino no puede superar el Total Hombres. </v>
      </c>
      <c r="CD25" s="4174" t="str">
        <f t="shared" si="8"/>
        <v xml:space="preserve"> * La variable No Binarie no puede superar el Total Ambos Sexos. </v>
      </c>
      <c r="CE25" s="4174" t="str">
        <f t="shared" si="9"/>
        <v xml:space="preserve"> * La variable No revelado no puede superar el Total Ambos Sexos. </v>
      </c>
      <c r="CF25" s="4174" t="str">
        <f t="shared" si="10"/>
        <v xml:space="preserve"> * La variable Pueblos Originarios no puede superar el Total Ambos Sexos. </v>
      </c>
      <c r="CG25" s="4174" t="str">
        <f t="shared" si="11"/>
        <v xml:space="preserve"> * La variable Migrantes no puede superar el Total Ambos Sexos. </v>
      </c>
      <c r="CH25" s="4174" t="str">
        <f t="shared" si="12"/>
        <v xml:space="preserve"> * La variable PRAIS no puede superar el Total Ambos Sexos. </v>
      </c>
      <c r="CI25" s="4174" t="str">
        <f t="shared" si="13"/>
        <v xml:space="preserve"> * La variable N° DE ATENCIONES EN EL MES (Ley Mila) no puede superar el Total Ambos Sexos. </v>
      </c>
      <c r="CJ25" s="4174" t="str">
        <f t="shared" si="14"/>
        <v xml:space="preserve"> * La variable N° DE ATENCIONES EN EL MES (Ley Mila) no puede superar el Total Mujeres. </v>
      </c>
      <c r="CN25" s="434">
        <f t="shared" si="4"/>
        <v>1</v>
      </c>
      <c r="CO25" s="434">
        <f t="shared" si="5"/>
        <v>1</v>
      </c>
      <c r="CP25" s="434">
        <f t="shared" si="15"/>
        <v>1</v>
      </c>
      <c r="CQ25" s="434">
        <f t="shared" si="16"/>
        <v>1</v>
      </c>
      <c r="CR25" s="434">
        <f t="shared" si="17"/>
        <v>1</v>
      </c>
      <c r="CS25" s="434">
        <f t="shared" si="18"/>
        <v>1</v>
      </c>
      <c r="CT25" s="434">
        <f t="shared" si="19"/>
        <v>1</v>
      </c>
      <c r="CU25" s="1867">
        <f t="shared" si="20"/>
        <v>1</v>
      </c>
      <c r="CV25" s="1867">
        <f t="shared" si="21"/>
        <v>1</v>
      </c>
    </row>
    <row r="26" spans="1:100" ht="15" customHeight="1" x14ac:dyDescent="0.25">
      <c r="A26" s="5846">
        <v>19180700</v>
      </c>
      <c r="B26" s="2206" t="s">
        <v>2204</v>
      </c>
      <c r="C26" s="4173" t="s">
        <v>4567</v>
      </c>
      <c r="D26" s="326" t="s">
        <v>4568</v>
      </c>
      <c r="E26" s="142" t="s">
        <v>4569</v>
      </c>
      <c r="F26" s="326" t="s">
        <v>4570</v>
      </c>
      <c r="G26" s="142" t="s">
        <v>4571</v>
      </c>
      <c r="H26" s="2036" t="s">
        <v>4572</v>
      </c>
      <c r="I26" s="44" t="s">
        <v>4573</v>
      </c>
      <c r="J26" s="1884" t="s">
        <v>4574</v>
      </c>
      <c r="K26" s="336" t="s">
        <v>4575</v>
      </c>
      <c r="L26" s="142" t="s">
        <v>4576</v>
      </c>
      <c r="M26" s="326" t="s">
        <v>4577</v>
      </c>
      <c r="N26" s="1014" t="s">
        <v>4578</v>
      </c>
      <c r="O26" s="1014" t="s">
        <v>4579</v>
      </c>
      <c r="P26" s="1014" t="s">
        <v>4580</v>
      </c>
      <c r="Q26" s="142" t="s">
        <v>4581</v>
      </c>
      <c r="R26" s="326" t="s">
        <v>4582</v>
      </c>
      <c r="S26" s="142" t="s">
        <v>4583</v>
      </c>
      <c r="T2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6" s="4174" t="str">
        <f t="shared" si="2"/>
        <v xml:space="preserve"> * El Número de TRANS Masculino no puede superar el Total Mujeres. </v>
      </c>
      <c r="CC26" s="4174" t="str">
        <f t="shared" si="3"/>
        <v xml:space="preserve"> * El Número de TRANS Femenino no puede superar el Total Hombres. </v>
      </c>
      <c r="CD26" s="4174" t="str">
        <f t="shared" si="8"/>
        <v xml:space="preserve"> * La variable No Binarie no puede superar el Total Ambos Sexos. </v>
      </c>
      <c r="CE26" s="4174" t="str">
        <f t="shared" si="9"/>
        <v xml:space="preserve"> * La variable No revelado no puede superar el Total Ambos Sexos. </v>
      </c>
      <c r="CF26" s="4174" t="str">
        <f t="shared" si="10"/>
        <v xml:space="preserve"> * La variable Pueblos Originarios no puede superar el Total Ambos Sexos. </v>
      </c>
      <c r="CG26" s="4174" t="str">
        <f t="shared" si="11"/>
        <v xml:space="preserve"> * La variable Migrantes no puede superar el Total Ambos Sexos. </v>
      </c>
      <c r="CH26" s="4174" t="str">
        <f t="shared" si="12"/>
        <v xml:space="preserve"> * La variable PRAIS no puede superar el Total Ambos Sexos. </v>
      </c>
      <c r="CI26" s="4174" t="str">
        <f t="shared" si="13"/>
        <v xml:space="preserve"> * La variable N° DE ATENCIONES EN EL MES (Ley Mila) no puede superar el Total Ambos Sexos. </v>
      </c>
      <c r="CJ26" s="4174" t="str">
        <f t="shared" si="14"/>
        <v xml:space="preserve"> * La variable N° DE ATENCIONES EN EL MES (Ley Mila) no puede superar el Total Mujeres. </v>
      </c>
      <c r="CN26" s="434">
        <f t="shared" si="4"/>
        <v>1</v>
      </c>
      <c r="CO26" s="434">
        <f t="shared" si="5"/>
        <v>1</v>
      </c>
      <c r="CP26" s="434">
        <f t="shared" si="15"/>
        <v>1</v>
      </c>
      <c r="CQ26" s="434">
        <f t="shared" si="16"/>
        <v>1</v>
      </c>
      <c r="CR26" s="434">
        <f t="shared" si="17"/>
        <v>1</v>
      </c>
      <c r="CS26" s="434">
        <f t="shared" si="18"/>
        <v>1</v>
      </c>
      <c r="CT26" s="434">
        <f t="shared" si="19"/>
        <v>1</v>
      </c>
      <c r="CU26" s="1867">
        <f t="shared" si="20"/>
        <v>1</v>
      </c>
      <c r="CV26" s="1867">
        <f t="shared" si="21"/>
        <v>1</v>
      </c>
    </row>
    <row r="27" spans="1:100" ht="21" x14ac:dyDescent="0.25">
      <c r="A27" s="5846">
        <v>19182070</v>
      </c>
      <c r="B27" s="3874" t="s">
        <v>2205</v>
      </c>
      <c r="C27" s="4175" t="s">
        <v>4567</v>
      </c>
      <c r="D27" s="3913" t="s">
        <v>4568</v>
      </c>
      <c r="E27" s="329" t="s">
        <v>4569</v>
      </c>
      <c r="F27" s="3913" t="s">
        <v>4570</v>
      </c>
      <c r="G27" s="329" t="s">
        <v>4571</v>
      </c>
      <c r="H27" s="3968" t="s">
        <v>4572</v>
      </c>
      <c r="I27" s="3904" t="s">
        <v>4573</v>
      </c>
      <c r="J27" s="3943" t="s">
        <v>4574</v>
      </c>
      <c r="K27" s="3903" t="s">
        <v>4575</v>
      </c>
      <c r="L27" s="329" t="s">
        <v>4576</v>
      </c>
      <c r="M27" s="3913" t="s">
        <v>4577</v>
      </c>
      <c r="N27" s="1939" t="s">
        <v>4578</v>
      </c>
      <c r="O27" s="1939" t="s">
        <v>4579</v>
      </c>
      <c r="P27" s="1939" t="s">
        <v>4580</v>
      </c>
      <c r="Q27" s="329" t="s">
        <v>4581</v>
      </c>
      <c r="R27" s="3913" t="s">
        <v>4582</v>
      </c>
      <c r="S27" s="329" t="s">
        <v>4583</v>
      </c>
      <c r="T27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7" s="4174" t="str">
        <f t="shared" si="2"/>
        <v xml:space="preserve"> * El Número de TRANS Masculino no puede superar el Total Mujeres. </v>
      </c>
      <c r="CC27" s="4174" t="str">
        <f t="shared" si="3"/>
        <v xml:space="preserve"> * El Número de TRANS Femenino no puede superar el Total Hombres. </v>
      </c>
      <c r="CD27" s="4174" t="str">
        <f t="shared" si="8"/>
        <v xml:space="preserve"> * La variable No Binarie no puede superar el Total Ambos Sexos. </v>
      </c>
      <c r="CE27" s="4174" t="str">
        <f t="shared" si="9"/>
        <v xml:space="preserve"> * La variable No revelado no puede superar el Total Ambos Sexos. </v>
      </c>
      <c r="CF27" s="4174" t="str">
        <f t="shared" si="10"/>
        <v xml:space="preserve"> * La variable Pueblos Originarios no puede superar el Total Ambos Sexos. </v>
      </c>
      <c r="CG27" s="4174" t="str">
        <f t="shared" si="11"/>
        <v xml:space="preserve"> * La variable Migrantes no puede superar el Total Ambos Sexos. </v>
      </c>
      <c r="CH27" s="4174" t="str">
        <f t="shared" si="12"/>
        <v xml:space="preserve"> * La variable PRAIS no puede superar el Total Ambos Sexos. </v>
      </c>
      <c r="CI27" s="4174" t="str">
        <f t="shared" si="13"/>
        <v xml:space="preserve"> * La variable N° DE ATENCIONES EN EL MES (Ley Mila) no puede superar el Total Ambos Sexos. </v>
      </c>
      <c r="CJ27" s="4174" t="str">
        <f t="shared" si="14"/>
        <v xml:space="preserve"> * La variable N° DE ATENCIONES EN EL MES (Ley Mila) no puede superar el Total Mujeres. </v>
      </c>
      <c r="CN27" s="434">
        <f t="shared" si="4"/>
        <v>1</v>
      </c>
      <c r="CO27" s="434">
        <f t="shared" si="5"/>
        <v>1</v>
      </c>
      <c r="CP27" s="434">
        <f t="shared" si="15"/>
        <v>1</v>
      </c>
      <c r="CQ27" s="434">
        <f t="shared" si="16"/>
        <v>1</v>
      </c>
      <c r="CR27" s="434">
        <f t="shared" si="17"/>
        <v>1</v>
      </c>
      <c r="CS27" s="434">
        <f t="shared" si="18"/>
        <v>1</v>
      </c>
      <c r="CT27" s="434">
        <f t="shared" si="19"/>
        <v>1</v>
      </c>
      <c r="CU27" s="1867">
        <f t="shared" si="20"/>
        <v>1</v>
      </c>
      <c r="CV27" s="1867">
        <f t="shared" si="21"/>
        <v>1</v>
      </c>
    </row>
    <row r="28" spans="1:100" x14ac:dyDescent="0.25">
      <c r="A28" s="5846">
        <v>19191010</v>
      </c>
      <c r="B28" s="3874" t="s">
        <v>2206</v>
      </c>
      <c r="C28" s="4175" t="s">
        <v>4567</v>
      </c>
      <c r="D28" s="3913" t="s">
        <v>4568</v>
      </c>
      <c r="E28" s="329" t="s">
        <v>4569</v>
      </c>
      <c r="F28" s="3913" t="s">
        <v>4570</v>
      </c>
      <c r="G28" s="329" t="s">
        <v>4571</v>
      </c>
      <c r="H28" s="3968" t="s">
        <v>4572</v>
      </c>
      <c r="I28" s="3904" t="s">
        <v>4573</v>
      </c>
      <c r="J28" s="3943" t="s">
        <v>4574</v>
      </c>
      <c r="K28" s="3903" t="s">
        <v>4575</v>
      </c>
      <c r="L28" s="329" t="s">
        <v>4576</v>
      </c>
      <c r="M28" s="3913" t="s">
        <v>4577</v>
      </c>
      <c r="N28" s="1939" t="s">
        <v>4578</v>
      </c>
      <c r="O28" s="1939" t="s">
        <v>4579</v>
      </c>
      <c r="P28" s="1939" t="s">
        <v>4580</v>
      </c>
      <c r="Q28" s="329" t="s">
        <v>4581</v>
      </c>
      <c r="R28" s="3913" t="s">
        <v>4582</v>
      </c>
      <c r="S28" s="329" t="s">
        <v>4583</v>
      </c>
      <c r="T28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8" s="4174" t="str">
        <f t="shared" si="2"/>
        <v xml:space="preserve"> * El Número de TRANS Masculino no puede superar el Total Mujeres. </v>
      </c>
      <c r="CC28" s="4174" t="str">
        <f t="shared" si="3"/>
        <v xml:space="preserve"> * El Número de TRANS Femenino no puede superar el Total Hombres. </v>
      </c>
      <c r="CD28" s="4174" t="str">
        <f t="shared" si="8"/>
        <v xml:space="preserve"> * La variable No Binarie no puede superar el Total Ambos Sexos. </v>
      </c>
      <c r="CE28" s="4174" t="str">
        <f t="shared" si="9"/>
        <v xml:space="preserve"> * La variable No revelado no puede superar el Total Ambos Sexos. </v>
      </c>
      <c r="CF28" s="4174" t="str">
        <f t="shared" si="10"/>
        <v xml:space="preserve"> * La variable Pueblos Originarios no puede superar el Total Ambos Sexos. </v>
      </c>
      <c r="CG28" s="4174" t="str">
        <f t="shared" si="11"/>
        <v xml:space="preserve"> * La variable Migrantes no puede superar el Total Ambos Sexos. </v>
      </c>
      <c r="CH28" s="4174" t="str">
        <f t="shared" si="12"/>
        <v xml:space="preserve"> * La variable PRAIS no puede superar el Total Ambos Sexos. </v>
      </c>
      <c r="CI28" s="4174" t="str">
        <f t="shared" si="13"/>
        <v xml:space="preserve"> * La variable N° DE ATENCIONES EN EL MES (Ley Mila) no puede superar el Total Ambos Sexos. </v>
      </c>
      <c r="CJ28" s="4174" t="str">
        <f t="shared" si="14"/>
        <v xml:space="preserve"> * La variable N° DE ATENCIONES EN EL MES (Ley Mila) no puede superar el Total Mujeres. </v>
      </c>
      <c r="CN28" s="434">
        <f t="shared" si="4"/>
        <v>1</v>
      </c>
      <c r="CO28" s="434">
        <f t="shared" si="5"/>
        <v>1</v>
      </c>
      <c r="CP28" s="434">
        <f t="shared" si="15"/>
        <v>1</v>
      </c>
      <c r="CQ28" s="434">
        <f t="shared" si="16"/>
        <v>1</v>
      </c>
      <c r="CR28" s="434">
        <f t="shared" si="17"/>
        <v>1</v>
      </c>
      <c r="CS28" s="434">
        <f t="shared" si="18"/>
        <v>1</v>
      </c>
      <c r="CT28" s="434">
        <f t="shared" si="19"/>
        <v>1</v>
      </c>
      <c r="CU28" s="1867">
        <f t="shared" si="20"/>
        <v>1</v>
      </c>
      <c r="CV28" s="1867">
        <f t="shared" si="21"/>
        <v>1</v>
      </c>
    </row>
    <row r="29" spans="1:100" x14ac:dyDescent="0.25">
      <c r="A29" s="5846">
        <v>19191020</v>
      </c>
      <c r="B29" s="2885" t="s">
        <v>2207</v>
      </c>
      <c r="C29" s="4157" t="s">
        <v>4567</v>
      </c>
      <c r="D29" s="853" t="s">
        <v>4568</v>
      </c>
      <c r="E29" s="854" t="s">
        <v>4569</v>
      </c>
      <c r="F29" s="853" t="s">
        <v>4570</v>
      </c>
      <c r="G29" s="854" t="s">
        <v>4571</v>
      </c>
      <c r="H29" s="854" t="s">
        <v>4572</v>
      </c>
      <c r="I29" s="1877" t="s">
        <v>4573</v>
      </c>
      <c r="J29" s="1878" t="s">
        <v>4574</v>
      </c>
      <c r="K29" s="1879" t="s">
        <v>4575</v>
      </c>
      <c r="L29" s="854" t="s">
        <v>4576</v>
      </c>
      <c r="M29" s="853" t="s">
        <v>4577</v>
      </c>
      <c r="N29" s="1873" t="s">
        <v>4578</v>
      </c>
      <c r="O29" s="1873" t="s">
        <v>4579</v>
      </c>
      <c r="P29" s="1873" t="s">
        <v>4580</v>
      </c>
      <c r="Q29" s="854" t="s">
        <v>4581</v>
      </c>
      <c r="R29" s="853" t="s">
        <v>4582</v>
      </c>
      <c r="S29" s="854" t="s">
        <v>4583</v>
      </c>
      <c r="T29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9" s="4174" t="str">
        <f t="shared" si="2"/>
        <v xml:space="preserve"> * El Número de TRANS Masculino no puede superar el Total Mujeres. </v>
      </c>
      <c r="CC29" s="4174" t="str">
        <f t="shared" si="3"/>
        <v xml:space="preserve"> * El Número de TRANS Femenino no puede superar el Total Hombres. </v>
      </c>
      <c r="CD29" s="4174" t="str">
        <f t="shared" si="8"/>
        <v xml:space="preserve"> * La variable No Binarie no puede superar el Total Ambos Sexos. </v>
      </c>
      <c r="CE29" s="4174" t="str">
        <f t="shared" si="9"/>
        <v xml:space="preserve"> * La variable No revelado no puede superar el Total Ambos Sexos. </v>
      </c>
      <c r="CF29" s="4174" t="str">
        <f t="shared" si="10"/>
        <v xml:space="preserve"> * La variable Pueblos Originarios no puede superar el Total Ambos Sexos. </v>
      </c>
      <c r="CG29" s="4174" t="str">
        <f t="shared" si="11"/>
        <v xml:space="preserve"> * La variable Migrantes no puede superar el Total Ambos Sexos. </v>
      </c>
      <c r="CH29" s="4174" t="str">
        <f t="shared" si="12"/>
        <v xml:space="preserve"> * La variable PRAIS no puede superar el Total Ambos Sexos. </v>
      </c>
      <c r="CI29" s="4174" t="str">
        <f t="shared" si="13"/>
        <v xml:space="preserve"> * La variable N° DE ATENCIONES EN EL MES (Ley Mila) no puede superar el Total Ambos Sexos. </v>
      </c>
      <c r="CJ29" s="4174" t="str">
        <f t="shared" si="14"/>
        <v xml:space="preserve"> * La variable N° DE ATENCIONES EN EL MES (Ley Mila) no puede superar el Total Mujeres. </v>
      </c>
      <c r="CN29" s="434">
        <f t="shared" si="4"/>
        <v>1</v>
      </c>
      <c r="CO29" s="434">
        <f t="shared" si="5"/>
        <v>1</v>
      </c>
      <c r="CP29" s="434">
        <f t="shared" si="15"/>
        <v>1</v>
      </c>
      <c r="CQ29" s="434">
        <f t="shared" si="16"/>
        <v>1</v>
      </c>
      <c r="CR29" s="434">
        <f t="shared" si="17"/>
        <v>1</v>
      </c>
      <c r="CS29" s="434">
        <f t="shared" si="18"/>
        <v>1</v>
      </c>
      <c r="CT29" s="434">
        <f t="shared" si="19"/>
        <v>1</v>
      </c>
      <c r="CU29" s="1867">
        <f t="shared" si="20"/>
        <v>1</v>
      </c>
      <c r="CV29" s="1867">
        <f t="shared" si="21"/>
        <v>1</v>
      </c>
    </row>
    <row r="30" spans="1:100" x14ac:dyDescent="0.25">
      <c r="A30" s="5825">
        <v>19201050</v>
      </c>
      <c r="B30" s="318" t="s">
        <v>2208</v>
      </c>
      <c r="C30" s="4173" t="s">
        <v>4567</v>
      </c>
      <c r="D30" s="326" t="s">
        <v>4568</v>
      </c>
      <c r="E30" s="142" t="s">
        <v>4569</v>
      </c>
      <c r="F30" s="326" t="s">
        <v>4570</v>
      </c>
      <c r="G30" s="142" t="s">
        <v>4571</v>
      </c>
      <c r="H30" s="142" t="s">
        <v>4572</v>
      </c>
      <c r="I30" s="44" t="s">
        <v>4573</v>
      </c>
      <c r="J30" s="1884" t="s">
        <v>4574</v>
      </c>
      <c r="K30" s="336" t="s">
        <v>4575</v>
      </c>
      <c r="L30" s="142" t="s">
        <v>4576</v>
      </c>
      <c r="M30" s="326" t="s">
        <v>4577</v>
      </c>
      <c r="N30" s="1014" t="s">
        <v>4578</v>
      </c>
      <c r="O30" s="1014" t="s">
        <v>4579</v>
      </c>
      <c r="P30" s="1014" t="s">
        <v>4580</v>
      </c>
      <c r="Q30" s="142" t="s">
        <v>4581</v>
      </c>
      <c r="R30" s="326" t="s">
        <v>4582</v>
      </c>
      <c r="S30" s="142" t="s">
        <v>4583</v>
      </c>
      <c r="T30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0" s="4174" t="str">
        <f t="shared" si="2"/>
        <v xml:space="preserve"> * El Número de TRANS Masculino no puede superar el Total Mujeres. </v>
      </c>
      <c r="CC30" s="4174" t="str">
        <f t="shared" si="3"/>
        <v xml:space="preserve"> * El Número de TRANS Femenino no puede superar el Total Hombres. </v>
      </c>
      <c r="CD30" s="4174" t="str">
        <f t="shared" si="8"/>
        <v xml:space="preserve"> * La variable No Binarie no puede superar el Total Ambos Sexos. </v>
      </c>
      <c r="CE30" s="4174" t="str">
        <f t="shared" si="9"/>
        <v xml:space="preserve"> * La variable No revelado no puede superar el Total Ambos Sexos. </v>
      </c>
      <c r="CF30" s="4174" t="str">
        <f t="shared" si="10"/>
        <v xml:space="preserve"> * La variable Pueblos Originarios no puede superar el Total Ambos Sexos. </v>
      </c>
      <c r="CG30" s="4174" t="str">
        <f t="shared" si="11"/>
        <v xml:space="preserve"> * La variable Migrantes no puede superar el Total Ambos Sexos. </v>
      </c>
      <c r="CH30" s="4174" t="str">
        <f t="shared" si="12"/>
        <v xml:space="preserve"> * La variable PRAIS no puede superar el Total Ambos Sexos. </v>
      </c>
      <c r="CI30" s="4174" t="str">
        <f t="shared" si="13"/>
        <v xml:space="preserve"> * La variable N° DE ATENCIONES EN EL MES (Ley Mila) no puede superar el Total Ambos Sexos. </v>
      </c>
      <c r="CJ30" s="4174" t="str">
        <f t="shared" si="14"/>
        <v xml:space="preserve"> * La variable N° DE ATENCIONES EN EL MES (Ley Mila) no puede superar el Total Mujeres. </v>
      </c>
      <c r="CN30" s="434">
        <f t="shared" si="4"/>
        <v>1</v>
      </c>
      <c r="CO30" s="434">
        <f t="shared" si="5"/>
        <v>1</v>
      </c>
      <c r="CP30" s="434">
        <f t="shared" si="15"/>
        <v>1</v>
      </c>
      <c r="CQ30" s="434">
        <f t="shared" si="16"/>
        <v>1</v>
      </c>
      <c r="CR30" s="434">
        <f t="shared" si="17"/>
        <v>1</v>
      </c>
      <c r="CS30" s="434">
        <f t="shared" si="18"/>
        <v>1</v>
      </c>
      <c r="CT30" s="434">
        <f t="shared" si="19"/>
        <v>1</v>
      </c>
      <c r="CU30" s="1867">
        <f t="shared" si="20"/>
        <v>1</v>
      </c>
      <c r="CV30" s="1867">
        <f t="shared" si="21"/>
        <v>1</v>
      </c>
    </row>
    <row r="31" spans="1:100" x14ac:dyDescent="0.25">
      <c r="A31" s="5825">
        <v>19201051</v>
      </c>
      <c r="B31" s="318" t="s">
        <v>2209</v>
      </c>
      <c r="C31" s="4175" t="s">
        <v>4567</v>
      </c>
      <c r="D31" s="3913" t="s">
        <v>4568</v>
      </c>
      <c r="E31" s="329" t="s">
        <v>4569</v>
      </c>
      <c r="F31" s="3913" t="s">
        <v>4570</v>
      </c>
      <c r="G31" s="329" t="s">
        <v>4571</v>
      </c>
      <c r="H31" s="329" t="s">
        <v>4572</v>
      </c>
      <c r="I31" s="3904" t="s">
        <v>4573</v>
      </c>
      <c r="J31" s="3943" t="s">
        <v>4574</v>
      </c>
      <c r="K31" s="3903" t="s">
        <v>4575</v>
      </c>
      <c r="L31" s="329" t="s">
        <v>4576</v>
      </c>
      <c r="M31" s="3913" t="s">
        <v>4577</v>
      </c>
      <c r="N31" s="1939" t="s">
        <v>4578</v>
      </c>
      <c r="O31" s="1939" t="s">
        <v>4579</v>
      </c>
      <c r="P31" s="1939" t="s">
        <v>4580</v>
      </c>
      <c r="Q31" s="329" t="s">
        <v>4581</v>
      </c>
      <c r="R31" s="3913" t="s">
        <v>4582</v>
      </c>
      <c r="S31" s="329" t="s">
        <v>4583</v>
      </c>
      <c r="T31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1" s="4174" t="str">
        <f t="shared" si="2"/>
        <v xml:space="preserve"> * El Número de TRANS Masculino no puede superar el Total Mujeres. </v>
      </c>
      <c r="CC31" s="4174" t="str">
        <f t="shared" si="3"/>
        <v xml:space="preserve"> * El Número de TRANS Femenino no puede superar el Total Hombres. </v>
      </c>
      <c r="CD31" s="4174" t="str">
        <f t="shared" si="8"/>
        <v xml:space="preserve"> * La variable No Binarie no puede superar el Total Ambos Sexos. </v>
      </c>
      <c r="CE31" s="4174" t="str">
        <f t="shared" si="9"/>
        <v xml:space="preserve"> * La variable No revelado no puede superar el Total Ambos Sexos. </v>
      </c>
      <c r="CF31" s="4174" t="str">
        <f t="shared" si="10"/>
        <v xml:space="preserve"> * La variable Pueblos Originarios no puede superar el Total Ambos Sexos. </v>
      </c>
      <c r="CG31" s="4174" t="str">
        <f t="shared" si="11"/>
        <v xml:space="preserve"> * La variable Migrantes no puede superar el Total Ambos Sexos. </v>
      </c>
      <c r="CH31" s="4174" t="str">
        <f t="shared" si="12"/>
        <v xml:space="preserve"> * La variable PRAIS no puede superar el Total Ambos Sexos. </v>
      </c>
      <c r="CI31" s="4174" t="str">
        <f t="shared" si="13"/>
        <v xml:space="preserve"> * La variable N° DE ATENCIONES EN EL MES (Ley Mila) no puede superar el Total Ambos Sexos. </v>
      </c>
      <c r="CJ31" s="4174" t="str">
        <f t="shared" si="14"/>
        <v xml:space="preserve"> * La variable N° DE ATENCIONES EN EL MES (Ley Mila) no puede superar el Total Mujeres. </v>
      </c>
      <c r="CN31" s="434">
        <f t="shared" si="4"/>
        <v>1</v>
      </c>
      <c r="CO31" s="434">
        <f t="shared" si="5"/>
        <v>1</v>
      </c>
      <c r="CP31" s="434">
        <f t="shared" si="15"/>
        <v>1</v>
      </c>
      <c r="CQ31" s="434">
        <f t="shared" si="16"/>
        <v>1</v>
      </c>
      <c r="CR31" s="434">
        <f t="shared" si="17"/>
        <v>1</v>
      </c>
      <c r="CS31" s="434">
        <f t="shared" si="18"/>
        <v>1</v>
      </c>
      <c r="CT31" s="434">
        <f t="shared" si="19"/>
        <v>1</v>
      </c>
      <c r="CU31" s="1867">
        <f t="shared" si="20"/>
        <v>1</v>
      </c>
      <c r="CV31" s="1867">
        <f t="shared" si="21"/>
        <v>1</v>
      </c>
    </row>
    <row r="32" spans="1:100" x14ac:dyDescent="0.25">
      <c r="A32" s="5825">
        <v>19201052</v>
      </c>
      <c r="B32" s="318" t="s">
        <v>2210</v>
      </c>
      <c r="C32" s="4175" t="s">
        <v>4567</v>
      </c>
      <c r="D32" s="3913" t="s">
        <v>4568</v>
      </c>
      <c r="E32" s="329" t="s">
        <v>4569</v>
      </c>
      <c r="F32" s="3913" t="s">
        <v>4570</v>
      </c>
      <c r="G32" s="329" t="s">
        <v>4571</v>
      </c>
      <c r="H32" s="329" t="s">
        <v>4572</v>
      </c>
      <c r="I32" s="3904" t="s">
        <v>4573</v>
      </c>
      <c r="J32" s="331" t="s">
        <v>4574</v>
      </c>
      <c r="K32" s="3903" t="s">
        <v>4575</v>
      </c>
      <c r="L32" s="329" t="s">
        <v>4576</v>
      </c>
      <c r="M32" s="3913" t="s">
        <v>4577</v>
      </c>
      <c r="N32" s="1939" t="s">
        <v>4578</v>
      </c>
      <c r="O32" s="1939" t="s">
        <v>4579</v>
      </c>
      <c r="P32" s="1939" t="s">
        <v>4580</v>
      </c>
      <c r="Q32" s="329" t="s">
        <v>4581</v>
      </c>
      <c r="R32" s="3913" t="s">
        <v>4582</v>
      </c>
      <c r="S32" s="329" t="s">
        <v>4583</v>
      </c>
      <c r="T32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2" s="4174" t="str">
        <f t="shared" si="2"/>
        <v xml:space="preserve"> * El Número de TRANS Masculino no puede superar el Total Mujeres. </v>
      </c>
      <c r="CC32" s="4174" t="str">
        <f t="shared" si="3"/>
        <v xml:space="preserve"> * El Número de TRANS Femenino no puede superar el Total Hombres. </v>
      </c>
      <c r="CD32" s="4174" t="str">
        <f t="shared" si="8"/>
        <v xml:space="preserve"> * La variable No Binarie no puede superar el Total Ambos Sexos. </v>
      </c>
      <c r="CE32" s="4174" t="str">
        <f t="shared" si="9"/>
        <v xml:space="preserve"> * La variable No revelado no puede superar el Total Ambos Sexos. </v>
      </c>
      <c r="CF32" s="4174" t="str">
        <f t="shared" si="10"/>
        <v xml:space="preserve"> * La variable Pueblos Originarios no puede superar el Total Ambos Sexos. </v>
      </c>
      <c r="CG32" s="4174" t="str">
        <f t="shared" si="11"/>
        <v xml:space="preserve"> * La variable Migrantes no puede superar el Total Ambos Sexos. </v>
      </c>
      <c r="CH32" s="4174" t="str">
        <f t="shared" si="12"/>
        <v xml:space="preserve"> * La variable PRAIS no puede superar el Total Ambos Sexos. </v>
      </c>
      <c r="CI32" s="4174" t="str">
        <f t="shared" si="13"/>
        <v xml:space="preserve"> * La variable N° DE ATENCIONES EN EL MES (Ley Mila) no puede superar el Total Ambos Sexos. </v>
      </c>
      <c r="CJ32" s="4174" t="str">
        <f t="shared" si="14"/>
        <v xml:space="preserve"> * La variable N° DE ATENCIONES EN EL MES (Ley Mila) no puede superar el Total Mujeres. </v>
      </c>
      <c r="CN32" s="434">
        <f t="shared" si="4"/>
        <v>1</v>
      </c>
      <c r="CO32" s="434">
        <f t="shared" si="5"/>
        <v>1</v>
      </c>
      <c r="CP32" s="434">
        <f t="shared" si="15"/>
        <v>1</v>
      </c>
      <c r="CQ32" s="434">
        <f t="shared" si="16"/>
        <v>1</v>
      </c>
      <c r="CR32" s="434">
        <f t="shared" si="17"/>
        <v>1</v>
      </c>
      <c r="CS32" s="434">
        <f t="shared" si="18"/>
        <v>1</v>
      </c>
      <c r="CT32" s="434">
        <f t="shared" si="19"/>
        <v>1</v>
      </c>
      <c r="CU32" s="1867">
        <f t="shared" si="20"/>
        <v>1</v>
      </c>
      <c r="CV32" s="1867">
        <f t="shared" si="21"/>
        <v>1</v>
      </c>
    </row>
    <row r="33" spans="1:100" x14ac:dyDescent="0.25">
      <c r="A33" s="5825">
        <v>19201053</v>
      </c>
      <c r="B33" s="318" t="s">
        <v>2211</v>
      </c>
      <c r="C33" s="4175" t="s">
        <v>4567</v>
      </c>
      <c r="D33" s="3913" t="s">
        <v>4568</v>
      </c>
      <c r="E33" s="329" t="s">
        <v>4569</v>
      </c>
      <c r="F33" s="3913" t="s">
        <v>4570</v>
      </c>
      <c r="G33" s="329" t="s">
        <v>4571</v>
      </c>
      <c r="H33" s="329" t="s">
        <v>4572</v>
      </c>
      <c r="I33" s="3904" t="s">
        <v>4573</v>
      </c>
      <c r="J33" s="331" t="s">
        <v>4574</v>
      </c>
      <c r="K33" s="3903" t="s">
        <v>4575</v>
      </c>
      <c r="L33" s="329" t="s">
        <v>4576</v>
      </c>
      <c r="M33" s="3913" t="s">
        <v>4577</v>
      </c>
      <c r="N33" s="1939" t="s">
        <v>4578</v>
      </c>
      <c r="O33" s="1939" t="s">
        <v>4579</v>
      </c>
      <c r="P33" s="1939" t="s">
        <v>4580</v>
      </c>
      <c r="Q33" s="329" t="s">
        <v>4581</v>
      </c>
      <c r="R33" s="3913" t="s">
        <v>4582</v>
      </c>
      <c r="S33" s="329" t="s">
        <v>4583</v>
      </c>
      <c r="T33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3" s="4174" t="str">
        <f t="shared" si="2"/>
        <v xml:space="preserve"> * El Número de TRANS Masculino no puede superar el Total Mujeres. </v>
      </c>
      <c r="CC33" s="4174" t="str">
        <f t="shared" si="3"/>
        <v xml:space="preserve"> * El Número de TRANS Femenino no puede superar el Total Hombres. </v>
      </c>
      <c r="CD33" s="4174" t="str">
        <f t="shared" si="8"/>
        <v xml:space="preserve"> * La variable No Binarie no puede superar el Total Ambos Sexos. </v>
      </c>
      <c r="CE33" s="4174" t="str">
        <f t="shared" si="9"/>
        <v xml:space="preserve"> * La variable No revelado no puede superar el Total Ambos Sexos. </v>
      </c>
      <c r="CF33" s="4174" t="str">
        <f t="shared" si="10"/>
        <v xml:space="preserve"> * La variable Pueblos Originarios no puede superar el Total Ambos Sexos. </v>
      </c>
      <c r="CG33" s="4174" t="str">
        <f t="shared" si="11"/>
        <v xml:space="preserve"> * La variable Migrantes no puede superar el Total Ambos Sexos. </v>
      </c>
      <c r="CH33" s="4174" t="str">
        <f t="shared" si="12"/>
        <v xml:space="preserve"> * La variable PRAIS no puede superar el Total Ambos Sexos. </v>
      </c>
      <c r="CI33" s="4174" t="str">
        <f t="shared" si="13"/>
        <v xml:space="preserve"> * La variable N° DE ATENCIONES EN EL MES (Ley Mila) no puede superar el Total Ambos Sexos. </v>
      </c>
      <c r="CJ33" s="4174" t="str">
        <f t="shared" si="14"/>
        <v xml:space="preserve"> * La variable N° DE ATENCIONES EN EL MES (Ley Mila) no puede superar el Total Mujeres. </v>
      </c>
      <c r="CN33" s="434">
        <f t="shared" si="4"/>
        <v>1</v>
      </c>
      <c r="CO33" s="434">
        <f t="shared" si="5"/>
        <v>1</v>
      </c>
      <c r="CP33" s="434">
        <f t="shared" si="15"/>
        <v>1</v>
      </c>
      <c r="CQ33" s="434">
        <f t="shared" si="16"/>
        <v>1</v>
      </c>
      <c r="CR33" s="434">
        <f t="shared" si="17"/>
        <v>1</v>
      </c>
      <c r="CS33" s="434">
        <f t="shared" si="18"/>
        <v>1</v>
      </c>
      <c r="CT33" s="434">
        <f t="shared" si="19"/>
        <v>1</v>
      </c>
      <c r="CU33" s="1867">
        <f t="shared" si="20"/>
        <v>1</v>
      </c>
      <c r="CV33" s="1867">
        <f t="shared" si="21"/>
        <v>1</v>
      </c>
    </row>
    <row r="34" spans="1:100" x14ac:dyDescent="0.25">
      <c r="A34" s="5825">
        <v>19201054</v>
      </c>
      <c r="B34" s="318" t="s">
        <v>2212</v>
      </c>
      <c r="C34" s="4175" t="s">
        <v>4567</v>
      </c>
      <c r="D34" s="3913" t="s">
        <v>4568</v>
      </c>
      <c r="E34" s="1969" t="s">
        <v>4569</v>
      </c>
      <c r="F34" s="3913" t="s">
        <v>4570</v>
      </c>
      <c r="G34" s="1969" t="s">
        <v>4571</v>
      </c>
      <c r="H34" s="329" t="s">
        <v>4572</v>
      </c>
      <c r="I34" s="1939" t="s">
        <v>4573</v>
      </c>
      <c r="J34" s="331" t="s">
        <v>4574</v>
      </c>
      <c r="K34" s="3903" t="s">
        <v>4575</v>
      </c>
      <c r="L34" s="329" t="s">
        <v>4576</v>
      </c>
      <c r="M34" s="3913" t="s">
        <v>4577</v>
      </c>
      <c r="N34" s="1939" t="s">
        <v>4578</v>
      </c>
      <c r="O34" s="1939" t="s">
        <v>4579</v>
      </c>
      <c r="P34" s="1939" t="s">
        <v>4580</v>
      </c>
      <c r="Q34" s="329" t="s">
        <v>4581</v>
      </c>
      <c r="R34" s="3913" t="s">
        <v>4582</v>
      </c>
      <c r="S34" s="329" t="s">
        <v>4583</v>
      </c>
      <c r="T3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4" s="4174" t="str">
        <f t="shared" si="2"/>
        <v xml:space="preserve"> * El Número de TRANS Masculino no puede superar el Total Mujeres. </v>
      </c>
      <c r="CC34" s="4174" t="str">
        <f t="shared" si="3"/>
        <v xml:space="preserve"> * El Número de TRANS Femenino no puede superar el Total Hombres. </v>
      </c>
      <c r="CD34" s="4174" t="str">
        <f t="shared" si="8"/>
        <v xml:space="preserve"> * La variable No Binarie no puede superar el Total Ambos Sexos. </v>
      </c>
      <c r="CE34" s="4174" t="str">
        <f t="shared" si="9"/>
        <v xml:space="preserve"> * La variable No revelado no puede superar el Total Ambos Sexos. </v>
      </c>
      <c r="CF34" s="4174" t="str">
        <f t="shared" si="10"/>
        <v xml:space="preserve"> * La variable Pueblos Originarios no puede superar el Total Ambos Sexos. </v>
      </c>
      <c r="CG34" s="4174" t="str">
        <f t="shared" si="11"/>
        <v xml:space="preserve"> * La variable Migrantes no puede superar el Total Ambos Sexos. </v>
      </c>
      <c r="CH34" s="4174" t="str">
        <f t="shared" si="12"/>
        <v xml:space="preserve"> * La variable PRAIS no puede superar el Total Ambos Sexos. </v>
      </c>
      <c r="CI34" s="4174" t="str">
        <f t="shared" si="13"/>
        <v xml:space="preserve"> * La variable N° DE ATENCIONES EN EL MES (Ley Mila) no puede superar el Total Ambos Sexos. </v>
      </c>
      <c r="CJ34" s="4174" t="str">
        <f t="shared" si="14"/>
        <v xml:space="preserve"> * La variable N° DE ATENCIONES EN EL MES (Ley Mila) no puede superar el Total Mujeres. </v>
      </c>
      <c r="CN34" s="434">
        <f t="shared" si="4"/>
        <v>1</v>
      </c>
      <c r="CO34" s="434">
        <f t="shared" si="5"/>
        <v>1</v>
      </c>
      <c r="CP34" s="434">
        <f t="shared" si="15"/>
        <v>1</v>
      </c>
      <c r="CQ34" s="434">
        <f t="shared" si="16"/>
        <v>1</v>
      </c>
      <c r="CR34" s="434">
        <f t="shared" si="17"/>
        <v>1</v>
      </c>
      <c r="CS34" s="434">
        <f t="shared" si="18"/>
        <v>1</v>
      </c>
      <c r="CT34" s="434">
        <f t="shared" si="19"/>
        <v>1</v>
      </c>
      <c r="CU34" s="1867">
        <f t="shared" si="20"/>
        <v>1</v>
      </c>
      <c r="CV34" s="1867">
        <f t="shared" si="21"/>
        <v>1</v>
      </c>
    </row>
    <row r="35" spans="1:100" x14ac:dyDescent="0.25">
      <c r="A35" s="5825">
        <v>19201055</v>
      </c>
      <c r="B35" s="523" t="s">
        <v>2213</v>
      </c>
      <c r="C35" s="4157" t="s">
        <v>4567</v>
      </c>
      <c r="D35" s="853" t="s">
        <v>4568</v>
      </c>
      <c r="E35" s="854" t="s">
        <v>4569</v>
      </c>
      <c r="F35" s="853" t="s">
        <v>4570</v>
      </c>
      <c r="G35" s="854" t="s">
        <v>4571</v>
      </c>
      <c r="H35" s="854" t="s">
        <v>4572</v>
      </c>
      <c r="I35" s="1877" t="s">
        <v>4573</v>
      </c>
      <c r="J35" s="1878" t="s">
        <v>4574</v>
      </c>
      <c r="K35" s="1879" t="s">
        <v>4575</v>
      </c>
      <c r="L35" s="854" t="s">
        <v>4576</v>
      </c>
      <c r="M35" s="853" t="s">
        <v>4577</v>
      </c>
      <c r="N35" s="1873" t="s">
        <v>4578</v>
      </c>
      <c r="O35" s="1873" t="s">
        <v>4579</v>
      </c>
      <c r="P35" s="1873" t="s">
        <v>4580</v>
      </c>
      <c r="Q35" s="854" t="s">
        <v>4581</v>
      </c>
      <c r="R35" s="853" t="s">
        <v>4582</v>
      </c>
      <c r="S35" s="854" t="s">
        <v>4583</v>
      </c>
      <c r="T3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5" s="4174" t="str">
        <f t="shared" si="2"/>
        <v xml:space="preserve"> * El Número de TRANS Masculino no puede superar el Total Mujeres. </v>
      </c>
      <c r="CC35" s="4174" t="str">
        <f t="shared" si="3"/>
        <v xml:space="preserve"> * El Número de TRANS Femenino no puede superar el Total Hombres. </v>
      </c>
      <c r="CD35" s="4174" t="str">
        <f t="shared" si="8"/>
        <v xml:space="preserve"> * La variable No Binarie no puede superar el Total Ambos Sexos. </v>
      </c>
      <c r="CE35" s="4174" t="str">
        <f t="shared" si="9"/>
        <v xml:space="preserve"> * La variable No revelado no puede superar el Total Ambos Sexos. </v>
      </c>
      <c r="CF35" s="4174" t="str">
        <f t="shared" si="10"/>
        <v xml:space="preserve"> * La variable Pueblos Originarios no puede superar el Total Ambos Sexos. </v>
      </c>
      <c r="CG35" s="4174" t="str">
        <f t="shared" si="11"/>
        <v xml:space="preserve"> * La variable Migrantes no puede superar el Total Ambos Sexos. </v>
      </c>
      <c r="CH35" s="4174" t="str">
        <f t="shared" si="12"/>
        <v xml:space="preserve"> * La variable PRAIS no puede superar el Total Ambos Sexos. </v>
      </c>
      <c r="CI35" s="4174" t="str">
        <f t="shared" si="13"/>
        <v xml:space="preserve"> * La variable N° DE ATENCIONES EN EL MES (Ley Mila) no puede superar el Total Ambos Sexos. </v>
      </c>
      <c r="CJ35" s="4174" t="str">
        <f t="shared" si="14"/>
        <v xml:space="preserve"> * La variable N° DE ATENCIONES EN EL MES (Ley Mila) no puede superar el Total Mujeres. </v>
      </c>
      <c r="CN35" s="434">
        <f t="shared" si="4"/>
        <v>1</v>
      </c>
      <c r="CO35" s="434">
        <f t="shared" si="5"/>
        <v>1</v>
      </c>
      <c r="CP35" s="434">
        <f t="shared" si="15"/>
        <v>1</v>
      </c>
      <c r="CQ35" s="434">
        <f t="shared" si="16"/>
        <v>1</v>
      </c>
      <c r="CR35" s="434">
        <f t="shared" si="17"/>
        <v>1</v>
      </c>
      <c r="CS35" s="434">
        <f t="shared" si="18"/>
        <v>1</v>
      </c>
      <c r="CT35" s="434">
        <f t="shared" si="19"/>
        <v>1</v>
      </c>
      <c r="CU35" s="1867">
        <f t="shared" si="20"/>
        <v>1</v>
      </c>
      <c r="CV35" s="1867">
        <f t="shared" si="21"/>
        <v>1</v>
      </c>
    </row>
    <row r="36" spans="1:100" ht="21" x14ac:dyDescent="0.25">
      <c r="A36" s="5825">
        <v>19201056</v>
      </c>
      <c r="B36" s="318" t="s">
        <v>2214</v>
      </c>
      <c r="C36" s="4173" t="s">
        <v>4567</v>
      </c>
      <c r="D36" s="326" t="s">
        <v>4568</v>
      </c>
      <c r="E36" s="142" t="s">
        <v>4569</v>
      </c>
      <c r="F36" s="326" t="s">
        <v>4570</v>
      </c>
      <c r="G36" s="142" t="s">
        <v>4571</v>
      </c>
      <c r="H36" s="142" t="s">
        <v>4572</v>
      </c>
      <c r="I36" s="44" t="s">
        <v>4573</v>
      </c>
      <c r="J36" s="1884" t="s">
        <v>4574</v>
      </c>
      <c r="K36" s="336" t="s">
        <v>4575</v>
      </c>
      <c r="L36" s="142" t="s">
        <v>4576</v>
      </c>
      <c r="M36" s="326" t="s">
        <v>4577</v>
      </c>
      <c r="N36" s="1014" t="s">
        <v>4578</v>
      </c>
      <c r="O36" s="1014" t="s">
        <v>4579</v>
      </c>
      <c r="P36" s="1014" t="s">
        <v>4580</v>
      </c>
      <c r="Q36" s="142" t="s">
        <v>4581</v>
      </c>
      <c r="R36" s="326" t="s">
        <v>4582</v>
      </c>
      <c r="S36" s="142" t="s">
        <v>4583</v>
      </c>
      <c r="T3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6" s="4174" t="str">
        <f t="shared" si="2"/>
        <v xml:space="preserve"> * El Número de TRANS Masculino no puede superar el Total Mujeres. </v>
      </c>
      <c r="CC36" s="4174" t="str">
        <f t="shared" si="3"/>
        <v xml:space="preserve"> * El Número de TRANS Femenino no puede superar el Total Hombres. </v>
      </c>
      <c r="CD36" s="4174" t="str">
        <f t="shared" si="8"/>
        <v xml:space="preserve"> * La variable No Binarie no puede superar el Total Ambos Sexos. </v>
      </c>
      <c r="CE36" s="4174" t="str">
        <f t="shared" si="9"/>
        <v xml:space="preserve"> * La variable No revelado no puede superar el Total Ambos Sexos. </v>
      </c>
      <c r="CF36" s="4174" t="str">
        <f t="shared" si="10"/>
        <v xml:space="preserve"> * La variable Pueblos Originarios no puede superar el Total Ambos Sexos. </v>
      </c>
      <c r="CG36" s="4174" t="str">
        <f t="shared" si="11"/>
        <v xml:space="preserve"> * La variable Migrantes no puede superar el Total Ambos Sexos. </v>
      </c>
      <c r="CH36" s="4174" t="str">
        <f t="shared" si="12"/>
        <v xml:space="preserve"> * La variable PRAIS no puede superar el Total Ambos Sexos. </v>
      </c>
      <c r="CI36" s="4174" t="str">
        <f t="shared" si="13"/>
        <v xml:space="preserve"> * La variable N° DE ATENCIONES EN EL MES (Ley Mila) no puede superar el Total Ambos Sexos. </v>
      </c>
      <c r="CJ36" s="4174" t="str">
        <f t="shared" si="14"/>
        <v xml:space="preserve"> * La variable N° DE ATENCIONES EN EL MES (Ley Mila) no puede superar el Total Mujeres. </v>
      </c>
      <c r="CN36" s="434">
        <f t="shared" si="4"/>
        <v>1</v>
      </c>
      <c r="CO36" s="434">
        <f t="shared" si="5"/>
        <v>1</v>
      </c>
      <c r="CP36" s="434">
        <f t="shared" si="15"/>
        <v>1</v>
      </c>
      <c r="CQ36" s="434">
        <f t="shared" si="16"/>
        <v>1</v>
      </c>
      <c r="CR36" s="434">
        <f t="shared" si="17"/>
        <v>1</v>
      </c>
      <c r="CS36" s="434">
        <f t="shared" si="18"/>
        <v>1</v>
      </c>
      <c r="CT36" s="434">
        <f t="shared" si="19"/>
        <v>1</v>
      </c>
      <c r="CU36" s="1867">
        <f t="shared" si="20"/>
        <v>1</v>
      </c>
      <c r="CV36" s="1867">
        <f t="shared" si="21"/>
        <v>1</v>
      </c>
    </row>
    <row r="37" spans="1:100" ht="15" customHeight="1" x14ac:dyDescent="0.25">
      <c r="A37" s="5825">
        <v>19201057</v>
      </c>
      <c r="B37" s="318" t="s">
        <v>2215</v>
      </c>
      <c r="C37" s="4175" t="s">
        <v>4567</v>
      </c>
      <c r="D37" s="3913" t="s">
        <v>4568</v>
      </c>
      <c r="E37" s="329" t="s">
        <v>4569</v>
      </c>
      <c r="F37" s="3913" t="s">
        <v>4570</v>
      </c>
      <c r="G37" s="329" t="s">
        <v>4571</v>
      </c>
      <c r="H37" s="3968" t="s">
        <v>4572</v>
      </c>
      <c r="I37" s="3904" t="s">
        <v>4573</v>
      </c>
      <c r="J37" s="3943" t="s">
        <v>4574</v>
      </c>
      <c r="K37" s="3903" t="s">
        <v>4575</v>
      </c>
      <c r="L37" s="329" t="s">
        <v>4576</v>
      </c>
      <c r="M37" s="3913" t="s">
        <v>4577</v>
      </c>
      <c r="N37" s="1939" t="s">
        <v>4578</v>
      </c>
      <c r="O37" s="1939" t="s">
        <v>4579</v>
      </c>
      <c r="P37" s="1939" t="s">
        <v>4580</v>
      </c>
      <c r="Q37" s="329" t="s">
        <v>4581</v>
      </c>
      <c r="R37" s="3913" t="s">
        <v>4582</v>
      </c>
      <c r="S37" s="329" t="s">
        <v>4583</v>
      </c>
      <c r="T37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7" s="4174" t="str">
        <f t="shared" si="2"/>
        <v xml:space="preserve"> * El Número de TRANS Masculino no puede superar el Total Mujeres. </v>
      </c>
      <c r="CC37" s="4174" t="str">
        <f t="shared" si="3"/>
        <v xml:space="preserve"> * El Número de TRANS Femenino no puede superar el Total Hombres. </v>
      </c>
      <c r="CD37" s="4174" t="str">
        <f t="shared" si="8"/>
        <v xml:space="preserve"> * La variable No Binarie no puede superar el Total Ambos Sexos. </v>
      </c>
      <c r="CE37" s="4174" t="str">
        <f t="shared" si="9"/>
        <v xml:space="preserve"> * La variable No revelado no puede superar el Total Ambos Sexos. </v>
      </c>
      <c r="CF37" s="4174" t="str">
        <f t="shared" si="10"/>
        <v xml:space="preserve"> * La variable Pueblos Originarios no puede superar el Total Ambos Sexos. </v>
      </c>
      <c r="CG37" s="4174" t="str">
        <f t="shared" si="11"/>
        <v xml:space="preserve"> * La variable Migrantes no puede superar el Total Ambos Sexos. </v>
      </c>
      <c r="CH37" s="4174" t="str">
        <f t="shared" si="12"/>
        <v xml:space="preserve"> * La variable PRAIS no puede superar el Total Ambos Sexos. </v>
      </c>
      <c r="CI37" s="4174" t="str">
        <f t="shared" si="13"/>
        <v xml:space="preserve"> * La variable N° DE ATENCIONES EN EL MES (Ley Mila) no puede superar el Total Ambos Sexos. </v>
      </c>
      <c r="CJ37" s="4174" t="str">
        <f t="shared" si="14"/>
        <v xml:space="preserve"> * La variable N° DE ATENCIONES EN EL MES (Ley Mila) no puede superar el Total Mujeres. </v>
      </c>
      <c r="CN37" s="434">
        <f t="shared" si="4"/>
        <v>1</v>
      </c>
      <c r="CO37" s="434">
        <f t="shared" si="5"/>
        <v>1</v>
      </c>
      <c r="CP37" s="434">
        <f t="shared" si="15"/>
        <v>1</v>
      </c>
      <c r="CQ37" s="434">
        <f t="shared" si="16"/>
        <v>1</v>
      </c>
      <c r="CR37" s="434">
        <f t="shared" si="17"/>
        <v>1</v>
      </c>
      <c r="CS37" s="434">
        <f t="shared" si="18"/>
        <v>1</v>
      </c>
      <c r="CT37" s="434">
        <f t="shared" si="19"/>
        <v>1</v>
      </c>
      <c r="CU37" s="1867">
        <f t="shared" si="20"/>
        <v>1</v>
      </c>
      <c r="CV37" s="1867">
        <f t="shared" si="21"/>
        <v>1</v>
      </c>
    </row>
    <row r="38" spans="1:100" x14ac:dyDescent="0.25">
      <c r="A38" s="5825">
        <v>19201058</v>
      </c>
      <c r="B38" s="318" t="s">
        <v>2216</v>
      </c>
      <c r="C38" s="4175" t="s">
        <v>4567</v>
      </c>
      <c r="D38" s="3913" t="s">
        <v>4568</v>
      </c>
      <c r="E38" s="329" t="s">
        <v>4569</v>
      </c>
      <c r="F38" s="3913" t="s">
        <v>4570</v>
      </c>
      <c r="G38" s="329" t="s">
        <v>4571</v>
      </c>
      <c r="H38" s="3968" t="s">
        <v>4572</v>
      </c>
      <c r="I38" s="3904" t="s">
        <v>4573</v>
      </c>
      <c r="J38" s="3943" t="s">
        <v>4574</v>
      </c>
      <c r="K38" s="3903" t="s">
        <v>4575</v>
      </c>
      <c r="L38" s="329" t="s">
        <v>4576</v>
      </c>
      <c r="M38" s="3913" t="s">
        <v>4577</v>
      </c>
      <c r="N38" s="1939" t="s">
        <v>4578</v>
      </c>
      <c r="O38" s="1939" t="s">
        <v>4579</v>
      </c>
      <c r="P38" s="1939" t="s">
        <v>4580</v>
      </c>
      <c r="Q38" s="329" t="s">
        <v>4581</v>
      </c>
      <c r="R38" s="3913" t="s">
        <v>4582</v>
      </c>
      <c r="S38" s="329" t="s">
        <v>4583</v>
      </c>
      <c r="T38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8" s="4174" t="str">
        <f t="shared" si="2"/>
        <v xml:space="preserve"> * El Número de TRANS Masculino no puede superar el Total Mujeres. </v>
      </c>
      <c r="CC38" s="4174" t="str">
        <f t="shared" si="3"/>
        <v xml:space="preserve"> * El Número de TRANS Femenino no puede superar el Total Hombres. </v>
      </c>
      <c r="CD38" s="4174" t="str">
        <f t="shared" si="8"/>
        <v xml:space="preserve"> * La variable No Binarie no puede superar el Total Ambos Sexos. </v>
      </c>
      <c r="CE38" s="4174" t="str">
        <f t="shared" si="9"/>
        <v xml:space="preserve"> * La variable No revelado no puede superar el Total Ambos Sexos. </v>
      </c>
      <c r="CF38" s="4174" t="str">
        <f t="shared" si="10"/>
        <v xml:space="preserve"> * La variable Pueblos Originarios no puede superar el Total Ambos Sexos. </v>
      </c>
      <c r="CG38" s="4174" t="str">
        <f t="shared" si="11"/>
        <v xml:space="preserve"> * La variable Migrantes no puede superar el Total Ambos Sexos. </v>
      </c>
      <c r="CH38" s="4174" t="str">
        <f t="shared" si="12"/>
        <v xml:space="preserve"> * La variable PRAIS no puede superar el Total Ambos Sexos. </v>
      </c>
      <c r="CI38" s="4174" t="str">
        <f t="shared" si="13"/>
        <v xml:space="preserve"> * La variable N° DE ATENCIONES EN EL MES (Ley Mila) no puede superar el Total Ambos Sexos. </v>
      </c>
      <c r="CJ38" s="4174" t="str">
        <f t="shared" si="14"/>
        <v xml:space="preserve"> * La variable N° DE ATENCIONES EN EL MES (Ley Mila) no puede superar el Total Mujeres. </v>
      </c>
      <c r="CN38" s="434">
        <f t="shared" si="4"/>
        <v>1</v>
      </c>
      <c r="CO38" s="434">
        <f t="shared" si="5"/>
        <v>1</v>
      </c>
      <c r="CP38" s="434">
        <f t="shared" si="15"/>
        <v>1</v>
      </c>
      <c r="CQ38" s="434">
        <f t="shared" si="16"/>
        <v>1</v>
      </c>
      <c r="CR38" s="434">
        <f t="shared" si="17"/>
        <v>1</v>
      </c>
      <c r="CS38" s="434">
        <f t="shared" si="18"/>
        <v>1</v>
      </c>
      <c r="CT38" s="434">
        <f t="shared" si="19"/>
        <v>1</v>
      </c>
      <c r="CU38" s="1867">
        <f t="shared" si="20"/>
        <v>1</v>
      </c>
      <c r="CV38" s="1867">
        <f t="shared" si="21"/>
        <v>1</v>
      </c>
    </row>
    <row r="39" spans="1:100" x14ac:dyDescent="0.25">
      <c r="A39" s="5825">
        <v>19201059</v>
      </c>
      <c r="B39" s="318" t="s">
        <v>2217</v>
      </c>
      <c r="C39" s="4175" t="s">
        <v>4567</v>
      </c>
      <c r="D39" s="3913" t="s">
        <v>4568</v>
      </c>
      <c r="E39" s="329" t="s">
        <v>4569</v>
      </c>
      <c r="F39" s="3913" t="s">
        <v>4570</v>
      </c>
      <c r="G39" s="329" t="s">
        <v>4571</v>
      </c>
      <c r="H39" s="3968" t="s">
        <v>4572</v>
      </c>
      <c r="I39" s="3904" t="s">
        <v>4573</v>
      </c>
      <c r="J39" s="3943" t="s">
        <v>4574</v>
      </c>
      <c r="K39" s="3903" t="s">
        <v>4575</v>
      </c>
      <c r="L39" s="329" t="s">
        <v>4576</v>
      </c>
      <c r="M39" s="3913" t="s">
        <v>4577</v>
      </c>
      <c r="N39" s="1939" t="s">
        <v>4578</v>
      </c>
      <c r="O39" s="1939" t="s">
        <v>4579</v>
      </c>
      <c r="P39" s="1939" t="s">
        <v>4580</v>
      </c>
      <c r="Q39" s="329" t="s">
        <v>4581</v>
      </c>
      <c r="R39" s="3913" t="s">
        <v>4582</v>
      </c>
      <c r="S39" s="329" t="s">
        <v>4583</v>
      </c>
      <c r="T39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9" s="4174" t="str">
        <f t="shared" si="2"/>
        <v xml:space="preserve"> * El Número de TRANS Masculino no puede superar el Total Mujeres. </v>
      </c>
      <c r="CC39" s="4174" t="str">
        <f t="shared" si="3"/>
        <v xml:space="preserve"> * El Número de TRANS Femenino no puede superar el Total Hombres. </v>
      </c>
      <c r="CD39" s="4174" t="str">
        <f t="shared" si="8"/>
        <v xml:space="preserve"> * La variable No Binarie no puede superar el Total Ambos Sexos. </v>
      </c>
      <c r="CE39" s="4174" t="str">
        <f t="shared" si="9"/>
        <v xml:space="preserve"> * La variable No revelado no puede superar el Total Ambos Sexos. </v>
      </c>
      <c r="CF39" s="4174" t="str">
        <f t="shared" si="10"/>
        <v xml:space="preserve"> * La variable Pueblos Originarios no puede superar el Total Ambos Sexos. </v>
      </c>
      <c r="CG39" s="4174" t="str">
        <f t="shared" si="11"/>
        <v xml:space="preserve"> * La variable Migrantes no puede superar el Total Ambos Sexos. </v>
      </c>
      <c r="CH39" s="4174" t="str">
        <f t="shared" si="12"/>
        <v xml:space="preserve"> * La variable PRAIS no puede superar el Total Ambos Sexos. </v>
      </c>
      <c r="CI39" s="4174" t="str">
        <f t="shared" si="13"/>
        <v xml:space="preserve"> * La variable N° DE ATENCIONES EN EL MES (Ley Mila) no puede superar el Total Ambos Sexos. </v>
      </c>
      <c r="CJ39" s="4174" t="str">
        <f t="shared" si="14"/>
        <v xml:space="preserve"> * La variable N° DE ATENCIONES EN EL MES (Ley Mila) no puede superar el Total Mujeres. </v>
      </c>
      <c r="CN39" s="434">
        <f t="shared" si="4"/>
        <v>1</v>
      </c>
      <c r="CO39" s="434">
        <f t="shared" si="5"/>
        <v>1</v>
      </c>
      <c r="CP39" s="434">
        <f t="shared" si="15"/>
        <v>1</v>
      </c>
      <c r="CQ39" s="434">
        <f t="shared" si="16"/>
        <v>1</v>
      </c>
      <c r="CR39" s="434">
        <f t="shared" si="17"/>
        <v>1</v>
      </c>
      <c r="CS39" s="434">
        <f t="shared" si="18"/>
        <v>1</v>
      </c>
      <c r="CT39" s="434">
        <f t="shared" si="19"/>
        <v>1</v>
      </c>
      <c r="CU39" s="1867">
        <f t="shared" si="20"/>
        <v>1</v>
      </c>
      <c r="CV39" s="1867">
        <f t="shared" si="21"/>
        <v>1</v>
      </c>
    </row>
    <row r="40" spans="1:100" ht="21" x14ac:dyDescent="0.25">
      <c r="A40" s="5825">
        <v>19201060</v>
      </c>
      <c r="B40" s="318" t="s">
        <v>2218</v>
      </c>
      <c r="C40" s="4175" t="s">
        <v>4567</v>
      </c>
      <c r="D40" s="3913" t="s">
        <v>4568</v>
      </c>
      <c r="E40" s="329" t="s">
        <v>4569</v>
      </c>
      <c r="F40" s="3913" t="s">
        <v>4570</v>
      </c>
      <c r="G40" s="329" t="s">
        <v>4571</v>
      </c>
      <c r="H40" s="329" t="s">
        <v>4572</v>
      </c>
      <c r="I40" s="3904" t="s">
        <v>4573</v>
      </c>
      <c r="J40" s="3943" t="s">
        <v>4574</v>
      </c>
      <c r="K40" s="3903" t="s">
        <v>4575</v>
      </c>
      <c r="L40" s="329" t="s">
        <v>4576</v>
      </c>
      <c r="M40" s="3913" t="s">
        <v>4577</v>
      </c>
      <c r="N40" s="1939" t="s">
        <v>4578</v>
      </c>
      <c r="O40" s="1939" t="s">
        <v>4579</v>
      </c>
      <c r="P40" s="1939" t="s">
        <v>4580</v>
      </c>
      <c r="Q40" s="329" t="s">
        <v>4581</v>
      </c>
      <c r="R40" s="3913" t="s">
        <v>4582</v>
      </c>
      <c r="S40" s="329" t="s">
        <v>4583</v>
      </c>
      <c r="T40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0" s="4174" t="str">
        <f t="shared" si="2"/>
        <v xml:space="preserve"> * El Número de TRANS Masculino no puede superar el Total Mujeres. </v>
      </c>
      <c r="CC40" s="4174" t="str">
        <f t="shared" si="3"/>
        <v xml:space="preserve"> * El Número de TRANS Femenino no puede superar el Total Hombres. </v>
      </c>
      <c r="CD40" s="4174" t="str">
        <f t="shared" si="8"/>
        <v xml:space="preserve"> * La variable No Binarie no puede superar el Total Ambos Sexos. </v>
      </c>
      <c r="CE40" s="4174" t="str">
        <f t="shared" si="9"/>
        <v xml:space="preserve"> * La variable No revelado no puede superar el Total Ambos Sexos. </v>
      </c>
      <c r="CF40" s="4174" t="str">
        <f t="shared" si="10"/>
        <v xml:space="preserve"> * La variable Pueblos Originarios no puede superar el Total Ambos Sexos. </v>
      </c>
      <c r="CG40" s="4174" t="str">
        <f t="shared" si="11"/>
        <v xml:space="preserve"> * La variable Migrantes no puede superar el Total Ambos Sexos. </v>
      </c>
      <c r="CH40" s="4174" t="str">
        <f t="shared" si="12"/>
        <v xml:space="preserve"> * La variable PRAIS no puede superar el Total Ambos Sexos. </v>
      </c>
      <c r="CI40" s="4174" t="str">
        <f t="shared" si="13"/>
        <v xml:space="preserve"> * La variable N° DE ATENCIONES EN EL MES (Ley Mila) no puede superar el Total Ambos Sexos. </v>
      </c>
      <c r="CJ40" s="4174" t="str">
        <f t="shared" si="14"/>
        <v xml:space="preserve"> * La variable N° DE ATENCIONES EN EL MES (Ley Mila) no puede superar el Total Mujeres. </v>
      </c>
      <c r="CN40" s="434">
        <f t="shared" si="4"/>
        <v>1</v>
      </c>
      <c r="CO40" s="434">
        <f t="shared" si="5"/>
        <v>1</v>
      </c>
      <c r="CP40" s="434">
        <f t="shared" si="15"/>
        <v>1</v>
      </c>
      <c r="CQ40" s="434">
        <f t="shared" si="16"/>
        <v>1</v>
      </c>
      <c r="CR40" s="434">
        <f t="shared" si="17"/>
        <v>1</v>
      </c>
      <c r="CS40" s="434">
        <f t="shared" si="18"/>
        <v>1</v>
      </c>
      <c r="CT40" s="434">
        <f t="shared" si="19"/>
        <v>1</v>
      </c>
      <c r="CU40" s="1867">
        <f t="shared" si="20"/>
        <v>1</v>
      </c>
      <c r="CV40" s="1867">
        <f t="shared" si="21"/>
        <v>1</v>
      </c>
    </row>
    <row r="41" spans="1:100" x14ac:dyDescent="0.25">
      <c r="A41" s="5825">
        <v>19201061</v>
      </c>
      <c r="B41" s="318" t="s">
        <v>2219</v>
      </c>
      <c r="C41" s="4175" t="s">
        <v>4567</v>
      </c>
      <c r="D41" s="3913" t="s">
        <v>4568</v>
      </c>
      <c r="E41" s="329" t="s">
        <v>4569</v>
      </c>
      <c r="F41" s="3913" t="s">
        <v>4570</v>
      </c>
      <c r="G41" s="329" t="s">
        <v>4571</v>
      </c>
      <c r="H41" s="329" t="s">
        <v>4572</v>
      </c>
      <c r="I41" s="3904" t="s">
        <v>4573</v>
      </c>
      <c r="J41" s="3943" t="s">
        <v>4574</v>
      </c>
      <c r="K41" s="3903" t="s">
        <v>4575</v>
      </c>
      <c r="L41" s="329" t="s">
        <v>4576</v>
      </c>
      <c r="M41" s="3913" t="s">
        <v>4577</v>
      </c>
      <c r="N41" s="1939" t="s">
        <v>4578</v>
      </c>
      <c r="O41" s="1939" t="s">
        <v>4579</v>
      </c>
      <c r="P41" s="1939" t="s">
        <v>4580</v>
      </c>
      <c r="Q41" s="329" t="s">
        <v>4581</v>
      </c>
      <c r="R41" s="3913" t="s">
        <v>4582</v>
      </c>
      <c r="S41" s="329" t="s">
        <v>4583</v>
      </c>
      <c r="T41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1" s="4174" t="str">
        <f t="shared" si="2"/>
        <v xml:space="preserve"> * El Número de TRANS Masculino no puede superar el Total Mujeres. </v>
      </c>
      <c r="CC41" s="4174" t="str">
        <f t="shared" si="3"/>
        <v xml:space="preserve"> * El Número de TRANS Femenino no puede superar el Total Hombres. </v>
      </c>
      <c r="CD41" s="4174" t="str">
        <f t="shared" si="8"/>
        <v xml:space="preserve"> * La variable No Binarie no puede superar el Total Ambos Sexos. </v>
      </c>
      <c r="CE41" s="4174" t="str">
        <f t="shared" si="9"/>
        <v xml:space="preserve"> * La variable No revelado no puede superar el Total Ambos Sexos. </v>
      </c>
      <c r="CF41" s="4174" t="str">
        <f t="shared" si="10"/>
        <v xml:space="preserve"> * La variable Pueblos Originarios no puede superar el Total Ambos Sexos. </v>
      </c>
      <c r="CG41" s="4174" t="str">
        <f t="shared" si="11"/>
        <v xml:space="preserve"> * La variable Migrantes no puede superar el Total Ambos Sexos. </v>
      </c>
      <c r="CH41" s="4174" t="str">
        <f t="shared" si="12"/>
        <v xml:space="preserve"> * La variable PRAIS no puede superar el Total Ambos Sexos. </v>
      </c>
      <c r="CI41" s="4174" t="str">
        <f t="shared" si="13"/>
        <v xml:space="preserve"> * La variable N° DE ATENCIONES EN EL MES (Ley Mila) no puede superar el Total Ambos Sexos. </v>
      </c>
      <c r="CJ41" s="4174" t="str">
        <f t="shared" si="14"/>
        <v xml:space="preserve"> * La variable N° DE ATENCIONES EN EL MES (Ley Mila) no puede superar el Total Mujeres. </v>
      </c>
      <c r="CN41" s="434">
        <f t="shared" si="4"/>
        <v>1</v>
      </c>
      <c r="CO41" s="434">
        <f t="shared" si="5"/>
        <v>1</v>
      </c>
      <c r="CP41" s="434">
        <f t="shared" si="15"/>
        <v>1</v>
      </c>
      <c r="CQ41" s="434">
        <f t="shared" si="16"/>
        <v>1</v>
      </c>
      <c r="CR41" s="434">
        <f t="shared" si="17"/>
        <v>1</v>
      </c>
      <c r="CS41" s="434">
        <f t="shared" si="18"/>
        <v>1</v>
      </c>
      <c r="CT41" s="434">
        <f t="shared" si="19"/>
        <v>1</v>
      </c>
      <c r="CU41" s="1867">
        <f t="shared" si="20"/>
        <v>1</v>
      </c>
      <c r="CV41" s="1867">
        <f t="shared" si="21"/>
        <v>1</v>
      </c>
    </row>
    <row r="42" spans="1:100" ht="21" x14ac:dyDescent="0.25">
      <c r="A42" s="5823">
        <v>19201062</v>
      </c>
      <c r="B42" s="318" t="s">
        <v>2220</v>
      </c>
      <c r="C42" s="4175" t="s">
        <v>4567</v>
      </c>
      <c r="D42" s="3913" t="s">
        <v>4568</v>
      </c>
      <c r="E42" s="329" t="s">
        <v>4569</v>
      </c>
      <c r="F42" s="3913" t="s">
        <v>4570</v>
      </c>
      <c r="G42" s="329" t="s">
        <v>4571</v>
      </c>
      <c r="H42" s="329" t="s">
        <v>4572</v>
      </c>
      <c r="I42" s="3904" t="s">
        <v>4573</v>
      </c>
      <c r="J42" s="3943" t="s">
        <v>4574</v>
      </c>
      <c r="K42" s="3903" t="s">
        <v>4575</v>
      </c>
      <c r="L42" s="329" t="s">
        <v>4576</v>
      </c>
      <c r="M42" s="3913" t="s">
        <v>4577</v>
      </c>
      <c r="N42" s="1939" t="s">
        <v>4578</v>
      </c>
      <c r="O42" s="1939" t="s">
        <v>4579</v>
      </c>
      <c r="P42" s="1939" t="s">
        <v>4580</v>
      </c>
      <c r="Q42" s="329" t="s">
        <v>4581</v>
      </c>
      <c r="R42" s="3913" t="s">
        <v>4582</v>
      </c>
      <c r="S42" s="329" t="s">
        <v>4583</v>
      </c>
      <c r="T42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2" s="4174" t="str">
        <f t="shared" si="2"/>
        <v xml:space="preserve"> * El Número de TRANS Masculino no puede superar el Total Mujeres. </v>
      </c>
      <c r="CC42" s="4174" t="str">
        <f t="shared" si="3"/>
        <v xml:space="preserve"> * El Número de TRANS Femenino no puede superar el Total Hombres. </v>
      </c>
      <c r="CD42" s="4174" t="str">
        <f t="shared" si="8"/>
        <v xml:space="preserve"> * La variable No Binarie no puede superar el Total Ambos Sexos. </v>
      </c>
      <c r="CE42" s="4174" t="str">
        <f t="shared" si="9"/>
        <v xml:space="preserve"> * La variable No revelado no puede superar el Total Ambos Sexos. </v>
      </c>
      <c r="CF42" s="4174" t="str">
        <f t="shared" si="10"/>
        <v xml:space="preserve"> * La variable Pueblos Originarios no puede superar el Total Ambos Sexos. </v>
      </c>
      <c r="CG42" s="4174" t="str">
        <f t="shared" si="11"/>
        <v xml:space="preserve"> * La variable Migrantes no puede superar el Total Ambos Sexos. </v>
      </c>
      <c r="CH42" s="4174" t="str">
        <f t="shared" si="12"/>
        <v xml:space="preserve"> * La variable PRAIS no puede superar el Total Ambos Sexos. </v>
      </c>
      <c r="CI42" s="4174" t="str">
        <f t="shared" si="13"/>
        <v xml:space="preserve"> * La variable N° DE ATENCIONES EN EL MES (Ley Mila) no puede superar el Total Ambos Sexos. </v>
      </c>
      <c r="CJ42" s="4174" t="str">
        <f t="shared" si="14"/>
        <v xml:space="preserve"> * La variable N° DE ATENCIONES EN EL MES (Ley Mila) no puede superar el Total Mujeres. </v>
      </c>
      <c r="CN42" s="434">
        <f t="shared" si="4"/>
        <v>1</v>
      </c>
      <c r="CO42" s="434">
        <f t="shared" si="5"/>
        <v>1</v>
      </c>
      <c r="CP42" s="434">
        <f t="shared" si="15"/>
        <v>1</v>
      </c>
      <c r="CQ42" s="434">
        <f t="shared" si="16"/>
        <v>1</v>
      </c>
      <c r="CR42" s="434">
        <f t="shared" si="17"/>
        <v>1</v>
      </c>
      <c r="CS42" s="434">
        <f t="shared" si="18"/>
        <v>1</v>
      </c>
      <c r="CT42" s="434">
        <f t="shared" si="19"/>
        <v>1</v>
      </c>
      <c r="CU42" s="1867">
        <f t="shared" si="20"/>
        <v>1</v>
      </c>
      <c r="CV42" s="1867">
        <f t="shared" si="21"/>
        <v>1</v>
      </c>
    </row>
    <row r="43" spans="1:100" x14ac:dyDescent="0.25">
      <c r="A43" s="5823">
        <v>19201063</v>
      </c>
      <c r="B43" s="870" t="s">
        <v>2221</v>
      </c>
      <c r="C43" s="4157" t="s">
        <v>4567</v>
      </c>
      <c r="D43" s="853" t="s">
        <v>4568</v>
      </c>
      <c r="E43" s="854" t="s">
        <v>4569</v>
      </c>
      <c r="F43" s="853" t="s">
        <v>4570</v>
      </c>
      <c r="G43" s="854" t="s">
        <v>4571</v>
      </c>
      <c r="H43" s="854" t="s">
        <v>4572</v>
      </c>
      <c r="I43" s="1877" t="s">
        <v>4573</v>
      </c>
      <c r="J43" s="1919" t="s">
        <v>4574</v>
      </c>
      <c r="K43" s="1879" t="s">
        <v>4575</v>
      </c>
      <c r="L43" s="854" t="s">
        <v>4576</v>
      </c>
      <c r="M43" s="853" t="s">
        <v>4577</v>
      </c>
      <c r="N43" s="1873" t="s">
        <v>4578</v>
      </c>
      <c r="O43" s="1873" t="s">
        <v>4579</v>
      </c>
      <c r="P43" s="1873" t="s">
        <v>4580</v>
      </c>
      <c r="Q43" s="854" t="s">
        <v>4581</v>
      </c>
      <c r="R43" s="853" t="s">
        <v>4582</v>
      </c>
      <c r="S43" s="854" t="s">
        <v>4583</v>
      </c>
      <c r="T43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3" s="4174" t="str">
        <f t="shared" si="2"/>
        <v xml:space="preserve"> * El Número de TRANS Masculino no puede superar el Total Mujeres. </v>
      </c>
      <c r="CC43" s="4174" t="str">
        <f t="shared" si="3"/>
        <v xml:space="preserve"> * El Número de TRANS Femenino no puede superar el Total Hombres. </v>
      </c>
      <c r="CD43" s="4174" t="str">
        <f t="shared" si="8"/>
        <v xml:space="preserve"> * La variable No Binarie no puede superar el Total Ambos Sexos. </v>
      </c>
      <c r="CE43" s="4174" t="str">
        <f t="shared" si="9"/>
        <v xml:space="preserve"> * La variable No revelado no puede superar el Total Ambos Sexos. </v>
      </c>
      <c r="CF43" s="4174" t="str">
        <f t="shared" si="10"/>
        <v xml:space="preserve"> * La variable Pueblos Originarios no puede superar el Total Ambos Sexos. </v>
      </c>
      <c r="CG43" s="4174" t="str">
        <f t="shared" si="11"/>
        <v xml:space="preserve"> * La variable Migrantes no puede superar el Total Ambos Sexos. </v>
      </c>
      <c r="CH43" s="4174" t="str">
        <f t="shared" si="12"/>
        <v xml:space="preserve"> * La variable PRAIS no puede superar el Total Ambos Sexos. </v>
      </c>
      <c r="CI43" s="4174" t="str">
        <f t="shared" si="13"/>
        <v xml:space="preserve"> * La variable N° DE ATENCIONES EN EL MES (Ley Mila) no puede superar el Total Ambos Sexos. </v>
      </c>
      <c r="CJ43" s="4174" t="str">
        <f t="shared" si="14"/>
        <v xml:space="preserve"> * La variable N° DE ATENCIONES EN EL MES (Ley Mila) no puede superar el Total Mujeres. </v>
      </c>
      <c r="CN43" s="434">
        <f t="shared" si="4"/>
        <v>1</v>
      </c>
      <c r="CO43" s="434">
        <f t="shared" si="5"/>
        <v>1</v>
      </c>
      <c r="CP43" s="434">
        <f t="shared" si="15"/>
        <v>1</v>
      </c>
      <c r="CQ43" s="434">
        <f t="shared" si="16"/>
        <v>1</v>
      </c>
      <c r="CR43" s="434">
        <f t="shared" si="17"/>
        <v>1</v>
      </c>
      <c r="CS43" s="434">
        <f t="shared" si="18"/>
        <v>1</v>
      </c>
      <c r="CT43" s="434">
        <f t="shared" si="19"/>
        <v>1</v>
      </c>
      <c r="CU43" s="1867">
        <f t="shared" si="20"/>
        <v>1</v>
      </c>
      <c r="CV43" s="1867">
        <f t="shared" si="21"/>
        <v>1</v>
      </c>
    </row>
    <row r="44" spans="1:100" x14ac:dyDescent="0.25">
      <c r="A44" s="5846">
        <v>19181000</v>
      </c>
      <c r="B44" s="2206" t="s">
        <v>2222</v>
      </c>
      <c r="C44" s="4173" t="s">
        <v>4567</v>
      </c>
      <c r="D44" s="326" t="s">
        <v>4568</v>
      </c>
      <c r="E44" s="142" t="s">
        <v>4569</v>
      </c>
      <c r="F44" s="326" t="s">
        <v>4570</v>
      </c>
      <c r="G44" s="142" t="s">
        <v>4571</v>
      </c>
      <c r="H44" s="142" t="s">
        <v>4572</v>
      </c>
      <c r="I44" s="44" t="s">
        <v>4573</v>
      </c>
      <c r="J44" s="1001" t="s">
        <v>4574</v>
      </c>
      <c r="K44" s="336" t="s">
        <v>4575</v>
      </c>
      <c r="L44" s="142" t="s">
        <v>4576</v>
      </c>
      <c r="M44" s="326" t="s">
        <v>4577</v>
      </c>
      <c r="N44" s="1014" t="s">
        <v>4578</v>
      </c>
      <c r="O44" s="1014" t="s">
        <v>4579</v>
      </c>
      <c r="P44" s="1014" t="s">
        <v>4580</v>
      </c>
      <c r="Q44" s="142" t="s">
        <v>4581</v>
      </c>
      <c r="R44" s="326" t="s">
        <v>4582</v>
      </c>
      <c r="S44" s="142" t="s">
        <v>4583</v>
      </c>
      <c r="T4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4" s="4174" t="str">
        <f t="shared" si="2"/>
        <v xml:space="preserve"> * El Número de TRANS Masculino no puede superar el Total Mujeres. </v>
      </c>
      <c r="CC44" s="4174" t="str">
        <f t="shared" si="3"/>
        <v xml:space="preserve"> * El Número de TRANS Femenino no puede superar el Total Hombres. </v>
      </c>
      <c r="CD44" s="4174" t="str">
        <f t="shared" si="8"/>
        <v xml:space="preserve"> * La variable No Binarie no puede superar el Total Ambos Sexos. </v>
      </c>
      <c r="CE44" s="4174" t="str">
        <f t="shared" si="9"/>
        <v xml:space="preserve"> * La variable No revelado no puede superar el Total Ambos Sexos. </v>
      </c>
      <c r="CF44" s="4174" t="str">
        <f t="shared" si="10"/>
        <v xml:space="preserve"> * La variable Pueblos Originarios no puede superar el Total Ambos Sexos. </v>
      </c>
      <c r="CG44" s="4174" t="str">
        <f t="shared" si="11"/>
        <v xml:space="preserve"> * La variable Migrantes no puede superar el Total Ambos Sexos. </v>
      </c>
      <c r="CH44" s="4174" t="str">
        <f t="shared" si="12"/>
        <v xml:space="preserve"> * La variable PRAIS no puede superar el Total Ambos Sexos. </v>
      </c>
      <c r="CI44" s="4174" t="str">
        <f t="shared" si="13"/>
        <v xml:space="preserve"> * La variable N° DE ATENCIONES EN EL MES (Ley Mila) no puede superar el Total Ambos Sexos. </v>
      </c>
      <c r="CJ44" s="4174" t="str">
        <f t="shared" si="14"/>
        <v xml:space="preserve"> * La variable N° DE ATENCIONES EN EL MES (Ley Mila) no puede superar el Total Mujeres. </v>
      </c>
      <c r="CN44" s="434">
        <f t="shared" si="4"/>
        <v>1</v>
      </c>
      <c r="CO44" s="434">
        <f t="shared" si="5"/>
        <v>1</v>
      </c>
      <c r="CP44" s="434">
        <f t="shared" si="15"/>
        <v>1</v>
      </c>
      <c r="CQ44" s="434">
        <f t="shared" si="16"/>
        <v>1</v>
      </c>
      <c r="CR44" s="434">
        <f t="shared" si="17"/>
        <v>1</v>
      </c>
      <c r="CS44" s="434">
        <f t="shared" si="18"/>
        <v>1</v>
      </c>
      <c r="CT44" s="434">
        <f t="shared" si="19"/>
        <v>1</v>
      </c>
      <c r="CU44" s="1867">
        <f t="shared" si="20"/>
        <v>1</v>
      </c>
      <c r="CV44" s="1867">
        <f t="shared" si="21"/>
        <v>1</v>
      </c>
    </row>
    <row r="45" spans="1:100" x14ac:dyDescent="0.25">
      <c r="A45" s="5847">
        <v>19181001</v>
      </c>
      <c r="B45" s="3874" t="s">
        <v>2223</v>
      </c>
      <c r="C45" s="4175" t="s">
        <v>4567</v>
      </c>
      <c r="D45" s="3913" t="s">
        <v>4568</v>
      </c>
      <c r="E45" s="329" t="s">
        <v>4569</v>
      </c>
      <c r="F45" s="3913" t="s">
        <v>4570</v>
      </c>
      <c r="G45" s="329" t="s">
        <v>4571</v>
      </c>
      <c r="H45" s="329" t="s">
        <v>4572</v>
      </c>
      <c r="I45" s="3904" t="s">
        <v>4573</v>
      </c>
      <c r="J45" s="331" t="s">
        <v>4574</v>
      </c>
      <c r="K45" s="3903" t="s">
        <v>4575</v>
      </c>
      <c r="L45" s="329" t="s">
        <v>4576</v>
      </c>
      <c r="M45" s="3913" t="s">
        <v>4577</v>
      </c>
      <c r="N45" s="1939" t="s">
        <v>4578</v>
      </c>
      <c r="O45" s="1939" t="s">
        <v>4579</v>
      </c>
      <c r="P45" s="1939" t="s">
        <v>4580</v>
      </c>
      <c r="Q45" s="329" t="s">
        <v>4581</v>
      </c>
      <c r="R45" s="3913" t="s">
        <v>4582</v>
      </c>
      <c r="S45" s="329" t="s">
        <v>4583</v>
      </c>
      <c r="T4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5" s="4174" t="str">
        <f t="shared" si="2"/>
        <v xml:space="preserve"> * El Número de TRANS Masculino no puede superar el Total Mujeres. </v>
      </c>
      <c r="CC45" s="4174" t="str">
        <f t="shared" si="3"/>
        <v xml:space="preserve"> * El Número de TRANS Femenino no puede superar el Total Hombres. </v>
      </c>
      <c r="CD45" s="4174" t="str">
        <f t="shared" si="8"/>
        <v xml:space="preserve"> * La variable No Binarie no puede superar el Total Ambos Sexos. </v>
      </c>
      <c r="CE45" s="4174" t="str">
        <f t="shared" si="9"/>
        <v xml:space="preserve"> * La variable No revelado no puede superar el Total Ambos Sexos. </v>
      </c>
      <c r="CF45" s="4174" t="str">
        <f t="shared" si="10"/>
        <v xml:space="preserve"> * La variable Pueblos Originarios no puede superar el Total Ambos Sexos. </v>
      </c>
      <c r="CG45" s="4174" t="str">
        <f t="shared" si="11"/>
        <v xml:space="preserve"> * La variable Migrantes no puede superar el Total Ambos Sexos. </v>
      </c>
      <c r="CH45" s="4174" t="str">
        <f t="shared" si="12"/>
        <v xml:space="preserve"> * La variable PRAIS no puede superar el Total Ambos Sexos. </v>
      </c>
      <c r="CI45" s="4174" t="str">
        <f t="shared" si="13"/>
        <v xml:space="preserve"> * La variable N° DE ATENCIONES EN EL MES (Ley Mila) no puede superar el Total Ambos Sexos. </v>
      </c>
      <c r="CJ45" s="4174" t="str">
        <f t="shared" si="14"/>
        <v xml:space="preserve"> * La variable N° DE ATENCIONES EN EL MES (Ley Mila) no puede superar el Total Mujeres. </v>
      </c>
      <c r="CN45" s="434">
        <f t="shared" si="4"/>
        <v>1</v>
      </c>
      <c r="CO45" s="434">
        <f t="shared" si="5"/>
        <v>1</v>
      </c>
      <c r="CP45" s="434">
        <f t="shared" si="15"/>
        <v>1</v>
      </c>
      <c r="CQ45" s="434">
        <f t="shared" si="16"/>
        <v>1</v>
      </c>
      <c r="CR45" s="434">
        <f t="shared" si="17"/>
        <v>1</v>
      </c>
      <c r="CS45" s="434">
        <f t="shared" si="18"/>
        <v>1</v>
      </c>
      <c r="CT45" s="434">
        <f t="shared" si="19"/>
        <v>1</v>
      </c>
      <c r="CU45" s="1867">
        <f t="shared" si="20"/>
        <v>1</v>
      </c>
      <c r="CV45" s="1867">
        <f t="shared" si="21"/>
        <v>1</v>
      </c>
    </row>
    <row r="46" spans="1:100" x14ac:dyDescent="0.25">
      <c r="A46" s="5823">
        <v>19201064</v>
      </c>
      <c r="B46" s="3874" t="s">
        <v>2224</v>
      </c>
      <c r="C46" s="4175" t="s">
        <v>4567</v>
      </c>
      <c r="D46" s="3913" t="s">
        <v>4568</v>
      </c>
      <c r="E46" s="329" t="s">
        <v>4569</v>
      </c>
      <c r="F46" s="3913" t="s">
        <v>4570</v>
      </c>
      <c r="G46" s="329" t="s">
        <v>4571</v>
      </c>
      <c r="H46" s="329" t="s">
        <v>4572</v>
      </c>
      <c r="I46" s="3904" t="s">
        <v>4573</v>
      </c>
      <c r="J46" s="331" t="s">
        <v>4574</v>
      </c>
      <c r="K46" s="3903" t="s">
        <v>4575</v>
      </c>
      <c r="L46" s="329" t="s">
        <v>4576</v>
      </c>
      <c r="M46" s="3913" t="s">
        <v>4577</v>
      </c>
      <c r="N46" s="1939" t="s">
        <v>4578</v>
      </c>
      <c r="O46" s="1939" t="s">
        <v>4579</v>
      </c>
      <c r="P46" s="1939" t="s">
        <v>4580</v>
      </c>
      <c r="Q46" s="329" t="s">
        <v>4581</v>
      </c>
      <c r="R46" s="3913" t="s">
        <v>4582</v>
      </c>
      <c r="S46" s="329" t="s">
        <v>4583</v>
      </c>
      <c r="T4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6" s="4174" t="str">
        <f t="shared" si="2"/>
        <v xml:space="preserve"> * El Número de TRANS Masculino no puede superar el Total Mujeres. </v>
      </c>
      <c r="CC46" s="4174" t="str">
        <f t="shared" si="3"/>
        <v xml:space="preserve"> * El Número de TRANS Femenino no puede superar el Total Hombres. </v>
      </c>
      <c r="CD46" s="4174" t="str">
        <f t="shared" si="8"/>
        <v xml:space="preserve"> * La variable No Binarie no puede superar el Total Ambos Sexos. </v>
      </c>
      <c r="CE46" s="4174" t="str">
        <f t="shared" si="9"/>
        <v xml:space="preserve"> * La variable No revelado no puede superar el Total Ambos Sexos. </v>
      </c>
      <c r="CF46" s="4174" t="str">
        <f t="shared" si="10"/>
        <v xml:space="preserve"> * La variable Pueblos Originarios no puede superar el Total Ambos Sexos. </v>
      </c>
      <c r="CG46" s="4174" t="str">
        <f t="shared" si="11"/>
        <v xml:space="preserve"> * La variable Migrantes no puede superar el Total Ambos Sexos. </v>
      </c>
      <c r="CH46" s="4174" t="str">
        <f t="shared" si="12"/>
        <v xml:space="preserve"> * La variable PRAIS no puede superar el Total Ambos Sexos. </v>
      </c>
      <c r="CI46" s="4174" t="str">
        <f t="shared" si="13"/>
        <v xml:space="preserve"> * La variable N° DE ATENCIONES EN EL MES (Ley Mila) no puede superar el Total Ambos Sexos. </v>
      </c>
      <c r="CJ46" s="4174" t="str">
        <f t="shared" si="14"/>
        <v xml:space="preserve"> * La variable N° DE ATENCIONES EN EL MES (Ley Mila) no puede superar el Total Mujeres. </v>
      </c>
      <c r="CN46" s="434">
        <f t="shared" si="4"/>
        <v>1</v>
      </c>
      <c r="CO46" s="434">
        <f t="shared" si="5"/>
        <v>1</v>
      </c>
      <c r="CP46" s="434">
        <f t="shared" si="15"/>
        <v>1</v>
      </c>
      <c r="CQ46" s="434">
        <f t="shared" si="16"/>
        <v>1</v>
      </c>
      <c r="CR46" s="434">
        <f t="shared" si="17"/>
        <v>1</v>
      </c>
      <c r="CS46" s="434">
        <f t="shared" si="18"/>
        <v>1</v>
      </c>
      <c r="CT46" s="434">
        <f t="shared" si="19"/>
        <v>1</v>
      </c>
      <c r="CU46" s="1867">
        <f t="shared" si="20"/>
        <v>1</v>
      </c>
      <c r="CV46" s="1867">
        <f t="shared" si="21"/>
        <v>1</v>
      </c>
    </row>
    <row r="47" spans="1:100" x14ac:dyDescent="0.25">
      <c r="A47" s="5823">
        <v>19201065</v>
      </c>
      <c r="B47" s="3874" t="s">
        <v>2225</v>
      </c>
      <c r="C47" s="4175" t="s">
        <v>4567</v>
      </c>
      <c r="D47" s="3913" t="s">
        <v>4568</v>
      </c>
      <c r="E47" s="329" t="s">
        <v>4569</v>
      </c>
      <c r="F47" s="3913" t="s">
        <v>4570</v>
      </c>
      <c r="G47" s="329" t="s">
        <v>4571</v>
      </c>
      <c r="H47" s="329" t="s">
        <v>4572</v>
      </c>
      <c r="I47" s="3904" t="s">
        <v>4573</v>
      </c>
      <c r="J47" s="331" t="s">
        <v>4574</v>
      </c>
      <c r="K47" s="3903" t="s">
        <v>4575</v>
      </c>
      <c r="L47" s="329" t="s">
        <v>4576</v>
      </c>
      <c r="M47" s="3913" t="s">
        <v>4577</v>
      </c>
      <c r="N47" s="1939" t="s">
        <v>4578</v>
      </c>
      <c r="O47" s="1939" t="s">
        <v>4579</v>
      </c>
      <c r="P47" s="1939" t="s">
        <v>4580</v>
      </c>
      <c r="Q47" s="329" t="s">
        <v>4581</v>
      </c>
      <c r="R47" s="3913" t="s">
        <v>4582</v>
      </c>
      <c r="S47" s="329" t="s">
        <v>4583</v>
      </c>
      <c r="T47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7" s="4174" t="str">
        <f t="shared" si="2"/>
        <v xml:space="preserve"> * El Número de TRANS Masculino no puede superar el Total Mujeres. </v>
      </c>
      <c r="CC47" s="4174" t="str">
        <f t="shared" si="3"/>
        <v xml:space="preserve"> * El Número de TRANS Femenino no puede superar el Total Hombres. </v>
      </c>
      <c r="CD47" s="4174" t="str">
        <f t="shared" si="8"/>
        <v xml:space="preserve"> * La variable No Binarie no puede superar el Total Ambos Sexos. </v>
      </c>
      <c r="CE47" s="4174" t="str">
        <f t="shared" si="9"/>
        <v xml:space="preserve"> * La variable No revelado no puede superar el Total Ambos Sexos. </v>
      </c>
      <c r="CF47" s="4174" t="str">
        <f t="shared" si="10"/>
        <v xml:space="preserve"> * La variable Pueblos Originarios no puede superar el Total Ambos Sexos. </v>
      </c>
      <c r="CG47" s="4174" t="str">
        <f t="shared" si="11"/>
        <v xml:space="preserve"> * La variable Migrantes no puede superar el Total Ambos Sexos. </v>
      </c>
      <c r="CH47" s="4174" t="str">
        <f t="shared" si="12"/>
        <v xml:space="preserve"> * La variable PRAIS no puede superar el Total Ambos Sexos. </v>
      </c>
      <c r="CI47" s="4174" t="str">
        <f t="shared" si="13"/>
        <v xml:space="preserve"> * La variable N° DE ATENCIONES EN EL MES (Ley Mila) no puede superar el Total Ambos Sexos. </v>
      </c>
      <c r="CJ47" s="4174" t="str">
        <f t="shared" si="14"/>
        <v xml:space="preserve"> * La variable N° DE ATENCIONES EN EL MES (Ley Mila) no puede superar el Total Mujeres. </v>
      </c>
      <c r="CN47" s="434">
        <f t="shared" si="4"/>
        <v>1</v>
      </c>
      <c r="CO47" s="434">
        <f t="shared" si="5"/>
        <v>1</v>
      </c>
      <c r="CP47" s="434">
        <f t="shared" si="15"/>
        <v>1</v>
      </c>
      <c r="CQ47" s="434">
        <f t="shared" si="16"/>
        <v>1</v>
      </c>
      <c r="CR47" s="434">
        <f t="shared" si="17"/>
        <v>1</v>
      </c>
      <c r="CS47" s="434">
        <f t="shared" si="18"/>
        <v>1</v>
      </c>
      <c r="CT47" s="434">
        <f t="shared" si="19"/>
        <v>1</v>
      </c>
      <c r="CU47" s="1867">
        <f t="shared" si="20"/>
        <v>1</v>
      </c>
      <c r="CV47" s="1867">
        <f t="shared" si="21"/>
        <v>1</v>
      </c>
    </row>
    <row r="48" spans="1:100" x14ac:dyDescent="0.25">
      <c r="A48" s="5823">
        <v>19201066</v>
      </c>
      <c r="B48" s="3924" t="s">
        <v>2226</v>
      </c>
      <c r="C48" s="4038" t="s">
        <v>4567</v>
      </c>
      <c r="D48" s="3913" t="s">
        <v>4568</v>
      </c>
      <c r="E48" s="329" t="s">
        <v>4569</v>
      </c>
      <c r="F48" s="3913" t="s">
        <v>4570</v>
      </c>
      <c r="G48" s="329" t="s">
        <v>4571</v>
      </c>
      <c r="H48" s="329" t="s">
        <v>4572</v>
      </c>
      <c r="I48" s="3904" t="s">
        <v>4573</v>
      </c>
      <c r="J48" s="331" t="s">
        <v>4574</v>
      </c>
      <c r="K48" s="3903" t="s">
        <v>4575</v>
      </c>
      <c r="L48" s="329" t="s">
        <v>4576</v>
      </c>
      <c r="M48" s="3913" t="s">
        <v>4577</v>
      </c>
      <c r="N48" s="1939" t="s">
        <v>4578</v>
      </c>
      <c r="O48" s="1939" t="s">
        <v>4579</v>
      </c>
      <c r="P48" s="1939" t="s">
        <v>4580</v>
      </c>
      <c r="Q48" s="329" t="s">
        <v>4581</v>
      </c>
      <c r="R48" s="3913" t="s">
        <v>4582</v>
      </c>
      <c r="S48" s="329" t="s">
        <v>4583</v>
      </c>
      <c r="T48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8" s="4174" t="str">
        <f t="shared" si="2"/>
        <v xml:space="preserve"> * El Número de TRANS Masculino no puede superar el Total Mujeres. </v>
      </c>
      <c r="CC48" s="4174" t="str">
        <f t="shared" si="3"/>
        <v xml:space="preserve"> * El Número de TRANS Femenino no puede superar el Total Hombres. </v>
      </c>
      <c r="CD48" s="4174" t="str">
        <f t="shared" si="8"/>
        <v xml:space="preserve"> * La variable No Binarie no puede superar el Total Ambos Sexos. </v>
      </c>
      <c r="CE48" s="4174" t="str">
        <f t="shared" si="9"/>
        <v xml:space="preserve"> * La variable No revelado no puede superar el Total Ambos Sexos. </v>
      </c>
      <c r="CF48" s="4174" t="str">
        <f t="shared" si="10"/>
        <v xml:space="preserve"> * La variable Pueblos Originarios no puede superar el Total Ambos Sexos. </v>
      </c>
      <c r="CG48" s="4174" t="str">
        <f t="shared" si="11"/>
        <v xml:space="preserve"> * La variable Migrantes no puede superar el Total Ambos Sexos. </v>
      </c>
      <c r="CH48" s="4174" t="str">
        <f t="shared" si="12"/>
        <v xml:space="preserve"> * La variable PRAIS no puede superar el Total Ambos Sexos. </v>
      </c>
      <c r="CI48" s="4174" t="str">
        <f t="shared" si="13"/>
        <v xml:space="preserve"> * La variable N° DE ATENCIONES EN EL MES (Ley Mila) no puede superar el Total Ambos Sexos. </v>
      </c>
      <c r="CJ48" s="4174" t="str">
        <f t="shared" si="14"/>
        <v xml:space="preserve"> * La variable N° DE ATENCIONES EN EL MES (Ley Mila) no puede superar el Total Mujeres. </v>
      </c>
      <c r="CN48" s="434">
        <f t="shared" si="4"/>
        <v>1</v>
      </c>
      <c r="CO48" s="434">
        <f t="shared" si="5"/>
        <v>1</v>
      </c>
      <c r="CP48" s="434">
        <f t="shared" si="15"/>
        <v>1</v>
      </c>
      <c r="CQ48" s="434">
        <f t="shared" si="16"/>
        <v>1</v>
      </c>
      <c r="CR48" s="434">
        <f t="shared" si="17"/>
        <v>1</v>
      </c>
      <c r="CS48" s="434">
        <f t="shared" si="18"/>
        <v>1</v>
      </c>
      <c r="CT48" s="434">
        <f t="shared" si="19"/>
        <v>1</v>
      </c>
      <c r="CU48" s="1867">
        <f t="shared" si="20"/>
        <v>1</v>
      </c>
      <c r="CV48" s="1867">
        <f t="shared" si="21"/>
        <v>1</v>
      </c>
    </row>
    <row r="49" spans="1:100" x14ac:dyDescent="0.25">
      <c r="A49" s="5823">
        <v>19201067</v>
      </c>
      <c r="B49" s="3924" t="s">
        <v>2227</v>
      </c>
      <c r="C49" s="4175" t="s">
        <v>4567</v>
      </c>
      <c r="D49" s="326" t="s">
        <v>4568</v>
      </c>
      <c r="E49" s="142" t="s">
        <v>4569</v>
      </c>
      <c r="F49" s="326" t="s">
        <v>4570</v>
      </c>
      <c r="G49" s="142" t="s">
        <v>4571</v>
      </c>
      <c r="H49" s="142" t="s">
        <v>4572</v>
      </c>
      <c r="I49" s="44" t="s">
        <v>4573</v>
      </c>
      <c r="J49" s="1001" t="s">
        <v>4574</v>
      </c>
      <c r="K49" s="336" t="s">
        <v>4575</v>
      </c>
      <c r="L49" s="142" t="s">
        <v>4576</v>
      </c>
      <c r="M49" s="326" t="s">
        <v>4577</v>
      </c>
      <c r="N49" s="1014" t="s">
        <v>4578</v>
      </c>
      <c r="O49" s="1014" t="s">
        <v>4579</v>
      </c>
      <c r="P49" s="1014" t="s">
        <v>4580</v>
      </c>
      <c r="Q49" s="142" t="s">
        <v>4581</v>
      </c>
      <c r="R49" s="326" t="s">
        <v>4582</v>
      </c>
      <c r="S49" s="142" t="s">
        <v>4583</v>
      </c>
      <c r="T49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9" s="4174" t="str">
        <f t="shared" si="2"/>
        <v xml:space="preserve"> * El Número de TRANS Masculino no puede superar el Total Mujeres. </v>
      </c>
      <c r="CC49" s="4174" t="str">
        <f t="shared" si="3"/>
        <v xml:space="preserve"> * El Número de TRANS Femenino no puede superar el Total Hombres. </v>
      </c>
      <c r="CD49" s="4174" t="str">
        <f t="shared" si="8"/>
        <v xml:space="preserve"> * La variable No Binarie no puede superar el Total Ambos Sexos. </v>
      </c>
      <c r="CE49" s="4174" t="str">
        <f t="shared" si="9"/>
        <v xml:space="preserve"> * La variable No revelado no puede superar el Total Ambos Sexos. </v>
      </c>
      <c r="CF49" s="4174" t="str">
        <f t="shared" si="10"/>
        <v xml:space="preserve"> * La variable Pueblos Originarios no puede superar el Total Ambos Sexos. </v>
      </c>
      <c r="CG49" s="4174" t="str">
        <f t="shared" si="11"/>
        <v xml:space="preserve"> * La variable Migrantes no puede superar el Total Ambos Sexos. </v>
      </c>
      <c r="CH49" s="4174" t="str">
        <f t="shared" si="12"/>
        <v xml:space="preserve"> * La variable PRAIS no puede superar el Total Ambos Sexos. </v>
      </c>
      <c r="CI49" s="4174" t="str">
        <f t="shared" si="13"/>
        <v xml:space="preserve"> * La variable N° DE ATENCIONES EN EL MES (Ley Mila) no puede superar el Total Ambos Sexos. </v>
      </c>
      <c r="CJ49" s="4174" t="str">
        <f t="shared" si="14"/>
        <v xml:space="preserve"> * La variable N° DE ATENCIONES EN EL MES (Ley Mila) no puede superar el Total Mujeres. </v>
      </c>
      <c r="CN49" s="434">
        <f t="shared" si="4"/>
        <v>1</v>
      </c>
      <c r="CO49" s="434">
        <f t="shared" si="5"/>
        <v>1</v>
      </c>
      <c r="CP49" s="434">
        <f t="shared" si="15"/>
        <v>1</v>
      </c>
      <c r="CQ49" s="434">
        <f t="shared" si="16"/>
        <v>1</v>
      </c>
      <c r="CR49" s="434">
        <f t="shared" si="17"/>
        <v>1</v>
      </c>
      <c r="CS49" s="434">
        <f t="shared" si="18"/>
        <v>1</v>
      </c>
      <c r="CT49" s="434">
        <f t="shared" si="19"/>
        <v>1</v>
      </c>
      <c r="CU49" s="1867">
        <f t="shared" si="20"/>
        <v>1</v>
      </c>
      <c r="CV49" s="1867">
        <f t="shared" si="21"/>
        <v>1</v>
      </c>
    </row>
    <row r="50" spans="1:100" x14ac:dyDescent="0.25">
      <c r="A50" s="5847">
        <v>19181002</v>
      </c>
      <c r="B50" s="3874" t="s">
        <v>2228</v>
      </c>
      <c r="C50" s="4173" t="s">
        <v>4567</v>
      </c>
      <c r="D50" s="326" t="s">
        <v>4568</v>
      </c>
      <c r="E50" s="142" t="s">
        <v>4569</v>
      </c>
      <c r="F50" s="326" t="s">
        <v>4570</v>
      </c>
      <c r="G50" s="142" t="s">
        <v>4571</v>
      </c>
      <c r="H50" s="142" t="s">
        <v>4572</v>
      </c>
      <c r="I50" s="44" t="s">
        <v>4573</v>
      </c>
      <c r="J50" s="1001" t="s">
        <v>4574</v>
      </c>
      <c r="K50" s="336" t="s">
        <v>4575</v>
      </c>
      <c r="L50" s="142" t="s">
        <v>4576</v>
      </c>
      <c r="M50" s="326" t="s">
        <v>4577</v>
      </c>
      <c r="N50" s="1014" t="s">
        <v>4578</v>
      </c>
      <c r="O50" s="1014" t="s">
        <v>4579</v>
      </c>
      <c r="P50" s="1014" t="s">
        <v>4580</v>
      </c>
      <c r="Q50" s="142" t="s">
        <v>4581</v>
      </c>
      <c r="R50" s="326" t="s">
        <v>4582</v>
      </c>
      <c r="S50" s="142" t="s">
        <v>4583</v>
      </c>
      <c r="T50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0" s="4174" t="str">
        <f t="shared" si="2"/>
        <v xml:space="preserve"> * El Número de TRANS Masculino no puede superar el Total Mujeres. </v>
      </c>
      <c r="CC50" s="4174" t="str">
        <f t="shared" si="3"/>
        <v xml:space="preserve"> * El Número de TRANS Femenino no puede superar el Total Hombres. </v>
      </c>
      <c r="CD50" s="4174" t="str">
        <f t="shared" si="8"/>
        <v xml:space="preserve"> * La variable No Binarie no puede superar el Total Ambos Sexos. </v>
      </c>
      <c r="CE50" s="4174" t="str">
        <f t="shared" si="9"/>
        <v xml:space="preserve"> * La variable No revelado no puede superar el Total Ambos Sexos. </v>
      </c>
      <c r="CF50" s="4174" t="str">
        <f t="shared" si="10"/>
        <v xml:space="preserve"> * La variable Pueblos Originarios no puede superar el Total Ambos Sexos. </v>
      </c>
      <c r="CG50" s="4174" t="str">
        <f t="shared" si="11"/>
        <v xml:space="preserve"> * La variable Migrantes no puede superar el Total Ambos Sexos. </v>
      </c>
      <c r="CH50" s="4174" t="str">
        <f t="shared" si="12"/>
        <v xml:space="preserve"> * La variable PRAIS no puede superar el Total Ambos Sexos. </v>
      </c>
      <c r="CI50" s="4174" t="str">
        <f t="shared" si="13"/>
        <v xml:space="preserve"> * La variable N° DE ATENCIONES EN EL MES (Ley Mila) no puede superar el Total Ambos Sexos. </v>
      </c>
      <c r="CJ50" s="4174" t="str">
        <f t="shared" si="14"/>
        <v xml:space="preserve"> * La variable N° DE ATENCIONES EN EL MES (Ley Mila) no puede superar el Total Mujeres. </v>
      </c>
      <c r="CN50" s="434">
        <f t="shared" si="4"/>
        <v>1</v>
      </c>
      <c r="CO50" s="434">
        <f t="shared" si="5"/>
        <v>1</v>
      </c>
      <c r="CP50" s="434">
        <f t="shared" si="15"/>
        <v>1</v>
      </c>
      <c r="CQ50" s="434">
        <f t="shared" si="16"/>
        <v>1</v>
      </c>
      <c r="CR50" s="434">
        <f t="shared" si="17"/>
        <v>1</v>
      </c>
      <c r="CS50" s="434">
        <f t="shared" si="18"/>
        <v>1</v>
      </c>
      <c r="CT50" s="434">
        <f t="shared" si="19"/>
        <v>1</v>
      </c>
      <c r="CU50" s="1867">
        <f t="shared" si="20"/>
        <v>1</v>
      </c>
      <c r="CV50" s="1867">
        <f t="shared" si="21"/>
        <v>1</v>
      </c>
    </row>
    <row r="51" spans="1:100" x14ac:dyDescent="0.25">
      <c r="A51" s="5847">
        <v>19181003</v>
      </c>
      <c r="B51" s="517" t="s">
        <v>2229</v>
      </c>
      <c r="C51" s="2747" t="s">
        <v>4567</v>
      </c>
      <c r="D51" s="853" t="s">
        <v>4568</v>
      </c>
      <c r="E51" s="854" t="s">
        <v>4569</v>
      </c>
      <c r="F51" s="853" t="s">
        <v>4570</v>
      </c>
      <c r="G51" s="854" t="s">
        <v>4571</v>
      </c>
      <c r="H51" s="854" t="s">
        <v>4572</v>
      </c>
      <c r="I51" s="1877" t="s">
        <v>4573</v>
      </c>
      <c r="J51" s="1919" t="s">
        <v>4574</v>
      </c>
      <c r="K51" s="1879" t="s">
        <v>4575</v>
      </c>
      <c r="L51" s="854" t="s">
        <v>4576</v>
      </c>
      <c r="M51" s="853" t="s">
        <v>4577</v>
      </c>
      <c r="N51" s="1873" t="s">
        <v>4578</v>
      </c>
      <c r="O51" s="1873" t="s">
        <v>4579</v>
      </c>
      <c r="P51" s="1873" t="s">
        <v>4580</v>
      </c>
      <c r="Q51" s="854" t="s">
        <v>4581</v>
      </c>
      <c r="R51" s="853" t="s">
        <v>4582</v>
      </c>
      <c r="S51" s="854" t="s">
        <v>4583</v>
      </c>
      <c r="T51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1" s="4174" t="str">
        <f t="shared" si="2"/>
        <v xml:space="preserve"> * El Número de TRANS Masculino no puede superar el Total Mujeres. </v>
      </c>
      <c r="CC51" s="4174" t="str">
        <f t="shared" si="3"/>
        <v xml:space="preserve"> * El Número de TRANS Femenino no puede superar el Total Hombres. </v>
      </c>
      <c r="CD51" s="4174" t="str">
        <f t="shared" si="8"/>
        <v xml:space="preserve"> * La variable No Binarie no puede superar el Total Ambos Sexos. </v>
      </c>
      <c r="CE51" s="4174" t="str">
        <f t="shared" si="9"/>
        <v xml:space="preserve"> * La variable No revelado no puede superar el Total Ambos Sexos. </v>
      </c>
      <c r="CF51" s="4174" t="str">
        <f t="shared" si="10"/>
        <v xml:space="preserve"> * La variable Pueblos Originarios no puede superar el Total Ambos Sexos. </v>
      </c>
      <c r="CG51" s="4174" t="str">
        <f t="shared" si="11"/>
        <v xml:space="preserve"> * La variable Migrantes no puede superar el Total Ambos Sexos. </v>
      </c>
      <c r="CH51" s="4174" t="str">
        <f t="shared" si="12"/>
        <v xml:space="preserve"> * La variable PRAIS no puede superar el Total Ambos Sexos. </v>
      </c>
      <c r="CI51" s="4174" t="str">
        <f t="shared" si="13"/>
        <v xml:space="preserve"> * La variable N° DE ATENCIONES EN EL MES (Ley Mila) no puede superar el Total Ambos Sexos. </v>
      </c>
      <c r="CJ51" s="4174" t="str">
        <f t="shared" si="14"/>
        <v xml:space="preserve"> * La variable N° DE ATENCIONES EN EL MES (Ley Mila) no puede superar el Total Mujeres. </v>
      </c>
      <c r="CN51" s="434">
        <f t="shared" si="4"/>
        <v>1</v>
      </c>
      <c r="CO51" s="434">
        <f t="shared" si="5"/>
        <v>1</v>
      </c>
      <c r="CP51" s="434">
        <f t="shared" si="15"/>
        <v>1</v>
      </c>
      <c r="CQ51" s="434">
        <f t="shared" si="16"/>
        <v>1</v>
      </c>
      <c r="CR51" s="434">
        <f t="shared" si="17"/>
        <v>1</v>
      </c>
      <c r="CS51" s="434">
        <f t="shared" si="18"/>
        <v>1</v>
      </c>
      <c r="CT51" s="434">
        <f t="shared" si="19"/>
        <v>1</v>
      </c>
      <c r="CU51" s="1867">
        <f t="shared" si="20"/>
        <v>1</v>
      </c>
      <c r="CV51" s="1867">
        <f t="shared" si="21"/>
        <v>1</v>
      </c>
    </row>
    <row r="52" spans="1:100" x14ac:dyDescent="0.25">
      <c r="A52" s="5616"/>
      <c r="B52" s="3892" t="s">
        <v>2230</v>
      </c>
      <c r="C52" s="4167">
        <f>SUM(C53:C57)</f>
        <v>0</v>
      </c>
      <c r="D52" s="4167">
        <f>SUM(D53:D57)</f>
        <v>0</v>
      </c>
      <c r="E52" s="4168">
        <f>SUM(E53:E57)</f>
        <v>0</v>
      </c>
      <c r="F52" s="4167"/>
      <c r="G52" s="4168"/>
      <c r="H52" s="4176"/>
      <c r="I52" s="4177"/>
      <c r="J52" s="4171"/>
      <c r="K52" s="4169">
        <f>SUM(K53:K57)</f>
        <v>0</v>
      </c>
      <c r="L52" s="4176">
        <f>SUM(L53:L57)</f>
        <v>0</v>
      </c>
      <c r="M52" s="4178">
        <f>SUM(M53:M57)</f>
        <v>0</v>
      </c>
      <c r="N52" s="4178">
        <f t="shared" ref="N52:S52" si="22">SUM(N53:N57)</f>
        <v>0</v>
      </c>
      <c r="O52" s="4178">
        <f t="shared" si="22"/>
        <v>0</v>
      </c>
      <c r="P52" s="4178">
        <f t="shared" si="22"/>
        <v>0</v>
      </c>
      <c r="Q52" s="4168">
        <f t="shared" si="22"/>
        <v>0</v>
      </c>
      <c r="R52" s="4178">
        <f t="shared" si="22"/>
        <v>0</v>
      </c>
      <c r="S52" s="4168">
        <f t="shared" si="22"/>
        <v>0</v>
      </c>
      <c r="T52" s="1936"/>
      <c r="CB52" s="4179"/>
      <c r="CC52" s="4179"/>
      <c r="CD52" s="4179"/>
      <c r="CE52" s="4179"/>
      <c r="CF52" s="4179"/>
      <c r="CG52" s="4179"/>
      <c r="CH52" s="4179"/>
      <c r="CI52" s="4179"/>
      <c r="CJ52" s="4179"/>
      <c r="CN52" s="439"/>
      <c r="CO52" s="439"/>
      <c r="CP52" s="439"/>
      <c r="CQ52" s="439"/>
      <c r="CR52" s="439"/>
      <c r="CS52" s="439"/>
      <c r="CT52" s="439"/>
      <c r="CU52" s="2673"/>
      <c r="CV52" s="2673"/>
    </row>
    <row r="53" spans="1:100" x14ac:dyDescent="0.25">
      <c r="A53" s="5846">
        <v>19140612</v>
      </c>
      <c r="B53" s="399" t="s">
        <v>1655</v>
      </c>
      <c r="C53" s="4173" t="s">
        <v>4567</v>
      </c>
      <c r="D53" s="326" t="s">
        <v>4568</v>
      </c>
      <c r="E53" s="142" t="s">
        <v>4569</v>
      </c>
      <c r="F53" s="333" t="s">
        <v>4570</v>
      </c>
      <c r="G53" s="987" t="s">
        <v>4571</v>
      </c>
      <c r="H53" s="211" t="s">
        <v>4572</v>
      </c>
      <c r="I53" s="1885" t="s">
        <v>4573</v>
      </c>
      <c r="J53" s="991" t="s">
        <v>4574</v>
      </c>
      <c r="K53" s="3044" t="s">
        <v>4575</v>
      </c>
      <c r="L53" s="142" t="s">
        <v>4576</v>
      </c>
      <c r="M53" s="326" t="s">
        <v>4577</v>
      </c>
      <c r="N53" s="1014" t="s">
        <v>4578</v>
      </c>
      <c r="O53" s="1014" t="s">
        <v>4579</v>
      </c>
      <c r="P53" s="1014" t="s">
        <v>4580</v>
      </c>
      <c r="Q53" s="882" t="s">
        <v>4581</v>
      </c>
      <c r="R53" s="44" t="s">
        <v>4582</v>
      </c>
      <c r="S53" s="882" t="s">
        <v>4583</v>
      </c>
      <c r="T53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3" s="4174" t="str">
        <f>IF(AND(E53&gt;0,K53=""),"*No olvide digitar el campo TRANS Masculino (Digite CERO si no tiene).", IF(K53&gt;E53," * El Número de TRANS Masculino no puede superar el Total Mujeres. ",""))</f>
        <v xml:space="preserve"> * El Número de TRANS Masculino no puede superar el Total Mujeres. </v>
      </c>
      <c r="CC53" s="4174" t="str">
        <f>IF(AND(D53&gt;0,OR(L53=""))," *No olvide digitar el campo TRANS Femenino (Digite CERO si no tiene).",IF(L53&gt;$D53," * El Número de TRANS Femenino no puede superar el Total Hombres. ",""))</f>
        <v xml:space="preserve"> * El Número de TRANS Femenino no puede superar el Total Hombres. </v>
      </c>
      <c r="CD53" s="4174" t="str">
        <f t="shared" si="8"/>
        <v xml:space="preserve"> * La variable No Binarie no puede superar el Total Ambos Sexos. </v>
      </c>
      <c r="CE53" s="4174" t="str">
        <f t="shared" si="9"/>
        <v xml:space="preserve"> * La variable No revelado no puede superar el Total Ambos Sexos. </v>
      </c>
      <c r="CF53" s="4174" t="str">
        <f t="shared" si="10"/>
        <v xml:space="preserve"> * La variable Pueblos Originarios no puede superar el Total Ambos Sexos. </v>
      </c>
      <c r="CG53" s="4174" t="str">
        <f t="shared" si="11"/>
        <v xml:space="preserve"> * La variable Migrantes no puede superar el Total Ambos Sexos. </v>
      </c>
      <c r="CH53" s="4174" t="str">
        <f t="shared" si="12"/>
        <v xml:space="preserve"> * La variable PRAIS no puede superar el Total Ambos Sexos. </v>
      </c>
      <c r="CI53" s="4174" t="str">
        <f t="shared" si="13"/>
        <v xml:space="preserve"> * La variable N° DE ATENCIONES EN EL MES (Ley Mila) no puede superar el Total Ambos Sexos. </v>
      </c>
      <c r="CJ53" s="4174" t="str">
        <f t="shared" si="14"/>
        <v xml:space="preserve"> * La variable N° DE ATENCIONES EN EL MES (Ley Mila) no puede superar el Total Mujeres. </v>
      </c>
      <c r="CN53" s="434">
        <f>IF(AND(E53&gt;0,OR(K53="")),1,IF(K53&gt;E53,1,0))</f>
        <v>1</v>
      </c>
      <c r="CO53" s="434">
        <f>IF(AND(D53&gt;0,OR(L53="")),1,IF(L53&gt;D53,1,0))</f>
        <v>1</v>
      </c>
      <c r="CP53" s="434">
        <f t="shared" si="15"/>
        <v>1</v>
      </c>
      <c r="CQ53" s="434">
        <f t="shared" si="16"/>
        <v>1</v>
      </c>
      <c r="CR53" s="434">
        <f t="shared" si="17"/>
        <v>1</v>
      </c>
      <c r="CS53" s="434">
        <f t="shared" si="18"/>
        <v>1</v>
      </c>
      <c r="CT53" s="434">
        <f t="shared" si="19"/>
        <v>1</v>
      </c>
      <c r="CU53" s="1867">
        <f t="shared" si="20"/>
        <v>1</v>
      </c>
      <c r="CV53" s="1867">
        <f t="shared" si="21"/>
        <v>1</v>
      </c>
    </row>
    <row r="54" spans="1:100" x14ac:dyDescent="0.25">
      <c r="A54" s="5846">
        <v>19140613</v>
      </c>
      <c r="B54" s="4162" t="s">
        <v>2231</v>
      </c>
      <c r="C54" s="4175" t="s">
        <v>4567</v>
      </c>
      <c r="D54" s="326" t="s">
        <v>4568</v>
      </c>
      <c r="E54" s="1969" t="s">
        <v>4569</v>
      </c>
      <c r="F54" s="3909" t="s">
        <v>4570</v>
      </c>
      <c r="G54" s="1968" t="s">
        <v>4571</v>
      </c>
      <c r="H54" s="1944" t="s">
        <v>4572</v>
      </c>
      <c r="I54" s="1943" t="s">
        <v>4573</v>
      </c>
      <c r="J54" s="2021" t="s">
        <v>4574</v>
      </c>
      <c r="K54" s="3903" t="s">
        <v>4575</v>
      </c>
      <c r="L54" s="329" t="s">
        <v>4576</v>
      </c>
      <c r="M54" s="3913" t="s">
        <v>4577</v>
      </c>
      <c r="N54" s="1939" t="s">
        <v>4578</v>
      </c>
      <c r="O54" s="1939" t="s">
        <v>4579</v>
      </c>
      <c r="P54" s="1939" t="s">
        <v>4580</v>
      </c>
      <c r="Q54" s="1969" t="s">
        <v>4581</v>
      </c>
      <c r="R54" s="3904" t="s">
        <v>4582</v>
      </c>
      <c r="S54" s="1969" t="s">
        <v>4583</v>
      </c>
      <c r="T5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4" s="4174" t="str">
        <f>IF(AND(E54&gt;0,K54=""),"*No olvide digitar el campo TRANS Masculino (Digite CERO si no tiene).", IF(K54&gt;E54," * El Número de TRANS Masculino no puede superar el Total Mujeres. ",""))</f>
        <v xml:space="preserve"> * El Número de TRANS Masculino no puede superar el Total Mujeres. </v>
      </c>
      <c r="CC54" s="4174" t="str">
        <f>IF(AND(D54&gt;0,OR(L54=""))," *No olvide digitar el campo TRANS Femenino (Digite CERO si no tiene).",IF(L54&gt;$D54," * El Número de TRANS Femenino no puede superar el Total Hombres. ",""))</f>
        <v xml:space="preserve"> * El Número de TRANS Femenino no puede superar el Total Hombres. </v>
      </c>
      <c r="CD54" s="4174" t="str">
        <f t="shared" si="8"/>
        <v xml:space="preserve"> * La variable No Binarie no puede superar el Total Ambos Sexos. </v>
      </c>
      <c r="CE54" s="4174" t="str">
        <f t="shared" si="9"/>
        <v xml:space="preserve"> * La variable No revelado no puede superar el Total Ambos Sexos. </v>
      </c>
      <c r="CF54" s="4174" t="str">
        <f t="shared" si="10"/>
        <v xml:space="preserve"> * La variable Pueblos Originarios no puede superar el Total Ambos Sexos. </v>
      </c>
      <c r="CG54" s="4174" t="str">
        <f t="shared" si="11"/>
        <v xml:space="preserve"> * La variable Migrantes no puede superar el Total Ambos Sexos. </v>
      </c>
      <c r="CH54" s="4174" t="str">
        <f t="shared" si="12"/>
        <v xml:space="preserve"> * La variable PRAIS no puede superar el Total Ambos Sexos. </v>
      </c>
      <c r="CI54" s="4174" t="str">
        <f t="shared" si="13"/>
        <v xml:space="preserve"> * La variable N° DE ATENCIONES EN EL MES (Ley Mila) no puede superar el Total Ambos Sexos. </v>
      </c>
      <c r="CJ54" s="4174" t="str">
        <f t="shared" si="14"/>
        <v xml:space="preserve"> * La variable N° DE ATENCIONES EN EL MES (Ley Mila) no puede superar el Total Mujeres. </v>
      </c>
      <c r="CN54" s="434">
        <f>IF(AND(E54&gt;0,OR(K54="")),1,IF(K54&gt;E54,1,0))</f>
        <v>1</v>
      </c>
      <c r="CO54" s="434">
        <f>IF(AND(D54&gt;0,OR(L54="")),1,IF(L54&gt;D54,1,0))</f>
        <v>1</v>
      </c>
      <c r="CP54" s="434">
        <f t="shared" si="15"/>
        <v>1</v>
      </c>
      <c r="CQ54" s="434">
        <f t="shared" si="16"/>
        <v>1</v>
      </c>
      <c r="CR54" s="434">
        <f t="shared" si="17"/>
        <v>1</v>
      </c>
      <c r="CS54" s="434">
        <f t="shared" si="18"/>
        <v>1</v>
      </c>
      <c r="CT54" s="434">
        <f t="shared" si="19"/>
        <v>1</v>
      </c>
      <c r="CU54" s="1867">
        <f t="shared" si="20"/>
        <v>1</v>
      </c>
      <c r="CV54" s="1867">
        <f t="shared" si="21"/>
        <v>1</v>
      </c>
    </row>
    <row r="55" spans="1:100" x14ac:dyDescent="0.25">
      <c r="A55" s="5846">
        <v>19140615</v>
      </c>
      <c r="B55" s="4162" t="s">
        <v>2232</v>
      </c>
      <c r="C55" s="4175" t="s">
        <v>4567</v>
      </c>
      <c r="D55" s="3913" t="s">
        <v>4568</v>
      </c>
      <c r="E55" s="1969" t="s">
        <v>4569</v>
      </c>
      <c r="F55" s="3909" t="s">
        <v>4570</v>
      </c>
      <c r="G55" s="1968" t="s">
        <v>4571</v>
      </c>
      <c r="H55" s="1944" t="s">
        <v>4572</v>
      </c>
      <c r="I55" s="1943" t="s">
        <v>4573</v>
      </c>
      <c r="J55" s="2021" t="s">
        <v>4574</v>
      </c>
      <c r="K55" s="3903" t="s">
        <v>4575</v>
      </c>
      <c r="L55" s="329" t="s">
        <v>4576</v>
      </c>
      <c r="M55" s="3913" t="s">
        <v>4577</v>
      </c>
      <c r="N55" s="1939" t="s">
        <v>4578</v>
      </c>
      <c r="O55" s="1939" t="s">
        <v>4579</v>
      </c>
      <c r="P55" s="1939" t="s">
        <v>4580</v>
      </c>
      <c r="Q55" s="1969" t="s">
        <v>4581</v>
      </c>
      <c r="R55" s="3904" t="s">
        <v>4582</v>
      </c>
      <c r="S55" s="1969" t="s">
        <v>4583</v>
      </c>
      <c r="T5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5" s="4174" t="str">
        <f>IF(AND(E55&gt;0,K55=""),"*No olvide digitar el campo TRANS Masculino (Digite CERO si no tiene).", IF(K55&gt;E55," * El Número de TRANS Masculino no puede superar el Total Mujeres. ",""))</f>
        <v xml:space="preserve"> * El Número de TRANS Masculino no puede superar el Total Mujeres. </v>
      </c>
      <c r="CC55" s="4174" t="str">
        <f>IF(AND(D55&gt;0,OR(L55=""))," *No olvide digitar el campo TRANS Femenino (Digite CERO si no tiene).",IF(L55&gt;$D55," * El Número de TRANS Femenino no puede superar el Total Hombres. ",""))</f>
        <v xml:space="preserve"> * El Número de TRANS Femenino no puede superar el Total Hombres. </v>
      </c>
      <c r="CD55" s="4174" t="str">
        <f t="shared" si="8"/>
        <v xml:space="preserve"> * La variable No Binarie no puede superar el Total Ambos Sexos. </v>
      </c>
      <c r="CE55" s="4174" t="str">
        <f t="shared" si="9"/>
        <v xml:space="preserve"> * La variable No revelado no puede superar el Total Ambos Sexos. </v>
      </c>
      <c r="CF55" s="4174" t="str">
        <f t="shared" si="10"/>
        <v xml:space="preserve"> * La variable Pueblos Originarios no puede superar el Total Ambos Sexos. </v>
      </c>
      <c r="CG55" s="4174" t="str">
        <f t="shared" si="11"/>
        <v xml:space="preserve"> * La variable Migrantes no puede superar el Total Ambos Sexos. </v>
      </c>
      <c r="CH55" s="4174" t="str">
        <f t="shared" si="12"/>
        <v xml:space="preserve"> * La variable PRAIS no puede superar el Total Ambos Sexos. </v>
      </c>
      <c r="CI55" s="4174" t="str">
        <f t="shared" si="13"/>
        <v xml:space="preserve"> * La variable N° DE ATENCIONES EN EL MES (Ley Mila) no puede superar el Total Ambos Sexos. </v>
      </c>
      <c r="CJ55" s="4174" t="str">
        <f t="shared" si="14"/>
        <v xml:space="preserve"> * La variable N° DE ATENCIONES EN EL MES (Ley Mila) no puede superar el Total Mujeres. </v>
      </c>
      <c r="CN55" s="434">
        <f>IF(AND(E55&gt;0,OR(K55="")),1,IF(K55&gt;E55,1,0))</f>
        <v>1</v>
      </c>
      <c r="CO55" s="434">
        <f>IF(AND(D55&gt;0,OR(L55="")),1,IF(L55&gt;D55,1,0))</f>
        <v>1</v>
      </c>
      <c r="CP55" s="434">
        <f t="shared" si="15"/>
        <v>1</v>
      </c>
      <c r="CQ55" s="434">
        <f t="shared" si="16"/>
        <v>1</v>
      </c>
      <c r="CR55" s="434">
        <f t="shared" si="17"/>
        <v>1</v>
      </c>
      <c r="CS55" s="434">
        <f t="shared" si="18"/>
        <v>1</v>
      </c>
      <c r="CT55" s="434">
        <f t="shared" si="19"/>
        <v>1</v>
      </c>
      <c r="CU55" s="1867">
        <f t="shared" si="20"/>
        <v>1</v>
      </c>
      <c r="CV55" s="1867">
        <f t="shared" si="21"/>
        <v>1</v>
      </c>
    </row>
    <row r="56" spans="1:100" x14ac:dyDescent="0.25">
      <c r="A56" s="5846">
        <v>19182100</v>
      </c>
      <c r="B56" s="4162" t="s">
        <v>2233</v>
      </c>
      <c r="C56" s="4175" t="s">
        <v>4567</v>
      </c>
      <c r="D56" s="3913" t="s">
        <v>4568</v>
      </c>
      <c r="E56" s="1969" t="s">
        <v>4569</v>
      </c>
      <c r="F56" s="333" t="s">
        <v>4570</v>
      </c>
      <c r="G56" s="987" t="s">
        <v>4571</v>
      </c>
      <c r="H56" s="211" t="s">
        <v>4572</v>
      </c>
      <c r="I56" s="1885" t="s">
        <v>4573</v>
      </c>
      <c r="J56" s="991" t="s">
        <v>4574</v>
      </c>
      <c r="K56" s="3903" t="s">
        <v>4575</v>
      </c>
      <c r="L56" s="329" t="s">
        <v>4576</v>
      </c>
      <c r="M56" s="3913" t="s">
        <v>4577</v>
      </c>
      <c r="N56" s="1939" t="s">
        <v>4578</v>
      </c>
      <c r="O56" s="1939" t="s">
        <v>4579</v>
      </c>
      <c r="P56" s="1939" t="s">
        <v>4580</v>
      </c>
      <c r="Q56" s="1969" t="s">
        <v>4581</v>
      </c>
      <c r="R56" s="3904" t="s">
        <v>4582</v>
      </c>
      <c r="S56" s="1969" t="s">
        <v>4583</v>
      </c>
      <c r="T5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6" s="4174" t="str">
        <f>IF(AND(E56&gt;0,K56=""),"*No olvide digitar el campo TRANS Masculino (Digite CERO si no tiene).", IF(K56&gt;E56," * El Número de TRANS Masculino no puede superar el Total Mujeres. ",""))</f>
        <v xml:space="preserve"> * El Número de TRANS Masculino no puede superar el Total Mujeres. </v>
      </c>
      <c r="CC56" s="4174" t="str">
        <f>IF(AND(D56&gt;0,OR(L56=""))," *No olvide digitar el campo TRANS Femenino (Digite CERO si no tiene).",IF(L56&gt;$D56," * El Número de TRANS Femenino no puede superar el Total Hombres. ",""))</f>
        <v xml:space="preserve"> * El Número de TRANS Femenino no puede superar el Total Hombres. </v>
      </c>
      <c r="CD56" s="4174" t="str">
        <f t="shared" si="8"/>
        <v xml:space="preserve"> * La variable No Binarie no puede superar el Total Ambos Sexos. </v>
      </c>
      <c r="CE56" s="4174" t="str">
        <f t="shared" si="9"/>
        <v xml:space="preserve"> * La variable No revelado no puede superar el Total Ambos Sexos. </v>
      </c>
      <c r="CF56" s="4174" t="str">
        <f t="shared" si="10"/>
        <v xml:space="preserve"> * La variable Pueblos Originarios no puede superar el Total Ambos Sexos. </v>
      </c>
      <c r="CG56" s="4174" t="str">
        <f t="shared" si="11"/>
        <v xml:space="preserve"> * La variable Migrantes no puede superar el Total Ambos Sexos. </v>
      </c>
      <c r="CH56" s="4174" t="str">
        <f t="shared" si="12"/>
        <v xml:space="preserve"> * La variable PRAIS no puede superar el Total Ambos Sexos. </v>
      </c>
      <c r="CI56" s="4174" t="str">
        <f t="shared" si="13"/>
        <v xml:space="preserve"> * La variable N° DE ATENCIONES EN EL MES (Ley Mila) no puede superar el Total Ambos Sexos. </v>
      </c>
      <c r="CJ56" s="4174" t="str">
        <f t="shared" si="14"/>
        <v xml:space="preserve"> * La variable N° DE ATENCIONES EN EL MES (Ley Mila) no puede superar el Total Mujeres. </v>
      </c>
      <c r="CN56" s="434">
        <f>IF(AND(E56&gt;0,OR(K56="")),1,IF(K56&gt;E56,1,0))</f>
        <v>1</v>
      </c>
      <c r="CO56" s="434">
        <f>IF(AND(D56&gt;0,OR(L56="")),1,IF(L56&gt;D56,1,0))</f>
        <v>1</v>
      </c>
      <c r="CP56" s="434">
        <f t="shared" si="15"/>
        <v>1</v>
      </c>
      <c r="CQ56" s="434">
        <f t="shared" si="16"/>
        <v>1</v>
      </c>
      <c r="CR56" s="434">
        <f t="shared" si="17"/>
        <v>1</v>
      </c>
      <c r="CS56" s="434">
        <f t="shared" si="18"/>
        <v>1</v>
      </c>
      <c r="CT56" s="434">
        <f t="shared" si="19"/>
        <v>1</v>
      </c>
      <c r="CU56" s="1867">
        <f t="shared" si="20"/>
        <v>1</v>
      </c>
      <c r="CV56" s="1867">
        <f t="shared" si="21"/>
        <v>1</v>
      </c>
    </row>
    <row r="57" spans="1:100" x14ac:dyDescent="0.25">
      <c r="A57" s="5846">
        <v>19182110</v>
      </c>
      <c r="B57" s="2885" t="s">
        <v>2234</v>
      </c>
      <c r="C57" s="4157" t="s">
        <v>4567</v>
      </c>
      <c r="D57" s="853" t="s">
        <v>4568</v>
      </c>
      <c r="E57" s="1975" t="s">
        <v>4569</v>
      </c>
      <c r="F57" s="1871" t="s">
        <v>4570</v>
      </c>
      <c r="G57" s="1987" t="s">
        <v>4571</v>
      </c>
      <c r="H57" s="1986" t="s">
        <v>4572</v>
      </c>
      <c r="I57" s="1875" t="s">
        <v>4573</v>
      </c>
      <c r="J57" s="1876" t="s">
        <v>4574</v>
      </c>
      <c r="K57" s="1879" t="s">
        <v>4575</v>
      </c>
      <c r="L57" s="854" t="s">
        <v>4576</v>
      </c>
      <c r="M57" s="853" t="s">
        <v>4577</v>
      </c>
      <c r="N57" s="1873" t="s">
        <v>4578</v>
      </c>
      <c r="O57" s="1873" t="s">
        <v>4579</v>
      </c>
      <c r="P57" s="1873" t="s">
        <v>4580</v>
      </c>
      <c r="Q57" s="1975" t="s">
        <v>4581</v>
      </c>
      <c r="R57" s="1877" t="s">
        <v>4582</v>
      </c>
      <c r="S57" s="1975" t="s">
        <v>4583</v>
      </c>
      <c r="T57" s="1936" t="str">
        <f>CB57&amp;CC57&amp;CD57&amp;CE57&amp;CF57&amp;CG57&amp;CH57&amp;CI57&amp;CJ57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7" s="4174" t="str">
        <f>IF(AND(E57&gt;0,K57=""),"*No olvide digitar el campo TRANS Masculino (Digite CERO si no tiene).", IF(K57&gt;E57," * El Número de TRANS Masculino no puede superar el Total Mujeres. ",""))</f>
        <v xml:space="preserve"> * El Número de TRANS Masculino no puede superar el Total Mujeres. </v>
      </c>
      <c r="CC57" s="4174" t="str">
        <f>IF(AND(D57&gt;0,OR(L57=""))," *No olvide digitar el campo TRANS Femenino (Digite CERO si no tiene).",IF(L57&gt;$D57," * El Número de TRANS Femenino no puede superar el Total Hombres. ",""))</f>
        <v xml:space="preserve"> * El Número de TRANS Femenino no puede superar el Total Hombres. </v>
      </c>
      <c r="CD57" s="4174" t="str">
        <f t="shared" si="8"/>
        <v xml:space="preserve"> * La variable No Binarie no puede superar el Total Ambos Sexos. </v>
      </c>
      <c r="CE57" s="4174" t="str">
        <f t="shared" si="9"/>
        <v xml:space="preserve"> * La variable No revelado no puede superar el Total Ambos Sexos. </v>
      </c>
      <c r="CF57" s="4174" t="str">
        <f t="shared" si="10"/>
        <v xml:space="preserve"> * La variable Pueblos Originarios no puede superar el Total Ambos Sexos. </v>
      </c>
      <c r="CG57" s="4174" t="str">
        <f t="shared" si="11"/>
        <v xml:space="preserve"> * La variable Migrantes no puede superar el Total Ambos Sexos. </v>
      </c>
      <c r="CH57" s="4174" t="str">
        <f t="shared" si="12"/>
        <v xml:space="preserve"> * La variable PRAIS no puede superar el Total Ambos Sexos. </v>
      </c>
      <c r="CI57" s="4174" t="str">
        <f t="shared" si="13"/>
        <v xml:space="preserve"> * La variable N° DE ATENCIONES EN EL MES (Ley Mila) no puede superar el Total Ambos Sexos. </v>
      </c>
      <c r="CJ57" s="4174" t="str">
        <f t="shared" si="14"/>
        <v xml:space="preserve"> * La variable N° DE ATENCIONES EN EL MES (Ley Mila) no puede superar el Total Mujeres. </v>
      </c>
      <c r="CN57" s="434">
        <f>IF(AND(E57&gt;0,OR(K57="")),1,IF(K57&gt;E57,1,0))</f>
        <v>1</v>
      </c>
      <c r="CO57" s="434">
        <f>IF(AND(D57&gt;0,OR(L57="")),1,IF(L57&gt;D57,1,0))</f>
        <v>1</v>
      </c>
      <c r="CP57" s="434">
        <f t="shared" si="15"/>
        <v>1</v>
      </c>
      <c r="CQ57" s="434">
        <f t="shared" si="16"/>
        <v>1</v>
      </c>
      <c r="CR57" s="434">
        <f t="shared" si="17"/>
        <v>1</v>
      </c>
      <c r="CS57" s="434">
        <f t="shared" si="18"/>
        <v>1</v>
      </c>
      <c r="CT57" s="434">
        <f t="shared" si="19"/>
        <v>1</v>
      </c>
      <c r="CU57" s="1867">
        <f t="shared" si="20"/>
        <v>1</v>
      </c>
      <c r="CV57" s="1867">
        <f t="shared" si="21"/>
        <v>1</v>
      </c>
    </row>
    <row r="58" spans="1:100" ht="18" customHeight="1" x14ac:dyDescent="0.25">
      <c r="B58" s="7199" t="s">
        <v>2235</v>
      </c>
      <c r="C58" s="7199"/>
      <c r="D58" s="7199"/>
      <c r="E58" s="7199"/>
      <c r="F58" s="7199"/>
      <c r="G58" s="7199"/>
      <c r="H58" s="7199"/>
      <c r="I58" s="7199"/>
      <c r="J58" s="7199"/>
      <c r="K58" s="7199"/>
      <c r="L58" s="7199"/>
      <c r="M58" s="7199"/>
      <c r="N58" s="7199"/>
      <c r="O58" s="7199"/>
    </row>
    <row r="59" spans="1:100" ht="18" customHeight="1" x14ac:dyDescent="0.25">
      <c r="B59" s="1" t="s">
        <v>2236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00" ht="15" customHeight="1" x14ac:dyDescent="0.25">
      <c r="B60" s="7105" t="s">
        <v>2237</v>
      </c>
      <c r="C60" s="7105" t="s">
        <v>77</v>
      </c>
      <c r="D60" s="7116" t="s">
        <v>2238</v>
      </c>
      <c r="E60" s="7110"/>
      <c r="F60" s="7110"/>
      <c r="G60" s="7110"/>
      <c r="H60" s="7110"/>
      <c r="I60" s="7110"/>
      <c r="J60" s="7110"/>
      <c r="K60" s="7110"/>
      <c r="L60" s="7110"/>
      <c r="M60" s="7111"/>
      <c r="N60" s="6511" t="s">
        <v>2239</v>
      </c>
      <c r="O60" s="7116" t="s">
        <v>2240</v>
      </c>
      <c r="P60" s="7110"/>
      <c r="Q60" s="7110"/>
      <c r="R60" s="7110"/>
      <c r="S60" s="7110"/>
      <c r="T60" s="7110"/>
      <c r="U60" s="7110"/>
      <c r="V60" s="7110"/>
      <c r="W60" s="7110"/>
      <c r="X60" s="7110"/>
      <c r="Y60" s="4180"/>
    </row>
    <row r="61" spans="1:100" ht="42" x14ac:dyDescent="0.25">
      <c r="B61" s="6739"/>
      <c r="C61" s="6739"/>
      <c r="D61" s="53" t="s">
        <v>2241</v>
      </c>
      <c r="E61" s="3895" t="s">
        <v>2242</v>
      </c>
      <c r="F61" s="53" t="s">
        <v>2243</v>
      </c>
      <c r="G61" s="4181" t="s">
        <v>2244</v>
      </c>
      <c r="H61" s="3895" t="s">
        <v>2245</v>
      </c>
      <c r="I61" s="53" t="s">
        <v>2246</v>
      </c>
      <c r="J61" s="4181" t="s">
        <v>2247</v>
      </c>
      <c r="K61" s="4181" t="s">
        <v>2248</v>
      </c>
      <c r="L61" s="3895" t="s">
        <v>2249</v>
      </c>
      <c r="M61" s="3891" t="s">
        <v>2250</v>
      </c>
      <c r="N61" s="6955"/>
      <c r="O61" s="3894" t="s">
        <v>2251</v>
      </c>
      <c r="P61" s="3897" t="s">
        <v>58</v>
      </c>
      <c r="Q61" s="3898" t="s">
        <v>59</v>
      </c>
      <c r="R61" s="3939" t="s">
        <v>1278</v>
      </c>
      <c r="S61" s="3895" t="s">
        <v>1354</v>
      </c>
      <c r="T61" s="3895" t="s">
        <v>1355</v>
      </c>
      <c r="U61" s="3895" t="s">
        <v>2178</v>
      </c>
      <c r="V61" s="3895" t="s">
        <v>36</v>
      </c>
      <c r="W61" s="3895" t="s">
        <v>37</v>
      </c>
      <c r="X61" s="3893" t="s">
        <v>2179</v>
      </c>
      <c r="Y61" s="53"/>
    </row>
    <row r="62" spans="1:100" x14ac:dyDescent="0.25">
      <c r="A62" s="5818">
        <v>19150600</v>
      </c>
      <c r="B62" s="3360" t="s">
        <v>2252</v>
      </c>
      <c r="C62" s="4182" t="s">
        <v>4567</v>
      </c>
      <c r="D62" s="935" t="s">
        <v>4568</v>
      </c>
      <c r="E62" s="935" t="s">
        <v>4569</v>
      </c>
      <c r="F62" s="935" t="s">
        <v>4570</v>
      </c>
      <c r="G62" s="935" t="s">
        <v>4571</v>
      </c>
      <c r="H62" s="3953" t="s">
        <v>4572</v>
      </c>
      <c r="I62" s="935" t="s">
        <v>4573</v>
      </c>
      <c r="J62" s="935" t="s">
        <v>4574</v>
      </c>
      <c r="K62" s="3953" t="s">
        <v>4575</v>
      </c>
      <c r="L62" s="935" t="s">
        <v>4576</v>
      </c>
      <c r="M62" s="3952" t="s">
        <v>4577</v>
      </c>
      <c r="N62" s="3930" t="s">
        <v>4578</v>
      </c>
      <c r="O62" s="4183" t="s">
        <v>4579</v>
      </c>
      <c r="P62" s="3953" t="s">
        <v>4580</v>
      </c>
      <c r="Q62" s="869" t="s">
        <v>4581</v>
      </c>
      <c r="R62" s="3044" t="s">
        <v>4582</v>
      </c>
      <c r="S62" s="935" t="s">
        <v>4583</v>
      </c>
      <c r="T62" s="935" t="s">
        <v>4584</v>
      </c>
      <c r="U62" s="935" t="s">
        <v>4585</v>
      </c>
      <c r="V62" s="935" t="s">
        <v>4586</v>
      </c>
      <c r="W62" s="935" t="s">
        <v>4587</v>
      </c>
      <c r="X62" s="3930" t="s">
        <v>4588</v>
      </c>
      <c r="Y62" s="1936" t="str">
        <f>CB62&amp;CC62&amp;CD62&amp;CE62&amp;CF62&amp;CG62&amp;CH62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2" s="4174" t="str">
        <f>IF(AND(Q62&gt;0,R62=""),"*No olvide digitar el campo "&amp;R$61&amp;""&amp;". Digite CERO si no tiene.", IF(R62&gt;Q62," * El Número de "&amp;R$61&amp;""&amp;" no puede superar el Total Mujeres. ",""))</f>
        <v xml:space="preserve"> * El Número de Trans Masculino no puede superar el Total Mujeres. </v>
      </c>
      <c r="CC62" s="4174" t="str">
        <f>IF(AND(P62&gt;0,S62=""),"*No olvide digitar el campo "&amp;S$61&amp;""&amp;". Digite CERO si no tiene.", IF(S62&gt;P62," * El Número de "&amp;S$61&amp;""&amp;" no puede superar el Total hOMBRES. ",""))</f>
        <v xml:space="preserve"> * El Número de Trans Femenina no puede superar el Total hOMBRES. </v>
      </c>
      <c r="CD62" s="4174" t="str">
        <f>IF(AND($O62&gt;0,T62=""),"*No olvide digitar el campo "&amp;T$61&amp;""&amp;". Digite CERO si no tiene.", IF(T62&gt;$O62," * La variable "&amp;T$61&amp;""&amp;" no puede superar el Total Ambos Sexos. ",""))</f>
        <v xml:space="preserve"> * La variable No Binarie no puede superar el Total Ambos Sexos. </v>
      </c>
      <c r="CE62" s="4174" t="str">
        <f>IF(AND($O62&gt;0,U62=""),"*No olvide digitar el campo "&amp;U$61&amp;""&amp;". Digite CERO si no tiene.", IF(U62&gt;$O62," * La variable "&amp;U$61&amp;""&amp;" no puede superar el Total Ambos Sexos. ",""))</f>
        <v xml:space="preserve"> * La variable No revelado no puede superar el Total Ambos Sexos. </v>
      </c>
      <c r="CF62" s="4174" t="str">
        <f>IF(AND($O62&gt;0,V62=""),"*No olvide digitar el campo "&amp;V$61&amp;""&amp;". Digite CERO si no tiene.", IF(V62&gt;$O62," * La variable "&amp;V$61&amp;""&amp;" no puede superar el Total Ambos Sexos. ",""))</f>
        <v xml:space="preserve"> * La variable Pueblos Originarios no puede superar el Total Ambos Sexos. </v>
      </c>
      <c r="CG62" s="4174" t="str">
        <f>IF(AND($O62&gt;0,W62=""),"*No olvide digitar el campo "&amp;W$61&amp;""&amp;". Digite CERO si no tiene.", IF(W62&gt;$O62," * La variable "&amp;W$61&amp;""&amp;" no puede superar el Total Ambos Sexos. ",""))</f>
        <v xml:space="preserve"> * La variable Migrantes no puede superar el Total Ambos Sexos. </v>
      </c>
      <c r="CH62" s="4174" t="str">
        <f>IF(AND($O62&gt;0,X62=""),"*No olvide digitar el campo "&amp;X$61&amp;""&amp;". Digite CERO si no tiene.", IF(X62&gt;$O62," * La variable "&amp;X$61&amp;""&amp;" no puede superar el Total Ambos Sexos. ",""))</f>
        <v xml:space="preserve"> * La variable PRAIS no puede superar el Total Ambos Sexos. </v>
      </c>
      <c r="CN62" s="434">
        <f>IF(AND(Q62&gt;0,OR(R62="")),1,IF(R62&gt;Q62,1,0))</f>
        <v>1</v>
      </c>
      <c r="CO62" s="434">
        <f>IF(AND(P62&gt;0,OR(S62="")),1,IF(S62&gt;P62,1,0))</f>
        <v>1</v>
      </c>
      <c r="CP62" s="434">
        <f>IF(AND($O62&gt;0,OR(T62="")),1,IF(T62&gt;$O62,1,0))</f>
        <v>1</v>
      </c>
      <c r="CQ62" s="434">
        <f t="shared" ref="CQ62:CT62" si="23">IF(AND($O62&gt;0,OR(U62="")),1,IF(U62&gt;$O62,1,0))</f>
        <v>1</v>
      </c>
      <c r="CR62" s="434">
        <f t="shared" si="23"/>
        <v>1</v>
      </c>
      <c r="CS62" s="434">
        <f t="shared" si="23"/>
        <v>1</v>
      </c>
      <c r="CT62" s="434">
        <f t="shared" si="23"/>
        <v>1</v>
      </c>
    </row>
    <row r="63" spans="1:100" x14ac:dyDescent="0.25">
      <c r="A63" s="5818">
        <v>19140616</v>
      </c>
      <c r="B63" s="3982" t="s">
        <v>2147</v>
      </c>
      <c r="C63" s="499" t="s">
        <v>4567</v>
      </c>
      <c r="D63" s="1939" t="s">
        <v>4568</v>
      </c>
      <c r="E63" s="1939" t="s">
        <v>4569</v>
      </c>
      <c r="F63" s="1939" t="s">
        <v>4570</v>
      </c>
      <c r="G63" s="1939" t="s">
        <v>4571</v>
      </c>
      <c r="H63" s="3904" t="s">
        <v>4572</v>
      </c>
      <c r="I63" s="1939" t="s">
        <v>4573</v>
      </c>
      <c r="J63" s="1939" t="s">
        <v>4574</v>
      </c>
      <c r="K63" s="3904" t="s">
        <v>4575</v>
      </c>
      <c r="L63" s="1939" t="s">
        <v>4576</v>
      </c>
      <c r="M63" s="3943" t="s">
        <v>4577</v>
      </c>
      <c r="N63" s="329" t="s">
        <v>4578</v>
      </c>
      <c r="O63" s="3908" t="s">
        <v>4579</v>
      </c>
      <c r="P63" s="3904" t="s">
        <v>4580</v>
      </c>
      <c r="Q63" s="331" t="s">
        <v>4581</v>
      </c>
      <c r="R63" s="3903" t="s">
        <v>4582</v>
      </c>
      <c r="S63" s="1939" t="s">
        <v>4583</v>
      </c>
      <c r="T63" s="1939" t="s">
        <v>4584</v>
      </c>
      <c r="U63" s="1939" t="s">
        <v>4585</v>
      </c>
      <c r="V63" s="1939" t="s">
        <v>4586</v>
      </c>
      <c r="W63" s="1939" t="s">
        <v>4587</v>
      </c>
      <c r="X63" s="329" t="s">
        <v>4588</v>
      </c>
      <c r="Y63" s="1936" t="str">
        <f t="shared" ref="Y63:Y72" si="24">CB63&amp;CC63&amp;CD63&amp;CE63&amp;CF63&amp;CG63&amp;CH63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3" s="4174" t="str">
        <f t="shared" ref="CB63:CB73" si="25">IF(AND(Q63&gt;0,R63=""),"*No olvide digitar el campo "&amp;R$61&amp;""&amp;". Digite CERO si no tiene.", IF(R63&gt;Q63," * El Número de "&amp;R$61&amp;""&amp;" no puede superar el Total Mujeres. ",""))</f>
        <v xml:space="preserve"> * El Número de Trans Masculino no puede superar el Total Mujeres. </v>
      </c>
      <c r="CC63" s="4174" t="str">
        <f t="shared" ref="CC63:CC73" si="26">IF(AND(P63&gt;0,S63=""),"*No olvide digitar el campo "&amp;S$61&amp;""&amp;". Digite CERO si no tiene.", IF(S63&gt;P63," * El Número de "&amp;S$61&amp;""&amp;" no puede superar el Total hOMBRES. ",""))</f>
        <v xml:space="preserve"> * El Número de Trans Femenina no puede superar el Total hOMBRES. </v>
      </c>
      <c r="CD63" s="4174" t="str">
        <f t="shared" ref="CD63:CD73" si="27">IF(AND($O63&gt;0,T63=""),"*No olvide digitar el campo "&amp;T$61&amp;""&amp;". Digite CERO si no tiene.", IF(T63&gt;$O63," * La variable "&amp;T$61&amp;""&amp;" no puede superar el Total Ambos Sexos. ",""))</f>
        <v xml:space="preserve"> * La variable No Binarie no puede superar el Total Ambos Sexos. </v>
      </c>
      <c r="CE63" s="4174" t="str">
        <f t="shared" ref="CE63:CE73" si="28">IF(AND($O63&gt;0,U63=""),"*No olvide digitar el campo "&amp;U$61&amp;""&amp;". Digite CERO si no tiene.", IF(U63&gt;$O63," * La variable "&amp;U$61&amp;""&amp;" no puede superar el Total Ambos Sexos. ",""))</f>
        <v xml:space="preserve"> * La variable No revelado no puede superar el Total Ambos Sexos. </v>
      </c>
      <c r="CF63" s="4174" t="str">
        <f t="shared" ref="CF63:CF73" si="29">IF(AND($O63&gt;0,V63=""),"*No olvide digitar el campo "&amp;V$61&amp;""&amp;". Digite CERO si no tiene.", IF(V63&gt;$O63," * La variable "&amp;V$61&amp;""&amp;" no puede superar el Total Ambos Sexos. ",""))</f>
        <v xml:space="preserve"> * La variable Pueblos Originarios no puede superar el Total Ambos Sexos. </v>
      </c>
      <c r="CG63" s="4174" t="str">
        <f t="shared" ref="CG63:CG73" si="30">IF(AND($O63&gt;0,W63=""),"*No olvide digitar el campo "&amp;W$61&amp;""&amp;". Digite CERO si no tiene.", IF(W63&gt;$O63," * La variable "&amp;W$61&amp;""&amp;" no puede superar el Total Ambos Sexos. ",""))</f>
        <v xml:space="preserve"> * La variable Migrantes no puede superar el Total Ambos Sexos. </v>
      </c>
      <c r="CH63" s="4174" t="str">
        <f t="shared" ref="CH63:CH73" si="31">IF(AND($O63&gt;0,X63=""),"*No olvide digitar el campo "&amp;X$61&amp;""&amp;". Digite CERO si no tiene.", IF(X63&gt;$O63," * La variable "&amp;X$61&amp;""&amp;" no puede superar el Total Ambos Sexos. ",""))</f>
        <v xml:space="preserve"> * La variable PRAIS no puede superar el Total Ambos Sexos. </v>
      </c>
      <c r="CN63" s="434">
        <f t="shared" ref="CN63:CN73" si="32">IF(AND(Q63&gt;0,OR(R63="")),1,IF(R63&gt;Q63,1,0))</f>
        <v>1</v>
      </c>
      <c r="CO63" s="434">
        <f t="shared" ref="CO63:CO73" si="33">IF(AND(P63&gt;0,OR(S63="")),1,IF(S63&gt;P63,1,0))</f>
        <v>1</v>
      </c>
      <c r="CP63" s="434">
        <f t="shared" ref="CP63:CP73" si="34">IF(AND($O63&gt;0,OR(T63="")),1,IF(T63&gt;$O63,1,0))</f>
        <v>1</v>
      </c>
      <c r="CQ63" s="434">
        <f t="shared" ref="CQ63:CQ73" si="35">IF(AND($O63&gt;0,OR(U63="")),1,IF(U63&gt;$O63,1,0))</f>
        <v>1</v>
      </c>
      <c r="CR63" s="434">
        <f t="shared" ref="CR63:CR73" si="36">IF(AND($O63&gt;0,OR(V63="")),1,IF(V63&gt;$O63,1,0))</f>
        <v>1</v>
      </c>
      <c r="CS63" s="434">
        <f t="shared" ref="CS63:CS73" si="37">IF(AND($O63&gt;0,OR(W63="")),1,IF(W63&gt;$O63,1,0))</f>
        <v>1</v>
      </c>
      <c r="CT63" s="434">
        <f t="shared" ref="CT63:CT73" si="38">IF(AND($O63&gt;0,OR(X63="")),1,IF(X63&gt;$O63,1,0))</f>
        <v>1</v>
      </c>
    </row>
    <row r="64" spans="1:100" x14ac:dyDescent="0.25">
      <c r="A64" s="5818">
        <v>19140617</v>
      </c>
      <c r="B64" s="3982" t="s">
        <v>2253</v>
      </c>
      <c r="C64" s="499" t="s">
        <v>4567</v>
      </c>
      <c r="D64" s="1939" t="s">
        <v>4568</v>
      </c>
      <c r="E64" s="1939" t="s">
        <v>4569</v>
      </c>
      <c r="F64" s="1939" t="s">
        <v>4570</v>
      </c>
      <c r="G64" s="1939" t="s">
        <v>4571</v>
      </c>
      <c r="H64" s="3904" t="s">
        <v>4572</v>
      </c>
      <c r="I64" s="1939" t="s">
        <v>4573</v>
      </c>
      <c r="J64" s="1939" t="s">
        <v>4574</v>
      </c>
      <c r="K64" s="3904" t="s">
        <v>4575</v>
      </c>
      <c r="L64" s="1939" t="s">
        <v>4576</v>
      </c>
      <c r="M64" s="3943" t="s">
        <v>4577</v>
      </c>
      <c r="N64" s="329" t="s">
        <v>4578</v>
      </c>
      <c r="O64" s="231" t="s">
        <v>4579</v>
      </c>
      <c r="P64" s="3904" t="s">
        <v>4580</v>
      </c>
      <c r="Q64" s="331" t="s">
        <v>4581</v>
      </c>
      <c r="R64" s="3903" t="s">
        <v>4582</v>
      </c>
      <c r="S64" s="1939" t="s">
        <v>4583</v>
      </c>
      <c r="T64" s="1939" t="s">
        <v>4584</v>
      </c>
      <c r="U64" s="1939" t="s">
        <v>4585</v>
      </c>
      <c r="V64" s="1939" t="s">
        <v>4586</v>
      </c>
      <c r="W64" s="1939" t="s">
        <v>4587</v>
      </c>
      <c r="X64" s="329" t="s">
        <v>4588</v>
      </c>
      <c r="Y64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4" s="4174" t="str">
        <f t="shared" si="25"/>
        <v xml:space="preserve"> * El Número de Trans Masculino no puede superar el Total Mujeres. </v>
      </c>
      <c r="CC64" s="4174" t="str">
        <f t="shared" si="26"/>
        <v xml:space="preserve"> * El Número de Trans Femenina no puede superar el Total hOMBRES. </v>
      </c>
      <c r="CD64" s="4174" t="str">
        <f t="shared" si="27"/>
        <v xml:space="preserve"> * La variable No Binarie no puede superar el Total Ambos Sexos. </v>
      </c>
      <c r="CE64" s="4174" t="str">
        <f t="shared" si="28"/>
        <v xml:space="preserve"> * La variable No revelado no puede superar el Total Ambos Sexos. </v>
      </c>
      <c r="CF64" s="4174" t="str">
        <f t="shared" si="29"/>
        <v xml:space="preserve"> * La variable Pueblos Originarios no puede superar el Total Ambos Sexos. </v>
      </c>
      <c r="CG64" s="4174" t="str">
        <f t="shared" si="30"/>
        <v xml:space="preserve"> * La variable Migrantes no puede superar el Total Ambos Sexos. </v>
      </c>
      <c r="CH64" s="4174" t="str">
        <f t="shared" si="31"/>
        <v xml:space="preserve"> * La variable PRAIS no puede superar el Total Ambos Sexos. </v>
      </c>
      <c r="CN64" s="434">
        <f t="shared" si="32"/>
        <v>1</v>
      </c>
      <c r="CO64" s="434">
        <f t="shared" si="33"/>
        <v>1</v>
      </c>
      <c r="CP64" s="434">
        <f t="shared" si="34"/>
        <v>1</v>
      </c>
      <c r="CQ64" s="434">
        <f t="shared" si="35"/>
        <v>1</v>
      </c>
      <c r="CR64" s="434">
        <f t="shared" si="36"/>
        <v>1</v>
      </c>
      <c r="CS64" s="434">
        <f t="shared" si="37"/>
        <v>1</v>
      </c>
      <c r="CT64" s="434">
        <f t="shared" si="38"/>
        <v>1</v>
      </c>
    </row>
    <row r="65" spans="1:98" x14ac:dyDescent="0.25">
      <c r="A65" s="5818">
        <v>19140618</v>
      </c>
      <c r="B65" s="3982" t="s">
        <v>2254</v>
      </c>
      <c r="C65" s="499" t="s">
        <v>4567</v>
      </c>
      <c r="D65" s="1939" t="s">
        <v>4568</v>
      </c>
      <c r="E65" s="1939" t="s">
        <v>4569</v>
      </c>
      <c r="F65" s="1939" t="s">
        <v>4570</v>
      </c>
      <c r="G65" s="1939" t="s">
        <v>4571</v>
      </c>
      <c r="H65" s="3904" t="s">
        <v>4572</v>
      </c>
      <c r="I65" s="1939" t="s">
        <v>4573</v>
      </c>
      <c r="J65" s="1939" t="s">
        <v>4574</v>
      </c>
      <c r="K65" s="3904" t="s">
        <v>4575</v>
      </c>
      <c r="L65" s="1939" t="s">
        <v>4576</v>
      </c>
      <c r="M65" s="3943" t="s">
        <v>4577</v>
      </c>
      <c r="N65" s="329" t="s">
        <v>4578</v>
      </c>
      <c r="O65" s="199" t="s">
        <v>4579</v>
      </c>
      <c r="P65" s="3904" t="s">
        <v>4580</v>
      </c>
      <c r="Q65" s="331" t="s">
        <v>4581</v>
      </c>
      <c r="R65" s="3903" t="s">
        <v>4582</v>
      </c>
      <c r="S65" s="1939" t="s">
        <v>4583</v>
      </c>
      <c r="T65" s="1939" t="s">
        <v>4584</v>
      </c>
      <c r="U65" s="1939" t="s">
        <v>4585</v>
      </c>
      <c r="V65" s="1939" t="s">
        <v>4586</v>
      </c>
      <c r="W65" s="1939" t="s">
        <v>4587</v>
      </c>
      <c r="X65" s="329" t="s">
        <v>4588</v>
      </c>
      <c r="Y65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5" s="4174" t="str">
        <f t="shared" si="25"/>
        <v xml:space="preserve"> * El Número de Trans Masculino no puede superar el Total Mujeres. </v>
      </c>
      <c r="CC65" s="4174" t="str">
        <f t="shared" si="26"/>
        <v xml:space="preserve"> * El Número de Trans Femenina no puede superar el Total hOMBRES. </v>
      </c>
      <c r="CD65" s="4174" t="str">
        <f t="shared" si="27"/>
        <v xml:space="preserve"> * La variable No Binarie no puede superar el Total Ambos Sexos. </v>
      </c>
      <c r="CE65" s="4174" t="str">
        <f t="shared" si="28"/>
        <v xml:space="preserve"> * La variable No revelado no puede superar el Total Ambos Sexos. </v>
      </c>
      <c r="CF65" s="4174" t="str">
        <f t="shared" si="29"/>
        <v xml:space="preserve"> * La variable Pueblos Originarios no puede superar el Total Ambos Sexos. </v>
      </c>
      <c r="CG65" s="4174" t="str">
        <f t="shared" si="30"/>
        <v xml:space="preserve"> * La variable Migrantes no puede superar el Total Ambos Sexos. </v>
      </c>
      <c r="CH65" s="4174" t="str">
        <f t="shared" si="31"/>
        <v xml:space="preserve"> * La variable PRAIS no puede superar el Total Ambos Sexos. </v>
      </c>
      <c r="CN65" s="434">
        <f t="shared" si="32"/>
        <v>1</v>
      </c>
      <c r="CO65" s="434">
        <f t="shared" si="33"/>
        <v>1</v>
      </c>
      <c r="CP65" s="434">
        <f t="shared" si="34"/>
        <v>1</v>
      </c>
      <c r="CQ65" s="434">
        <f t="shared" si="35"/>
        <v>1</v>
      </c>
      <c r="CR65" s="434">
        <f t="shared" si="36"/>
        <v>1</v>
      </c>
      <c r="CS65" s="434">
        <f t="shared" si="37"/>
        <v>1</v>
      </c>
      <c r="CT65" s="434">
        <f t="shared" si="38"/>
        <v>1</v>
      </c>
    </row>
    <row r="66" spans="1:98" x14ac:dyDescent="0.25">
      <c r="A66" s="5818">
        <v>19140620</v>
      </c>
      <c r="B66" s="3982" t="s">
        <v>2255</v>
      </c>
      <c r="C66" s="499" t="s">
        <v>4567</v>
      </c>
      <c r="D66" s="1939" t="s">
        <v>4568</v>
      </c>
      <c r="E66" s="1939" t="s">
        <v>4569</v>
      </c>
      <c r="F66" s="1939" t="s">
        <v>4570</v>
      </c>
      <c r="G66" s="1939" t="s">
        <v>4571</v>
      </c>
      <c r="H66" s="3904" t="s">
        <v>4572</v>
      </c>
      <c r="I66" s="1939" t="s">
        <v>4573</v>
      </c>
      <c r="J66" s="1939" t="s">
        <v>4574</v>
      </c>
      <c r="K66" s="3904" t="s">
        <v>4575</v>
      </c>
      <c r="L66" s="1939" t="s">
        <v>4576</v>
      </c>
      <c r="M66" s="3943" t="s">
        <v>4577</v>
      </c>
      <c r="N66" s="329" t="s">
        <v>4578</v>
      </c>
      <c r="O66" s="3908" t="s">
        <v>4579</v>
      </c>
      <c r="P66" s="3904" t="s">
        <v>4580</v>
      </c>
      <c r="Q66" s="331" t="s">
        <v>4581</v>
      </c>
      <c r="R66" s="3903" t="s">
        <v>4582</v>
      </c>
      <c r="S66" s="1939" t="s">
        <v>4583</v>
      </c>
      <c r="T66" s="1939" t="s">
        <v>4584</v>
      </c>
      <c r="U66" s="1939" t="s">
        <v>4585</v>
      </c>
      <c r="V66" s="1939" t="s">
        <v>4586</v>
      </c>
      <c r="W66" s="1939" t="s">
        <v>4587</v>
      </c>
      <c r="X66" s="329" t="s">
        <v>4588</v>
      </c>
      <c r="Y66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6" s="4174" t="str">
        <f t="shared" si="25"/>
        <v xml:space="preserve"> * El Número de Trans Masculino no puede superar el Total Mujeres. </v>
      </c>
      <c r="CC66" s="4174" t="str">
        <f t="shared" si="26"/>
        <v xml:space="preserve"> * El Número de Trans Femenina no puede superar el Total hOMBRES. </v>
      </c>
      <c r="CD66" s="4174" t="str">
        <f t="shared" si="27"/>
        <v xml:space="preserve"> * La variable No Binarie no puede superar el Total Ambos Sexos. </v>
      </c>
      <c r="CE66" s="4174" t="str">
        <f t="shared" si="28"/>
        <v xml:space="preserve"> * La variable No revelado no puede superar el Total Ambos Sexos. </v>
      </c>
      <c r="CF66" s="4174" t="str">
        <f t="shared" si="29"/>
        <v xml:space="preserve"> * La variable Pueblos Originarios no puede superar el Total Ambos Sexos. </v>
      </c>
      <c r="CG66" s="4174" t="str">
        <f t="shared" si="30"/>
        <v xml:space="preserve"> * La variable Migrantes no puede superar el Total Ambos Sexos. </v>
      </c>
      <c r="CH66" s="4174" t="str">
        <f t="shared" si="31"/>
        <v xml:space="preserve"> * La variable PRAIS no puede superar el Total Ambos Sexos. </v>
      </c>
      <c r="CN66" s="434">
        <f t="shared" si="32"/>
        <v>1</v>
      </c>
      <c r="CO66" s="434">
        <f t="shared" si="33"/>
        <v>1</v>
      </c>
      <c r="CP66" s="434">
        <f t="shared" si="34"/>
        <v>1</v>
      </c>
      <c r="CQ66" s="434">
        <f t="shared" si="35"/>
        <v>1</v>
      </c>
      <c r="CR66" s="434">
        <f t="shared" si="36"/>
        <v>1</v>
      </c>
      <c r="CS66" s="434">
        <f t="shared" si="37"/>
        <v>1</v>
      </c>
      <c r="CT66" s="434">
        <f t="shared" si="38"/>
        <v>1</v>
      </c>
    </row>
    <row r="67" spans="1:98" x14ac:dyDescent="0.25">
      <c r="A67" s="5818">
        <v>19150860</v>
      </c>
      <c r="B67" s="3982" t="s">
        <v>2256</v>
      </c>
      <c r="C67" s="499" t="s">
        <v>4567</v>
      </c>
      <c r="D67" s="1939" t="s">
        <v>4568</v>
      </c>
      <c r="E67" s="1939" t="s">
        <v>4569</v>
      </c>
      <c r="F67" s="1939" t="s">
        <v>4570</v>
      </c>
      <c r="G67" s="1939" t="s">
        <v>4571</v>
      </c>
      <c r="H67" s="3904" t="s">
        <v>4572</v>
      </c>
      <c r="I67" s="1939" t="s">
        <v>4573</v>
      </c>
      <c r="J67" s="1939" t="s">
        <v>4574</v>
      </c>
      <c r="K67" s="3904" t="s">
        <v>4575</v>
      </c>
      <c r="L67" s="1939" t="s">
        <v>4576</v>
      </c>
      <c r="M67" s="3943" t="s">
        <v>4577</v>
      </c>
      <c r="N67" s="329" t="s">
        <v>4578</v>
      </c>
      <c r="O67" s="199" t="s">
        <v>4579</v>
      </c>
      <c r="P67" s="3904" t="s">
        <v>4580</v>
      </c>
      <c r="Q67" s="331" t="s">
        <v>4581</v>
      </c>
      <c r="R67" s="3903" t="s">
        <v>4582</v>
      </c>
      <c r="S67" s="1939" t="s">
        <v>4583</v>
      </c>
      <c r="T67" s="1939" t="s">
        <v>4584</v>
      </c>
      <c r="U67" s="1939" t="s">
        <v>4585</v>
      </c>
      <c r="V67" s="1939" t="s">
        <v>4586</v>
      </c>
      <c r="W67" s="1939" t="s">
        <v>4587</v>
      </c>
      <c r="X67" s="329" t="s">
        <v>4588</v>
      </c>
      <c r="Y67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7" s="4174" t="str">
        <f t="shared" si="25"/>
        <v xml:space="preserve"> * El Número de Trans Masculino no puede superar el Total Mujeres. </v>
      </c>
      <c r="CC67" s="4174" t="str">
        <f t="shared" si="26"/>
        <v xml:space="preserve"> * El Número de Trans Femenina no puede superar el Total hOMBRES. </v>
      </c>
      <c r="CD67" s="4174" t="str">
        <f t="shared" si="27"/>
        <v xml:space="preserve"> * La variable No Binarie no puede superar el Total Ambos Sexos. </v>
      </c>
      <c r="CE67" s="4174" t="str">
        <f t="shared" si="28"/>
        <v xml:space="preserve"> * La variable No revelado no puede superar el Total Ambos Sexos. </v>
      </c>
      <c r="CF67" s="4174" t="str">
        <f t="shared" si="29"/>
        <v xml:space="preserve"> * La variable Pueblos Originarios no puede superar el Total Ambos Sexos. </v>
      </c>
      <c r="CG67" s="4174" t="str">
        <f t="shared" si="30"/>
        <v xml:space="preserve"> * La variable Migrantes no puede superar el Total Ambos Sexos. </v>
      </c>
      <c r="CH67" s="4174" t="str">
        <f t="shared" si="31"/>
        <v xml:space="preserve"> * La variable PRAIS no puede superar el Total Ambos Sexos. </v>
      </c>
      <c r="CN67" s="434">
        <f t="shared" si="32"/>
        <v>1</v>
      </c>
      <c r="CO67" s="434">
        <f t="shared" si="33"/>
        <v>1</v>
      </c>
      <c r="CP67" s="434">
        <f t="shared" si="34"/>
        <v>1</v>
      </c>
      <c r="CQ67" s="434">
        <f t="shared" si="35"/>
        <v>1</v>
      </c>
      <c r="CR67" s="434">
        <f t="shared" si="36"/>
        <v>1</v>
      </c>
      <c r="CS67" s="434">
        <f t="shared" si="37"/>
        <v>1</v>
      </c>
      <c r="CT67" s="434">
        <f t="shared" si="38"/>
        <v>1</v>
      </c>
    </row>
    <row r="68" spans="1:98" x14ac:dyDescent="0.25">
      <c r="A68" s="5818">
        <v>19140621</v>
      </c>
      <c r="B68" s="3982" t="s">
        <v>2257</v>
      </c>
      <c r="C68" s="499" t="s">
        <v>4567</v>
      </c>
      <c r="D68" s="1939" t="s">
        <v>4568</v>
      </c>
      <c r="E68" s="1939" t="s">
        <v>4569</v>
      </c>
      <c r="F68" s="1939" t="s">
        <v>4570</v>
      </c>
      <c r="G68" s="1939" t="s">
        <v>4571</v>
      </c>
      <c r="H68" s="3904" t="s">
        <v>4572</v>
      </c>
      <c r="I68" s="1939" t="s">
        <v>4573</v>
      </c>
      <c r="J68" s="1939" t="s">
        <v>4574</v>
      </c>
      <c r="K68" s="3904" t="s">
        <v>4575</v>
      </c>
      <c r="L68" s="1939" t="s">
        <v>4576</v>
      </c>
      <c r="M68" s="3943" t="s">
        <v>4577</v>
      </c>
      <c r="N68" s="329" t="s">
        <v>4578</v>
      </c>
      <c r="O68" s="199" t="s">
        <v>4579</v>
      </c>
      <c r="P68" s="3904" t="s">
        <v>4580</v>
      </c>
      <c r="Q68" s="331" t="s">
        <v>4581</v>
      </c>
      <c r="R68" s="3903" t="s">
        <v>4582</v>
      </c>
      <c r="S68" s="1939" t="s">
        <v>4583</v>
      </c>
      <c r="T68" s="1939" t="s">
        <v>4584</v>
      </c>
      <c r="U68" s="1939" t="s">
        <v>4585</v>
      </c>
      <c r="V68" s="1939" t="s">
        <v>4586</v>
      </c>
      <c r="W68" s="1939" t="s">
        <v>4587</v>
      </c>
      <c r="X68" s="329" t="s">
        <v>4588</v>
      </c>
      <c r="Y68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8" s="4174" t="str">
        <f t="shared" si="25"/>
        <v xml:space="preserve"> * El Número de Trans Masculino no puede superar el Total Mujeres. </v>
      </c>
      <c r="CC68" s="4174" t="str">
        <f t="shared" si="26"/>
        <v xml:space="preserve"> * El Número de Trans Femenina no puede superar el Total hOMBRES. </v>
      </c>
      <c r="CD68" s="4174" t="str">
        <f t="shared" si="27"/>
        <v xml:space="preserve"> * La variable No Binarie no puede superar el Total Ambos Sexos. </v>
      </c>
      <c r="CE68" s="4174" t="str">
        <f t="shared" si="28"/>
        <v xml:space="preserve"> * La variable No revelado no puede superar el Total Ambos Sexos. </v>
      </c>
      <c r="CF68" s="4174" t="str">
        <f t="shared" si="29"/>
        <v xml:space="preserve"> * La variable Pueblos Originarios no puede superar el Total Ambos Sexos. </v>
      </c>
      <c r="CG68" s="4174" t="str">
        <f t="shared" si="30"/>
        <v xml:space="preserve"> * La variable Migrantes no puede superar el Total Ambos Sexos. </v>
      </c>
      <c r="CH68" s="4174" t="str">
        <f t="shared" si="31"/>
        <v xml:space="preserve"> * La variable PRAIS no puede superar el Total Ambos Sexos. </v>
      </c>
      <c r="CN68" s="434">
        <f t="shared" si="32"/>
        <v>1</v>
      </c>
      <c r="CO68" s="434">
        <f t="shared" si="33"/>
        <v>1</v>
      </c>
      <c r="CP68" s="434">
        <f t="shared" si="34"/>
        <v>1</v>
      </c>
      <c r="CQ68" s="434">
        <f t="shared" si="35"/>
        <v>1</v>
      </c>
      <c r="CR68" s="434">
        <f t="shared" si="36"/>
        <v>1</v>
      </c>
      <c r="CS68" s="434">
        <f t="shared" si="37"/>
        <v>1</v>
      </c>
      <c r="CT68" s="434">
        <f t="shared" si="38"/>
        <v>1</v>
      </c>
    </row>
    <row r="69" spans="1:98" x14ac:dyDescent="0.25">
      <c r="A69" s="5818">
        <v>19140622</v>
      </c>
      <c r="B69" s="3982" t="s">
        <v>2258</v>
      </c>
      <c r="C69" s="499" t="s">
        <v>4567</v>
      </c>
      <c r="D69" s="1939" t="s">
        <v>4568</v>
      </c>
      <c r="E69" s="1939" t="s">
        <v>4569</v>
      </c>
      <c r="F69" s="1939" t="s">
        <v>4570</v>
      </c>
      <c r="G69" s="1939" t="s">
        <v>4571</v>
      </c>
      <c r="H69" s="3904" t="s">
        <v>4572</v>
      </c>
      <c r="I69" s="1939" t="s">
        <v>4573</v>
      </c>
      <c r="J69" s="1939" t="s">
        <v>4574</v>
      </c>
      <c r="K69" s="3904" t="s">
        <v>4575</v>
      </c>
      <c r="L69" s="1939" t="s">
        <v>4576</v>
      </c>
      <c r="M69" s="3943" t="s">
        <v>4577</v>
      </c>
      <c r="N69" s="329" t="s">
        <v>4578</v>
      </c>
      <c r="O69" s="199" t="s">
        <v>4579</v>
      </c>
      <c r="P69" s="3904" t="s">
        <v>4580</v>
      </c>
      <c r="Q69" s="331" t="s">
        <v>4581</v>
      </c>
      <c r="R69" s="3903" t="s">
        <v>4582</v>
      </c>
      <c r="S69" s="1939" t="s">
        <v>4583</v>
      </c>
      <c r="T69" s="1939" t="s">
        <v>4584</v>
      </c>
      <c r="U69" s="1939" t="s">
        <v>4585</v>
      </c>
      <c r="V69" s="1939" t="s">
        <v>4586</v>
      </c>
      <c r="W69" s="1939" t="s">
        <v>4587</v>
      </c>
      <c r="X69" s="329" t="s">
        <v>4588</v>
      </c>
      <c r="Y69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9" s="4174" t="str">
        <f t="shared" si="25"/>
        <v xml:space="preserve"> * El Número de Trans Masculino no puede superar el Total Mujeres. </v>
      </c>
      <c r="CC69" s="4174" t="str">
        <f t="shared" si="26"/>
        <v xml:space="preserve"> * El Número de Trans Femenina no puede superar el Total hOMBRES. </v>
      </c>
      <c r="CD69" s="4174" t="str">
        <f t="shared" si="27"/>
        <v xml:space="preserve"> * La variable No Binarie no puede superar el Total Ambos Sexos. </v>
      </c>
      <c r="CE69" s="4174" t="str">
        <f t="shared" si="28"/>
        <v xml:space="preserve"> * La variable No revelado no puede superar el Total Ambos Sexos. </v>
      </c>
      <c r="CF69" s="4174" t="str">
        <f t="shared" si="29"/>
        <v xml:space="preserve"> * La variable Pueblos Originarios no puede superar el Total Ambos Sexos. </v>
      </c>
      <c r="CG69" s="4174" t="str">
        <f t="shared" si="30"/>
        <v xml:space="preserve"> * La variable Migrantes no puede superar el Total Ambos Sexos. </v>
      </c>
      <c r="CH69" s="4174" t="str">
        <f t="shared" si="31"/>
        <v xml:space="preserve"> * La variable PRAIS no puede superar el Total Ambos Sexos. </v>
      </c>
      <c r="CN69" s="434">
        <f t="shared" si="32"/>
        <v>1</v>
      </c>
      <c r="CO69" s="434">
        <f t="shared" si="33"/>
        <v>1</v>
      </c>
      <c r="CP69" s="434">
        <f t="shared" si="34"/>
        <v>1</v>
      </c>
      <c r="CQ69" s="434">
        <f t="shared" si="35"/>
        <v>1</v>
      </c>
      <c r="CR69" s="434">
        <f t="shared" si="36"/>
        <v>1</v>
      </c>
      <c r="CS69" s="434">
        <f t="shared" si="37"/>
        <v>1</v>
      </c>
      <c r="CT69" s="434">
        <f t="shared" si="38"/>
        <v>1</v>
      </c>
    </row>
    <row r="70" spans="1:98" x14ac:dyDescent="0.25">
      <c r="A70" s="5818">
        <v>19140623</v>
      </c>
      <c r="B70" s="3982" t="s">
        <v>2259</v>
      </c>
      <c r="C70" s="499" t="s">
        <v>4567</v>
      </c>
      <c r="D70" s="993" t="s">
        <v>4568</v>
      </c>
      <c r="E70" s="993" t="s">
        <v>4569</v>
      </c>
      <c r="F70" s="993" t="s">
        <v>4570</v>
      </c>
      <c r="G70" s="993" t="s">
        <v>4571</v>
      </c>
      <c r="H70" s="1137" t="s">
        <v>4572</v>
      </c>
      <c r="I70" s="993" t="s">
        <v>4573</v>
      </c>
      <c r="J70" s="993" t="s">
        <v>4574</v>
      </c>
      <c r="K70" s="1137" t="s">
        <v>4575</v>
      </c>
      <c r="L70" s="993" t="s">
        <v>4576</v>
      </c>
      <c r="M70" s="3443" t="s">
        <v>4577</v>
      </c>
      <c r="N70" s="329" t="s">
        <v>4578</v>
      </c>
      <c r="O70" s="3908" t="s">
        <v>4579</v>
      </c>
      <c r="P70" s="3904" t="s">
        <v>4580</v>
      </c>
      <c r="Q70" s="331" t="s">
        <v>4581</v>
      </c>
      <c r="R70" s="3903" t="s">
        <v>4582</v>
      </c>
      <c r="S70" s="1939" t="s">
        <v>4583</v>
      </c>
      <c r="T70" s="1939" t="s">
        <v>4584</v>
      </c>
      <c r="U70" s="1939" t="s">
        <v>4585</v>
      </c>
      <c r="V70" s="1939" t="s">
        <v>4586</v>
      </c>
      <c r="W70" s="1939" t="s">
        <v>4587</v>
      </c>
      <c r="X70" s="329" t="s">
        <v>4588</v>
      </c>
      <c r="Y70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0" s="4174" t="str">
        <f t="shared" si="25"/>
        <v xml:space="preserve"> * El Número de Trans Masculino no puede superar el Total Mujeres. </v>
      </c>
      <c r="CC70" s="4174" t="str">
        <f t="shared" si="26"/>
        <v xml:space="preserve"> * El Número de Trans Femenina no puede superar el Total hOMBRES. </v>
      </c>
      <c r="CD70" s="4174" t="str">
        <f t="shared" si="27"/>
        <v xml:space="preserve"> * La variable No Binarie no puede superar el Total Ambos Sexos. </v>
      </c>
      <c r="CE70" s="4174" t="str">
        <f t="shared" si="28"/>
        <v xml:space="preserve"> * La variable No revelado no puede superar el Total Ambos Sexos. </v>
      </c>
      <c r="CF70" s="4174" t="str">
        <f t="shared" si="29"/>
        <v xml:space="preserve"> * La variable Pueblos Originarios no puede superar el Total Ambos Sexos. </v>
      </c>
      <c r="CG70" s="4174" t="str">
        <f t="shared" si="30"/>
        <v xml:space="preserve"> * La variable Migrantes no puede superar el Total Ambos Sexos. </v>
      </c>
      <c r="CH70" s="4174" t="str">
        <f t="shared" si="31"/>
        <v xml:space="preserve"> * La variable PRAIS no puede superar el Total Ambos Sexos. </v>
      </c>
      <c r="CN70" s="434">
        <f t="shared" si="32"/>
        <v>1</v>
      </c>
      <c r="CO70" s="434">
        <f t="shared" si="33"/>
        <v>1</v>
      </c>
      <c r="CP70" s="434">
        <f t="shared" si="34"/>
        <v>1</v>
      </c>
      <c r="CQ70" s="434">
        <f t="shared" si="35"/>
        <v>1</v>
      </c>
      <c r="CR70" s="434">
        <f t="shared" si="36"/>
        <v>1</v>
      </c>
      <c r="CS70" s="434">
        <f t="shared" si="37"/>
        <v>1</v>
      </c>
      <c r="CT70" s="434">
        <f t="shared" si="38"/>
        <v>1</v>
      </c>
    </row>
    <row r="71" spans="1:98" x14ac:dyDescent="0.25">
      <c r="A71" s="5823">
        <v>19201068</v>
      </c>
      <c r="B71" s="196" t="s">
        <v>2260</v>
      </c>
      <c r="C71" s="499" t="s">
        <v>4567</v>
      </c>
      <c r="D71" s="993" t="s">
        <v>4568</v>
      </c>
      <c r="E71" s="993" t="s">
        <v>4569</v>
      </c>
      <c r="F71" s="993" t="s">
        <v>4570</v>
      </c>
      <c r="G71" s="993" t="s">
        <v>4571</v>
      </c>
      <c r="H71" s="1137" t="s">
        <v>4572</v>
      </c>
      <c r="I71" s="1939" t="s">
        <v>4573</v>
      </c>
      <c r="J71" s="993" t="s">
        <v>4574</v>
      </c>
      <c r="K71" s="3904" t="s">
        <v>4575</v>
      </c>
      <c r="L71" s="993" t="s">
        <v>4576</v>
      </c>
      <c r="M71" s="3443" t="s">
        <v>4577</v>
      </c>
      <c r="N71" s="329" t="s">
        <v>4578</v>
      </c>
      <c r="O71" s="3908" t="s">
        <v>4579</v>
      </c>
      <c r="P71" s="3904" t="s">
        <v>4580</v>
      </c>
      <c r="Q71" s="331" t="s">
        <v>4581</v>
      </c>
      <c r="R71" s="3903" t="s">
        <v>4582</v>
      </c>
      <c r="S71" s="1939" t="s">
        <v>4583</v>
      </c>
      <c r="T71" s="1939" t="s">
        <v>4584</v>
      </c>
      <c r="U71" s="1939" t="s">
        <v>4585</v>
      </c>
      <c r="V71" s="1939" t="s">
        <v>4586</v>
      </c>
      <c r="W71" s="1939" t="s">
        <v>4587</v>
      </c>
      <c r="X71" s="329" t="s">
        <v>4588</v>
      </c>
      <c r="Y71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1" s="4174" t="str">
        <f t="shared" si="25"/>
        <v xml:space="preserve"> * El Número de Trans Masculino no puede superar el Total Mujeres. </v>
      </c>
      <c r="CC71" s="4174" t="str">
        <f t="shared" si="26"/>
        <v xml:space="preserve"> * El Número de Trans Femenina no puede superar el Total hOMBRES. </v>
      </c>
      <c r="CD71" s="4174" t="str">
        <f t="shared" si="27"/>
        <v xml:space="preserve"> * La variable No Binarie no puede superar el Total Ambos Sexos. </v>
      </c>
      <c r="CE71" s="4174" t="str">
        <f t="shared" si="28"/>
        <v xml:space="preserve"> * La variable No revelado no puede superar el Total Ambos Sexos. </v>
      </c>
      <c r="CF71" s="4174" t="str">
        <f t="shared" si="29"/>
        <v xml:space="preserve"> * La variable Pueblos Originarios no puede superar el Total Ambos Sexos. </v>
      </c>
      <c r="CG71" s="4174" t="str">
        <f t="shared" si="30"/>
        <v xml:space="preserve"> * La variable Migrantes no puede superar el Total Ambos Sexos. </v>
      </c>
      <c r="CH71" s="4174" t="str">
        <f t="shared" si="31"/>
        <v xml:space="preserve"> * La variable PRAIS no puede superar el Total Ambos Sexos. </v>
      </c>
      <c r="CN71" s="434">
        <f t="shared" si="32"/>
        <v>1</v>
      </c>
      <c r="CO71" s="434">
        <f t="shared" si="33"/>
        <v>1</v>
      </c>
      <c r="CP71" s="434">
        <f t="shared" si="34"/>
        <v>1</v>
      </c>
      <c r="CQ71" s="434">
        <f t="shared" si="35"/>
        <v>1</v>
      </c>
      <c r="CR71" s="434">
        <f t="shared" si="36"/>
        <v>1</v>
      </c>
      <c r="CS71" s="434">
        <f t="shared" si="37"/>
        <v>1</v>
      </c>
      <c r="CT71" s="434">
        <f t="shared" si="38"/>
        <v>1</v>
      </c>
    </row>
    <row r="72" spans="1:98" x14ac:dyDescent="0.25">
      <c r="A72" s="5823">
        <v>19201069</v>
      </c>
      <c r="B72" s="196" t="s">
        <v>2261</v>
      </c>
      <c r="C72" s="499" t="s">
        <v>4567</v>
      </c>
      <c r="D72" s="993" t="s">
        <v>4568</v>
      </c>
      <c r="E72" s="993" t="s">
        <v>4569</v>
      </c>
      <c r="F72" s="993" t="s">
        <v>4570</v>
      </c>
      <c r="G72" s="993" t="s">
        <v>4571</v>
      </c>
      <c r="H72" s="1137" t="s">
        <v>4572</v>
      </c>
      <c r="I72" s="993" t="s">
        <v>4573</v>
      </c>
      <c r="J72" s="993" t="s">
        <v>4574</v>
      </c>
      <c r="K72" s="1137" t="s">
        <v>4575</v>
      </c>
      <c r="L72" s="993" t="s">
        <v>4576</v>
      </c>
      <c r="M72" s="3443" t="s">
        <v>4577</v>
      </c>
      <c r="N72" s="329" t="s">
        <v>4578</v>
      </c>
      <c r="O72" s="231" t="s">
        <v>4579</v>
      </c>
      <c r="P72" s="3904" t="s">
        <v>4580</v>
      </c>
      <c r="Q72" s="331" t="s">
        <v>4581</v>
      </c>
      <c r="R72" s="3903" t="s">
        <v>4582</v>
      </c>
      <c r="S72" s="1939" t="s">
        <v>4583</v>
      </c>
      <c r="T72" s="1939" t="s">
        <v>4584</v>
      </c>
      <c r="U72" s="1939" t="s">
        <v>4585</v>
      </c>
      <c r="V72" s="1939" t="s">
        <v>4586</v>
      </c>
      <c r="W72" s="1939" t="s">
        <v>4587</v>
      </c>
      <c r="X72" s="329" t="s">
        <v>4588</v>
      </c>
      <c r="Y72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2" s="4174" t="str">
        <f t="shared" si="25"/>
        <v xml:space="preserve"> * El Número de Trans Masculino no puede superar el Total Mujeres. </v>
      </c>
      <c r="CC72" s="4174" t="str">
        <f t="shared" si="26"/>
        <v xml:space="preserve"> * El Número de Trans Femenina no puede superar el Total hOMBRES. </v>
      </c>
      <c r="CD72" s="4174" t="str">
        <f t="shared" si="27"/>
        <v xml:space="preserve"> * La variable No Binarie no puede superar el Total Ambos Sexos. </v>
      </c>
      <c r="CE72" s="4174" t="str">
        <f t="shared" si="28"/>
        <v xml:space="preserve"> * La variable No revelado no puede superar el Total Ambos Sexos. </v>
      </c>
      <c r="CF72" s="4174" t="str">
        <f t="shared" si="29"/>
        <v xml:space="preserve"> * La variable Pueblos Originarios no puede superar el Total Ambos Sexos. </v>
      </c>
      <c r="CG72" s="4174" t="str">
        <f t="shared" si="30"/>
        <v xml:space="preserve"> * La variable Migrantes no puede superar el Total Ambos Sexos. </v>
      </c>
      <c r="CH72" s="4174" t="str">
        <f t="shared" si="31"/>
        <v xml:space="preserve"> * La variable PRAIS no puede superar el Total Ambos Sexos. </v>
      </c>
      <c r="CN72" s="434">
        <f t="shared" si="32"/>
        <v>1</v>
      </c>
      <c r="CO72" s="434">
        <f t="shared" si="33"/>
        <v>1</v>
      </c>
      <c r="CP72" s="434">
        <f t="shared" si="34"/>
        <v>1</v>
      </c>
      <c r="CQ72" s="434">
        <f t="shared" si="35"/>
        <v>1</v>
      </c>
      <c r="CR72" s="434">
        <f t="shared" si="36"/>
        <v>1</v>
      </c>
      <c r="CS72" s="434">
        <f t="shared" si="37"/>
        <v>1</v>
      </c>
      <c r="CT72" s="434">
        <f t="shared" si="38"/>
        <v>1</v>
      </c>
    </row>
    <row r="73" spans="1:98" x14ac:dyDescent="0.25">
      <c r="A73" s="5823">
        <v>19201070</v>
      </c>
      <c r="B73" s="674" t="s">
        <v>2262</v>
      </c>
      <c r="C73" s="386" t="s">
        <v>4567</v>
      </c>
      <c r="D73" s="993" t="s">
        <v>4568</v>
      </c>
      <c r="E73" s="993" t="s">
        <v>4569</v>
      </c>
      <c r="F73" s="993" t="s">
        <v>4570</v>
      </c>
      <c r="G73" s="993" t="s">
        <v>4571</v>
      </c>
      <c r="H73" s="1137" t="s">
        <v>4572</v>
      </c>
      <c r="I73" s="993" t="s">
        <v>4573</v>
      </c>
      <c r="J73" s="993" t="s">
        <v>4574</v>
      </c>
      <c r="K73" s="1137" t="s">
        <v>4575</v>
      </c>
      <c r="L73" s="993" t="s">
        <v>4576</v>
      </c>
      <c r="M73" s="3443" t="s">
        <v>4577</v>
      </c>
      <c r="N73" s="34" t="s">
        <v>4578</v>
      </c>
      <c r="O73" s="623" t="s">
        <v>4579</v>
      </c>
      <c r="P73" s="1137" t="s">
        <v>4580</v>
      </c>
      <c r="Q73" s="2410" t="s">
        <v>4581</v>
      </c>
      <c r="R73" s="3903" t="s">
        <v>4582</v>
      </c>
      <c r="S73" s="993" t="s">
        <v>4583</v>
      </c>
      <c r="T73" s="993" t="s">
        <v>4584</v>
      </c>
      <c r="U73" s="993" t="s">
        <v>4585</v>
      </c>
      <c r="V73" s="1939" t="s">
        <v>4586</v>
      </c>
      <c r="W73" s="993" t="s">
        <v>4587</v>
      </c>
      <c r="X73" s="34" t="s">
        <v>4588</v>
      </c>
      <c r="Y73" s="1936" t="str">
        <f>CB73&amp;CC73&amp;CD73&amp;CE73&amp;CF73&amp;CG73&amp;CH73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3" s="4174" t="str">
        <f t="shared" si="25"/>
        <v xml:space="preserve"> * El Número de Trans Masculino no puede superar el Total Mujeres. </v>
      </c>
      <c r="CC73" s="4174" t="str">
        <f t="shared" si="26"/>
        <v xml:space="preserve"> * El Número de Trans Femenina no puede superar el Total hOMBRES. </v>
      </c>
      <c r="CD73" s="4174" t="str">
        <f t="shared" si="27"/>
        <v xml:space="preserve"> * La variable No Binarie no puede superar el Total Ambos Sexos. </v>
      </c>
      <c r="CE73" s="4174" t="str">
        <f t="shared" si="28"/>
        <v xml:space="preserve"> * La variable No revelado no puede superar el Total Ambos Sexos. </v>
      </c>
      <c r="CF73" s="4174" t="str">
        <f t="shared" si="29"/>
        <v xml:space="preserve"> * La variable Pueblos Originarios no puede superar el Total Ambos Sexos. </v>
      </c>
      <c r="CG73" s="4174" t="str">
        <f t="shared" si="30"/>
        <v xml:space="preserve"> * La variable Migrantes no puede superar el Total Ambos Sexos. </v>
      </c>
      <c r="CH73" s="4174" t="str">
        <f t="shared" si="31"/>
        <v xml:space="preserve"> * La variable PRAIS no puede superar el Total Ambos Sexos. </v>
      </c>
      <c r="CN73" s="434">
        <f t="shared" si="32"/>
        <v>1</v>
      </c>
      <c r="CO73" s="434">
        <f t="shared" si="33"/>
        <v>1</v>
      </c>
      <c r="CP73" s="434">
        <f t="shared" si="34"/>
        <v>1</v>
      </c>
      <c r="CQ73" s="434">
        <f t="shared" si="35"/>
        <v>1</v>
      </c>
      <c r="CR73" s="434">
        <f t="shared" si="36"/>
        <v>1</v>
      </c>
      <c r="CS73" s="434">
        <f t="shared" si="37"/>
        <v>1</v>
      </c>
      <c r="CT73" s="434">
        <f t="shared" si="38"/>
        <v>1</v>
      </c>
    </row>
    <row r="74" spans="1:98" x14ac:dyDescent="0.25">
      <c r="A74" s="5616"/>
      <c r="B74" s="4184" t="s">
        <v>77</v>
      </c>
      <c r="C74" s="4185">
        <f>SUM(D74:M74)</f>
        <v>0</v>
      </c>
      <c r="D74" s="4186">
        <f t="shared" ref="D74:M74" si="39">SUM(D62:D73)</f>
        <v>0</v>
      </c>
      <c r="E74" s="4186">
        <f t="shared" si="39"/>
        <v>0</v>
      </c>
      <c r="F74" s="4186">
        <f t="shared" si="39"/>
        <v>0</v>
      </c>
      <c r="G74" s="4186">
        <f t="shared" si="39"/>
        <v>0</v>
      </c>
      <c r="H74" s="4187">
        <f t="shared" si="39"/>
        <v>0</v>
      </c>
      <c r="I74" s="4186">
        <f t="shared" si="39"/>
        <v>0</v>
      </c>
      <c r="J74" s="4186">
        <f t="shared" si="39"/>
        <v>0</v>
      </c>
      <c r="K74" s="4187">
        <f t="shared" si="39"/>
        <v>0</v>
      </c>
      <c r="L74" s="4186">
        <f t="shared" si="39"/>
        <v>0</v>
      </c>
      <c r="M74" s="4188">
        <f t="shared" si="39"/>
        <v>0</v>
      </c>
      <c r="N74" s="4189">
        <f>SUM(N62:N73)</f>
        <v>0</v>
      </c>
      <c r="O74" s="4159">
        <f>SUM(P74:Q74)</f>
        <v>0</v>
      </c>
      <c r="P74" s="4189">
        <f>SUM(P62:P73)</f>
        <v>0</v>
      </c>
      <c r="Q74" s="4190">
        <f t="shared" ref="Q74:X74" si="40">SUM(Q62:Q73)</f>
        <v>0</v>
      </c>
      <c r="R74" s="4191">
        <f>SUM(R62:R73)</f>
        <v>0</v>
      </c>
      <c r="S74" s="4186">
        <f t="shared" si="40"/>
        <v>0</v>
      </c>
      <c r="T74" s="4186">
        <f t="shared" si="40"/>
        <v>0</v>
      </c>
      <c r="U74" s="4186">
        <f t="shared" si="40"/>
        <v>0</v>
      </c>
      <c r="V74" s="4186">
        <f t="shared" si="40"/>
        <v>0</v>
      </c>
      <c r="W74" s="4186">
        <f t="shared" si="40"/>
        <v>0</v>
      </c>
      <c r="X74" s="4192">
        <f t="shared" si="40"/>
        <v>0</v>
      </c>
    </row>
    <row r="75" spans="1:98" ht="18" customHeight="1" x14ac:dyDescent="0.25">
      <c r="B75" s="7173" t="s">
        <v>2263</v>
      </c>
      <c r="C75" s="7173"/>
      <c r="D75" s="7173"/>
      <c r="E75" s="7173"/>
      <c r="F75" s="7173"/>
      <c r="G75" s="7173"/>
      <c r="H75" s="7173"/>
      <c r="I75" s="7173"/>
      <c r="J75" s="7173"/>
      <c r="K75" s="7173"/>
      <c r="L75" s="7173"/>
      <c r="M75" s="7173"/>
      <c r="N75" s="7209"/>
      <c r="O75" s="7209"/>
    </row>
    <row r="76" spans="1:98" ht="15" customHeight="1" x14ac:dyDescent="0.25">
      <c r="B76" s="6044" t="s">
        <v>2264</v>
      </c>
      <c r="C76" s="6023" t="s">
        <v>2265</v>
      </c>
      <c r="D76" s="7116" t="s">
        <v>2240</v>
      </c>
      <c r="E76" s="7110"/>
      <c r="F76" s="7110"/>
      <c r="G76" s="7110"/>
      <c r="H76" s="7110"/>
      <c r="I76" s="7110"/>
      <c r="J76" s="7110"/>
      <c r="K76" s="7110"/>
      <c r="L76" s="7110"/>
      <c r="M76" s="7111"/>
      <c r="N76" s="7110" t="s">
        <v>2266</v>
      </c>
      <c r="O76" s="7110"/>
      <c r="P76" s="7110"/>
      <c r="Q76" s="7110"/>
      <c r="R76" s="7110"/>
      <c r="S76" s="7117"/>
    </row>
    <row r="77" spans="1:98" ht="37.5" customHeight="1" x14ac:dyDescent="0.25">
      <c r="B77" s="6734"/>
      <c r="C77" s="6739"/>
      <c r="D77" s="3894" t="s">
        <v>2251</v>
      </c>
      <c r="E77" s="3897" t="s">
        <v>58</v>
      </c>
      <c r="F77" s="3898" t="s">
        <v>59</v>
      </c>
      <c r="G77" s="3939" t="s">
        <v>1278</v>
      </c>
      <c r="H77" s="3895" t="s">
        <v>1354</v>
      </c>
      <c r="I77" s="3895" t="s">
        <v>62</v>
      </c>
      <c r="J77" s="3895" t="s">
        <v>2178</v>
      </c>
      <c r="K77" s="3895" t="s">
        <v>36</v>
      </c>
      <c r="L77" s="3895" t="s">
        <v>37</v>
      </c>
      <c r="M77" s="3898" t="s">
        <v>2179</v>
      </c>
      <c r="N77" s="3897" t="s">
        <v>2241</v>
      </c>
      <c r="O77" s="4121" t="s">
        <v>2243</v>
      </c>
      <c r="P77" s="3895" t="s">
        <v>2267</v>
      </c>
      <c r="Q77" s="4121" t="s">
        <v>2268</v>
      </c>
      <c r="R77" s="3895" t="s">
        <v>2269</v>
      </c>
      <c r="S77" s="1768" t="s">
        <v>2249</v>
      </c>
    </row>
    <row r="78" spans="1:98" x14ac:dyDescent="0.25">
      <c r="A78" s="5823">
        <v>19201071</v>
      </c>
      <c r="B78" s="4193" t="s">
        <v>2270</v>
      </c>
      <c r="C78" s="4107" t="s">
        <v>4567</v>
      </c>
      <c r="D78" s="4183" t="s">
        <v>4568</v>
      </c>
      <c r="E78" s="3953" t="s">
        <v>4569</v>
      </c>
      <c r="F78" s="869" t="s">
        <v>4570</v>
      </c>
      <c r="G78" s="3044" t="s">
        <v>4571</v>
      </c>
      <c r="H78" s="935" t="s">
        <v>4572</v>
      </c>
      <c r="I78" s="935" t="s">
        <v>4573</v>
      </c>
      <c r="J78" s="935" t="s">
        <v>4574</v>
      </c>
      <c r="K78" s="935" t="s">
        <v>4575</v>
      </c>
      <c r="L78" s="935" t="s">
        <v>4576</v>
      </c>
      <c r="M78" s="869" t="s">
        <v>4577</v>
      </c>
      <c r="N78" s="3953" t="s">
        <v>4578</v>
      </c>
      <c r="O78" s="935" t="s">
        <v>4579</v>
      </c>
      <c r="P78" s="935" t="s">
        <v>4580</v>
      </c>
      <c r="Q78" s="935" t="s">
        <v>4581</v>
      </c>
      <c r="R78" s="935" t="s">
        <v>4582</v>
      </c>
      <c r="S78" s="3930" t="s">
        <v>4583</v>
      </c>
      <c r="T78" s="1936" t="str">
        <f>CB78&amp;CC78&amp;CD78&amp;CE78&amp;CF78&amp;CG78&amp;CH78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8" s="4174" t="str">
        <f t="shared" ref="CB78:CB90" si="41">IF(AND(F78&gt;0,G78=""),"*No olvide digitar el campo "&amp;G$77&amp;""&amp;". Digite CERO si no tiene.", IF(G78&gt;F78," * El Número de "&amp;G$77&amp;""&amp;" no puede superar el Total Mujeres. ",""))</f>
        <v xml:space="preserve"> * El Número de Trans Masculino no puede superar el Total Mujeres. </v>
      </c>
      <c r="CC78" s="4174" t="str">
        <f t="shared" ref="CC78:CC90" si="42">IF(AND(E78&gt;0,H78=""),"*No olvide digitar el campo "&amp;H$77&amp;""&amp;". Digite CERO si no tiene.", IF(H78&gt;E78," * El Número de "&amp;H$77&amp;""&amp;" no puede superar el Total Hombres. ",""))</f>
        <v xml:space="preserve"> * El Número de Trans Femenina no puede superar el Total Hombres. </v>
      </c>
      <c r="CD78" s="4174" t="str">
        <f t="shared" ref="CD78:CD90" si="43">IF(AND($D78&gt;0,I78=""),"*No olvide digitar el campo "&amp;I$77&amp;""&amp;". Digite CERO si no tiene.", IF(I78&gt;$D78," * La variable "&amp;I$77&amp;""&amp;" no puede superar el Total Ambos Sexos. ",""))</f>
        <v xml:space="preserve"> * La variable No binarie no puede superar el Total Ambos Sexos. </v>
      </c>
      <c r="CE78" s="4174" t="str">
        <f t="shared" ref="CE78:CE90" si="44">IF(AND($D78&gt;0,J78=""),"*No olvide digitar el campo "&amp;J$77&amp;""&amp;". Digite CERO si no tiene.", IF(J78&gt;$D78," * La variable "&amp;J$77&amp;""&amp;" no puede superar el Total Ambos Sexos. ",""))</f>
        <v xml:space="preserve"> * La variable No revelado no puede superar el Total Ambos Sexos. </v>
      </c>
      <c r="CF78" s="4174" t="str">
        <f t="shared" ref="CF78:CF90" si="45">IF(AND($D78&gt;0,K78=""),"*No olvide digitar el campo "&amp;K$77&amp;""&amp;". Digite CERO si no tiene.", IF(K78&gt;$D78," * La variable "&amp;K$77&amp;""&amp;" no puede superar el Total Ambos Sexos. ",""))</f>
        <v xml:space="preserve"> * La variable Pueblos Originarios no puede superar el Total Ambos Sexos. </v>
      </c>
      <c r="CG78" s="4174" t="str">
        <f t="shared" ref="CG78:CG90" si="46">IF(AND($D78&gt;0,L78=""),"*No olvide digitar el campo "&amp;L$77&amp;""&amp;". Digite CERO si no tiene.", IF(L78&gt;$D78," * La variable "&amp;L$77&amp;""&amp;" no puede superar el Total Ambos Sexos. ",""))</f>
        <v xml:space="preserve"> * La variable Migrantes no puede superar el Total Ambos Sexos. </v>
      </c>
      <c r="CH78" s="4174" t="str">
        <f t="shared" ref="CH78:CH90" si="47">IF(AND($D78&gt;0,M78=""),"*No olvide digitar el campo "&amp;M$77&amp;""&amp;". Digite CERO si no tiene.", IF(M78&gt;$D78," * La variable "&amp;M$77&amp;""&amp;" no puede superar el Total Ambos Sexos. ",""))</f>
        <v xml:space="preserve"> * La variable PRAIS no puede superar el Total Ambos Sexos. </v>
      </c>
      <c r="CN78" s="434">
        <f>IF(AND(F78&gt;0,OR(G78="")),1,IF(G78&gt;F78,1,0))</f>
        <v>1</v>
      </c>
      <c r="CO78" s="434">
        <f>IF(AND(E78&gt;0,OR(H78="")),1,IF(H78&gt;E78,1,0))</f>
        <v>1</v>
      </c>
      <c r="CP78" s="434">
        <f>IF(AND($D78&gt;0,OR(I78="")),1,IF(I78&gt;$D78,1,0))</f>
        <v>1</v>
      </c>
      <c r="CQ78" s="434">
        <f t="shared" ref="CQ78:CT78" si="48">IF(AND($D78&gt;0,OR(J78="")),1,IF(J78&gt;$D78,1,0))</f>
        <v>1</v>
      </c>
      <c r="CR78" s="434">
        <f t="shared" si="48"/>
        <v>1</v>
      </c>
      <c r="CS78" s="434">
        <f t="shared" si="48"/>
        <v>1</v>
      </c>
      <c r="CT78" s="434">
        <f t="shared" si="48"/>
        <v>1</v>
      </c>
    </row>
    <row r="79" spans="1:98" x14ac:dyDescent="0.25">
      <c r="A79" s="5823">
        <v>19201072</v>
      </c>
      <c r="B79" s="4098" t="s">
        <v>2271</v>
      </c>
      <c r="C79" s="3968" t="s">
        <v>4567</v>
      </c>
      <c r="D79" s="3908" t="s">
        <v>4568</v>
      </c>
      <c r="E79" s="3904" t="s">
        <v>4569</v>
      </c>
      <c r="F79" s="331" t="s">
        <v>4570</v>
      </c>
      <c r="G79" s="3903" t="s">
        <v>4571</v>
      </c>
      <c r="H79" s="1939" t="s">
        <v>4572</v>
      </c>
      <c r="I79" s="1939" t="s">
        <v>4573</v>
      </c>
      <c r="J79" s="1939" t="s">
        <v>4574</v>
      </c>
      <c r="K79" s="1939" t="s">
        <v>4575</v>
      </c>
      <c r="L79" s="1939" t="s">
        <v>4576</v>
      </c>
      <c r="M79" s="331" t="s">
        <v>4577</v>
      </c>
      <c r="N79" s="3904" t="s">
        <v>4578</v>
      </c>
      <c r="O79" s="1939" t="s">
        <v>4579</v>
      </c>
      <c r="P79" s="1939" t="s">
        <v>4580</v>
      </c>
      <c r="Q79" s="1939" t="s">
        <v>4581</v>
      </c>
      <c r="R79" s="1939" t="s">
        <v>4582</v>
      </c>
      <c r="S79" s="329" t="s">
        <v>4583</v>
      </c>
      <c r="T79" s="1936" t="str">
        <f t="shared" ref="T79:T91" si="49">CB79&amp;CC79&amp;CD79&amp;CE79&amp;CF79&amp;CG79&amp;CH79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9" s="4174" t="str">
        <f t="shared" si="41"/>
        <v xml:space="preserve"> * El Número de Trans Masculino no puede superar el Total Mujeres. </v>
      </c>
      <c r="CC79" s="4174" t="str">
        <f t="shared" si="42"/>
        <v xml:space="preserve"> * El Número de Trans Femenina no puede superar el Total Hombres. </v>
      </c>
      <c r="CD79" s="4174" t="str">
        <f t="shared" si="43"/>
        <v xml:space="preserve"> * La variable No binarie no puede superar el Total Ambos Sexos. </v>
      </c>
      <c r="CE79" s="4174" t="str">
        <f t="shared" si="44"/>
        <v xml:space="preserve"> * La variable No revelado no puede superar el Total Ambos Sexos. </v>
      </c>
      <c r="CF79" s="4174" t="str">
        <f t="shared" si="45"/>
        <v xml:space="preserve"> * La variable Pueblos Originarios no puede superar el Total Ambos Sexos. </v>
      </c>
      <c r="CG79" s="4174" t="str">
        <f t="shared" si="46"/>
        <v xml:space="preserve"> * La variable Migrantes no puede superar el Total Ambos Sexos. </v>
      </c>
      <c r="CH79" s="4174" t="str">
        <f t="shared" si="47"/>
        <v xml:space="preserve"> * La variable PRAIS no puede superar el Total Ambos Sexos. </v>
      </c>
      <c r="CN79" s="434">
        <f t="shared" ref="CN79:CN91" si="50">IF(AND(F79&gt;0,OR(G79="")),1,IF(G79&gt;F79,1,0))</f>
        <v>1</v>
      </c>
      <c r="CO79" s="434">
        <f t="shared" ref="CO79:CO91" si="51">IF(AND(E79&gt;0,OR(H79="")),1,IF(H79&gt;E79,1,0))</f>
        <v>1</v>
      </c>
      <c r="CP79" s="434">
        <f t="shared" ref="CP79:CP91" si="52">IF(AND($D79&gt;0,OR(I79="")),1,IF(I79&gt;$D79,1,0))</f>
        <v>1</v>
      </c>
      <c r="CQ79" s="434">
        <f t="shared" ref="CQ79:CQ91" si="53">IF(AND($D79&gt;0,OR(J79="")),1,IF(J79&gt;$D79,1,0))</f>
        <v>1</v>
      </c>
      <c r="CR79" s="434">
        <f t="shared" ref="CR79:CR91" si="54">IF(AND($D79&gt;0,OR(K79="")),1,IF(K79&gt;$D79,1,0))</f>
        <v>1</v>
      </c>
      <c r="CS79" s="434">
        <f t="shared" ref="CS79:CS91" si="55">IF(AND($D79&gt;0,OR(L79="")),1,IF(L79&gt;$D79,1,0))</f>
        <v>1</v>
      </c>
      <c r="CT79" s="434">
        <f t="shared" ref="CT79:CT91" si="56">IF(AND($D79&gt;0,OR(M79="")),1,IF(M79&gt;$D79,1,0))</f>
        <v>1</v>
      </c>
    </row>
    <row r="80" spans="1:98" x14ac:dyDescent="0.25">
      <c r="A80" s="5825">
        <v>19201073</v>
      </c>
      <c r="B80" s="4098" t="s">
        <v>2272</v>
      </c>
      <c r="C80" s="3968" t="s">
        <v>4567</v>
      </c>
      <c r="D80" s="302" t="s">
        <v>4568</v>
      </c>
      <c r="E80" s="3904" t="s">
        <v>4569</v>
      </c>
      <c r="F80" s="331" t="s">
        <v>4570</v>
      </c>
      <c r="G80" s="3903" t="s">
        <v>4571</v>
      </c>
      <c r="H80" s="1939" t="s">
        <v>4572</v>
      </c>
      <c r="I80" s="1939" t="s">
        <v>4573</v>
      </c>
      <c r="J80" s="1939" t="s">
        <v>4574</v>
      </c>
      <c r="K80" s="1939" t="s">
        <v>4575</v>
      </c>
      <c r="L80" s="1939" t="s">
        <v>4576</v>
      </c>
      <c r="M80" s="331" t="s">
        <v>4577</v>
      </c>
      <c r="N80" s="3904" t="s">
        <v>4578</v>
      </c>
      <c r="O80" s="1939" t="s">
        <v>4579</v>
      </c>
      <c r="P80" s="1939" t="s">
        <v>4580</v>
      </c>
      <c r="Q80" s="1939" t="s">
        <v>4581</v>
      </c>
      <c r="R80" s="1939" t="s">
        <v>4582</v>
      </c>
      <c r="S80" s="329" t="s">
        <v>4583</v>
      </c>
      <c r="T80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0" s="4174" t="str">
        <f t="shared" si="41"/>
        <v xml:space="preserve"> * El Número de Trans Masculino no puede superar el Total Mujeres. </v>
      </c>
      <c r="CC80" s="4174" t="str">
        <f t="shared" si="42"/>
        <v xml:space="preserve"> * El Número de Trans Femenina no puede superar el Total Hombres. </v>
      </c>
      <c r="CD80" s="4174" t="str">
        <f t="shared" si="43"/>
        <v xml:space="preserve"> * La variable No binarie no puede superar el Total Ambos Sexos. </v>
      </c>
      <c r="CE80" s="4174" t="str">
        <f t="shared" si="44"/>
        <v xml:space="preserve"> * La variable No revelado no puede superar el Total Ambos Sexos. </v>
      </c>
      <c r="CF80" s="4174" t="str">
        <f t="shared" si="45"/>
        <v xml:space="preserve"> * La variable Pueblos Originarios no puede superar el Total Ambos Sexos. </v>
      </c>
      <c r="CG80" s="4174" t="str">
        <f t="shared" si="46"/>
        <v xml:space="preserve"> * La variable Migrantes no puede superar el Total Ambos Sexos. </v>
      </c>
      <c r="CH80" s="4174" t="str">
        <f t="shared" si="47"/>
        <v xml:space="preserve"> * La variable PRAIS no puede superar el Total Ambos Sexos. </v>
      </c>
      <c r="CN80" s="434">
        <f t="shared" si="50"/>
        <v>1</v>
      </c>
      <c r="CO80" s="434">
        <f t="shared" si="51"/>
        <v>1</v>
      </c>
      <c r="CP80" s="434">
        <f t="shared" si="52"/>
        <v>1</v>
      </c>
      <c r="CQ80" s="434">
        <f t="shared" si="53"/>
        <v>1</v>
      </c>
      <c r="CR80" s="434">
        <f t="shared" si="54"/>
        <v>1</v>
      </c>
      <c r="CS80" s="434">
        <f t="shared" si="55"/>
        <v>1</v>
      </c>
      <c r="CT80" s="434">
        <f t="shared" si="56"/>
        <v>1</v>
      </c>
    </row>
    <row r="81" spans="1:98" x14ac:dyDescent="0.25">
      <c r="A81" s="5825">
        <v>19201074</v>
      </c>
      <c r="B81" s="4098" t="s">
        <v>2273</v>
      </c>
      <c r="C81" s="1918" t="s">
        <v>4567</v>
      </c>
      <c r="D81" s="302" t="s">
        <v>4568</v>
      </c>
      <c r="E81" s="3904" t="s">
        <v>4569</v>
      </c>
      <c r="F81" s="331" t="s">
        <v>4570</v>
      </c>
      <c r="G81" s="3903" t="s">
        <v>4571</v>
      </c>
      <c r="H81" s="1939" t="s">
        <v>4572</v>
      </c>
      <c r="I81" s="1939" t="s">
        <v>4573</v>
      </c>
      <c r="J81" s="1939" t="s">
        <v>4574</v>
      </c>
      <c r="K81" s="1939" t="s">
        <v>4575</v>
      </c>
      <c r="L81" s="1939" t="s">
        <v>4576</v>
      </c>
      <c r="M81" s="331" t="s">
        <v>4577</v>
      </c>
      <c r="N81" s="3904" t="s">
        <v>4578</v>
      </c>
      <c r="O81" s="1939" t="s">
        <v>4579</v>
      </c>
      <c r="P81" s="1939" t="s">
        <v>4580</v>
      </c>
      <c r="Q81" s="1939" t="s">
        <v>4581</v>
      </c>
      <c r="R81" s="1939" t="s">
        <v>4582</v>
      </c>
      <c r="S81" s="329" t="s">
        <v>4583</v>
      </c>
      <c r="T81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1" s="4174" t="str">
        <f t="shared" si="41"/>
        <v xml:space="preserve"> * El Número de Trans Masculino no puede superar el Total Mujeres. </v>
      </c>
      <c r="CC81" s="4174" t="str">
        <f t="shared" si="42"/>
        <v xml:space="preserve"> * El Número de Trans Femenina no puede superar el Total Hombres. </v>
      </c>
      <c r="CD81" s="4174" t="str">
        <f t="shared" si="43"/>
        <v xml:space="preserve"> * La variable No binarie no puede superar el Total Ambos Sexos. </v>
      </c>
      <c r="CE81" s="4174" t="str">
        <f t="shared" si="44"/>
        <v xml:space="preserve"> * La variable No revelado no puede superar el Total Ambos Sexos. </v>
      </c>
      <c r="CF81" s="4174" t="str">
        <f t="shared" si="45"/>
        <v xml:space="preserve"> * La variable Pueblos Originarios no puede superar el Total Ambos Sexos. </v>
      </c>
      <c r="CG81" s="4174" t="str">
        <f t="shared" si="46"/>
        <v xml:space="preserve"> * La variable Migrantes no puede superar el Total Ambos Sexos. </v>
      </c>
      <c r="CH81" s="4174" t="str">
        <f t="shared" si="47"/>
        <v xml:space="preserve"> * La variable PRAIS no puede superar el Total Ambos Sexos. </v>
      </c>
      <c r="CN81" s="434">
        <f t="shared" si="50"/>
        <v>1</v>
      </c>
      <c r="CO81" s="434">
        <f t="shared" si="51"/>
        <v>1</v>
      </c>
      <c r="CP81" s="434">
        <f t="shared" si="52"/>
        <v>1</v>
      </c>
      <c r="CQ81" s="434">
        <f t="shared" si="53"/>
        <v>1</v>
      </c>
      <c r="CR81" s="434">
        <f t="shared" si="54"/>
        <v>1</v>
      </c>
      <c r="CS81" s="434">
        <f t="shared" si="55"/>
        <v>1</v>
      </c>
      <c r="CT81" s="434">
        <f t="shared" si="56"/>
        <v>1</v>
      </c>
    </row>
    <row r="82" spans="1:98" x14ac:dyDescent="0.25">
      <c r="A82" s="5825">
        <v>19201075</v>
      </c>
      <c r="B82" s="4098" t="s">
        <v>2274</v>
      </c>
      <c r="C82" s="3968" t="s">
        <v>4567</v>
      </c>
      <c r="D82" s="231" t="s">
        <v>4568</v>
      </c>
      <c r="E82" s="3904" t="s">
        <v>4569</v>
      </c>
      <c r="F82" s="331" t="s">
        <v>4570</v>
      </c>
      <c r="G82" s="3903" t="s">
        <v>4571</v>
      </c>
      <c r="H82" s="1939" t="s">
        <v>4572</v>
      </c>
      <c r="I82" s="1939" t="s">
        <v>4573</v>
      </c>
      <c r="J82" s="1939" t="s">
        <v>4574</v>
      </c>
      <c r="K82" s="1939" t="s">
        <v>4575</v>
      </c>
      <c r="L82" s="1939" t="s">
        <v>4576</v>
      </c>
      <c r="M82" s="331" t="s">
        <v>4577</v>
      </c>
      <c r="N82" s="3904" t="s">
        <v>4578</v>
      </c>
      <c r="O82" s="1939" t="s">
        <v>4579</v>
      </c>
      <c r="P82" s="1939" t="s">
        <v>4580</v>
      </c>
      <c r="Q82" s="1939" t="s">
        <v>4581</v>
      </c>
      <c r="R82" s="1939" t="s">
        <v>4582</v>
      </c>
      <c r="S82" s="329" t="s">
        <v>4583</v>
      </c>
      <c r="T82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2" s="4174" t="str">
        <f t="shared" si="41"/>
        <v xml:space="preserve"> * El Número de Trans Masculino no puede superar el Total Mujeres. </v>
      </c>
      <c r="CC82" s="4174" t="str">
        <f t="shared" si="42"/>
        <v xml:space="preserve"> * El Número de Trans Femenina no puede superar el Total Hombres. </v>
      </c>
      <c r="CD82" s="4174" t="str">
        <f t="shared" si="43"/>
        <v xml:space="preserve"> * La variable No binarie no puede superar el Total Ambos Sexos. </v>
      </c>
      <c r="CE82" s="4174" t="str">
        <f t="shared" si="44"/>
        <v xml:space="preserve"> * La variable No revelado no puede superar el Total Ambos Sexos. </v>
      </c>
      <c r="CF82" s="4174" t="str">
        <f t="shared" si="45"/>
        <v xml:space="preserve"> * La variable Pueblos Originarios no puede superar el Total Ambos Sexos. </v>
      </c>
      <c r="CG82" s="4174" t="str">
        <f t="shared" si="46"/>
        <v xml:space="preserve"> * La variable Migrantes no puede superar el Total Ambos Sexos. </v>
      </c>
      <c r="CH82" s="4174" t="str">
        <f t="shared" si="47"/>
        <v xml:space="preserve"> * La variable PRAIS no puede superar el Total Ambos Sexos. </v>
      </c>
      <c r="CN82" s="434">
        <f t="shared" si="50"/>
        <v>1</v>
      </c>
      <c r="CO82" s="434">
        <f t="shared" si="51"/>
        <v>1</v>
      </c>
      <c r="CP82" s="434">
        <f t="shared" si="52"/>
        <v>1</v>
      </c>
      <c r="CQ82" s="434">
        <f t="shared" si="53"/>
        <v>1</v>
      </c>
      <c r="CR82" s="434">
        <f t="shared" si="54"/>
        <v>1</v>
      </c>
      <c r="CS82" s="434">
        <f t="shared" si="55"/>
        <v>1</v>
      </c>
      <c r="CT82" s="434">
        <f t="shared" si="56"/>
        <v>1</v>
      </c>
    </row>
    <row r="83" spans="1:98" x14ac:dyDescent="0.25">
      <c r="A83" s="5825">
        <v>19201076</v>
      </c>
      <c r="B83" s="4098" t="s">
        <v>2275</v>
      </c>
      <c r="C83" s="2036" t="s">
        <v>4567</v>
      </c>
      <c r="D83" s="3908" t="s">
        <v>4568</v>
      </c>
      <c r="E83" s="3904" t="s">
        <v>4569</v>
      </c>
      <c r="F83" s="331" t="s">
        <v>4570</v>
      </c>
      <c r="G83" s="3903" t="s">
        <v>4571</v>
      </c>
      <c r="H83" s="1939" t="s">
        <v>4572</v>
      </c>
      <c r="I83" s="1939" t="s">
        <v>4573</v>
      </c>
      <c r="J83" s="1939" t="s">
        <v>4574</v>
      </c>
      <c r="K83" s="1939" t="s">
        <v>4575</v>
      </c>
      <c r="L83" s="1939" t="s">
        <v>4576</v>
      </c>
      <c r="M83" s="331" t="s">
        <v>4577</v>
      </c>
      <c r="N83" s="3904" t="s">
        <v>4578</v>
      </c>
      <c r="O83" s="1939" t="s">
        <v>4579</v>
      </c>
      <c r="P83" s="1939" t="s">
        <v>4580</v>
      </c>
      <c r="Q83" s="1939" t="s">
        <v>4581</v>
      </c>
      <c r="R83" s="1939" t="s">
        <v>4582</v>
      </c>
      <c r="S83" s="329" t="s">
        <v>4583</v>
      </c>
      <c r="T83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3" s="4174" t="str">
        <f t="shared" si="41"/>
        <v xml:space="preserve"> * El Número de Trans Masculino no puede superar el Total Mujeres. </v>
      </c>
      <c r="CC83" s="4174" t="str">
        <f t="shared" si="42"/>
        <v xml:space="preserve"> * El Número de Trans Femenina no puede superar el Total Hombres. </v>
      </c>
      <c r="CD83" s="4174" t="str">
        <f t="shared" si="43"/>
        <v xml:space="preserve"> * La variable No binarie no puede superar el Total Ambos Sexos. </v>
      </c>
      <c r="CE83" s="4174" t="str">
        <f t="shared" si="44"/>
        <v xml:space="preserve"> * La variable No revelado no puede superar el Total Ambos Sexos. </v>
      </c>
      <c r="CF83" s="4174" t="str">
        <f t="shared" si="45"/>
        <v xml:space="preserve"> * La variable Pueblos Originarios no puede superar el Total Ambos Sexos. </v>
      </c>
      <c r="CG83" s="4174" t="str">
        <f t="shared" si="46"/>
        <v xml:space="preserve"> * La variable Migrantes no puede superar el Total Ambos Sexos. </v>
      </c>
      <c r="CH83" s="4174" t="str">
        <f t="shared" si="47"/>
        <v xml:space="preserve"> * La variable PRAIS no puede superar el Total Ambos Sexos. </v>
      </c>
      <c r="CN83" s="434">
        <f t="shared" si="50"/>
        <v>1</v>
      </c>
      <c r="CO83" s="434">
        <f t="shared" si="51"/>
        <v>1</v>
      </c>
      <c r="CP83" s="434">
        <f t="shared" si="52"/>
        <v>1</v>
      </c>
      <c r="CQ83" s="434">
        <f t="shared" si="53"/>
        <v>1</v>
      </c>
      <c r="CR83" s="434">
        <f t="shared" si="54"/>
        <v>1</v>
      </c>
      <c r="CS83" s="434">
        <f t="shared" si="55"/>
        <v>1</v>
      </c>
      <c r="CT83" s="434">
        <f t="shared" si="56"/>
        <v>1</v>
      </c>
    </row>
    <row r="84" spans="1:98" x14ac:dyDescent="0.25">
      <c r="A84" s="5825">
        <v>19201077</v>
      </c>
      <c r="B84" s="4098" t="s">
        <v>2276</v>
      </c>
      <c r="C84" s="2036" t="s">
        <v>4567</v>
      </c>
      <c r="D84" s="3908" t="s">
        <v>4568</v>
      </c>
      <c r="E84" s="3904" t="s">
        <v>4569</v>
      </c>
      <c r="F84" s="331" t="s">
        <v>4570</v>
      </c>
      <c r="G84" s="3903" t="s">
        <v>4571</v>
      </c>
      <c r="H84" s="1939" t="s">
        <v>4572</v>
      </c>
      <c r="I84" s="1939" t="s">
        <v>4573</v>
      </c>
      <c r="J84" s="1939" t="s">
        <v>4574</v>
      </c>
      <c r="K84" s="1939" t="s">
        <v>4575</v>
      </c>
      <c r="L84" s="1939" t="s">
        <v>4576</v>
      </c>
      <c r="M84" s="331" t="s">
        <v>4577</v>
      </c>
      <c r="N84" s="3904" t="s">
        <v>4578</v>
      </c>
      <c r="O84" s="1939" t="s">
        <v>4579</v>
      </c>
      <c r="P84" s="1939" t="s">
        <v>4580</v>
      </c>
      <c r="Q84" s="1939" t="s">
        <v>4581</v>
      </c>
      <c r="R84" s="1939" t="s">
        <v>4582</v>
      </c>
      <c r="S84" s="329" t="s">
        <v>4583</v>
      </c>
      <c r="T84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4" s="4174" t="str">
        <f t="shared" si="41"/>
        <v xml:space="preserve"> * El Número de Trans Masculino no puede superar el Total Mujeres. </v>
      </c>
      <c r="CC84" s="4174" t="str">
        <f t="shared" si="42"/>
        <v xml:space="preserve"> * El Número de Trans Femenina no puede superar el Total Hombres. </v>
      </c>
      <c r="CD84" s="4174" t="str">
        <f t="shared" si="43"/>
        <v xml:space="preserve"> * La variable No binarie no puede superar el Total Ambos Sexos. </v>
      </c>
      <c r="CE84" s="4174" t="str">
        <f t="shared" si="44"/>
        <v xml:space="preserve"> * La variable No revelado no puede superar el Total Ambos Sexos. </v>
      </c>
      <c r="CF84" s="4174" t="str">
        <f t="shared" si="45"/>
        <v xml:space="preserve"> * La variable Pueblos Originarios no puede superar el Total Ambos Sexos. </v>
      </c>
      <c r="CG84" s="4174" t="str">
        <f t="shared" si="46"/>
        <v xml:space="preserve"> * La variable Migrantes no puede superar el Total Ambos Sexos. </v>
      </c>
      <c r="CH84" s="4174" t="str">
        <f t="shared" si="47"/>
        <v xml:space="preserve"> * La variable PRAIS no puede superar el Total Ambos Sexos. </v>
      </c>
      <c r="CN84" s="434">
        <f t="shared" si="50"/>
        <v>1</v>
      </c>
      <c r="CO84" s="434">
        <f t="shared" si="51"/>
        <v>1</v>
      </c>
      <c r="CP84" s="434">
        <f t="shared" si="52"/>
        <v>1</v>
      </c>
      <c r="CQ84" s="434">
        <f t="shared" si="53"/>
        <v>1</v>
      </c>
      <c r="CR84" s="434">
        <f t="shared" si="54"/>
        <v>1</v>
      </c>
      <c r="CS84" s="434">
        <f t="shared" si="55"/>
        <v>1</v>
      </c>
      <c r="CT84" s="434">
        <f t="shared" si="56"/>
        <v>1</v>
      </c>
    </row>
    <row r="85" spans="1:98" x14ac:dyDescent="0.25">
      <c r="A85" s="5825">
        <v>19201078</v>
      </c>
      <c r="B85" s="4098" t="s">
        <v>2277</v>
      </c>
      <c r="C85" s="1918" t="s">
        <v>4567</v>
      </c>
      <c r="D85" s="3908" t="s">
        <v>4568</v>
      </c>
      <c r="E85" s="3904" t="s">
        <v>4569</v>
      </c>
      <c r="F85" s="331" t="s">
        <v>4570</v>
      </c>
      <c r="G85" s="3903" t="s">
        <v>4571</v>
      </c>
      <c r="H85" s="1939" t="s">
        <v>4572</v>
      </c>
      <c r="I85" s="1939" t="s">
        <v>4573</v>
      </c>
      <c r="J85" s="1939" t="s">
        <v>4574</v>
      </c>
      <c r="K85" s="1939" t="s">
        <v>4575</v>
      </c>
      <c r="L85" s="1939" t="s">
        <v>4576</v>
      </c>
      <c r="M85" s="331" t="s">
        <v>4577</v>
      </c>
      <c r="N85" s="3904" t="s">
        <v>4578</v>
      </c>
      <c r="O85" s="1939" t="s">
        <v>4579</v>
      </c>
      <c r="P85" s="1939" t="s">
        <v>4580</v>
      </c>
      <c r="Q85" s="1939" t="s">
        <v>4581</v>
      </c>
      <c r="R85" s="1939" t="s">
        <v>4582</v>
      </c>
      <c r="S85" s="329" t="s">
        <v>4583</v>
      </c>
      <c r="T85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5" s="4174" t="str">
        <f t="shared" si="41"/>
        <v xml:space="preserve"> * El Número de Trans Masculino no puede superar el Total Mujeres. </v>
      </c>
      <c r="CC85" s="4174" t="str">
        <f t="shared" si="42"/>
        <v xml:space="preserve"> * El Número de Trans Femenina no puede superar el Total Hombres. </v>
      </c>
      <c r="CD85" s="4174" t="str">
        <f t="shared" si="43"/>
        <v xml:space="preserve"> * La variable No binarie no puede superar el Total Ambos Sexos. </v>
      </c>
      <c r="CE85" s="4174" t="str">
        <f t="shared" si="44"/>
        <v xml:space="preserve"> * La variable No revelado no puede superar el Total Ambos Sexos. </v>
      </c>
      <c r="CF85" s="4174" t="str">
        <f t="shared" si="45"/>
        <v xml:space="preserve"> * La variable Pueblos Originarios no puede superar el Total Ambos Sexos. </v>
      </c>
      <c r="CG85" s="4174" t="str">
        <f t="shared" si="46"/>
        <v xml:space="preserve"> * La variable Migrantes no puede superar el Total Ambos Sexos. </v>
      </c>
      <c r="CH85" s="4174" t="str">
        <f t="shared" si="47"/>
        <v xml:space="preserve"> * La variable PRAIS no puede superar el Total Ambos Sexos. </v>
      </c>
      <c r="CN85" s="434">
        <f t="shared" si="50"/>
        <v>1</v>
      </c>
      <c r="CO85" s="434">
        <f t="shared" si="51"/>
        <v>1</v>
      </c>
      <c r="CP85" s="434">
        <f t="shared" si="52"/>
        <v>1</v>
      </c>
      <c r="CQ85" s="434">
        <f t="shared" si="53"/>
        <v>1</v>
      </c>
      <c r="CR85" s="434">
        <f t="shared" si="54"/>
        <v>1</v>
      </c>
      <c r="CS85" s="434">
        <f t="shared" si="55"/>
        <v>1</v>
      </c>
      <c r="CT85" s="434">
        <f t="shared" si="56"/>
        <v>1</v>
      </c>
    </row>
    <row r="86" spans="1:98" x14ac:dyDescent="0.25">
      <c r="A86" s="5825">
        <v>19201079</v>
      </c>
      <c r="B86" s="4098" t="s">
        <v>2278</v>
      </c>
      <c r="C86" s="3968" t="s">
        <v>4567</v>
      </c>
      <c r="D86" s="3908" t="s">
        <v>4568</v>
      </c>
      <c r="E86" s="3904" t="s">
        <v>4569</v>
      </c>
      <c r="F86" s="331" t="s">
        <v>4570</v>
      </c>
      <c r="G86" s="3903" t="s">
        <v>4571</v>
      </c>
      <c r="H86" s="1939" t="s">
        <v>4572</v>
      </c>
      <c r="I86" s="1939" t="s">
        <v>4573</v>
      </c>
      <c r="J86" s="1939" t="s">
        <v>4574</v>
      </c>
      <c r="K86" s="1939" t="s">
        <v>4575</v>
      </c>
      <c r="L86" s="1939" t="s">
        <v>4576</v>
      </c>
      <c r="M86" s="331" t="s">
        <v>4577</v>
      </c>
      <c r="N86" s="3904" t="s">
        <v>4578</v>
      </c>
      <c r="O86" s="1939" t="s">
        <v>4579</v>
      </c>
      <c r="P86" s="1939" t="s">
        <v>4580</v>
      </c>
      <c r="Q86" s="1939" t="s">
        <v>4581</v>
      </c>
      <c r="R86" s="1939" t="s">
        <v>4582</v>
      </c>
      <c r="S86" s="329" t="s">
        <v>4583</v>
      </c>
      <c r="T86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6" s="4174" t="str">
        <f t="shared" si="41"/>
        <v xml:space="preserve"> * El Número de Trans Masculino no puede superar el Total Mujeres. </v>
      </c>
      <c r="CC86" s="4174" t="str">
        <f t="shared" si="42"/>
        <v xml:space="preserve"> * El Número de Trans Femenina no puede superar el Total Hombres. </v>
      </c>
      <c r="CD86" s="4174" t="str">
        <f t="shared" si="43"/>
        <v xml:space="preserve"> * La variable No binarie no puede superar el Total Ambos Sexos. </v>
      </c>
      <c r="CE86" s="4174" t="str">
        <f t="shared" si="44"/>
        <v xml:space="preserve"> * La variable No revelado no puede superar el Total Ambos Sexos. </v>
      </c>
      <c r="CF86" s="4174" t="str">
        <f t="shared" si="45"/>
        <v xml:space="preserve"> * La variable Pueblos Originarios no puede superar el Total Ambos Sexos. </v>
      </c>
      <c r="CG86" s="4174" t="str">
        <f t="shared" si="46"/>
        <v xml:space="preserve"> * La variable Migrantes no puede superar el Total Ambos Sexos. </v>
      </c>
      <c r="CH86" s="4174" t="str">
        <f t="shared" si="47"/>
        <v xml:space="preserve"> * La variable PRAIS no puede superar el Total Ambos Sexos. </v>
      </c>
      <c r="CN86" s="434">
        <f t="shared" si="50"/>
        <v>1</v>
      </c>
      <c r="CO86" s="434">
        <f t="shared" si="51"/>
        <v>1</v>
      </c>
      <c r="CP86" s="434">
        <f t="shared" si="52"/>
        <v>1</v>
      </c>
      <c r="CQ86" s="434">
        <f t="shared" si="53"/>
        <v>1</v>
      </c>
      <c r="CR86" s="434">
        <f t="shared" si="54"/>
        <v>1</v>
      </c>
      <c r="CS86" s="434">
        <f t="shared" si="55"/>
        <v>1</v>
      </c>
      <c r="CT86" s="434">
        <f t="shared" si="56"/>
        <v>1</v>
      </c>
    </row>
    <row r="87" spans="1:98" x14ac:dyDescent="0.25">
      <c r="A87" s="5823">
        <v>19201080</v>
      </c>
      <c r="B87" s="4194" t="s">
        <v>2279</v>
      </c>
      <c r="C87" s="1918" t="s">
        <v>4567</v>
      </c>
      <c r="D87" s="302" t="s">
        <v>4568</v>
      </c>
      <c r="E87" s="3904" t="s">
        <v>4569</v>
      </c>
      <c r="F87" s="331" t="s">
        <v>4570</v>
      </c>
      <c r="G87" s="3903" t="s">
        <v>4571</v>
      </c>
      <c r="H87" s="1939" t="s">
        <v>4572</v>
      </c>
      <c r="I87" s="1939" t="s">
        <v>4573</v>
      </c>
      <c r="J87" s="1939" t="s">
        <v>4574</v>
      </c>
      <c r="K87" s="1939" t="s">
        <v>4575</v>
      </c>
      <c r="L87" s="1939" t="s">
        <v>4576</v>
      </c>
      <c r="M87" s="331" t="s">
        <v>4577</v>
      </c>
      <c r="N87" s="3904" t="s">
        <v>4578</v>
      </c>
      <c r="O87" s="1939" t="s">
        <v>4579</v>
      </c>
      <c r="P87" s="1939" t="s">
        <v>4580</v>
      </c>
      <c r="Q87" s="1939" t="s">
        <v>4581</v>
      </c>
      <c r="R87" s="1939" t="s">
        <v>4582</v>
      </c>
      <c r="S87" s="329" t="s">
        <v>4583</v>
      </c>
      <c r="T87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7" s="4174" t="str">
        <f t="shared" si="41"/>
        <v xml:space="preserve"> * El Número de Trans Masculino no puede superar el Total Mujeres. </v>
      </c>
      <c r="CC87" s="4174" t="str">
        <f t="shared" si="42"/>
        <v xml:space="preserve"> * El Número de Trans Femenina no puede superar el Total Hombres. </v>
      </c>
      <c r="CD87" s="4174" t="str">
        <f t="shared" si="43"/>
        <v xml:space="preserve"> * La variable No binarie no puede superar el Total Ambos Sexos. </v>
      </c>
      <c r="CE87" s="4174" t="str">
        <f t="shared" si="44"/>
        <v xml:space="preserve"> * La variable No revelado no puede superar el Total Ambos Sexos. </v>
      </c>
      <c r="CF87" s="4174" t="str">
        <f t="shared" si="45"/>
        <v xml:space="preserve"> * La variable Pueblos Originarios no puede superar el Total Ambos Sexos. </v>
      </c>
      <c r="CG87" s="4174" t="str">
        <f t="shared" si="46"/>
        <v xml:space="preserve"> * La variable Migrantes no puede superar el Total Ambos Sexos. </v>
      </c>
      <c r="CH87" s="4174" t="str">
        <f t="shared" si="47"/>
        <v xml:space="preserve"> * La variable PRAIS no puede superar el Total Ambos Sexos. </v>
      </c>
      <c r="CN87" s="434">
        <f t="shared" si="50"/>
        <v>1</v>
      </c>
      <c r="CO87" s="434">
        <f t="shared" si="51"/>
        <v>1</v>
      </c>
      <c r="CP87" s="434">
        <f t="shared" si="52"/>
        <v>1</v>
      </c>
      <c r="CQ87" s="434">
        <f t="shared" si="53"/>
        <v>1</v>
      </c>
      <c r="CR87" s="434">
        <f t="shared" si="54"/>
        <v>1</v>
      </c>
      <c r="CS87" s="434">
        <f t="shared" si="55"/>
        <v>1</v>
      </c>
      <c r="CT87" s="434">
        <f t="shared" si="56"/>
        <v>1</v>
      </c>
    </row>
    <row r="88" spans="1:98" x14ac:dyDescent="0.25">
      <c r="A88" s="5823">
        <v>19201081</v>
      </c>
      <c r="B88" s="3982" t="s">
        <v>2280</v>
      </c>
      <c r="C88" s="3968" t="s">
        <v>4567</v>
      </c>
      <c r="D88" s="302" t="s">
        <v>4568</v>
      </c>
      <c r="E88" s="3904" t="s">
        <v>4569</v>
      </c>
      <c r="F88" s="331" t="s">
        <v>4570</v>
      </c>
      <c r="G88" s="3903" t="s">
        <v>4571</v>
      </c>
      <c r="H88" s="1939" t="s">
        <v>4572</v>
      </c>
      <c r="I88" s="1939" t="s">
        <v>4573</v>
      </c>
      <c r="J88" s="1939" t="s">
        <v>4574</v>
      </c>
      <c r="K88" s="1939" t="s">
        <v>4575</v>
      </c>
      <c r="L88" s="1939" t="s">
        <v>4576</v>
      </c>
      <c r="M88" s="331" t="s">
        <v>4577</v>
      </c>
      <c r="N88" s="3904" t="s">
        <v>4578</v>
      </c>
      <c r="O88" s="1939" t="s">
        <v>4579</v>
      </c>
      <c r="P88" s="1939" t="s">
        <v>4580</v>
      </c>
      <c r="Q88" s="1939" t="s">
        <v>4581</v>
      </c>
      <c r="R88" s="1939" t="s">
        <v>4582</v>
      </c>
      <c r="S88" s="329" t="s">
        <v>4583</v>
      </c>
      <c r="T88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8" s="4174" t="str">
        <f t="shared" si="41"/>
        <v xml:space="preserve"> * El Número de Trans Masculino no puede superar el Total Mujeres. </v>
      </c>
      <c r="CC88" s="4174" t="str">
        <f t="shared" si="42"/>
        <v xml:space="preserve"> * El Número de Trans Femenina no puede superar el Total Hombres. </v>
      </c>
      <c r="CD88" s="4174" t="str">
        <f t="shared" si="43"/>
        <v xml:space="preserve"> * La variable No binarie no puede superar el Total Ambos Sexos. </v>
      </c>
      <c r="CE88" s="4174" t="str">
        <f t="shared" si="44"/>
        <v xml:space="preserve"> * La variable No revelado no puede superar el Total Ambos Sexos. </v>
      </c>
      <c r="CF88" s="4174" t="str">
        <f t="shared" si="45"/>
        <v xml:space="preserve"> * La variable Pueblos Originarios no puede superar el Total Ambos Sexos. </v>
      </c>
      <c r="CG88" s="4174" t="str">
        <f t="shared" si="46"/>
        <v xml:space="preserve"> * La variable Migrantes no puede superar el Total Ambos Sexos. </v>
      </c>
      <c r="CH88" s="4174" t="str">
        <f t="shared" si="47"/>
        <v xml:space="preserve"> * La variable PRAIS no puede superar el Total Ambos Sexos. </v>
      </c>
      <c r="CN88" s="434">
        <f t="shared" si="50"/>
        <v>1</v>
      </c>
      <c r="CO88" s="434">
        <f t="shared" si="51"/>
        <v>1</v>
      </c>
      <c r="CP88" s="434">
        <f t="shared" si="52"/>
        <v>1</v>
      </c>
      <c r="CQ88" s="434">
        <f t="shared" si="53"/>
        <v>1</v>
      </c>
      <c r="CR88" s="434">
        <f t="shared" si="54"/>
        <v>1</v>
      </c>
      <c r="CS88" s="434">
        <f t="shared" si="55"/>
        <v>1</v>
      </c>
      <c r="CT88" s="434">
        <f t="shared" si="56"/>
        <v>1</v>
      </c>
    </row>
    <row r="89" spans="1:98" ht="21" x14ac:dyDescent="0.25">
      <c r="A89" s="5825">
        <v>19201082</v>
      </c>
      <c r="B89" s="3274" t="s">
        <v>2281</v>
      </c>
      <c r="C89" s="3968" t="s">
        <v>4567</v>
      </c>
      <c r="D89" s="231" t="s">
        <v>4568</v>
      </c>
      <c r="E89" s="3904" t="s">
        <v>4569</v>
      </c>
      <c r="F89" s="331" t="s">
        <v>4570</v>
      </c>
      <c r="G89" s="3903" t="s">
        <v>4571</v>
      </c>
      <c r="H89" s="1939" t="s">
        <v>4572</v>
      </c>
      <c r="I89" s="993" t="s">
        <v>4573</v>
      </c>
      <c r="J89" s="1939" t="s">
        <v>4574</v>
      </c>
      <c r="K89" s="993" t="s">
        <v>4575</v>
      </c>
      <c r="L89" s="1939" t="s">
        <v>4576</v>
      </c>
      <c r="M89" s="2410" t="s">
        <v>4577</v>
      </c>
      <c r="N89" s="3904" t="s">
        <v>4578</v>
      </c>
      <c r="O89" s="1939" t="s">
        <v>4579</v>
      </c>
      <c r="P89" s="993" t="s">
        <v>4580</v>
      </c>
      <c r="Q89" s="1939" t="s">
        <v>4581</v>
      </c>
      <c r="R89" s="1939" t="s">
        <v>4582</v>
      </c>
      <c r="S89" s="34" t="s">
        <v>4583</v>
      </c>
      <c r="T89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9" s="4174" t="str">
        <f t="shared" si="41"/>
        <v xml:space="preserve"> * El Número de Trans Masculino no puede superar el Total Mujeres. </v>
      </c>
      <c r="CC89" s="4174" t="str">
        <f t="shared" si="42"/>
        <v xml:space="preserve"> * El Número de Trans Femenina no puede superar el Total Hombres. </v>
      </c>
      <c r="CD89" s="4174" t="str">
        <f t="shared" si="43"/>
        <v xml:space="preserve"> * La variable No binarie no puede superar el Total Ambos Sexos. </v>
      </c>
      <c r="CE89" s="4174" t="str">
        <f t="shared" si="44"/>
        <v xml:space="preserve"> * La variable No revelado no puede superar el Total Ambos Sexos. </v>
      </c>
      <c r="CF89" s="4174" t="str">
        <f t="shared" si="45"/>
        <v xml:space="preserve"> * La variable Pueblos Originarios no puede superar el Total Ambos Sexos. </v>
      </c>
      <c r="CG89" s="4174" t="str">
        <f t="shared" si="46"/>
        <v xml:space="preserve"> * La variable Migrantes no puede superar el Total Ambos Sexos. </v>
      </c>
      <c r="CH89" s="4174" t="str">
        <f t="shared" si="47"/>
        <v xml:space="preserve"> * La variable PRAIS no puede superar el Total Ambos Sexos. </v>
      </c>
      <c r="CN89" s="434">
        <f t="shared" si="50"/>
        <v>1</v>
      </c>
      <c r="CO89" s="434">
        <f t="shared" si="51"/>
        <v>1</v>
      </c>
      <c r="CP89" s="434">
        <f t="shared" si="52"/>
        <v>1</v>
      </c>
      <c r="CQ89" s="434">
        <f t="shared" si="53"/>
        <v>1</v>
      </c>
      <c r="CR89" s="434">
        <f t="shared" si="54"/>
        <v>1</v>
      </c>
      <c r="CS89" s="434">
        <f t="shared" si="55"/>
        <v>1</v>
      </c>
      <c r="CT89" s="434">
        <f t="shared" si="56"/>
        <v>1</v>
      </c>
    </row>
    <row r="90" spans="1:98" x14ac:dyDescent="0.25">
      <c r="A90" s="5825">
        <v>19201083</v>
      </c>
      <c r="B90" s="193" t="s">
        <v>2282</v>
      </c>
      <c r="C90" s="3968" t="s">
        <v>4567</v>
      </c>
      <c r="D90" s="3908" t="s">
        <v>4568</v>
      </c>
      <c r="E90" s="330" t="s">
        <v>4569</v>
      </c>
      <c r="F90" s="331" t="s">
        <v>4570</v>
      </c>
      <c r="G90" s="3903" t="s">
        <v>4571</v>
      </c>
      <c r="H90" s="993" t="s">
        <v>4572</v>
      </c>
      <c r="I90" s="993" t="s">
        <v>4573</v>
      </c>
      <c r="J90" s="993" t="s">
        <v>4574</v>
      </c>
      <c r="K90" s="993" t="s">
        <v>4575</v>
      </c>
      <c r="L90" s="993" t="s">
        <v>4576</v>
      </c>
      <c r="M90" s="2410" t="s">
        <v>4577</v>
      </c>
      <c r="N90" s="3904" t="s">
        <v>4578</v>
      </c>
      <c r="O90" s="993" t="s">
        <v>4579</v>
      </c>
      <c r="P90" s="993" t="s">
        <v>4580</v>
      </c>
      <c r="Q90" s="1939" t="s">
        <v>4581</v>
      </c>
      <c r="R90" s="993" t="s">
        <v>4582</v>
      </c>
      <c r="S90" s="34" t="s">
        <v>4583</v>
      </c>
      <c r="T90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0" s="4174" t="str">
        <f t="shared" si="41"/>
        <v xml:space="preserve"> * El Número de Trans Masculino no puede superar el Total Mujeres. </v>
      </c>
      <c r="CC90" s="4174" t="str">
        <f t="shared" si="42"/>
        <v xml:space="preserve"> * El Número de Trans Femenina no puede superar el Total Hombres. </v>
      </c>
      <c r="CD90" s="4174" t="str">
        <f t="shared" si="43"/>
        <v xml:space="preserve"> * La variable No binarie no puede superar el Total Ambos Sexos. </v>
      </c>
      <c r="CE90" s="4174" t="str">
        <f t="shared" si="44"/>
        <v xml:space="preserve"> * La variable No revelado no puede superar el Total Ambos Sexos. </v>
      </c>
      <c r="CF90" s="4174" t="str">
        <f t="shared" si="45"/>
        <v xml:space="preserve"> * La variable Pueblos Originarios no puede superar el Total Ambos Sexos. </v>
      </c>
      <c r="CG90" s="4174" t="str">
        <f t="shared" si="46"/>
        <v xml:space="preserve"> * La variable Migrantes no puede superar el Total Ambos Sexos. </v>
      </c>
      <c r="CH90" s="4174" t="str">
        <f t="shared" si="47"/>
        <v xml:space="preserve"> * La variable PRAIS no puede superar el Total Ambos Sexos. </v>
      </c>
      <c r="CN90" s="434">
        <f t="shared" si="50"/>
        <v>1</v>
      </c>
      <c r="CO90" s="434">
        <f t="shared" si="51"/>
        <v>1</v>
      </c>
      <c r="CP90" s="434">
        <f t="shared" si="52"/>
        <v>1</v>
      </c>
      <c r="CQ90" s="434">
        <f t="shared" si="53"/>
        <v>1</v>
      </c>
      <c r="CR90" s="434">
        <f t="shared" si="54"/>
        <v>1</v>
      </c>
      <c r="CS90" s="434">
        <f t="shared" si="55"/>
        <v>1</v>
      </c>
      <c r="CT90" s="434">
        <f t="shared" si="56"/>
        <v>1</v>
      </c>
    </row>
    <row r="91" spans="1:98" x14ac:dyDescent="0.25">
      <c r="A91" s="5825">
        <v>19201084</v>
      </c>
      <c r="B91" s="517" t="s">
        <v>2283</v>
      </c>
      <c r="C91" s="1920" t="s">
        <v>4567</v>
      </c>
      <c r="D91" s="623" t="s">
        <v>4568</v>
      </c>
      <c r="E91" s="4039" t="s">
        <v>4569</v>
      </c>
      <c r="F91" s="1919" t="s">
        <v>4570</v>
      </c>
      <c r="G91" s="2075" t="s">
        <v>4571</v>
      </c>
      <c r="H91" s="1873" t="s">
        <v>4572</v>
      </c>
      <c r="I91" s="1873" t="s">
        <v>4573</v>
      </c>
      <c r="J91" s="1873" t="s">
        <v>4574</v>
      </c>
      <c r="K91" s="1873" t="s">
        <v>4575</v>
      </c>
      <c r="L91" s="1873" t="s">
        <v>4576</v>
      </c>
      <c r="M91" s="1919" t="s">
        <v>4577</v>
      </c>
      <c r="N91" s="4039" t="s">
        <v>4578</v>
      </c>
      <c r="O91" s="1873" t="s">
        <v>4579</v>
      </c>
      <c r="P91" s="1873" t="s">
        <v>4580</v>
      </c>
      <c r="Q91" s="1880" t="s">
        <v>4581</v>
      </c>
      <c r="R91" s="1873" t="s">
        <v>4582</v>
      </c>
      <c r="S91" s="854" t="s">
        <v>4583</v>
      </c>
      <c r="T91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1" s="4174" t="str">
        <f>IF(AND(F91&gt;0,G91=""),"*No olvide digitar el campo "&amp;G$77&amp;""&amp;". Digite CERO si no tiene.", IF(G91&gt;F91," * El Número de "&amp;G$77&amp;""&amp;" no puede superar el Total Mujeres. ",""))</f>
        <v xml:space="preserve"> * El Número de Trans Masculino no puede superar el Total Mujeres. </v>
      </c>
      <c r="CC91" s="4174" t="str">
        <f>IF(AND(E91&gt;0,H91=""),"*No olvide digitar el campo "&amp;H$77&amp;""&amp;". Digite CERO si no tiene.", IF(H91&gt;E91," * El Número de "&amp;H$77&amp;""&amp;" no puede superar el Total Hombres. ",""))</f>
        <v xml:space="preserve"> * El Número de Trans Femenina no puede superar el Total Hombres. </v>
      </c>
      <c r="CD91" s="4174" t="str">
        <f>IF(AND($D91&gt;0,I91=""),"*No olvide digitar el campo "&amp;I$77&amp;""&amp;". Digite CERO si no tiene.", IF(I91&gt;$D91," * La variable "&amp;I$77&amp;""&amp;" no puede superar el Total Ambos Sexos. ",""))</f>
        <v xml:space="preserve"> * La variable No binarie no puede superar el Total Ambos Sexos. </v>
      </c>
      <c r="CE91" s="4174" t="str">
        <f>IF(AND($D91&gt;0,J91=""),"*No olvide digitar el campo "&amp;J$77&amp;""&amp;". Digite CERO si no tiene.", IF(J91&gt;$D91," * La variable "&amp;J$77&amp;""&amp;" no puede superar el Total Ambos Sexos. ",""))</f>
        <v xml:space="preserve"> * La variable No revelado no puede superar el Total Ambos Sexos. </v>
      </c>
      <c r="CF91" s="4174" t="str">
        <f>IF(AND($D91&gt;0,K91=""),"*No olvide digitar el campo "&amp;K$77&amp;""&amp;". Digite CERO si no tiene.", IF(K91&gt;$D91," * La variable "&amp;K$77&amp;""&amp;" no puede superar el Total Ambos Sexos. ",""))</f>
        <v xml:space="preserve"> * La variable Pueblos Originarios no puede superar el Total Ambos Sexos. </v>
      </c>
      <c r="CG91" s="4174" t="str">
        <f>IF(AND($D91&gt;0,L91=""),"*No olvide digitar el campo "&amp;L$77&amp;""&amp;". Digite CERO si no tiene.", IF(L91&gt;$D91," * La variable "&amp;L$77&amp;""&amp;" no puede superar el Total Ambos Sexos. ",""))</f>
        <v xml:space="preserve"> * La variable Migrantes no puede superar el Total Ambos Sexos. </v>
      </c>
      <c r="CH91" s="4174" t="str">
        <f>IF(AND($D91&gt;0,M91=""),"*No olvide digitar el campo "&amp;M$77&amp;""&amp;". Digite CERO si no tiene.", IF(M91&gt;$D91," * La variable "&amp;M$77&amp;""&amp;" no puede superar el Total Ambos Sexos. ",""))</f>
        <v xml:space="preserve"> * La variable PRAIS no puede superar el Total Ambos Sexos. </v>
      </c>
      <c r="CN91" s="434">
        <f t="shared" si="50"/>
        <v>1</v>
      </c>
      <c r="CO91" s="434">
        <f t="shared" si="51"/>
        <v>1</v>
      </c>
      <c r="CP91" s="434">
        <f t="shared" si="52"/>
        <v>1</v>
      </c>
      <c r="CQ91" s="434">
        <f t="shared" si="53"/>
        <v>1</v>
      </c>
      <c r="CR91" s="434">
        <f t="shared" si="54"/>
        <v>1</v>
      </c>
      <c r="CS91" s="434">
        <f t="shared" si="55"/>
        <v>1</v>
      </c>
      <c r="CT91" s="434">
        <f t="shared" si="56"/>
        <v>1</v>
      </c>
    </row>
    <row r="92" spans="1:98" x14ac:dyDescent="0.25">
      <c r="A92" s="5616"/>
      <c r="B92" s="4184" t="s">
        <v>77</v>
      </c>
      <c r="C92" s="4195">
        <f>SUM(C78:C91)</f>
        <v>0</v>
      </c>
      <c r="D92" s="4159">
        <f t="shared" ref="D92:S92" si="57">SUM(D78:D91)</f>
        <v>0</v>
      </c>
      <c r="E92" s="4189">
        <f t="shared" si="57"/>
        <v>0</v>
      </c>
      <c r="F92" s="4196">
        <f t="shared" si="57"/>
        <v>0</v>
      </c>
      <c r="G92" s="4191">
        <f t="shared" si="57"/>
        <v>0</v>
      </c>
      <c r="H92" s="4186">
        <f t="shared" si="57"/>
        <v>0</v>
      </c>
      <c r="I92" s="4186">
        <f t="shared" si="57"/>
        <v>0</v>
      </c>
      <c r="J92" s="4186">
        <f t="shared" si="57"/>
        <v>0</v>
      </c>
      <c r="K92" s="4186">
        <f t="shared" si="57"/>
        <v>0</v>
      </c>
      <c r="L92" s="4186">
        <f t="shared" si="57"/>
        <v>0</v>
      </c>
      <c r="M92" s="4190">
        <f t="shared" si="57"/>
        <v>0</v>
      </c>
      <c r="N92" s="4187">
        <f t="shared" si="57"/>
        <v>0</v>
      </c>
      <c r="O92" s="4186">
        <f t="shared" si="57"/>
        <v>0</v>
      </c>
      <c r="P92" s="4186">
        <f t="shared" si="57"/>
        <v>0</v>
      </c>
      <c r="Q92" s="4186">
        <f t="shared" si="57"/>
        <v>0</v>
      </c>
      <c r="R92" s="4186">
        <f t="shared" si="57"/>
        <v>0</v>
      </c>
      <c r="S92" s="4192">
        <f t="shared" si="57"/>
        <v>0</v>
      </c>
    </row>
    <row r="93" spans="1:98" ht="18" customHeight="1" x14ac:dyDescent="0.25">
      <c r="B93" s="7199" t="s">
        <v>2284</v>
      </c>
      <c r="C93" s="7199"/>
      <c r="D93" s="7199"/>
      <c r="E93" s="7199"/>
      <c r="F93" s="7199"/>
      <c r="G93" s="7199"/>
      <c r="H93" s="7199"/>
      <c r="I93" s="7199"/>
      <c r="J93" s="7199"/>
      <c r="K93" s="7199"/>
      <c r="L93" s="7199"/>
      <c r="M93" s="7199"/>
      <c r="N93" s="7199"/>
      <c r="O93" s="7199"/>
    </row>
    <row r="94" spans="1:98" ht="18" customHeight="1" x14ac:dyDescent="0.25">
      <c r="B94" s="7179" t="s">
        <v>2285</v>
      </c>
      <c r="C94" s="7179"/>
      <c r="D94" s="7179"/>
      <c r="E94" s="7179"/>
      <c r="F94" s="7179"/>
      <c r="G94" s="7179"/>
      <c r="H94" s="7179"/>
      <c r="I94" s="7179"/>
      <c r="J94" s="7179"/>
      <c r="K94" s="7199"/>
      <c r="L94" s="7199"/>
      <c r="M94" s="7199"/>
      <c r="N94" s="7199"/>
      <c r="O94" s="7199"/>
    </row>
    <row r="95" spans="1:98" ht="15" customHeight="1" x14ac:dyDescent="0.25">
      <c r="B95" s="6023" t="s">
        <v>2237</v>
      </c>
      <c r="C95" s="6027" t="s">
        <v>77</v>
      </c>
      <c r="D95" s="7197" t="s">
        <v>2286</v>
      </c>
      <c r="E95" s="7208" t="s">
        <v>2287</v>
      </c>
      <c r="F95" s="7215" t="s">
        <v>2288</v>
      </c>
      <c r="G95" s="7208" t="s">
        <v>2289</v>
      </c>
      <c r="H95" s="7208" t="s">
        <v>2290</v>
      </c>
      <c r="I95" s="7208" t="s">
        <v>2291</v>
      </c>
      <c r="J95" s="6510" t="s">
        <v>2292</v>
      </c>
      <c r="K95" s="7205" t="s">
        <v>2239</v>
      </c>
      <c r="L95" s="7116" t="s">
        <v>2240</v>
      </c>
      <c r="M95" s="7110"/>
      <c r="N95" s="7110"/>
      <c r="O95" s="7110"/>
      <c r="P95" s="7110"/>
      <c r="Q95" s="7110"/>
      <c r="R95" s="7110"/>
      <c r="S95" s="7110"/>
      <c r="T95" s="7110"/>
      <c r="U95" s="7117"/>
    </row>
    <row r="96" spans="1:98" ht="31.5" customHeight="1" x14ac:dyDescent="0.25">
      <c r="B96" s="6739"/>
      <c r="C96" s="6955"/>
      <c r="D96" s="6751"/>
      <c r="E96" s="6086"/>
      <c r="F96" s="6776"/>
      <c r="G96" s="6086"/>
      <c r="H96" s="6086"/>
      <c r="I96" s="6086"/>
      <c r="J96" s="6735"/>
      <c r="K96" s="6937"/>
      <c r="L96" s="3893" t="s">
        <v>2251</v>
      </c>
      <c r="M96" s="3894" t="s">
        <v>58</v>
      </c>
      <c r="N96" s="3898" t="s">
        <v>59</v>
      </c>
      <c r="O96" s="3939" t="s">
        <v>1278</v>
      </c>
      <c r="P96" s="3895" t="s">
        <v>1354</v>
      </c>
      <c r="Q96" s="3895" t="s">
        <v>1355</v>
      </c>
      <c r="R96" s="3895" t="s">
        <v>2178</v>
      </c>
      <c r="S96" s="3895" t="s">
        <v>36</v>
      </c>
      <c r="T96" s="3895" t="s">
        <v>37</v>
      </c>
      <c r="U96" s="3893" t="s">
        <v>2179</v>
      </c>
    </row>
    <row r="97" spans="1:98" x14ac:dyDescent="0.25">
      <c r="A97" s="5825">
        <v>19201085</v>
      </c>
      <c r="B97" s="3360" t="s">
        <v>2293</v>
      </c>
      <c r="C97" s="4197" t="s">
        <v>4567</v>
      </c>
      <c r="D97" s="3913" t="s">
        <v>4568</v>
      </c>
      <c r="E97" s="935" t="s">
        <v>4569</v>
      </c>
      <c r="F97" s="935" t="s">
        <v>4570</v>
      </c>
      <c r="G97" s="1014" t="s">
        <v>4571</v>
      </c>
      <c r="H97" s="1014" t="s">
        <v>4572</v>
      </c>
      <c r="I97" s="232" t="s">
        <v>4573</v>
      </c>
      <c r="J97" s="4198" t="s">
        <v>4574</v>
      </c>
      <c r="K97" s="142" t="s">
        <v>4575</v>
      </c>
      <c r="L97" s="764" t="s">
        <v>4576</v>
      </c>
      <c r="M97" s="20" t="s">
        <v>4577</v>
      </c>
      <c r="N97" s="1001" t="s">
        <v>4578</v>
      </c>
      <c r="O97" s="336" t="s">
        <v>4579</v>
      </c>
      <c r="P97" s="232" t="s">
        <v>4580</v>
      </c>
      <c r="Q97" s="935" t="s">
        <v>4581</v>
      </c>
      <c r="R97" s="1014" t="s">
        <v>4582</v>
      </c>
      <c r="S97" s="1014" t="s">
        <v>4583</v>
      </c>
      <c r="T97" s="44" t="s">
        <v>4584</v>
      </c>
      <c r="U97" s="142" t="s">
        <v>4585</v>
      </c>
      <c r="V97" s="1936" t="str">
        <f>CB97&amp;CC97&amp;CD97&amp;CE97&amp;CF97&amp;CG97&amp;CH97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7" s="4174" t="str">
        <f>IF(AND(N97&gt;0,O97=""),"*No olvide digitar el campo "&amp;O$96&amp;""&amp;". Digite CERO si no tiene.", IF(O97&gt;N97," * El Número de "&amp;O$96&amp;""&amp;" no puede superar el Total Mujeres. ",""))</f>
        <v xml:space="preserve"> * El Número de Trans Masculino no puede superar el Total Mujeres. </v>
      </c>
      <c r="CC97" s="4174" t="str">
        <f>IF(AND(M97&gt;0,P97=""),"*No olvide digitar el campo "&amp;P$96&amp;""&amp;". Digite CERO si no tiene.", IF(P97&gt;M97," * El Número de "&amp;P$96&amp;""&amp;" no puede superar el Total Hombres. ",""))</f>
        <v xml:space="preserve"> * El Número de Trans Femenina no puede superar el Total Hombres. </v>
      </c>
      <c r="CD97" s="4174" t="str">
        <f>IF(AND($L97&gt;0,Q97=""),"*No olvide digitar el campo "&amp;Q$96&amp;""&amp;". Digite CERO si no tiene.", IF(Q97&gt;$L97," * La variable "&amp;Q$96&amp;""&amp;" no puede superar el Total Ambos Sexos. ",""))</f>
        <v xml:space="preserve"> * La variable No Binarie no puede superar el Total Ambos Sexos. </v>
      </c>
      <c r="CE97" s="4174" t="str">
        <f>IF(AND($L97&gt;0,R97=""),"*No olvide digitar el campo "&amp;R$96&amp;""&amp;". Digite CERO si no tiene.", IF(R97&gt;$L97," * La variable "&amp;R$96&amp;""&amp;" no puede superar el Total Ambos Sexos. ",""))</f>
        <v xml:space="preserve"> * La variable No revelado no puede superar el Total Ambos Sexos. </v>
      </c>
      <c r="CF97" s="4174" t="str">
        <f>IF(AND($L97&gt;0,S97=""),"*No olvide digitar el campo "&amp;S$96&amp;""&amp;". Digite CERO si no tiene.", IF(S97&gt;$L97," * La variable "&amp;S$96&amp;""&amp;" no puede superar el Total Ambos Sexos. ",""))</f>
        <v xml:space="preserve"> * La variable Pueblos Originarios no puede superar el Total Ambos Sexos. </v>
      </c>
      <c r="CG97" s="4174" t="str">
        <f>IF(AND($L97&gt;0,T97=""),"*No olvide digitar el campo "&amp;T$96&amp;""&amp;". Digite CERO si no tiene.", IF(T97&gt;$L97," * La variable "&amp;T$96&amp;""&amp;" no puede superar el Total Ambos Sexos. ",""))</f>
        <v xml:space="preserve"> * La variable Migrantes no puede superar el Total Ambos Sexos. </v>
      </c>
      <c r="CH97" s="4174" t="str">
        <f>IF(AND($L97&gt;0,U97=""),"*No olvide digitar el campo "&amp;U$96&amp;""&amp;". Digite CERO si no tiene.", IF(U97&gt;$L97," * La variable "&amp;U$96&amp;""&amp;" no puede superar el Total Ambos Sexos. ",""))</f>
        <v xml:space="preserve"> * La variable PRAIS no puede superar el Total Ambos Sexos. </v>
      </c>
      <c r="CN97" s="434">
        <f>IF(AND(N97&gt;0,OR(O97="")),1,IF(O97&gt;N97,1,0))</f>
        <v>1</v>
      </c>
      <c r="CO97" s="434">
        <f>IF(AND(M97&gt;0,OR(P97="")),1,IF(P97&gt;M97,1,0))</f>
        <v>1</v>
      </c>
      <c r="CP97" s="434">
        <f>IF(AND($L97&gt;0,OR(Q97="")),1,IF(Q97&gt;$L97,1,0))</f>
        <v>1</v>
      </c>
      <c r="CQ97" s="434">
        <f>IF(AND($L97&gt;0,OR(R97="")),1,IF(R97&gt;$L97,1,0))</f>
        <v>1</v>
      </c>
      <c r="CR97" s="434">
        <f>IF(AND($L97&gt;0,OR(S97="")),1,IF(S97&gt;$L97,1,0))</f>
        <v>1</v>
      </c>
      <c r="CS97" s="434">
        <f>IF(AND($L97&gt;0,OR(T97="")),1,IF(T97&gt;$L97,1,0))</f>
        <v>1</v>
      </c>
      <c r="CT97" s="434">
        <f>IF(AND($L97&gt;0,OR(U97="")),1,IF(U97&gt;$L97,1,0))</f>
        <v>1</v>
      </c>
    </row>
    <row r="98" spans="1:98" x14ac:dyDescent="0.25">
      <c r="A98" s="5825">
        <v>19201086</v>
      </c>
      <c r="B98" s="3982" t="s">
        <v>2147</v>
      </c>
      <c r="C98" s="3982" t="s">
        <v>4567</v>
      </c>
      <c r="D98" s="3913" t="s">
        <v>4568</v>
      </c>
      <c r="E98" s="1939" t="s">
        <v>4569</v>
      </c>
      <c r="F98" s="1939" t="s">
        <v>4570</v>
      </c>
      <c r="G98" s="1939" t="s">
        <v>4571</v>
      </c>
      <c r="H98" s="1939" t="s">
        <v>4572</v>
      </c>
      <c r="I98" s="993" t="s">
        <v>4573</v>
      </c>
      <c r="J98" s="3443" t="s">
        <v>4574</v>
      </c>
      <c r="K98" s="329" t="s">
        <v>4575</v>
      </c>
      <c r="L98" s="4038" t="s">
        <v>4576</v>
      </c>
      <c r="M98" s="3913" t="s">
        <v>4577</v>
      </c>
      <c r="N98" s="1911" t="s">
        <v>4578</v>
      </c>
      <c r="O98" s="3903" t="s">
        <v>4579</v>
      </c>
      <c r="P98" s="993" t="s">
        <v>4580</v>
      </c>
      <c r="Q98" s="993" t="s">
        <v>4581</v>
      </c>
      <c r="R98" s="232" t="s">
        <v>4582</v>
      </c>
      <c r="S98" s="232" t="s">
        <v>4583</v>
      </c>
      <c r="T98" s="214" t="s">
        <v>4584</v>
      </c>
      <c r="U98" s="29" t="s">
        <v>4585</v>
      </c>
      <c r="V98" s="1936" t="str">
        <f t="shared" ref="V98:V108" si="58">CB98&amp;CC98&amp;CD98&amp;CE98&amp;CF98&amp;CG98&amp;CH98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8" s="4174" t="str">
        <f t="shared" ref="CB98:CB108" si="59">IF(AND(N98&gt;0,O98=""),"*No olvide digitar el campo "&amp;O$96&amp;""&amp;". Digite CERO si no tiene.", IF(O98&gt;N98," * El Número de "&amp;O$96&amp;""&amp;" no puede superar el Total Mujeres. ",""))</f>
        <v xml:space="preserve"> * El Número de Trans Masculino no puede superar el Total Mujeres. </v>
      </c>
      <c r="CC98" s="4174" t="str">
        <f t="shared" ref="CC98:CC108" si="60">IF(AND(M98&gt;0,P98=""),"*No olvide digitar el campo "&amp;P$96&amp;""&amp;". Digite CERO si no tiene.", IF(P98&gt;M98," * El Número de "&amp;P$96&amp;""&amp;" no puede superar el Total Hombres. ",""))</f>
        <v xml:space="preserve"> * El Número de Trans Femenina no puede superar el Total Hombres. </v>
      </c>
      <c r="CD98" s="4174" t="str">
        <f t="shared" ref="CD98:CD108" si="61">IF(AND($L98&gt;0,Q98=""),"*No olvide digitar el campo "&amp;Q$96&amp;""&amp;". Digite CERO si no tiene.", IF(Q98&gt;$L98," * La variable "&amp;Q$96&amp;""&amp;" no puede superar el Total Ambos Sexos. ",""))</f>
        <v xml:space="preserve"> * La variable No Binarie no puede superar el Total Ambos Sexos. </v>
      </c>
      <c r="CE98" s="4174" t="str">
        <f t="shared" ref="CE98:CE108" si="62">IF(AND($L98&gt;0,R98=""),"*No olvide digitar el campo "&amp;R$96&amp;""&amp;". Digite CERO si no tiene.", IF(R98&gt;$L98," * La variable "&amp;R$96&amp;""&amp;" no puede superar el Total Ambos Sexos. ",""))</f>
        <v xml:space="preserve"> * La variable No revelado no puede superar el Total Ambos Sexos. </v>
      </c>
      <c r="CF98" s="4174" t="str">
        <f t="shared" ref="CF98:CF108" si="63">IF(AND($L98&gt;0,S98=""),"*No olvide digitar el campo "&amp;S$96&amp;""&amp;". Digite CERO si no tiene.", IF(S98&gt;$L98," * La variable "&amp;S$96&amp;""&amp;" no puede superar el Total Ambos Sexos. ",""))</f>
        <v xml:space="preserve"> * La variable Pueblos Originarios no puede superar el Total Ambos Sexos. </v>
      </c>
      <c r="CG98" s="4174" t="str">
        <f t="shared" ref="CG98:CG108" si="64">IF(AND($L98&gt;0,T98=""),"*No olvide digitar el campo "&amp;T$96&amp;""&amp;". Digite CERO si no tiene.", IF(T98&gt;$L98," * La variable "&amp;T$96&amp;""&amp;" no puede superar el Total Ambos Sexos. ",""))</f>
        <v xml:space="preserve"> * La variable Migrantes no puede superar el Total Ambos Sexos. </v>
      </c>
      <c r="CH98" s="4174" t="str">
        <f t="shared" ref="CH98:CH108" si="65">IF(AND($L98&gt;0,U98=""),"*No olvide digitar el campo "&amp;U$96&amp;""&amp;". Digite CERO si no tiene.", IF(U98&gt;$L98," * La variable "&amp;U$96&amp;""&amp;" no puede superar el Total Ambos Sexos. ",""))</f>
        <v xml:space="preserve"> * La variable PRAIS no puede superar el Total Ambos Sexos. </v>
      </c>
      <c r="CN98" s="434">
        <f t="shared" ref="CN98:CN108" si="66">IF(AND(N98&gt;0,OR(O98="")),1,IF(O98&gt;N98,1,0))</f>
        <v>1</v>
      </c>
      <c r="CO98" s="434">
        <f t="shared" ref="CO98:CO108" si="67">IF(AND(M98&gt;0,OR(P98="")),1,IF(P98&gt;M98,1,0))</f>
        <v>1</v>
      </c>
      <c r="CP98" s="434">
        <f t="shared" ref="CP98:CP108" si="68">IF(AND($L98&gt;0,OR(Q98="")),1,IF(Q98&gt;$L98,1,0))</f>
        <v>1</v>
      </c>
      <c r="CQ98" s="434">
        <f t="shared" ref="CQ98:CQ108" si="69">IF(AND($L98&gt;0,OR(R98="")),1,IF(R98&gt;$L98,1,0))</f>
        <v>1</v>
      </c>
      <c r="CR98" s="434">
        <f t="shared" ref="CR98:CR108" si="70">IF(AND($L98&gt;0,OR(S98="")),1,IF(S98&gt;$L98,1,0))</f>
        <v>1</v>
      </c>
      <c r="CS98" s="434">
        <f t="shared" ref="CS98:CS108" si="71">IF(AND($L98&gt;0,OR(T98="")),1,IF(T98&gt;$L98,1,0))</f>
        <v>1</v>
      </c>
      <c r="CT98" s="434">
        <f t="shared" ref="CT98:CT108" si="72">IF(AND($L98&gt;0,OR(U98="")),1,IF(U98&gt;$L98,1,0))</f>
        <v>1</v>
      </c>
    </row>
    <row r="99" spans="1:98" x14ac:dyDescent="0.25">
      <c r="A99" s="5825">
        <v>19201087</v>
      </c>
      <c r="B99" s="3982" t="s">
        <v>2294</v>
      </c>
      <c r="C99" s="3982" t="s">
        <v>4567</v>
      </c>
      <c r="D99" s="3913" t="s">
        <v>4568</v>
      </c>
      <c r="E99" s="232" t="s">
        <v>4569</v>
      </c>
      <c r="F99" s="232" t="s">
        <v>4570</v>
      </c>
      <c r="G99" s="1939" t="s">
        <v>4571</v>
      </c>
      <c r="H99" s="1939" t="s">
        <v>4572</v>
      </c>
      <c r="I99" s="993" t="s">
        <v>4573</v>
      </c>
      <c r="J99" s="3943" t="s">
        <v>4574</v>
      </c>
      <c r="K99" s="329" t="s">
        <v>4575</v>
      </c>
      <c r="L99" s="4038" t="s">
        <v>4576</v>
      </c>
      <c r="M99" s="3913" t="s">
        <v>4577</v>
      </c>
      <c r="N99" s="2410" t="s">
        <v>4578</v>
      </c>
      <c r="O99" s="3903" t="s">
        <v>4579</v>
      </c>
      <c r="P99" s="993" t="s">
        <v>4580</v>
      </c>
      <c r="Q99" s="1939" t="s">
        <v>4581</v>
      </c>
      <c r="R99" s="1939" t="s">
        <v>4582</v>
      </c>
      <c r="S99" s="993" t="s">
        <v>4583</v>
      </c>
      <c r="T99" s="3904" t="s">
        <v>4584</v>
      </c>
      <c r="U99" s="34" t="s">
        <v>4585</v>
      </c>
      <c r="V99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9" s="4174" t="str">
        <f t="shared" si="59"/>
        <v xml:space="preserve"> * El Número de Trans Masculino no puede superar el Total Mujeres. </v>
      </c>
      <c r="CC99" s="4174" t="str">
        <f t="shared" si="60"/>
        <v xml:space="preserve"> * El Número de Trans Femenina no puede superar el Total Hombres. </v>
      </c>
      <c r="CD99" s="4174" t="str">
        <f t="shared" si="61"/>
        <v xml:space="preserve"> * La variable No Binarie no puede superar el Total Ambos Sexos. </v>
      </c>
      <c r="CE99" s="4174" t="str">
        <f t="shared" si="62"/>
        <v xml:space="preserve"> * La variable No revelado no puede superar el Total Ambos Sexos. </v>
      </c>
      <c r="CF99" s="4174" t="str">
        <f t="shared" si="63"/>
        <v xml:space="preserve"> * La variable Pueblos Originarios no puede superar el Total Ambos Sexos. </v>
      </c>
      <c r="CG99" s="4174" t="str">
        <f t="shared" si="64"/>
        <v xml:space="preserve"> * La variable Migrantes no puede superar el Total Ambos Sexos. </v>
      </c>
      <c r="CH99" s="4174" t="str">
        <f t="shared" si="65"/>
        <v xml:space="preserve"> * La variable PRAIS no puede superar el Total Ambos Sexos. </v>
      </c>
      <c r="CN99" s="434">
        <f t="shared" si="66"/>
        <v>1</v>
      </c>
      <c r="CO99" s="434">
        <f t="shared" si="67"/>
        <v>1</v>
      </c>
      <c r="CP99" s="434">
        <f t="shared" si="68"/>
        <v>1</v>
      </c>
      <c r="CQ99" s="434">
        <f t="shared" si="69"/>
        <v>1</v>
      </c>
      <c r="CR99" s="434">
        <f t="shared" si="70"/>
        <v>1</v>
      </c>
      <c r="CS99" s="434">
        <f t="shared" si="71"/>
        <v>1</v>
      </c>
      <c r="CT99" s="434">
        <f t="shared" si="72"/>
        <v>1</v>
      </c>
    </row>
    <row r="100" spans="1:98" x14ac:dyDescent="0.25">
      <c r="A100" s="5825">
        <v>19201088</v>
      </c>
      <c r="B100" s="3982" t="s">
        <v>2295</v>
      </c>
      <c r="C100" s="3982" t="s">
        <v>4567</v>
      </c>
      <c r="D100" s="3913" t="s">
        <v>4568</v>
      </c>
      <c r="E100" s="993" t="s">
        <v>4569</v>
      </c>
      <c r="F100" s="993" t="s">
        <v>4570</v>
      </c>
      <c r="G100" s="1939" t="s">
        <v>4571</v>
      </c>
      <c r="H100" s="232" t="s">
        <v>4572</v>
      </c>
      <c r="I100" s="1939" t="s">
        <v>4573</v>
      </c>
      <c r="J100" s="4199" t="s">
        <v>4574</v>
      </c>
      <c r="K100" s="329" t="s">
        <v>4575</v>
      </c>
      <c r="L100" s="4038" t="s">
        <v>4576</v>
      </c>
      <c r="M100" s="20" t="s">
        <v>4577</v>
      </c>
      <c r="N100" s="331" t="s">
        <v>4578</v>
      </c>
      <c r="O100" s="3903" t="s">
        <v>4579</v>
      </c>
      <c r="P100" s="993" t="s">
        <v>4580</v>
      </c>
      <c r="Q100" s="232" t="s">
        <v>4581</v>
      </c>
      <c r="R100" s="1939" t="s">
        <v>4582</v>
      </c>
      <c r="S100" s="993" t="s">
        <v>4583</v>
      </c>
      <c r="T100" s="3904" t="s">
        <v>4584</v>
      </c>
      <c r="U100" s="34" t="s">
        <v>4585</v>
      </c>
      <c r="V100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0" s="4174" t="str">
        <f t="shared" si="59"/>
        <v xml:space="preserve"> * El Número de Trans Masculino no puede superar el Total Mujeres. </v>
      </c>
      <c r="CC100" s="4174" t="str">
        <f t="shared" si="60"/>
        <v xml:space="preserve"> * El Número de Trans Femenina no puede superar el Total Hombres. </v>
      </c>
      <c r="CD100" s="4174" t="str">
        <f t="shared" si="61"/>
        <v xml:space="preserve"> * La variable No Binarie no puede superar el Total Ambos Sexos. </v>
      </c>
      <c r="CE100" s="4174" t="str">
        <f t="shared" si="62"/>
        <v xml:space="preserve"> * La variable No revelado no puede superar el Total Ambos Sexos. </v>
      </c>
      <c r="CF100" s="4174" t="str">
        <f t="shared" si="63"/>
        <v xml:space="preserve"> * La variable Pueblos Originarios no puede superar el Total Ambos Sexos. </v>
      </c>
      <c r="CG100" s="4174" t="str">
        <f t="shared" si="64"/>
        <v xml:space="preserve"> * La variable Migrantes no puede superar el Total Ambos Sexos. </v>
      </c>
      <c r="CH100" s="4174" t="str">
        <f t="shared" si="65"/>
        <v xml:space="preserve"> * La variable PRAIS no puede superar el Total Ambos Sexos. </v>
      </c>
      <c r="CN100" s="434">
        <f t="shared" si="66"/>
        <v>1</v>
      </c>
      <c r="CO100" s="434">
        <f t="shared" si="67"/>
        <v>1</v>
      </c>
      <c r="CP100" s="434">
        <f t="shared" si="68"/>
        <v>1</v>
      </c>
      <c r="CQ100" s="434">
        <f t="shared" si="69"/>
        <v>1</v>
      </c>
      <c r="CR100" s="434">
        <f t="shared" si="70"/>
        <v>1</v>
      </c>
      <c r="CS100" s="434">
        <f t="shared" si="71"/>
        <v>1</v>
      </c>
      <c r="CT100" s="434">
        <f t="shared" si="72"/>
        <v>1</v>
      </c>
    </row>
    <row r="101" spans="1:98" x14ac:dyDescent="0.25">
      <c r="A101" s="5823">
        <v>19201089</v>
      </c>
      <c r="B101" s="3982" t="s">
        <v>2255</v>
      </c>
      <c r="C101" s="3982" t="s">
        <v>4567</v>
      </c>
      <c r="D101" s="3913" t="s">
        <v>4568</v>
      </c>
      <c r="E101" s="1939" t="s">
        <v>4569</v>
      </c>
      <c r="F101" s="1939" t="s">
        <v>4570</v>
      </c>
      <c r="G101" s="232" t="s">
        <v>4571</v>
      </c>
      <c r="H101" s="993" t="s">
        <v>4572</v>
      </c>
      <c r="I101" s="232" t="s">
        <v>4573</v>
      </c>
      <c r="J101" s="3443" t="s">
        <v>4574</v>
      </c>
      <c r="K101" s="329" t="s">
        <v>4575</v>
      </c>
      <c r="L101" s="4038" t="s">
        <v>4576</v>
      </c>
      <c r="M101" s="3913" t="s">
        <v>4577</v>
      </c>
      <c r="N101" s="331" t="s">
        <v>4578</v>
      </c>
      <c r="O101" s="3903" t="s">
        <v>4579</v>
      </c>
      <c r="P101" s="1939" t="s">
        <v>4580</v>
      </c>
      <c r="Q101" s="993" t="s">
        <v>4581</v>
      </c>
      <c r="R101" s="1939" t="s">
        <v>4582</v>
      </c>
      <c r="S101" s="993" t="s">
        <v>4583</v>
      </c>
      <c r="T101" s="3904" t="s">
        <v>4584</v>
      </c>
      <c r="U101" s="34" t="s">
        <v>4585</v>
      </c>
      <c r="V101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1" s="4174" t="str">
        <f t="shared" si="59"/>
        <v xml:space="preserve"> * El Número de Trans Masculino no puede superar el Total Mujeres. </v>
      </c>
      <c r="CC101" s="4174" t="str">
        <f t="shared" si="60"/>
        <v xml:space="preserve"> * El Número de Trans Femenina no puede superar el Total Hombres. </v>
      </c>
      <c r="CD101" s="4174" t="str">
        <f t="shared" si="61"/>
        <v xml:space="preserve"> * La variable No Binarie no puede superar el Total Ambos Sexos. </v>
      </c>
      <c r="CE101" s="4174" t="str">
        <f t="shared" si="62"/>
        <v xml:space="preserve"> * La variable No revelado no puede superar el Total Ambos Sexos. </v>
      </c>
      <c r="CF101" s="4174" t="str">
        <f t="shared" si="63"/>
        <v xml:space="preserve"> * La variable Pueblos Originarios no puede superar el Total Ambos Sexos. </v>
      </c>
      <c r="CG101" s="4174" t="str">
        <f t="shared" si="64"/>
        <v xml:space="preserve"> * La variable Migrantes no puede superar el Total Ambos Sexos. </v>
      </c>
      <c r="CH101" s="4174" t="str">
        <f t="shared" si="65"/>
        <v xml:space="preserve"> * La variable PRAIS no puede superar el Total Ambos Sexos. </v>
      </c>
      <c r="CN101" s="434">
        <f t="shared" si="66"/>
        <v>1</v>
      </c>
      <c r="CO101" s="434">
        <f t="shared" si="67"/>
        <v>1</v>
      </c>
      <c r="CP101" s="434">
        <f t="shared" si="68"/>
        <v>1</v>
      </c>
      <c r="CQ101" s="434">
        <f t="shared" si="69"/>
        <v>1</v>
      </c>
      <c r="CR101" s="434">
        <f t="shared" si="70"/>
        <v>1</v>
      </c>
      <c r="CS101" s="434">
        <f t="shared" si="71"/>
        <v>1</v>
      </c>
      <c r="CT101" s="434">
        <f t="shared" si="72"/>
        <v>1</v>
      </c>
    </row>
    <row r="102" spans="1:98" x14ac:dyDescent="0.25">
      <c r="A102" s="5823">
        <v>19201090</v>
      </c>
      <c r="B102" s="3982" t="s">
        <v>2256</v>
      </c>
      <c r="C102" s="3982" t="s">
        <v>4567</v>
      </c>
      <c r="D102" s="3913" t="s">
        <v>4568</v>
      </c>
      <c r="E102" s="232" t="s">
        <v>4569</v>
      </c>
      <c r="F102" s="232" t="s">
        <v>4570</v>
      </c>
      <c r="G102" s="1939" t="s">
        <v>4571</v>
      </c>
      <c r="H102" s="1939" t="s">
        <v>4572</v>
      </c>
      <c r="I102" s="1939" t="s">
        <v>4573</v>
      </c>
      <c r="J102" s="3943" t="s">
        <v>4574</v>
      </c>
      <c r="K102" s="329" t="s">
        <v>4575</v>
      </c>
      <c r="L102" s="4038" t="s">
        <v>4576</v>
      </c>
      <c r="M102" s="3913" t="s">
        <v>4577</v>
      </c>
      <c r="N102" s="1911" t="s">
        <v>4578</v>
      </c>
      <c r="O102" s="3903" t="s">
        <v>4579</v>
      </c>
      <c r="P102" s="232" t="s">
        <v>4580</v>
      </c>
      <c r="Q102" s="993" t="s">
        <v>4581</v>
      </c>
      <c r="R102" s="1939" t="s">
        <v>4582</v>
      </c>
      <c r="S102" s="993" t="s">
        <v>4583</v>
      </c>
      <c r="T102" s="3904" t="s">
        <v>4584</v>
      </c>
      <c r="U102" s="34" t="s">
        <v>4585</v>
      </c>
      <c r="V102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2" s="4174" t="str">
        <f t="shared" si="59"/>
        <v xml:space="preserve"> * El Número de Trans Masculino no puede superar el Total Mujeres. </v>
      </c>
      <c r="CC102" s="4174" t="str">
        <f t="shared" si="60"/>
        <v xml:space="preserve"> * El Número de Trans Femenina no puede superar el Total Hombres. </v>
      </c>
      <c r="CD102" s="4174" t="str">
        <f t="shared" si="61"/>
        <v xml:space="preserve"> * La variable No Binarie no puede superar el Total Ambos Sexos. </v>
      </c>
      <c r="CE102" s="4174" t="str">
        <f t="shared" si="62"/>
        <v xml:space="preserve"> * La variable No revelado no puede superar el Total Ambos Sexos. </v>
      </c>
      <c r="CF102" s="4174" t="str">
        <f t="shared" si="63"/>
        <v xml:space="preserve"> * La variable Pueblos Originarios no puede superar el Total Ambos Sexos. </v>
      </c>
      <c r="CG102" s="4174" t="str">
        <f t="shared" si="64"/>
        <v xml:space="preserve"> * La variable Migrantes no puede superar el Total Ambos Sexos. </v>
      </c>
      <c r="CH102" s="4174" t="str">
        <f t="shared" si="65"/>
        <v xml:space="preserve"> * La variable PRAIS no puede superar el Total Ambos Sexos. </v>
      </c>
      <c r="CN102" s="434">
        <f t="shared" si="66"/>
        <v>1</v>
      </c>
      <c r="CO102" s="434">
        <f t="shared" si="67"/>
        <v>1</v>
      </c>
      <c r="CP102" s="434">
        <f t="shared" si="68"/>
        <v>1</v>
      </c>
      <c r="CQ102" s="434">
        <f t="shared" si="69"/>
        <v>1</v>
      </c>
      <c r="CR102" s="434">
        <f t="shared" si="70"/>
        <v>1</v>
      </c>
      <c r="CS102" s="434">
        <f t="shared" si="71"/>
        <v>1</v>
      </c>
      <c r="CT102" s="434">
        <f t="shared" si="72"/>
        <v>1</v>
      </c>
    </row>
    <row r="103" spans="1:98" x14ac:dyDescent="0.25">
      <c r="A103" s="5825">
        <v>19201091</v>
      </c>
      <c r="B103" s="3982" t="s">
        <v>2257</v>
      </c>
      <c r="C103" s="3982" t="s">
        <v>4567</v>
      </c>
      <c r="D103" s="3913" t="s">
        <v>4568</v>
      </c>
      <c r="E103" s="1939" t="s">
        <v>4569</v>
      </c>
      <c r="F103" s="1939" t="s">
        <v>4570</v>
      </c>
      <c r="G103" s="1939" t="s">
        <v>4571</v>
      </c>
      <c r="H103" s="1939" t="s">
        <v>4572</v>
      </c>
      <c r="I103" s="1939" t="s">
        <v>4573</v>
      </c>
      <c r="J103" s="1884" t="s">
        <v>4574</v>
      </c>
      <c r="K103" s="329" t="s">
        <v>4575</v>
      </c>
      <c r="L103" s="4038" t="s">
        <v>4576</v>
      </c>
      <c r="M103" s="3913" t="s">
        <v>4577</v>
      </c>
      <c r="N103" s="2410" t="s">
        <v>4578</v>
      </c>
      <c r="O103" s="1983" t="s">
        <v>4579</v>
      </c>
      <c r="P103" s="993" t="s">
        <v>4580</v>
      </c>
      <c r="Q103" s="1939" t="s">
        <v>4581</v>
      </c>
      <c r="R103" s="1939" t="s">
        <v>4582</v>
      </c>
      <c r="S103" s="1939" t="s">
        <v>4583</v>
      </c>
      <c r="T103" s="3904" t="s">
        <v>4584</v>
      </c>
      <c r="U103" s="329" t="s">
        <v>4585</v>
      </c>
      <c r="V103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3" s="4174" t="str">
        <f t="shared" si="59"/>
        <v xml:space="preserve"> * El Número de Trans Masculino no puede superar el Total Mujeres. </v>
      </c>
      <c r="CC103" s="4174" t="str">
        <f t="shared" si="60"/>
        <v xml:space="preserve"> * El Número de Trans Femenina no puede superar el Total Hombres. </v>
      </c>
      <c r="CD103" s="4174" t="str">
        <f t="shared" si="61"/>
        <v xml:space="preserve"> * La variable No Binarie no puede superar el Total Ambos Sexos. </v>
      </c>
      <c r="CE103" s="4174" t="str">
        <f t="shared" si="62"/>
        <v xml:space="preserve"> * La variable No revelado no puede superar el Total Ambos Sexos. </v>
      </c>
      <c r="CF103" s="4174" t="str">
        <f t="shared" si="63"/>
        <v xml:space="preserve"> * La variable Pueblos Originarios no puede superar el Total Ambos Sexos. </v>
      </c>
      <c r="CG103" s="4174" t="str">
        <f t="shared" si="64"/>
        <v xml:space="preserve"> * La variable Migrantes no puede superar el Total Ambos Sexos. </v>
      </c>
      <c r="CH103" s="4174" t="str">
        <f t="shared" si="65"/>
        <v xml:space="preserve"> * La variable PRAIS no puede superar el Total Ambos Sexos. </v>
      </c>
      <c r="CN103" s="434">
        <f t="shared" si="66"/>
        <v>1</v>
      </c>
      <c r="CO103" s="434">
        <f t="shared" si="67"/>
        <v>1</v>
      </c>
      <c r="CP103" s="434">
        <f t="shared" si="68"/>
        <v>1</v>
      </c>
      <c r="CQ103" s="434">
        <f t="shared" si="69"/>
        <v>1</v>
      </c>
      <c r="CR103" s="434">
        <f t="shared" si="70"/>
        <v>1</v>
      </c>
      <c r="CS103" s="434">
        <f t="shared" si="71"/>
        <v>1</v>
      </c>
      <c r="CT103" s="434">
        <f t="shared" si="72"/>
        <v>1</v>
      </c>
    </row>
    <row r="104" spans="1:98" x14ac:dyDescent="0.25">
      <c r="A104" s="5825">
        <v>19201092</v>
      </c>
      <c r="B104" s="3982" t="s">
        <v>2258</v>
      </c>
      <c r="C104" s="3982" t="s">
        <v>4567</v>
      </c>
      <c r="D104" s="3913" t="s">
        <v>4568</v>
      </c>
      <c r="E104" s="232" t="s">
        <v>4569</v>
      </c>
      <c r="F104" s="232" t="s">
        <v>4570</v>
      </c>
      <c r="G104" s="1939" t="s">
        <v>4571</v>
      </c>
      <c r="H104" s="1939" t="s">
        <v>4572</v>
      </c>
      <c r="I104" s="232" t="s">
        <v>4573</v>
      </c>
      <c r="J104" s="4199" t="s">
        <v>4574</v>
      </c>
      <c r="K104" s="329" t="s">
        <v>4575</v>
      </c>
      <c r="L104" s="4038" t="s">
        <v>4576</v>
      </c>
      <c r="M104" s="20" t="s">
        <v>4577</v>
      </c>
      <c r="N104" s="2410" t="s">
        <v>4578</v>
      </c>
      <c r="O104" s="3903" t="s">
        <v>4579</v>
      </c>
      <c r="P104" s="1939" t="s">
        <v>4580</v>
      </c>
      <c r="Q104" s="232" t="s">
        <v>4581</v>
      </c>
      <c r="R104" s="1939" t="s">
        <v>4582</v>
      </c>
      <c r="S104" s="232" t="s">
        <v>4583</v>
      </c>
      <c r="T104" s="3904" t="s">
        <v>4584</v>
      </c>
      <c r="U104" s="29" t="s">
        <v>4585</v>
      </c>
      <c r="V104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4" s="4174" t="str">
        <f t="shared" si="59"/>
        <v xml:space="preserve"> * El Número de Trans Masculino no puede superar el Total Mujeres. </v>
      </c>
      <c r="CC104" s="4174" t="str">
        <f t="shared" si="60"/>
        <v xml:space="preserve"> * El Número de Trans Femenina no puede superar el Total Hombres. </v>
      </c>
      <c r="CD104" s="4174" t="str">
        <f t="shared" si="61"/>
        <v xml:space="preserve"> * La variable No Binarie no puede superar el Total Ambos Sexos. </v>
      </c>
      <c r="CE104" s="4174" t="str">
        <f t="shared" si="62"/>
        <v xml:space="preserve"> * La variable No revelado no puede superar el Total Ambos Sexos. </v>
      </c>
      <c r="CF104" s="4174" t="str">
        <f t="shared" si="63"/>
        <v xml:space="preserve"> * La variable Pueblos Originarios no puede superar el Total Ambos Sexos. </v>
      </c>
      <c r="CG104" s="4174" t="str">
        <f t="shared" si="64"/>
        <v xml:space="preserve"> * La variable Migrantes no puede superar el Total Ambos Sexos. </v>
      </c>
      <c r="CH104" s="4174" t="str">
        <f t="shared" si="65"/>
        <v xml:space="preserve"> * La variable PRAIS no puede superar el Total Ambos Sexos. </v>
      </c>
      <c r="CN104" s="434">
        <f t="shared" si="66"/>
        <v>1</v>
      </c>
      <c r="CO104" s="434">
        <f t="shared" si="67"/>
        <v>1</v>
      </c>
      <c r="CP104" s="434">
        <f t="shared" si="68"/>
        <v>1</v>
      </c>
      <c r="CQ104" s="434">
        <f t="shared" si="69"/>
        <v>1</v>
      </c>
      <c r="CR104" s="434">
        <f t="shared" si="70"/>
        <v>1</v>
      </c>
      <c r="CS104" s="434">
        <f t="shared" si="71"/>
        <v>1</v>
      </c>
      <c r="CT104" s="434">
        <f t="shared" si="72"/>
        <v>1</v>
      </c>
    </row>
    <row r="105" spans="1:98" x14ac:dyDescent="0.25">
      <c r="A105" s="5825">
        <v>19201093</v>
      </c>
      <c r="B105" s="3982" t="s">
        <v>2259</v>
      </c>
      <c r="C105" s="3982" t="s">
        <v>4567</v>
      </c>
      <c r="D105" s="3913" t="s">
        <v>4568</v>
      </c>
      <c r="E105" s="993" t="s">
        <v>4569</v>
      </c>
      <c r="F105" s="993" t="s">
        <v>4570</v>
      </c>
      <c r="G105" s="1939" t="s">
        <v>4571</v>
      </c>
      <c r="H105" s="1939" t="s">
        <v>4572</v>
      </c>
      <c r="I105" s="1939" t="s">
        <v>4573</v>
      </c>
      <c r="J105" s="3943" t="s">
        <v>4574</v>
      </c>
      <c r="K105" s="329" t="s">
        <v>4575</v>
      </c>
      <c r="L105" s="4038" t="s">
        <v>4576</v>
      </c>
      <c r="M105" s="3913" t="s">
        <v>4577</v>
      </c>
      <c r="N105" s="2410" t="s">
        <v>4578</v>
      </c>
      <c r="O105" s="3903" t="s">
        <v>4579</v>
      </c>
      <c r="P105" s="232" t="s">
        <v>4580</v>
      </c>
      <c r="Q105" s="1939" t="s">
        <v>4581</v>
      </c>
      <c r="R105" s="1939" t="s">
        <v>4582</v>
      </c>
      <c r="S105" s="993" t="s">
        <v>4583</v>
      </c>
      <c r="T105" s="3904" t="s">
        <v>4584</v>
      </c>
      <c r="U105" s="34" t="s">
        <v>4585</v>
      </c>
      <c r="V105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5" s="4174" t="str">
        <f t="shared" si="59"/>
        <v xml:space="preserve"> * El Número de Trans Masculino no puede superar el Total Mujeres. </v>
      </c>
      <c r="CC105" s="4174" t="str">
        <f t="shared" si="60"/>
        <v xml:space="preserve"> * El Número de Trans Femenina no puede superar el Total Hombres. </v>
      </c>
      <c r="CD105" s="4174" t="str">
        <f t="shared" si="61"/>
        <v xml:space="preserve"> * La variable No Binarie no puede superar el Total Ambos Sexos. </v>
      </c>
      <c r="CE105" s="4174" t="str">
        <f t="shared" si="62"/>
        <v xml:space="preserve"> * La variable No revelado no puede superar el Total Ambos Sexos. </v>
      </c>
      <c r="CF105" s="4174" t="str">
        <f t="shared" si="63"/>
        <v xml:space="preserve"> * La variable Pueblos Originarios no puede superar el Total Ambos Sexos. </v>
      </c>
      <c r="CG105" s="4174" t="str">
        <f t="shared" si="64"/>
        <v xml:space="preserve"> * La variable Migrantes no puede superar el Total Ambos Sexos. </v>
      </c>
      <c r="CH105" s="4174" t="str">
        <f t="shared" si="65"/>
        <v xml:space="preserve"> * La variable PRAIS no puede superar el Total Ambos Sexos. </v>
      </c>
      <c r="CN105" s="434">
        <f t="shared" si="66"/>
        <v>1</v>
      </c>
      <c r="CO105" s="434">
        <f t="shared" si="67"/>
        <v>1</v>
      </c>
      <c r="CP105" s="434">
        <f t="shared" si="68"/>
        <v>1</v>
      </c>
      <c r="CQ105" s="434">
        <f t="shared" si="69"/>
        <v>1</v>
      </c>
      <c r="CR105" s="434">
        <f t="shared" si="70"/>
        <v>1</v>
      </c>
      <c r="CS105" s="434">
        <f t="shared" si="71"/>
        <v>1</v>
      </c>
      <c r="CT105" s="434">
        <f t="shared" si="72"/>
        <v>1</v>
      </c>
    </row>
    <row r="106" spans="1:98" x14ac:dyDescent="0.25">
      <c r="A106" s="5825">
        <v>19201094</v>
      </c>
      <c r="B106" s="196" t="s">
        <v>2260</v>
      </c>
      <c r="C106" s="3982" t="s">
        <v>4567</v>
      </c>
      <c r="D106" s="4095" t="s">
        <v>4568</v>
      </c>
      <c r="E106" s="1939" t="s">
        <v>4569</v>
      </c>
      <c r="F106" s="1939" t="s">
        <v>4570</v>
      </c>
      <c r="G106" s="1939" t="s">
        <v>4571</v>
      </c>
      <c r="H106" s="1939" t="s">
        <v>4572</v>
      </c>
      <c r="I106" s="232" t="s">
        <v>4573</v>
      </c>
      <c r="J106" s="4199" t="s">
        <v>4574</v>
      </c>
      <c r="K106" s="329" t="s">
        <v>4575</v>
      </c>
      <c r="L106" s="4038" t="s">
        <v>4576</v>
      </c>
      <c r="M106" s="3913" t="s">
        <v>4577</v>
      </c>
      <c r="N106" s="2410" t="s">
        <v>4578</v>
      </c>
      <c r="O106" s="1983" t="s">
        <v>4579</v>
      </c>
      <c r="P106" s="993" t="s">
        <v>4580</v>
      </c>
      <c r="Q106" s="1939" t="s">
        <v>4581</v>
      </c>
      <c r="R106" s="1939" t="s">
        <v>4582</v>
      </c>
      <c r="S106" s="1939" t="s">
        <v>4583</v>
      </c>
      <c r="T106" s="3904" t="s">
        <v>4584</v>
      </c>
      <c r="U106" s="329" t="s">
        <v>4585</v>
      </c>
      <c r="V106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6" s="4174" t="str">
        <f t="shared" si="59"/>
        <v xml:space="preserve"> * El Número de Trans Masculino no puede superar el Total Mujeres. </v>
      </c>
      <c r="CC106" s="4174" t="str">
        <f t="shared" si="60"/>
        <v xml:space="preserve"> * El Número de Trans Femenina no puede superar el Total Hombres. </v>
      </c>
      <c r="CD106" s="4174" t="str">
        <f t="shared" si="61"/>
        <v xml:space="preserve"> * La variable No Binarie no puede superar el Total Ambos Sexos. </v>
      </c>
      <c r="CE106" s="4174" t="str">
        <f t="shared" si="62"/>
        <v xml:space="preserve"> * La variable No revelado no puede superar el Total Ambos Sexos. </v>
      </c>
      <c r="CF106" s="4174" t="str">
        <f t="shared" si="63"/>
        <v xml:space="preserve"> * La variable Pueblos Originarios no puede superar el Total Ambos Sexos. </v>
      </c>
      <c r="CG106" s="4174" t="str">
        <f t="shared" si="64"/>
        <v xml:space="preserve"> * La variable Migrantes no puede superar el Total Ambos Sexos. </v>
      </c>
      <c r="CH106" s="4174" t="str">
        <f t="shared" si="65"/>
        <v xml:space="preserve"> * La variable PRAIS no puede superar el Total Ambos Sexos. </v>
      </c>
      <c r="CN106" s="434">
        <f t="shared" si="66"/>
        <v>1</v>
      </c>
      <c r="CO106" s="434">
        <f t="shared" si="67"/>
        <v>1</v>
      </c>
      <c r="CP106" s="434">
        <f t="shared" si="68"/>
        <v>1</v>
      </c>
      <c r="CQ106" s="434">
        <f t="shared" si="69"/>
        <v>1</v>
      </c>
      <c r="CR106" s="434">
        <f t="shared" si="70"/>
        <v>1</v>
      </c>
      <c r="CS106" s="434">
        <f t="shared" si="71"/>
        <v>1</v>
      </c>
      <c r="CT106" s="434">
        <f t="shared" si="72"/>
        <v>1</v>
      </c>
    </row>
    <row r="107" spans="1:98" x14ac:dyDescent="0.25">
      <c r="A107" s="5825">
        <v>19201095</v>
      </c>
      <c r="B107" s="196" t="s">
        <v>2261</v>
      </c>
      <c r="C107" s="3982" t="s">
        <v>4567</v>
      </c>
      <c r="D107" s="3913" t="s">
        <v>4568</v>
      </c>
      <c r="E107" s="1939" t="s">
        <v>4569</v>
      </c>
      <c r="F107" s="1939" t="s">
        <v>4570</v>
      </c>
      <c r="G107" s="232" t="s">
        <v>4571</v>
      </c>
      <c r="H107" s="1939" t="s">
        <v>4572</v>
      </c>
      <c r="I107" s="993" t="s">
        <v>4573</v>
      </c>
      <c r="J107" s="3943" t="s">
        <v>4574</v>
      </c>
      <c r="K107" s="329" t="s">
        <v>4575</v>
      </c>
      <c r="L107" s="4038" t="s">
        <v>4576</v>
      </c>
      <c r="M107" s="3913" t="s">
        <v>4577</v>
      </c>
      <c r="N107" s="331" t="s">
        <v>4578</v>
      </c>
      <c r="O107" s="3903" t="s">
        <v>4579</v>
      </c>
      <c r="P107" s="1939" t="s">
        <v>4580</v>
      </c>
      <c r="Q107" s="1939" t="s">
        <v>4581</v>
      </c>
      <c r="R107" s="1939" t="s">
        <v>4582</v>
      </c>
      <c r="S107" s="232" t="s">
        <v>4583</v>
      </c>
      <c r="T107" s="3904" t="s">
        <v>4584</v>
      </c>
      <c r="U107" s="29" t="s">
        <v>4585</v>
      </c>
      <c r="V107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7" s="4174" t="str">
        <f t="shared" si="59"/>
        <v xml:space="preserve"> * El Número de Trans Masculino no puede superar el Total Mujeres. </v>
      </c>
      <c r="CC107" s="4174" t="str">
        <f t="shared" si="60"/>
        <v xml:space="preserve"> * El Número de Trans Femenina no puede superar el Total Hombres. </v>
      </c>
      <c r="CD107" s="4174" t="str">
        <f t="shared" si="61"/>
        <v xml:space="preserve"> * La variable No Binarie no puede superar el Total Ambos Sexos. </v>
      </c>
      <c r="CE107" s="4174" t="str">
        <f t="shared" si="62"/>
        <v xml:space="preserve"> * La variable No revelado no puede superar el Total Ambos Sexos. </v>
      </c>
      <c r="CF107" s="4174" t="str">
        <f t="shared" si="63"/>
        <v xml:space="preserve"> * La variable Pueblos Originarios no puede superar el Total Ambos Sexos. </v>
      </c>
      <c r="CG107" s="4174" t="str">
        <f t="shared" si="64"/>
        <v xml:space="preserve"> * La variable Migrantes no puede superar el Total Ambos Sexos. </v>
      </c>
      <c r="CH107" s="4174" t="str">
        <f t="shared" si="65"/>
        <v xml:space="preserve"> * La variable PRAIS no puede superar el Total Ambos Sexos. </v>
      </c>
      <c r="CN107" s="434">
        <f t="shared" si="66"/>
        <v>1</v>
      </c>
      <c r="CO107" s="434">
        <f t="shared" si="67"/>
        <v>1</v>
      </c>
      <c r="CP107" s="434">
        <f t="shared" si="68"/>
        <v>1</v>
      </c>
      <c r="CQ107" s="434">
        <f t="shared" si="69"/>
        <v>1</v>
      </c>
      <c r="CR107" s="434">
        <f t="shared" si="70"/>
        <v>1</v>
      </c>
      <c r="CS107" s="434">
        <f t="shared" si="71"/>
        <v>1</v>
      </c>
      <c r="CT107" s="434">
        <f t="shared" si="72"/>
        <v>1</v>
      </c>
    </row>
    <row r="108" spans="1:98" x14ac:dyDescent="0.25">
      <c r="A108" s="5825">
        <v>19201096</v>
      </c>
      <c r="B108" s="674" t="s">
        <v>2262</v>
      </c>
      <c r="C108" s="3982" t="s">
        <v>4567</v>
      </c>
      <c r="D108" s="326" t="s">
        <v>4568</v>
      </c>
      <c r="E108" s="232" t="s">
        <v>4569</v>
      </c>
      <c r="F108" s="232" t="s">
        <v>4570</v>
      </c>
      <c r="G108" s="1873" t="s">
        <v>4571</v>
      </c>
      <c r="H108" s="232" t="s">
        <v>4572</v>
      </c>
      <c r="I108" s="1873" t="s">
        <v>4573</v>
      </c>
      <c r="J108" s="3347" t="s">
        <v>4574</v>
      </c>
      <c r="K108" s="329" t="s">
        <v>4575</v>
      </c>
      <c r="L108" s="4038" t="s">
        <v>4576</v>
      </c>
      <c r="M108" s="853" t="s">
        <v>4577</v>
      </c>
      <c r="N108" s="1911" t="s">
        <v>4578</v>
      </c>
      <c r="O108" s="1983" t="s">
        <v>4579</v>
      </c>
      <c r="P108" s="232" t="s">
        <v>4580</v>
      </c>
      <c r="Q108" s="232" t="s">
        <v>4581</v>
      </c>
      <c r="R108" s="232" t="s">
        <v>4582</v>
      </c>
      <c r="S108" s="1873" t="s">
        <v>4583</v>
      </c>
      <c r="T108" s="214" t="s">
        <v>4584</v>
      </c>
      <c r="U108" s="854" t="s">
        <v>4585</v>
      </c>
      <c r="V108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8" s="4174" t="str">
        <f t="shared" si="59"/>
        <v xml:space="preserve"> * El Número de Trans Masculino no puede superar el Total Mujeres. </v>
      </c>
      <c r="CC108" s="4174" t="str">
        <f t="shared" si="60"/>
        <v xml:space="preserve"> * El Número de Trans Femenina no puede superar el Total Hombres. </v>
      </c>
      <c r="CD108" s="4174" t="str">
        <f t="shared" si="61"/>
        <v xml:space="preserve"> * La variable No Binarie no puede superar el Total Ambos Sexos. </v>
      </c>
      <c r="CE108" s="4174" t="str">
        <f t="shared" si="62"/>
        <v xml:space="preserve"> * La variable No revelado no puede superar el Total Ambos Sexos. </v>
      </c>
      <c r="CF108" s="4174" t="str">
        <f t="shared" si="63"/>
        <v xml:space="preserve"> * La variable Pueblos Originarios no puede superar el Total Ambos Sexos. </v>
      </c>
      <c r="CG108" s="4174" t="str">
        <f t="shared" si="64"/>
        <v xml:space="preserve"> * La variable Migrantes no puede superar el Total Ambos Sexos. </v>
      </c>
      <c r="CH108" s="4174" t="str">
        <f t="shared" si="65"/>
        <v xml:space="preserve"> * La variable PRAIS no puede superar el Total Ambos Sexos. </v>
      </c>
      <c r="CN108" s="434">
        <f t="shared" si="66"/>
        <v>1</v>
      </c>
      <c r="CO108" s="434">
        <f t="shared" si="67"/>
        <v>1</v>
      </c>
      <c r="CP108" s="434">
        <f t="shared" si="68"/>
        <v>1</v>
      </c>
      <c r="CQ108" s="434">
        <f t="shared" si="69"/>
        <v>1</v>
      </c>
      <c r="CR108" s="434">
        <f t="shared" si="70"/>
        <v>1</v>
      </c>
      <c r="CS108" s="434">
        <f t="shared" si="71"/>
        <v>1</v>
      </c>
      <c r="CT108" s="434">
        <f t="shared" si="72"/>
        <v>1</v>
      </c>
    </row>
    <row r="109" spans="1:98" x14ac:dyDescent="0.25">
      <c r="A109" s="5616"/>
      <c r="B109" s="4184" t="s">
        <v>77</v>
      </c>
      <c r="C109" s="4200">
        <f>SUM(C97:C108)</f>
        <v>0</v>
      </c>
      <c r="D109" s="4201">
        <f t="shared" ref="D109:T109" si="73">SUM(D97:D108)</f>
        <v>0</v>
      </c>
      <c r="E109" s="4201">
        <f t="shared" si="73"/>
        <v>0</v>
      </c>
      <c r="F109" s="4201">
        <f>SUM(F97:F108)</f>
        <v>0</v>
      </c>
      <c r="G109" s="4201">
        <f t="shared" si="73"/>
        <v>0</v>
      </c>
      <c r="H109" s="4201">
        <f t="shared" si="73"/>
        <v>0</v>
      </c>
      <c r="I109" s="4201">
        <f t="shared" si="73"/>
        <v>0</v>
      </c>
      <c r="J109" s="4202">
        <f t="shared" si="73"/>
        <v>0</v>
      </c>
      <c r="K109" s="4187">
        <f t="shared" si="73"/>
        <v>0</v>
      </c>
      <c r="L109" s="4195">
        <f>SUM(L97:L108)</f>
        <v>0</v>
      </c>
      <c r="M109" s="4159">
        <f t="shared" si="73"/>
        <v>0</v>
      </c>
      <c r="N109" s="4189">
        <f t="shared" si="73"/>
        <v>0</v>
      </c>
      <c r="O109" s="4191">
        <f t="shared" si="73"/>
        <v>0</v>
      </c>
      <c r="P109" s="4186">
        <f t="shared" si="73"/>
        <v>0</v>
      </c>
      <c r="Q109" s="4186">
        <f t="shared" si="73"/>
        <v>0</v>
      </c>
      <c r="R109" s="4186">
        <f>SUM(R97:R108)</f>
        <v>0</v>
      </c>
      <c r="S109" s="4186">
        <f t="shared" si="73"/>
        <v>0</v>
      </c>
      <c r="T109" s="4187">
        <f t="shared" si="73"/>
        <v>0</v>
      </c>
      <c r="U109" s="4192">
        <f>SUM(U97:U108)</f>
        <v>0</v>
      </c>
      <c r="CB109" s="4"/>
      <c r="CC109" s="4"/>
      <c r="CD109" s="4"/>
      <c r="CE109" s="4"/>
      <c r="CF109" s="4"/>
      <c r="CG109" s="4"/>
      <c r="CH109" s="4"/>
    </row>
    <row r="110" spans="1:98" ht="18" customHeight="1" x14ac:dyDescent="0.25">
      <c r="B110" s="7179" t="s">
        <v>2296</v>
      </c>
      <c r="C110" s="7179"/>
      <c r="D110" s="7199"/>
      <c r="E110" s="7199"/>
      <c r="F110" s="7199"/>
      <c r="G110" s="7199"/>
      <c r="H110" s="7199"/>
      <c r="I110" s="7199"/>
      <c r="J110" s="7199"/>
      <c r="K110" s="7199"/>
      <c r="L110" s="7199"/>
      <c r="M110" s="7199"/>
      <c r="N110" s="7199"/>
      <c r="O110" s="7199"/>
    </row>
    <row r="111" spans="1:98" ht="15" customHeight="1" x14ac:dyDescent="0.25">
      <c r="B111" s="7121" t="s">
        <v>2264</v>
      </c>
      <c r="C111" s="7105" t="s">
        <v>2265</v>
      </c>
      <c r="D111" s="7116" t="s">
        <v>2240</v>
      </c>
      <c r="E111" s="7110"/>
      <c r="F111" s="7110"/>
      <c r="G111" s="7110"/>
      <c r="H111" s="7110"/>
      <c r="I111" s="7110"/>
      <c r="J111" s="7110"/>
      <c r="K111" s="7110"/>
      <c r="L111" s="7110"/>
      <c r="M111" s="7117"/>
      <c r="N111" s="7110" t="s">
        <v>2266</v>
      </c>
      <c r="O111" s="7110"/>
      <c r="P111" s="7110"/>
      <c r="Q111" s="7110"/>
      <c r="R111" s="7110"/>
      <c r="S111" s="7117"/>
    </row>
    <row r="112" spans="1:98" ht="42" x14ac:dyDescent="0.25">
      <c r="B112" s="6734"/>
      <c r="C112" s="6739"/>
      <c r="D112" s="3894" t="s">
        <v>2251</v>
      </c>
      <c r="E112" s="3897" t="s">
        <v>58</v>
      </c>
      <c r="F112" s="3898" t="s">
        <v>59</v>
      </c>
      <c r="G112" s="3939" t="s">
        <v>1278</v>
      </c>
      <c r="H112" s="3895" t="s">
        <v>1354</v>
      </c>
      <c r="I112" s="3895" t="s">
        <v>62</v>
      </c>
      <c r="J112" s="3895" t="s">
        <v>2178</v>
      </c>
      <c r="K112" s="3895" t="s">
        <v>36</v>
      </c>
      <c r="L112" s="3895" t="s">
        <v>37</v>
      </c>
      <c r="M112" s="3896" t="s">
        <v>2179</v>
      </c>
      <c r="N112" s="3897" t="s">
        <v>2241</v>
      </c>
      <c r="O112" s="3895" t="s">
        <v>2243</v>
      </c>
      <c r="P112" s="3895" t="s">
        <v>2267</v>
      </c>
      <c r="Q112" s="3895" t="s">
        <v>2268</v>
      </c>
      <c r="R112" s="3895" t="s">
        <v>2269</v>
      </c>
      <c r="S112" s="1768" t="s">
        <v>2249</v>
      </c>
    </row>
    <row r="113" spans="1:98" x14ac:dyDescent="0.25">
      <c r="A113" s="5825">
        <v>19201097</v>
      </c>
      <c r="B113" s="4098" t="s">
        <v>2272</v>
      </c>
      <c r="C113" s="3968" t="s">
        <v>4567</v>
      </c>
      <c r="D113" s="302" t="s">
        <v>4568</v>
      </c>
      <c r="E113" s="3904" t="s">
        <v>4569</v>
      </c>
      <c r="F113" s="331" t="s">
        <v>4570</v>
      </c>
      <c r="G113" s="3903" t="s">
        <v>4571</v>
      </c>
      <c r="H113" s="1939" t="s">
        <v>4572</v>
      </c>
      <c r="I113" s="1939" t="s">
        <v>4573</v>
      </c>
      <c r="J113" s="1939" t="s">
        <v>4574</v>
      </c>
      <c r="K113" s="1939" t="s">
        <v>4575</v>
      </c>
      <c r="L113" s="1939" t="s">
        <v>4576</v>
      </c>
      <c r="M113" s="1969" t="s">
        <v>4577</v>
      </c>
      <c r="N113" s="3904" t="s">
        <v>4578</v>
      </c>
      <c r="O113" s="1014" t="s">
        <v>4579</v>
      </c>
      <c r="P113" s="1014" t="s">
        <v>4580</v>
      </c>
      <c r="Q113" s="1014" t="s">
        <v>4581</v>
      </c>
      <c r="R113" s="1939" t="s">
        <v>4582</v>
      </c>
      <c r="S113" s="329" t="s">
        <v>4583</v>
      </c>
      <c r="CB113" s="4174" t="str">
        <f>IF(AND(F113&gt;0,G113=""),"*No olvide digitar el campo "&amp;G$112&amp;""&amp;". Digite CERO si no tiene.", IF(G113&gt;F113," * El Número de "&amp;G$112&amp;""&amp;" no puede superar el Total Mujeres. ",""))</f>
        <v xml:space="preserve"> * El Número de Trans Masculino no puede superar el Total Mujeres. </v>
      </c>
      <c r="CC113" s="4174" t="str">
        <f>IF(AND(E113&gt;0,H113=""),"*No olvide digitar el campo "&amp;H$112&amp;""&amp;". Digite CERO si no tiene.", IF(H113&gt;E113," * El Número de "&amp;H$112&amp;""&amp;" no puede superar el Total Hombres. ",""))</f>
        <v xml:space="preserve"> * El Número de Trans Femenina no puede superar el Total Hombres. </v>
      </c>
      <c r="CD113" s="4174" t="str">
        <f>IF(AND($D113&gt;0,I113=""),"*No olvide digitar el campo "&amp;I$112&amp;""&amp;". Digite CERO si no tiene.", IF(I113&gt;$D113," * La variable "&amp;I$112&amp;""&amp;" no puede superar el Total Ambos Sexos. ",""))</f>
        <v xml:space="preserve"> * La variable No binarie no puede superar el Total Ambos Sexos. </v>
      </c>
      <c r="CE113" s="4174" t="str">
        <f>IF(AND($D113&gt;0,J113=""),"*No olvide digitar el campo "&amp;J$112&amp;""&amp;". Digite CERO si no tiene.", IF(J113&gt;$D113," * La variable "&amp;J$112&amp;""&amp;" no puede superar el Total Ambos Sexos. ",""))</f>
        <v xml:space="preserve"> * La variable No revelado no puede superar el Total Ambos Sexos. </v>
      </c>
      <c r="CF113" s="4174" t="str">
        <f>IF(AND($D113&gt;0,K113=""),"*No olvide digitar el campo "&amp;K$112&amp;""&amp;". Digite CERO si no tiene.", IF(K113&gt;$D113," * La variable "&amp;K$112&amp;""&amp;" no puede superar el Total Ambos Sexos. ",""))</f>
        <v xml:space="preserve"> * La variable Pueblos Originarios no puede superar el Total Ambos Sexos. </v>
      </c>
      <c r="CG113" s="4174" t="str">
        <f>IF(AND($D113&gt;0,L113=""),"*No olvide digitar el campo "&amp;L$112&amp;""&amp;". Digite CERO si no tiene.", IF(L113&gt;$D113," * La variable "&amp;L$112&amp;""&amp;" no puede superar el Total Ambos Sexos. ",""))</f>
        <v xml:space="preserve"> * La variable Migrantes no puede superar el Total Ambos Sexos. </v>
      </c>
      <c r="CH113" s="4174" t="str">
        <f>IF(AND($D113&gt;0,M113=""),"*No olvide digitar el campo "&amp;M$112&amp;""&amp;". Digite CERO si no tiene.", IF(M113&gt;$D113," * La variable "&amp;M$112&amp;""&amp;" no puede superar el Total Ambos Sexos. ",""))</f>
        <v xml:space="preserve"> * La variable PRAIS no puede superar el Total Ambos Sexos. </v>
      </c>
      <c r="CN113" s="434">
        <f>IF(AND(F113&gt;0,OR(G113="")),1,IF(G113&gt;F113,1,0))</f>
        <v>1</v>
      </c>
      <c r="CO113" s="434">
        <f>IF(AND(E113&gt;0,OR(H113="")),1,IF(H113&gt;E113,1,0))</f>
        <v>1</v>
      </c>
      <c r="CP113" s="434">
        <f>IF(AND($D113&gt;0,OR(I113="")),1,IF(I113&gt;$D113,1,0))</f>
        <v>1</v>
      </c>
      <c r="CQ113" s="434">
        <f t="shared" ref="CQ113" si="74">IF(AND($D113&gt;0,OR(J113="")),1,IF(J113&gt;$D113,1,0))</f>
        <v>1</v>
      </c>
      <c r="CR113" s="434">
        <f t="shared" ref="CR113" si="75">IF(AND($D113&gt;0,OR(K113="")),1,IF(K113&gt;$D113,1,0))</f>
        <v>1</v>
      </c>
      <c r="CS113" s="434">
        <f t="shared" ref="CS113" si="76">IF(AND($D113&gt;0,OR(L113="")),1,IF(L113&gt;$D113,1,0))</f>
        <v>1</v>
      </c>
      <c r="CT113" s="434">
        <f t="shared" ref="CT113" si="77">IF(AND($D113&gt;0,OR(M113="")),1,IF(M113&gt;$D113,1,0))</f>
        <v>1</v>
      </c>
    </row>
    <row r="114" spans="1:98" x14ac:dyDescent="0.25">
      <c r="A114" s="5823">
        <v>19201098</v>
      </c>
      <c r="B114" s="4098" t="s">
        <v>2275</v>
      </c>
      <c r="C114" s="3968" t="s">
        <v>4567</v>
      </c>
      <c r="D114" s="3908" t="s">
        <v>4568</v>
      </c>
      <c r="E114" s="3904" t="s">
        <v>4569</v>
      </c>
      <c r="F114" s="331" t="s">
        <v>4570</v>
      </c>
      <c r="G114" s="3903" t="s">
        <v>4571</v>
      </c>
      <c r="H114" s="1939" t="s">
        <v>4572</v>
      </c>
      <c r="I114" s="1939" t="s">
        <v>4573</v>
      </c>
      <c r="J114" s="1939" t="s">
        <v>4574</v>
      </c>
      <c r="K114" s="1939" t="s">
        <v>4575</v>
      </c>
      <c r="L114" s="1939" t="s">
        <v>4576</v>
      </c>
      <c r="M114" s="1969" t="s">
        <v>4577</v>
      </c>
      <c r="N114" s="3904" t="s">
        <v>4578</v>
      </c>
      <c r="O114" s="1939" t="s">
        <v>4579</v>
      </c>
      <c r="P114" s="1939" t="s">
        <v>4580</v>
      </c>
      <c r="Q114" s="1939" t="s">
        <v>4581</v>
      </c>
      <c r="R114" s="1939" t="s">
        <v>4582</v>
      </c>
      <c r="S114" s="329" t="s">
        <v>4583</v>
      </c>
      <c r="CB114" s="4174" t="str">
        <f t="shared" ref="CB114:CB122" si="78">IF(AND(F114&gt;0,G114=""),"*No olvide digitar el campo "&amp;G$112&amp;""&amp;". Digite CERO si no tiene.", IF(G114&gt;F114," * El Número de "&amp;G$112&amp;""&amp;" no puede superar el Total Mujeres. ",""))</f>
        <v xml:space="preserve"> * El Número de Trans Masculino no puede superar el Total Mujeres. </v>
      </c>
      <c r="CC114" s="4174" t="str">
        <f t="shared" ref="CC114:CC122" si="79">IF(AND(E114&gt;0,H114=""),"*No olvide digitar el campo "&amp;H$112&amp;""&amp;". Digite CERO si no tiene.", IF(H114&gt;E114," * El Número de "&amp;H$112&amp;""&amp;" no puede superar el Total Hombres. ",""))</f>
        <v xml:space="preserve"> * El Número de Trans Femenina no puede superar el Total Hombres. </v>
      </c>
      <c r="CD114" s="4174" t="str">
        <f t="shared" ref="CD114:CD122" si="80">IF(AND($D114&gt;0,I114=""),"*No olvide digitar el campo "&amp;I$112&amp;""&amp;". Digite CERO si no tiene.", IF(I114&gt;$D114," * La variable "&amp;I$112&amp;""&amp;" no puede superar el Total Ambos Sexos. ",""))</f>
        <v xml:space="preserve"> * La variable No binarie no puede superar el Total Ambos Sexos. </v>
      </c>
      <c r="CE114" s="4174" t="str">
        <f t="shared" ref="CE114:CE122" si="81">IF(AND($D114&gt;0,J114=""),"*No olvide digitar el campo "&amp;J$112&amp;""&amp;". Digite CERO si no tiene.", IF(J114&gt;$D114," * La variable "&amp;J$112&amp;""&amp;" no puede superar el Total Ambos Sexos. ",""))</f>
        <v xml:space="preserve"> * La variable No revelado no puede superar el Total Ambos Sexos. </v>
      </c>
      <c r="CF114" s="4174" t="str">
        <f t="shared" ref="CF114:CF122" si="82">IF(AND($D114&gt;0,K114=""),"*No olvide digitar el campo "&amp;K$112&amp;""&amp;". Digite CERO si no tiene.", IF(K114&gt;$D114," * La variable "&amp;K$112&amp;""&amp;" no puede superar el Total Ambos Sexos. ",""))</f>
        <v xml:space="preserve"> * La variable Pueblos Originarios no puede superar el Total Ambos Sexos. </v>
      </c>
      <c r="CG114" s="4174" t="str">
        <f t="shared" ref="CG114:CG122" si="83">IF(AND($D114&gt;0,L114=""),"*No olvide digitar el campo "&amp;L$112&amp;""&amp;". Digite CERO si no tiene.", IF(L114&gt;$D114," * La variable "&amp;L$112&amp;""&amp;" no puede superar el Total Ambos Sexos. ",""))</f>
        <v xml:space="preserve"> * La variable Migrantes no puede superar el Total Ambos Sexos. </v>
      </c>
      <c r="CH114" s="4174" t="str">
        <f t="shared" ref="CH114:CH122" si="84">IF(AND($D114&gt;0,M114=""),"*No olvide digitar el campo "&amp;M$112&amp;""&amp;". Digite CERO si no tiene.", IF(M114&gt;$D114," * La variable "&amp;M$112&amp;""&amp;" no puede superar el Total Ambos Sexos. ",""))</f>
        <v xml:space="preserve"> * La variable PRAIS no puede superar el Total Ambos Sexos. </v>
      </c>
      <c r="CN114" s="434">
        <f t="shared" ref="CN114:CN122" si="85">IF(AND(F114&gt;0,OR(G114="")),1,IF(G114&gt;F114,1,0))</f>
        <v>1</v>
      </c>
      <c r="CO114" s="434">
        <f t="shared" ref="CO114:CO122" si="86">IF(AND(E114&gt;0,OR(H114="")),1,IF(H114&gt;E114,1,0))</f>
        <v>1</v>
      </c>
      <c r="CP114" s="434">
        <f t="shared" ref="CP114:CP122" si="87">IF(AND($D114&gt;0,OR(I114="")),1,IF(I114&gt;$D114,1,0))</f>
        <v>1</v>
      </c>
      <c r="CQ114" s="434">
        <f t="shared" ref="CQ114:CQ122" si="88">IF(AND($D114&gt;0,OR(J114="")),1,IF(J114&gt;$D114,1,0))</f>
        <v>1</v>
      </c>
      <c r="CR114" s="434">
        <f t="shared" ref="CR114:CR122" si="89">IF(AND($D114&gt;0,OR(K114="")),1,IF(K114&gt;$D114,1,0))</f>
        <v>1</v>
      </c>
      <c r="CS114" s="434">
        <f t="shared" ref="CS114:CS122" si="90">IF(AND($D114&gt;0,OR(L114="")),1,IF(L114&gt;$D114,1,0))</f>
        <v>1</v>
      </c>
      <c r="CT114" s="434">
        <f t="shared" ref="CT114:CT122" si="91">IF(AND($D114&gt;0,OR(M114="")),1,IF(M114&gt;$D114,1,0))</f>
        <v>1</v>
      </c>
    </row>
    <row r="115" spans="1:98" x14ac:dyDescent="0.25">
      <c r="A115" s="5823">
        <v>19201099</v>
      </c>
      <c r="B115" s="4098" t="s">
        <v>2276</v>
      </c>
      <c r="C115" s="2036" t="s">
        <v>4567</v>
      </c>
      <c r="D115" s="3908" t="s">
        <v>4568</v>
      </c>
      <c r="E115" s="3904" t="s">
        <v>4569</v>
      </c>
      <c r="F115" s="331" t="s">
        <v>4570</v>
      </c>
      <c r="G115" s="3903" t="s">
        <v>4571</v>
      </c>
      <c r="H115" s="1939" t="s">
        <v>4572</v>
      </c>
      <c r="I115" s="1939" t="s">
        <v>4573</v>
      </c>
      <c r="J115" s="1939" t="s">
        <v>4574</v>
      </c>
      <c r="K115" s="1939" t="s">
        <v>4575</v>
      </c>
      <c r="L115" s="1939" t="s">
        <v>4576</v>
      </c>
      <c r="M115" s="1969" t="s">
        <v>4577</v>
      </c>
      <c r="N115" s="3904" t="s">
        <v>4578</v>
      </c>
      <c r="O115" s="1939" t="s">
        <v>4579</v>
      </c>
      <c r="P115" s="1939" t="s">
        <v>4580</v>
      </c>
      <c r="Q115" s="1939" t="s">
        <v>4581</v>
      </c>
      <c r="R115" s="1939" t="s">
        <v>4582</v>
      </c>
      <c r="S115" s="329" t="s">
        <v>4583</v>
      </c>
      <c r="CB115" s="4174" t="str">
        <f t="shared" si="78"/>
        <v xml:space="preserve"> * El Número de Trans Masculino no puede superar el Total Mujeres. </v>
      </c>
      <c r="CC115" s="4174" t="str">
        <f t="shared" si="79"/>
        <v xml:space="preserve"> * El Número de Trans Femenina no puede superar el Total Hombres. </v>
      </c>
      <c r="CD115" s="4174" t="str">
        <f t="shared" si="80"/>
        <v xml:space="preserve"> * La variable No binarie no puede superar el Total Ambos Sexos. </v>
      </c>
      <c r="CE115" s="4174" t="str">
        <f t="shared" si="81"/>
        <v xml:space="preserve"> * La variable No revelado no puede superar el Total Ambos Sexos. </v>
      </c>
      <c r="CF115" s="4174" t="str">
        <f t="shared" si="82"/>
        <v xml:space="preserve"> * La variable Pueblos Originarios no puede superar el Total Ambos Sexos. </v>
      </c>
      <c r="CG115" s="4174" t="str">
        <f t="shared" si="83"/>
        <v xml:space="preserve"> * La variable Migrantes no puede superar el Total Ambos Sexos. </v>
      </c>
      <c r="CH115" s="4174" t="str">
        <f t="shared" si="84"/>
        <v xml:space="preserve"> * La variable PRAIS no puede superar el Total Ambos Sexos. </v>
      </c>
      <c r="CN115" s="434">
        <f t="shared" si="85"/>
        <v>1</v>
      </c>
      <c r="CO115" s="434">
        <f t="shared" si="86"/>
        <v>1</v>
      </c>
      <c r="CP115" s="434">
        <f t="shared" si="87"/>
        <v>1</v>
      </c>
      <c r="CQ115" s="434">
        <f t="shared" si="88"/>
        <v>1</v>
      </c>
      <c r="CR115" s="434">
        <f t="shared" si="89"/>
        <v>1</v>
      </c>
      <c r="CS115" s="434">
        <f t="shared" si="90"/>
        <v>1</v>
      </c>
      <c r="CT115" s="434">
        <f t="shared" si="91"/>
        <v>1</v>
      </c>
    </row>
    <row r="116" spans="1:98" x14ac:dyDescent="0.25">
      <c r="A116" s="5825">
        <v>19201100</v>
      </c>
      <c r="B116" s="4098" t="s">
        <v>2277</v>
      </c>
      <c r="C116" s="1918" t="s">
        <v>4567</v>
      </c>
      <c r="D116" s="3908" t="s">
        <v>4568</v>
      </c>
      <c r="E116" s="3904" t="s">
        <v>4569</v>
      </c>
      <c r="F116" s="331" t="s">
        <v>4570</v>
      </c>
      <c r="G116" s="3903" t="s">
        <v>4571</v>
      </c>
      <c r="H116" s="1939" t="s">
        <v>4572</v>
      </c>
      <c r="I116" s="1939" t="s">
        <v>4573</v>
      </c>
      <c r="J116" s="1939" t="s">
        <v>4574</v>
      </c>
      <c r="K116" s="1939" t="s">
        <v>4575</v>
      </c>
      <c r="L116" s="1939" t="s">
        <v>4576</v>
      </c>
      <c r="M116" s="1969" t="s">
        <v>4577</v>
      </c>
      <c r="N116" s="3904" t="s">
        <v>4578</v>
      </c>
      <c r="O116" s="1939" t="s">
        <v>4579</v>
      </c>
      <c r="P116" s="1939" t="s">
        <v>4580</v>
      </c>
      <c r="Q116" s="1939" t="s">
        <v>4581</v>
      </c>
      <c r="R116" s="1939" t="s">
        <v>4582</v>
      </c>
      <c r="S116" s="329" t="s">
        <v>4583</v>
      </c>
      <c r="CB116" s="4174" t="str">
        <f t="shared" si="78"/>
        <v xml:space="preserve"> * El Número de Trans Masculino no puede superar el Total Mujeres. </v>
      </c>
      <c r="CC116" s="4174" t="str">
        <f t="shared" si="79"/>
        <v xml:space="preserve"> * El Número de Trans Femenina no puede superar el Total Hombres. </v>
      </c>
      <c r="CD116" s="4174" t="str">
        <f t="shared" si="80"/>
        <v xml:space="preserve"> * La variable No binarie no puede superar el Total Ambos Sexos. </v>
      </c>
      <c r="CE116" s="4174" t="str">
        <f t="shared" si="81"/>
        <v xml:space="preserve"> * La variable No revelado no puede superar el Total Ambos Sexos. </v>
      </c>
      <c r="CF116" s="4174" t="str">
        <f t="shared" si="82"/>
        <v xml:space="preserve"> * La variable Pueblos Originarios no puede superar el Total Ambos Sexos. </v>
      </c>
      <c r="CG116" s="4174" t="str">
        <f t="shared" si="83"/>
        <v xml:space="preserve"> * La variable Migrantes no puede superar el Total Ambos Sexos. </v>
      </c>
      <c r="CH116" s="4174" t="str">
        <f t="shared" si="84"/>
        <v xml:space="preserve"> * La variable PRAIS no puede superar el Total Ambos Sexos. </v>
      </c>
      <c r="CN116" s="434">
        <f t="shared" si="85"/>
        <v>1</v>
      </c>
      <c r="CO116" s="434">
        <f t="shared" si="86"/>
        <v>1</v>
      </c>
      <c r="CP116" s="434">
        <f t="shared" si="87"/>
        <v>1</v>
      </c>
      <c r="CQ116" s="434">
        <f t="shared" si="88"/>
        <v>1</v>
      </c>
      <c r="CR116" s="434">
        <f t="shared" si="89"/>
        <v>1</v>
      </c>
      <c r="CS116" s="434">
        <f t="shared" si="90"/>
        <v>1</v>
      </c>
      <c r="CT116" s="434">
        <f t="shared" si="91"/>
        <v>1</v>
      </c>
    </row>
    <row r="117" spans="1:98" x14ac:dyDescent="0.25">
      <c r="A117" s="5825">
        <v>19201101</v>
      </c>
      <c r="B117" s="4098" t="s">
        <v>2278</v>
      </c>
      <c r="C117" s="3968" t="s">
        <v>4567</v>
      </c>
      <c r="D117" s="3908" t="s">
        <v>4568</v>
      </c>
      <c r="E117" s="3904" t="s">
        <v>4569</v>
      </c>
      <c r="F117" s="331" t="s">
        <v>4570</v>
      </c>
      <c r="G117" s="3903" t="s">
        <v>4571</v>
      </c>
      <c r="H117" s="1939" t="s">
        <v>4572</v>
      </c>
      <c r="I117" s="1939" t="s">
        <v>4573</v>
      </c>
      <c r="J117" s="1939" t="s">
        <v>4574</v>
      </c>
      <c r="K117" s="1939" t="s">
        <v>4575</v>
      </c>
      <c r="L117" s="1939" t="s">
        <v>4576</v>
      </c>
      <c r="M117" s="1969" t="s">
        <v>4577</v>
      </c>
      <c r="N117" s="3904" t="s">
        <v>4578</v>
      </c>
      <c r="O117" s="1939" t="s">
        <v>4579</v>
      </c>
      <c r="P117" s="1939" t="s">
        <v>4580</v>
      </c>
      <c r="Q117" s="1939" t="s">
        <v>4581</v>
      </c>
      <c r="R117" s="1939" t="s">
        <v>4582</v>
      </c>
      <c r="S117" s="329" t="s">
        <v>4583</v>
      </c>
      <c r="CB117" s="4174" t="str">
        <f t="shared" si="78"/>
        <v xml:space="preserve"> * El Número de Trans Masculino no puede superar el Total Mujeres. </v>
      </c>
      <c r="CC117" s="4174" t="str">
        <f t="shared" si="79"/>
        <v xml:space="preserve"> * El Número de Trans Femenina no puede superar el Total Hombres. </v>
      </c>
      <c r="CD117" s="4174" t="str">
        <f t="shared" si="80"/>
        <v xml:space="preserve"> * La variable No binarie no puede superar el Total Ambos Sexos. </v>
      </c>
      <c r="CE117" s="4174" t="str">
        <f t="shared" si="81"/>
        <v xml:space="preserve"> * La variable No revelado no puede superar el Total Ambos Sexos. </v>
      </c>
      <c r="CF117" s="4174" t="str">
        <f t="shared" si="82"/>
        <v xml:space="preserve"> * La variable Pueblos Originarios no puede superar el Total Ambos Sexos. </v>
      </c>
      <c r="CG117" s="4174" t="str">
        <f t="shared" si="83"/>
        <v xml:space="preserve"> * La variable Migrantes no puede superar el Total Ambos Sexos. </v>
      </c>
      <c r="CH117" s="4174" t="str">
        <f t="shared" si="84"/>
        <v xml:space="preserve"> * La variable PRAIS no puede superar el Total Ambos Sexos. </v>
      </c>
      <c r="CN117" s="434">
        <f t="shared" si="85"/>
        <v>1</v>
      </c>
      <c r="CO117" s="434">
        <f t="shared" si="86"/>
        <v>1</v>
      </c>
      <c r="CP117" s="434">
        <f t="shared" si="87"/>
        <v>1</v>
      </c>
      <c r="CQ117" s="434">
        <f t="shared" si="88"/>
        <v>1</v>
      </c>
      <c r="CR117" s="434">
        <f t="shared" si="89"/>
        <v>1</v>
      </c>
      <c r="CS117" s="434">
        <f t="shared" si="90"/>
        <v>1</v>
      </c>
      <c r="CT117" s="434">
        <f t="shared" si="91"/>
        <v>1</v>
      </c>
    </row>
    <row r="118" spans="1:98" x14ac:dyDescent="0.25">
      <c r="A118" s="5825">
        <v>19201102</v>
      </c>
      <c r="B118" s="4194" t="s">
        <v>2279</v>
      </c>
      <c r="C118" s="1918" t="s">
        <v>4567</v>
      </c>
      <c r="D118" s="302" t="s">
        <v>4568</v>
      </c>
      <c r="E118" s="3904" t="s">
        <v>4569</v>
      </c>
      <c r="F118" s="331" t="s">
        <v>4570</v>
      </c>
      <c r="G118" s="3903" t="s">
        <v>4571</v>
      </c>
      <c r="H118" s="1939" t="s">
        <v>4572</v>
      </c>
      <c r="I118" s="1939" t="s">
        <v>4573</v>
      </c>
      <c r="J118" s="1939" t="s">
        <v>4574</v>
      </c>
      <c r="K118" s="1939" t="s">
        <v>4575</v>
      </c>
      <c r="L118" s="1939" t="s">
        <v>4576</v>
      </c>
      <c r="M118" s="1969" t="s">
        <v>4577</v>
      </c>
      <c r="N118" s="3904" t="s">
        <v>4578</v>
      </c>
      <c r="O118" s="1939" t="s">
        <v>4579</v>
      </c>
      <c r="P118" s="1939" t="s">
        <v>4580</v>
      </c>
      <c r="Q118" s="1939" t="s">
        <v>4581</v>
      </c>
      <c r="R118" s="1939" t="s">
        <v>4582</v>
      </c>
      <c r="S118" s="329" t="s">
        <v>4583</v>
      </c>
      <c r="CB118" s="4174" t="str">
        <f t="shared" si="78"/>
        <v xml:space="preserve"> * El Número de Trans Masculino no puede superar el Total Mujeres. </v>
      </c>
      <c r="CC118" s="4174" t="str">
        <f t="shared" si="79"/>
        <v xml:space="preserve"> * El Número de Trans Femenina no puede superar el Total Hombres. </v>
      </c>
      <c r="CD118" s="4174" t="str">
        <f t="shared" si="80"/>
        <v xml:space="preserve"> * La variable No binarie no puede superar el Total Ambos Sexos. </v>
      </c>
      <c r="CE118" s="4174" t="str">
        <f t="shared" si="81"/>
        <v xml:space="preserve"> * La variable No revelado no puede superar el Total Ambos Sexos. </v>
      </c>
      <c r="CF118" s="4174" t="str">
        <f t="shared" si="82"/>
        <v xml:space="preserve"> * La variable Pueblos Originarios no puede superar el Total Ambos Sexos. </v>
      </c>
      <c r="CG118" s="4174" t="str">
        <f t="shared" si="83"/>
        <v xml:space="preserve"> * La variable Migrantes no puede superar el Total Ambos Sexos. </v>
      </c>
      <c r="CH118" s="4174" t="str">
        <f t="shared" si="84"/>
        <v xml:space="preserve"> * La variable PRAIS no puede superar el Total Ambos Sexos. </v>
      </c>
      <c r="CN118" s="434">
        <f t="shared" si="85"/>
        <v>1</v>
      </c>
      <c r="CO118" s="434">
        <f t="shared" si="86"/>
        <v>1</v>
      </c>
      <c r="CP118" s="434">
        <f t="shared" si="87"/>
        <v>1</v>
      </c>
      <c r="CQ118" s="434">
        <f t="shared" si="88"/>
        <v>1</v>
      </c>
      <c r="CR118" s="434">
        <f t="shared" si="89"/>
        <v>1</v>
      </c>
      <c r="CS118" s="434">
        <f t="shared" si="90"/>
        <v>1</v>
      </c>
      <c r="CT118" s="434">
        <f t="shared" si="91"/>
        <v>1</v>
      </c>
    </row>
    <row r="119" spans="1:98" x14ac:dyDescent="0.25">
      <c r="A119" s="5825">
        <v>19201103</v>
      </c>
      <c r="B119" s="3982" t="s">
        <v>2280</v>
      </c>
      <c r="C119" s="3968" t="s">
        <v>4567</v>
      </c>
      <c r="D119" s="302" t="s">
        <v>4568</v>
      </c>
      <c r="E119" s="3904" t="s">
        <v>4569</v>
      </c>
      <c r="F119" s="331" t="s">
        <v>4570</v>
      </c>
      <c r="G119" s="3903" t="s">
        <v>4571</v>
      </c>
      <c r="H119" s="1939" t="s">
        <v>4572</v>
      </c>
      <c r="I119" s="1939" t="s">
        <v>4573</v>
      </c>
      <c r="J119" s="1939" t="s">
        <v>4574</v>
      </c>
      <c r="K119" s="1939" t="s">
        <v>4575</v>
      </c>
      <c r="L119" s="1939" t="s">
        <v>4576</v>
      </c>
      <c r="M119" s="1969" t="s">
        <v>4577</v>
      </c>
      <c r="N119" s="3904" t="s">
        <v>4578</v>
      </c>
      <c r="O119" s="1939" t="s">
        <v>4579</v>
      </c>
      <c r="P119" s="1939" t="s">
        <v>4580</v>
      </c>
      <c r="Q119" s="1939" t="s">
        <v>4581</v>
      </c>
      <c r="R119" s="1939" t="s">
        <v>4582</v>
      </c>
      <c r="S119" s="329" t="s">
        <v>4583</v>
      </c>
      <c r="CB119" s="4174" t="str">
        <f t="shared" si="78"/>
        <v xml:space="preserve"> * El Número de Trans Masculino no puede superar el Total Mujeres. </v>
      </c>
      <c r="CC119" s="4174" t="str">
        <f t="shared" si="79"/>
        <v xml:space="preserve"> * El Número de Trans Femenina no puede superar el Total Hombres. </v>
      </c>
      <c r="CD119" s="4174" t="str">
        <f t="shared" si="80"/>
        <v xml:space="preserve"> * La variable No binarie no puede superar el Total Ambos Sexos. </v>
      </c>
      <c r="CE119" s="4174" t="str">
        <f t="shared" si="81"/>
        <v xml:space="preserve"> * La variable No revelado no puede superar el Total Ambos Sexos. </v>
      </c>
      <c r="CF119" s="4174" t="str">
        <f t="shared" si="82"/>
        <v xml:space="preserve"> * La variable Pueblos Originarios no puede superar el Total Ambos Sexos. </v>
      </c>
      <c r="CG119" s="4174" t="str">
        <f t="shared" si="83"/>
        <v xml:space="preserve"> * La variable Migrantes no puede superar el Total Ambos Sexos. </v>
      </c>
      <c r="CH119" s="4174" t="str">
        <f t="shared" si="84"/>
        <v xml:space="preserve"> * La variable PRAIS no puede superar el Total Ambos Sexos. </v>
      </c>
      <c r="CN119" s="434">
        <f t="shared" si="85"/>
        <v>1</v>
      </c>
      <c r="CO119" s="434">
        <f t="shared" si="86"/>
        <v>1</v>
      </c>
      <c r="CP119" s="434">
        <f t="shared" si="87"/>
        <v>1</v>
      </c>
      <c r="CQ119" s="434">
        <f t="shared" si="88"/>
        <v>1</v>
      </c>
      <c r="CR119" s="434">
        <f t="shared" si="89"/>
        <v>1</v>
      </c>
      <c r="CS119" s="434">
        <f t="shared" si="90"/>
        <v>1</v>
      </c>
      <c r="CT119" s="434">
        <f t="shared" si="91"/>
        <v>1</v>
      </c>
    </row>
    <row r="120" spans="1:98" ht="21" x14ac:dyDescent="0.25">
      <c r="A120" s="5825">
        <v>19201104</v>
      </c>
      <c r="B120" s="3274" t="s">
        <v>2281</v>
      </c>
      <c r="C120" s="3968" t="s">
        <v>4567</v>
      </c>
      <c r="D120" s="231" t="s">
        <v>4568</v>
      </c>
      <c r="E120" s="3904" t="s">
        <v>4569</v>
      </c>
      <c r="F120" s="331" t="s">
        <v>4570</v>
      </c>
      <c r="G120" s="3903" t="s">
        <v>4571</v>
      </c>
      <c r="H120" s="1939" t="s">
        <v>4572</v>
      </c>
      <c r="I120" s="993" t="s">
        <v>4573</v>
      </c>
      <c r="J120" s="1939" t="s">
        <v>4574</v>
      </c>
      <c r="K120" s="993" t="s">
        <v>4575</v>
      </c>
      <c r="L120" s="1939" t="s">
        <v>4576</v>
      </c>
      <c r="M120" s="1136" t="s">
        <v>4577</v>
      </c>
      <c r="N120" s="3904" t="s">
        <v>4578</v>
      </c>
      <c r="O120" s="1939" t="s">
        <v>4579</v>
      </c>
      <c r="P120" s="993" t="s">
        <v>4580</v>
      </c>
      <c r="Q120" s="1939" t="s">
        <v>4581</v>
      </c>
      <c r="R120" s="1939" t="s">
        <v>4582</v>
      </c>
      <c r="S120" s="34" t="s">
        <v>4583</v>
      </c>
      <c r="CB120" s="4174" t="str">
        <f t="shared" si="78"/>
        <v xml:space="preserve"> * El Número de Trans Masculino no puede superar el Total Mujeres. </v>
      </c>
      <c r="CC120" s="4174" t="str">
        <f t="shared" si="79"/>
        <v xml:space="preserve"> * El Número de Trans Femenina no puede superar el Total Hombres. </v>
      </c>
      <c r="CD120" s="4174" t="str">
        <f t="shared" si="80"/>
        <v xml:space="preserve"> * La variable No binarie no puede superar el Total Ambos Sexos. </v>
      </c>
      <c r="CE120" s="4174" t="str">
        <f t="shared" si="81"/>
        <v xml:space="preserve"> * La variable No revelado no puede superar el Total Ambos Sexos. </v>
      </c>
      <c r="CF120" s="4174" t="str">
        <f t="shared" si="82"/>
        <v xml:space="preserve"> * La variable Pueblos Originarios no puede superar el Total Ambos Sexos. </v>
      </c>
      <c r="CG120" s="4174" t="str">
        <f t="shared" si="83"/>
        <v xml:space="preserve"> * La variable Migrantes no puede superar el Total Ambos Sexos. </v>
      </c>
      <c r="CH120" s="4174" t="str">
        <f t="shared" si="84"/>
        <v xml:space="preserve"> * La variable PRAIS no puede superar el Total Ambos Sexos. </v>
      </c>
      <c r="CN120" s="434">
        <f t="shared" si="85"/>
        <v>1</v>
      </c>
      <c r="CO120" s="434">
        <f t="shared" si="86"/>
        <v>1</v>
      </c>
      <c r="CP120" s="434">
        <f t="shared" si="87"/>
        <v>1</v>
      </c>
      <c r="CQ120" s="434">
        <f t="shared" si="88"/>
        <v>1</v>
      </c>
      <c r="CR120" s="434">
        <f t="shared" si="89"/>
        <v>1</v>
      </c>
      <c r="CS120" s="434">
        <f t="shared" si="90"/>
        <v>1</v>
      </c>
      <c r="CT120" s="434">
        <f t="shared" si="91"/>
        <v>1</v>
      </c>
    </row>
    <row r="121" spans="1:98" x14ac:dyDescent="0.25">
      <c r="A121" s="5825">
        <v>19201105</v>
      </c>
      <c r="B121" s="193" t="s">
        <v>2282</v>
      </c>
      <c r="C121" s="3968" t="s">
        <v>4567</v>
      </c>
      <c r="D121" s="3908" t="s">
        <v>4568</v>
      </c>
      <c r="E121" s="330" t="s">
        <v>4569</v>
      </c>
      <c r="F121" s="331" t="s">
        <v>4570</v>
      </c>
      <c r="G121" s="3903" t="s">
        <v>4571</v>
      </c>
      <c r="H121" s="993" t="s">
        <v>4572</v>
      </c>
      <c r="I121" s="993" t="s">
        <v>4573</v>
      </c>
      <c r="J121" s="993" t="s">
        <v>4574</v>
      </c>
      <c r="K121" s="993" t="s">
        <v>4575</v>
      </c>
      <c r="L121" s="993" t="s">
        <v>4576</v>
      </c>
      <c r="M121" s="1136" t="s">
        <v>4577</v>
      </c>
      <c r="N121" s="3904" t="s">
        <v>4578</v>
      </c>
      <c r="O121" s="993" t="s">
        <v>4579</v>
      </c>
      <c r="P121" s="993" t="s">
        <v>4580</v>
      </c>
      <c r="Q121" s="1939" t="s">
        <v>4581</v>
      </c>
      <c r="R121" s="993" t="s">
        <v>4582</v>
      </c>
      <c r="S121" s="34" t="s">
        <v>4583</v>
      </c>
      <c r="CB121" s="4174" t="str">
        <f t="shared" si="78"/>
        <v xml:space="preserve"> * El Número de Trans Masculino no puede superar el Total Mujeres. </v>
      </c>
      <c r="CC121" s="4174" t="str">
        <f t="shared" si="79"/>
        <v xml:space="preserve"> * El Número de Trans Femenina no puede superar el Total Hombres. </v>
      </c>
      <c r="CD121" s="4174" t="str">
        <f t="shared" si="80"/>
        <v xml:space="preserve"> * La variable No binarie no puede superar el Total Ambos Sexos. </v>
      </c>
      <c r="CE121" s="4174" t="str">
        <f t="shared" si="81"/>
        <v xml:space="preserve"> * La variable No revelado no puede superar el Total Ambos Sexos. </v>
      </c>
      <c r="CF121" s="4174" t="str">
        <f t="shared" si="82"/>
        <v xml:space="preserve"> * La variable Pueblos Originarios no puede superar el Total Ambos Sexos. </v>
      </c>
      <c r="CG121" s="4174" t="str">
        <f t="shared" si="83"/>
        <v xml:space="preserve"> * La variable Migrantes no puede superar el Total Ambos Sexos. </v>
      </c>
      <c r="CH121" s="4174" t="str">
        <f t="shared" si="84"/>
        <v xml:space="preserve"> * La variable PRAIS no puede superar el Total Ambos Sexos. </v>
      </c>
      <c r="CN121" s="434">
        <f t="shared" si="85"/>
        <v>1</v>
      </c>
      <c r="CO121" s="434">
        <f t="shared" si="86"/>
        <v>1</v>
      </c>
      <c r="CP121" s="434">
        <f t="shared" si="87"/>
        <v>1</v>
      </c>
      <c r="CQ121" s="434">
        <f t="shared" si="88"/>
        <v>1</v>
      </c>
      <c r="CR121" s="434">
        <f t="shared" si="89"/>
        <v>1</v>
      </c>
      <c r="CS121" s="434">
        <f t="shared" si="90"/>
        <v>1</v>
      </c>
      <c r="CT121" s="434">
        <f t="shared" si="91"/>
        <v>1</v>
      </c>
    </row>
    <row r="122" spans="1:98" x14ac:dyDescent="0.25">
      <c r="A122" s="5825">
        <v>19201106</v>
      </c>
      <c r="B122" s="517" t="s">
        <v>2283</v>
      </c>
      <c r="C122" s="1920" t="s">
        <v>4567</v>
      </c>
      <c r="D122" s="623" t="s">
        <v>4568</v>
      </c>
      <c r="E122" s="4039" t="s">
        <v>4569</v>
      </c>
      <c r="F122" s="1919" t="s">
        <v>4570</v>
      </c>
      <c r="G122" s="2075" t="s">
        <v>4571</v>
      </c>
      <c r="H122" s="1873" t="s">
        <v>4572</v>
      </c>
      <c r="I122" s="1873" t="s">
        <v>4573</v>
      </c>
      <c r="J122" s="1873" t="s">
        <v>4574</v>
      </c>
      <c r="K122" s="1873" t="s">
        <v>4575</v>
      </c>
      <c r="L122" s="1873" t="s">
        <v>4576</v>
      </c>
      <c r="M122" s="1975" t="s">
        <v>4577</v>
      </c>
      <c r="N122" s="4039" t="s">
        <v>4578</v>
      </c>
      <c r="O122" s="1873" t="s">
        <v>4579</v>
      </c>
      <c r="P122" s="1873" t="s">
        <v>4580</v>
      </c>
      <c r="Q122" s="1880" t="s">
        <v>4581</v>
      </c>
      <c r="R122" s="1873" t="s">
        <v>4582</v>
      </c>
      <c r="S122" s="854" t="s">
        <v>4583</v>
      </c>
      <c r="CB122" s="4174" t="str">
        <f t="shared" si="78"/>
        <v xml:space="preserve"> * El Número de Trans Masculino no puede superar el Total Mujeres. </v>
      </c>
      <c r="CC122" s="4174" t="str">
        <f t="shared" si="79"/>
        <v xml:space="preserve"> * El Número de Trans Femenina no puede superar el Total Hombres. </v>
      </c>
      <c r="CD122" s="4174" t="str">
        <f t="shared" si="80"/>
        <v xml:space="preserve"> * La variable No binarie no puede superar el Total Ambos Sexos. </v>
      </c>
      <c r="CE122" s="4174" t="str">
        <f t="shared" si="81"/>
        <v xml:space="preserve"> * La variable No revelado no puede superar el Total Ambos Sexos. </v>
      </c>
      <c r="CF122" s="4174" t="str">
        <f t="shared" si="82"/>
        <v xml:space="preserve"> * La variable Pueblos Originarios no puede superar el Total Ambos Sexos. </v>
      </c>
      <c r="CG122" s="4174" t="str">
        <f t="shared" si="83"/>
        <v xml:space="preserve"> * La variable Migrantes no puede superar el Total Ambos Sexos. </v>
      </c>
      <c r="CH122" s="4174" t="str">
        <f t="shared" si="84"/>
        <v xml:space="preserve"> * La variable PRAIS no puede superar el Total Ambos Sexos. </v>
      </c>
      <c r="CN122" s="434">
        <f t="shared" si="85"/>
        <v>1</v>
      </c>
      <c r="CO122" s="434">
        <f t="shared" si="86"/>
        <v>1</v>
      </c>
      <c r="CP122" s="434">
        <f t="shared" si="87"/>
        <v>1</v>
      </c>
      <c r="CQ122" s="434">
        <f t="shared" si="88"/>
        <v>1</v>
      </c>
      <c r="CR122" s="434">
        <f t="shared" si="89"/>
        <v>1</v>
      </c>
      <c r="CS122" s="434">
        <f t="shared" si="90"/>
        <v>1</v>
      </c>
      <c r="CT122" s="434">
        <f t="shared" si="91"/>
        <v>1</v>
      </c>
    </row>
    <row r="123" spans="1:98" x14ac:dyDescent="0.25">
      <c r="A123" s="5616"/>
      <c r="B123" s="4184" t="s">
        <v>77</v>
      </c>
      <c r="C123" s="4195">
        <f>SUM(C113:C122)</f>
        <v>0</v>
      </c>
      <c r="D123" s="4159">
        <f t="shared" ref="D123:S123" si="92">SUM(D113:D122)</f>
        <v>0</v>
      </c>
      <c r="E123" s="4189">
        <f t="shared" si="92"/>
        <v>0</v>
      </c>
      <c r="F123" s="4190">
        <f t="shared" si="92"/>
        <v>0</v>
      </c>
      <c r="G123" s="4191">
        <f t="shared" si="92"/>
        <v>0</v>
      </c>
      <c r="H123" s="4186">
        <f t="shared" si="92"/>
        <v>0</v>
      </c>
      <c r="I123" s="4186">
        <f t="shared" si="92"/>
        <v>0</v>
      </c>
      <c r="J123" s="4186">
        <f t="shared" si="92"/>
        <v>0</v>
      </c>
      <c r="K123" s="4186">
        <f t="shared" si="92"/>
        <v>0</v>
      </c>
      <c r="L123" s="4186">
        <f t="shared" si="92"/>
        <v>0</v>
      </c>
      <c r="M123" s="4158">
        <f t="shared" si="92"/>
        <v>0</v>
      </c>
      <c r="N123" s="4187">
        <f t="shared" si="92"/>
        <v>0</v>
      </c>
      <c r="O123" s="4186">
        <f t="shared" si="92"/>
        <v>0</v>
      </c>
      <c r="P123" s="4186">
        <f t="shared" si="92"/>
        <v>0</v>
      </c>
      <c r="Q123" s="4186">
        <f t="shared" si="92"/>
        <v>0</v>
      </c>
      <c r="R123" s="4186">
        <f t="shared" si="92"/>
        <v>0</v>
      </c>
      <c r="S123" s="4192">
        <f t="shared" si="92"/>
        <v>0</v>
      </c>
    </row>
    <row r="124" spans="1:98" x14ac:dyDescent="0.25">
      <c r="A124" s="5548"/>
    </row>
    <row r="125" spans="1:98" x14ac:dyDescent="0.25">
      <c r="A125" t="s">
        <v>4777</v>
      </c>
    </row>
    <row r="126" spans="1:98" x14ac:dyDescent="0.25">
      <c r="A126" s="5607">
        <v>19180400</v>
      </c>
    </row>
    <row r="127" spans="1:98" x14ac:dyDescent="0.25">
      <c r="A127" s="5607">
        <v>19180500</v>
      </c>
    </row>
    <row r="128" spans="1:98" x14ac:dyDescent="0.25">
      <c r="A128" s="5607">
        <v>19180600</v>
      </c>
    </row>
    <row r="129" spans="1:1" x14ac:dyDescent="0.25">
      <c r="A129" s="5607">
        <v>19180800</v>
      </c>
    </row>
    <row r="130" spans="1:1" x14ac:dyDescent="0.25">
      <c r="A130" s="5607">
        <v>19180900</v>
      </c>
    </row>
    <row r="131" spans="1:1" x14ac:dyDescent="0.25">
      <c r="A131" s="5601">
        <v>19150700</v>
      </c>
    </row>
    <row r="132" spans="1:1" x14ac:dyDescent="0.25">
      <c r="A132" s="5601">
        <v>19181100</v>
      </c>
    </row>
    <row r="133" spans="1:1" x14ac:dyDescent="0.25">
      <c r="A133" s="5601">
        <v>19180300</v>
      </c>
    </row>
    <row r="134" spans="1:1" x14ac:dyDescent="0.25">
      <c r="A134" t="s">
        <v>4566</v>
      </c>
    </row>
    <row r="135" spans="1:1" x14ac:dyDescent="0.25">
      <c r="A135" s="5605">
        <v>19201036</v>
      </c>
    </row>
    <row r="136" spans="1:1" x14ac:dyDescent="0.25">
      <c r="A136" s="5605">
        <v>19201037</v>
      </c>
    </row>
    <row r="137" spans="1:1" x14ac:dyDescent="0.25">
      <c r="A137" s="5605">
        <v>19201038</v>
      </c>
    </row>
    <row r="138" spans="1:1" x14ac:dyDescent="0.25">
      <c r="A138" s="5605">
        <v>19201039</v>
      </c>
    </row>
    <row r="139" spans="1:1" x14ac:dyDescent="0.25">
      <c r="A139" s="5605">
        <v>19201040</v>
      </c>
    </row>
    <row r="140" spans="1:1" x14ac:dyDescent="0.25">
      <c r="A140" s="5605">
        <v>19201041</v>
      </c>
    </row>
    <row r="141" spans="1:1" x14ac:dyDescent="0.25">
      <c r="A141" s="5605">
        <v>19201042</v>
      </c>
    </row>
    <row r="142" spans="1:1" x14ac:dyDescent="0.25">
      <c r="A142" s="5605">
        <v>19201043</v>
      </c>
    </row>
    <row r="143" spans="1:1" x14ac:dyDescent="0.25">
      <c r="A143" s="5605">
        <v>19201044</v>
      </c>
    </row>
    <row r="144" spans="1:1" x14ac:dyDescent="0.25">
      <c r="A144" s="5605">
        <v>19201045</v>
      </c>
    </row>
    <row r="145" spans="1:1" x14ac:dyDescent="0.25">
      <c r="A145" s="5605">
        <v>19201046</v>
      </c>
    </row>
    <row r="146" spans="1:1" x14ac:dyDescent="0.25">
      <c r="A146" s="5617">
        <v>19201047</v>
      </c>
    </row>
    <row r="147" spans="1:1" x14ac:dyDescent="0.25">
      <c r="A147" s="5617">
        <v>19201048</v>
      </c>
    </row>
    <row r="148" spans="1:1" x14ac:dyDescent="0.25">
      <c r="A148" s="5617">
        <v>19201049</v>
      </c>
    </row>
    <row r="149" spans="1:1" x14ac:dyDescent="0.25">
      <c r="A149" s="5617">
        <v>19201050</v>
      </c>
    </row>
    <row r="150" spans="1:1" x14ac:dyDescent="0.25">
      <c r="A150" s="5617">
        <v>19201051</v>
      </c>
    </row>
    <row r="151" spans="1:1" x14ac:dyDescent="0.25">
      <c r="A151" s="5617">
        <v>19201052</v>
      </c>
    </row>
    <row r="152" spans="1:1" x14ac:dyDescent="0.25">
      <c r="A152" s="5617">
        <v>19201053</v>
      </c>
    </row>
    <row r="153" spans="1:1" x14ac:dyDescent="0.25">
      <c r="A153" s="5617">
        <v>19201054</v>
      </c>
    </row>
    <row r="154" spans="1:1" x14ac:dyDescent="0.25">
      <c r="A154" s="5617">
        <v>19201055</v>
      </c>
    </row>
    <row r="155" spans="1:1" x14ac:dyDescent="0.25">
      <c r="A155" s="5617">
        <v>19201056</v>
      </c>
    </row>
    <row r="156" spans="1:1" x14ac:dyDescent="0.25">
      <c r="A156" s="5617">
        <v>19201057</v>
      </c>
    </row>
    <row r="157" spans="1:1" x14ac:dyDescent="0.25">
      <c r="A157" s="5617">
        <v>19201058</v>
      </c>
    </row>
    <row r="158" spans="1:1" x14ac:dyDescent="0.25">
      <c r="A158" s="5617">
        <v>19201059</v>
      </c>
    </row>
    <row r="159" spans="1:1" x14ac:dyDescent="0.25">
      <c r="A159" s="5617">
        <v>19201060</v>
      </c>
    </row>
    <row r="160" spans="1:1" x14ac:dyDescent="0.25">
      <c r="A160" s="5617">
        <v>19201061</v>
      </c>
    </row>
    <row r="161" spans="1:1" x14ac:dyDescent="0.25">
      <c r="A161" s="5605">
        <v>19201062</v>
      </c>
    </row>
    <row r="162" spans="1:1" x14ac:dyDescent="0.25">
      <c r="A162" s="5605">
        <v>19201063</v>
      </c>
    </row>
    <row r="163" spans="1:1" x14ac:dyDescent="0.25">
      <c r="A163" s="5605">
        <v>19201064</v>
      </c>
    </row>
    <row r="164" spans="1:1" x14ac:dyDescent="0.25">
      <c r="A164" s="5605">
        <v>19201065</v>
      </c>
    </row>
    <row r="165" spans="1:1" x14ac:dyDescent="0.25">
      <c r="A165" s="5605">
        <v>19201066</v>
      </c>
    </row>
    <row r="166" spans="1:1" x14ac:dyDescent="0.25">
      <c r="A166" s="5605">
        <v>19201067</v>
      </c>
    </row>
    <row r="167" spans="1:1" x14ac:dyDescent="0.25">
      <c r="A167" s="5605">
        <v>19201068</v>
      </c>
    </row>
    <row r="168" spans="1:1" x14ac:dyDescent="0.25">
      <c r="A168" s="5605">
        <v>19201069</v>
      </c>
    </row>
    <row r="169" spans="1:1" x14ac:dyDescent="0.25">
      <c r="A169" s="5605">
        <v>19201070</v>
      </c>
    </row>
    <row r="170" spans="1:1" x14ac:dyDescent="0.25">
      <c r="A170" s="5605">
        <v>19201071</v>
      </c>
    </row>
    <row r="171" spans="1:1" x14ac:dyDescent="0.25">
      <c r="A171" s="5605">
        <v>19201072</v>
      </c>
    </row>
    <row r="172" spans="1:1" x14ac:dyDescent="0.25">
      <c r="A172" s="5617">
        <v>19201073</v>
      </c>
    </row>
    <row r="173" spans="1:1" x14ac:dyDescent="0.25">
      <c r="A173" s="5617">
        <v>19201074</v>
      </c>
    </row>
    <row r="174" spans="1:1" x14ac:dyDescent="0.25">
      <c r="A174" s="5617">
        <v>19201075</v>
      </c>
    </row>
    <row r="175" spans="1:1" x14ac:dyDescent="0.25">
      <c r="A175" s="5617">
        <v>19201076</v>
      </c>
    </row>
    <row r="176" spans="1:1" x14ac:dyDescent="0.25">
      <c r="A176" s="5617">
        <v>19201077</v>
      </c>
    </row>
    <row r="177" spans="1:1" x14ac:dyDescent="0.25">
      <c r="A177" s="5617">
        <v>19201078</v>
      </c>
    </row>
    <row r="178" spans="1:1" x14ac:dyDescent="0.25">
      <c r="A178" s="5617">
        <v>19201079</v>
      </c>
    </row>
    <row r="179" spans="1:1" x14ac:dyDescent="0.25">
      <c r="A179" s="5605">
        <v>19201080</v>
      </c>
    </row>
    <row r="180" spans="1:1" x14ac:dyDescent="0.25">
      <c r="A180" s="5605">
        <v>19201081</v>
      </c>
    </row>
    <row r="181" spans="1:1" x14ac:dyDescent="0.25">
      <c r="A181" s="5617">
        <v>19201082</v>
      </c>
    </row>
    <row r="182" spans="1:1" x14ac:dyDescent="0.25">
      <c r="A182" s="5617">
        <v>19201083</v>
      </c>
    </row>
    <row r="183" spans="1:1" x14ac:dyDescent="0.25">
      <c r="A183" s="5617">
        <v>19201084</v>
      </c>
    </row>
    <row r="184" spans="1:1" x14ac:dyDescent="0.25">
      <c r="A184" s="5617">
        <v>19201085</v>
      </c>
    </row>
    <row r="185" spans="1:1" x14ac:dyDescent="0.25">
      <c r="A185" s="5617">
        <v>19201086</v>
      </c>
    </row>
    <row r="186" spans="1:1" x14ac:dyDescent="0.25">
      <c r="A186" s="5617">
        <v>19201087</v>
      </c>
    </row>
    <row r="187" spans="1:1" x14ac:dyDescent="0.25">
      <c r="A187" s="5617">
        <v>19201088</v>
      </c>
    </row>
    <row r="188" spans="1:1" x14ac:dyDescent="0.25">
      <c r="A188" s="5605">
        <v>19201089</v>
      </c>
    </row>
    <row r="189" spans="1:1" x14ac:dyDescent="0.25">
      <c r="A189" s="5605">
        <v>19201090</v>
      </c>
    </row>
    <row r="190" spans="1:1" x14ac:dyDescent="0.25">
      <c r="A190" s="5617">
        <v>19201091</v>
      </c>
    </row>
    <row r="191" spans="1:1" x14ac:dyDescent="0.25">
      <c r="A191" s="5617">
        <v>19201092</v>
      </c>
    </row>
    <row r="192" spans="1:1" x14ac:dyDescent="0.25">
      <c r="A192" s="5617">
        <v>19201093</v>
      </c>
    </row>
    <row r="193" spans="1:3" x14ac:dyDescent="0.25">
      <c r="A193" s="5617">
        <v>19201094</v>
      </c>
    </row>
    <row r="194" spans="1:3" x14ac:dyDescent="0.25">
      <c r="A194" s="5617">
        <v>19201095</v>
      </c>
    </row>
    <row r="195" spans="1:3" x14ac:dyDescent="0.25">
      <c r="A195" s="5617">
        <v>19201096</v>
      </c>
    </row>
    <row r="196" spans="1:3" x14ac:dyDescent="0.25">
      <c r="A196" s="5617">
        <v>19201097</v>
      </c>
    </row>
    <row r="197" spans="1:3" x14ac:dyDescent="0.25">
      <c r="A197" s="5605">
        <v>19201098</v>
      </c>
    </row>
    <row r="198" spans="1:3" x14ac:dyDescent="0.25">
      <c r="A198" s="5605">
        <v>19201099</v>
      </c>
    </row>
    <row r="199" spans="1:3" x14ac:dyDescent="0.25">
      <c r="A199" s="5617">
        <v>19201100</v>
      </c>
    </row>
    <row r="200" spans="1:3" x14ac:dyDescent="0.25">
      <c r="A200" s="5617">
        <v>19201101</v>
      </c>
      <c r="B200" s="105">
        <f>SUM(C12:C51,C53:C57,C62:C73,C78:D91,C97:C108,C113:D122)</f>
        <v>0</v>
      </c>
      <c r="C200" s="105">
        <f>SUM(CN12:CV122)</f>
        <v>741</v>
      </c>
    </row>
    <row r="201" spans="1:3" x14ac:dyDescent="0.25">
      <c r="A201" s="5617">
        <v>19201102</v>
      </c>
    </row>
    <row r="202" spans="1:3" x14ac:dyDescent="0.25">
      <c r="A202" s="5617">
        <v>19201103</v>
      </c>
    </row>
    <row r="203" spans="1:3" x14ac:dyDescent="0.25">
      <c r="A203" s="5617">
        <v>19201104</v>
      </c>
    </row>
    <row r="204" spans="1:3" x14ac:dyDescent="0.25">
      <c r="A204" s="5617">
        <v>19201105</v>
      </c>
    </row>
    <row r="205" spans="1:3" x14ac:dyDescent="0.25">
      <c r="A205" s="5617">
        <v>19201106</v>
      </c>
    </row>
  </sheetData>
  <mergeCells count="43">
    <mergeCell ref="B110:O110"/>
    <mergeCell ref="B111:B112"/>
    <mergeCell ref="C111:C112"/>
    <mergeCell ref="D111:M111"/>
    <mergeCell ref="N111:S111"/>
    <mergeCell ref="B93:O93"/>
    <mergeCell ref="B94:O94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K96"/>
    <mergeCell ref="L95:U95"/>
    <mergeCell ref="B75:O75"/>
    <mergeCell ref="B76:B77"/>
    <mergeCell ref="C76:C77"/>
    <mergeCell ref="D76:M76"/>
    <mergeCell ref="N76:S76"/>
    <mergeCell ref="P9:P10"/>
    <mergeCell ref="Q9:Q10"/>
    <mergeCell ref="R9:S9"/>
    <mergeCell ref="B58:O58"/>
    <mergeCell ref="B60:B61"/>
    <mergeCell ref="C60:C61"/>
    <mergeCell ref="D60:M60"/>
    <mergeCell ref="N60:N61"/>
    <mergeCell ref="O60:X60"/>
    <mergeCell ref="B6:O6"/>
    <mergeCell ref="B8:L8"/>
    <mergeCell ref="B9:B10"/>
    <mergeCell ref="C9:E9"/>
    <mergeCell ref="F9:G9"/>
    <mergeCell ref="H9:H10"/>
    <mergeCell ref="I9:J9"/>
    <mergeCell ref="K9:L9"/>
    <mergeCell ref="M9:M10"/>
    <mergeCell ref="N9:N10"/>
    <mergeCell ref="O9:O10"/>
  </mergeCells>
  <dataValidations count="3">
    <dataValidation type="whole" operator="greaterThanOrEqual" allowBlank="1" showInputMessage="1" showErrorMessage="1" sqref="O62:O74 L97:L109 D78:S91 D62:N73 M97:U108 D97:K108 P62:X73 C113:S122 D12:S51" xr:uid="{0A576841-6E8F-4241-B0B9-3A61124EA0F5}">
      <formula1>0</formula1>
    </dataValidation>
    <dataValidation type="whole" operator="greaterThan" allowBlank="1" showInputMessage="1" showErrorMessage="1" sqref="C78:C91" xr:uid="{EE999686-C912-4F41-96CE-E5BABEB457A9}">
      <formula1>0</formula1>
    </dataValidation>
    <dataValidation type="whole" allowBlank="1" showInputMessage="1" showErrorMessage="1" sqref="D53:S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P204"/>
  <sheetViews>
    <sheetView showGridLines="0" zoomScaleNormal="100" workbookViewId="0"/>
  </sheetViews>
  <sheetFormatPr baseColWidth="10" defaultColWidth="11.42578125" defaultRowHeight="15" x14ac:dyDescent="0.25"/>
  <cols>
    <col min="1" max="1" width="16.85546875" customWidth="1"/>
    <col min="2" max="2" width="75.42578125" customWidth="1"/>
    <col min="3" max="3" width="16.5703125" customWidth="1"/>
    <col min="4" max="5" width="16.7109375" customWidth="1"/>
    <col min="6" max="6" width="16.5703125" customWidth="1"/>
    <col min="7" max="7" width="15.140625" customWidth="1"/>
    <col min="8" max="9" width="15.85546875" customWidth="1"/>
    <col min="10" max="10" width="14.85546875" customWidth="1"/>
    <col min="11" max="11" width="13.42578125" customWidth="1"/>
    <col min="12" max="12" width="14.28515625" customWidth="1"/>
    <col min="14" max="14" width="13" customWidth="1"/>
    <col min="15" max="15" width="10" customWidth="1"/>
    <col min="28" max="28" width="14.140625" customWidth="1"/>
    <col min="29" max="29" width="15.7109375" customWidth="1"/>
    <col min="31" max="31" width="12.28515625" customWidth="1"/>
    <col min="32" max="32" width="13.5703125" customWidth="1"/>
    <col min="41" max="45" width="11.42578125" customWidth="1"/>
    <col min="46" max="68" width="11.42578125" hidden="1" customWidth="1"/>
    <col min="85" max="85" width="11.7109375" customWidth="1"/>
    <col min="86" max="86" width="12.28515625" customWidth="1"/>
    <col min="87" max="113" width="11.42578125" customWidth="1"/>
  </cols>
  <sheetData>
    <row r="1" spans="1:32" x14ac:dyDescent="0.25">
      <c r="B1" s="50" t="s">
        <v>23</v>
      </c>
      <c r="F1" t="s">
        <v>2297</v>
      </c>
      <c r="L1" t="s">
        <v>2298</v>
      </c>
    </row>
    <row r="2" spans="1:32" x14ac:dyDescent="0.25">
      <c r="B2" s="50" t="str">
        <f>CONCATENATE("COMUNA: ",NOMBRE!B2, " (",NOMBRE!C2,NOMBRE!D2,NOMBRE!E2,NOMBRE!F2,NOMBRE!G2,")")</f>
        <v>COMUNA:  ()</v>
      </c>
    </row>
    <row r="3" spans="1:32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32" x14ac:dyDescent="0.25">
      <c r="B4" s="50" t="str">
        <f>CONCATENATE("MES: ",NOMBRE!B6, " (",NOMBRE!C6,NOMBRE!D6,")")</f>
        <v>MES:  ()</v>
      </c>
    </row>
    <row r="5" spans="1:32" x14ac:dyDescent="0.25">
      <c r="B5" s="50" t="str">
        <f>CONCATENATE("AÑO: ",NOMBRE!B7)</f>
        <v>AÑO: 2025</v>
      </c>
    </row>
    <row r="6" spans="1:32" s="9" customFormat="1" ht="18" customHeight="1" x14ac:dyDescent="0.2">
      <c r="B6" s="7266" t="s">
        <v>2299</v>
      </c>
      <c r="C6" s="7266"/>
      <c r="D6" s="7266"/>
      <c r="E6" s="7266"/>
      <c r="F6" s="7266"/>
      <c r="G6" s="7266"/>
      <c r="H6" s="7266"/>
      <c r="I6" s="7266"/>
      <c r="J6" s="7266"/>
      <c r="K6" s="7266"/>
      <c r="L6" s="3879"/>
      <c r="M6" s="3879"/>
      <c r="N6" s="3879"/>
      <c r="O6" s="3879"/>
      <c r="P6" s="3879"/>
      <c r="Q6" s="3879"/>
      <c r="R6" s="3879"/>
      <c r="S6" s="3879"/>
      <c r="T6" s="3879"/>
      <c r="U6" s="3879"/>
      <c r="V6" s="3879"/>
      <c r="W6" s="3879"/>
      <c r="X6" s="3879"/>
      <c r="Y6" s="3879"/>
      <c r="Z6" s="3879"/>
      <c r="AA6" s="3879"/>
      <c r="AB6" s="3879"/>
      <c r="AC6" s="3879"/>
      <c r="AD6" s="3879"/>
      <c r="AE6" s="3879"/>
      <c r="AF6" s="3879"/>
    </row>
    <row r="8" spans="1:32" s="6" customFormat="1" ht="18" customHeight="1" x14ac:dyDescent="0.2">
      <c r="B8" s="4203" t="s">
        <v>2300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ht="15" customHeight="1" x14ac:dyDescent="0.25">
      <c r="B9" s="7267" t="s">
        <v>2301</v>
      </c>
      <c r="C9" s="7269" t="s">
        <v>2302</v>
      </c>
      <c r="D9" s="7272" t="s">
        <v>2303</v>
      </c>
      <c r="E9" s="7272" t="s">
        <v>2304</v>
      </c>
      <c r="F9" s="7272" t="s">
        <v>2305</v>
      </c>
      <c r="G9" s="6896" t="s">
        <v>4355</v>
      </c>
      <c r="H9" s="7273" t="s">
        <v>2306</v>
      </c>
      <c r="I9" s="7274"/>
      <c r="J9" s="7274"/>
      <c r="K9" s="7274"/>
      <c r="L9" s="7274"/>
      <c r="M9" s="7274"/>
      <c r="N9" s="7274"/>
      <c r="O9" s="7274"/>
      <c r="P9" s="7274"/>
      <c r="Q9" s="7274"/>
      <c r="R9" s="7274"/>
      <c r="S9" s="7274"/>
      <c r="T9" s="7274"/>
      <c r="U9" s="7274"/>
      <c r="V9" s="7274"/>
      <c r="W9" s="7274"/>
      <c r="X9" s="7274"/>
      <c r="Y9" s="7274"/>
      <c r="Z9" s="7275"/>
      <c r="AA9" s="7286" t="s">
        <v>2307</v>
      </c>
      <c r="AB9" s="7286"/>
      <c r="AC9" s="7286"/>
      <c r="AD9" s="7286"/>
      <c r="AE9" s="7286"/>
      <c r="AF9" s="7287"/>
    </row>
    <row r="10" spans="1:32" ht="15" customHeight="1" x14ac:dyDescent="0.25">
      <c r="B10" s="7267"/>
      <c r="C10" s="7270"/>
      <c r="D10" s="7045"/>
      <c r="E10" s="7045"/>
      <c r="F10" s="7045"/>
      <c r="G10" s="7025"/>
      <c r="H10" s="7288" t="s">
        <v>4356</v>
      </c>
      <c r="I10" s="6895"/>
      <c r="J10" s="6895"/>
      <c r="K10" s="6896"/>
      <c r="L10" s="7288" t="s">
        <v>4357</v>
      </c>
      <c r="M10" s="6895"/>
      <c r="N10" s="6895"/>
      <c r="O10" s="6895"/>
      <c r="P10" s="6896"/>
      <c r="Q10" s="7288" t="s">
        <v>4358</v>
      </c>
      <c r="R10" s="6895"/>
      <c r="S10" s="6895"/>
      <c r="T10" s="6895"/>
      <c r="U10" s="6896"/>
      <c r="V10" s="7288" t="s">
        <v>4359</v>
      </c>
      <c r="W10" s="6895"/>
      <c r="X10" s="6895"/>
      <c r="Y10" s="6895"/>
      <c r="Z10" s="7052"/>
      <c r="AA10" s="6895" t="s">
        <v>4360</v>
      </c>
      <c r="AB10" s="6895"/>
      <c r="AC10" s="6896"/>
      <c r="AD10" s="7288" t="s">
        <v>4361</v>
      </c>
      <c r="AE10" s="6895"/>
      <c r="AF10" s="6896"/>
    </row>
    <row r="11" spans="1:32" x14ac:dyDescent="0.25">
      <c r="B11" s="7267"/>
      <c r="C11" s="7270"/>
      <c r="D11" s="7045"/>
      <c r="E11" s="7045"/>
      <c r="F11" s="7045"/>
      <c r="G11" s="7025"/>
      <c r="H11" s="7026"/>
      <c r="I11" s="6897"/>
      <c r="J11" s="6897"/>
      <c r="K11" s="6964"/>
      <c r="L11" s="7026"/>
      <c r="M11" s="6897"/>
      <c r="N11" s="6897"/>
      <c r="O11" s="6897"/>
      <c r="P11" s="6964"/>
      <c r="Q11" s="7026"/>
      <c r="R11" s="6897"/>
      <c r="S11" s="6897"/>
      <c r="T11" s="6897"/>
      <c r="U11" s="6964"/>
      <c r="V11" s="7026"/>
      <c r="W11" s="6897"/>
      <c r="X11" s="6897"/>
      <c r="Y11" s="6897"/>
      <c r="Z11" s="7054"/>
      <c r="AA11" s="6897"/>
      <c r="AB11" s="6897"/>
      <c r="AC11" s="6964"/>
      <c r="AD11" s="7026"/>
      <c r="AE11" s="6897"/>
      <c r="AF11" s="6964"/>
    </row>
    <row r="12" spans="1:32" ht="21" x14ac:dyDescent="0.25">
      <c r="B12" s="7268"/>
      <c r="C12" s="7271"/>
      <c r="D12" s="6083"/>
      <c r="E12" s="6083"/>
      <c r="F12" s="6083"/>
      <c r="G12" s="6964"/>
      <c r="H12" s="4204" t="s">
        <v>919</v>
      </c>
      <c r="I12" s="4205" t="s">
        <v>2308</v>
      </c>
      <c r="J12" s="4205" t="s">
        <v>2309</v>
      </c>
      <c r="K12" s="4206" t="s">
        <v>591</v>
      </c>
      <c r="L12" s="4204" t="s">
        <v>919</v>
      </c>
      <c r="M12" s="4205" t="s">
        <v>2308</v>
      </c>
      <c r="N12" s="4205" t="s">
        <v>2309</v>
      </c>
      <c r="O12" s="4205" t="s">
        <v>591</v>
      </c>
      <c r="P12" s="4206" t="s">
        <v>2310</v>
      </c>
      <c r="Q12" s="4204" t="s">
        <v>919</v>
      </c>
      <c r="R12" s="4205" t="s">
        <v>2308</v>
      </c>
      <c r="S12" s="4205" t="s">
        <v>2309</v>
      </c>
      <c r="T12" s="4205" t="s">
        <v>591</v>
      </c>
      <c r="U12" s="4206" t="s">
        <v>2310</v>
      </c>
      <c r="V12" s="4204" t="s">
        <v>919</v>
      </c>
      <c r="W12" s="4205" t="s">
        <v>2308</v>
      </c>
      <c r="X12" s="4205" t="s">
        <v>2309</v>
      </c>
      <c r="Y12" s="4205" t="s">
        <v>591</v>
      </c>
      <c r="Z12" s="4207" t="s">
        <v>2310</v>
      </c>
      <c r="AA12" s="4208" t="s">
        <v>919</v>
      </c>
      <c r="AB12" s="4205" t="s">
        <v>2311</v>
      </c>
      <c r="AC12" s="4209" t="s">
        <v>2312</v>
      </c>
      <c r="AD12" s="4204" t="s">
        <v>919</v>
      </c>
      <c r="AE12" s="4205" t="s">
        <v>2311</v>
      </c>
      <c r="AF12" s="4209" t="s">
        <v>2312</v>
      </c>
    </row>
    <row r="13" spans="1:32" x14ac:dyDescent="0.25">
      <c r="A13" s="5616"/>
      <c r="B13" s="4210" t="s">
        <v>2313</v>
      </c>
      <c r="C13" s="4211">
        <f t="shared" ref="C13:AF13" si="0">SUM(C14:C17)</f>
        <v>0</v>
      </c>
      <c r="D13" s="4212">
        <f t="shared" si="0"/>
        <v>0</v>
      </c>
      <c r="E13" s="4213">
        <f t="shared" si="0"/>
        <v>0</v>
      </c>
      <c r="F13" s="4213">
        <f t="shared" si="0"/>
        <v>0</v>
      </c>
      <c r="G13" s="4214">
        <f t="shared" si="0"/>
        <v>0</v>
      </c>
      <c r="H13" s="4215">
        <f t="shared" si="0"/>
        <v>0</v>
      </c>
      <c r="I13" s="4213">
        <f t="shared" si="0"/>
        <v>0</v>
      </c>
      <c r="J13" s="4213">
        <f t="shared" si="0"/>
        <v>0</v>
      </c>
      <c r="K13" s="4214">
        <f t="shared" si="0"/>
        <v>0</v>
      </c>
      <c r="L13" s="4215">
        <f t="shared" si="0"/>
        <v>0</v>
      </c>
      <c r="M13" s="4213">
        <f t="shared" si="0"/>
        <v>0</v>
      </c>
      <c r="N13" s="4213">
        <f t="shared" si="0"/>
        <v>0</v>
      </c>
      <c r="O13" s="4213">
        <f t="shared" si="0"/>
        <v>0</v>
      </c>
      <c r="P13" s="4214">
        <f t="shared" si="0"/>
        <v>0</v>
      </c>
      <c r="Q13" s="4215">
        <f t="shared" si="0"/>
        <v>0</v>
      </c>
      <c r="R13" s="4213">
        <f t="shared" si="0"/>
        <v>0</v>
      </c>
      <c r="S13" s="4213">
        <f t="shared" si="0"/>
        <v>0</v>
      </c>
      <c r="T13" s="4213">
        <f t="shared" si="0"/>
        <v>0</v>
      </c>
      <c r="U13" s="4214">
        <f t="shared" si="0"/>
        <v>0</v>
      </c>
      <c r="V13" s="4215">
        <f t="shared" si="0"/>
        <v>0</v>
      </c>
      <c r="W13" s="4213">
        <f t="shared" si="0"/>
        <v>0</v>
      </c>
      <c r="X13" s="4213">
        <f t="shared" si="0"/>
        <v>0</v>
      </c>
      <c r="Y13" s="4213">
        <f t="shared" si="0"/>
        <v>0</v>
      </c>
      <c r="Z13" s="4216">
        <f t="shared" si="0"/>
        <v>0</v>
      </c>
      <c r="AA13" s="4212">
        <f t="shared" si="0"/>
        <v>0</v>
      </c>
      <c r="AB13" s="4213">
        <f>SUM(AB14:AB17)</f>
        <v>0</v>
      </c>
      <c r="AC13" s="4217">
        <f t="shared" si="0"/>
        <v>0</v>
      </c>
      <c r="AD13" s="4215">
        <f t="shared" si="0"/>
        <v>0</v>
      </c>
      <c r="AE13" s="4213">
        <f t="shared" si="0"/>
        <v>0</v>
      </c>
      <c r="AF13" s="4217">
        <f t="shared" si="0"/>
        <v>0</v>
      </c>
    </row>
    <row r="14" spans="1:32" x14ac:dyDescent="0.25">
      <c r="A14" s="5848">
        <v>21220100</v>
      </c>
      <c r="B14" s="4218" t="s">
        <v>2314</v>
      </c>
      <c r="C14" s="4219" t="s">
        <v>4567</v>
      </c>
      <c r="D14" s="4220" t="s">
        <v>4568</v>
      </c>
      <c r="E14" s="4220" t="s">
        <v>4569</v>
      </c>
      <c r="F14" s="4220" t="s">
        <v>4570</v>
      </c>
      <c r="G14" s="4220" t="s">
        <v>4571</v>
      </c>
      <c r="H14" s="4221" t="s">
        <v>4572</v>
      </c>
      <c r="I14" s="4222" t="s">
        <v>4573</v>
      </c>
      <c r="J14" s="4220" t="s">
        <v>4574</v>
      </c>
      <c r="K14" s="4220" t="s">
        <v>4575</v>
      </c>
      <c r="L14" s="4223" t="s">
        <v>4576</v>
      </c>
      <c r="M14" s="4222" t="s">
        <v>4577</v>
      </c>
      <c r="N14" s="4220" t="s">
        <v>4578</v>
      </c>
      <c r="O14" s="4224" t="s">
        <v>4579</v>
      </c>
      <c r="P14" s="4225" t="s">
        <v>4580</v>
      </c>
      <c r="Q14" s="4223" t="s">
        <v>4581</v>
      </c>
      <c r="R14" s="4222" t="s">
        <v>4582</v>
      </c>
      <c r="S14" s="4220" t="s">
        <v>4583</v>
      </c>
      <c r="T14" s="4224" t="s">
        <v>4584</v>
      </c>
      <c r="U14" s="4225" t="s">
        <v>4585</v>
      </c>
      <c r="V14" s="4223" t="s">
        <v>4586</v>
      </c>
      <c r="W14" s="4222" t="s">
        <v>4587</v>
      </c>
      <c r="X14" s="4220" t="s">
        <v>4588</v>
      </c>
      <c r="Y14" s="4224" t="s">
        <v>4589</v>
      </c>
      <c r="Z14" s="4226" t="s">
        <v>4590</v>
      </c>
      <c r="AA14" s="4227" t="s">
        <v>4591</v>
      </c>
      <c r="AB14" s="4220" t="s">
        <v>4592</v>
      </c>
      <c r="AC14" s="4228" t="s">
        <v>4593</v>
      </c>
      <c r="AD14" s="4223" t="s">
        <v>4594</v>
      </c>
      <c r="AE14" s="4220" t="s">
        <v>4595</v>
      </c>
      <c r="AF14" s="4228" t="s">
        <v>4596</v>
      </c>
    </row>
    <row r="15" spans="1:32" x14ac:dyDescent="0.25">
      <c r="A15" s="5848">
        <v>21220200</v>
      </c>
      <c r="B15" s="4229" t="s">
        <v>2315</v>
      </c>
      <c r="C15" s="4230" t="s">
        <v>4567</v>
      </c>
      <c r="D15" s="4231" t="s">
        <v>4568</v>
      </c>
      <c r="E15" s="4231" t="s">
        <v>4569</v>
      </c>
      <c r="F15" s="4231" t="s">
        <v>4570</v>
      </c>
      <c r="G15" s="4231" t="s">
        <v>4571</v>
      </c>
      <c r="H15" s="4232" t="s">
        <v>4572</v>
      </c>
      <c r="I15" s="4233" t="s">
        <v>4573</v>
      </c>
      <c r="J15" s="4231" t="s">
        <v>4574</v>
      </c>
      <c r="K15" s="4233" t="s">
        <v>4575</v>
      </c>
      <c r="L15" s="4232" t="s">
        <v>4576</v>
      </c>
      <c r="M15" s="4233" t="s">
        <v>4577</v>
      </c>
      <c r="N15" s="4233" t="s">
        <v>4578</v>
      </c>
      <c r="O15" s="4234" t="s">
        <v>4579</v>
      </c>
      <c r="P15" s="4235" t="s">
        <v>4580</v>
      </c>
      <c r="Q15" s="4232" t="s">
        <v>4581</v>
      </c>
      <c r="R15" s="4233" t="s">
        <v>4582</v>
      </c>
      <c r="S15" s="4231" t="s">
        <v>4583</v>
      </c>
      <c r="T15" s="4234" t="s">
        <v>4584</v>
      </c>
      <c r="U15" s="4235" t="s">
        <v>4585</v>
      </c>
      <c r="V15" s="4232" t="s">
        <v>4586</v>
      </c>
      <c r="W15" s="4233" t="s">
        <v>4587</v>
      </c>
      <c r="X15" s="4231" t="s">
        <v>4588</v>
      </c>
      <c r="Y15" s="4234" t="s">
        <v>4589</v>
      </c>
      <c r="Z15" s="4236" t="s">
        <v>4590</v>
      </c>
      <c r="AA15" s="4237" t="s">
        <v>4591</v>
      </c>
      <c r="AB15" s="4231" t="s">
        <v>4592</v>
      </c>
      <c r="AC15" s="4238" t="s">
        <v>4593</v>
      </c>
      <c r="AD15" s="4232" t="s">
        <v>4594</v>
      </c>
      <c r="AE15" s="4231" t="s">
        <v>4595</v>
      </c>
      <c r="AF15" s="4238" t="s">
        <v>4596</v>
      </c>
    </row>
    <row r="16" spans="1:32" x14ac:dyDescent="0.25">
      <c r="A16" s="5848">
        <v>21220700</v>
      </c>
      <c r="B16" s="4239" t="s">
        <v>2316</v>
      </c>
      <c r="C16" s="4230" t="s">
        <v>4567</v>
      </c>
      <c r="D16" s="4231" t="s">
        <v>4568</v>
      </c>
      <c r="E16" s="4231" t="s">
        <v>4569</v>
      </c>
      <c r="F16" s="4231" t="s">
        <v>4570</v>
      </c>
      <c r="G16" s="4231" t="s">
        <v>4571</v>
      </c>
      <c r="H16" s="4232" t="s">
        <v>4572</v>
      </c>
      <c r="I16" s="4233" t="s">
        <v>4573</v>
      </c>
      <c r="J16" s="4231" t="s">
        <v>4574</v>
      </c>
      <c r="K16" s="4240" t="s">
        <v>4575</v>
      </c>
      <c r="L16" s="4232" t="s">
        <v>4576</v>
      </c>
      <c r="M16" s="4233" t="s">
        <v>4577</v>
      </c>
      <c r="N16" s="4240" t="s">
        <v>4578</v>
      </c>
      <c r="O16" s="4241" t="s">
        <v>4579</v>
      </c>
      <c r="P16" s="4242" t="s">
        <v>4580</v>
      </c>
      <c r="Q16" s="4232" t="s">
        <v>4581</v>
      </c>
      <c r="R16" s="4233" t="s">
        <v>4582</v>
      </c>
      <c r="S16" s="4240" t="s">
        <v>4583</v>
      </c>
      <c r="T16" s="4241" t="s">
        <v>4584</v>
      </c>
      <c r="U16" s="4242" t="s">
        <v>4585</v>
      </c>
      <c r="V16" s="4232" t="s">
        <v>4586</v>
      </c>
      <c r="W16" s="4233" t="s">
        <v>4587</v>
      </c>
      <c r="X16" s="4240" t="s">
        <v>4588</v>
      </c>
      <c r="Y16" s="4241" t="s">
        <v>4589</v>
      </c>
      <c r="Z16" s="4243" t="s">
        <v>4590</v>
      </c>
      <c r="AA16" s="4237" t="s">
        <v>4591</v>
      </c>
      <c r="AB16" s="4231" t="s">
        <v>4592</v>
      </c>
      <c r="AC16" s="4238" t="s">
        <v>4593</v>
      </c>
      <c r="AD16" s="4232" t="s">
        <v>4594</v>
      </c>
      <c r="AE16" s="4231" t="s">
        <v>4595</v>
      </c>
      <c r="AF16" s="4238" t="s">
        <v>4596</v>
      </c>
    </row>
    <row r="17" spans="1:66" x14ac:dyDescent="0.25">
      <c r="A17" s="5848">
        <v>21220600</v>
      </c>
      <c r="B17" s="4244" t="s">
        <v>2317</v>
      </c>
      <c r="C17" s="4245" t="s">
        <v>4567</v>
      </c>
      <c r="D17" s="4246" t="s">
        <v>4568</v>
      </c>
      <c r="E17" s="4247" t="s">
        <v>4569</v>
      </c>
      <c r="F17" s="4247" t="s">
        <v>4570</v>
      </c>
      <c r="G17" s="4248" t="s">
        <v>4571</v>
      </c>
      <c r="H17" s="4249" t="s">
        <v>4572</v>
      </c>
      <c r="I17" s="4250" t="s">
        <v>4573</v>
      </c>
      <c r="J17" s="4251" t="s">
        <v>4574</v>
      </c>
      <c r="K17" s="4252" t="s">
        <v>4575</v>
      </c>
      <c r="L17" s="4253" t="s">
        <v>4576</v>
      </c>
      <c r="M17" s="4250" t="s">
        <v>4577</v>
      </c>
      <c r="N17" s="4254" t="s">
        <v>4578</v>
      </c>
      <c r="O17" s="4255" t="s">
        <v>4579</v>
      </c>
      <c r="P17" s="4252" t="s">
        <v>4580</v>
      </c>
      <c r="Q17" s="4253" t="s">
        <v>4581</v>
      </c>
      <c r="R17" s="4254" t="s">
        <v>4582</v>
      </c>
      <c r="S17" s="4246" t="s">
        <v>4583</v>
      </c>
      <c r="T17" s="4255" t="s">
        <v>4584</v>
      </c>
      <c r="U17" s="4252" t="s">
        <v>4585</v>
      </c>
      <c r="V17" s="4253" t="s">
        <v>4586</v>
      </c>
      <c r="W17" s="4254" t="s">
        <v>4587</v>
      </c>
      <c r="X17" s="4246" t="s">
        <v>4588</v>
      </c>
      <c r="Y17" s="4255" t="s">
        <v>4589</v>
      </c>
      <c r="Z17" s="4256" t="s">
        <v>4590</v>
      </c>
      <c r="AA17" s="4257" t="s">
        <v>4591</v>
      </c>
      <c r="AB17" s="4246" t="s">
        <v>4592</v>
      </c>
      <c r="AC17" s="4258" t="s">
        <v>4593</v>
      </c>
      <c r="AD17" s="4249" t="s">
        <v>4594</v>
      </c>
      <c r="AE17" s="4246" t="s">
        <v>4595</v>
      </c>
      <c r="AF17" s="4258" t="s">
        <v>4596</v>
      </c>
    </row>
    <row r="18" spans="1:66" x14ac:dyDescent="0.25">
      <c r="B18" s="4259" t="s">
        <v>4362</v>
      </c>
    </row>
    <row r="19" spans="1:66" s="6" customFormat="1" ht="18" customHeight="1" x14ac:dyDescent="0.2">
      <c r="B19" s="4260" t="s">
        <v>2318</v>
      </c>
      <c r="C19" s="4261"/>
      <c r="D19" s="4262"/>
      <c r="E19" s="4262"/>
      <c r="F19" s="4262"/>
      <c r="G19" s="4262"/>
      <c r="H19" s="4261"/>
    </row>
    <row r="20" spans="1:66" ht="32.25" customHeight="1" x14ac:dyDescent="0.25">
      <c r="B20" s="4263" t="s">
        <v>2319</v>
      </c>
      <c r="C20" s="4264" t="s">
        <v>77</v>
      </c>
      <c r="D20" s="4265" t="s">
        <v>2320</v>
      </c>
      <c r="E20" s="4265" t="s">
        <v>2321</v>
      </c>
      <c r="F20" s="4265" t="s">
        <v>2322</v>
      </c>
      <c r="G20" s="4266" t="s">
        <v>902</v>
      </c>
    </row>
    <row r="21" spans="1:66" ht="15" customHeight="1" x14ac:dyDescent="0.25">
      <c r="A21" s="5849">
        <v>21220800</v>
      </c>
      <c r="B21" s="4267" t="s">
        <v>2323</v>
      </c>
      <c r="C21" s="4268" t="s">
        <v>4567</v>
      </c>
      <c r="D21" s="4269" t="s">
        <v>4568</v>
      </c>
      <c r="E21" s="4269" t="s">
        <v>4569</v>
      </c>
      <c r="F21" s="4269" t="s">
        <v>4570</v>
      </c>
      <c r="G21" s="4270" t="s">
        <v>4571</v>
      </c>
    </row>
    <row r="22" spans="1:66" ht="15" customHeight="1" x14ac:dyDescent="0.25">
      <c r="A22" s="5849">
        <v>21400300</v>
      </c>
      <c r="B22" s="4271" t="s">
        <v>761</v>
      </c>
      <c r="C22" s="4272" t="s">
        <v>4567</v>
      </c>
      <c r="D22" s="4273" t="s">
        <v>4568</v>
      </c>
      <c r="E22" s="4273" t="s">
        <v>4569</v>
      </c>
      <c r="F22" s="4273" t="s">
        <v>4570</v>
      </c>
      <c r="G22" s="4274" t="s">
        <v>4571</v>
      </c>
    </row>
    <row r="23" spans="1:66" ht="15" customHeight="1" x14ac:dyDescent="0.25">
      <c r="A23" s="5849">
        <v>21220900</v>
      </c>
      <c r="B23" s="4271" t="s">
        <v>2324</v>
      </c>
      <c r="C23" s="4272" t="s">
        <v>4567</v>
      </c>
      <c r="D23" s="4273" t="s">
        <v>4568</v>
      </c>
      <c r="E23" s="4273" t="s">
        <v>4569</v>
      </c>
      <c r="F23" s="4273" t="s">
        <v>4570</v>
      </c>
      <c r="G23" s="4274" t="s">
        <v>4571</v>
      </c>
    </row>
    <row r="24" spans="1:66" ht="15" customHeight="1" x14ac:dyDescent="0.25">
      <c r="A24" s="5849">
        <v>21300100</v>
      </c>
      <c r="B24" s="4271" t="s">
        <v>2325</v>
      </c>
      <c r="C24" s="4272" t="s">
        <v>4567</v>
      </c>
      <c r="D24" s="4273" t="s">
        <v>4568</v>
      </c>
      <c r="E24" s="4273" t="s">
        <v>4569</v>
      </c>
      <c r="F24" s="4273" t="s">
        <v>4570</v>
      </c>
      <c r="G24" s="4274" t="s">
        <v>4571</v>
      </c>
    </row>
    <row r="25" spans="1:66" ht="15" customHeight="1" x14ac:dyDescent="0.25">
      <c r="A25" s="5849">
        <v>21400400</v>
      </c>
      <c r="B25" s="4275" t="s">
        <v>818</v>
      </c>
      <c r="C25" s="4276" t="s">
        <v>4567</v>
      </c>
      <c r="D25" s="4277" t="s">
        <v>4568</v>
      </c>
      <c r="E25" s="4277" t="s">
        <v>4569</v>
      </c>
      <c r="F25" s="4277" t="s">
        <v>4570</v>
      </c>
      <c r="G25" s="4278" t="s">
        <v>4571</v>
      </c>
    </row>
    <row r="26" spans="1:66" s="6" customFormat="1" ht="18" customHeight="1" x14ac:dyDescent="0.2">
      <c r="B26" s="4260" t="s">
        <v>4363</v>
      </c>
    </row>
    <row r="27" spans="1:66" s="6" customFormat="1" ht="18" customHeight="1" x14ac:dyDescent="0.2">
      <c r="B27" s="4260" t="s">
        <v>2326</v>
      </c>
    </row>
    <row r="28" spans="1:66" s="6" customFormat="1" ht="18" customHeight="1" x14ac:dyDescent="0.2">
      <c r="B28" s="4260" t="s">
        <v>2327</v>
      </c>
      <c r="C28" s="4279"/>
      <c r="D28" s="4280"/>
      <c r="E28" s="4280"/>
      <c r="F28" s="4280"/>
      <c r="G28" s="4280"/>
      <c r="H28" s="4280"/>
      <c r="I28" s="4280"/>
      <c r="J28" s="4281"/>
      <c r="K28" s="4281"/>
      <c r="L28" s="4282"/>
      <c r="M28" s="4282"/>
    </row>
    <row r="29" spans="1:66" x14ac:dyDescent="0.25">
      <c r="A29" s="5613"/>
      <c r="B29" s="7239" t="s">
        <v>2319</v>
      </c>
      <c r="C29" s="7251"/>
      <c r="D29" s="7276" t="s">
        <v>77</v>
      </c>
      <c r="E29" s="7219" t="s">
        <v>29</v>
      </c>
      <c r="F29" s="7220"/>
      <c r="G29" s="7220"/>
      <c r="H29" s="7221"/>
      <c r="I29" s="7216" t="s">
        <v>2328</v>
      </c>
      <c r="J29" s="7217"/>
      <c r="K29" s="7217"/>
      <c r="L29" s="7217"/>
      <c r="M29" s="7217"/>
      <c r="N29" s="7218"/>
      <c r="O29" s="7284" t="s">
        <v>2409</v>
      </c>
      <c r="P29" s="7285"/>
    </row>
    <row r="30" spans="1:66" ht="21" x14ac:dyDescent="0.25">
      <c r="A30" s="5613"/>
      <c r="B30" s="7240"/>
      <c r="C30" s="7253"/>
      <c r="D30" s="7277"/>
      <c r="E30" s="4284" t="s">
        <v>4405</v>
      </c>
      <c r="F30" s="4285" t="s">
        <v>44</v>
      </c>
      <c r="G30" s="4285" t="s">
        <v>4320</v>
      </c>
      <c r="H30" s="4286" t="s">
        <v>1179</v>
      </c>
      <c r="I30" s="4287" t="s">
        <v>1007</v>
      </c>
      <c r="J30" s="4288" t="s">
        <v>554</v>
      </c>
      <c r="K30" s="4288" t="s">
        <v>2084</v>
      </c>
      <c r="L30" s="4288" t="s">
        <v>2329</v>
      </c>
      <c r="M30" s="4288" t="s">
        <v>2330</v>
      </c>
      <c r="N30" s="4288" t="s">
        <v>2331</v>
      </c>
      <c r="O30" s="5567" t="s">
        <v>58</v>
      </c>
      <c r="P30" s="5567" t="s">
        <v>59</v>
      </c>
    </row>
    <row r="31" spans="1:66" ht="15" customHeight="1" x14ac:dyDescent="0.25">
      <c r="A31" s="5848">
        <v>21400500</v>
      </c>
      <c r="B31" s="7278" t="s">
        <v>761</v>
      </c>
      <c r="C31" s="7279"/>
      <c r="D31" s="4289" t="s">
        <v>4567</v>
      </c>
      <c r="E31" s="4290" t="s">
        <v>4568</v>
      </c>
      <c r="F31" s="4291" t="s">
        <v>4569</v>
      </c>
      <c r="G31" s="4291" t="s">
        <v>4570</v>
      </c>
      <c r="H31" s="4292" t="s">
        <v>4571</v>
      </c>
      <c r="I31" s="4293" t="s">
        <v>4572</v>
      </c>
      <c r="J31" s="4294" t="s">
        <v>4573</v>
      </c>
      <c r="K31" s="4294" t="s">
        <v>4574</v>
      </c>
      <c r="L31" s="4294" t="s">
        <v>4575</v>
      </c>
      <c r="M31" s="4294" t="s">
        <v>4576</v>
      </c>
      <c r="N31" s="4294" t="s">
        <v>4577</v>
      </c>
      <c r="O31" s="4294" t="s">
        <v>4578</v>
      </c>
      <c r="P31" s="4294" t="s">
        <v>4579</v>
      </c>
      <c r="Q31" t="e">
        <f>AX31&amp;AY31&amp;AZ31&amp;BA31&amp;BB31&amp;BC31&amp;BD31&amp;BE31</f>
        <v>#VALUE!</v>
      </c>
      <c r="AX31" s="431" t="str">
        <f>IF(AND($D31&gt;0,I31="")," * No olvide digitar la variable "&amp;I$29&amp;""&amp;" APS. Digite CERO si no tiene.","")</f>
        <v/>
      </c>
      <c r="AY31" s="431" t="str">
        <f>IF(AND($D31&gt;0,J31="")," * No olvide digitar la variable "&amp;$I$29&amp;""&amp;" Urgencia. Digite CERO si no tiene.","")</f>
        <v/>
      </c>
      <c r="AZ31" s="431" t="str">
        <f>IF(AND($D31&gt;0,K31="")," * No olvide digitar la variable "&amp;$I$29&amp;""&amp;" Hospitalización. Digite CERO si no tiene.","")</f>
        <v/>
      </c>
      <c r="BA31" s="431" t="str">
        <f>IF(AND($D31&gt;0,L31="")," * No olvide digitar la variable "&amp;$I$29&amp;""&amp;" Ambulatorio. Digite CERO si no tiene.","")</f>
        <v/>
      </c>
      <c r="BB31" s="431" t="str">
        <f>IF(AND($D31&gt;0,M31="")," * No olvide digitar la variable "&amp;$I$29&amp;""&amp;" Ley de Urgencia. Digite CERO si no tiene.","")</f>
        <v/>
      </c>
      <c r="BC31" s="431" t="str">
        <f>IF(AND($D31&gt;0,N31="")," * No olvide digitar la variable "&amp;$I$29&amp;""&amp;" UGCC. Digite CERO si no tiene.","")</f>
        <v/>
      </c>
      <c r="BD31" s="431" t="e">
        <f>IF(AND(I31+J31+K31+L31+M31+N31&gt;$D31)," * La variable "&amp;$I$29&amp;""&amp;" No puede ser mayor al Total.","")</f>
        <v>#VALUE!</v>
      </c>
      <c r="BE31" s="431" t="e">
        <f>IF(AND(O31+P31&gt;$D31)," * La variable "&amp;$O$29&amp;""&amp;" No puede ser mayor al Total.","")</f>
        <v>#VALUE!</v>
      </c>
      <c r="BG31" s="180">
        <f t="shared" ref="BG31:BL31" si="1">IF(AND($D31&gt;0,I31=""),1,0)</f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 t="shared" si="1"/>
        <v>0</v>
      </c>
      <c r="BM31" s="180" t="e">
        <f>IF(AND(I31+J31+K31+L31+M31+N31&gt;$D31),1,0)</f>
        <v>#VALUE!</v>
      </c>
      <c r="BN31" s="180" t="e">
        <f>IF(AND(O31+P31&gt;$D31),1,0)</f>
        <v>#VALUE!</v>
      </c>
    </row>
    <row r="32" spans="1:66" ht="15" customHeight="1" x14ac:dyDescent="0.25">
      <c r="A32" s="5848">
        <v>21400600</v>
      </c>
      <c r="B32" s="7280" t="s">
        <v>2324</v>
      </c>
      <c r="C32" s="7281"/>
      <c r="D32" s="4289" t="s">
        <v>4567</v>
      </c>
      <c r="E32" s="4295" t="s">
        <v>4568</v>
      </c>
      <c r="F32" s="4296" t="s">
        <v>4569</v>
      </c>
      <c r="G32" s="4296" t="s">
        <v>4570</v>
      </c>
      <c r="H32" s="4297" t="s">
        <v>4571</v>
      </c>
      <c r="I32" s="4298" t="s">
        <v>4572</v>
      </c>
      <c r="J32" s="4299" t="s">
        <v>4573</v>
      </c>
      <c r="K32" s="4299" t="s">
        <v>4574</v>
      </c>
      <c r="L32" s="4299" t="s">
        <v>4575</v>
      </c>
      <c r="M32" s="4299" t="s">
        <v>4576</v>
      </c>
      <c r="N32" s="4299" t="s">
        <v>4577</v>
      </c>
      <c r="O32" s="4294" t="s">
        <v>4578</v>
      </c>
      <c r="P32" s="4294" t="s">
        <v>4579</v>
      </c>
      <c r="Q32" t="e">
        <f>BE32</f>
        <v>#VALUE!</v>
      </c>
      <c r="BE32" s="431" t="e">
        <f t="shared" ref="BE32:BE37" si="2">IF(AND(O32+P32&gt;$D32)," * La variable "&amp;$O$29&amp;""&amp;" No puede ser mayor al Total.","")</f>
        <v>#VALUE!</v>
      </c>
      <c r="BN32" s="180" t="e">
        <f t="shared" ref="BN32:BN37" si="3">IF(AND(O32+P32&gt;$D32),1,0)</f>
        <v>#VALUE!</v>
      </c>
    </row>
    <row r="33" spans="1:66" ht="15" customHeight="1" x14ac:dyDescent="0.25">
      <c r="A33" s="5848">
        <v>21400700</v>
      </c>
      <c r="B33" s="7280" t="s">
        <v>2325</v>
      </c>
      <c r="C33" s="7281"/>
      <c r="D33" s="4289" t="s">
        <v>4567</v>
      </c>
      <c r="E33" s="4295" t="s">
        <v>4568</v>
      </c>
      <c r="F33" s="4296" t="s">
        <v>4569</v>
      </c>
      <c r="G33" s="4296" t="s">
        <v>4570</v>
      </c>
      <c r="H33" s="4297" t="s">
        <v>4571</v>
      </c>
      <c r="I33" s="4298" t="s">
        <v>4572</v>
      </c>
      <c r="J33" s="4299" t="s">
        <v>4573</v>
      </c>
      <c r="K33" s="4299" t="s">
        <v>4574</v>
      </c>
      <c r="L33" s="4299" t="s">
        <v>4575</v>
      </c>
      <c r="M33" s="4299" t="s">
        <v>4576</v>
      </c>
      <c r="N33" s="4299" t="s">
        <v>4577</v>
      </c>
      <c r="O33" s="4294" t="s">
        <v>4578</v>
      </c>
      <c r="P33" s="4294" t="s">
        <v>4579</v>
      </c>
      <c r="Q33" t="e">
        <f t="shared" ref="Q33:Q37" si="4">BE33</f>
        <v>#VALUE!</v>
      </c>
      <c r="BE33" s="431" t="e">
        <f t="shared" si="2"/>
        <v>#VALUE!</v>
      </c>
      <c r="BN33" s="180" t="e">
        <f t="shared" si="3"/>
        <v>#VALUE!</v>
      </c>
    </row>
    <row r="34" spans="1:66" ht="15" customHeight="1" x14ac:dyDescent="0.25">
      <c r="A34" s="5848">
        <v>21300600</v>
      </c>
      <c r="B34" s="7282" t="s">
        <v>818</v>
      </c>
      <c r="C34" s="7283"/>
      <c r="D34" s="4312" t="s">
        <v>4567</v>
      </c>
      <c r="E34" s="4307" t="s">
        <v>4568</v>
      </c>
      <c r="F34" s="4308" t="s">
        <v>4569</v>
      </c>
      <c r="G34" s="4308" t="s">
        <v>4570</v>
      </c>
      <c r="H34" s="4309" t="s">
        <v>4571</v>
      </c>
      <c r="I34" s="4302" t="s">
        <v>4572</v>
      </c>
      <c r="J34" s="4303" t="s">
        <v>4573</v>
      </c>
      <c r="K34" s="4303" t="s">
        <v>4574</v>
      </c>
      <c r="L34" s="4303" t="s">
        <v>4575</v>
      </c>
      <c r="M34" s="4303" t="s">
        <v>4576</v>
      </c>
      <c r="N34" s="4303" t="s">
        <v>4577</v>
      </c>
      <c r="O34" s="5546" t="s">
        <v>4578</v>
      </c>
      <c r="P34" s="5546" t="s">
        <v>4579</v>
      </c>
      <c r="Q34" t="e">
        <f t="shared" si="4"/>
        <v>#VALUE!</v>
      </c>
      <c r="BE34" s="431" t="e">
        <f t="shared" si="2"/>
        <v>#VALUE!</v>
      </c>
      <c r="BN34" s="180" t="e">
        <f t="shared" si="3"/>
        <v>#VALUE!</v>
      </c>
    </row>
    <row r="35" spans="1:66" ht="15" customHeight="1" x14ac:dyDescent="0.25">
      <c r="A35" s="5848">
        <v>21300700</v>
      </c>
      <c r="B35" s="7231" t="s">
        <v>2332</v>
      </c>
      <c r="C35" s="4304" t="s">
        <v>2333</v>
      </c>
      <c r="D35" s="5543" t="s">
        <v>4567</v>
      </c>
      <c r="E35" s="4290" t="s">
        <v>4568</v>
      </c>
      <c r="F35" s="4291" t="s">
        <v>4569</v>
      </c>
      <c r="G35" s="4291" t="s">
        <v>4570</v>
      </c>
      <c r="H35" s="4292" t="s">
        <v>4571</v>
      </c>
      <c r="I35" s="4298" t="s">
        <v>4572</v>
      </c>
      <c r="J35" s="4299" t="s">
        <v>4573</v>
      </c>
      <c r="K35" s="4299" t="s">
        <v>4574</v>
      </c>
      <c r="L35" s="4299" t="s">
        <v>4575</v>
      </c>
      <c r="M35" s="4299" t="s">
        <v>4576</v>
      </c>
      <c r="N35" s="4299" t="s">
        <v>4577</v>
      </c>
      <c r="O35" s="4294" t="s">
        <v>4578</v>
      </c>
      <c r="P35" s="4294" t="s">
        <v>4579</v>
      </c>
      <c r="Q35" t="e">
        <f t="shared" si="4"/>
        <v>#VALUE!</v>
      </c>
      <c r="BE35" s="431" t="e">
        <f t="shared" si="2"/>
        <v>#VALUE!</v>
      </c>
      <c r="BN35" s="180" t="e">
        <f t="shared" si="3"/>
        <v>#VALUE!</v>
      </c>
    </row>
    <row r="36" spans="1:66" ht="15" customHeight="1" x14ac:dyDescent="0.25">
      <c r="A36" s="5848">
        <v>21900100</v>
      </c>
      <c r="B36" s="7232"/>
      <c r="C36" s="4300" t="s">
        <v>2334</v>
      </c>
      <c r="D36" s="5544" t="s">
        <v>4567</v>
      </c>
      <c r="E36" s="4307" t="s">
        <v>4568</v>
      </c>
      <c r="F36" s="4308" t="s">
        <v>4569</v>
      </c>
      <c r="G36" s="4308" t="s">
        <v>4570</v>
      </c>
      <c r="H36" s="4309" t="s">
        <v>4571</v>
      </c>
      <c r="I36" s="4305" t="s">
        <v>4572</v>
      </c>
      <c r="J36" s="4306" t="s">
        <v>4573</v>
      </c>
      <c r="K36" s="4306" t="s">
        <v>4574</v>
      </c>
      <c r="L36" s="4306" t="s">
        <v>4575</v>
      </c>
      <c r="M36" s="4306" t="s">
        <v>4576</v>
      </c>
      <c r="N36" s="4306" t="s">
        <v>4577</v>
      </c>
      <c r="O36" s="5546" t="s">
        <v>4578</v>
      </c>
      <c r="P36" s="5546" t="s">
        <v>4579</v>
      </c>
      <c r="Q36" t="e">
        <f t="shared" si="4"/>
        <v>#VALUE!</v>
      </c>
      <c r="S36" s="5548"/>
      <c r="BE36" s="431" t="e">
        <f t="shared" si="2"/>
        <v>#VALUE!</v>
      </c>
      <c r="BN36" s="180" t="e">
        <f t="shared" si="3"/>
        <v>#VALUE!</v>
      </c>
    </row>
    <row r="37" spans="1:66" ht="15" customHeight="1" x14ac:dyDescent="0.25">
      <c r="A37" s="5848">
        <v>21800810</v>
      </c>
      <c r="B37" s="7233" t="s">
        <v>2335</v>
      </c>
      <c r="C37" s="7234"/>
      <c r="D37" s="5545" t="s">
        <v>4567</v>
      </c>
      <c r="E37" s="5482" t="s">
        <v>4568</v>
      </c>
      <c r="F37" s="5483" t="s">
        <v>4569</v>
      </c>
      <c r="G37" s="5483" t="s">
        <v>4570</v>
      </c>
      <c r="H37" s="5484" t="s">
        <v>4571</v>
      </c>
      <c r="I37" s="4305" t="s">
        <v>4572</v>
      </c>
      <c r="J37" s="4306" t="s">
        <v>4573</v>
      </c>
      <c r="K37" s="4306" t="s">
        <v>4574</v>
      </c>
      <c r="L37" s="4306" t="s">
        <v>4575</v>
      </c>
      <c r="M37" s="4306" t="s">
        <v>4576</v>
      </c>
      <c r="N37" s="4306" t="s">
        <v>4577</v>
      </c>
      <c r="O37" s="5547" t="s">
        <v>4578</v>
      </c>
      <c r="P37" s="5547" t="s">
        <v>4579</v>
      </c>
      <c r="Q37" t="e">
        <f t="shared" si="4"/>
        <v>#VALUE!</v>
      </c>
      <c r="BE37" s="431" t="e">
        <f t="shared" si="2"/>
        <v>#VALUE!</v>
      </c>
      <c r="BN37" s="180" t="e">
        <f t="shared" si="3"/>
        <v>#VALUE!</v>
      </c>
    </row>
    <row r="38" spans="1:66" s="6" customFormat="1" ht="18" customHeight="1" x14ac:dyDescent="0.2">
      <c r="B38" s="4310" t="s">
        <v>2336</v>
      </c>
      <c r="C38" s="4311"/>
    </row>
    <row r="39" spans="1:66" ht="30" customHeight="1" x14ac:dyDescent="0.25">
      <c r="B39" s="4288" t="s">
        <v>2337</v>
      </c>
      <c r="C39" s="4288" t="s">
        <v>2338</v>
      </c>
    </row>
    <row r="40" spans="1:66" ht="15" customHeight="1" x14ac:dyDescent="0.25">
      <c r="A40" s="5848">
        <v>21900110</v>
      </c>
      <c r="B40" s="4289" t="s">
        <v>959</v>
      </c>
      <c r="C40" s="4294" t="s">
        <v>4567</v>
      </c>
    </row>
    <row r="41" spans="1:66" ht="15" customHeight="1" x14ac:dyDescent="0.25">
      <c r="A41" s="5848">
        <v>21900120</v>
      </c>
      <c r="B41" s="4289" t="s">
        <v>2339</v>
      </c>
      <c r="C41" s="4294" t="s">
        <v>4567</v>
      </c>
    </row>
    <row r="42" spans="1:66" ht="15" customHeight="1" x14ac:dyDescent="0.25">
      <c r="A42" s="5848">
        <v>21900130</v>
      </c>
      <c r="B42" s="4289" t="s">
        <v>99</v>
      </c>
      <c r="C42" s="4294" t="s">
        <v>4567</v>
      </c>
    </row>
    <row r="43" spans="1:66" ht="15" customHeight="1" x14ac:dyDescent="0.25">
      <c r="A43" s="5848">
        <v>21900140</v>
      </c>
      <c r="B43" s="4289" t="s">
        <v>2340</v>
      </c>
      <c r="C43" s="4294" t="s">
        <v>4567</v>
      </c>
    </row>
    <row r="44" spans="1:66" ht="15" customHeight="1" x14ac:dyDescent="0.25">
      <c r="A44" s="5848">
        <v>21900150</v>
      </c>
      <c r="B44" s="4289" t="s">
        <v>509</v>
      </c>
      <c r="C44" s="4294" t="s">
        <v>4567</v>
      </c>
    </row>
    <row r="45" spans="1:66" ht="15" customHeight="1" x14ac:dyDescent="0.25">
      <c r="A45" s="5848">
        <v>21900160</v>
      </c>
      <c r="B45" s="4289" t="s">
        <v>589</v>
      </c>
      <c r="C45" s="4294" t="s">
        <v>4567</v>
      </c>
    </row>
    <row r="46" spans="1:66" ht="15" customHeight="1" x14ac:dyDescent="0.25">
      <c r="A46" s="5848">
        <v>21900170</v>
      </c>
      <c r="B46" s="4289" t="s">
        <v>504</v>
      </c>
      <c r="C46" s="4294" t="s">
        <v>4567</v>
      </c>
    </row>
    <row r="47" spans="1:66" ht="15" customHeight="1" x14ac:dyDescent="0.25">
      <c r="A47" s="5848">
        <v>21900180</v>
      </c>
      <c r="B47" s="4312" t="s">
        <v>1035</v>
      </c>
      <c r="C47" s="4313" t="s">
        <v>4567</v>
      </c>
    </row>
    <row r="48" spans="1:66" ht="15" customHeight="1" x14ac:dyDescent="0.25">
      <c r="A48" s="5848">
        <v>21900190</v>
      </c>
      <c r="B48" s="4301" t="s">
        <v>1037</v>
      </c>
      <c r="C48" s="4314" t="s">
        <v>4567</v>
      </c>
    </row>
    <row r="49" spans="1:8" s="6" customFormat="1" ht="18" customHeight="1" x14ac:dyDescent="0.2">
      <c r="B49" s="4315" t="s">
        <v>2341</v>
      </c>
      <c r="C49" s="4279"/>
      <c r="D49" s="8"/>
      <c r="E49" s="4316"/>
      <c r="F49" s="4316"/>
    </row>
    <row r="50" spans="1:8" ht="31.5" x14ac:dyDescent="0.25">
      <c r="B50" s="4288" t="s">
        <v>2319</v>
      </c>
      <c r="C50" s="4288" t="s">
        <v>77</v>
      </c>
      <c r="D50" s="4288" t="s">
        <v>2342</v>
      </c>
      <c r="E50" s="4288" t="s">
        <v>4424</v>
      </c>
      <c r="F50" s="4288" t="s">
        <v>2343</v>
      </c>
    </row>
    <row r="51" spans="1:8" x14ac:dyDescent="0.25">
      <c r="A51" s="5848">
        <v>21900200</v>
      </c>
      <c r="B51" s="4289" t="s">
        <v>2344</v>
      </c>
      <c r="C51" s="4317" t="s">
        <v>4567</v>
      </c>
      <c r="D51" s="4318" t="s">
        <v>4568</v>
      </c>
      <c r="E51" s="4318" t="s">
        <v>4569</v>
      </c>
      <c r="F51" s="4318" t="s">
        <v>4570</v>
      </c>
    </row>
    <row r="52" spans="1:8" x14ac:dyDescent="0.25">
      <c r="A52" s="5848">
        <v>21900210</v>
      </c>
      <c r="B52" s="4289" t="s">
        <v>2345</v>
      </c>
      <c r="C52" s="4317" t="s">
        <v>4567</v>
      </c>
      <c r="D52" s="4318" t="s">
        <v>4568</v>
      </c>
      <c r="E52" s="4318" t="s">
        <v>4569</v>
      </c>
      <c r="F52" s="4318" t="s">
        <v>4570</v>
      </c>
    </row>
    <row r="53" spans="1:8" x14ac:dyDescent="0.25">
      <c r="A53" s="5848">
        <v>21900220</v>
      </c>
      <c r="B53" s="4301" t="s">
        <v>2346</v>
      </c>
      <c r="C53" s="4319" t="s">
        <v>4567</v>
      </c>
      <c r="D53" s="4320" t="s">
        <v>4568</v>
      </c>
      <c r="E53" s="4320" t="s">
        <v>4569</v>
      </c>
      <c r="F53" s="4320" t="s">
        <v>4570</v>
      </c>
    </row>
    <row r="54" spans="1:8" ht="18" customHeight="1" x14ac:dyDescent="0.25">
      <c r="B54" s="4321" t="s">
        <v>2347</v>
      </c>
      <c r="C54" s="4322"/>
    </row>
    <row r="55" spans="1:8" s="6" customFormat="1" ht="18" customHeight="1" x14ac:dyDescent="0.2">
      <c r="B55" s="4321" t="s">
        <v>2348</v>
      </c>
      <c r="C55" s="4323"/>
      <c r="D55" s="4324"/>
      <c r="E55" s="4324"/>
      <c r="F55" s="4325"/>
      <c r="G55" s="4325"/>
    </row>
    <row r="56" spans="1:8" ht="31.5" x14ac:dyDescent="0.25">
      <c r="B56" s="1212" t="s">
        <v>972</v>
      </c>
      <c r="C56" s="1212" t="s">
        <v>77</v>
      </c>
      <c r="D56" s="4326" t="s">
        <v>2349</v>
      </c>
      <c r="E56" s="4327" t="s">
        <v>459</v>
      </c>
      <c r="F56" s="4328" t="s">
        <v>706</v>
      </c>
      <c r="G56" s="4329" t="s">
        <v>2343</v>
      </c>
    </row>
    <row r="57" spans="1:8" x14ac:dyDescent="0.25">
      <c r="A57" s="5848">
        <v>21100010</v>
      </c>
      <c r="B57" s="4330" t="s">
        <v>2350</v>
      </c>
      <c r="C57" s="1271" t="s">
        <v>4567</v>
      </c>
      <c r="D57" s="1081" t="s">
        <v>4568</v>
      </c>
      <c r="E57" s="1083" t="s">
        <v>4569</v>
      </c>
      <c r="F57" s="736" t="s">
        <v>4570</v>
      </c>
      <c r="G57" s="4331" t="s">
        <v>4571</v>
      </c>
    </row>
    <row r="58" spans="1:8" x14ac:dyDescent="0.25">
      <c r="A58" s="5848">
        <v>21100020</v>
      </c>
      <c r="B58" s="4332" t="s">
        <v>2351</v>
      </c>
      <c r="C58" s="4333" t="s">
        <v>4567</v>
      </c>
      <c r="D58" s="4334" t="s">
        <v>4568</v>
      </c>
      <c r="E58" s="4335" t="s">
        <v>4569</v>
      </c>
      <c r="F58" s="4336" t="s">
        <v>4570</v>
      </c>
      <c r="G58" s="4331" t="s">
        <v>4571</v>
      </c>
    </row>
    <row r="59" spans="1:8" x14ac:dyDescent="0.25">
      <c r="A59" s="5848">
        <v>21100030</v>
      </c>
      <c r="B59" s="914" t="s">
        <v>2352</v>
      </c>
      <c r="C59" s="4337" t="s">
        <v>4567</v>
      </c>
      <c r="D59" s="1733" t="s">
        <v>4568</v>
      </c>
      <c r="E59" s="428" t="s">
        <v>4569</v>
      </c>
      <c r="F59" s="4338" t="s">
        <v>4570</v>
      </c>
      <c r="G59" s="4339" t="s">
        <v>4571</v>
      </c>
    </row>
    <row r="60" spans="1:8" s="6" customFormat="1" ht="18" customHeight="1" x14ac:dyDescent="0.2">
      <c r="B60" s="4340" t="s">
        <v>2353</v>
      </c>
    </row>
    <row r="61" spans="1:8" s="6" customFormat="1" ht="18" customHeight="1" x14ac:dyDescent="0.25">
      <c r="A61"/>
      <c r="B61" s="7242" t="s">
        <v>219</v>
      </c>
      <c r="C61" s="7235" t="s">
        <v>2354</v>
      </c>
      <c r="D61" s="7235"/>
      <c r="E61" s="7236"/>
      <c r="F61" s="7237" t="s">
        <v>2355</v>
      </c>
      <c r="G61" s="7222" t="s">
        <v>2356</v>
      </c>
      <c r="H61" s="7222" t="s">
        <v>2357</v>
      </c>
    </row>
    <row r="62" spans="1:8" ht="29.25" customHeight="1" x14ac:dyDescent="0.25">
      <c r="B62" s="7242"/>
      <c r="C62" s="4342" t="s">
        <v>2358</v>
      </c>
      <c r="D62" s="4343" t="s">
        <v>58</v>
      </c>
      <c r="E62" s="4344" t="s">
        <v>59</v>
      </c>
      <c r="F62" s="6955"/>
      <c r="G62" s="7222"/>
      <c r="H62" s="7222"/>
    </row>
    <row r="63" spans="1:8" x14ac:dyDescent="0.25">
      <c r="A63" s="5848">
        <v>21100040</v>
      </c>
      <c r="B63" s="1160" t="s">
        <v>2359</v>
      </c>
      <c r="C63" s="4345" t="s">
        <v>4567</v>
      </c>
      <c r="D63" s="4346" t="s">
        <v>4568</v>
      </c>
      <c r="E63" s="1259" t="s">
        <v>4569</v>
      </c>
      <c r="F63" s="4347" t="s">
        <v>4570</v>
      </c>
      <c r="G63" s="4348" t="s">
        <v>4571</v>
      </c>
      <c r="H63" s="1082" t="s">
        <v>4572</v>
      </c>
    </row>
    <row r="64" spans="1:8" x14ac:dyDescent="0.25">
      <c r="A64" s="5848">
        <v>21100050</v>
      </c>
      <c r="B64" s="4349" t="s">
        <v>2360</v>
      </c>
      <c r="C64" s="4350" t="s">
        <v>4567</v>
      </c>
      <c r="D64" s="4351" t="s">
        <v>4568</v>
      </c>
      <c r="E64" s="4352" t="s">
        <v>4569</v>
      </c>
      <c r="F64" s="4353" t="s">
        <v>4570</v>
      </c>
      <c r="G64" s="4354" t="s">
        <v>4571</v>
      </c>
      <c r="H64" s="4355" t="s">
        <v>4572</v>
      </c>
    </row>
    <row r="65" spans="1:47" x14ac:dyDescent="0.25">
      <c r="A65" s="5848">
        <v>21100060</v>
      </c>
      <c r="B65" s="4349" t="s">
        <v>2361</v>
      </c>
      <c r="C65" s="4350" t="s">
        <v>4567</v>
      </c>
      <c r="D65" s="4351" t="s">
        <v>4568</v>
      </c>
      <c r="E65" s="4352" t="s">
        <v>4569</v>
      </c>
      <c r="F65" s="4353" t="s">
        <v>4570</v>
      </c>
      <c r="G65" s="4354" t="s">
        <v>4571</v>
      </c>
      <c r="H65" s="4355" t="s">
        <v>4572</v>
      </c>
    </row>
    <row r="66" spans="1:47" x14ac:dyDescent="0.25">
      <c r="A66" s="5848">
        <v>21100070</v>
      </c>
      <c r="B66" s="4349" t="s">
        <v>2362</v>
      </c>
      <c r="C66" s="4350" t="s">
        <v>4567</v>
      </c>
      <c r="D66" s="4351" t="s">
        <v>4568</v>
      </c>
      <c r="E66" s="4352" t="s">
        <v>4569</v>
      </c>
      <c r="F66" s="4353" t="s">
        <v>4570</v>
      </c>
      <c r="G66" s="4354" t="s">
        <v>4571</v>
      </c>
      <c r="H66" s="4355" t="s">
        <v>4572</v>
      </c>
    </row>
    <row r="67" spans="1:47" x14ac:dyDescent="0.25">
      <c r="A67" s="5848">
        <v>21100080</v>
      </c>
      <c r="B67" s="4349" t="s">
        <v>2363</v>
      </c>
      <c r="C67" s="4350" t="s">
        <v>4567</v>
      </c>
      <c r="D67" s="4351" t="s">
        <v>4568</v>
      </c>
      <c r="E67" s="4352" t="s">
        <v>4569</v>
      </c>
      <c r="F67" s="4353" t="s">
        <v>4570</v>
      </c>
      <c r="G67" s="4354" t="s">
        <v>4571</v>
      </c>
      <c r="H67" s="4355" t="s">
        <v>4572</v>
      </c>
    </row>
    <row r="68" spans="1:47" x14ac:dyDescent="0.25">
      <c r="A68" s="5848">
        <v>21100090</v>
      </c>
      <c r="B68" s="4356" t="s">
        <v>2364</v>
      </c>
      <c r="C68" s="3104" t="s">
        <v>4567</v>
      </c>
      <c r="D68" s="4357" t="s">
        <v>4568</v>
      </c>
      <c r="E68" s="391" t="s">
        <v>4569</v>
      </c>
      <c r="F68" s="557" t="s">
        <v>4570</v>
      </c>
      <c r="G68" s="776" t="s">
        <v>4571</v>
      </c>
      <c r="H68" s="387" t="s">
        <v>4572</v>
      </c>
    </row>
    <row r="69" spans="1:47" x14ac:dyDescent="0.25">
      <c r="A69" s="5606"/>
      <c r="B69" s="1025" t="s">
        <v>77</v>
      </c>
      <c r="C69" s="3109">
        <f t="shared" ref="C69:H69" si="5">SUM(C63:C68)</f>
        <v>0</v>
      </c>
      <c r="D69" s="4358">
        <f>SUM(D63:D68)</f>
        <v>0</v>
      </c>
      <c r="E69" s="4359">
        <f>SUM(E63:E68)</f>
        <v>0</v>
      </c>
      <c r="F69" s="3111">
        <f t="shared" si="5"/>
        <v>0</v>
      </c>
      <c r="G69" s="3108">
        <f t="shared" si="5"/>
        <v>0</v>
      </c>
      <c r="H69" s="1101">
        <f t="shared" si="5"/>
        <v>0</v>
      </c>
    </row>
    <row r="70" spans="1:47" x14ac:dyDescent="0.25">
      <c r="B70" s="4360" t="s">
        <v>2365</v>
      </c>
    </row>
    <row r="71" spans="1:47" ht="52.5" x14ac:dyDescent="0.25">
      <c r="B71" s="4361" t="s">
        <v>2366</v>
      </c>
      <c r="C71" s="4362" t="s">
        <v>2367</v>
      </c>
      <c r="D71" s="4363" t="s">
        <v>2368</v>
      </c>
      <c r="E71" s="4364" t="s">
        <v>2361</v>
      </c>
      <c r="F71" s="4364" t="s">
        <v>2362</v>
      </c>
      <c r="G71" s="4364" t="s">
        <v>2363</v>
      </c>
      <c r="H71" s="4365" t="s">
        <v>2364</v>
      </c>
      <c r="I71" s="4366" t="s">
        <v>322</v>
      </c>
      <c r="J71" s="4367" t="s">
        <v>1794</v>
      </c>
    </row>
    <row r="72" spans="1:47" x14ac:dyDescent="0.25">
      <c r="A72" s="5850">
        <v>21900230</v>
      </c>
      <c r="B72" s="299" t="s">
        <v>2369</v>
      </c>
      <c r="C72" s="4346" t="s">
        <v>4567</v>
      </c>
      <c r="D72" s="4368" t="s">
        <v>4568</v>
      </c>
      <c r="E72" s="4369" t="s">
        <v>4569</v>
      </c>
      <c r="F72" s="4369" t="s">
        <v>4570</v>
      </c>
      <c r="G72" s="4369" t="s">
        <v>4571</v>
      </c>
      <c r="H72" s="4370" t="s">
        <v>4572</v>
      </c>
      <c r="I72" s="4331" t="s">
        <v>4573</v>
      </c>
      <c r="J72" s="4371" t="s">
        <v>4574</v>
      </c>
      <c r="AU72" s="6"/>
    </row>
    <row r="73" spans="1:47" x14ac:dyDescent="0.25">
      <c r="A73" s="5850">
        <v>21900231</v>
      </c>
      <c r="B73" s="4349" t="s">
        <v>2370</v>
      </c>
      <c r="C73" s="4351" t="s">
        <v>4567</v>
      </c>
      <c r="D73" s="4372" t="s">
        <v>4568</v>
      </c>
      <c r="E73" s="4373" t="s">
        <v>4569</v>
      </c>
      <c r="F73" s="4373" t="s">
        <v>4570</v>
      </c>
      <c r="G73" s="4373" t="s">
        <v>4571</v>
      </c>
      <c r="H73" s="4374" t="s">
        <v>4572</v>
      </c>
      <c r="I73" s="4331" t="s">
        <v>4573</v>
      </c>
      <c r="J73" s="4375" t="s">
        <v>4574</v>
      </c>
    </row>
    <row r="74" spans="1:47" x14ac:dyDescent="0.25">
      <c r="A74" s="5850">
        <v>21900232</v>
      </c>
      <c r="B74" s="4349" t="s">
        <v>2371</v>
      </c>
      <c r="C74" s="4351" t="s">
        <v>4567</v>
      </c>
      <c r="D74" s="4372" t="s">
        <v>4568</v>
      </c>
      <c r="E74" s="4373" t="s">
        <v>4569</v>
      </c>
      <c r="F74" s="4373" t="s">
        <v>4570</v>
      </c>
      <c r="G74" s="4373" t="s">
        <v>4571</v>
      </c>
      <c r="H74" s="4374" t="s">
        <v>4572</v>
      </c>
      <c r="I74" s="4331" t="s">
        <v>4573</v>
      </c>
      <c r="J74" s="4375" t="s">
        <v>4574</v>
      </c>
    </row>
    <row r="75" spans="1:47" x14ac:dyDescent="0.25">
      <c r="A75" s="5850">
        <v>21900233</v>
      </c>
      <c r="B75" s="4349" t="s">
        <v>2372</v>
      </c>
      <c r="C75" s="4351" t="s">
        <v>4567</v>
      </c>
      <c r="D75" s="4372" t="s">
        <v>4568</v>
      </c>
      <c r="E75" s="4373" t="s">
        <v>4569</v>
      </c>
      <c r="F75" s="4373" t="s">
        <v>4570</v>
      </c>
      <c r="G75" s="4373" t="s">
        <v>4571</v>
      </c>
      <c r="H75" s="4374" t="s">
        <v>4572</v>
      </c>
      <c r="I75" s="4331" t="s">
        <v>4573</v>
      </c>
      <c r="J75" s="4375" t="s">
        <v>4574</v>
      </c>
    </row>
    <row r="76" spans="1:47" x14ac:dyDescent="0.25">
      <c r="A76" s="5850">
        <v>21900234</v>
      </c>
      <c r="B76" s="4356" t="s">
        <v>2373</v>
      </c>
      <c r="C76" s="4357" t="s">
        <v>4567</v>
      </c>
      <c r="D76" s="4376" t="s">
        <v>4568</v>
      </c>
      <c r="E76" s="4377" t="s">
        <v>4569</v>
      </c>
      <c r="F76" s="4377" t="s">
        <v>4570</v>
      </c>
      <c r="G76" s="4377" t="s">
        <v>4571</v>
      </c>
      <c r="H76" s="4378" t="s">
        <v>4572</v>
      </c>
      <c r="I76" s="4339" t="s">
        <v>4573</v>
      </c>
      <c r="J76" s="4379" t="s">
        <v>4574</v>
      </c>
    </row>
    <row r="77" spans="1:47" s="6" customFormat="1" ht="18" customHeight="1" x14ac:dyDescent="0.2">
      <c r="B77" s="7225" t="s">
        <v>2374</v>
      </c>
      <c r="C77" s="7226"/>
      <c r="D77" s="7226"/>
      <c r="E77" s="7227"/>
      <c r="F77" s="7228"/>
      <c r="G77" s="4380"/>
      <c r="H77" s="4380"/>
      <c r="I77" s="4380"/>
      <c r="J77" s="4380"/>
    </row>
    <row r="78" spans="1:47" s="6" customFormat="1" ht="18" customHeight="1" x14ac:dyDescent="0.25">
      <c r="A78" s="5613"/>
      <c r="B78" s="7239" t="s">
        <v>285</v>
      </c>
      <c r="C78" s="7241" t="s">
        <v>2375</v>
      </c>
      <c r="D78" s="7239" t="s">
        <v>77</v>
      </c>
      <c r="E78" s="7238" t="s">
        <v>29</v>
      </c>
      <c r="F78" s="7238"/>
      <c r="G78" s="7238"/>
      <c r="H78" s="7238"/>
      <c r="I78" s="7238"/>
      <c r="J78" s="7238"/>
    </row>
    <row r="79" spans="1:47" ht="24.75" customHeight="1" x14ac:dyDescent="0.25">
      <c r="A79" s="5613"/>
      <c r="B79" s="7240"/>
      <c r="C79" s="7241"/>
      <c r="D79" s="7240"/>
      <c r="E79" s="4381" t="s">
        <v>2376</v>
      </c>
      <c r="F79" s="4382" t="s">
        <v>2377</v>
      </c>
      <c r="G79" s="4383" t="s">
        <v>475</v>
      </c>
      <c r="H79" s="4383" t="s">
        <v>326</v>
      </c>
      <c r="I79" s="4383" t="s">
        <v>94</v>
      </c>
      <c r="J79" s="4384" t="s">
        <v>44</v>
      </c>
    </row>
    <row r="80" spans="1:47" x14ac:dyDescent="0.25">
      <c r="A80" s="5601">
        <v>21500300</v>
      </c>
      <c r="B80" s="7229" t="s">
        <v>2378</v>
      </c>
      <c r="C80" s="7230"/>
      <c r="D80" s="4385" t="s">
        <v>4567</v>
      </c>
      <c r="E80" s="4386" t="s">
        <v>4568</v>
      </c>
      <c r="F80" s="4387" t="s">
        <v>4569</v>
      </c>
      <c r="G80" s="4387" t="s">
        <v>4570</v>
      </c>
      <c r="H80" s="4387" t="s">
        <v>4571</v>
      </c>
      <c r="I80" s="4387" t="s">
        <v>4572</v>
      </c>
      <c r="J80" s="4388" t="s">
        <v>4573</v>
      </c>
    </row>
    <row r="81" spans="1:56" ht="24.95" customHeight="1" x14ac:dyDescent="0.25">
      <c r="A81" s="5848">
        <v>21800850</v>
      </c>
      <c r="B81" s="7223" t="s">
        <v>2379</v>
      </c>
      <c r="C81" s="4389" t="s">
        <v>2380</v>
      </c>
      <c r="D81" s="4390" t="s">
        <v>4567</v>
      </c>
      <c r="E81" s="4290" t="s">
        <v>4568</v>
      </c>
      <c r="F81" s="4291" t="s">
        <v>4569</v>
      </c>
      <c r="G81" s="4291" t="s">
        <v>4570</v>
      </c>
      <c r="H81" s="4291" t="s">
        <v>4571</v>
      </c>
      <c r="I81" s="4291" t="s">
        <v>4572</v>
      </c>
      <c r="J81" s="4391" t="s">
        <v>4573</v>
      </c>
    </row>
    <row r="82" spans="1:56" ht="24.95" customHeight="1" x14ac:dyDescent="0.25">
      <c r="A82" s="5848">
        <v>21800860</v>
      </c>
      <c r="B82" s="7224"/>
      <c r="C82" s="4392" t="s">
        <v>2381</v>
      </c>
      <c r="D82" s="4393" t="s">
        <v>4567</v>
      </c>
      <c r="E82" s="4394" t="s">
        <v>4568</v>
      </c>
      <c r="F82" s="4395" t="s">
        <v>4569</v>
      </c>
      <c r="G82" s="4395" t="s">
        <v>4570</v>
      </c>
      <c r="H82" s="4395" t="s">
        <v>4571</v>
      </c>
      <c r="I82" s="4395" t="s">
        <v>4572</v>
      </c>
      <c r="J82" s="4396" t="s">
        <v>4573</v>
      </c>
    </row>
    <row r="83" spans="1:56" ht="24.95" customHeight="1" x14ac:dyDescent="0.25">
      <c r="A83" s="5848">
        <v>21800870</v>
      </c>
      <c r="B83" s="7223" t="s">
        <v>2382</v>
      </c>
      <c r="C83" s="4389" t="s">
        <v>2380</v>
      </c>
      <c r="D83" s="4390" t="s">
        <v>4567</v>
      </c>
      <c r="E83" s="4397" t="s">
        <v>4568</v>
      </c>
      <c r="F83" s="4398" t="s">
        <v>4569</v>
      </c>
      <c r="G83" s="4398" t="s">
        <v>4570</v>
      </c>
      <c r="H83" s="4398" t="s">
        <v>4571</v>
      </c>
      <c r="I83" s="4398" t="s">
        <v>4572</v>
      </c>
      <c r="J83" s="4399" t="s">
        <v>4573</v>
      </c>
    </row>
    <row r="84" spans="1:56" ht="24.95" customHeight="1" x14ac:dyDescent="0.25">
      <c r="A84" s="5848">
        <v>21800880</v>
      </c>
      <c r="B84" s="7224"/>
      <c r="C84" s="4400" t="s">
        <v>2381</v>
      </c>
      <c r="D84" s="4401" t="s">
        <v>4567</v>
      </c>
      <c r="E84" s="4402" t="s">
        <v>4568</v>
      </c>
      <c r="F84" s="4403" t="s">
        <v>4569</v>
      </c>
      <c r="G84" s="4403" t="s">
        <v>4570</v>
      </c>
      <c r="H84" s="4403" t="s">
        <v>4571</v>
      </c>
      <c r="I84" s="4403" t="s">
        <v>4572</v>
      </c>
      <c r="J84" s="4404" t="s">
        <v>4573</v>
      </c>
    </row>
    <row r="85" spans="1:56" s="6" customFormat="1" ht="18" customHeight="1" x14ac:dyDescent="0.2">
      <c r="B85" s="4321" t="s">
        <v>2383</v>
      </c>
      <c r="C85" s="4316"/>
      <c r="D85" s="4316"/>
      <c r="E85" s="4311"/>
      <c r="F85" s="4311"/>
      <c r="G85" s="4311"/>
      <c r="H85" s="4311"/>
      <c r="I85" s="4405"/>
      <c r="J85" s="4405"/>
    </row>
    <row r="86" spans="1:56" ht="15" customHeight="1" x14ac:dyDescent="0.25">
      <c r="A86" s="5613"/>
      <c r="B86" s="7251" t="s">
        <v>1635</v>
      </c>
      <c r="C86" s="7254" t="s">
        <v>2384</v>
      </c>
      <c r="D86" s="7251"/>
      <c r="E86" s="7254" t="s">
        <v>2385</v>
      </c>
      <c r="F86" s="7251"/>
      <c r="G86" s="7245" t="s">
        <v>2386</v>
      </c>
      <c r="H86" s="7246"/>
      <c r="I86" s="7246"/>
      <c r="J86" s="7247"/>
      <c r="K86" s="7245" t="s">
        <v>2387</v>
      </c>
      <c r="L86" s="7246"/>
      <c r="M86" s="7246"/>
      <c r="N86" s="7247"/>
      <c r="O86" s="7245" t="s">
        <v>2388</v>
      </c>
      <c r="P86" s="7246"/>
      <c r="Q86" s="7246"/>
      <c r="R86" s="7247"/>
    </row>
    <row r="87" spans="1:56" ht="15" customHeight="1" x14ac:dyDescent="0.25">
      <c r="A87" s="5613"/>
      <c r="B87" s="7252"/>
      <c r="C87" s="7255"/>
      <c r="D87" s="7253"/>
      <c r="E87" s="7255"/>
      <c r="F87" s="7253"/>
      <c r="G87" s="7245" t="s">
        <v>2389</v>
      </c>
      <c r="H87" s="7247"/>
      <c r="I87" s="7245" t="s">
        <v>2390</v>
      </c>
      <c r="J87" s="7247"/>
      <c r="K87" s="7245" t="s">
        <v>2389</v>
      </c>
      <c r="L87" s="7247"/>
      <c r="M87" s="7245" t="s">
        <v>2390</v>
      </c>
      <c r="N87" s="7247"/>
      <c r="O87" s="7245" t="s">
        <v>2389</v>
      </c>
      <c r="P87" s="7247"/>
      <c r="Q87" s="7245" t="s">
        <v>2390</v>
      </c>
      <c r="R87" s="7247"/>
    </row>
    <row r="88" spans="1:56" ht="27.75" customHeight="1" x14ac:dyDescent="0.25">
      <c r="A88" s="5613"/>
      <c r="B88" s="7253"/>
      <c r="C88" s="4326" t="s">
        <v>4405</v>
      </c>
      <c r="D88" s="4406" t="s">
        <v>2391</v>
      </c>
      <c r="E88" s="4326" t="s">
        <v>4405</v>
      </c>
      <c r="F88" s="4406" t="s">
        <v>2391</v>
      </c>
      <c r="G88" s="4326" t="s">
        <v>4405</v>
      </c>
      <c r="H88" s="4406" t="s">
        <v>2391</v>
      </c>
      <c r="I88" s="4326" t="s">
        <v>4405</v>
      </c>
      <c r="J88" s="4407" t="s">
        <v>2391</v>
      </c>
      <c r="K88" s="4326" t="s">
        <v>4405</v>
      </c>
      <c r="L88" s="4406" t="s">
        <v>2391</v>
      </c>
      <c r="M88" s="4326" t="s">
        <v>4405</v>
      </c>
      <c r="N88" s="4407" t="s">
        <v>2391</v>
      </c>
      <c r="O88" s="4326" t="s">
        <v>4405</v>
      </c>
      <c r="P88" s="4406" t="s">
        <v>2391</v>
      </c>
      <c r="Q88" s="4326" t="s">
        <v>4405</v>
      </c>
      <c r="R88" s="4407" t="s">
        <v>2391</v>
      </c>
    </row>
    <row r="89" spans="1:56" x14ac:dyDescent="0.25">
      <c r="A89" s="5601">
        <v>21500600</v>
      </c>
      <c r="B89" s="4408" t="s">
        <v>1433</v>
      </c>
      <c r="C89" s="4290" t="s">
        <v>4567</v>
      </c>
      <c r="D89" s="4391" t="s">
        <v>4568</v>
      </c>
      <c r="E89" s="4290" t="s">
        <v>4569</v>
      </c>
      <c r="F89" s="4391" t="s">
        <v>4570</v>
      </c>
      <c r="G89" s="4409" t="s">
        <v>4571</v>
      </c>
      <c r="H89" s="4331" t="s">
        <v>4572</v>
      </c>
      <c r="I89" s="4409" t="s">
        <v>4573</v>
      </c>
      <c r="J89" s="4331" t="s">
        <v>4574</v>
      </c>
      <c r="K89" s="4409" t="s">
        <v>4575</v>
      </c>
      <c r="L89" s="4331" t="s">
        <v>4576</v>
      </c>
      <c r="M89" s="4409" t="s">
        <v>4577</v>
      </c>
      <c r="N89" s="4331" t="s">
        <v>4578</v>
      </c>
      <c r="O89" s="4409" t="s">
        <v>4579</v>
      </c>
      <c r="P89" s="4331" t="s">
        <v>4580</v>
      </c>
      <c r="Q89" s="4409" t="s">
        <v>4581</v>
      </c>
      <c r="R89" s="4331" t="s">
        <v>4582</v>
      </c>
      <c r="S89" t="e">
        <f>AU89&amp;AV89&amp;AW89</f>
        <v>#VALUE!</v>
      </c>
      <c r="AU89" s="4410" t="e">
        <f>IF((E89+F89)&lt;((G89+H89)-(I89+J89)),"* La suma de "&amp;E$86&amp;""&amp;" debe ser mayor o igual a la Diferencia de "&amp;G$87&amp;""&amp;" menos Pacientes Suspendidos","")</f>
        <v>#VALUE!</v>
      </c>
      <c r="BD89" s="1867" t="e">
        <f>IF((E89+F89)&lt;((G89+H89)-(I89+J89)),1,0)</f>
        <v>#VALUE!</v>
      </c>
    </row>
    <row r="90" spans="1:56" x14ac:dyDescent="0.25">
      <c r="A90" s="5601">
        <v>21600800</v>
      </c>
      <c r="B90" s="4411" t="s">
        <v>1235</v>
      </c>
      <c r="C90" s="4412" t="s">
        <v>4567</v>
      </c>
      <c r="D90" s="4413" t="s">
        <v>4568</v>
      </c>
      <c r="E90" s="4412" t="s">
        <v>4569</v>
      </c>
      <c r="F90" s="4413" t="s">
        <v>4570</v>
      </c>
      <c r="G90" s="4414" t="s">
        <v>4571</v>
      </c>
      <c r="H90" s="4415" t="s">
        <v>4572</v>
      </c>
      <c r="I90" s="4414" t="s">
        <v>4573</v>
      </c>
      <c r="J90" s="4415" t="s">
        <v>4574</v>
      </c>
      <c r="K90" s="4414" t="s">
        <v>4575</v>
      </c>
      <c r="L90" s="4415" t="s">
        <v>4576</v>
      </c>
      <c r="M90" s="4414" t="s">
        <v>4577</v>
      </c>
      <c r="N90" s="4415" t="s">
        <v>4578</v>
      </c>
      <c r="O90" s="4414" t="s">
        <v>4579</v>
      </c>
      <c r="P90" s="4415" t="s">
        <v>4580</v>
      </c>
      <c r="Q90" s="4414" t="s">
        <v>4581</v>
      </c>
      <c r="R90" s="4415" t="s">
        <v>4582</v>
      </c>
      <c r="S90" t="e">
        <f t="shared" ref="S90:S101" si="6">AU90&amp;AV90&amp;AW90</f>
        <v>#VALUE!</v>
      </c>
      <c r="AU90" s="4410" t="e">
        <f t="shared" ref="AU90:AU99" si="7">IF((E90+F90)&lt;((G90+H90)-(I90+J90)),"* La suma de "&amp;E$86&amp;""&amp;" debe ser mayor o igual a la Diferencia de "&amp;G$87&amp;""&amp;" menos Pacientes Suspendidos","")</f>
        <v>#VALUE!</v>
      </c>
      <c r="BD90" s="1867" t="e">
        <f t="shared" ref="BD90:BD101" si="8">IF((E90+F90)&lt;((G90+H90)-(I90+J90)),1,0)</f>
        <v>#VALUE!</v>
      </c>
    </row>
    <row r="91" spans="1:56" x14ac:dyDescent="0.25">
      <c r="A91" s="5601">
        <v>21600900</v>
      </c>
      <c r="B91" s="4411" t="s">
        <v>2392</v>
      </c>
      <c r="C91" s="4412" t="s">
        <v>4567</v>
      </c>
      <c r="D91" s="4413" t="s">
        <v>4568</v>
      </c>
      <c r="E91" s="4412" t="s">
        <v>4569</v>
      </c>
      <c r="F91" s="4413" t="s">
        <v>4570</v>
      </c>
      <c r="G91" s="4414" t="s">
        <v>4571</v>
      </c>
      <c r="H91" s="4415" t="s">
        <v>4572</v>
      </c>
      <c r="I91" s="4414" t="s">
        <v>4573</v>
      </c>
      <c r="J91" s="4415" t="s">
        <v>4574</v>
      </c>
      <c r="K91" s="4414" t="s">
        <v>4575</v>
      </c>
      <c r="L91" s="4415" t="s">
        <v>4576</v>
      </c>
      <c r="M91" s="4414" t="s">
        <v>4577</v>
      </c>
      <c r="N91" s="4415" t="s">
        <v>4578</v>
      </c>
      <c r="O91" s="4414" t="s">
        <v>4579</v>
      </c>
      <c r="P91" s="4415" t="s">
        <v>4580</v>
      </c>
      <c r="Q91" s="4414" t="s">
        <v>4581</v>
      </c>
      <c r="R91" s="4415" t="s">
        <v>4582</v>
      </c>
      <c r="S91" t="e">
        <f t="shared" si="6"/>
        <v>#VALUE!</v>
      </c>
      <c r="AU91" s="4410" t="e">
        <f t="shared" si="7"/>
        <v>#VALUE!</v>
      </c>
      <c r="BD91" s="1867" t="e">
        <f t="shared" si="8"/>
        <v>#VALUE!</v>
      </c>
    </row>
    <row r="92" spans="1:56" x14ac:dyDescent="0.25">
      <c r="A92" s="5601">
        <v>21700100</v>
      </c>
      <c r="B92" s="4411" t="s">
        <v>1232</v>
      </c>
      <c r="C92" s="4412" t="s">
        <v>4567</v>
      </c>
      <c r="D92" s="4413" t="s">
        <v>4568</v>
      </c>
      <c r="E92" s="4412" t="s">
        <v>4569</v>
      </c>
      <c r="F92" s="4413" t="s">
        <v>4570</v>
      </c>
      <c r="G92" s="4414" t="s">
        <v>4571</v>
      </c>
      <c r="H92" s="4415" t="s">
        <v>4572</v>
      </c>
      <c r="I92" s="4414" t="s">
        <v>4573</v>
      </c>
      <c r="J92" s="4415" t="s">
        <v>4574</v>
      </c>
      <c r="K92" s="4414" t="s">
        <v>4575</v>
      </c>
      <c r="L92" s="4415" t="s">
        <v>4576</v>
      </c>
      <c r="M92" s="4414" t="s">
        <v>4577</v>
      </c>
      <c r="N92" s="4415" t="s">
        <v>4578</v>
      </c>
      <c r="O92" s="4414" t="s">
        <v>4579</v>
      </c>
      <c r="P92" s="4415" t="s">
        <v>4580</v>
      </c>
      <c r="Q92" s="4414" t="s">
        <v>4581</v>
      </c>
      <c r="R92" s="4415" t="s">
        <v>4582</v>
      </c>
      <c r="S92" t="e">
        <f t="shared" si="6"/>
        <v>#VALUE!</v>
      </c>
      <c r="AU92" s="4410" t="e">
        <f t="shared" si="7"/>
        <v>#VALUE!</v>
      </c>
      <c r="BD92" s="1867" t="e">
        <f t="shared" si="8"/>
        <v>#VALUE!</v>
      </c>
    </row>
    <row r="93" spans="1:56" x14ac:dyDescent="0.25">
      <c r="A93" s="5601">
        <v>21500700</v>
      </c>
      <c r="B93" s="4411" t="s">
        <v>2393</v>
      </c>
      <c r="C93" s="4412" t="s">
        <v>4567</v>
      </c>
      <c r="D93" s="4413" t="s">
        <v>4568</v>
      </c>
      <c r="E93" s="4412" t="s">
        <v>4569</v>
      </c>
      <c r="F93" s="4413" t="s">
        <v>4570</v>
      </c>
      <c r="G93" s="4414" t="s">
        <v>4571</v>
      </c>
      <c r="H93" s="4415" t="s">
        <v>4572</v>
      </c>
      <c r="I93" s="4414" t="s">
        <v>4573</v>
      </c>
      <c r="J93" s="4415" t="s">
        <v>4574</v>
      </c>
      <c r="K93" s="4414" t="s">
        <v>4575</v>
      </c>
      <c r="L93" s="4415" t="s">
        <v>4576</v>
      </c>
      <c r="M93" s="4414" t="s">
        <v>4577</v>
      </c>
      <c r="N93" s="4415" t="s">
        <v>4578</v>
      </c>
      <c r="O93" s="4414" t="s">
        <v>4579</v>
      </c>
      <c r="P93" s="4415" t="s">
        <v>4580</v>
      </c>
      <c r="Q93" s="4414" t="s">
        <v>4581</v>
      </c>
      <c r="R93" s="4415" t="s">
        <v>4582</v>
      </c>
      <c r="S93" t="e">
        <f t="shared" si="6"/>
        <v>#VALUE!</v>
      </c>
      <c r="AU93" s="4410" t="e">
        <f t="shared" si="7"/>
        <v>#VALUE!</v>
      </c>
      <c r="BD93" s="1867" t="e">
        <f t="shared" si="8"/>
        <v>#VALUE!</v>
      </c>
    </row>
    <row r="94" spans="1:56" x14ac:dyDescent="0.25">
      <c r="A94" s="5601">
        <v>21500800</v>
      </c>
      <c r="B94" s="4411" t="s">
        <v>1234</v>
      </c>
      <c r="C94" s="4412" t="s">
        <v>4567</v>
      </c>
      <c r="D94" s="4413" t="s">
        <v>4568</v>
      </c>
      <c r="E94" s="4412" t="s">
        <v>4569</v>
      </c>
      <c r="F94" s="4413" t="s">
        <v>4570</v>
      </c>
      <c r="G94" s="4414" t="s">
        <v>4571</v>
      </c>
      <c r="H94" s="4415" t="s">
        <v>4572</v>
      </c>
      <c r="I94" s="4414" t="s">
        <v>4573</v>
      </c>
      <c r="J94" s="4415" t="s">
        <v>4574</v>
      </c>
      <c r="K94" s="4414" t="s">
        <v>4575</v>
      </c>
      <c r="L94" s="4415" t="s">
        <v>4576</v>
      </c>
      <c r="M94" s="4414" t="s">
        <v>4577</v>
      </c>
      <c r="N94" s="4415" t="s">
        <v>4578</v>
      </c>
      <c r="O94" s="4414" t="s">
        <v>4579</v>
      </c>
      <c r="P94" s="4415" t="s">
        <v>4580</v>
      </c>
      <c r="Q94" s="4414" t="s">
        <v>4581</v>
      </c>
      <c r="R94" s="4415" t="s">
        <v>4582</v>
      </c>
      <c r="S94" t="e">
        <f t="shared" si="6"/>
        <v>#VALUE!</v>
      </c>
      <c r="AU94" s="4410" t="e">
        <f t="shared" si="7"/>
        <v>#VALUE!</v>
      </c>
      <c r="BD94" s="1867" t="e">
        <f t="shared" si="8"/>
        <v>#VALUE!</v>
      </c>
    </row>
    <row r="95" spans="1:56" x14ac:dyDescent="0.25">
      <c r="A95" s="5601">
        <v>21700300</v>
      </c>
      <c r="B95" s="4411" t="s">
        <v>1238</v>
      </c>
      <c r="C95" s="4412" t="s">
        <v>4567</v>
      </c>
      <c r="D95" s="4413" t="s">
        <v>4568</v>
      </c>
      <c r="E95" s="4412" t="s">
        <v>4569</v>
      </c>
      <c r="F95" s="4413" t="s">
        <v>4570</v>
      </c>
      <c r="G95" s="4414" t="s">
        <v>4571</v>
      </c>
      <c r="H95" s="4415" t="s">
        <v>4572</v>
      </c>
      <c r="I95" s="4414" t="s">
        <v>4573</v>
      </c>
      <c r="J95" s="4415" t="s">
        <v>4574</v>
      </c>
      <c r="K95" s="4414" t="s">
        <v>4575</v>
      </c>
      <c r="L95" s="4415" t="s">
        <v>4576</v>
      </c>
      <c r="M95" s="4414" t="s">
        <v>4577</v>
      </c>
      <c r="N95" s="4415" t="s">
        <v>4578</v>
      </c>
      <c r="O95" s="4414" t="s">
        <v>4579</v>
      </c>
      <c r="P95" s="4415" t="s">
        <v>4580</v>
      </c>
      <c r="Q95" s="4414" t="s">
        <v>4581</v>
      </c>
      <c r="R95" s="4415" t="s">
        <v>4582</v>
      </c>
      <c r="S95" t="e">
        <f t="shared" si="6"/>
        <v>#VALUE!</v>
      </c>
      <c r="AU95" s="4410" t="e">
        <f t="shared" si="7"/>
        <v>#VALUE!</v>
      </c>
      <c r="BD95" s="1867" t="e">
        <f t="shared" si="8"/>
        <v>#VALUE!</v>
      </c>
    </row>
    <row r="96" spans="1:56" x14ac:dyDescent="0.25">
      <c r="A96" s="5601">
        <v>21700400</v>
      </c>
      <c r="B96" s="4411" t="s">
        <v>1237</v>
      </c>
      <c r="C96" s="4412" t="s">
        <v>4567</v>
      </c>
      <c r="D96" s="4413" t="s">
        <v>4568</v>
      </c>
      <c r="E96" s="4412" t="s">
        <v>4569</v>
      </c>
      <c r="F96" s="4413" t="s">
        <v>4570</v>
      </c>
      <c r="G96" s="4414" t="s">
        <v>4571</v>
      </c>
      <c r="H96" s="4415" t="s">
        <v>4572</v>
      </c>
      <c r="I96" s="4414" t="s">
        <v>4573</v>
      </c>
      <c r="J96" s="4415" t="s">
        <v>4574</v>
      </c>
      <c r="K96" s="4414" t="s">
        <v>4575</v>
      </c>
      <c r="L96" s="4415" t="s">
        <v>4576</v>
      </c>
      <c r="M96" s="4414" t="s">
        <v>4577</v>
      </c>
      <c r="N96" s="4415" t="s">
        <v>4578</v>
      </c>
      <c r="O96" s="4414" t="s">
        <v>4579</v>
      </c>
      <c r="P96" s="4415" t="s">
        <v>4580</v>
      </c>
      <c r="Q96" s="4414" t="s">
        <v>4581</v>
      </c>
      <c r="R96" s="4415" t="s">
        <v>4582</v>
      </c>
      <c r="S96" t="e">
        <f t="shared" si="6"/>
        <v>#VALUE!</v>
      </c>
      <c r="AU96" s="4410" t="e">
        <f t="shared" si="7"/>
        <v>#VALUE!</v>
      </c>
      <c r="BD96" s="1867" t="e">
        <f t="shared" si="8"/>
        <v>#VALUE!</v>
      </c>
    </row>
    <row r="97" spans="1:56" x14ac:dyDescent="0.25">
      <c r="A97" s="5601">
        <v>21700500</v>
      </c>
      <c r="B97" s="4411" t="s">
        <v>2394</v>
      </c>
      <c r="C97" s="4412" t="s">
        <v>4567</v>
      </c>
      <c r="D97" s="4413" t="s">
        <v>4568</v>
      </c>
      <c r="E97" s="4412" t="s">
        <v>4569</v>
      </c>
      <c r="F97" s="4413" t="s">
        <v>4570</v>
      </c>
      <c r="G97" s="4414" t="s">
        <v>4571</v>
      </c>
      <c r="H97" s="4415" t="s">
        <v>4572</v>
      </c>
      <c r="I97" s="4414" t="s">
        <v>4573</v>
      </c>
      <c r="J97" s="4415" t="s">
        <v>4574</v>
      </c>
      <c r="K97" s="4414" t="s">
        <v>4575</v>
      </c>
      <c r="L97" s="4415" t="s">
        <v>4576</v>
      </c>
      <c r="M97" s="4414" t="s">
        <v>4577</v>
      </c>
      <c r="N97" s="4415" t="s">
        <v>4578</v>
      </c>
      <c r="O97" s="4414" t="s">
        <v>4579</v>
      </c>
      <c r="P97" s="4415" t="s">
        <v>4580</v>
      </c>
      <c r="Q97" s="4414" t="s">
        <v>4581</v>
      </c>
      <c r="R97" s="4415" t="s">
        <v>4582</v>
      </c>
      <c r="S97" t="e">
        <f t="shared" si="6"/>
        <v>#VALUE!</v>
      </c>
      <c r="AU97" s="4410" t="e">
        <f t="shared" si="7"/>
        <v>#VALUE!</v>
      </c>
      <c r="BD97" s="1867" t="e">
        <f t="shared" si="8"/>
        <v>#VALUE!</v>
      </c>
    </row>
    <row r="98" spans="1:56" x14ac:dyDescent="0.25">
      <c r="A98" s="5601">
        <v>21700600</v>
      </c>
      <c r="B98" s="4411" t="s">
        <v>2395</v>
      </c>
      <c r="C98" s="4412" t="s">
        <v>4567</v>
      </c>
      <c r="D98" s="4413" t="s">
        <v>4568</v>
      </c>
      <c r="E98" s="4412" t="s">
        <v>4569</v>
      </c>
      <c r="F98" s="4413" t="s">
        <v>4570</v>
      </c>
      <c r="G98" s="4414" t="s">
        <v>4571</v>
      </c>
      <c r="H98" s="4415" t="s">
        <v>4572</v>
      </c>
      <c r="I98" s="4414" t="s">
        <v>4573</v>
      </c>
      <c r="J98" s="4415" t="s">
        <v>4574</v>
      </c>
      <c r="K98" s="4414" t="s">
        <v>4575</v>
      </c>
      <c r="L98" s="4415" t="s">
        <v>4576</v>
      </c>
      <c r="M98" s="4414" t="s">
        <v>4577</v>
      </c>
      <c r="N98" s="4415" t="s">
        <v>4578</v>
      </c>
      <c r="O98" s="4414" t="s">
        <v>4579</v>
      </c>
      <c r="P98" s="4415" t="s">
        <v>4580</v>
      </c>
      <c r="Q98" s="4414" t="s">
        <v>4581</v>
      </c>
      <c r="R98" s="4415" t="s">
        <v>4582</v>
      </c>
      <c r="S98" t="e">
        <f t="shared" si="6"/>
        <v>#VALUE!</v>
      </c>
      <c r="AU98" s="4410" t="e">
        <f t="shared" si="7"/>
        <v>#VALUE!</v>
      </c>
      <c r="BD98" s="1867" t="e">
        <f t="shared" si="8"/>
        <v>#VALUE!</v>
      </c>
    </row>
    <row r="99" spans="1:56" x14ac:dyDescent="0.25">
      <c r="A99" s="5601">
        <v>21500900</v>
      </c>
      <c r="B99" s="4411" t="s">
        <v>1431</v>
      </c>
      <c r="C99" s="4412" t="s">
        <v>4567</v>
      </c>
      <c r="D99" s="4413" t="s">
        <v>4568</v>
      </c>
      <c r="E99" s="4412" t="s">
        <v>4569</v>
      </c>
      <c r="F99" s="4413" t="s">
        <v>4570</v>
      </c>
      <c r="G99" s="4414" t="s">
        <v>4571</v>
      </c>
      <c r="H99" s="4415" t="s">
        <v>4572</v>
      </c>
      <c r="I99" s="4414" t="s">
        <v>4573</v>
      </c>
      <c r="J99" s="4415" t="s">
        <v>4574</v>
      </c>
      <c r="K99" s="4414" t="s">
        <v>4575</v>
      </c>
      <c r="L99" s="4415" t="s">
        <v>4576</v>
      </c>
      <c r="M99" s="4414" t="s">
        <v>4577</v>
      </c>
      <c r="N99" s="4415" t="s">
        <v>4578</v>
      </c>
      <c r="O99" s="4414" t="s">
        <v>4579</v>
      </c>
      <c r="P99" s="4415" t="s">
        <v>4580</v>
      </c>
      <c r="Q99" s="4414" t="s">
        <v>4581</v>
      </c>
      <c r="R99" s="4415" t="s">
        <v>4582</v>
      </c>
      <c r="S99" t="e">
        <f t="shared" si="6"/>
        <v>#VALUE!</v>
      </c>
      <c r="AU99" s="4410" t="e">
        <f t="shared" si="7"/>
        <v>#VALUE!</v>
      </c>
      <c r="BD99" s="1867" t="e">
        <f t="shared" si="8"/>
        <v>#VALUE!</v>
      </c>
    </row>
    <row r="100" spans="1:56" x14ac:dyDescent="0.25">
      <c r="A100" s="5601">
        <v>21700700</v>
      </c>
      <c r="B100" s="4411" t="s">
        <v>4364</v>
      </c>
      <c r="C100" s="4412" t="s">
        <v>4567</v>
      </c>
      <c r="D100" s="4413" t="s">
        <v>4568</v>
      </c>
      <c r="E100" s="4412" t="s">
        <v>4569</v>
      </c>
      <c r="F100" s="4413" t="s">
        <v>4570</v>
      </c>
      <c r="G100" s="4414" t="s">
        <v>4571</v>
      </c>
      <c r="H100" s="4415" t="s">
        <v>4572</v>
      </c>
      <c r="I100" s="4414" t="s">
        <v>4573</v>
      </c>
      <c r="J100" s="4415" t="s">
        <v>4574</v>
      </c>
      <c r="K100" s="4414" t="s">
        <v>4575</v>
      </c>
      <c r="L100" s="4415" t="s">
        <v>4576</v>
      </c>
      <c r="M100" s="4414" t="s">
        <v>4577</v>
      </c>
      <c r="N100" s="4415" t="s">
        <v>4578</v>
      </c>
      <c r="O100" s="4414" t="s">
        <v>4579</v>
      </c>
      <c r="P100" s="4415" t="s">
        <v>4580</v>
      </c>
      <c r="Q100" s="4414" t="s">
        <v>4581</v>
      </c>
      <c r="R100" s="4415" t="s">
        <v>4582</v>
      </c>
      <c r="S100" t="e">
        <f t="shared" si="6"/>
        <v>#VALUE!</v>
      </c>
      <c r="AU100" s="4410" t="e">
        <f>IF((E100+F100)&lt;((G100+H100)-(I100+J100)),"* La suma de "&amp;E$86&amp;""&amp;" debe ser mayor o igual a la Diferencia de "&amp;G$87&amp;""&amp;" menos Pacientes Suspendidos","")</f>
        <v>#VALUE!</v>
      </c>
      <c r="BD100" s="1867" t="e">
        <f t="shared" si="8"/>
        <v>#VALUE!</v>
      </c>
    </row>
    <row r="101" spans="1:56" x14ac:dyDescent="0.25">
      <c r="A101" s="5601">
        <v>29101381</v>
      </c>
      <c r="B101" s="4411" t="s">
        <v>2396</v>
      </c>
      <c r="C101" s="4412" t="s">
        <v>4567</v>
      </c>
      <c r="D101" s="4413" t="s">
        <v>4568</v>
      </c>
      <c r="E101" s="4412" t="s">
        <v>4569</v>
      </c>
      <c r="F101" s="4413" t="s">
        <v>4570</v>
      </c>
      <c r="G101" s="4414" t="s">
        <v>4571</v>
      </c>
      <c r="H101" s="4415" t="s">
        <v>4572</v>
      </c>
      <c r="I101" s="4414" t="s">
        <v>4573</v>
      </c>
      <c r="J101" s="4415" t="s">
        <v>4574</v>
      </c>
      <c r="K101" s="4414" t="s">
        <v>4575</v>
      </c>
      <c r="L101" s="4415" t="s">
        <v>4576</v>
      </c>
      <c r="M101" s="4414" t="s">
        <v>4577</v>
      </c>
      <c r="N101" s="4415" t="s">
        <v>4578</v>
      </c>
      <c r="O101" s="4414" t="s">
        <v>4579</v>
      </c>
      <c r="P101" s="4415" t="s">
        <v>4580</v>
      </c>
      <c r="Q101" s="4414" t="s">
        <v>4581</v>
      </c>
      <c r="R101" s="4415" t="s">
        <v>4582</v>
      </c>
      <c r="S101" t="e">
        <f t="shared" si="6"/>
        <v>#VALUE!</v>
      </c>
      <c r="AU101" s="4410" t="e">
        <f>IF((E101+F101)&lt;((G101+H101)-(I101+J101)),"* La suma de "&amp;E$86&amp;""&amp;" debe ser mayor o igual a la Diferencia de "&amp;G$87&amp;""&amp;" menos Pacientes Suspendidos","")</f>
        <v>#VALUE!</v>
      </c>
      <c r="BD101" s="1867" t="e">
        <f t="shared" si="8"/>
        <v>#VALUE!</v>
      </c>
    </row>
    <row r="102" spans="1:56" x14ac:dyDescent="0.25">
      <c r="A102" s="5606"/>
      <c r="B102" s="4416" t="s">
        <v>77</v>
      </c>
      <c r="C102" s="4417">
        <f t="shared" ref="C102:J102" si="9">SUM(C89:C101)</f>
        <v>0</v>
      </c>
      <c r="D102" s="4418">
        <f t="shared" si="9"/>
        <v>0</v>
      </c>
      <c r="E102" s="4417">
        <f t="shared" si="9"/>
        <v>0</v>
      </c>
      <c r="F102" s="4418">
        <f t="shared" si="9"/>
        <v>0</v>
      </c>
      <c r="G102" s="4417">
        <f t="shared" si="9"/>
        <v>0</v>
      </c>
      <c r="H102" s="4418">
        <f t="shared" si="9"/>
        <v>0</v>
      </c>
      <c r="I102" s="4417">
        <f t="shared" si="9"/>
        <v>0</v>
      </c>
      <c r="J102" s="4419">
        <f t="shared" si="9"/>
        <v>0</v>
      </c>
      <c r="K102" s="4417">
        <f>SUM(K89:K101)</f>
        <v>0</v>
      </c>
      <c r="L102" s="4418">
        <f t="shared" ref="L102:N102" si="10">SUM(L89:L101)</f>
        <v>0</v>
      </c>
      <c r="M102" s="4417">
        <f t="shared" si="10"/>
        <v>0</v>
      </c>
      <c r="N102" s="4419">
        <f t="shared" si="10"/>
        <v>0</v>
      </c>
      <c r="O102" s="4417">
        <f>SUM(O89:O101)</f>
        <v>0</v>
      </c>
      <c r="P102" s="4418">
        <f t="shared" ref="P102:R102" si="11">SUM(P89:P101)</f>
        <v>0</v>
      </c>
      <c r="Q102" s="4417">
        <f t="shared" si="11"/>
        <v>0</v>
      </c>
      <c r="R102" s="4419">
        <f t="shared" si="11"/>
        <v>0</v>
      </c>
    </row>
    <row r="103" spans="1:56" s="6" customFormat="1" ht="18" customHeight="1" x14ac:dyDescent="0.2">
      <c r="B103" s="7248" t="s">
        <v>2397</v>
      </c>
      <c r="C103" s="7248"/>
      <c r="D103" s="7248"/>
      <c r="E103" s="7248"/>
      <c r="F103" s="7248"/>
      <c r="G103" s="7248"/>
      <c r="H103" s="7248"/>
    </row>
    <row r="104" spans="1:56" x14ac:dyDescent="0.25">
      <c r="B104" s="7249" t="s">
        <v>2398</v>
      </c>
      <c r="C104" s="7245" t="s">
        <v>2399</v>
      </c>
      <c r="D104" s="7246"/>
      <c r="E104" s="7246"/>
      <c r="F104" s="7246"/>
      <c r="G104" s="7246"/>
      <c r="H104" s="7247"/>
    </row>
    <row r="105" spans="1:56" x14ac:dyDescent="0.25">
      <c r="B105" s="7250"/>
      <c r="C105" s="1212" t="s">
        <v>1531</v>
      </c>
      <c r="D105" s="4326" t="s">
        <v>4405</v>
      </c>
      <c r="E105" s="4420" t="s">
        <v>2391</v>
      </c>
      <c r="F105" s="4327" t="s">
        <v>2308</v>
      </c>
      <c r="G105" s="4407" t="s">
        <v>2309</v>
      </c>
      <c r="H105" s="4407" t="s">
        <v>591</v>
      </c>
    </row>
    <row r="106" spans="1:56" x14ac:dyDescent="0.25">
      <c r="A106" s="5601">
        <v>21700701</v>
      </c>
      <c r="B106" s="4408" t="s">
        <v>2400</v>
      </c>
      <c r="C106" s="4268" t="s">
        <v>4567</v>
      </c>
      <c r="D106" s="4409" t="s">
        <v>4568</v>
      </c>
      <c r="E106" s="4421" t="s">
        <v>4569</v>
      </c>
      <c r="F106" s="4422" t="s">
        <v>4570</v>
      </c>
      <c r="G106" s="4423" t="s">
        <v>4571</v>
      </c>
      <c r="H106" s="4423" t="s">
        <v>4572</v>
      </c>
      <c r="I106" t="str">
        <f t="shared" ref="I106:I114" si="12">AU106</f>
        <v>* La Suma de los Beneficiarios MAI, MLE y Otros debe ser igual al Total.</v>
      </c>
      <c r="AU106" s="4410" t="str">
        <f t="shared" ref="AU106:AU112" si="13">IF(SUM(F106:H106)&lt;&gt;C106,"* La Suma de los Beneficiarios MAI, MLE y Otros debe ser igual al Total.","")</f>
        <v>* La Suma de los Beneficiarios MAI, MLE y Otros debe ser igual al Total.</v>
      </c>
      <c r="BD106" s="2673">
        <f t="shared" ref="BD106:BD113" si="14">IF(SUM(F106:H106)&lt;&gt;C106,1,0)</f>
        <v>1</v>
      </c>
    </row>
    <row r="107" spans="1:56" x14ac:dyDescent="0.25">
      <c r="A107" s="5601">
        <v>21700702</v>
      </c>
      <c r="B107" s="4424" t="s">
        <v>2401</v>
      </c>
      <c r="C107" s="4272" t="s">
        <v>4567</v>
      </c>
      <c r="D107" s="4414" t="s">
        <v>4568</v>
      </c>
      <c r="E107" s="4425" t="s">
        <v>4569</v>
      </c>
      <c r="F107" s="4426" t="s">
        <v>4570</v>
      </c>
      <c r="G107" s="4274" t="s">
        <v>4571</v>
      </c>
      <c r="H107" s="4274" t="s">
        <v>4572</v>
      </c>
      <c r="I107" t="str">
        <f t="shared" si="12"/>
        <v>* La Suma de los Beneficiarios MAI, MLE y Otros debe ser igual al Total.</v>
      </c>
      <c r="AU107" s="4410" t="str">
        <f t="shared" si="13"/>
        <v>* La Suma de los Beneficiarios MAI, MLE y Otros debe ser igual al Total.</v>
      </c>
      <c r="BD107" s="2673">
        <f t="shared" si="14"/>
        <v>1</v>
      </c>
    </row>
    <row r="108" spans="1:56" x14ac:dyDescent="0.25">
      <c r="A108" s="5601">
        <v>21700703</v>
      </c>
      <c r="B108" s="4411" t="s">
        <v>2402</v>
      </c>
      <c r="C108" s="4272" t="s">
        <v>4567</v>
      </c>
      <c r="D108" s="4414" t="s">
        <v>4568</v>
      </c>
      <c r="E108" s="4425" t="s">
        <v>4569</v>
      </c>
      <c r="F108" s="4426" t="s">
        <v>4570</v>
      </c>
      <c r="G108" s="4274" t="s">
        <v>4571</v>
      </c>
      <c r="H108" s="4274" t="s">
        <v>4572</v>
      </c>
      <c r="I108" t="str">
        <f t="shared" si="12"/>
        <v>* La Suma de los Beneficiarios MAI, MLE y Otros debe ser igual al Total.</v>
      </c>
      <c r="AU108" s="4410" t="str">
        <f t="shared" si="13"/>
        <v>* La Suma de los Beneficiarios MAI, MLE y Otros debe ser igual al Total.</v>
      </c>
      <c r="BD108" s="2673">
        <f t="shared" si="14"/>
        <v>1</v>
      </c>
    </row>
    <row r="109" spans="1:56" x14ac:dyDescent="0.25">
      <c r="A109" s="5601">
        <v>21700709</v>
      </c>
      <c r="B109" s="4411" t="s">
        <v>2403</v>
      </c>
      <c r="C109" s="4272" t="s">
        <v>4567</v>
      </c>
      <c r="D109" s="4414" t="s">
        <v>4568</v>
      </c>
      <c r="E109" s="4425" t="s">
        <v>4569</v>
      </c>
      <c r="F109" s="4426" t="s">
        <v>4570</v>
      </c>
      <c r="G109" s="4274" t="s">
        <v>4571</v>
      </c>
      <c r="H109" s="4274" t="s">
        <v>4572</v>
      </c>
      <c r="I109" t="str">
        <f t="shared" si="12"/>
        <v>* La Suma de los Beneficiarios MAI, MLE y Otros debe ser igual al Total.</v>
      </c>
      <c r="AU109" s="4410" t="str">
        <f t="shared" si="13"/>
        <v>* La Suma de los Beneficiarios MAI, MLE y Otros debe ser igual al Total.</v>
      </c>
      <c r="BD109" s="2673">
        <f t="shared" si="14"/>
        <v>1</v>
      </c>
    </row>
    <row r="110" spans="1:56" x14ac:dyDescent="0.25">
      <c r="A110" s="5601">
        <v>21700704</v>
      </c>
      <c r="B110" s="4411" t="s">
        <v>2404</v>
      </c>
      <c r="C110" s="4272" t="s">
        <v>4567</v>
      </c>
      <c r="D110" s="4414" t="s">
        <v>4568</v>
      </c>
      <c r="E110" s="4425" t="s">
        <v>4569</v>
      </c>
      <c r="F110" s="4426" t="s">
        <v>4570</v>
      </c>
      <c r="G110" s="4274" t="s">
        <v>4571</v>
      </c>
      <c r="H110" s="4274" t="s">
        <v>4572</v>
      </c>
      <c r="I110" t="str">
        <f t="shared" si="12"/>
        <v>* La Suma de los Beneficiarios MAI, MLE y Otros debe ser igual al Total.</v>
      </c>
      <c r="AU110" s="4410" t="str">
        <f t="shared" si="13"/>
        <v>* La Suma de los Beneficiarios MAI, MLE y Otros debe ser igual al Total.</v>
      </c>
      <c r="BD110" s="2673">
        <f t="shared" si="14"/>
        <v>1</v>
      </c>
    </row>
    <row r="111" spans="1:56" x14ac:dyDescent="0.25">
      <c r="A111" s="5601">
        <v>21700705</v>
      </c>
      <c r="B111" s="4411" t="s">
        <v>2405</v>
      </c>
      <c r="C111" s="4272" t="s">
        <v>4567</v>
      </c>
      <c r="D111" s="4414" t="s">
        <v>4568</v>
      </c>
      <c r="E111" s="4425" t="s">
        <v>4569</v>
      </c>
      <c r="F111" s="4426" t="s">
        <v>4570</v>
      </c>
      <c r="G111" s="4274" t="s">
        <v>4571</v>
      </c>
      <c r="H111" s="4274" t="s">
        <v>4572</v>
      </c>
      <c r="I111" t="str">
        <f t="shared" si="12"/>
        <v>* La Suma de los Beneficiarios MAI, MLE y Otros debe ser igual al Total.</v>
      </c>
      <c r="AU111" s="4410" t="str">
        <f t="shared" si="13"/>
        <v>* La Suma de los Beneficiarios MAI, MLE y Otros debe ser igual al Total.</v>
      </c>
      <c r="BD111" s="2673">
        <f t="shared" si="14"/>
        <v>1</v>
      </c>
    </row>
    <row r="112" spans="1:56" x14ac:dyDescent="0.25">
      <c r="A112" s="5601">
        <v>21700706</v>
      </c>
      <c r="B112" s="4424" t="s">
        <v>2406</v>
      </c>
      <c r="C112" s="4272" t="s">
        <v>4567</v>
      </c>
      <c r="D112" s="4414" t="s">
        <v>4568</v>
      </c>
      <c r="E112" s="4425" t="s">
        <v>4569</v>
      </c>
      <c r="F112" s="4426" t="s">
        <v>4570</v>
      </c>
      <c r="G112" s="4274" t="s">
        <v>4571</v>
      </c>
      <c r="H112" s="4274" t="s">
        <v>4572</v>
      </c>
      <c r="I112" t="str">
        <f t="shared" si="12"/>
        <v>* La Suma de los Beneficiarios MAI, MLE y Otros debe ser igual al Total.</v>
      </c>
      <c r="AU112" s="4410" t="str">
        <f t="shared" si="13"/>
        <v>* La Suma de los Beneficiarios MAI, MLE y Otros debe ser igual al Total.</v>
      </c>
      <c r="BD112" s="2673">
        <f t="shared" si="14"/>
        <v>1</v>
      </c>
    </row>
    <row r="113" spans="1:57" x14ac:dyDescent="0.25">
      <c r="A113" s="5601">
        <v>21800890</v>
      </c>
      <c r="B113" s="4427" t="s">
        <v>2407</v>
      </c>
      <c r="C113" s="4428" t="s">
        <v>4567</v>
      </c>
      <c r="D113" s="4414" t="s">
        <v>4568</v>
      </c>
      <c r="E113" s="4425" t="s">
        <v>4569</v>
      </c>
      <c r="F113" s="4426" t="s">
        <v>4570</v>
      </c>
      <c r="G113" s="4429" t="s">
        <v>4571</v>
      </c>
      <c r="H113" s="4429" t="s">
        <v>4572</v>
      </c>
      <c r="I113" t="str">
        <f t="shared" si="12"/>
        <v>* La Suma de los Beneficiarios MAI, MLE y Otros debe ser igual al Total.</v>
      </c>
      <c r="AU113" s="4410" t="str">
        <f>IF(SUM(F113:H113)&lt;&gt;C113,"* La Suma de los Beneficiarios MAI, MLE y Otros debe ser igual al Total.","")</f>
        <v>* La Suma de los Beneficiarios MAI, MLE y Otros debe ser igual al Total.</v>
      </c>
      <c r="BD113" s="2673">
        <f t="shared" si="14"/>
        <v>1</v>
      </c>
    </row>
    <row r="114" spans="1:57" x14ac:dyDescent="0.25">
      <c r="A114" s="5606"/>
      <c r="B114" s="4430" t="s">
        <v>77</v>
      </c>
      <c r="C114" s="4431">
        <f t="shared" ref="C114:H114" si="15">SUM(C106:C113)</f>
        <v>0</v>
      </c>
      <c r="D114" s="4432">
        <f t="shared" si="15"/>
        <v>0</v>
      </c>
      <c r="E114" s="4433">
        <f t="shared" si="15"/>
        <v>0</v>
      </c>
      <c r="F114" s="4434">
        <f t="shared" si="15"/>
        <v>0</v>
      </c>
      <c r="G114" s="4435">
        <f t="shared" si="15"/>
        <v>0</v>
      </c>
      <c r="H114" s="4435">
        <f t="shared" si="15"/>
        <v>0</v>
      </c>
      <c r="I114" s="4436" t="str">
        <f t="shared" si="12"/>
        <v/>
      </c>
      <c r="AU114" s="4410" t="str">
        <f>IF((I102+J102+M102+N102+Q102+R102)&lt;&gt;C114," * El total de Causas de suspensión debe coincidir con la suma de Pacientes suspendidos de la Sección E","")</f>
        <v/>
      </c>
      <c r="AV114" s="6"/>
      <c r="AW114" s="6"/>
      <c r="BD114" s="54">
        <f>IF((I102+J102+M102+N102+Q102+R102)&lt;&gt;C114,1,0)</f>
        <v>0</v>
      </c>
      <c r="BE114" s="6"/>
    </row>
    <row r="115" spans="1:57" s="6" customFormat="1" ht="18" customHeight="1" x14ac:dyDescent="0.2">
      <c r="B115" s="13" t="s">
        <v>2408</v>
      </c>
      <c r="F115" s="861"/>
      <c r="G115" s="4"/>
      <c r="H115" s="4"/>
    </row>
    <row r="116" spans="1:57" x14ac:dyDescent="0.25">
      <c r="B116" s="7256" t="s">
        <v>2409</v>
      </c>
      <c r="C116" s="7256" t="s">
        <v>28</v>
      </c>
      <c r="D116" s="7257" t="s">
        <v>29</v>
      </c>
      <c r="E116" s="7258"/>
      <c r="F116" s="7259"/>
      <c r="G116" s="7243" t="s">
        <v>457</v>
      </c>
      <c r="H116" s="7244"/>
    </row>
    <row r="117" spans="1:57" ht="21" x14ac:dyDescent="0.25">
      <c r="B117" s="6739"/>
      <c r="C117" s="6739"/>
      <c r="D117" s="1109" t="s">
        <v>4406</v>
      </c>
      <c r="E117" s="982" t="s">
        <v>2410</v>
      </c>
      <c r="F117" s="1028" t="s">
        <v>2411</v>
      </c>
      <c r="G117" s="4437" t="s">
        <v>462</v>
      </c>
      <c r="H117" s="1178" t="s">
        <v>463</v>
      </c>
    </row>
    <row r="118" spans="1:57" x14ac:dyDescent="0.25">
      <c r="A118" s="5601">
        <v>29101382</v>
      </c>
      <c r="B118" s="4438" t="s">
        <v>751</v>
      </c>
      <c r="C118" s="1159" t="s">
        <v>4567</v>
      </c>
      <c r="D118" s="1081" t="s">
        <v>4568</v>
      </c>
      <c r="E118" s="750" t="s">
        <v>4569</v>
      </c>
      <c r="F118" s="4347" t="s">
        <v>4570</v>
      </c>
      <c r="G118" s="1294" t="s">
        <v>4571</v>
      </c>
      <c r="H118" s="1452" t="s">
        <v>4572</v>
      </c>
      <c r="I118" t="str">
        <f>AU118</f>
        <v xml:space="preserve"> * Trans Masculino no puede ser mayor al Total.</v>
      </c>
      <c r="AU118" s="4410" t="str">
        <f>IF(AND(C118&gt;0,G118=""),"* No olvide digitar la variable Trans Masculino. Digite cero si no tiene.",IF(G118&gt;C118," * Trans Masculino no puede ser mayor al Total.",""))</f>
        <v xml:space="preserve"> * Trans Masculino no puede ser mayor al Total.</v>
      </c>
      <c r="BD118" s="2673">
        <f>IF(AND(C118&gt;0,G118=""),1,IF(G118&gt;C118,1,0))</f>
        <v>1</v>
      </c>
    </row>
    <row r="119" spans="1:57" x14ac:dyDescent="0.25">
      <c r="A119" s="5601">
        <v>29101383</v>
      </c>
      <c r="B119" s="4439" t="s">
        <v>522</v>
      </c>
      <c r="C119" s="1163" t="s">
        <v>4567</v>
      </c>
      <c r="D119" s="1733" t="s">
        <v>4568</v>
      </c>
      <c r="E119" s="1258" t="s">
        <v>4569</v>
      </c>
      <c r="F119" s="557" t="s">
        <v>4570</v>
      </c>
      <c r="G119" s="4440" t="s">
        <v>4571</v>
      </c>
      <c r="H119" s="1115" t="s">
        <v>4572</v>
      </c>
      <c r="I119" t="str">
        <f>AV119</f>
        <v xml:space="preserve"> * Trans Femenino no puede ser mayor al Total.</v>
      </c>
      <c r="AV119" s="4410" t="str">
        <f>IF(AND(C119&gt;0,H119=""),"* No olvide digitar la variable Trans Femenino. Digite cero si no tiene.",IF(H119&gt;C119," * Trans Femenino no puede ser mayor al Total.",""))</f>
        <v xml:space="preserve"> * Trans Femenino no puede ser mayor al Total.</v>
      </c>
      <c r="BE119" s="2673">
        <f>IF(AND(C119&gt;0,H119=""),1,IF(H119&gt;C119,1,0))</f>
        <v>1</v>
      </c>
    </row>
    <row r="120" spans="1:57" x14ac:dyDescent="0.25">
      <c r="B120" s="4441" t="s">
        <v>2412</v>
      </c>
    </row>
    <row r="121" spans="1:57" ht="52.5" x14ac:dyDescent="0.25">
      <c r="B121" s="4264" t="s">
        <v>1635</v>
      </c>
      <c r="C121" s="4442" t="s">
        <v>2302</v>
      </c>
      <c r="D121" s="4443" t="s">
        <v>2413</v>
      </c>
      <c r="E121" s="4444" t="s">
        <v>2414</v>
      </c>
      <c r="F121" s="4445" t="s">
        <v>2415</v>
      </c>
      <c r="G121" s="4443" t="s">
        <v>2416</v>
      </c>
      <c r="H121" s="4444" t="s">
        <v>2417</v>
      </c>
      <c r="I121" s="4445" t="s">
        <v>2418</v>
      </c>
      <c r="J121" s="4446"/>
    </row>
    <row r="122" spans="1:57" x14ac:dyDescent="0.25">
      <c r="A122" s="5616"/>
      <c r="B122" s="4288" t="s">
        <v>77</v>
      </c>
      <c r="C122" s="4447">
        <f>SUM(C123:C124)</f>
        <v>0</v>
      </c>
      <c r="D122" s="4448">
        <f t="shared" ref="D122:I122" si="16">SUM(D123:D124)</f>
        <v>0</v>
      </c>
      <c r="E122" s="4449">
        <f t="shared" si="16"/>
        <v>0</v>
      </c>
      <c r="F122" s="4450">
        <f t="shared" si="16"/>
        <v>0</v>
      </c>
      <c r="G122" s="4448">
        <f t="shared" si="16"/>
        <v>0</v>
      </c>
      <c r="H122" s="4449">
        <f>SUM(H123:H124)</f>
        <v>0</v>
      </c>
      <c r="I122" s="4450">
        <f t="shared" si="16"/>
        <v>0</v>
      </c>
      <c r="J122" s="2149"/>
    </row>
    <row r="123" spans="1:57" x14ac:dyDescent="0.25">
      <c r="A123" s="5850">
        <v>21900235</v>
      </c>
      <c r="B123" s="4451" t="s">
        <v>2419</v>
      </c>
      <c r="C123" s="5852" t="s">
        <v>4567</v>
      </c>
      <c r="D123" s="5853" t="s">
        <v>4568</v>
      </c>
      <c r="E123" s="5854" t="s">
        <v>4569</v>
      </c>
      <c r="F123" s="5855" t="s">
        <v>4570</v>
      </c>
      <c r="G123" s="5853" t="s">
        <v>4571</v>
      </c>
      <c r="H123" s="5854" t="s">
        <v>4572</v>
      </c>
      <c r="I123" s="5855" t="s">
        <v>4573</v>
      </c>
      <c r="J123" s="4452"/>
    </row>
    <row r="124" spans="1:57" x14ac:dyDescent="0.25">
      <c r="A124" s="5850">
        <v>21900236</v>
      </c>
      <c r="B124" s="4453" t="s">
        <v>2420</v>
      </c>
      <c r="C124" s="5856" t="s">
        <v>4567</v>
      </c>
      <c r="D124" s="5857" t="s">
        <v>4568</v>
      </c>
      <c r="E124" s="5858" t="s">
        <v>4569</v>
      </c>
      <c r="F124" s="5859" t="s">
        <v>4570</v>
      </c>
      <c r="G124" s="5857" t="s">
        <v>4571</v>
      </c>
      <c r="H124" s="5858" t="s">
        <v>4572</v>
      </c>
      <c r="I124" s="5860" t="s">
        <v>4573</v>
      </c>
      <c r="J124" s="4452"/>
    </row>
    <row r="125" spans="1:57" x14ac:dyDescent="0.25">
      <c r="B125" s="4454" t="s">
        <v>2421</v>
      </c>
      <c r="C125" s="4455"/>
      <c r="D125" s="4455"/>
      <c r="E125" s="3211"/>
      <c r="F125" s="3211"/>
      <c r="G125" s="3211"/>
      <c r="H125" s="3211"/>
      <c r="I125" s="3211"/>
      <c r="J125" s="3211"/>
    </row>
    <row r="126" spans="1:57" ht="52.5" x14ac:dyDescent="0.25">
      <c r="A126" s="5613"/>
      <c r="B126" s="4283" t="s">
        <v>1635</v>
      </c>
      <c r="C126" s="4456" t="s">
        <v>2422</v>
      </c>
      <c r="D126" s="4457" t="s">
        <v>4403</v>
      </c>
      <c r="E126" s="4456" t="s">
        <v>2423</v>
      </c>
      <c r="F126" s="4457" t="s">
        <v>2424</v>
      </c>
      <c r="G126" s="4456" t="s">
        <v>2425</v>
      </c>
      <c r="H126" s="4457" t="s">
        <v>2426</v>
      </c>
      <c r="I126" s="4456" t="s">
        <v>2427</v>
      </c>
      <c r="J126" s="4458" t="s">
        <v>2428</v>
      </c>
    </row>
    <row r="127" spans="1:57" x14ac:dyDescent="0.25">
      <c r="A127" s="5851">
        <v>21900237</v>
      </c>
      <c r="B127" s="4408" t="s">
        <v>1433</v>
      </c>
      <c r="C127" s="4290" t="s">
        <v>4567</v>
      </c>
      <c r="D127" s="4391" t="s">
        <v>4568</v>
      </c>
      <c r="E127" s="4409" t="s">
        <v>4569</v>
      </c>
      <c r="F127" s="4331" t="s">
        <v>4570</v>
      </c>
      <c r="G127" s="4409" t="s">
        <v>4571</v>
      </c>
      <c r="H127" s="4331" t="s">
        <v>4572</v>
      </c>
      <c r="I127" s="4409" t="s">
        <v>4573</v>
      </c>
      <c r="J127" s="4331" t="s">
        <v>4574</v>
      </c>
    </row>
    <row r="128" spans="1:57" x14ac:dyDescent="0.25">
      <c r="A128" s="5850">
        <v>21900238</v>
      </c>
      <c r="B128" s="4459" t="s">
        <v>2392</v>
      </c>
      <c r="C128" s="4460" t="s">
        <v>4567</v>
      </c>
      <c r="D128" s="4461" t="s">
        <v>4568</v>
      </c>
      <c r="E128" s="4462" t="s">
        <v>4569</v>
      </c>
      <c r="F128" s="4415" t="s">
        <v>4570</v>
      </c>
      <c r="G128" s="4462" t="s">
        <v>4571</v>
      </c>
      <c r="H128" s="4415" t="s">
        <v>4572</v>
      </c>
      <c r="I128" s="4462" t="s">
        <v>4573</v>
      </c>
      <c r="J128" s="4463" t="s">
        <v>4574</v>
      </c>
    </row>
    <row r="129" spans="1:11" x14ac:dyDescent="0.25">
      <c r="A129" s="5850">
        <v>21900239</v>
      </c>
      <c r="B129" s="4459" t="s">
        <v>1232</v>
      </c>
      <c r="C129" s="4460" t="s">
        <v>4567</v>
      </c>
      <c r="D129" s="4461" t="s">
        <v>4568</v>
      </c>
      <c r="E129" s="4462" t="s">
        <v>4569</v>
      </c>
      <c r="F129" s="4415" t="s">
        <v>4570</v>
      </c>
      <c r="G129" s="4462" t="s">
        <v>4571</v>
      </c>
      <c r="H129" s="4415" t="s">
        <v>4572</v>
      </c>
      <c r="I129" s="4462" t="s">
        <v>4573</v>
      </c>
      <c r="J129" s="4331" t="s">
        <v>4574</v>
      </c>
    </row>
    <row r="130" spans="1:11" x14ac:dyDescent="0.25">
      <c r="A130" s="5850">
        <v>21900240</v>
      </c>
      <c r="B130" s="4459" t="s">
        <v>1220</v>
      </c>
      <c r="C130" s="4460" t="s">
        <v>4567</v>
      </c>
      <c r="D130" s="4461" t="s">
        <v>4568</v>
      </c>
      <c r="E130" s="4462" t="s">
        <v>4569</v>
      </c>
      <c r="F130" s="4415" t="s">
        <v>4570</v>
      </c>
      <c r="G130" s="4462" t="s">
        <v>4571</v>
      </c>
      <c r="H130" s="4415" t="s">
        <v>4572</v>
      </c>
      <c r="I130" s="4462" t="s">
        <v>4573</v>
      </c>
      <c r="J130" s="4331" t="s">
        <v>4574</v>
      </c>
    </row>
    <row r="131" spans="1:11" x14ac:dyDescent="0.25">
      <c r="A131" s="5850">
        <v>21900241</v>
      </c>
      <c r="B131" s="4459" t="s">
        <v>2393</v>
      </c>
      <c r="C131" s="4460" t="s">
        <v>4567</v>
      </c>
      <c r="D131" s="4461" t="s">
        <v>4568</v>
      </c>
      <c r="E131" s="4462" t="s">
        <v>4569</v>
      </c>
      <c r="F131" s="4415" t="s">
        <v>4570</v>
      </c>
      <c r="G131" s="4462" t="s">
        <v>4571</v>
      </c>
      <c r="H131" s="4415" t="s">
        <v>4572</v>
      </c>
      <c r="I131" s="4462" t="s">
        <v>4573</v>
      </c>
      <c r="J131" s="4331" t="s">
        <v>4574</v>
      </c>
    </row>
    <row r="132" spans="1:11" x14ac:dyDescent="0.25">
      <c r="A132" s="5850">
        <v>21900242</v>
      </c>
      <c r="B132" s="4459" t="s">
        <v>1238</v>
      </c>
      <c r="C132" s="4460" t="s">
        <v>4567</v>
      </c>
      <c r="D132" s="4461" t="s">
        <v>4568</v>
      </c>
      <c r="E132" s="4462" t="s">
        <v>4569</v>
      </c>
      <c r="F132" s="4415" t="s">
        <v>4570</v>
      </c>
      <c r="G132" s="4462" t="s">
        <v>4571</v>
      </c>
      <c r="H132" s="4415" t="s">
        <v>4572</v>
      </c>
      <c r="I132" s="4462" t="s">
        <v>4573</v>
      </c>
      <c r="J132" s="4331" t="s">
        <v>4574</v>
      </c>
    </row>
    <row r="133" spans="1:11" x14ac:dyDescent="0.25">
      <c r="A133" s="5850">
        <v>21900243</v>
      </c>
      <c r="B133" s="4459" t="s">
        <v>1237</v>
      </c>
      <c r="C133" s="4460" t="s">
        <v>4567</v>
      </c>
      <c r="D133" s="4461" t="s">
        <v>4568</v>
      </c>
      <c r="E133" s="4462" t="s">
        <v>4569</v>
      </c>
      <c r="F133" s="4415" t="s">
        <v>4570</v>
      </c>
      <c r="G133" s="4462" t="s">
        <v>4571</v>
      </c>
      <c r="H133" s="4415" t="s">
        <v>4572</v>
      </c>
      <c r="I133" s="4462" t="s">
        <v>4573</v>
      </c>
      <c r="J133" s="4331" t="s">
        <v>4574</v>
      </c>
    </row>
    <row r="134" spans="1:11" x14ac:dyDescent="0.25">
      <c r="A134" s="5850">
        <v>21900244</v>
      </c>
      <c r="B134" s="4459" t="s">
        <v>2394</v>
      </c>
      <c r="C134" s="4460" t="s">
        <v>4567</v>
      </c>
      <c r="D134" s="4461" t="s">
        <v>4568</v>
      </c>
      <c r="E134" s="4462" t="s">
        <v>4569</v>
      </c>
      <c r="F134" s="4415" t="s">
        <v>4570</v>
      </c>
      <c r="G134" s="4462" t="s">
        <v>4571</v>
      </c>
      <c r="H134" s="4415" t="s">
        <v>4572</v>
      </c>
      <c r="I134" s="4462" t="s">
        <v>4573</v>
      </c>
      <c r="J134" s="4331" t="s">
        <v>4574</v>
      </c>
    </row>
    <row r="135" spans="1:11" x14ac:dyDescent="0.25">
      <c r="A135" s="5850">
        <v>21900245</v>
      </c>
      <c r="B135" s="4459" t="s">
        <v>2395</v>
      </c>
      <c r="C135" s="4460" t="s">
        <v>4567</v>
      </c>
      <c r="D135" s="4461" t="s">
        <v>4568</v>
      </c>
      <c r="E135" s="4462" t="s">
        <v>4569</v>
      </c>
      <c r="F135" s="4415" t="s">
        <v>4570</v>
      </c>
      <c r="G135" s="4462" t="s">
        <v>4571</v>
      </c>
      <c r="H135" s="4415" t="s">
        <v>4572</v>
      </c>
      <c r="I135" s="4462" t="s">
        <v>4573</v>
      </c>
      <c r="J135" s="4331" t="s">
        <v>4574</v>
      </c>
    </row>
    <row r="136" spans="1:11" x14ac:dyDescent="0.25">
      <c r="A136" s="5850">
        <v>21900246</v>
      </c>
      <c r="B136" s="4459" t="s">
        <v>1431</v>
      </c>
      <c r="C136" s="4460" t="s">
        <v>4567</v>
      </c>
      <c r="D136" s="4461" t="s">
        <v>4568</v>
      </c>
      <c r="E136" s="4462" t="s">
        <v>4569</v>
      </c>
      <c r="F136" s="4415" t="s">
        <v>4570</v>
      </c>
      <c r="G136" s="4462" t="s">
        <v>4571</v>
      </c>
      <c r="H136" s="4415" t="s">
        <v>4572</v>
      </c>
      <c r="I136" s="4462" t="s">
        <v>4573</v>
      </c>
      <c r="J136" s="4331" t="s">
        <v>4574</v>
      </c>
    </row>
    <row r="137" spans="1:11" x14ac:dyDescent="0.25">
      <c r="A137" s="5850">
        <v>21900247</v>
      </c>
      <c r="B137" s="4459" t="s">
        <v>2396</v>
      </c>
      <c r="C137" s="4460" t="s">
        <v>4567</v>
      </c>
      <c r="D137" s="4461" t="s">
        <v>4568</v>
      </c>
      <c r="E137" s="4462" t="s">
        <v>4569</v>
      </c>
      <c r="F137" s="4415" t="s">
        <v>4570</v>
      </c>
      <c r="G137" s="4462" t="s">
        <v>4571</v>
      </c>
      <c r="H137" s="4415" t="s">
        <v>4572</v>
      </c>
      <c r="I137" s="4462" t="s">
        <v>4573</v>
      </c>
      <c r="J137" s="4331" t="s">
        <v>4574</v>
      </c>
    </row>
    <row r="138" spans="1:11" x14ac:dyDescent="0.25">
      <c r="A138" s="5850">
        <v>21900248</v>
      </c>
      <c r="B138" s="4459" t="s">
        <v>2429</v>
      </c>
      <c r="C138" s="4460" t="s">
        <v>4567</v>
      </c>
      <c r="D138" s="4461" t="s">
        <v>4568</v>
      </c>
      <c r="E138" s="4462" t="s">
        <v>4569</v>
      </c>
      <c r="F138" s="4415" t="s">
        <v>4570</v>
      </c>
      <c r="G138" s="4462" t="s">
        <v>4571</v>
      </c>
      <c r="H138" s="4415" t="s">
        <v>4572</v>
      </c>
      <c r="I138" s="4462" t="s">
        <v>4573</v>
      </c>
      <c r="J138" s="4464" t="s">
        <v>4574</v>
      </c>
    </row>
    <row r="139" spans="1:11" x14ac:dyDescent="0.25">
      <c r="A139" s="5616"/>
      <c r="B139" s="4465" t="s">
        <v>77</v>
      </c>
      <c r="C139" s="4466">
        <f t="shared" ref="C139:J139" si="17">SUM(C127:C138)</f>
        <v>0</v>
      </c>
      <c r="D139" s="4467">
        <f t="shared" si="17"/>
        <v>0</v>
      </c>
      <c r="E139" s="4466">
        <f t="shared" si="17"/>
        <v>0</v>
      </c>
      <c r="F139" s="4467">
        <f t="shared" si="17"/>
        <v>0</v>
      </c>
      <c r="G139" s="4466">
        <f t="shared" si="17"/>
        <v>0</v>
      </c>
      <c r="H139" s="4467">
        <f t="shared" si="17"/>
        <v>0</v>
      </c>
      <c r="I139" s="4466">
        <f t="shared" si="17"/>
        <v>0</v>
      </c>
      <c r="J139" s="4467">
        <f t="shared" si="17"/>
        <v>0</v>
      </c>
    </row>
    <row r="140" spans="1:11" x14ac:dyDescent="0.25">
      <c r="B140" s="4260" t="s">
        <v>2430</v>
      </c>
      <c r="C140" s="4436"/>
      <c r="D140" s="4436"/>
      <c r="E140" s="4436"/>
      <c r="F140" s="4436"/>
      <c r="G140" s="4436"/>
      <c r="H140" s="4436"/>
      <c r="I140" s="4436"/>
      <c r="J140" s="4436"/>
      <c r="K140" s="4436"/>
    </row>
    <row r="141" spans="1:11" x14ac:dyDescent="0.25">
      <c r="B141" s="7241" t="s">
        <v>2431</v>
      </c>
      <c r="C141" s="7247" t="s">
        <v>2358</v>
      </c>
      <c r="D141" s="7262" t="s">
        <v>2432</v>
      </c>
      <c r="E141" s="7262"/>
      <c r="F141" s="7262" t="s">
        <v>1349</v>
      </c>
      <c r="G141" s="7263"/>
      <c r="H141" s="7264" t="s">
        <v>2324</v>
      </c>
      <c r="I141" s="7222" t="s">
        <v>761</v>
      </c>
      <c r="J141" s="7265" t="s">
        <v>770</v>
      </c>
      <c r="K141" s="7260" t="s">
        <v>2323</v>
      </c>
    </row>
    <row r="142" spans="1:11" x14ac:dyDescent="0.25">
      <c r="B142" s="7241"/>
      <c r="C142" s="7247"/>
      <c r="D142" s="4468" t="s">
        <v>2433</v>
      </c>
      <c r="E142" s="4469" t="s">
        <v>59</v>
      </c>
      <c r="F142" s="4468" t="s">
        <v>2433</v>
      </c>
      <c r="G142" s="12" t="s">
        <v>59</v>
      </c>
      <c r="H142" s="7264"/>
      <c r="I142" s="7222"/>
      <c r="J142" s="7265"/>
      <c r="K142" s="7261"/>
    </row>
    <row r="143" spans="1:11" x14ac:dyDescent="0.25">
      <c r="A143" s="5850">
        <v>21900249</v>
      </c>
      <c r="B143" s="295" t="s">
        <v>2434</v>
      </c>
      <c r="C143" s="4470" t="s">
        <v>4567</v>
      </c>
      <c r="D143" s="4471" t="s">
        <v>4568</v>
      </c>
      <c r="E143" s="4472" t="s">
        <v>4569</v>
      </c>
      <c r="F143" s="4471" t="s">
        <v>4570</v>
      </c>
      <c r="G143" s="4473" t="s">
        <v>4571</v>
      </c>
      <c r="H143" s="4331" t="s">
        <v>4572</v>
      </c>
      <c r="I143" s="4474" t="s">
        <v>4573</v>
      </c>
      <c r="J143" s="4475" t="s">
        <v>4574</v>
      </c>
      <c r="K143" s="4476" t="s">
        <v>4575</v>
      </c>
    </row>
    <row r="144" spans="1:11" x14ac:dyDescent="0.25">
      <c r="A144" s="5850">
        <v>21900250</v>
      </c>
      <c r="B144" s="1162" t="s">
        <v>2435</v>
      </c>
      <c r="C144" s="4470" t="s">
        <v>4567</v>
      </c>
      <c r="D144" s="4477" t="s">
        <v>4568</v>
      </c>
      <c r="E144" s="4478" t="s">
        <v>4569</v>
      </c>
      <c r="F144" s="4477" t="s">
        <v>4570</v>
      </c>
      <c r="G144" s="4425" t="s">
        <v>4571</v>
      </c>
      <c r="H144" s="4331" t="s">
        <v>4572</v>
      </c>
      <c r="I144" s="4479" t="s">
        <v>4573</v>
      </c>
      <c r="J144" s="4480" t="s">
        <v>4574</v>
      </c>
      <c r="K144" s="4331" t="s">
        <v>4575</v>
      </c>
    </row>
    <row r="145" spans="1:11" x14ac:dyDescent="0.25">
      <c r="A145" s="5850">
        <v>21900251</v>
      </c>
      <c r="B145" s="1162" t="s">
        <v>2436</v>
      </c>
      <c r="C145" s="4470" t="s">
        <v>4567</v>
      </c>
      <c r="D145" s="4477" t="s">
        <v>4568</v>
      </c>
      <c r="E145" s="4478" t="s">
        <v>4569</v>
      </c>
      <c r="F145" s="4477" t="s">
        <v>4570</v>
      </c>
      <c r="G145" s="4425" t="s">
        <v>4571</v>
      </c>
      <c r="H145" s="4331" t="s">
        <v>4572</v>
      </c>
      <c r="I145" s="4479" t="s">
        <v>4573</v>
      </c>
      <c r="J145" s="4481" t="s">
        <v>4574</v>
      </c>
      <c r="K145" s="4476" t="s">
        <v>4575</v>
      </c>
    </row>
    <row r="146" spans="1:11" x14ac:dyDescent="0.25">
      <c r="A146" s="5850">
        <v>21900252</v>
      </c>
      <c r="B146" s="1162" t="s">
        <v>2437</v>
      </c>
      <c r="C146" s="4470" t="s">
        <v>4567</v>
      </c>
      <c r="D146" s="4477" t="s">
        <v>4568</v>
      </c>
      <c r="E146" s="4478" t="s">
        <v>4569</v>
      </c>
      <c r="F146" s="4477" t="s">
        <v>4570</v>
      </c>
      <c r="G146" s="4425" t="s">
        <v>4571</v>
      </c>
      <c r="H146" s="4331" t="s">
        <v>4572</v>
      </c>
      <c r="I146" s="4479" t="s">
        <v>4573</v>
      </c>
      <c r="J146" s="4481" t="s">
        <v>4574</v>
      </c>
      <c r="K146" s="4476" t="s">
        <v>4575</v>
      </c>
    </row>
    <row r="147" spans="1:11" x14ac:dyDescent="0.25">
      <c r="A147" s="5850">
        <v>21900253</v>
      </c>
      <c r="B147" s="1162" t="s">
        <v>2438</v>
      </c>
      <c r="C147" s="4470" t="s">
        <v>4567</v>
      </c>
      <c r="D147" s="4477" t="s">
        <v>4568</v>
      </c>
      <c r="E147" s="4478" t="s">
        <v>4569</v>
      </c>
      <c r="F147" s="4477" t="s">
        <v>4570</v>
      </c>
      <c r="G147" s="4425" t="s">
        <v>4571</v>
      </c>
      <c r="H147" s="4331" t="s">
        <v>4572</v>
      </c>
      <c r="I147" s="4479" t="s">
        <v>4573</v>
      </c>
      <c r="J147" s="4481" t="s">
        <v>4574</v>
      </c>
      <c r="K147" s="4476" t="s">
        <v>4575</v>
      </c>
    </row>
    <row r="148" spans="1:11" x14ac:dyDescent="0.25">
      <c r="A148" s="5850">
        <v>21900254</v>
      </c>
      <c r="B148" s="1162" t="s">
        <v>2439</v>
      </c>
      <c r="C148" s="4470" t="s">
        <v>4567</v>
      </c>
      <c r="D148" s="4477" t="s">
        <v>4568</v>
      </c>
      <c r="E148" s="4478" t="s">
        <v>4569</v>
      </c>
      <c r="F148" s="4477" t="s">
        <v>4570</v>
      </c>
      <c r="G148" s="4425" t="s">
        <v>4571</v>
      </c>
      <c r="H148" s="4331" t="s">
        <v>4572</v>
      </c>
      <c r="I148" s="4479" t="s">
        <v>4573</v>
      </c>
      <c r="J148" s="4481" t="s">
        <v>4574</v>
      </c>
      <c r="K148" s="4476" t="s">
        <v>4575</v>
      </c>
    </row>
    <row r="149" spans="1:11" x14ac:dyDescent="0.25">
      <c r="A149" s="5850">
        <v>21900255</v>
      </c>
      <c r="B149" s="1162" t="s">
        <v>2440</v>
      </c>
      <c r="C149" s="4470" t="s">
        <v>4567</v>
      </c>
      <c r="D149" s="4477" t="s">
        <v>4568</v>
      </c>
      <c r="E149" s="4478" t="s">
        <v>4569</v>
      </c>
      <c r="F149" s="4477" t="s">
        <v>4570</v>
      </c>
      <c r="G149" s="4425" t="s">
        <v>4571</v>
      </c>
      <c r="H149" s="4331" t="s">
        <v>4572</v>
      </c>
      <c r="I149" s="4479" t="s">
        <v>4573</v>
      </c>
      <c r="J149" s="4481" t="s">
        <v>4574</v>
      </c>
      <c r="K149" s="4476" t="s">
        <v>4575</v>
      </c>
    </row>
    <row r="150" spans="1:11" x14ac:dyDescent="0.25">
      <c r="A150" s="5850">
        <v>21900256</v>
      </c>
      <c r="B150" s="1162" t="s">
        <v>2441</v>
      </c>
      <c r="C150" s="4470" t="s">
        <v>4567</v>
      </c>
      <c r="D150" s="4477" t="s">
        <v>4568</v>
      </c>
      <c r="E150" s="4478" t="s">
        <v>4569</v>
      </c>
      <c r="F150" s="4477" t="s">
        <v>4570</v>
      </c>
      <c r="G150" s="4425" t="s">
        <v>4571</v>
      </c>
      <c r="H150" s="4331" t="s">
        <v>4572</v>
      </c>
      <c r="I150" s="4482" t="s">
        <v>4573</v>
      </c>
      <c r="J150" s="4481" t="s">
        <v>4574</v>
      </c>
      <c r="K150" s="4476" t="s">
        <v>4575</v>
      </c>
    </row>
    <row r="151" spans="1:11" x14ac:dyDescent="0.25">
      <c r="A151" s="5850">
        <v>21900257</v>
      </c>
      <c r="B151" s="1162" t="s">
        <v>2442</v>
      </c>
      <c r="C151" s="4470" t="s">
        <v>4567</v>
      </c>
      <c r="D151" s="4477" t="s">
        <v>4568</v>
      </c>
      <c r="E151" s="4478" t="s">
        <v>4569</v>
      </c>
      <c r="F151" s="4477" t="s">
        <v>4570</v>
      </c>
      <c r="G151" s="4425" t="s">
        <v>4571</v>
      </c>
      <c r="H151" s="4331" t="s">
        <v>4572</v>
      </c>
      <c r="I151" s="4482" t="s">
        <v>4573</v>
      </c>
      <c r="J151" s="4481" t="s">
        <v>4574</v>
      </c>
      <c r="K151" s="4476" t="s">
        <v>4575</v>
      </c>
    </row>
    <row r="152" spans="1:11" x14ac:dyDescent="0.25">
      <c r="A152" s="5616"/>
      <c r="B152" s="4465" t="s">
        <v>77</v>
      </c>
      <c r="C152" s="4467">
        <f>SUM(C143:C151)</f>
        <v>0</v>
      </c>
      <c r="D152" s="4466">
        <f t="shared" ref="D152:I152" si="18">SUM(D143:D151)</f>
        <v>0</v>
      </c>
      <c r="E152" s="4467">
        <f t="shared" si="18"/>
        <v>0</v>
      </c>
      <c r="F152" s="4466">
        <f t="shared" si="18"/>
        <v>0</v>
      </c>
      <c r="G152" s="4483">
        <f t="shared" si="18"/>
        <v>0</v>
      </c>
      <c r="H152" s="4484">
        <f t="shared" si="18"/>
        <v>0</v>
      </c>
      <c r="I152" s="4485">
        <f t="shared" si="18"/>
        <v>0</v>
      </c>
      <c r="J152" s="4486" t="str">
        <f>J144</f>
        <v>COL08</v>
      </c>
      <c r="K152" s="4467" t="str">
        <f>K144</f>
        <v>COL09</v>
      </c>
    </row>
    <row r="155" spans="1:11" x14ac:dyDescent="0.25">
      <c r="A155" t="s">
        <v>4566</v>
      </c>
    </row>
    <row r="156" spans="1:11" x14ac:dyDescent="0.25">
      <c r="A156" s="5850">
        <v>21900230</v>
      </c>
    </row>
    <row r="157" spans="1:11" x14ac:dyDescent="0.25">
      <c r="A157" s="5850">
        <v>21900231</v>
      </c>
    </row>
    <row r="158" spans="1:11" x14ac:dyDescent="0.25">
      <c r="A158" s="5850">
        <v>21900232</v>
      </c>
    </row>
    <row r="159" spans="1:11" x14ac:dyDescent="0.25">
      <c r="A159" s="5850">
        <v>21900233</v>
      </c>
    </row>
    <row r="160" spans="1:11" x14ac:dyDescent="0.25">
      <c r="A160" s="5850">
        <v>21900234</v>
      </c>
    </row>
    <row r="161" spans="1:1" x14ac:dyDescent="0.25">
      <c r="A161" s="5850">
        <v>21900235</v>
      </c>
    </row>
    <row r="162" spans="1:1" x14ac:dyDescent="0.25">
      <c r="A162" s="5850">
        <v>21900236</v>
      </c>
    </row>
    <row r="163" spans="1:1" x14ac:dyDescent="0.25">
      <c r="A163" s="5851">
        <v>21900237</v>
      </c>
    </row>
    <row r="164" spans="1:1" x14ac:dyDescent="0.25">
      <c r="A164" s="5850">
        <v>21900238</v>
      </c>
    </row>
    <row r="165" spans="1:1" x14ac:dyDescent="0.25">
      <c r="A165" s="5850">
        <v>21900239</v>
      </c>
    </row>
    <row r="166" spans="1:1" x14ac:dyDescent="0.25">
      <c r="A166" s="5850">
        <v>21900240</v>
      </c>
    </row>
    <row r="167" spans="1:1" x14ac:dyDescent="0.25">
      <c r="A167" s="5850">
        <v>21900241</v>
      </c>
    </row>
    <row r="168" spans="1:1" x14ac:dyDescent="0.25">
      <c r="A168" s="5850">
        <v>21900242</v>
      </c>
    </row>
    <row r="169" spans="1:1" x14ac:dyDescent="0.25">
      <c r="A169" s="5850">
        <v>21900243</v>
      </c>
    </row>
    <row r="170" spans="1:1" x14ac:dyDescent="0.25">
      <c r="A170" s="5850">
        <v>21900244</v>
      </c>
    </row>
    <row r="171" spans="1:1" x14ac:dyDescent="0.25">
      <c r="A171" s="5850">
        <v>21900245</v>
      </c>
    </row>
    <row r="172" spans="1:1" x14ac:dyDescent="0.25">
      <c r="A172" s="5850">
        <v>21900246</v>
      </c>
    </row>
    <row r="173" spans="1:1" x14ac:dyDescent="0.25">
      <c r="A173" s="5850">
        <v>21900247</v>
      </c>
    </row>
    <row r="174" spans="1:1" x14ac:dyDescent="0.25">
      <c r="A174" s="5850">
        <v>21900248</v>
      </c>
    </row>
    <row r="175" spans="1:1" x14ac:dyDescent="0.25">
      <c r="A175" s="5850">
        <v>21900249</v>
      </c>
    </row>
    <row r="176" spans="1:1" x14ac:dyDescent="0.25">
      <c r="A176" s="5850">
        <v>21900250</v>
      </c>
    </row>
    <row r="177" spans="1:1" x14ac:dyDescent="0.25">
      <c r="A177" s="5850">
        <v>21900251</v>
      </c>
    </row>
    <row r="178" spans="1:1" x14ac:dyDescent="0.25">
      <c r="A178" s="5850">
        <v>21900252</v>
      </c>
    </row>
    <row r="179" spans="1:1" x14ac:dyDescent="0.25">
      <c r="A179" s="5850">
        <v>21900253</v>
      </c>
    </row>
    <row r="180" spans="1:1" x14ac:dyDescent="0.25">
      <c r="A180" s="5850">
        <v>21900254</v>
      </c>
    </row>
    <row r="181" spans="1:1" x14ac:dyDescent="0.25">
      <c r="A181" s="5850">
        <v>21900255</v>
      </c>
    </row>
    <row r="182" spans="1:1" x14ac:dyDescent="0.25">
      <c r="A182" s="5850">
        <v>21900256</v>
      </c>
    </row>
    <row r="183" spans="1:1" x14ac:dyDescent="0.25">
      <c r="A183" s="5850">
        <v>21900257</v>
      </c>
    </row>
    <row r="204" spans="2:3" ht="15" hidden="1" customHeight="1" x14ac:dyDescent="0.25">
      <c r="B204" s="3032">
        <f>SUM(C13:G13,H13:K13,H14:H17,L13:AF13,L14:L17,Q14:Q17,V14:V17,AA14:AA17,AD14:AD17,C21:C25,D31:D37,C40:C48,C51:C53,C57:C59,G57:G59,C69:H69,C72:H76,D80:D84,C89:R101,C106:C113,C118:C119,C123:I124,C127:J138,C143:C151)</f>
        <v>0</v>
      </c>
      <c r="C204" s="3033" t="e">
        <f>SUM(BD31:BO119)</f>
        <v>#VALUE!</v>
      </c>
    </row>
  </sheetData>
  <mergeCells count="66">
    <mergeCell ref="AA9:AF9"/>
    <mergeCell ref="H10:K11"/>
    <mergeCell ref="L10:P11"/>
    <mergeCell ref="Q10:U11"/>
    <mergeCell ref="V10:Z11"/>
    <mergeCell ref="AA10:AC11"/>
    <mergeCell ref="AD10:AF11"/>
    <mergeCell ref="B78:B79"/>
    <mergeCell ref="B6:K6"/>
    <mergeCell ref="B9:B12"/>
    <mergeCell ref="C9:C12"/>
    <mergeCell ref="D9:D12"/>
    <mergeCell ref="E9:E12"/>
    <mergeCell ref="F9:F12"/>
    <mergeCell ref="G9:G12"/>
    <mergeCell ref="H9:Z9"/>
    <mergeCell ref="D29:D30"/>
    <mergeCell ref="B31:C31"/>
    <mergeCell ref="B33:C33"/>
    <mergeCell ref="B34:C34"/>
    <mergeCell ref="B32:C32"/>
    <mergeCell ref="B29:C30"/>
    <mergeCell ref="O29:P29"/>
    <mergeCell ref="O86:R86"/>
    <mergeCell ref="O87:P87"/>
    <mergeCell ref="Q87:R87"/>
    <mergeCell ref="K86:N86"/>
    <mergeCell ref="K87:L87"/>
    <mergeCell ref="M87:N87"/>
    <mergeCell ref="K141:K142"/>
    <mergeCell ref="B141:B142"/>
    <mergeCell ref="C141:C142"/>
    <mergeCell ref="D141:E141"/>
    <mergeCell ref="F141:G141"/>
    <mergeCell ref="H141:H142"/>
    <mergeCell ref="I141:I142"/>
    <mergeCell ref="J141:J142"/>
    <mergeCell ref="G116:H116"/>
    <mergeCell ref="G86:J86"/>
    <mergeCell ref="G87:H87"/>
    <mergeCell ref="I87:J87"/>
    <mergeCell ref="B103:H103"/>
    <mergeCell ref="B104:B105"/>
    <mergeCell ref="C104:H104"/>
    <mergeCell ref="B86:B88"/>
    <mergeCell ref="C86:D87"/>
    <mergeCell ref="E86:F87"/>
    <mergeCell ref="B116:B117"/>
    <mergeCell ref="C116:C117"/>
    <mergeCell ref="D116:F116"/>
    <mergeCell ref="I29:N29"/>
    <mergeCell ref="E29:H29"/>
    <mergeCell ref="G61:G62"/>
    <mergeCell ref="H61:H62"/>
    <mergeCell ref="B83:B84"/>
    <mergeCell ref="B77:F77"/>
    <mergeCell ref="B80:C80"/>
    <mergeCell ref="B81:B82"/>
    <mergeCell ref="B35:B36"/>
    <mergeCell ref="B37:C37"/>
    <mergeCell ref="C61:E61"/>
    <mergeCell ref="F61:F62"/>
    <mergeCell ref="E78:J78"/>
    <mergeCell ref="D78:D79"/>
    <mergeCell ref="C78:C79"/>
    <mergeCell ref="B61:B62"/>
  </mergeCells>
  <dataValidations count="9">
    <dataValidation type="whole" operator="greaterThanOrEqual" allowBlank="1" showInputMessage="1" showErrorMessage="1" sqref="D21:G25 C14:C17 F140:K140 D51:F54 C63:H68 D57:G59 C40:C48 D143:K151 E31:P37" xr:uid="{300E9C58-8FFA-4993-95DE-DC7295702BB8}">
      <formula1>0</formula1>
    </dataValidation>
    <dataValidation type="whole" allowBlank="1" showInputMessage="1" showErrorMessage="1" sqref="C56 D115:E115 B71:B76 F70:I70 C69:H71 D62:E62 B69 D60:E60 F61:G61 I72:J76" xr:uid="{BE2C6412-F33F-4326-8757-E386D733BE28}">
      <formula1>0</formula1>
      <formula2>1E+27</formula2>
    </dataValidation>
    <dataValidation type="whole" allowBlank="1" showInputMessage="1" showErrorMessage="1" sqref="E102:R102" xr:uid="{E0F4B51C-3269-40E5-A82B-99596B8146FB}">
      <formula1>0</formula1>
      <formula2>10000000</formula2>
    </dataValidation>
    <dataValidation allowBlank="1" showInputMessage="1" showErrorMessage="1" error="Valor no Permitido" sqref="B118 B115:B116 C115:C119 D115:F115" xr:uid="{75790A7C-7F1E-4FD3-827C-DF2B42D57376}"/>
    <dataValidation type="decimal" operator="greaterThanOrEqual" allowBlank="1" showInputMessage="1" showErrorMessage="1" sqref="AE14:AF17 AB14:AC17 I14:K17 M14:P17 R14:U17 W14:Z17 D14:G17 C122 C123:I124" xr:uid="{D0095CA6-AB27-4515-807D-B0BFE02E7EFD}">
      <formula1>0</formula1>
    </dataValidation>
    <dataValidation allowBlank="1" showInputMessage="1" showErrorMessage="1" sqref="B70" xr:uid="{BE85727B-6C18-401F-ABBD-B237D4DCEC92}"/>
    <dataValidation type="whole" allowBlank="1" showInputMessage="1" showErrorMessage="1" sqref="C127:J138" xr:uid="{16D2989F-800D-45DE-B57C-6C99FEA83F24}">
      <formula1>0</formula1>
      <formula2>9.99999999999999E+37</formula2>
    </dataValidation>
    <dataValidation type="whole" allowBlank="1" showInputMessage="1" showErrorMessage="1" sqref="C72:J76 E80:J84 C89:R101" xr:uid="{52F6CFE9-57B7-4669-A2C1-D4A884C95898}">
      <formula1>0</formula1>
      <formula2>9.99999999999999E+34</formula2>
    </dataValidation>
    <dataValidation type="whole" allowBlank="1" showInputMessage="1" showErrorMessage="1" sqref="D106:H113 D118:H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J215"/>
  <sheetViews>
    <sheetView showGridLines="0" zoomScaleNormal="100" workbookViewId="0"/>
  </sheetViews>
  <sheetFormatPr baseColWidth="10" defaultColWidth="11.42578125" defaultRowHeight="15" x14ac:dyDescent="0.25"/>
  <cols>
    <col min="1" max="1" width="19.5703125" customWidth="1"/>
    <col min="2" max="2" width="56.140625" customWidth="1"/>
    <col min="3" max="3" width="32.7109375" customWidth="1"/>
    <col min="4" max="4" width="19.85546875" customWidth="1"/>
    <col min="5" max="5" width="15.7109375" customWidth="1"/>
    <col min="6" max="6" width="13.42578125" customWidth="1"/>
    <col min="39" max="39" width="11.85546875" customWidth="1"/>
    <col min="42" max="42" width="14.28515625" customWidth="1"/>
    <col min="77" max="79" width="0" hidden="1" customWidth="1"/>
    <col min="80" max="88" width="11.42578125" hidden="1" customWidth="1"/>
    <col min="89" max="90" width="0" hidden="1" customWidth="1"/>
  </cols>
  <sheetData>
    <row r="1" spans="1:87" x14ac:dyDescent="0.25">
      <c r="B1" s="50" t="s">
        <v>23</v>
      </c>
    </row>
    <row r="2" spans="1:87" x14ac:dyDescent="0.25">
      <c r="B2" s="50" t="str">
        <f>CONCATENATE("COMUNA: ",NOMBRE!B2, " (",NOMBRE!C2,NOMBRE!D2,NOMBRE!E2,NOMBRE!F2,NOMBRE!G2,")")</f>
        <v>COMUNA:  ()</v>
      </c>
    </row>
    <row r="3" spans="1:87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87" x14ac:dyDescent="0.25">
      <c r="B4" s="50" t="str">
        <f>CONCATENATE("MES: ",NOMBRE!B6, " (",NOMBRE!C6,NOMBRE!D6,")")</f>
        <v>MES:  ()</v>
      </c>
    </row>
    <row r="5" spans="1:87" x14ac:dyDescent="0.25">
      <c r="B5" s="50" t="str">
        <f>CONCATENATE("AÑO: ",NOMBRE!B7)</f>
        <v>AÑO: 2025</v>
      </c>
    </row>
    <row r="6" spans="1:87" ht="18" customHeight="1" x14ac:dyDescent="0.25">
      <c r="B6" s="6087" t="s">
        <v>2443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</row>
    <row r="7" spans="1:87" ht="15" customHeight="1" x14ac:dyDescent="0.25"/>
    <row r="8" spans="1:87" s="25" customFormat="1" ht="18" customHeight="1" x14ac:dyDescent="0.15">
      <c r="B8" s="1" t="s">
        <v>2444</v>
      </c>
      <c r="C8" s="8"/>
    </row>
    <row r="9" spans="1:87" s="19" customFormat="1" ht="15" customHeight="1" x14ac:dyDescent="0.15">
      <c r="B9" s="7290" t="s">
        <v>2445</v>
      </c>
      <c r="C9" s="7327" t="s">
        <v>77</v>
      </c>
      <c r="D9" s="6761"/>
      <c r="E9" s="7319"/>
      <c r="F9" s="7330" t="s">
        <v>101</v>
      </c>
      <c r="G9" s="7366"/>
      <c r="H9" s="7366"/>
      <c r="I9" s="7366"/>
      <c r="J9" s="7366"/>
      <c r="K9" s="7366"/>
      <c r="L9" s="7366"/>
      <c r="M9" s="7366"/>
      <c r="N9" s="7366"/>
      <c r="O9" s="7366"/>
      <c r="P9" s="7366"/>
      <c r="Q9" s="7366"/>
      <c r="R9" s="7366"/>
      <c r="S9" s="7366"/>
      <c r="T9" s="7366"/>
      <c r="U9" s="7366"/>
      <c r="V9" s="7366"/>
      <c r="W9" s="7366"/>
      <c r="X9" s="7366"/>
      <c r="Y9" s="7366"/>
      <c r="Z9" s="7366"/>
      <c r="AA9" s="7366"/>
      <c r="AB9" s="7366"/>
      <c r="AC9" s="7366"/>
      <c r="AD9" s="7366"/>
      <c r="AE9" s="7366"/>
      <c r="AF9" s="7366"/>
      <c r="AG9" s="7366"/>
      <c r="AH9" s="7366"/>
      <c r="AI9" s="7366"/>
      <c r="AJ9" s="7366"/>
      <c r="AK9" s="7366"/>
      <c r="AL9" s="7366"/>
      <c r="AM9" s="7366"/>
      <c r="AN9" s="7366"/>
      <c r="AO9" s="7367"/>
      <c r="AP9" s="7306" t="s">
        <v>36</v>
      </c>
      <c r="AQ9" s="7305" t="s">
        <v>37</v>
      </c>
      <c r="AR9" s="7237" t="s">
        <v>473</v>
      </c>
    </row>
    <row r="10" spans="1:87" s="19" customFormat="1" ht="15" customHeight="1" x14ac:dyDescent="0.15">
      <c r="B10" s="6331"/>
      <c r="C10" s="6900"/>
      <c r="D10" s="6764"/>
      <c r="E10" s="7268"/>
      <c r="F10" s="7289" t="s">
        <v>4407</v>
      </c>
      <c r="G10" s="7290"/>
      <c r="H10" s="7299" t="s">
        <v>2446</v>
      </c>
      <c r="I10" s="7290"/>
      <c r="J10" s="7299" t="s">
        <v>2447</v>
      </c>
      <c r="K10" s="7290"/>
      <c r="L10" s="6510" t="s">
        <v>94</v>
      </c>
      <c r="M10" s="6491"/>
      <c r="N10" s="7289" t="s">
        <v>44</v>
      </c>
      <c r="O10" s="7290"/>
      <c r="P10" s="6510" t="s">
        <v>45</v>
      </c>
      <c r="Q10" s="6491"/>
      <c r="R10" s="7299" t="s">
        <v>46</v>
      </c>
      <c r="S10" s="7290"/>
      <c r="T10" s="7299" t="s">
        <v>47</v>
      </c>
      <c r="U10" s="7290"/>
      <c r="V10" s="7299" t="s">
        <v>48</v>
      </c>
      <c r="W10" s="7290"/>
      <c r="X10" s="6491" t="s">
        <v>49</v>
      </c>
      <c r="Y10" s="6491"/>
      <c r="Z10" s="7299" t="s">
        <v>50</v>
      </c>
      <c r="AA10" s="7290"/>
      <c r="AB10" s="6491" t="s">
        <v>51</v>
      </c>
      <c r="AC10" s="6491"/>
      <c r="AD10" s="7299" t="s">
        <v>52</v>
      </c>
      <c r="AE10" s="7290"/>
      <c r="AF10" s="6491" t="s">
        <v>53</v>
      </c>
      <c r="AG10" s="6491"/>
      <c r="AH10" s="7299" t="s">
        <v>54</v>
      </c>
      <c r="AI10" s="7290"/>
      <c r="AJ10" s="6491" t="s">
        <v>55</v>
      </c>
      <c r="AK10" s="6491"/>
      <c r="AL10" s="7299" t="s">
        <v>56</v>
      </c>
      <c r="AM10" s="7290"/>
      <c r="AN10" s="6491" t="s">
        <v>57</v>
      </c>
      <c r="AO10" s="7303"/>
      <c r="AP10" s="6034"/>
      <c r="AQ10" s="6386"/>
      <c r="AR10" s="6027"/>
    </row>
    <row r="11" spans="1:87" s="19" customFormat="1" ht="15" customHeight="1" x14ac:dyDescent="0.15">
      <c r="B11" s="6913"/>
      <c r="C11" s="922" t="s">
        <v>79</v>
      </c>
      <c r="D11" s="132" t="s">
        <v>58</v>
      </c>
      <c r="E11" s="23" t="s">
        <v>59</v>
      </c>
      <c r="F11" s="922" t="s">
        <v>58</v>
      </c>
      <c r="G11" s="915" t="s">
        <v>59</v>
      </c>
      <c r="H11" s="922" t="s">
        <v>58</v>
      </c>
      <c r="I11" s="915" t="s">
        <v>59</v>
      </c>
      <c r="J11" s="922" t="s">
        <v>58</v>
      </c>
      <c r="K11" s="915" t="s">
        <v>59</v>
      </c>
      <c r="L11" s="923" t="s">
        <v>58</v>
      </c>
      <c r="M11" s="716" t="s">
        <v>59</v>
      </c>
      <c r="N11" s="922" t="s">
        <v>58</v>
      </c>
      <c r="O11" s="915" t="s">
        <v>59</v>
      </c>
      <c r="P11" s="923" t="s">
        <v>58</v>
      </c>
      <c r="Q11" s="716" t="s">
        <v>59</v>
      </c>
      <c r="R11" s="922" t="s">
        <v>58</v>
      </c>
      <c r="S11" s="915" t="s">
        <v>59</v>
      </c>
      <c r="T11" s="922" t="s">
        <v>58</v>
      </c>
      <c r="U11" s="915" t="s">
        <v>59</v>
      </c>
      <c r="V11" s="922" t="s">
        <v>58</v>
      </c>
      <c r="W11" s="915" t="s">
        <v>59</v>
      </c>
      <c r="X11" s="923" t="s">
        <v>58</v>
      </c>
      <c r="Y11" s="716" t="s">
        <v>59</v>
      </c>
      <c r="Z11" s="922" t="s">
        <v>58</v>
      </c>
      <c r="AA11" s="915" t="s">
        <v>59</v>
      </c>
      <c r="AB11" s="923" t="s">
        <v>58</v>
      </c>
      <c r="AC11" s="716" t="s">
        <v>59</v>
      </c>
      <c r="AD11" s="922" t="s">
        <v>58</v>
      </c>
      <c r="AE11" s="915" t="s">
        <v>59</v>
      </c>
      <c r="AF11" s="923" t="s">
        <v>58</v>
      </c>
      <c r="AG11" s="716" t="s">
        <v>59</v>
      </c>
      <c r="AH11" s="922" t="s">
        <v>58</v>
      </c>
      <c r="AI11" s="915" t="s">
        <v>59</v>
      </c>
      <c r="AJ11" s="923" t="s">
        <v>58</v>
      </c>
      <c r="AK11" s="716" t="s">
        <v>59</v>
      </c>
      <c r="AL11" s="922" t="s">
        <v>58</v>
      </c>
      <c r="AM11" s="915" t="s">
        <v>59</v>
      </c>
      <c r="AN11" s="923" t="s">
        <v>58</v>
      </c>
      <c r="AO11" s="924" t="s">
        <v>59</v>
      </c>
      <c r="AP11" s="6035"/>
      <c r="AQ11" s="6086"/>
      <c r="AR11" s="6955"/>
    </row>
    <row r="12" spans="1:87" s="19" customFormat="1" ht="15" customHeight="1" x14ac:dyDescent="0.15">
      <c r="A12" s="5824">
        <v>23030100</v>
      </c>
      <c r="B12" s="925" t="s">
        <v>2448</v>
      </c>
      <c r="C12" s="926" t="s">
        <v>4567</v>
      </c>
      <c r="D12" s="927" t="s">
        <v>4568</v>
      </c>
      <c r="E12" s="928" t="s">
        <v>4569</v>
      </c>
      <c r="F12" s="929" t="s">
        <v>4570</v>
      </c>
      <c r="G12" s="930" t="s">
        <v>4571</v>
      </c>
      <c r="H12" s="929" t="s">
        <v>4572</v>
      </c>
      <c r="I12" s="867" t="s">
        <v>4573</v>
      </c>
      <c r="J12" s="929" t="s">
        <v>4574</v>
      </c>
      <c r="K12" s="867" t="s">
        <v>4575</v>
      </c>
      <c r="L12" s="931" t="s">
        <v>4576</v>
      </c>
      <c r="M12" s="932" t="s">
        <v>4577</v>
      </c>
      <c r="N12" s="929" t="s">
        <v>4578</v>
      </c>
      <c r="O12" s="867" t="s">
        <v>4579</v>
      </c>
      <c r="P12" s="931" t="s">
        <v>4580</v>
      </c>
      <c r="Q12" s="932" t="s">
        <v>4581</v>
      </c>
      <c r="R12" s="929" t="s">
        <v>4582</v>
      </c>
      <c r="S12" s="867" t="s">
        <v>4583</v>
      </c>
      <c r="T12" s="929" t="s">
        <v>4584</v>
      </c>
      <c r="U12" s="867" t="s">
        <v>4585</v>
      </c>
      <c r="V12" s="929" t="s">
        <v>4586</v>
      </c>
      <c r="W12" s="867" t="s">
        <v>4587</v>
      </c>
      <c r="X12" s="931" t="s">
        <v>4588</v>
      </c>
      <c r="Y12" s="932" t="s">
        <v>4589</v>
      </c>
      <c r="Z12" s="929" t="s">
        <v>4590</v>
      </c>
      <c r="AA12" s="867" t="s">
        <v>4591</v>
      </c>
      <c r="AB12" s="931" t="s">
        <v>4592</v>
      </c>
      <c r="AC12" s="932" t="s">
        <v>4593</v>
      </c>
      <c r="AD12" s="929" t="s">
        <v>4594</v>
      </c>
      <c r="AE12" s="867" t="s">
        <v>4595</v>
      </c>
      <c r="AF12" s="931" t="s">
        <v>4596</v>
      </c>
      <c r="AG12" s="932" t="s">
        <v>4597</v>
      </c>
      <c r="AH12" s="929" t="s">
        <v>4598</v>
      </c>
      <c r="AI12" s="867" t="s">
        <v>4599</v>
      </c>
      <c r="AJ12" s="931" t="s">
        <v>4600</v>
      </c>
      <c r="AK12" s="932" t="s">
        <v>4601</v>
      </c>
      <c r="AL12" s="929" t="s">
        <v>4602</v>
      </c>
      <c r="AM12" s="867" t="s">
        <v>4603</v>
      </c>
      <c r="AN12" s="933" t="s">
        <v>4604</v>
      </c>
      <c r="AO12" s="869" t="s">
        <v>4605</v>
      </c>
      <c r="AP12" s="934" t="s">
        <v>4606</v>
      </c>
      <c r="AQ12" s="935" t="s">
        <v>4934</v>
      </c>
      <c r="AR12" s="930" t="s">
        <v>4935</v>
      </c>
      <c r="AS12" s="19" t="str">
        <f>CB12&amp;CC12&amp;CD12</f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2" s="135" t="str">
        <f t="shared" ref="CB12:CB22" si="0">IF(AND(C12&gt;0,AP12="")," * No olvide digitar la variable Pueblos Originarios. Digite Cero si no tiene.",IF(AP12&gt;C12," * La variable Pueblos Originarios no puede ser mayor al Total Ambos Sexos.",""))</f>
        <v xml:space="preserve"> * La variable Pueblos Originarios no puede ser mayor al Total Ambos Sexos.</v>
      </c>
      <c r="CC12" s="135" t="str">
        <f t="shared" ref="CC12:CC22" si="1">IF(AND(C12&gt;0,AQ12="")," * No olvide digitar la variable Migrantes. Digite Cero si no tiene.",IF(AQ12&gt;C12," * La variable Migrantes no puede ser mayor al Total Ambos Sexos.",""))</f>
        <v xml:space="preserve"> * La variable Migrantes no puede ser mayor al Total Ambos Sexos.</v>
      </c>
      <c r="CD12" s="135" t="str">
        <f t="shared" ref="CD12:CD22" si="2">IF(AND(C12&gt;0,AR12="")," * No olvide digitar la variable Por Campaña de Invierno. Digite Cero si no tiene.",IF(AR12&gt;C12," * La variable Por Campaña de Invierno no puede ser mayor al Total Ambos Sexos.",""))</f>
        <v xml:space="preserve"> * La variable Por Campaña de Invierno no puede ser mayor al Total Ambos Sexos.</v>
      </c>
      <c r="CG12" s="84">
        <f t="shared" ref="CG12:CG22" si="3">IF(AND(C12&gt;0,AP12=""),1,IF(AP12&gt;C12,1,0))</f>
        <v>1</v>
      </c>
      <c r="CH12" s="84">
        <f t="shared" ref="CH12:CH22" si="4">IF(AND(C12&gt;0,AQ12=""),1,IF(AQ12&gt;C12,1,0))</f>
        <v>1</v>
      </c>
      <c r="CI12" s="84">
        <f t="shared" ref="CI12:CI22" si="5">IF(AND(C12&gt;0,AR12=""),1,IF(AR12&gt;C12,1,0))</f>
        <v>1</v>
      </c>
    </row>
    <row r="13" spans="1:87" s="19" customFormat="1" ht="15" customHeight="1" x14ac:dyDescent="0.15">
      <c r="A13" s="5818">
        <v>23030300</v>
      </c>
      <c r="B13" s="936" t="s">
        <v>2449</v>
      </c>
      <c r="C13" s="937" t="s">
        <v>4567</v>
      </c>
      <c r="D13" s="938" t="s">
        <v>4568</v>
      </c>
      <c r="E13" s="939" t="s">
        <v>4569</v>
      </c>
      <c r="F13" s="940" t="s">
        <v>4570</v>
      </c>
      <c r="G13" s="941" t="s">
        <v>4571</v>
      </c>
      <c r="H13" s="940" t="s">
        <v>4572</v>
      </c>
      <c r="I13" s="942" t="s">
        <v>4573</v>
      </c>
      <c r="J13" s="940" t="s">
        <v>4574</v>
      </c>
      <c r="K13" s="942" t="s">
        <v>4575</v>
      </c>
      <c r="L13" s="943" t="s">
        <v>4576</v>
      </c>
      <c r="M13" s="944" t="s">
        <v>4577</v>
      </c>
      <c r="N13" s="940" t="s">
        <v>4578</v>
      </c>
      <c r="O13" s="942" t="s">
        <v>4579</v>
      </c>
      <c r="P13" s="943" t="s">
        <v>4580</v>
      </c>
      <c r="Q13" s="944" t="s">
        <v>4581</v>
      </c>
      <c r="R13" s="940" t="s">
        <v>4582</v>
      </c>
      <c r="S13" s="942" t="s">
        <v>4583</v>
      </c>
      <c r="T13" s="940" t="s">
        <v>4584</v>
      </c>
      <c r="U13" s="942" t="s">
        <v>4585</v>
      </c>
      <c r="V13" s="940" t="s">
        <v>4586</v>
      </c>
      <c r="W13" s="942" t="s">
        <v>4587</v>
      </c>
      <c r="X13" s="943" t="s">
        <v>4588</v>
      </c>
      <c r="Y13" s="944" t="s">
        <v>4589</v>
      </c>
      <c r="Z13" s="940" t="s">
        <v>4590</v>
      </c>
      <c r="AA13" s="942" t="s">
        <v>4591</v>
      </c>
      <c r="AB13" s="943" t="s">
        <v>4592</v>
      </c>
      <c r="AC13" s="944" t="s">
        <v>4593</v>
      </c>
      <c r="AD13" s="940" t="s">
        <v>4594</v>
      </c>
      <c r="AE13" s="942" t="s">
        <v>4595</v>
      </c>
      <c r="AF13" s="943" t="s">
        <v>4596</v>
      </c>
      <c r="AG13" s="944" t="s">
        <v>4597</v>
      </c>
      <c r="AH13" s="940" t="s">
        <v>4598</v>
      </c>
      <c r="AI13" s="942" t="s">
        <v>4599</v>
      </c>
      <c r="AJ13" s="943" t="s">
        <v>4600</v>
      </c>
      <c r="AK13" s="944" t="s">
        <v>4601</v>
      </c>
      <c r="AL13" s="940" t="s">
        <v>4602</v>
      </c>
      <c r="AM13" s="942" t="s">
        <v>4603</v>
      </c>
      <c r="AN13" s="945" t="s">
        <v>4604</v>
      </c>
      <c r="AO13" s="946" t="s">
        <v>4605</v>
      </c>
      <c r="AP13" s="947" t="s">
        <v>4606</v>
      </c>
      <c r="AQ13" s="948" t="s">
        <v>4934</v>
      </c>
      <c r="AR13" s="941" t="s">
        <v>4935</v>
      </c>
      <c r="AS13" s="19" t="str">
        <f t="shared" ref="AS13:AS22" si="6">CB13&amp;CC13&amp;CD13</f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3" s="135" t="str">
        <f t="shared" si="0"/>
        <v xml:space="preserve"> * La variable Pueblos Originarios no puede ser mayor al Total Ambos Sexos.</v>
      </c>
      <c r="CC13" s="135" t="str">
        <f t="shared" si="1"/>
        <v xml:space="preserve"> * La variable Migrantes no puede ser mayor al Total Ambos Sexos.</v>
      </c>
      <c r="CD13" s="135" t="str">
        <f t="shared" si="2"/>
        <v xml:space="preserve"> * La variable Por Campaña de Invierno no puede ser mayor al Total Ambos Sexos.</v>
      </c>
      <c r="CG13" s="84">
        <f t="shared" si="3"/>
        <v>1</v>
      </c>
      <c r="CH13" s="84">
        <f t="shared" si="4"/>
        <v>1</v>
      </c>
      <c r="CI13" s="84">
        <f t="shared" si="5"/>
        <v>1</v>
      </c>
    </row>
    <row r="14" spans="1:87" s="19" customFormat="1" ht="15" customHeight="1" x14ac:dyDescent="0.15">
      <c r="A14" s="5818">
        <v>23030400</v>
      </c>
      <c r="B14" s="936" t="s">
        <v>479</v>
      </c>
      <c r="C14" s="937" t="s">
        <v>4567</v>
      </c>
      <c r="D14" s="938" t="s">
        <v>4568</v>
      </c>
      <c r="E14" s="939" t="s">
        <v>4569</v>
      </c>
      <c r="F14" s="940" t="s">
        <v>4570</v>
      </c>
      <c r="G14" s="941" t="s">
        <v>4571</v>
      </c>
      <c r="H14" s="940" t="s">
        <v>4572</v>
      </c>
      <c r="I14" s="942" t="s">
        <v>4573</v>
      </c>
      <c r="J14" s="940" t="s">
        <v>4574</v>
      </c>
      <c r="K14" s="942" t="s">
        <v>4575</v>
      </c>
      <c r="L14" s="943" t="s">
        <v>4576</v>
      </c>
      <c r="M14" s="944" t="s">
        <v>4577</v>
      </c>
      <c r="N14" s="940" t="s">
        <v>4578</v>
      </c>
      <c r="O14" s="942" t="s">
        <v>4579</v>
      </c>
      <c r="P14" s="943" t="s">
        <v>4580</v>
      </c>
      <c r="Q14" s="944" t="s">
        <v>4581</v>
      </c>
      <c r="R14" s="940" t="s">
        <v>4582</v>
      </c>
      <c r="S14" s="942" t="s">
        <v>4583</v>
      </c>
      <c r="T14" s="940" t="s">
        <v>4584</v>
      </c>
      <c r="U14" s="942" t="s">
        <v>4585</v>
      </c>
      <c r="V14" s="940" t="s">
        <v>4586</v>
      </c>
      <c r="W14" s="942" t="s">
        <v>4587</v>
      </c>
      <c r="X14" s="943" t="s">
        <v>4588</v>
      </c>
      <c r="Y14" s="944" t="s">
        <v>4589</v>
      </c>
      <c r="Z14" s="940" t="s">
        <v>4590</v>
      </c>
      <c r="AA14" s="942" t="s">
        <v>4591</v>
      </c>
      <c r="AB14" s="943" t="s">
        <v>4592</v>
      </c>
      <c r="AC14" s="944" t="s">
        <v>4593</v>
      </c>
      <c r="AD14" s="940" t="s">
        <v>4594</v>
      </c>
      <c r="AE14" s="942" t="s">
        <v>4595</v>
      </c>
      <c r="AF14" s="943" t="s">
        <v>4596</v>
      </c>
      <c r="AG14" s="944" t="s">
        <v>4597</v>
      </c>
      <c r="AH14" s="940" t="s">
        <v>4598</v>
      </c>
      <c r="AI14" s="942" t="s">
        <v>4599</v>
      </c>
      <c r="AJ14" s="943" t="s">
        <v>4600</v>
      </c>
      <c r="AK14" s="944" t="s">
        <v>4601</v>
      </c>
      <c r="AL14" s="940" t="s">
        <v>4602</v>
      </c>
      <c r="AM14" s="942" t="s">
        <v>4603</v>
      </c>
      <c r="AN14" s="945" t="s">
        <v>4604</v>
      </c>
      <c r="AO14" s="946" t="s">
        <v>4605</v>
      </c>
      <c r="AP14" s="947" t="s">
        <v>4606</v>
      </c>
      <c r="AQ14" s="948" t="s">
        <v>4934</v>
      </c>
      <c r="AR14" s="941" t="s">
        <v>4935</v>
      </c>
      <c r="AS14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4" s="135" t="str">
        <f t="shared" si="0"/>
        <v xml:space="preserve"> * La variable Pueblos Originarios no puede ser mayor al Total Ambos Sexos.</v>
      </c>
      <c r="CC14" s="135" t="str">
        <f t="shared" si="1"/>
        <v xml:space="preserve"> * La variable Migrantes no puede ser mayor al Total Ambos Sexos.</v>
      </c>
      <c r="CD14" s="135" t="str">
        <f t="shared" si="2"/>
        <v xml:space="preserve"> * La variable Por Campaña de Invierno no puede ser mayor al Total Ambos Sexos.</v>
      </c>
      <c r="CG14" s="84">
        <f t="shared" si="3"/>
        <v>1</v>
      </c>
      <c r="CH14" s="84">
        <f t="shared" si="4"/>
        <v>1</v>
      </c>
      <c r="CI14" s="84">
        <f t="shared" si="5"/>
        <v>1</v>
      </c>
    </row>
    <row r="15" spans="1:87" s="19" customFormat="1" ht="15" customHeight="1" x14ac:dyDescent="0.15">
      <c r="A15" s="5818">
        <v>23030500</v>
      </c>
      <c r="B15" s="936" t="s">
        <v>2450</v>
      </c>
      <c r="C15" s="937" t="s">
        <v>4567</v>
      </c>
      <c r="D15" s="938" t="s">
        <v>4568</v>
      </c>
      <c r="E15" s="939" t="s">
        <v>4569</v>
      </c>
      <c r="F15" s="940" t="s">
        <v>4570</v>
      </c>
      <c r="G15" s="941" t="s">
        <v>4571</v>
      </c>
      <c r="H15" s="940" t="s">
        <v>4572</v>
      </c>
      <c r="I15" s="942" t="s">
        <v>4573</v>
      </c>
      <c r="J15" s="940" t="s">
        <v>4574</v>
      </c>
      <c r="K15" s="942" t="s">
        <v>4575</v>
      </c>
      <c r="L15" s="943" t="s">
        <v>4576</v>
      </c>
      <c r="M15" s="944" t="s">
        <v>4577</v>
      </c>
      <c r="N15" s="940" t="s">
        <v>4578</v>
      </c>
      <c r="O15" s="942" t="s">
        <v>4579</v>
      </c>
      <c r="P15" s="943" t="s">
        <v>4580</v>
      </c>
      <c r="Q15" s="944" t="s">
        <v>4581</v>
      </c>
      <c r="R15" s="940" t="s">
        <v>4582</v>
      </c>
      <c r="S15" s="942" t="s">
        <v>4583</v>
      </c>
      <c r="T15" s="940" t="s">
        <v>4584</v>
      </c>
      <c r="U15" s="942" t="s">
        <v>4585</v>
      </c>
      <c r="V15" s="940" t="s">
        <v>4586</v>
      </c>
      <c r="W15" s="942" t="s">
        <v>4587</v>
      </c>
      <c r="X15" s="943" t="s">
        <v>4588</v>
      </c>
      <c r="Y15" s="944" t="s">
        <v>4589</v>
      </c>
      <c r="Z15" s="940" t="s">
        <v>4590</v>
      </c>
      <c r="AA15" s="942" t="s">
        <v>4591</v>
      </c>
      <c r="AB15" s="943" t="s">
        <v>4592</v>
      </c>
      <c r="AC15" s="944" t="s">
        <v>4593</v>
      </c>
      <c r="AD15" s="940" t="s">
        <v>4594</v>
      </c>
      <c r="AE15" s="942" t="s">
        <v>4595</v>
      </c>
      <c r="AF15" s="943" t="s">
        <v>4596</v>
      </c>
      <c r="AG15" s="944" t="s">
        <v>4597</v>
      </c>
      <c r="AH15" s="940" t="s">
        <v>4598</v>
      </c>
      <c r="AI15" s="942" t="s">
        <v>4599</v>
      </c>
      <c r="AJ15" s="943" t="s">
        <v>4600</v>
      </c>
      <c r="AK15" s="944" t="s">
        <v>4601</v>
      </c>
      <c r="AL15" s="940" t="s">
        <v>4602</v>
      </c>
      <c r="AM15" s="942" t="s">
        <v>4603</v>
      </c>
      <c r="AN15" s="945" t="s">
        <v>4604</v>
      </c>
      <c r="AO15" s="946" t="s">
        <v>4605</v>
      </c>
      <c r="AP15" s="947" t="s">
        <v>4606</v>
      </c>
      <c r="AQ15" s="948" t="s">
        <v>4934</v>
      </c>
      <c r="AR15" s="941" t="s">
        <v>4935</v>
      </c>
      <c r="AS15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5" s="135" t="str">
        <f t="shared" si="0"/>
        <v xml:space="preserve"> * La variable Pueblos Originarios no puede ser mayor al Total Ambos Sexos.</v>
      </c>
      <c r="CC15" s="135" t="str">
        <f t="shared" si="1"/>
        <v xml:space="preserve"> * La variable Migrantes no puede ser mayor al Total Ambos Sexos.</v>
      </c>
      <c r="CD15" s="135" t="str">
        <f t="shared" si="2"/>
        <v xml:space="preserve"> * La variable Por Campaña de Invierno no puede ser mayor al Total Ambos Sexos.</v>
      </c>
      <c r="CG15" s="84">
        <f t="shared" si="3"/>
        <v>1</v>
      </c>
      <c r="CH15" s="84">
        <f t="shared" si="4"/>
        <v>1</v>
      </c>
      <c r="CI15" s="84">
        <f t="shared" si="5"/>
        <v>1</v>
      </c>
    </row>
    <row r="16" spans="1:87" s="19" customFormat="1" ht="15" customHeight="1" x14ac:dyDescent="0.15">
      <c r="A16" s="5818">
        <v>23042000</v>
      </c>
      <c r="B16" s="949" t="s">
        <v>2451</v>
      </c>
      <c r="C16" s="950" t="s">
        <v>4567</v>
      </c>
      <c r="D16" s="951" t="s">
        <v>4568</v>
      </c>
      <c r="E16" s="939" t="s">
        <v>4569</v>
      </c>
      <c r="F16" s="940" t="s">
        <v>4570</v>
      </c>
      <c r="G16" s="941" t="s">
        <v>4571</v>
      </c>
      <c r="H16" s="940" t="s">
        <v>4572</v>
      </c>
      <c r="I16" s="942" t="s">
        <v>4573</v>
      </c>
      <c r="J16" s="940" t="s">
        <v>4574</v>
      </c>
      <c r="K16" s="942" t="s">
        <v>4575</v>
      </c>
      <c r="L16" s="943" t="s">
        <v>4576</v>
      </c>
      <c r="M16" s="944" t="s">
        <v>4577</v>
      </c>
      <c r="N16" s="940" t="s">
        <v>4578</v>
      </c>
      <c r="O16" s="942" t="s">
        <v>4579</v>
      </c>
      <c r="P16" s="943" t="s">
        <v>4580</v>
      </c>
      <c r="Q16" s="944" t="s">
        <v>4581</v>
      </c>
      <c r="R16" s="940" t="s">
        <v>4582</v>
      </c>
      <c r="S16" s="942" t="s">
        <v>4583</v>
      </c>
      <c r="T16" s="940" t="s">
        <v>4584</v>
      </c>
      <c r="U16" s="942" t="s">
        <v>4585</v>
      </c>
      <c r="V16" s="940" t="s">
        <v>4586</v>
      </c>
      <c r="W16" s="942" t="s">
        <v>4587</v>
      </c>
      <c r="X16" s="943" t="s">
        <v>4588</v>
      </c>
      <c r="Y16" s="944" t="s">
        <v>4589</v>
      </c>
      <c r="Z16" s="940" t="s">
        <v>4590</v>
      </c>
      <c r="AA16" s="942" t="s">
        <v>4591</v>
      </c>
      <c r="AB16" s="943" t="s">
        <v>4592</v>
      </c>
      <c r="AC16" s="944" t="s">
        <v>4593</v>
      </c>
      <c r="AD16" s="940" t="s">
        <v>4594</v>
      </c>
      <c r="AE16" s="942" t="s">
        <v>4595</v>
      </c>
      <c r="AF16" s="943" t="s">
        <v>4596</v>
      </c>
      <c r="AG16" s="944" t="s">
        <v>4597</v>
      </c>
      <c r="AH16" s="940" t="s">
        <v>4598</v>
      </c>
      <c r="AI16" s="942" t="s">
        <v>4599</v>
      </c>
      <c r="AJ16" s="943" t="s">
        <v>4600</v>
      </c>
      <c r="AK16" s="944" t="s">
        <v>4601</v>
      </c>
      <c r="AL16" s="940" t="s">
        <v>4602</v>
      </c>
      <c r="AM16" s="942" t="s">
        <v>4603</v>
      </c>
      <c r="AN16" s="945" t="s">
        <v>4604</v>
      </c>
      <c r="AO16" s="946" t="s">
        <v>4605</v>
      </c>
      <c r="AP16" s="947" t="s">
        <v>4606</v>
      </c>
      <c r="AQ16" s="948" t="s">
        <v>4934</v>
      </c>
      <c r="AR16" s="941" t="s">
        <v>4935</v>
      </c>
      <c r="AS16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6" s="135" t="str">
        <f t="shared" si="0"/>
        <v xml:space="preserve"> * La variable Pueblos Originarios no puede ser mayor al Total Ambos Sexos.</v>
      </c>
      <c r="CC16" s="135" t="str">
        <f t="shared" si="1"/>
        <v xml:space="preserve"> * La variable Migrantes no puede ser mayor al Total Ambos Sexos.</v>
      </c>
      <c r="CD16" s="135" t="str">
        <f t="shared" si="2"/>
        <v xml:space="preserve"> * La variable Por Campaña de Invierno no puede ser mayor al Total Ambos Sexos.</v>
      </c>
      <c r="CG16" s="84">
        <f t="shared" si="3"/>
        <v>1</v>
      </c>
      <c r="CH16" s="84">
        <f t="shared" si="4"/>
        <v>1</v>
      </c>
      <c r="CI16" s="84">
        <f t="shared" si="5"/>
        <v>1</v>
      </c>
    </row>
    <row r="17" spans="1:87" s="19" customFormat="1" ht="15" customHeight="1" x14ac:dyDescent="0.15">
      <c r="A17" s="5818">
        <v>23090410</v>
      </c>
      <c r="B17" s="952" t="s">
        <v>2452</v>
      </c>
      <c r="C17" s="937" t="s">
        <v>4567</v>
      </c>
      <c r="D17" s="938" t="s">
        <v>4568</v>
      </c>
      <c r="E17" s="939" t="s">
        <v>4569</v>
      </c>
      <c r="F17" s="940" t="s">
        <v>4570</v>
      </c>
      <c r="G17" s="941" t="s">
        <v>4571</v>
      </c>
      <c r="H17" s="940" t="s">
        <v>4572</v>
      </c>
      <c r="I17" s="942" t="s">
        <v>4573</v>
      </c>
      <c r="J17" s="940" t="s">
        <v>4574</v>
      </c>
      <c r="K17" s="942" t="s">
        <v>4575</v>
      </c>
      <c r="L17" s="943" t="s">
        <v>4576</v>
      </c>
      <c r="M17" s="944" t="s">
        <v>4577</v>
      </c>
      <c r="N17" s="940" t="s">
        <v>4578</v>
      </c>
      <c r="O17" s="942" t="s">
        <v>4579</v>
      </c>
      <c r="P17" s="943" t="s">
        <v>4580</v>
      </c>
      <c r="Q17" s="944" t="s">
        <v>4581</v>
      </c>
      <c r="R17" s="940" t="s">
        <v>4582</v>
      </c>
      <c r="S17" s="942" t="s">
        <v>4583</v>
      </c>
      <c r="T17" s="940" t="s">
        <v>4584</v>
      </c>
      <c r="U17" s="942" t="s">
        <v>4585</v>
      </c>
      <c r="V17" s="940" t="s">
        <v>4586</v>
      </c>
      <c r="W17" s="942" t="s">
        <v>4587</v>
      </c>
      <c r="X17" s="943" t="s">
        <v>4588</v>
      </c>
      <c r="Y17" s="944" t="s">
        <v>4589</v>
      </c>
      <c r="Z17" s="940" t="s">
        <v>4590</v>
      </c>
      <c r="AA17" s="942" t="s">
        <v>4591</v>
      </c>
      <c r="AB17" s="943" t="s">
        <v>4592</v>
      </c>
      <c r="AC17" s="944" t="s">
        <v>4593</v>
      </c>
      <c r="AD17" s="940" t="s">
        <v>4594</v>
      </c>
      <c r="AE17" s="942" t="s">
        <v>4595</v>
      </c>
      <c r="AF17" s="943" t="s">
        <v>4596</v>
      </c>
      <c r="AG17" s="944" t="s">
        <v>4597</v>
      </c>
      <c r="AH17" s="940" t="s">
        <v>4598</v>
      </c>
      <c r="AI17" s="942" t="s">
        <v>4599</v>
      </c>
      <c r="AJ17" s="943" t="s">
        <v>4600</v>
      </c>
      <c r="AK17" s="944" t="s">
        <v>4601</v>
      </c>
      <c r="AL17" s="940" t="s">
        <v>4602</v>
      </c>
      <c r="AM17" s="942" t="s">
        <v>4603</v>
      </c>
      <c r="AN17" s="945" t="s">
        <v>4604</v>
      </c>
      <c r="AO17" s="946" t="s">
        <v>4605</v>
      </c>
      <c r="AP17" s="947" t="s">
        <v>4606</v>
      </c>
      <c r="AQ17" s="948" t="s">
        <v>4934</v>
      </c>
      <c r="AR17" s="941" t="s">
        <v>4935</v>
      </c>
      <c r="AS17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7" s="135" t="str">
        <f t="shared" si="0"/>
        <v xml:space="preserve"> * La variable Pueblos Originarios no puede ser mayor al Total Ambos Sexos.</v>
      </c>
      <c r="CC17" s="135" t="str">
        <f t="shared" si="1"/>
        <v xml:space="preserve"> * La variable Migrantes no puede ser mayor al Total Ambos Sexos.</v>
      </c>
      <c r="CD17" s="135" t="str">
        <f t="shared" si="2"/>
        <v xml:space="preserve"> * La variable Por Campaña de Invierno no puede ser mayor al Total Ambos Sexos.</v>
      </c>
      <c r="CG17" s="84">
        <f t="shared" si="3"/>
        <v>1</v>
      </c>
      <c r="CH17" s="84">
        <f t="shared" si="4"/>
        <v>1</v>
      </c>
      <c r="CI17" s="84">
        <f t="shared" si="5"/>
        <v>1</v>
      </c>
    </row>
    <row r="18" spans="1:87" s="19" customFormat="1" ht="15" customHeight="1" x14ac:dyDescent="0.15">
      <c r="A18" s="5818" t="s">
        <v>6022</v>
      </c>
      <c r="B18" s="953" t="s">
        <v>2453</v>
      </c>
      <c r="C18" s="950" t="s">
        <v>4567</v>
      </c>
      <c r="D18" s="951" t="s">
        <v>4568</v>
      </c>
      <c r="E18" s="939" t="s">
        <v>4569</v>
      </c>
      <c r="F18" s="940" t="s">
        <v>4570</v>
      </c>
      <c r="G18" s="941" t="s">
        <v>4571</v>
      </c>
      <c r="H18" s="940" t="s">
        <v>4572</v>
      </c>
      <c r="I18" s="942" t="s">
        <v>4573</v>
      </c>
      <c r="J18" s="954" t="s">
        <v>4574</v>
      </c>
      <c r="K18" s="955" t="s">
        <v>4575</v>
      </c>
      <c r="L18" s="956" t="s">
        <v>4576</v>
      </c>
      <c r="M18" s="957" t="s">
        <v>4577</v>
      </c>
      <c r="N18" s="954" t="s">
        <v>4578</v>
      </c>
      <c r="O18" s="955" t="s">
        <v>4579</v>
      </c>
      <c r="P18" s="956" t="s">
        <v>4580</v>
      </c>
      <c r="Q18" s="957" t="s">
        <v>4581</v>
      </c>
      <c r="R18" s="954" t="s">
        <v>4582</v>
      </c>
      <c r="S18" s="955" t="s">
        <v>4583</v>
      </c>
      <c r="T18" s="954" t="s">
        <v>4584</v>
      </c>
      <c r="U18" s="955" t="s">
        <v>4585</v>
      </c>
      <c r="V18" s="954" t="s">
        <v>4586</v>
      </c>
      <c r="W18" s="955" t="s">
        <v>4587</v>
      </c>
      <c r="X18" s="956" t="s">
        <v>4588</v>
      </c>
      <c r="Y18" s="957" t="s">
        <v>4589</v>
      </c>
      <c r="Z18" s="954" t="s">
        <v>4590</v>
      </c>
      <c r="AA18" s="955" t="s">
        <v>4591</v>
      </c>
      <c r="AB18" s="956" t="s">
        <v>4592</v>
      </c>
      <c r="AC18" s="957" t="s">
        <v>4593</v>
      </c>
      <c r="AD18" s="954" t="s">
        <v>4594</v>
      </c>
      <c r="AE18" s="955" t="s">
        <v>4595</v>
      </c>
      <c r="AF18" s="956" t="s">
        <v>4596</v>
      </c>
      <c r="AG18" s="957" t="s">
        <v>4597</v>
      </c>
      <c r="AH18" s="954" t="s">
        <v>4598</v>
      </c>
      <c r="AI18" s="955" t="s">
        <v>4599</v>
      </c>
      <c r="AJ18" s="956" t="s">
        <v>4600</v>
      </c>
      <c r="AK18" s="957" t="s">
        <v>4601</v>
      </c>
      <c r="AL18" s="954" t="s">
        <v>4602</v>
      </c>
      <c r="AM18" s="955" t="s">
        <v>4603</v>
      </c>
      <c r="AN18" s="958" t="s">
        <v>4604</v>
      </c>
      <c r="AO18" s="959" t="s">
        <v>4605</v>
      </c>
      <c r="AP18" s="947" t="s">
        <v>4606</v>
      </c>
      <c r="AQ18" s="948" t="s">
        <v>4934</v>
      </c>
      <c r="AR18" s="941" t="s">
        <v>4935</v>
      </c>
      <c r="AS18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8" s="135" t="str">
        <f t="shared" si="0"/>
        <v xml:space="preserve"> * La variable Pueblos Originarios no puede ser mayor al Total Ambos Sexos.</v>
      </c>
      <c r="CC18" s="135" t="str">
        <f t="shared" si="1"/>
        <v xml:space="preserve"> * La variable Migrantes no puede ser mayor al Total Ambos Sexos.</v>
      </c>
      <c r="CD18" s="135" t="str">
        <f t="shared" si="2"/>
        <v xml:space="preserve"> * La variable Por Campaña de Invierno no puede ser mayor al Total Ambos Sexos.</v>
      </c>
      <c r="CG18" s="84">
        <f t="shared" si="3"/>
        <v>1</v>
      </c>
      <c r="CH18" s="84">
        <f t="shared" si="4"/>
        <v>1</v>
      </c>
      <c r="CI18" s="84">
        <f t="shared" si="5"/>
        <v>1</v>
      </c>
    </row>
    <row r="19" spans="1:87" s="19" customFormat="1" ht="15" customHeight="1" x14ac:dyDescent="0.15">
      <c r="A19" s="5818">
        <v>23042100</v>
      </c>
      <c r="B19" s="952" t="s">
        <v>2454</v>
      </c>
      <c r="C19" s="937" t="s">
        <v>4567</v>
      </c>
      <c r="D19" s="938" t="s">
        <v>4568</v>
      </c>
      <c r="E19" s="939" t="s">
        <v>4569</v>
      </c>
      <c r="F19" s="954" t="s">
        <v>4570</v>
      </c>
      <c r="G19" s="960" t="s">
        <v>4571</v>
      </c>
      <c r="H19" s="940" t="s">
        <v>4572</v>
      </c>
      <c r="I19" s="942" t="s">
        <v>4573</v>
      </c>
      <c r="J19" s="940" t="s">
        <v>4574</v>
      </c>
      <c r="K19" s="942" t="s">
        <v>4575</v>
      </c>
      <c r="L19" s="943" t="s">
        <v>4576</v>
      </c>
      <c r="M19" s="944" t="s">
        <v>4577</v>
      </c>
      <c r="N19" s="940" t="s">
        <v>4578</v>
      </c>
      <c r="O19" s="942" t="s">
        <v>4579</v>
      </c>
      <c r="P19" s="943" t="s">
        <v>4580</v>
      </c>
      <c r="Q19" s="944" t="s">
        <v>4581</v>
      </c>
      <c r="R19" s="940" t="s">
        <v>4582</v>
      </c>
      <c r="S19" s="942" t="s">
        <v>4583</v>
      </c>
      <c r="T19" s="940" t="s">
        <v>4584</v>
      </c>
      <c r="U19" s="942" t="s">
        <v>4585</v>
      </c>
      <c r="V19" s="940" t="s">
        <v>4586</v>
      </c>
      <c r="W19" s="942" t="s">
        <v>4587</v>
      </c>
      <c r="X19" s="943" t="s">
        <v>4588</v>
      </c>
      <c r="Y19" s="944" t="s">
        <v>4589</v>
      </c>
      <c r="Z19" s="940" t="s">
        <v>4590</v>
      </c>
      <c r="AA19" s="942" t="s">
        <v>4591</v>
      </c>
      <c r="AB19" s="943" t="s">
        <v>4592</v>
      </c>
      <c r="AC19" s="944" t="s">
        <v>4593</v>
      </c>
      <c r="AD19" s="940" t="s">
        <v>4594</v>
      </c>
      <c r="AE19" s="942" t="s">
        <v>4595</v>
      </c>
      <c r="AF19" s="943" t="s">
        <v>4596</v>
      </c>
      <c r="AG19" s="944" t="s">
        <v>4597</v>
      </c>
      <c r="AH19" s="940" t="s">
        <v>4598</v>
      </c>
      <c r="AI19" s="942" t="s">
        <v>4599</v>
      </c>
      <c r="AJ19" s="943" t="s">
        <v>4600</v>
      </c>
      <c r="AK19" s="944" t="s">
        <v>4601</v>
      </c>
      <c r="AL19" s="940" t="s">
        <v>4602</v>
      </c>
      <c r="AM19" s="942" t="s">
        <v>4603</v>
      </c>
      <c r="AN19" s="945" t="s">
        <v>4604</v>
      </c>
      <c r="AO19" s="946" t="s">
        <v>4605</v>
      </c>
      <c r="AP19" s="947" t="s">
        <v>4606</v>
      </c>
      <c r="AQ19" s="948" t="s">
        <v>4934</v>
      </c>
      <c r="AR19" s="941" t="s">
        <v>4935</v>
      </c>
      <c r="AS19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9" s="135" t="str">
        <f t="shared" si="0"/>
        <v xml:space="preserve"> * La variable Pueblos Originarios no puede ser mayor al Total Ambos Sexos.</v>
      </c>
      <c r="CC19" s="135" t="str">
        <f t="shared" si="1"/>
        <v xml:space="preserve"> * La variable Migrantes no puede ser mayor al Total Ambos Sexos.</v>
      </c>
      <c r="CD19" s="135" t="str">
        <f t="shared" si="2"/>
        <v xml:space="preserve"> * La variable Por Campaña de Invierno no puede ser mayor al Total Ambos Sexos.</v>
      </c>
      <c r="CG19" s="84">
        <f t="shared" si="3"/>
        <v>1</v>
      </c>
      <c r="CH19" s="84">
        <f t="shared" si="4"/>
        <v>1</v>
      </c>
      <c r="CI19" s="84">
        <f t="shared" si="5"/>
        <v>1</v>
      </c>
    </row>
    <row r="20" spans="1:87" s="19" customFormat="1" ht="15" customHeight="1" x14ac:dyDescent="0.15">
      <c r="A20" s="5818">
        <v>23042200</v>
      </c>
      <c r="B20" s="953" t="s">
        <v>2455</v>
      </c>
      <c r="C20" s="950" t="s">
        <v>4567</v>
      </c>
      <c r="D20" s="951" t="s">
        <v>4568</v>
      </c>
      <c r="E20" s="939" t="s">
        <v>4569</v>
      </c>
      <c r="F20" s="954" t="s">
        <v>4570</v>
      </c>
      <c r="G20" s="960" t="s">
        <v>4571</v>
      </c>
      <c r="H20" s="954" t="s">
        <v>4572</v>
      </c>
      <c r="I20" s="955" t="s">
        <v>4573</v>
      </c>
      <c r="J20" s="954" t="s">
        <v>4574</v>
      </c>
      <c r="K20" s="955" t="s">
        <v>4575</v>
      </c>
      <c r="L20" s="956" t="s">
        <v>4576</v>
      </c>
      <c r="M20" s="957" t="s">
        <v>4577</v>
      </c>
      <c r="N20" s="954" t="s">
        <v>4578</v>
      </c>
      <c r="O20" s="955" t="s">
        <v>4579</v>
      </c>
      <c r="P20" s="956" t="s">
        <v>4580</v>
      </c>
      <c r="Q20" s="957" t="s">
        <v>4581</v>
      </c>
      <c r="R20" s="954" t="s">
        <v>4582</v>
      </c>
      <c r="S20" s="955" t="s">
        <v>4583</v>
      </c>
      <c r="T20" s="954" t="s">
        <v>4584</v>
      </c>
      <c r="U20" s="955" t="s">
        <v>4585</v>
      </c>
      <c r="V20" s="954" t="s">
        <v>4586</v>
      </c>
      <c r="W20" s="955" t="s">
        <v>4587</v>
      </c>
      <c r="X20" s="943" t="s">
        <v>4588</v>
      </c>
      <c r="Y20" s="944" t="s">
        <v>4589</v>
      </c>
      <c r="Z20" s="940" t="s">
        <v>4590</v>
      </c>
      <c r="AA20" s="942" t="s">
        <v>4591</v>
      </c>
      <c r="AB20" s="943" t="s">
        <v>4592</v>
      </c>
      <c r="AC20" s="944" t="s">
        <v>4593</v>
      </c>
      <c r="AD20" s="940" t="s">
        <v>4594</v>
      </c>
      <c r="AE20" s="942" t="s">
        <v>4595</v>
      </c>
      <c r="AF20" s="943" t="s">
        <v>4596</v>
      </c>
      <c r="AG20" s="944" t="s">
        <v>4597</v>
      </c>
      <c r="AH20" s="940" t="s">
        <v>4598</v>
      </c>
      <c r="AI20" s="942" t="s">
        <v>4599</v>
      </c>
      <c r="AJ20" s="943" t="s">
        <v>4600</v>
      </c>
      <c r="AK20" s="944" t="s">
        <v>4601</v>
      </c>
      <c r="AL20" s="940" t="s">
        <v>4602</v>
      </c>
      <c r="AM20" s="942" t="s">
        <v>4603</v>
      </c>
      <c r="AN20" s="945" t="s">
        <v>4604</v>
      </c>
      <c r="AO20" s="946" t="s">
        <v>4605</v>
      </c>
      <c r="AP20" s="947" t="s">
        <v>4606</v>
      </c>
      <c r="AQ20" s="948" t="s">
        <v>4934</v>
      </c>
      <c r="AR20" s="941" t="s">
        <v>4935</v>
      </c>
      <c r="AS20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0" s="135" t="str">
        <f t="shared" si="0"/>
        <v xml:space="preserve"> * La variable Pueblos Originarios no puede ser mayor al Total Ambos Sexos.</v>
      </c>
      <c r="CC20" s="135" t="str">
        <f t="shared" si="1"/>
        <v xml:space="preserve"> * La variable Migrantes no puede ser mayor al Total Ambos Sexos.</v>
      </c>
      <c r="CD20" s="135" t="str">
        <f t="shared" si="2"/>
        <v xml:space="preserve"> * La variable Por Campaña de Invierno no puede ser mayor al Total Ambos Sexos.</v>
      </c>
      <c r="CG20" s="84">
        <f t="shared" si="3"/>
        <v>1</v>
      </c>
      <c r="CH20" s="84">
        <f t="shared" si="4"/>
        <v>1</v>
      </c>
      <c r="CI20" s="84">
        <f t="shared" si="5"/>
        <v>1</v>
      </c>
    </row>
    <row r="21" spans="1:87" s="19" customFormat="1" ht="15" customHeight="1" x14ac:dyDescent="0.15">
      <c r="A21" s="5818">
        <v>23042300</v>
      </c>
      <c r="B21" s="952" t="s">
        <v>2456</v>
      </c>
      <c r="C21" s="937" t="s">
        <v>4567</v>
      </c>
      <c r="D21" s="938" t="s">
        <v>4568</v>
      </c>
      <c r="E21" s="939" t="s">
        <v>4569</v>
      </c>
      <c r="F21" s="940" t="s">
        <v>4570</v>
      </c>
      <c r="G21" s="941" t="s">
        <v>4571</v>
      </c>
      <c r="H21" s="940" t="s">
        <v>4572</v>
      </c>
      <c r="I21" s="942" t="s">
        <v>4573</v>
      </c>
      <c r="J21" s="940" t="s">
        <v>4574</v>
      </c>
      <c r="K21" s="942" t="s">
        <v>4575</v>
      </c>
      <c r="L21" s="943" t="s">
        <v>4576</v>
      </c>
      <c r="M21" s="944" t="s">
        <v>4577</v>
      </c>
      <c r="N21" s="940" t="s">
        <v>4578</v>
      </c>
      <c r="O21" s="942" t="s">
        <v>4579</v>
      </c>
      <c r="P21" s="943" t="s">
        <v>4580</v>
      </c>
      <c r="Q21" s="944" t="s">
        <v>4581</v>
      </c>
      <c r="R21" s="940" t="s">
        <v>4582</v>
      </c>
      <c r="S21" s="942" t="s">
        <v>4583</v>
      </c>
      <c r="T21" s="940" t="s">
        <v>4584</v>
      </c>
      <c r="U21" s="942" t="s">
        <v>4585</v>
      </c>
      <c r="V21" s="940" t="s">
        <v>4586</v>
      </c>
      <c r="W21" s="942" t="s">
        <v>4587</v>
      </c>
      <c r="X21" s="943" t="s">
        <v>4588</v>
      </c>
      <c r="Y21" s="944" t="s">
        <v>4589</v>
      </c>
      <c r="Z21" s="940" t="s">
        <v>4590</v>
      </c>
      <c r="AA21" s="942" t="s">
        <v>4591</v>
      </c>
      <c r="AB21" s="943" t="s">
        <v>4592</v>
      </c>
      <c r="AC21" s="944" t="s">
        <v>4593</v>
      </c>
      <c r="AD21" s="940" t="s">
        <v>4594</v>
      </c>
      <c r="AE21" s="942" t="s">
        <v>4595</v>
      </c>
      <c r="AF21" s="943" t="s">
        <v>4596</v>
      </c>
      <c r="AG21" s="944" t="s">
        <v>4597</v>
      </c>
      <c r="AH21" s="940" t="s">
        <v>4598</v>
      </c>
      <c r="AI21" s="942" t="s">
        <v>4599</v>
      </c>
      <c r="AJ21" s="943" t="s">
        <v>4600</v>
      </c>
      <c r="AK21" s="944" t="s">
        <v>4601</v>
      </c>
      <c r="AL21" s="940" t="s">
        <v>4602</v>
      </c>
      <c r="AM21" s="942" t="s">
        <v>4603</v>
      </c>
      <c r="AN21" s="945" t="s">
        <v>4604</v>
      </c>
      <c r="AO21" s="946" t="s">
        <v>4605</v>
      </c>
      <c r="AP21" s="947" t="s">
        <v>4606</v>
      </c>
      <c r="AQ21" s="948" t="s">
        <v>4934</v>
      </c>
      <c r="AR21" s="941" t="s">
        <v>4935</v>
      </c>
      <c r="AS21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1" s="135" t="str">
        <f t="shared" si="0"/>
        <v xml:space="preserve"> * La variable Pueblos Originarios no puede ser mayor al Total Ambos Sexos.</v>
      </c>
      <c r="CC21" s="135" t="str">
        <f t="shared" si="1"/>
        <v xml:space="preserve"> * La variable Migrantes no puede ser mayor al Total Ambos Sexos.</v>
      </c>
      <c r="CD21" s="135" t="str">
        <f t="shared" si="2"/>
        <v xml:space="preserve"> * La variable Por Campaña de Invierno no puede ser mayor al Total Ambos Sexos.</v>
      </c>
      <c r="CG21" s="84">
        <f t="shared" si="3"/>
        <v>1</v>
      </c>
      <c r="CH21" s="84">
        <f t="shared" si="4"/>
        <v>1</v>
      </c>
      <c r="CI21" s="84">
        <f t="shared" si="5"/>
        <v>1</v>
      </c>
    </row>
    <row r="22" spans="1:87" s="19" customFormat="1" ht="15" customHeight="1" x14ac:dyDescent="0.15">
      <c r="A22" s="5818">
        <v>23042400</v>
      </c>
      <c r="B22" s="961" t="s">
        <v>2457</v>
      </c>
      <c r="C22" s="962" t="s">
        <v>4567</v>
      </c>
      <c r="D22" s="963" t="s">
        <v>4568</v>
      </c>
      <c r="E22" s="413" t="s">
        <v>4569</v>
      </c>
      <c r="F22" s="964" t="s">
        <v>4570</v>
      </c>
      <c r="G22" s="854" t="s">
        <v>4571</v>
      </c>
      <c r="H22" s="964" t="s">
        <v>4572</v>
      </c>
      <c r="I22" s="965" t="s">
        <v>4573</v>
      </c>
      <c r="J22" s="964" t="s">
        <v>4574</v>
      </c>
      <c r="K22" s="965" t="s">
        <v>4575</v>
      </c>
      <c r="L22" s="966" t="s">
        <v>4576</v>
      </c>
      <c r="M22" s="967" t="s">
        <v>4577</v>
      </c>
      <c r="N22" s="964" t="s">
        <v>4578</v>
      </c>
      <c r="O22" s="965" t="s">
        <v>4579</v>
      </c>
      <c r="P22" s="966" t="s">
        <v>4580</v>
      </c>
      <c r="Q22" s="967" t="s">
        <v>4581</v>
      </c>
      <c r="R22" s="964" t="s">
        <v>4582</v>
      </c>
      <c r="S22" s="965" t="s">
        <v>4583</v>
      </c>
      <c r="T22" s="964" t="s">
        <v>4584</v>
      </c>
      <c r="U22" s="965" t="s">
        <v>4585</v>
      </c>
      <c r="V22" s="964" t="s">
        <v>4586</v>
      </c>
      <c r="W22" s="965" t="s">
        <v>4587</v>
      </c>
      <c r="X22" s="966" t="s">
        <v>4588</v>
      </c>
      <c r="Y22" s="967" t="s">
        <v>4589</v>
      </c>
      <c r="Z22" s="964" t="s">
        <v>4590</v>
      </c>
      <c r="AA22" s="965" t="s">
        <v>4591</v>
      </c>
      <c r="AB22" s="966" t="s">
        <v>4592</v>
      </c>
      <c r="AC22" s="967" t="s">
        <v>4593</v>
      </c>
      <c r="AD22" s="964" t="s">
        <v>4594</v>
      </c>
      <c r="AE22" s="965" t="s">
        <v>4595</v>
      </c>
      <c r="AF22" s="966" t="s">
        <v>4596</v>
      </c>
      <c r="AG22" s="967" t="s">
        <v>4597</v>
      </c>
      <c r="AH22" s="964" t="s">
        <v>4598</v>
      </c>
      <c r="AI22" s="965" t="s">
        <v>4599</v>
      </c>
      <c r="AJ22" s="966" t="s">
        <v>4600</v>
      </c>
      <c r="AK22" s="967" t="s">
        <v>4601</v>
      </c>
      <c r="AL22" s="964" t="s">
        <v>4602</v>
      </c>
      <c r="AM22" s="965" t="s">
        <v>4603</v>
      </c>
      <c r="AN22" s="968" t="s">
        <v>4604</v>
      </c>
      <c r="AO22" s="969" t="s">
        <v>4605</v>
      </c>
      <c r="AP22" s="947" t="s">
        <v>4606</v>
      </c>
      <c r="AQ22" s="948" t="s">
        <v>4934</v>
      </c>
      <c r="AR22" s="941" t="s">
        <v>4935</v>
      </c>
      <c r="AS22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2" s="135" t="str">
        <f t="shared" si="0"/>
        <v xml:space="preserve"> * La variable Pueblos Originarios no puede ser mayor al Total Ambos Sexos.</v>
      </c>
      <c r="CC22" s="135" t="str">
        <f t="shared" si="1"/>
        <v xml:space="preserve"> * La variable Migrantes no puede ser mayor al Total Ambos Sexos.</v>
      </c>
      <c r="CD22" s="135" t="str">
        <f t="shared" si="2"/>
        <v xml:space="preserve"> * La variable Por Campaña de Invierno no puede ser mayor al Total Ambos Sexos.</v>
      </c>
      <c r="CG22" s="84">
        <f t="shared" si="3"/>
        <v>1</v>
      </c>
      <c r="CH22" s="84">
        <f t="shared" si="4"/>
        <v>1</v>
      </c>
      <c r="CI22" s="84">
        <f t="shared" si="5"/>
        <v>1</v>
      </c>
    </row>
    <row r="23" spans="1:87" ht="15" customHeight="1" x14ac:dyDescent="0.25">
      <c r="A23" s="5861"/>
      <c r="B23" s="865" t="s">
        <v>77</v>
      </c>
      <c r="C23" s="970">
        <f>SUM(C12:C22)</f>
        <v>0</v>
      </c>
      <c r="D23" s="971">
        <f>SUM(D12:D22)</f>
        <v>0</v>
      </c>
      <c r="E23" s="972">
        <f>SUM(E12:E22)</f>
        <v>0</v>
      </c>
      <c r="F23" s="973">
        <f>SUM(F12:F22)</f>
        <v>0</v>
      </c>
      <c r="G23" s="974">
        <f t="shared" ref="G23:AR23" si="7">SUM(G12:G22)</f>
        <v>0</v>
      </c>
      <c r="H23" s="973">
        <f t="shared" si="7"/>
        <v>0</v>
      </c>
      <c r="I23" s="975">
        <f t="shared" si="7"/>
        <v>0</v>
      </c>
      <c r="J23" s="973">
        <f t="shared" si="7"/>
        <v>0</v>
      </c>
      <c r="K23" s="975">
        <f t="shared" si="7"/>
        <v>0</v>
      </c>
      <c r="L23" s="976">
        <f t="shared" si="7"/>
        <v>0</v>
      </c>
      <c r="M23" s="977">
        <f t="shared" si="7"/>
        <v>0</v>
      </c>
      <c r="N23" s="973">
        <f t="shared" si="7"/>
        <v>0</v>
      </c>
      <c r="O23" s="975">
        <f t="shared" si="7"/>
        <v>0</v>
      </c>
      <c r="P23" s="976">
        <f t="shared" si="7"/>
        <v>0</v>
      </c>
      <c r="Q23" s="977">
        <f t="shared" si="7"/>
        <v>0</v>
      </c>
      <c r="R23" s="973">
        <f t="shared" si="7"/>
        <v>0</v>
      </c>
      <c r="S23" s="975">
        <f t="shared" si="7"/>
        <v>0</v>
      </c>
      <c r="T23" s="973">
        <f t="shared" ref="T23:U23" si="8">SUM(T12:T22)</f>
        <v>0</v>
      </c>
      <c r="U23" s="975">
        <f t="shared" si="8"/>
        <v>0</v>
      </c>
      <c r="V23" s="973">
        <f t="shared" ref="V23:W23" si="9">SUM(V12:V22)</f>
        <v>0</v>
      </c>
      <c r="W23" s="975">
        <f t="shared" si="9"/>
        <v>0</v>
      </c>
      <c r="X23" s="976">
        <f t="shared" si="7"/>
        <v>0</v>
      </c>
      <c r="Y23" s="977">
        <f t="shared" si="7"/>
        <v>0</v>
      </c>
      <c r="Z23" s="973">
        <f t="shared" si="7"/>
        <v>0</v>
      </c>
      <c r="AA23" s="975">
        <f t="shared" si="7"/>
        <v>0</v>
      </c>
      <c r="AB23" s="976">
        <f t="shared" si="7"/>
        <v>0</v>
      </c>
      <c r="AC23" s="977">
        <f t="shared" si="7"/>
        <v>0</v>
      </c>
      <c r="AD23" s="973">
        <f t="shared" si="7"/>
        <v>0</v>
      </c>
      <c r="AE23" s="975">
        <f t="shared" si="7"/>
        <v>0</v>
      </c>
      <c r="AF23" s="976">
        <f t="shared" si="7"/>
        <v>0</v>
      </c>
      <c r="AG23" s="977">
        <f t="shared" si="7"/>
        <v>0</v>
      </c>
      <c r="AH23" s="973">
        <f t="shared" si="7"/>
        <v>0</v>
      </c>
      <c r="AI23" s="975">
        <f t="shared" si="7"/>
        <v>0</v>
      </c>
      <c r="AJ23" s="976">
        <f t="shared" si="7"/>
        <v>0</v>
      </c>
      <c r="AK23" s="977">
        <f t="shared" si="7"/>
        <v>0</v>
      </c>
      <c r="AL23" s="973">
        <f t="shared" si="7"/>
        <v>0</v>
      </c>
      <c r="AM23" s="975">
        <f t="shared" si="7"/>
        <v>0</v>
      </c>
      <c r="AN23" s="976">
        <f t="shared" si="7"/>
        <v>0</v>
      </c>
      <c r="AO23" s="978">
        <f t="shared" si="7"/>
        <v>0</v>
      </c>
      <c r="AP23" s="979">
        <f t="shared" si="7"/>
        <v>0</v>
      </c>
      <c r="AQ23" s="980">
        <f t="shared" si="7"/>
        <v>0</v>
      </c>
      <c r="AR23" s="974">
        <f t="shared" si="7"/>
        <v>0</v>
      </c>
    </row>
    <row r="24" spans="1:87" s="25" customFormat="1" ht="18" customHeight="1" x14ac:dyDescent="0.25">
      <c r="A24"/>
      <c r="B24" s="1" t="s">
        <v>2458</v>
      </c>
    </row>
    <row r="25" spans="1:87" s="19" customFormat="1" ht="15" customHeight="1" x14ac:dyDescent="0.15">
      <c r="A25" s="5862"/>
      <c r="B25" s="6491" t="s">
        <v>2459</v>
      </c>
      <c r="C25" s="7290"/>
      <c r="D25" s="7327" t="s">
        <v>77</v>
      </c>
      <c r="E25" s="6761"/>
      <c r="F25" s="7319"/>
      <c r="G25" s="7295" t="s">
        <v>101</v>
      </c>
      <c r="H25" s="7296"/>
      <c r="I25" s="7296"/>
      <c r="J25" s="7296"/>
      <c r="K25" s="7296"/>
      <c r="L25" s="7296"/>
      <c r="M25" s="7296"/>
      <c r="N25" s="7296"/>
      <c r="O25" s="7296"/>
      <c r="P25" s="7296"/>
      <c r="Q25" s="7296"/>
      <c r="R25" s="7296"/>
      <c r="S25" s="7296"/>
      <c r="T25" s="7296"/>
      <c r="U25" s="7296"/>
      <c r="V25" s="7296"/>
      <c r="W25" s="7296"/>
      <c r="X25" s="7296"/>
      <c r="Y25" s="7296"/>
      <c r="Z25" s="7296"/>
      <c r="AA25" s="7296"/>
      <c r="AB25" s="7296"/>
      <c r="AC25" s="7296"/>
      <c r="AD25" s="7296"/>
      <c r="AE25" s="7296"/>
      <c r="AF25" s="7296"/>
      <c r="AG25" s="7296"/>
      <c r="AH25" s="7296"/>
      <c r="AI25" s="7296"/>
      <c r="AJ25" s="7296"/>
      <c r="AK25" s="7296"/>
      <c r="AL25" s="7296"/>
      <c r="AM25" s="7296"/>
      <c r="AN25" s="7296"/>
      <c r="AO25" s="7296"/>
      <c r="AP25" s="7304"/>
      <c r="AQ25" s="7306" t="s">
        <v>2460</v>
      </c>
      <c r="AR25" s="7305" t="s">
        <v>36</v>
      </c>
      <c r="AS25" s="7237" t="s">
        <v>37</v>
      </c>
    </row>
    <row r="26" spans="1:87" s="19" customFormat="1" ht="15" customHeight="1" x14ac:dyDescent="0.15">
      <c r="A26" s="5862"/>
      <c r="B26" s="6954"/>
      <c r="C26" s="6331"/>
      <c r="D26" s="7368"/>
      <c r="E26" s="7326"/>
      <c r="F26" s="7267"/>
      <c r="G26" s="7289" t="s">
        <v>4407</v>
      </c>
      <c r="H26" s="7290"/>
      <c r="I26" s="7299" t="s">
        <v>2446</v>
      </c>
      <c r="J26" s="7290"/>
      <c r="K26" s="7299" t="s">
        <v>2447</v>
      </c>
      <c r="L26" s="7290"/>
      <c r="M26" s="7289" t="s">
        <v>94</v>
      </c>
      <c r="N26" s="7290"/>
      <c r="O26" s="7289" t="s">
        <v>44</v>
      </c>
      <c r="P26" s="7290"/>
      <c r="Q26" s="7289" t="s">
        <v>45</v>
      </c>
      <c r="R26" s="7290"/>
      <c r="S26" s="7299" t="s">
        <v>46</v>
      </c>
      <c r="T26" s="7290"/>
      <c r="U26" s="7299" t="s">
        <v>47</v>
      </c>
      <c r="V26" s="7290"/>
      <c r="W26" s="7299" t="s">
        <v>48</v>
      </c>
      <c r="X26" s="7290"/>
      <c r="Y26" s="7299" t="s">
        <v>49</v>
      </c>
      <c r="Z26" s="7290"/>
      <c r="AA26" s="7299" t="s">
        <v>50</v>
      </c>
      <c r="AB26" s="7290"/>
      <c r="AC26" s="7299" t="s">
        <v>51</v>
      </c>
      <c r="AD26" s="7290"/>
      <c r="AE26" s="7299" t="s">
        <v>52</v>
      </c>
      <c r="AF26" s="7290"/>
      <c r="AG26" s="7299" t="s">
        <v>53</v>
      </c>
      <c r="AH26" s="7290"/>
      <c r="AI26" s="7299" t="s">
        <v>54</v>
      </c>
      <c r="AJ26" s="7290"/>
      <c r="AK26" s="7299" t="s">
        <v>55</v>
      </c>
      <c r="AL26" s="7290"/>
      <c r="AM26" s="7299" t="s">
        <v>56</v>
      </c>
      <c r="AN26" s="7290"/>
      <c r="AO26" s="6491" t="s">
        <v>57</v>
      </c>
      <c r="AP26" s="7303"/>
      <c r="AQ26" s="6034"/>
      <c r="AR26" s="6386"/>
      <c r="AS26" s="6027"/>
    </row>
    <row r="27" spans="1:87" s="19" customFormat="1" ht="15" customHeight="1" x14ac:dyDescent="0.15">
      <c r="A27" s="5862"/>
      <c r="B27" s="6749"/>
      <c r="C27" s="6913"/>
      <c r="D27" s="981" t="s">
        <v>79</v>
      </c>
      <c r="E27" s="982" t="s">
        <v>58</v>
      </c>
      <c r="F27" s="983" t="s">
        <v>59</v>
      </c>
      <c r="G27" s="981" t="s">
        <v>58</v>
      </c>
      <c r="H27" s="983" t="s">
        <v>59</v>
      </c>
      <c r="I27" s="981" t="s">
        <v>58</v>
      </c>
      <c r="J27" s="983" t="s">
        <v>59</v>
      </c>
      <c r="K27" s="981" t="s">
        <v>58</v>
      </c>
      <c r="L27" s="983" t="s">
        <v>59</v>
      </c>
      <c r="M27" s="981" t="s">
        <v>58</v>
      </c>
      <c r="N27" s="983" t="s">
        <v>59</v>
      </c>
      <c r="O27" s="981" t="s">
        <v>58</v>
      </c>
      <c r="P27" s="983" t="s">
        <v>59</v>
      </c>
      <c r="Q27" s="981" t="s">
        <v>58</v>
      </c>
      <c r="R27" s="983" t="s">
        <v>59</v>
      </c>
      <c r="S27" s="922" t="s">
        <v>58</v>
      </c>
      <c r="T27" s="915" t="s">
        <v>59</v>
      </c>
      <c r="U27" s="922" t="s">
        <v>58</v>
      </c>
      <c r="V27" s="915" t="s">
        <v>59</v>
      </c>
      <c r="W27" s="922" t="s">
        <v>58</v>
      </c>
      <c r="X27" s="915" t="s">
        <v>59</v>
      </c>
      <c r="Y27" s="981" t="s">
        <v>58</v>
      </c>
      <c r="Z27" s="983" t="s">
        <v>59</v>
      </c>
      <c r="AA27" s="981" t="s">
        <v>58</v>
      </c>
      <c r="AB27" s="983" t="s">
        <v>59</v>
      </c>
      <c r="AC27" s="981" t="s">
        <v>58</v>
      </c>
      <c r="AD27" s="983" t="s">
        <v>59</v>
      </c>
      <c r="AE27" s="981" t="s">
        <v>58</v>
      </c>
      <c r="AF27" s="983" t="s">
        <v>59</v>
      </c>
      <c r="AG27" s="981" t="s">
        <v>58</v>
      </c>
      <c r="AH27" s="983" t="s">
        <v>59</v>
      </c>
      <c r="AI27" s="981" t="s">
        <v>58</v>
      </c>
      <c r="AJ27" s="983" t="s">
        <v>59</v>
      </c>
      <c r="AK27" s="981" t="s">
        <v>58</v>
      </c>
      <c r="AL27" s="983" t="s">
        <v>59</v>
      </c>
      <c r="AM27" s="981" t="s">
        <v>58</v>
      </c>
      <c r="AN27" s="983" t="s">
        <v>59</v>
      </c>
      <c r="AO27" s="981" t="s">
        <v>58</v>
      </c>
      <c r="AP27" s="984" t="s">
        <v>59</v>
      </c>
      <c r="AQ27" s="6035"/>
      <c r="AR27" s="6086"/>
      <c r="AS27" s="6955"/>
    </row>
    <row r="28" spans="1:87" s="19" customFormat="1" ht="15" customHeight="1" x14ac:dyDescent="0.15">
      <c r="A28" s="5818">
        <v>23030805</v>
      </c>
      <c r="B28" s="7328" t="s">
        <v>2461</v>
      </c>
      <c r="C28" s="985" t="s">
        <v>887</v>
      </c>
      <c r="D28" s="307" t="s">
        <v>4567</v>
      </c>
      <c r="E28" s="986" t="s">
        <v>4568</v>
      </c>
      <c r="F28" s="204" t="s">
        <v>4569</v>
      </c>
      <c r="G28" s="326" t="s">
        <v>4570</v>
      </c>
      <c r="H28" s="142" t="s">
        <v>4571</v>
      </c>
      <c r="I28" s="326" t="s">
        <v>4572</v>
      </c>
      <c r="J28" s="882" t="s">
        <v>4573</v>
      </c>
      <c r="K28" s="333" t="s">
        <v>4574</v>
      </c>
      <c r="L28" s="987" t="s">
        <v>4575</v>
      </c>
      <c r="M28" s="333" t="s">
        <v>4576</v>
      </c>
      <c r="N28" s="987" t="s">
        <v>4577</v>
      </c>
      <c r="O28" s="333" t="s">
        <v>4578</v>
      </c>
      <c r="P28" s="987" t="s">
        <v>4579</v>
      </c>
      <c r="Q28" s="333" t="s">
        <v>4580</v>
      </c>
      <c r="R28" s="987" t="s">
        <v>4581</v>
      </c>
      <c r="S28" s="333" t="s">
        <v>4582</v>
      </c>
      <c r="T28" s="987" t="s">
        <v>4583</v>
      </c>
      <c r="U28" s="333" t="s">
        <v>4584</v>
      </c>
      <c r="V28" s="987" t="s">
        <v>4585</v>
      </c>
      <c r="W28" s="333" t="s">
        <v>4586</v>
      </c>
      <c r="X28" s="987" t="s">
        <v>4587</v>
      </c>
      <c r="Y28" s="333" t="s">
        <v>4588</v>
      </c>
      <c r="Z28" s="987" t="s">
        <v>4589</v>
      </c>
      <c r="AA28" s="333" t="s">
        <v>4590</v>
      </c>
      <c r="AB28" s="987" t="s">
        <v>4591</v>
      </c>
      <c r="AC28" s="333" t="s">
        <v>4592</v>
      </c>
      <c r="AD28" s="987" t="s">
        <v>4593</v>
      </c>
      <c r="AE28" s="333" t="s">
        <v>4594</v>
      </c>
      <c r="AF28" s="987" t="s">
        <v>4595</v>
      </c>
      <c r="AG28" s="333" t="s">
        <v>4596</v>
      </c>
      <c r="AH28" s="987" t="s">
        <v>4597</v>
      </c>
      <c r="AI28" s="333" t="s">
        <v>4598</v>
      </c>
      <c r="AJ28" s="987" t="s">
        <v>4599</v>
      </c>
      <c r="AK28" s="333" t="s">
        <v>4600</v>
      </c>
      <c r="AL28" s="987" t="s">
        <v>4601</v>
      </c>
      <c r="AM28" s="988" t="s">
        <v>4602</v>
      </c>
      <c r="AN28" s="987" t="s">
        <v>4603</v>
      </c>
      <c r="AO28" s="251" t="s">
        <v>4604</v>
      </c>
      <c r="AP28" s="989" t="s">
        <v>4605</v>
      </c>
      <c r="AQ28" s="934" t="s">
        <v>4606</v>
      </c>
      <c r="AR28" s="935" t="s">
        <v>4934</v>
      </c>
      <c r="AS28" s="930" t="s">
        <v>4935</v>
      </c>
      <c r="AT28" s="19" t="str">
        <f>CB28&amp;CC28&amp;CD28</f>
        <v xml:space="preserve"> * La variable Reingresos no puede ser mayor al Total Ambos Sexos. * La variable Pueblos originarios no puede ser mayor al Total Ambos Sexos. * La variable Migrantes no puede ser mayor al Total Ambos Sexos.</v>
      </c>
      <c r="CB28" s="135" t="str">
        <f t="shared" ref="CB28:CB40" si="10">IF(AND(D28&gt;0,AQ28="")," * No olvide digitar la variable Reingresos. Digite Cero si no tiene.",IF(AQ28&gt;D28," * La variable Reingresos no puede ser mayor al Total Ambos Sexos.",""))</f>
        <v xml:space="preserve"> * La variable Reingresos no puede ser mayor al Total Ambos Sexos.</v>
      </c>
      <c r="CC28" s="135" t="str">
        <f t="shared" ref="CC28:CC40" si="11">IF(AND(D28&gt;0,AR28="")," * No olvide digitar la variable Pueblos Originarios.  Digite Cero si no tiene.",IF(AR28&gt;D28," * La variable Pueblos originarios no puede ser mayor al Total Ambos Sexos.",""))</f>
        <v xml:space="preserve"> * La variable Pueblos originarios no puede ser mayor al Total Ambos Sexos.</v>
      </c>
      <c r="CD28" s="135" t="str">
        <f t="shared" ref="CD28:CD40" si="12">IF(AND(D28&gt;0,AS28="")," * No olvide digitar la variable Migrantes. Digite Cero si no tiene.",IF(AS28&gt;D28," * La variable Migrantes no puede ser mayor al Total Ambos Sexos.",""))</f>
        <v xml:space="preserve"> * La variable Migrantes no puede ser mayor al Total Ambos Sexos.</v>
      </c>
      <c r="CE28" s="151"/>
      <c r="CG28" s="84">
        <f t="shared" ref="CG28:CG40" si="13">IF(AND(D28&gt;0,AQ28=""),1,IF(AQ28&gt;D28,1,0))</f>
        <v>1</v>
      </c>
      <c r="CH28" s="84">
        <f t="shared" ref="CH28:CH40" si="14">IF(AND(D28&gt;0,AR28=""),1,IF(AR28&gt;D28,1,0))</f>
        <v>1</v>
      </c>
      <c r="CI28" s="84">
        <f t="shared" ref="CI28:CI40" si="15">IF(AND(D28&gt;0,AS28=""),1,IF(AS28&gt;D28,1,0))</f>
        <v>1</v>
      </c>
    </row>
    <row r="29" spans="1:87" s="19" customFormat="1" ht="15" customHeight="1" x14ac:dyDescent="0.15">
      <c r="A29" s="5818">
        <v>23030815</v>
      </c>
      <c r="B29" s="6058"/>
      <c r="C29" s="990" t="s">
        <v>888</v>
      </c>
      <c r="D29" s="307" t="s">
        <v>4567</v>
      </c>
      <c r="E29" s="986" t="s">
        <v>4568</v>
      </c>
      <c r="F29" s="204" t="s">
        <v>4569</v>
      </c>
      <c r="G29" s="326" t="s">
        <v>4570</v>
      </c>
      <c r="H29" s="142" t="s">
        <v>4571</v>
      </c>
      <c r="I29" s="326" t="s">
        <v>4572</v>
      </c>
      <c r="J29" s="882" t="s">
        <v>4573</v>
      </c>
      <c r="K29" s="333" t="s">
        <v>4574</v>
      </c>
      <c r="L29" s="987" t="s">
        <v>4575</v>
      </c>
      <c r="M29" s="333" t="s">
        <v>4576</v>
      </c>
      <c r="N29" s="987" t="s">
        <v>4577</v>
      </c>
      <c r="O29" s="333" t="s">
        <v>4578</v>
      </c>
      <c r="P29" s="987" t="s">
        <v>4579</v>
      </c>
      <c r="Q29" s="333" t="s">
        <v>4580</v>
      </c>
      <c r="R29" s="987" t="s">
        <v>4581</v>
      </c>
      <c r="S29" s="333" t="s">
        <v>4582</v>
      </c>
      <c r="T29" s="987" t="s">
        <v>4583</v>
      </c>
      <c r="U29" s="333" t="s">
        <v>4584</v>
      </c>
      <c r="V29" s="987" t="s">
        <v>4585</v>
      </c>
      <c r="W29" s="333" t="s">
        <v>4586</v>
      </c>
      <c r="X29" s="987" t="s">
        <v>4587</v>
      </c>
      <c r="Y29" s="333" t="s">
        <v>4588</v>
      </c>
      <c r="Z29" s="987" t="s">
        <v>4589</v>
      </c>
      <c r="AA29" s="333" t="s">
        <v>4590</v>
      </c>
      <c r="AB29" s="987" t="s">
        <v>4591</v>
      </c>
      <c r="AC29" s="333" t="s">
        <v>4592</v>
      </c>
      <c r="AD29" s="987" t="s">
        <v>4593</v>
      </c>
      <c r="AE29" s="333" t="s">
        <v>4594</v>
      </c>
      <c r="AF29" s="987" t="s">
        <v>4595</v>
      </c>
      <c r="AG29" s="333" t="s">
        <v>4596</v>
      </c>
      <c r="AH29" s="987" t="s">
        <v>4597</v>
      </c>
      <c r="AI29" s="333" t="s">
        <v>4598</v>
      </c>
      <c r="AJ29" s="987" t="s">
        <v>4599</v>
      </c>
      <c r="AK29" s="333" t="s">
        <v>4600</v>
      </c>
      <c r="AL29" s="987" t="s">
        <v>4601</v>
      </c>
      <c r="AM29" s="954" t="s">
        <v>4602</v>
      </c>
      <c r="AN29" s="987" t="s">
        <v>4603</v>
      </c>
      <c r="AO29" s="251" t="s">
        <v>4604</v>
      </c>
      <c r="AP29" s="991" t="s">
        <v>4605</v>
      </c>
      <c r="AQ29" s="947" t="s">
        <v>4606</v>
      </c>
      <c r="AR29" s="948" t="s">
        <v>4934</v>
      </c>
      <c r="AS29" s="941" t="s">
        <v>4935</v>
      </c>
      <c r="AT29" s="19" t="str">
        <f t="shared" ref="AT29:AT40" si="16">CB29&amp;CC29&amp;CD29</f>
        <v xml:space="preserve"> * La variable Reingresos no puede ser mayor al Total Ambos Sexos. * La variable Pueblos originarios no puede ser mayor al Total Ambos Sexos. * La variable Migrantes no puede ser mayor al Total Ambos Sexos.</v>
      </c>
      <c r="CB29" s="135" t="str">
        <f t="shared" si="10"/>
        <v xml:space="preserve"> * La variable Reingresos no puede ser mayor al Total Ambos Sexos.</v>
      </c>
      <c r="CC29" s="135" t="str">
        <f t="shared" si="11"/>
        <v xml:space="preserve"> * La variable Pueblos originarios no puede ser mayor al Total Ambos Sexos.</v>
      </c>
      <c r="CD29" s="135" t="str">
        <f t="shared" si="12"/>
        <v xml:space="preserve"> * La variable Migrantes no puede ser mayor al Total Ambos Sexos.</v>
      </c>
      <c r="CE29" s="151"/>
      <c r="CG29" s="84">
        <f t="shared" si="13"/>
        <v>1</v>
      </c>
      <c r="CH29" s="84">
        <f t="shared" si="14"/>
        <v>1</v>
      </c>
      <c r="CI29" s="84">
        <f t="shared" si="15"/>
        <v>1</v>
      </c>
    </row>
    <row r="30" spans="1:87" s="19" customFormat="1" ht="15" customHeight="1" x14ac:dyDescent="0.15">
      <c r="A30" s="5818">
        <v>23030825</v>
      </c>
      <c r="B30" s="6058"/>
      <c r="C30" s="205" t="s">
        <v>2462</v>
      </c>
      <c r="D30" s="26" t="s">
        <v>4567</v>
      </c>
      <c r="E30" s="27" t="s">
        <v>4568</v>
      </c>
      <c r="F30" s="28" t="s">
        <v>4569</v>
      </c>
      <c r="G30" s="20" t="s">
        <v>4570</v>
      </c>
      <c r="H30" s="29" t="s">
        <v>4571</v>
      </c>
      <c r="I30" s="20" t="s">
        <v>4572</v>
      </c>
      <c r="J30" s="30" t="s">
        <v>4573</v>
      </c>
      <c r="K30" s="31" t="s">
        <v>4574</v>
      </c>
      <c r="L30" s="32" t="s">
        <v>4575</v>
      </c>
      <c r="M30" s="31" t="s">
        <v>4576</v>
      </c>
      <c r="N30" s="32" t="s">
        <v>4577</v>
      </c>
      <c r="O30" s="31" t="s">
        <v>4578</v>
      </c>
      <c r="P30" s="32" t="s">
        <v>4579</v>
      </c>
      <c r="Q30" s="31" t="s">
        <v>4580</v>
      </c>
      <c r="R30" s="32" t="s">
        <v>4581</v>
      </c>
      <c r="S30" s="31" t="s">
        <v>4582</v>
      </c>
      <c r="T30" s="32" t="s">
        <v>4583</v>
      </c>
      <c r="U30" s="31" t="s">
        <v>4584</v>
      </c>
      <c r="V30" s="32" t="s">
        <v>4585</v>
      </c>
      <c r="W30" s="31" t="s">
        <v>4586</v>
      </c>
      <c r="X30" s="32" t="s">
        <v>4587</v>
      </c>
      <c r="Y30" s="31" t="s">
        <v>4588</v>
      </c>
      <c r="Z30" s="32" t="s">
        <v>4589</v>
      </c>
      <c r="AA30" s="31" t="s">
        <v>4590</v>
      </c>
      <c r="AB30" s="32" t="s">
        <v>4591</v>
      </c>
      <c r="AC30" s="31" t="s">
        <v>4592</v>
      </c>
      <c r="AD30" s="32" t="s">
        <v>4593</v>
      </c>
      <c r="AE30" s="31" t="s">
        <v>4594</v>
      </c>
      <c r="AF30" s="32" t="s">
        <v>4595</v>
      </c>
      <c r="AG30" s="31" t="s">
        <v>4596</v>
      </c>
      <c r="AH30" s="32" t="s">
        <v>4597</v>
      </c>
      <c r="AI30" s="31" t="s">
        <v>4598</v>
      </c>
      <c r="AJ30" s="32" t="s">
        <v>4599</v>
      </c>
      <c r="AK30" s="31" t="s">
        <v>4600</v>
      </c>
      <c r="AL30" s="32" t="s">
        <v>4601</v>
      </c>
      <c r="AM30" s="31" t="s">
        <v>4602</v>
      </c>
      <c r="AN30" s="32" t="s">
        <v>4603</v>
      </c>
      <c r="AO30" s="334" t="s">
        <v>4604</v>
      </c>
      <c r="AP30" s="33" t="s">
        <v>4605</v>
      </c>
      <c r="AQ30" s="992" t="s">
        <v>4606</v>
      </c>
      <c r="AR30" s="993" t="s">
        <v>4934</v>
      </c>
      <c r="AS30" s="34" t="s">
        <v>4935</v>
      </c>
      <c r="AT30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0" s="135" t="str">
        <f t="shared" si="10"/>
        <v xml:space="preserve"> * La variable Reingresos no puede ser mayor al Total Ambos Sexos.</v>
      </c>
      <c r="CC30" s="135" t="str">
        <f t="shared" si="11"/>
        <v xml:space="preserve"> * La variable Pueblos originarios no puede ser mayor al Total Ambos Sexos.</v>
      </c>
      <c r="CD30" s="135" t="str">
        <f t="shared" si="12"/>
        <v xml:space="preserve"> * La variable Migrantes no puede ser mayor al Total Ambos Sexos.</v>
      </c>
      <c r="CE30" s="151"/>
      <c r="CG30" s="84">
        <f t="shared" si="13"/>
        <v>1</v>
      </c>
      <c r="CH30" s="84">
        <f t="shared" si="14"/>
        <v>1</v>
      </c>
      <c r="CI30" s="84">
        <f t="shared" si="15"/>
        <v>1</v>
      </c>
    </row>
    <row r="31" spans="1:87" s="19" customFormat="1" ht="15" customHeight="1" x14ac:dyDescent="0.15">
      <c r="A31" s="5818">
        <v>23030605</v>
      </c>
      <c r="B31" s="7358" t="s">
        <v>2463</v>
      </c>
      <c r="C31" s="985" t="s">
        <v>887</v>
      </c>
      <c r="D31" s="994" t="s">
        <v>4567</v>
      </c>
      <c r="E31" s="995" t="s">
        <v>4568</v>
      </c>
      <c r="F31" s="928" t="s">
        <v>4569</v>
      </c>
      <c r="G31" s="996" t="s">
        <v>4570</v>
      </c>
      <c r="H31" s="997" t="s">
        <v>4571</v>
      </c>
      <c r="I31" s="929" t="s">
        <v>4572</v>
      </c>
      <c r="J31" s="867" t="s">
        <v>4573</v>
      </c>
      <c r="K31" s="929" t="s">
        <v>4574</v>
      </c>
      <c r="L31" s="930" t="s">
        <v>4575</v>
      </c>
      <c r="M31" s="929" t="s">
        <v>4576</v>
      </c>
      <c r="N31" s="930" t="s">
        <v>4577</v>
      </c>
      <c r="O31" s="929" t="s">
        <v>4578</v>
      </c>
      <c r="P31" s="867" t="s">
        <v>4579</v>
      </c>
      <c r="Q31" s="929" t="s">
        <v>4580</v>
      </c>
      <c r="R31" s="930" t="s">
        <v>4581</v>
      </c>
      <c r="S31" s="929" t="s">
        <v>4582</v>
      </c>
      <c r="T31" s="930" t="s">
        <v>4583</v>
      </c>
      <c r="U31" s="929" t="s">
        <v>4584</v>
      </c>
      <c r="V31" s="930" t="s">
        <v>4585</v>
      </c>
      <c r="W31" s="929" t="s">
        <v>4586</v>
      </c>
      <c r="X31" s="930" t="s">
        <v>4587</v>
      </c>
      <c r="Y31" s="929" t="s">
        <v>4588</v>
      </c>
      <c r="Z31" s="930" t="s">
        <v>4589</v>
      </c>
      <c r="AA31" s="929" t="s">
        <v>4590</v>
      </c>
      <c r="AB31" s="867" t="s">
        <v>4591</v>
      </c>
      <c r="AC31" s="929" t="s">
        <v>4592</v>
      </c>
      <c r="AD31" s="930" t="s">
        <v>4593</v>
      </c>
      <c r="AE31" s="929" t="s">
        <v>4594</v>
      </c>
      <c r="AF31" s="930" t="s">
        <v>4595</v>
      </c>
      <c r="AG31" s="929" t="s">
        <v>4596</v>
      </c>
      <c r="AH31" s="867" t="s">
        <v>4597</v>
      </c>
      <c r="AI31" s="929" t="s">
        <v>4598</v>
      </c>
      <c r="AJ31" s="930" t="s">
        <v>4599</v>
      </c>
      <c r="AK31" s="929" t="s">
        <v>4600</v>
      </c>
      <c r="AL31" s="930" t="s">
        <v>4601</v>
      </c>
      <c r="AM31" s="929" t="s">
        <v>4602</v>
      </c>
      <c r="AN31" s="867" t="s">
        <v>4603</v>
      </c>
      <c r="AO31" s="998" t="s">
        <v>4604</v>
      </c>
      <c r="AP31" s="869" t="s">
        <v>4605</v>
      </c>
      <c r="AQ31" s="934" t="s">
        <v>4606</v>
      </c>
      <c r="AR31" s="935" t="s">
        <v>4934</v>
      </c>
      <c r="AS31" s="930" t="s">
        <v>4935</v>
      </c>
      <c r="AT31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1" s="135" t="str">
        <f t="shared" si="10"/>
        <v xml:space="preserve"> * La variable Reingresos no puede ser mayor al Total Ambos Sexos.</v>
      </c>
      <c r="CC31" s="135" t="str">
        <f t="shared" si="11"/>
        <v xml:space="preserve"> * La variable Pueblos originarios no puede ser mayor al Total Ambos Sexos.</v>
      </c>
      <c r="CD31" s="135" t="str">
        <f t="shared" si="12"/>
        <v xml:space="preserve"> * La variable Migrantes no puede ser mayor al Total Ambos Sexos.</v>
      </c>
      <c r="CE31" s="151"/>
      <c r="CG31" s="84">
        <f t="shared" si="13"/>
        <v>1</v>
      </c>
      <c r="CH31" s="84">
        <f t="shared" si="14"/>
        <v>1</v>
      </c>
      <c r="CI31" s="84">
        <f t="shared" si="15"/>
        <v>1</v>
      </c>
    </row>
    <row r="32" spans="1:87" s="19" customFormat="1" ht="15" customHeight="1" x14ac:dyDescent="0.15">
      <c r="A32" s="5818">
        <v>23030615</v>
      </c>
      <c r="B32" s="6088"/>
      <c r="C32" s="990" t="s">
        <v>888</v>
      </c>
      <c r="D32" s="307" t="s">
        <v>4567</v>
      </c>
      <c r="E32" s="986" t="s">
        <v>4568</v>
      </c>
      <c r="F32" s="204" t="s">
        <v>4569</v>
      </c>
      <c r="G32" s="999" t="s">
        <v>4570</v>
      </c>
      <c r="H32" s="1000" t="s">
        <v>4571</v>
      </c>
      <c r="I32" s="940" t="s">
        <v>4572</v>
      </c>
      <c r="J32" s="882" t="s">
        <v>4573</v>
      </c>
      <c r="K32" s="326" t="s">
        <v>4574</v>
      </c>
      <c r="L32" s="142" t="s">
        <v>4575</v>
      </c>
      <c r="M32" s="326" t="s">
        <v>4576</v>
      </c>
      <c r="N32" s="142" t="s">
        <v>4577</v>
      </c>
      <c r="O32" s="326" t="s">
        <v>4578</v>
      </c>
      <c r="P32" s="882" t="s">
        <v>4579</v>
      </c>
      <c r="Q32" s="326" t="s">
        <v>4580</v>
      </c>
      <c r="R32" s="142" t="s">
        <v>4581</v>
      </c>
      <c r="S32" s="326" t="s">
        <v>4582</v>
      </c>
      <c r="T32" s="142" t="s">
        <v>4583</v>
      </c>
      <c r="U32" s="326" t="s">
        <v>4584</v>
      </c>
      <c r="V32" s="142" t="s">
        <v>4585</v>
      </c>
      <c r="W32" s="326" t="s">
        <v>4586</v>
      </c>
      <c r="X32" s="142" t="s">
        <v>4587</v>
      </c>
      <c r="Y32" s="326" t="s">
        <v>4588</v>
      </c>
      <c r="Z32" s="142" t="s">
        <v>4589</v>
      </c>
      <c r="AA32" s="326" t="s">
        <v>4590</v>
      </c>
      <c r="AB32" s="882" t="s">
        <v>4591</v>
      </c>
      <c r="AC32" s="326" t="s">
        <v>4592</v>
      </c>
      <c r="AD32" s="142" t="s">
        <v>4593</v>
      </c>
      <c r="AE32" s="326" t="s">
        <v>4594</v>
      </c>
      <c r="AF32" s="142" t="s">
        <v>4595</v>
      </c>
      <c r="AG32" s="326" t="s">
        <v>4596</v>
      </c>
      <c r="AH32" s="882" t="s">
        <v>4597</v>
      </c>
      <c r="AI32" s="326" t="s">
        <v>4598</v>
      </c>
      <c r="AJ32" s="142" t="s">
        <v>4599</v>
      </c>
      <c r="AK32" s="326" t="s">
        <v>4600</v>
      </c>
      <c r="AL32" s="142" t="s">
        <v>4601</v>
      </c>
      <c r="AM32" s="326" t="s">
        <v>4602</v>
      </c>
      <c r="AN32" s="882" t="s">
        <v>4603</v>
      </c>
      <c r="AO32" s="252" t="s">
        <v>4604</v>
      </c>
      <c r="AP32" s="1001" t="s">
        <v>4605</v>
      </c>
      <c r="AQ32" s="947" t="s">
        <v>4606</v>
      </c>
      <c r="AR32" s="948" t="s">
        <v>4934</v>
      </c>
      <c r="AS32" s="941" t="s">
        <v>4935</v>
      </c>
      <c r="AT32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2" s="135" t="str">
        <f t="shared" si="10"/>
        <v xml:space="preserve"> * La variable Reingresos no puede ser mayor al Total Ambos Sexos.</v>
      </c>
      <c r="CC32" s="135" t="str">
        <f t="shared" si="11"/>
        <v xml:space="preserve"> * La variable Pueblos originarios no puede ser mayor al Total Ambos Sexos.</v>
      </c>
      <c r="CD32" s="135" t="str">
        <f t="shared" si="12"/>
        <v xml:space="preserve"> * La variable Migrantes no puede ser mayor al Total Ambos Sexos.</v>
      </c>
      <c r="CE32" s="151"/>
      <c r="CG32" s="84">
        <f t="shared" si="13"/>
        <v>1</v>
      </c>
      <c r="CH32" s="84">
        <f t="shared" si="14"/>
        <v>1</v>
      </c>
      <c r="CI32" s="84">
        <f t="shared" si="15"/>
        <v>1</v>
      </c>
    </row>
    <row r="33" spans="1:87" s="19" customFormat="1" ht="15" customHeight="1" x14ac:dyDescent="0.15">
      <c r="A33" s="5818">
        <v>23030625</v>
      </c>
      <c r="B33" s="7359"/>
      <c r="C33" s="1003" t="s">
        <v>2462</v>
      </c>
      <c r="D33" s="26" t="s">
        <v>4567</v>
      </c>
      <c r="E33" s="27" t="s">
        <v>4568</v>
      </c>
      <c r="F33" s="204" t="s">
        <v>4569</v>
      </c>
      <c r="G33" s="999" t="s">
        <v>4570</v>
      </c>
      <c r="H33" s="35" t="s">
        <v>4571</v>
      </c>
      <c r="I33" s="964" t="s">
        <v>4572</v>
      </c>
      <c r="J33" s="965" t="s">
        <v>4573</v>
      </c>
      <c r="K33" s="964" t="s">
        <v>4574</v>
      </c>
      <c r="L33" s="965" t="s">
        <v>4575</v>
      </c>
      <c r="M33" s="964" t="s">
        <v>4576</v>
      </c>
      <c r="N33" s="965" t="s">
        <v>4577</v>
      </c>
      <c r="O33" s="964" t="s">
        <v>4578</v>
      </c>
      <c r="P33" s="965" t="s">
        <v>4579</v>
      </c>
      <c r="Q33" s="964" t="s">
        <v>4580</v>
      </c>
      <c r="R33" s="965" t="s">
        <v>4581</v>
      </c>
      <c r="S33" s="964" t="s">
        <v>4582</v>
      </c>
      <c r="T33" s="965" t="s">
        <v>4583</v>
      </c>
      <c r="U33" s="964" t="s">
        <v>4584</v>
      </c>
      <c r="V33" s="965" t="s">
        <v>4585</v>
      </c>
      <c r="W33" s="964" t="s">
        <v>4586</v>
      </c>
      <c r="X33" s="965" t="s">
        <v>4587</v>
      </c>
      <c r="Y33" s="964" t="s">
        <v>4588</v>
      </c>
      <c r="Z33" s="965" t="s">
        <v>4589</v>
      </c>
      <c r="AA33" s="964" t="s">
        <v>4590</v>
      </c>
      <c r="AB33" s="965" t="s">
        <v>4591</v>
      </c>
      <c r="AC33" s="964" t="s">
        <v>4592</v>
      </c>
      <c r="AD33" s="965" t="s">
        <v>4593</v>
      </c>
      <c r="AE33" s="964" t="s">
        <v>4594</v>
      </c>
      <c r="AF33" s="965" t="s">
        <v>4595</v>
      </c>
      <c r="AG33" s="964" t="s">
        <v>4596</v>
      </c>
      <c r="AH33" s="965" t="s">
        <v>4597</v>
      </c>
      <c r="AI33" s="964" t="s">
        <v>4598</v>
      </c>
      <c r="AJ33" s="965" t="s">
        <v>4599</v>
      </c>
      <c r="AK33" s="964" t="s">
        <v>4600</v>
      </c>
      <c r="AL33" s="965" t="s">
        <v>4601</v>
      </c>
      <c r="AM33" s="964" t="s">
        <v>4602</v>
      </c>
      <c r="AN33" s="965" t="s">
        <v>4603</v>
      </c>
      <c r="AO33" s="1004" t="s">
        <v>4604</v>
      </c>
      <c r="AP33" s="969" t="s">
        <v>4605</v>
      </c>
      <c r="AQ33" s="1005" t="s">
        <v>4606</v>
      </c>
      <c r="AR33" s="1006" t="s">
        <v>4934</v>
      </c>
      <c r="AS33" s="854" t="s">
        <v>4935</v>
      </c>
      <c r="AT33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3" s="135" t="str">
        <f t="shared" si="10"/>
        <v xml:space="preserve"> * La variable Reingresos no puede ser mayor al Total Ambos Sexos.</v>
      </c>
      <c r="CC33" s="135" t="str">
        <f t="shared" si="11"/>
        <v xml:space="preserve"> * La variable Pueblos originarios no puede ser mayor al Total Ambos Sexos.</v>
      </c>
      <c r="CD33" s="135" t="str">
        <f t="shared" si="12"/>
        <v xml:space="preserve"> * La variable Migrantes no puede ser mayor al Total Ambos Sexos.</v>
      </c>
      <c r="CE33" s="151"/>
      <c r="CG33" s="84">
        <f t="shared" si="13"/>
        <v>1</v>
      </c>
      <c r="CH33" s="84">
        <f t="shared" si="14"/>
        <v>1</v>
      </c>
      <c r="CI33" s="84">
        <f t="shared" si="15"/>
        <v>1</v>
      </c>
    </row>
    <row r="34" spans="1:87" s="19" customFormat="1" ht="15" customHeight="1" x14ac:dyDescent="0.15">
      <c r="A34" s="5818">
        <v>23060105</v>
      </c>
      <c r="B34" s="7360" t="s">
        <v>2464</v>
      </c>
      <c r="C34" s="985" t="s">
        <v>2465</v>
      </c>
      <c r="D34" s="994" t="s">
        <v>4567</v>
      </c>
      <c r="E34" s="995" t="s">
        <v>4568</v>
      </c>
      <c r="F34" s="928" t="s">
        <v>4569</v>
      </c>
      <c r="G34" s="1007" t="s">
        <v>4570</v>
      </c>
      <c r="H34" s="1008" t="s">
        <v>4571</v>
      </c>
      <c r="I34" s="1007" t="s">
        <v>4572</v>
      </c>
      <c r="J34" s="1008" t="s">
        <v>4573</v>
      </c>
      <c r="K34" s="1007" t="s">
        <v>4574</v>
      </c>
      <c r="L34" s="1008" t="s">
        <v>4575</v>
      </c>
      <c r="M34" s="1007" t="s">
        <v>4576</v>
      </c>
      <c r="N34" s="1008" t="s">
        <v>4577</v>
      </c>
      <c r="O34" s="1007" t="s">
        <v>4578</v>
      </c>
      <c r="P34" s="1008" t="s">
        <v>4579</v>
      </c>
      <c r="Q34" s="1007" t="s">
        <v>4580</v>
      </c>
      <c r="R34" s="1008" t="s">
        <v>4581</v>
      </c>
      <c r="S34" s="1007" t="s">
        <v>4582</v>
      </c>
      <c r="T34" s="1008" t="s">
        <v>4583</v>
      </c>
      <c r="U34" s="1007" t="s">
        <v>4584</v>
      </c>
      <c r="V34" s="1008" t="s">
        <v>4585</v>
      </c>
      <c r="W34" s="1007" t="s">
        <v>4586</v>
      </c>
      <c r="X34" s="1008" t="s">
        <v>4587</v>
      </c>
      <c r="Y34" s="929" t="s">
        <v>4588</v>
      </c>
      <c r="Z34" s="867" t="s">
        <v>4589</v>
      </c>
      <c r="AA34" s="929" t="s">
        <v>4590</v>
      </c>
      <c r="AB34" s="867" t="s">
        <v>4591</v>
      </c>
      <c r="AC34" s="929" t="s">
        <v>4592</v>
      </c>
      <c r="AD34" s="867" t="s">
        <v>4593</v>
      </c>
      <c r="AE34" s="929" t="s">
        <v>4594</v>
      </c>
      <c r="AF34" s="867" t="s">
        <v>4595</v>
      </c>
      <c r="AG34" s="929" t="s">
        <v>4596</v>
      </c>
      <c r="AH34" s="867" t="s">
        <v>4597</v>
      </c>
      <c r="AI34" s="929" t="s">
        <v>4598</v>
      </c>
      <c r="AJ34" s="867" t="s">
        <v>4599</v>
      </c>
      <c r="AK34" s="929" t="s">
        <v>4600</v>
      </c>
      <c r="AL34" s="867" t="s">
        <v>4601</v>
      </c>
      <c r="AM34" s="929" t="s">
        <v>4602</v>
      </c>
      <c r="AN34" s="867" t="s">
        <v>4603</v>
      </c>
      <c r="AO34" s="998" t="s">
        <v>4604</v>
      </c>
      <c r="AP34" s="869" t="s">
        <v>4605</v>
      </c>
      <c r="AQ34" s="934" t="s">
        <v>4606</v>
      </c>
      <c r="AR34" s="935" t="s">
        <v>4934</v>
      </c>
      <c r="AS34" s="930" t="s">
        <v>4935</v>
      </c>
      <c r="AT34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4" s="135" t="str">
        <f t="shared" si="10"/>
        <v xml:space="preserve"> * La variable Reingresos no puede ser mayor al Total Ambos Sexos.</v>
      </c>
      <c r="CC34" s="135" t="str">
        <f t="shared" si="11"/>
        <v xml:space="preserve"> * La variable Pueblos originarios no puede ser mayor al Total Ambos Sexos.</v>
      </c>
      <c r="CD34" s="135" t="str">
        <f t="shared" si="12"/>
        <v xml:space="preserve"> * La variable Migrantes no puede ser mayor al Total Ambos Sexos.</v>
      </c>
      <c r="CE34" s="151"/>
      <c r="CG34" s="84">
        <f t="shared" si="13"/>
        <v>1</v>
      </c>
      <c r="CH34" s="84">
        <f t="shared" si="14"/>
        <v>1</v>
      </c>
      <c r="CI34" s="84">
        <f t="shared" si="15"/>
        <v>1</v>
      </c>
    </row>
    <row r="35" spans="1:87" s="19" customFormat="1" ht="15" customHeight="1" x14ac:dyDescent="0.15">
      <c r="A35" s="5818">
        <v>23060115</v>
      </c>
      <c r="B35" s="6906"/>
      <c r="C35" s="1003" t="s">
        <v>2466</v>
      </c>
      <c r="D35" s="962" t="s">
        <v>4567</v>
      </c>
      <c r="E35" s="1009" t="s">
        <v>4568</v>
      </c>
      <c r="F35" s="413" t="s">
        <v>4569</v>
      </c>
      <c r="G35" s="1010" t="s">
        <v>4570</v>
      </c>
      <c r="H35" s="1011" t="s">
        <v>4571</v>
      </c>
      <c r="I35" s="1010" t="s">
        <v>4572</v>
      </c>
      <c r="J35" s="1011" t="s">
        <v>4573</v>
      </c>
      <c r="K35" s="1010" t="s">
        <v>4574</v>
      </c>
      <c r="L35" s="1011" t="s">
        <v>4575</v>
      </c>
      <c r="M35" s="1010" t="s">
        <v>4576</v>
      </c>
      <c r="N35" s="1011" t="s">
        <v>4577</v>
      </c>
      <c r="O35" s="1010" t="s">
        <v>4578</v>
      </c>
      <c r="P35" s="1011" t="s">
        <v>4579</v>
      </c>
      <c r="Q35" s="1010" t="s">
        <v>4580</v>
      </c>
      <c r="R35" s="1011" t="s">
        <v>4581</v>
      </c>
      <c r="S35" s="1010" t="s">
        <v>4582</v>
      </c>
      <c r="T35" s="1011" t="s">
        <v>4583</v>
      </c>
      <c r="U35" s="1010" t="s">
        <v>4584</v>
      </c>
      <c r="V35" s="1011" t="s">
        <v>4585</v>
      </c>
      <c r="W35" s="1010" t="s">
        <v>4586</v>
      </c>
      <c r="X35" s="1011" t="s">
        <v>4587</v>
      </c>
      <c r="Y35" s="964" t="s">
        <v>4588</v>
      </c>
      <c r="Z35" s="965" t="s">
        <v>4589</v>
      </c>
      <c r="AA35" s="964" t="s">
        <v>4590</v>
      </c>
      <c r="AB35" s="965" t="s">
        <v>4591</v>
      </c>
      <c r="AC35" s="964" t="s">
        <v>4592</v>
      </c>
      <c r="AD35" s="965" t="s">
        <v>4593</v>
      </c>
      <c r="AE35" s="964" t="s">
        <v>4594</v>
      </c>
      <c r="AF35" s="965" t="s">
        <v>4595</v>
      </c>
      <c r="AG35" s="964" t="s">
        <v>4596</v>
      </c>
      <c r="AH35" s="965" t="s">
        <v>4597</v>
      </c>
      <c r="AI35" s="964" t="s">
        <v>4598</v>
      </c>
      <c r="AJ35" s="965" t="s">
        <v>4599</v>
      </c>
      <c r="AK35" s="964" t="s">
        <v>4600</v>
      </c>
      <c r="AL35" s="965" t="s">
        <v>4601</v>
      </c>
      <c r="AM35" s="964" t="s">
        <v>4602</v>
      </c>
      <c r="AN35" s="965" t="s">
        <v>4603</v>
      </c>
      <c r="AO35" s="1004" t="s">
        <v>4604</v>
      </c>
      <c r="AP35" s="969" t="s">
        <v>4605</v>
      </c>
      <c r="AQ35" s="1005" t="s">
        <v>4606</v>
      </c>
      <c r="AR35" s="1006" t="s">
        <v>4934</v>
      </c>
      <c r="AS35" s="854" t="s">
        <v>4935</v>
      </c>
      <c r="AT35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5" s="135" t="str">
        <f t="shared" si="10"/>
        <v xml:space="preserve"> * La variable Reingresos no puede ser mayor al Total Ambos Sexos.</v>
      </c>
      <c r="CC35" s="135" t="str">
        <f t="shared" si="11"/>
        <v xml:space="preserve"> * La variable Pueblos originarios no puede ser mayor al Total Ambos Sexos.</v>
      </c>
      <c r="CD35" s="135" t="str">
        <f t="shared" si="12"/>
        <v xml:space="preserve"> * La variable Migrantes no puede ser mayor al Total Ambos Sexos.</v>
      </c>
      <c r="CE35" s="151"/>
      <c r="CG35" s="84">
        <f t="shared" si="13"/>
        <v>1</v>
      </c>
      <c r="CH35" s="84">
        <f t="shared" si="14"/>
        <v>1</v>
      </c>
      <c r="CI35" s="84">
        <f t="shared" si="15"/>
        <v>1</v>
      </c>
    </row>
    <row r="36" spans="1:87" s="19" customFormat="1" ht="15" customHeight="1" x14ac:dyDescent="0.15">
      <c r="A36" s="5818">
        <v>23030900</v>
      </c>
      <c r="B36" s="7361" t="s">
        <v>2467</v>
      </c>
      <c r="C36" s="7362"/>
      <c r="D36" s="335" t="s">
        <v>4567</v>
      </c>
      <c r="E36" s="1013" t="s">
        <v>4568</v>
      </c>
      <c r="F36" s="204" t="s">
        <v>4569</v>
      </c>
      <c r="G36" s="326" t="s">
        <v>4570</v>
      </c>
      <c r="H36" s="142" t="s">
        <v>4571</v>
      </c>
      <c r="I36" s="326" t="s">
        <v>4572</v>
      </c>
      <c r="J36" s="882" t="s">
        <v>4573</v>
      </c>
      <c r="K36" s="326" t="s">
        <v>4574</v>
      </c>
      <c r="L36" s="882" t="s">
        <v>4575</v>
      </c>
      <c r="M36" s="326" t="s">
        <v>4576</v>
      </c>
      <c r="N36" s="882" t="s">
        <v>4577</v>
      </c>
      <c r="O36" s="326" t="s">
        <v>4578</v>
      </c>
      <c r="P36" s="882" t="s">
        <v>4579</v>
      </c>
      <c r="Q36" s="326" t="s">
        <v>4580</v>
      </c>
      <c r="R36" s="882" t="s">
        <v>4581</v>
      </c>
      <c r="S36" s="326" t="s">
        <v>4582</v>
      </c>
      <c r="T36" s="882" t="s">
        <v>4583</v>
      </c>
      <c r="U36" s="326" t="s">
        <v>4584</v>
      </c>
      <c r="V36" s="882" t="s">
        <v>4585</v>
      </c>
      <c r="W36" s="326" t="s">
        <v>4586</v>
      </c>
      <c r="X36" s="882" t="s">
        <v>4587</v>
      </c>
      <c r="Y36" s="326" t="s">
        <v>4588</v>
      </c>
      <c r="Z36" s="882" t="s">
        <v>4589</v>
      </c>
      <c r="AA36" s="326" t="s">
        <v>4590</v>
      </c>
      <c r="AB36" s="882" t="s">
        <v>4591</v>
      </c>
      <c r="AC36" s="326" t="s">
        <v>4592</v>
      </c>
      <c r="AD36" s="882" t="s">
        <v>4593</v>
      </c>
      <c r="AE36" s="326" t="s">
        <v>4594</v>
      </c>
      <c r="AF36" s="882" t="s">
        <v>4595</v>
      </c>
      <c r="AG36" s="326" t="s">
        <v>4596</v>
      </c>
      <c r="AH36" s="882" t="s">
        <v>4597</v>
      </c>
      <c r="AI36" s="326" t="s">
        <v>4598</v>
      </c>
      <c r="AJ36" s="882" t="s">
        <v>4599</v>
      </c>
      <c r="AK36" s="326" t="s">
        <v>4600</v>
      </c>
      <c r="AL36" s="882" t="s">
        <v>4601</v>
      </c>
      <c r="AM36" s="326" t="s">
        <v>4602</v>
      </c>
      <c r="AN36" s="882" t="s">
        <v>4603</v>
      </c>
      <c r="AO36" s="252" t="s">
        <v>4604</v>
      </c>
      <c r="AP36" s="1001" t="s">
        <v>4605</v>
      </c>
      <c r="AQ36" s="336" t="s">
        <v>4606</v>
      </c>
      <c r="AR36" s="1014" t="s">
        <v>4934</v>
      </c>
      <c r="AS36" s="142" t="s">
        <v>4935</v>
      </c>
      <c r="AT36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6" s="135" t="str">
        <f t="shared" si="10"/>
        <v xml:space="preserve"> * La variable Reingresos no puede ser mayor al Total Ambos Sexos.</v>
      </c>
      <c r="CC36" s="135" t="str">
        <f t="shared" si="11"/>
        <v xml:space="preserve"> * La variable Pueblos originarios no puede ser mayor al Total Ambos Sexos.</v>
      </c>
      <c r="CD36" s="135" t="str">
        <f t="shared" si="12"/>
        <v xml:space="preserve"> * La variable Migrantes no puede ser mayor al Total Ambos Sexos.</v>
      </c>
      <c r="CE36" s="151"/>
      <c r="CG36" s="84">
        <f t="shared" si="13"/>
        <v>1</v>
      </c>
      <c r="CH36" s="84">
        <f t="shared" si="14"/>
        <v>1</v>
      </c>
      <c r="CI36" s="84">
        <f t="shared" si="15"/>
        <v>1</v>
      </c>
    </row>
    <row r="37" spans="1:87" s="19" customFormat="1" ht="15" customHeight="1" x14ac:dyDescent="0.15">
      <c r="A37" s="5818">
        <v>23031000</v>
      </c>
      <c r="B37" s="7363" t="s">
        <v>2468</v>
      </c>
      <c r="C37" s="7364"/>
      <c r="D37" s="937" t="s">
        <v>4567</v>
      </c>
      <c r="E37" s="1016" t="s">
        <v>4568</v>
      </c>
      <c r="F37" s="939" t="s">
        <v>4569</v>
      </c>
      <c r="G37" s="940" t="s">
        <v>4570</v>
      </c>
      <c r="H37" s="941" t="s">
        <v>4571</v>
      </c>
      <c r="I37" s="940" t="s">
        <v>4572</v>
      </c>
      <c r="J37" s="942" t="s">
        <v>4573</v>
      </c>
      <c r="K37" s="940" t="s">
        <v>4574</v>
      </c>
      <c r="L37" s="942" t="s">
        <v>4575</v>
      </c>
      <c r="M37" s="940" t="s">
        <v>4576</v>
      </c>
      <c r="N37" s="942" t="s">
        <v>4577</v>
      </c>
      <c r="O37" s="940" t="s">
        <v>4578</v>
      </c>
      <c r="P37" s="942" t="s">
        <v>4579</v>
      </c>
      <c r="Q37" s="940" t="s">
        <v>4580</v>
      </c>
      <c r="R37" s="942" t="s">
        <v>4581</v>
      </c>
      <c r="S37" s="940" t="s">
        <v>4582</v>
      </c>
      <c r="T37" s="942" t="s">
        <v>4583</v>
      </c>
      <c r="U37" s="940" t="s">
        <v>4584</v>
      </c>
      <c r="V37" s="942" t="s">
        <v>4585</v>
      </c>
      <c r="W37" s="940" t="s">
        <v>4586</v>
      </c>
      <c r="X37" s="942" t="s">
        <v>4587</v>
      </c>
      <c r="Y37" s="940" t="s">
        <v>4588</v>
      </c>
      <c r="Z37" s="942" t="s">
        <v>4589</v>
      </c>
      <c r="AA37" s="940" t="s">
        <v>4590</v>
      </c>
      <c r="AB37" s="942" t="s">
        <v>4591</v>
      </c>
      <c r="AC37" s="940" t="s">
        <v>4592</v>
      </c>
      <c r="AD37" s="942" t="s">
        <v>4593</v>
      </c>
      <c r="AE37" s="940" t="s">
        <v>4594</v>
      </c>
      <c r="AF37" s="942" t="s">
        <v>4595</v>
      </c>
      <c r="AG37" s="940" t="s">
        <v>4596</v>
      </c>
      <c r="AH37" s="942" t="s">
        <v>4597</v>
      </c>
      <c r="AI37" s="940" t="s">
        <v>4598</v>
      </c>
      <c r="AJ37" s="942" t="s">
        <v>4599</v>
      </c>
      <c r="AK37" s="940" t="s">
        <v>4600</v>
      </c>
      <c r="AL37" s="942" t="s">
        <v>4601</v>
      </c>
      <c r="AM37" s="940" t="s">
        <v>4602</v>
      </c>
      <c r="AN37" s="942" t="s">
        <v>4603</v>
      </c>
      <c r="AO37" s="1017" t="s">
        <v>4604</v>
      </c>
      <c r="AP37" s="946" t="s">
        <v>4605</v>
      </c>
      <c r="AQ37" s="947" t="s">
        <v>4606</v>
      </c>
      <c r="AR37" s="948" t="s">
        <v>4934</v>
      </c>
      <c r="AS37" s="941" t="s">
        <v>4935</v>
      </c>
      <c r="AT37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7" s="135" t="str">
        <f t="shared" si="10"/>
        <v xml:space="preserve"> * La variable Reingresos no puede ser mayor al Total Ambos Sexos.</v>
      </c>
      <c r="CC37" s="135" t="str">
        <f t="shared" si="11"/>
        <v xml:space="preserve"> * La variable Pueblos originarios no puede ser mayor al Total Ambos Sexos.</v>
      </c>
      <c r="CD37" s="135" t="str">
        <f t="shared" si="12"/>
        <v xml:space="preserve"> * La variable Migrantes no puede ser mayor al Total Ambos Sexos.</v>
      </c>
      <c r="CE37" s="151"/>
      <c r="CG37" s="84">
        <f t="shared" si="13"/>
        <v>1</v>
      </c>
      <c r="CH37" s="84">
        <f t="shared" si="14"/>
        <v>1</v>
      </c>
      <c r="CI37" s="84">
        <f t="shared" si="15"/>
        <v>1</v>
      </c>
    </row>
    <row r="38" spans="1:87" s="19" customFormat="1" ht="15" customHeight="1" x14ac:dyDescent="0.15">
      <c r="A38" s="5824">
        <v>23090780</v>
      </c>
      <c r="B38" s="7341" t="s">
        <v>2469</v>
      </c>
      <c r="C38" s="7342"/>
      <c r="D38" s="950" t="s">
        <v>4567</v>
      </c>
      <c r="E38" s="1019" t="s">
        <v>4568</v>
      </c>
      <c r="F38" s="939" t="s">
        <v>4569</v>
      </c>
      <c r="G38" s="940" t="s">
        <v>4570</v>
      </c>
      <c r="H38" s="941" t="s">
        <v>4571</v>
      </c>
      <c r="I38" s="940" t="s">
        <v>4572</v>
      </c>
      <c r="J38" s="942" t="s">
        <v>4573</v>
      </c>
      <c r="K38" s="940" t="s">
        <v>4574</v>
      </c>
      <c r="L38" s="942" t="s">
        <v>4575</v>
      </c>
      <c r="M38" s="940" t="s">
        <v>4576</v>
      </c>
      <c r="N38" s="942" t="s">
        <v>4577</v>
      </c>
      <c r="O38" s="940" t="s">
        <v>4578</v>
      </c>
      <c r="P38" s="942" t="s">
        <v>4579</v>
      </c>
      <c r="Q38" s="940" t="s">
        <v>4580</v>
      </c>
      <c r="R38" s="942" t="s">
        <v>4581</v>
      </c>
      <c r="S38" s="940" t="s">
        <v>4582</v>
      </c>
      <c r="T38" s="942" t="s">
        <v>4583</v>
      </c>
      <c r="U38" s="940" t="s">
        <v>4584</v>
      </c>
      <c r="V38" s="942" t="s">
        <v>4585</v>
      </c>
      <c r="W38" s="940" t="s">
        <v>4586</v>
      </c>
      <c r="X38" s="942" t="s">
        <v>4587</v>
      </c>
      <c r="Y38" s="940" t="s">
        <v>4588</v>
      </c>
      <c r="Z38" s="942" t="s">
        <v>4589</v>
      </c>
      <c r="AA38" s="940" t="s">
        <v>4590</v>
      </c>
      <c r="AB38" s="942" t="s">
        <v>4591</v>
      </c>
      <c r="AC38" s="940" t="s">
        <v>4592</v>
      </c>
      <c r="AD38" s="942" t="s">
        <v>4593</v>
      </c>
      <c r="AE38" s="940" t="s">
        <v>4594</v>
      </c>
      <c r="AF38" s="942" t="s">
        <v>4595</v>
      </c>
      <c r="AG38" s="940" t="s">
        <v>4596</v>
      </c>
      <c r="AH38" s="942" t="s">
        <v>4597</v>
      </c>
      <c r="AI38" s="940" t="s">
        <v>4598</v>
      </c>
      <c r="AJ38" s="942" t="s">
        <v>4599</v>
      </c>
      <c r="AK38" s="940" t="s">
        <v>4600</v>
      </c>
      <c r="AL38" s="942" t="s">
        <v>4601</v>
      </c>
      <c r="AM38" s="940" t="s">
        <v>4602</v>
      </c>
      <c r="AN38" s="942" t="s">
        <v>4603</v>
      </c>
      <c r="AO38" s="1017" t="s">
        <v>4604</v>
      </c>
      <c r="AP38" s="946" t="s">
        <v>4605</v>
      </c>
      <c r="AQ38" s="947" t="s">
        <v>4606</v>
      </c>
      <c r="AR38" s="948" t="s">
        <v>4934</v>
      </c>
      <c r="AS38" s="941" t="s">
        <v>4935</v>
      </c>
      <c r="AT38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8" s="135" t="str">
        <f t="shared" si="10"/>
        <v xml:space="preserve"> * La variable Reingresos no puede ser mayor al Total Ambos Sexos.</v>
      </c>
      <c r="CC38" s="135" t="str">
        <f t="shared" si="11"/>
        <v xml:space="preserve"> * La variable Pueblos originarios no puede ser mayor al Total Ambos Sexos.</v>
      </c>
      <c r="CD38" s="135" t="str">
        <f t="shared" si="12"/>
        <v xml:space="preserve"> * La variable Migrantes no puede ser mayor al Total Ambos Sexos.</v>
      </c>
      <c r="CE38" s="151"/>
      <c r="CG38" s="84">
        <f t="shared" si="13"/>
        <v>1</v>
      </c>
      <c r="CH38" s="84">
        <f t="shared" si="14"/>
        <v>1</v>
      </c>
      <c r="CI38" s="84">
        <f t="shared" si="15"/>
        <v>1</v>
      </c>
    </row>
    <row r="39" spans="1:87" s="19" customFormat="1" ht="15" customHeight="1" x14ac:dyDescent="0.15">
      <c r="A39" s="5824">
        <v>23090790</v>
      </c>
      <c r="B39" s="7365" t="s">
        <v>2470</v>
      </c>
      <c r="C39" s="7364"/>
      <c r="D39" s="937" t="s">
        <v>4567</v>
      </c>
      <c r="E39" s="1016" t="s">
        <v>4568</v>
      </c>
      <c r="F39" s="939" t="s">
        <v>4569</v>
      </c>
      <c r="G39" s="940" t="s">
        <v>4570</v>
      </c>
      <c r="H39" s="941" t="s">
        <v>4571</v>
      </c>
      <c r="I39" s="940" t="s">
        <v>4572</v>
      </c>
      <c r="J39" s="942" t="s">
        <v>4573</v>
      </c>
      <c r="K39" s="940" t="s">
        <v>4574</v>
      </c>
      <c r="L39" s="942" t="s">
        <v>4575</v>
      </c>
      <c r="M39" s="940" t="s">
        <v>4576</v>
      </c>
      <c r="N39" s="942" t="s">
        <v>4577</v>
      </c>
      <c r="O39" s="940" t="s">
        <v>4578</v>
      </c>
      <c r="P39" s="942" t="s">
        <v>4579</v>
      </c>
      <c r="Q39" s="940" t="s">
        <v>4580</v>
      </c>
      <c r="R39" s="942" t="s">
        <v>4581</v>
      </c>
      <c r="S39" s="940" t="s">
        <v>4582</v>
      </c>
      <c r="T39" s="942" t="s">
        <v>4583</v>
      </c>
      <c r="U39" s="940" t="s">
        <v>4584</v>
      </c>
      <c r="V39" s="942" t="s">
        <v>4585</v>
      </c>
      <c r="W39" s="940" t="s">
        <v>4586</v>
      </c>
      <c r="X39" s="942" t="s">
        <v>4587</v>
      </c>
      <c r="Y39" s="940" t="s">
        <v>4588</v>
      </c>
      <c r="Z39" s="942" t="s">
        <v>4589</v>
      </c>
      <c r="AA39" s="940" t="s">
        <v>4590</v>
      </c>
      <c r="AB39" s="942" t="s">
        <v>4591</v>
      </c>
      <c r="AC39" s="940" t="s">
        <v>4592</v>
      </c>
      <c r="AD39" s="942" t="s">
        <v>4593</v>
      </c>
      <c r="AE39" s="940" t="s">
        <v>4594</v>
      </c>
      <c r="AF39" s="942" t="s">
        <v>4595</v>
      </c>
      <c r="AG39" s="940" t="s">
        <v>4596</v>
      </c>
      <c r="AH39" s="942" t="s">
        <v>4597</v>
      </c>
      <c r="AI39" s="940" t="s">
        <v>4598</v>
      </c>
      <c r="AJ39" s="942" t="s">
        <v>4599</v>
      </c>
      <c r="AK39" s="940" t="s">
        <v>4600</v>
      </c>
      <c r="AL39" s="942" t="s">
        <v>4601</v>
      </c>
      <c r="AM39" s="940" t="s">
        <v>4602</v>
      </c>
      <c r="AN39" s="942" t="s">
        <v>4603</v>
      </c>
      <c r="AO39" s="1017" t="s">
        <v>4604</v>
      </c>
      <c r="AP39" s="946" t="s">
        <v>4605</v>
      </c>
      <c r="AQ39" s="947" t="s">
        <v>4606</v>
      </c>
      <c r="AR39" s="948" t="s">
        <v>4934</v>
      </c>
      <c r="AS39" s="941" t="s">
        <v>4935</v>
      </c>
      <c r="AT39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9" s="135" t="str">
        <f t="shared" si="10"/>
        <v xml:space="preserve"> * La variable Reingresos no puede ser mayor al Total Ambos Sexos.</v>
      </c>
      <c r="CC39" s="135" t="str">
        <f t="shared" si="11"/>
        <v xml:space="preserve"> * La variable Pueblos originarios no puede ser mayor al Total Ambos Sexos.</v>
      </c>
      <c r="CD39" s="135" t="str">
        <f t="shared" si="12"/>
        <v xml:space="preserve"> * La variable Migrantes no puede ser mayor al Total Ambos Sexos.</v>
      </c>
      <c r="CE39" s="151"/>
      <c r="CG39" s="84">
        <f t="shared" si="13"/>
        <v>1</v>
      </c>
      <c r="CH39" s="84">
        <f t="shared" si="14"/>
        <v>1</v>
      </c>
      <c r="CI39" s="84">
        <f t="shared" si="15"/>
        <v>1</v>
      </c>
    </row>
    <row r="40" spans="1:87" s="19" customFormat="1" ht="15" customHeight="1" x14ac:dyDescent="0.15">
      <c r="A40" s="5824">
        <v>23090770</v>
      </c>
      <c r="B40" s="7343" t="s">
        <v>2471</v>
      </c>
      <c r="C40" s="6838"/>
      <c r="D40" s="1020" t="s">
        <v>4567</v>
      </c>
      <c r="E40" s="1021" t="s">
        <v>4568</v>
      </c>
      <c r="F40" s="939" t="s">
        <v>4569</v>
      </c>
      <c r="G40" s="964" t="s">
        <v>4570</v>
      </c>
      <c r="H40" s="854" t="s">
        <v>4571</v>
      </c>
      <c r="I40" s="964" t="s">
        <v>4572</v>
      </c>
      <c r="J40" s="965" t="s">
        <v>4573</v>
      </c>
      <c r="K40" s="964" t="s">
        <v>4574</v>
      </c>
      <c r="L40" s="965" t="s">
        <v>4575</v>
      </c>
      <c r="M40" s="964" t="s">
        <v>4576</v>
      </c>
      <c r="N40" s="965" t="s">
        <v>4577</v>
      </c>
      <c r="O40" s="964" t="s">
        <v>4578</v>
      </c>
      <c r="P40" s="965" t="s">
        <v>4579</v>
      </c>
      <c r="Q40" s="964" t="s">
        <v>4580</v>
      </c>
      <c r="R40" s="965" t="s">
        <v>4581</v>
      </c>
      <c r="S40" s="964" t="s">
        <v>4582</v>
      </c>
      <c r="T40" s="965" t="s">
        <v>4583</v>
      </c>
      <c r="U40" s="964" t="s">
        <v>4584</v>
      </c>
      <c r="V40" s="965" t="s">
        <v>4585</v>
      </c>
      <c r="W40" s="964" t="s">
        <v>4586</v>
      </c>
      <c r="X40" s="965" t="s">
        <v>4587</v>
      </c>
      <c r="Y40" s="964" t="s">
        <v>4588</v>
      </c>
      <c r="Z40" s="965" t="s">
        <v>4589</v>
      </c>
      <c r="AA40" s="964" t="s">
        <v>4590</v>
      </c>
      <c r="AB40" s="965" t="s">
        <v>4591</v>
      </c>
      <c r="AC40" s="964" t="s">
        <v>4592</v>
      </c>
      <c r="AD40" s="965" t="s">
        <v>4593</v>
      </c>
      <c r="AE40" s="964" t="s">
        <v>4594</v>
      </c>
      <c r="AF40" s="965" t="s">
        <v>4595</v>
      </c>
      <c r="AG40" s="964" t="s">
        <v>4596</v>
      </c>
      <c r="AH40" s="965" t="s">
        <v>4597</v>
      </c>
      <c r="AI40" s="964" t="s">
        <v>4598</v>
      </c>
      <c r="AJ40" s="965" t="s">
        <v>4599</v>
      </c>
      <c r="AK40" s="964" t="s">
        <v>4600</v>
      </c>
      <c r="AL40" s="965" t="s">
        <v>4601</v>
      </c>
      <c r="AM40" s="964" t="s">
        <v>4602</v>
      </c>
      <c r="AN40" s="965" t="s">
        <v>4603</v>
      </c>
      <c r="AO40" s="1004" t="s">
        <v>4604</v>
      </c>
      <c r="AP40" s="969" t="s">
        <v>4605</v>
      </c>
      <c r="AQ40" s="1005" t="s">
        <v>4606</v>
      </c>
      <c r="AR40" s="1006" t="s">
        <v>4934</v>
      </c>
      <c r="AS40" s="854" t="s">
        <v>4935</v>
      </c>
      <c r="AT40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40" s="135" t="str">
        <f t="shared" si="10"/>
        <v xml:space="preserve"> * La variable Reingresos no puede ser mayor al Total Ambos Sexos.</v>
      </c>
      <c r="CC40" s="135" t="str">
        <f t="shared" si="11"/>
        <v xml:space="preserve"> * La variable Pueblos originarios no puede ser mayor al Total Ambos Sexos.</v>
      </c>
      <c r="CD40" s="135" t="str">
        <f t="shared" si="12"/>
        <v xml:space="preserve"> * La variable Migrantes no puede ser mayor al Total Ambos Sexos.</v>
      </c>
      <c r="CE40" s="151"/>
      <c r="CG40" s="84">
        <f t="shared" si="13"/>
        <v>1</v>
      </c>
      <c r="CH40" s="84">
        <f t="shared" si="14"/>
        <v>1</v>
      </c>
      <c r="CI40" s="84">
        <f t="shared" si="15"/>
        <v>1</v>
      </c>
    </row>
    <row r="41" spans="1:87" s="19" customFormat="1" ht="15" customHeight="1" x14ac:dyDescent="0.2">
      <c r="A41" s="5863"/>
      <c r="B41" s="7340" t="s">
        <v>77</v>
      </c>
      <c r="C41" s="7340"/>
      <c r="D41" s="973">
        <f t="shared" ref="D41:AQ41" si="17">SUM(D28:D40)</f>
        <v>0</v>
      </c>
      <c r="E41" s="980">
        <f t="shared" si="17"/>
        <v>0</v>
      </c>
      <c r="F41" s="974">
        <f t="shared" si="17"/>
        <v>0</v>
      </c>
      <c r="G41" s="973">
        <f t="shared" si="17"/>
        <v>0</v>
      </c>
      <c r="H41" s="974">
        <f t="shared" si="17"/>
        <v>0</v>
      </c>
      <c r="I41" s="973">
        <f>SUM(I28:I40)</f>
        <v>0</v>
      </c>
      <c r="J41" s="974">
        <f t="shared" si="17"/>
        <v>0</v>
      </c>
      <c r="K41" s="973">
        <f t="shared" si="17"/>
        <v>0</v>
      </c>
      <c r="L41" s="974">
        <f t="shared" si="17"/>
        <v>0</v>
      </c>
      <c r="M41" s="1022">
        <f t="shared" si="17"/>
        <v>0</v>
      </c>
      <c r="N41" s="975">
        <f t="shared" si="17"/>
        <v>0</v>
      </c>
      <c r="O41" s="1022">
        <f t="shared" si="17"/>
        <v>0</v>
      </c>
      <c r="P41" s="975">
        <f t="shared" si="17"/>
        <v>0</v>
      </c>
      <c r="Q41" s="1023">
        <f t="shared" si="17"/>
        <v>0</v>
      </c>
      <c r="R41" s="975">
        <f t="shared" si="17"/>
        <v>0</v>
      </c>
      <c r="S41" s="1022">
        <f t="shared" si="17"/>
        <v>0</v>
      </c>
      <c r="T41" s="975">
        <f t="shared" si="17"/>
        <v>0</v>
      </c>
      <c r="U41" s="1022">
        <f t="shared" ref="U41:V41" si="18">SUM(U28:U40)</f>
        <v>0</v>
      </c>
      <c r="V41" s="975">
        <f t="shared" si="18"/>
        <v>0</v>
      </c>
      <c r="W41" s="1022">
        <f t="shared" ref="W41:X41" si="19">SUM(W28:W40)</f>
        <v>0</v>
      </c>
      <c r="X41" s="975">
        <f t="shared" si="19"/>
        <v>0</v>
      </c>
      <c r="Y41" s="973">
        <f t="shared" si="17"/>
        <v>0</v>
      </c>
      <c r="Z41" s="1024">
        <f t="shared" si="17"/>
        <v>0</v>
      </c>
      <c r="AA41" s="973">
        <f t="shared" si="17"/>
        <v>0</v>
      </c>
      <c r="AB41" s="1024">
        <f t="shared" si="17"/>
        <v>0</v>
      </c>
      <c r="AC41" s="973">
        <f t="shared" si="17"/>
        <v>0</v>
      </c>
      <c r="AD41" s="1024">
        <f t="shared" si="17"/>
        <v>0</v>
      </c>
      <c r="AE41" s="1022">
        <f t="shared" si="17"/>
        <v>0</v>
      </c>
      <c r="AF41" s="975">
        <f t="shared" si="17"/>
        <v>0</v>
      </c>
      <c r="AG41" s="1022">
        <f t="shared" si="17"/>
        <v>0</v>
      </c>
      <c r="AH41" s="975">
        <f t="shared" si="17"/>
        <v>0</v>
      </c>
      <c r="AI41" s="1023">
        <f t="shared" si="17"/>
        <v>0</v>
      </c>
      <c r="AJ41" s="975">
        <f t="shared" si="17"/>
        <v>0</v>
      </c>
      <c r="AK41" s="1022">
        <f t="shared" si="17"/>
        <v>0</v>
      </c>
      <c r="AL41" s="975">
        <f t="shared" si="17"/>
        <v>0</v>
      </c>
      <c r="AM41" s="1022">
        <f t="shared" si="17"/>
        <v>0</v>
      </c>
      <c r="AN41" s="975">
        <f t="shared" si="17"/>
        <v>0</v>
      </c>
      <c r="AO41" s="1022">
        <f t="shared" si="17"/>
        <v>0</v>
      </c>
      <c r="AP41" s="978">
        <f t="shared" si="17"/>
        <v>0</v>
      </c>
      <c r="AQ41" s="979">
        <f t="shared" si="17"/>
        <v>0</v>
      </c>
      <c r="AR41" s="980">
        <f>SUM(AR28:AR40)</f>
        <v>0</v>
      </c>
      <c r="AS41" s="974">
        <f>SUM(AS28:AS40)</f>
        <v>0</v>
      </c>
    </row>
    <row r="42" spans="1:87" s="25" customFormat="1" ht="18" customHeight="1" x14ac:dyDescent="0.25">
      <c r="A42"/>
      <c r="B42" s="3" t="s">
        <v>2472</v>
      </c>
    </row>
    <row r="43" spans="1:87" s="19" customFormat="1" ht="15" customHeight="1" x14ac:dyDescent="0.15">
      <c r="A43" s="5862"/>
      <c r="B43" s="7347" t="s">
        <v>2459</v>
      </c>
      <c r="C43" s="7350" t="s">
        <v>77</v>
      </c>
      <c r="D43" s="7351"/>
      <c r="E43" s="7347"/>
      <c r="F43" s="7292" t="s">
        <v>101</v>
      </c>
      <c r="G43" s="7293"/>
      <c r="H43" s="7293"/>
      <c r="I43" s="7293"/>
      <c r="J43" s="7293"/>
      <c r="K43" s="7293"/>
      <c r="L43" s="7293"/>
      <c r="M43" s="7293"/>
      <c r="N43" s="7293"/>
      <c r="O43" s="7293"/>
      <c r="P43" s="7293"/>
      <c r="Q43" s="7293"/>
      <c r="R43" s="7293"/>
      <c r="S43" s="7293"/>
      <c r="T43" s="7293"/>
      <c r="U43" s="7293"/>
      <c r="V43" s="7293"/>
      <c r="W43" s="7293"/>
      <c r="X43" s="7293"/>
      <c r="Y43" s="7293"/>
      <c r="Z43" s="7293"/>
      <c r="AA43" s="7293"/>
      <c r="AB43" s="7293"/>
      <c r="AC43" s="7293"/>
      <c r="AD43" s="7293"/>
      <c r="AE43" s="7293"/>
      <c r="AF43" s="7293"/>
      <c r="AG43" s="7293"/>
      <c r="AH43" s="7293"/>
      <c r="AI43" s="7293"/>
      <c r="AJ43" s="7293"/>
      <c r="AK43" s="7293"/>
      <c r="AL43" s="7293"/>
      <c r="AM43" s="7293"/>
      <c r="AN43" s="7293"/>
      <c r="AO43" s="7302"/>
      <c r="AP43" s="7354" t="s">
        <v>2473</v>
      </c>
      <c r="AQ43" s="7355"/>
      <c r="AR43" s="7300" t="s">
        <v>36</v>
      </c>
      <c r="AS43" s="7237" t="s">
        <v>37</v>
      </c>
    </row>
    <row r="44" spans="1:87" s="19" customFormat="1" ht="15" customHeight="1" x14ac:dyDescent="0.15">
      <c r="A44" s="5862"/>
      <c r="B44" s="7348"/>
      <c r="C44" s="7352"/>
      <c r="D44" s="7353"/>
      <c r="E44" s="7349"/>
      <c r="F44" s="7289" t="s">
        <v>4407</v>
      </c>
      <c r="G44" s="7290"/>
      <c r="H44" s="7299" t="s">
        <v>2446</v>
      </c>
      <c r="I44" s="7290"/>
      <c r="J44" s="7299" t="s">
        <v>2447</v>
      </c>
      <c r="K44" s="7290"/>
      <c r="L44" s="7299" t="s">
        <v>94</v>
      </c>
      <c r="M44" s="7290"/>
      <c r="N44" s="7299" t="s">
        <v>44</v>
      </c>
      <c r="O44" s="7290"/>
      <c r="P44" s="7299" t="s">
        <v>45</v>
      </c>
      <c r="Q44" s="7290"/>
      <c r="R44" s="7299" t="s">
        <v>46</v>
      </c>
      <c r="S44" s="7290"/>
      <c r="T44" s="7299" t="s">
        <v>47</v>
      </c>
      <c r="U44" s="7290"/>
      <c r="V44" s="7299" t="s">
        <v>48</v>
      </c>
      <c r="W44" s="7290"/>
      <c r="X44" s="7291" t="s">
        <v>49</v>
      </c>
      <c r="Y44" s="7244"/>
      <c r="Z44" s="7299" t="s">
        <v>50</v>
      </c>
      <c r="AA44" s="7290"/>
      <c r="AB44" s="7299" t="s">
        <v>51</v>
      </c>
      <c r="AC44" s="7290"/>
      <c r="AD44" s="7299" t="s">
        <v>52</v>
      </c>
      <c r="AE44" s="7290"/>
      <c r="AF44" s="7299" t="s">
        <v>53</v>
      </c>
      <c r="AG44" s="7290"/>
      <c r="AH44" s="7299" t="s">
        <v>54</v>
      </c>
      <c r="AI44" s="7290"/>
      <c r="AJ44" s="7299" t="s">
        <v>55</v>
      </c>
      <c r="AK44" s="7290"/>
      <c r="AL44" s="7299" t="s">
        <v>56</v>
      </c>
      <c r="AM44" s="7290"/>
      <c r="AN44" s="6491" t="s">
        <v>57</v>
      </c>
      <c r="AO44" s="6491"/>
      <c r="AP44" s="7356"/>
      <c r="AQ44" s="7357"/>
      <c r="AR44" s="7118"/>
      <c r="AS44" s="6027"/>
    </row>
    <row r="45" spans="1:87" s="19" customFormat="1" ht="15" customHeight="1" x14ac:dyDescent="0.15">
      <c r="A45" s="5862"/>
      <c r="B45" s="7349"/>
      <c r="C45" s="1027" t="s">
        <v>79</v>
      </c>
      <c r="D45" s="134" t="s">
        <v>58</v>
      </c>
      <c r="E45" s="85" t="s">
        <v>59</v>
      </c>
      <c r="F45" s="981" t="s">
        <v>58</v>
      </c>
      <c r="G45" s="983" t="s">
        <v>59</v>
      </c>
      <c r="H45" s="981" t="s">
        <v>58</v>
      </c>
      <c r="I45" s="983" t="s">
        <v>59</v>
      </c>
      <c r="J45" s="981" t="s">
        <v>58</v>
      </c>
      <c r="K45" s="983" t="s">
        <v>59</v>
      </c>
      <c r="L45" s="981" t="s">
        <v>58</v>
      </c>
      <c r="M45" s="983" t="s">
        <v>59</v>
      </c>
      <c r="N45" s="981" t="s">
        <v>58</v>
      </c>
      <c r="O45" s="983" t="s">
        <v>59</v>
      </c>
      <c r="P45" s="981" t="s">
        <v>58</v>
      </c>
      <c r="Q45" s="983" t="s">
        <v>59</v>
      </c>
      <c r="R45" s="922" t="s">
        <v>58</v>
      </c>
      <c r="S45" s="915" t="s">
        <v>59</v>
      </c>
      <c r="T45" s="922" t="s">
        <v>58</v>
      </c>
      <c r="U45" s="915" t="s">
        <v>59</v>
      </c>
      <c r="V45" s="922" t="s">
        <v>58</v>
      </c>
      <c r="W45" s="915" t="s">
        <v>59</v>
      </c>
      <c r="X45" s="981" t="s">
        <v>58</v>
      </c>
      <c r="Y45" s="983" t="s">
        <v>59</v>
      </c>
      <c r="Z45" s="981" t="s">
        <v>58</v>
      </c>
      <c r="AA45" s="983" t="s">
        <v>59</v>
      </c>
      <c r="AB45" s="981" t="s">
        <v>58</v>
      </c>
      <c r="AC45" s="983" t="s">
        <v>59</v>
      </c>
      <c r="AD45" s="981" t="s">
        <v>58</v>
      </c>
      <c r="AE45" s="983" t="s">
        <v>59</v>
      </c>
      <c r="AF45" s="981" t="s">
        <v>58</v>
      </c>
      <c r="AG45" s="983" t="s">
        <v>59</v>
      </c>
      <c r="AH45" s="981" t="s">
        <v>58</v>
      </c>
      <c r="AI45" s="983" t="s">
        <v>59</v>
      </c>
      <c r="AJ45" s="981" t="s">
        <v>58</v>
      </c>
      <c r="AK45" s="983" t="s">
        <v>59</v>
      </c>
      <c r="AL45" s="981" t="s">
        <v>58</v>
      </c>
      <c r="AM45" s="983" t="s">
        <v>59</v>
      </c>
      <c r="AN45" s="981" t="s">
        <v>58</v>
      </c>
      <c r="AO45" s="1028" t="s">
        <v>59</v>
      </c>
      <c r="AP45" s="1029" t="s">
        <v>811</v>
      </c>
      <c r="AQ45" s="1030" t="s">
        <v>813</v>
      </c>
      <c r="AR45" s="6894"/>
      <c r="AS45" s="6955"/>
    </row>
    <row r="46" spans="1:87" s="19" customFormat="1" ht="15" customHeight="1" x14ac:dyDescent="0.15">
      <c r="A46" s="5824">
        <v>23042500</v>
      </c>
      <c r="B46" s="1031" t="s">
        <v>2474</v>
      </c>
      <c r="C46" s="1032" t="s">
        <v>4567</v>
      </c>
      <c r="D46" s="1033" t="s">
        <v>4568</v>
      </c>
      <c r="E46" s="1034" t="s">
        <v>4569</v>
      </c>
      <c r="F46" s="1035" t="s">
        <v>4570</v>
      </c>
      <c r="G46" s="1036" t="s">
        <v>4571</v>
      </c>
      <c r="H46" s="1035" t="s">
        <v>4572</v>
      </c>
      <c r="I46" s="1036" t="s">
        <v>4573</v>
      </c>
      <c r="J46" s="996" t="s">
        <v>4574</v>
      </c>
      <c r="K46" s="206" t="s">
        <v>4575</v>
      </c>
      <c r="L46" s="996" t="s">
        <v>4576</v>
      </c>
      <c r="M46" s="997" t="s">
        <v>4577</v>
      </c>
      <c r="N46" s="996" t="s">
        <v>4578</v>
      </c>
      <c r="O46" s="997" t="s">
        <v>4579</v>
      </c>
      <c r="P46" s="996" t="s">
        <v>4580</v>
      </c>
      <c r="Q46" s="997" t="s">
        <v>4581</v>
      </c>
      <c r="R46" s="996" t="s">
        <v>4582</v>
      </c>
      <c r="S46" s="997" t="s">
        <v>4583</v>
      </c>
      <c r="T46" s="996" t="s">
        <v>4584</v>
      </c>
      <c r="U46" s="997" t="s">
        <v>4585</v>
      </c>
      <c r="V46" s="996" t="s">
        <v>4586</v>
      </c>
      <c r="W46" s="997" t="s">
        <v>4587</v>
      </c>
      <c r="X46" s="996" t="s">
        <v>4588</v>
      </c>
      <c r="Y46" s="997" t="s">
        <v>4589</v>
      </c>
      <c r="Z46" s="996" t="s">
        <v>4590</v>
      </c>
      <c r="AA46" s="997" t="s">
        <v>4591</v>
      </c>
      <c r="AB46" s="996" t="s">
        <v>4592</v>
      </c>
      <c r="AC46" s="997" t="s">
        <v>4593</v>
      </c>
      <c r="AD46" s="996" t="s">
        <v>4594</v>
      </c>
      <c r="AE46" s="997" t="s">
        <v>4595</v>
      </c>
      <c r="AF46" s="996" t="s">
        <v>4596</v>
      </c>
      <c r="AG46" s="997" t="s">
        <v>4597</v>
      </c>
      <c r="AH46" s="996" t="s">
        <v>4598</v>
      </c>
      <c r="AI46" s="997" t="s">
        <v>4599</v>
      </c>
      <c r="AJ46" s="996" t="s">
        <v>4600</v>
      </c>
      <c r="AK46" s="997" t="s">
        <v>4601</v>
      </c>
      <c r="AL46" s="996" t="s">
        <v>4602</v>
      </c>
      <c r="AM46" s="997" t="s">
        <v>4603</v>
      </c>
      <c r="AN46" s="996" t="s">
        <v>4604</v>
      </c>
      <c r="AO46" s="1037" t="s">
        <v>4605</v>
      </c>
      <c r="AP46" s="337" t="s">
        <v>4606</v>
      </c>
      <c r="AQ46" s="1038" t="s">
        <v>4934</v>
      </c>
      <c r="AR46" s="159" t="s">
        <v>4935</v>
      </c>
      <c r="AS46" s="1038" t="s">
        <v>4936</v>
      </c>
      <c r="AT46" s="19" t="e">
        <f>CB46&amp;CC46&amp;CD46</f>
        <v>#VALUE!</v>
      </c>
      <c r="CB46" s="135" t="e">
        <f t="shared" ref="CB46:CB53" si="20">IF(AND(C46&gt;0,AP46="",AQ46="")," * No olvide registrar Causal de egresos (Abandono/Fallecimiento). Digite Cero si no tiene",IF((AP46+AQ46)&gt;C46," * Egresos según causal no debe ser mayor que el Total Ambos Sexos",""))</f>
        <v>#VALUE!</v>
      </c>
      <c r="CC46" s="135" t="str">
        <f t="shared" ref="CC46:CC53" si="21">IF(AND(C46&gt;0,AR46="")," * No olvide digitar la variable Pueblos Originarios. Digite Cero si no tiene.",IF(AR46&gt;C46," * La variable Pueblos originarios no puede ser mayor al Total Ambos Sexos.",""))</f>
        <v xml:space="preserve"> * La variable Pueblos originarios no puede ser mayor al Total Ambos Sexos.</v>
      </c>
      <c r="CD46" s="135" t="str">
        <f t="shared" ref="CD46:CD53" si="22">IF(AND(C46&gt;0,AS46="")," * No olvide digitar la variable Migrantes. Digite Cero si no tiene.",IF(AS46&gt;C46," * La variable Migrantes no puede ser mayor al Total Ambos Sexos.",""))</f>
        <v xml:space="preserve"> * La variable Migrantes no puede ser mayor al Total Ambos Sexos.</v>
      </c>
      <c r="CG46" s="182" t="e">
        <f>IF(AND($C46&gt;0,AP46="",AQ46=""),1,IF((AP46+AQ46)&gt;$C46,1,0))</f>
        <v>#VALUE!</v>
      </c>
      <c r="CH46" s="182">
        <f>IF(AND($C46&gt;0,AR46=""),1,IF((AR46)&gt;$C46,1,0))</f>
        <v>1</v>
      </c>
      <c r="CI46" s="182">
        <f>IF(AND($C46&gt;0,AS46=""),1,IF((AS46)&gt;$C46,1,0))</f>
        <v>1</v>
      </c>
    </row>
    <row r="47" spans="1:87" s="19" customFormat="1" ht="15" customHeight="1" x14ac:dyDescent="0.15">
      <c r="A47" s="5824">
        <v>23042600</v>
      </c>
      <c r="B47" s="1039" t="s">
        <v>2463</v>
      </c>
      <c r="C47" s="1040" t="s">
        <v>4567</v>
      </c>
      <c r="D47" s="1041" t="s">
        <v>4568</v>
      </c>
      <c r="E47" s="1042" t="s">
        <v>4569</v>
      </c>
      <c r="F47" s="999" t="s">
        <v>4570</v>
      </c>
      <c r="G47" s="36" t="s">
        <v>4571</v>
      </c>
      <c r="H47" s="37" t="s">
        <v>4572</v>
      </c>
      <c r="I47" s="38" t="s">
        <v>4573</v>
      </c>
      <c r="J47" s="207" t="s">
        <v>4574</v>
      </c>
      <c r="K47" s="39" t="s">
        <v>4575</v>
      </c>
      <c r="L47" s="207" t="s">
        <v>4576</v>
      </c>
      <c r="M47" s="39" t="s">
        <v>4577</v>
      </c>
      <c r="N47" s="207" t="s">
        <v>4578</v>
      </c>
      <c r="O47" s="39" t="s">
        <v>4579</v>
      </c>
      <c r="P47" s="207" t="s">
        <v>4580</v>
      </c>
      <c r="Q47" s="39" t="s">
        <v>4581</v>
      </c>
      <c r="R47" s="207" t="s">
        <v>4582</v>
      </c>
      <c r="S47" s="39" t="s">
        <v>4583</v>
      </c>
      <c r="T47" s="207" t="s">
        <v>4584</v>
      </c>
      <c r="U47" s="39" t="s">
        <v>4585</v>
      </c>
      <c r="V47" s="207" t="s">
        <v>4586</v>
      </c>
      <c r="W47" s="39" t="s">
        <v>4587</v>
      </c>
      <c r="X47" s="1043" t="s">
        <v>4588</v>
      </c>
      <c r="Y47" s="1044" t="s">
        <v>4589</v>
      </c>
      <c r="Z47" s="1043" t="s">
        <v>4590</v>
      </c>
      <c r="AA47" s="1044" t="s">
        <v>4591</v>
      </c>
      <c r="AB47" s="1043" t="s">
        <v>4592</v>
      </c>
      <c r="AC47" s="1044" t="s">
        <v>4593</v>
      </c>
      <c r="AD47" s="1043" t="s">
        <v>4594</v>
      </c>
      <c r="AE47" s="1044" t="s">
        <v>4595</v>
      </c>
      <c r="AF47" s="1043" t="s">
        <v>4596</v>
      </c>
      <c r="AG47" s="1044" t="s">
        <v>4597</v>
      </c>
      <c r="AH47" s="1043" t="s">
        <v>4598</v>
      </c>
      <c r="AI47" s="1044" t="s">
        <v>4599</v>
      </c>
      <c r="AJ47" s="1043" t="s">
        <v>4600</v>
      </c>
      <c r="AK47" s="1044" t="s">
        <v>4601</v>
      </c>
      <c r="AL47" s="1043" t="s">
        <v>4602</v>
      </c>
      <c r="AM47" s="1044" t="s">
        <v>4603</v>
      </c>
      <c r="AN47" s="1043" t="s">
        <v>4604</v>
      </c>
      <c r="AO47" s="1045" t="s">
        <v>4605</v>
      </c>
      <c r="AP47" s="1046" t="s">
        <v>4606</v>
      </c>
      <c r="AQ47" s="1047" t="s">
        <v>4934</v>
      </c>
      <c r="AR47" s="1048" t="s">
        <v>4935</v>
      </c>
      <c r="AS47" s="1047" t="s">
        <v>4936</v>
      </c>
      <c r="AT47" s="19" t="e">
        <f t="shared" ref="AT47:AT53" si="23">CB47&amp;CC47&amp;CD47</f>
        <v>#VALUE!</v>
      </c>
      <c r="CB47" s="135" t="e">
        <f t="shared" si="20"/>
        <v>#VALUE!</v>
      </c>
      <c r="CC47" s="135" t="str">
        <f t="shared" si="21"/>
        <v xml:space="preserve"> * La variable Pueblos originarios no puede ser mayor al Total Ambos Sexos.</v>
      </c>
      <c r="CD47" s="135" t="str">
        <f t="shared" si="22"/>
        <v xml:space="preserve"> * La variable Migrantes no puede ser mayor al Total Ambos Sexos.</v>
      </c>
      <c r="CG47" s="182" t="e">
        <f t="shared" ref="CG47:CG53" si="24">IF(AND($C47&gt;0,AP47="",AQ47=""),1,IF((AP47+AQ47)&gt;$C47,1,0))</f>
        <v>#VALUE!</v>
      </c>
      <c r="CH47" s="182">
        <f t="shared" ref="CH47:CH53" si="25">IF(AND($C47&gt;0,AR47=""),1,IF((AR47)&gt;$C47,1,0))</f>
        <v>1</v>
      </c>
      <c r="CI47" s="182">
        <f t="shared" ref="CI47:CI53" si="26">IF(AND($C47&gt;0,AS47=""),1,IF((AS47)&gt;$C47,1,0))</f>
        <v>1</v>
      </c>
    </row>
    <row r="48" spans="1:87" s="19" customFormat="1" ht="15" customHeight="1" x14ac:dyDescent="0.15">
      <c r="A48" s="5824">
        <v>23042700</v>
      </c>
      <c r="B48" s="1039" t="s">
        <v>2464</v>
      </c>
      <c r="C48" s="338" t="s">
        <v>4567</v>
      </c>
      <c r="D48" s="40" t="s">
        <v>4568</v>
      </c>
      <c r="E48" s="208" t="s">
        <v>4569</v>
      </c>
      <c r="F48" s="999" t="s">
        <v>4570</v>
      </c>
      <c r="G48" s="1000" t="s">
        <v>4571</v>
      </c>
      <c r="H48" s="999" t="s">
        <v>4572</v>
      </c>
      <c r="I48" s="1000" t="s">
        <v>4573</v>
      </c>
      <c r="J48" s="999" t="s">
        <v>4574</v>
      </c>
      <c r="K48" s="1000" t="s">
        <v>4575</v>
      </c>
      <c r="L48" s="999" t="s">
        <v>4576</v>
      </c>
      <c r="M48" s="1000" t="s">
        <v>4577</v>
      </c>
      <c r="N48" s="999" t="s">
        <v>4578</v>
      </c>
      <c r="O48" s="1000" t="s">
        <v>4579</v>
      </c>
      <c r="P48" s="999" t="s">
        <v>4580</v>
      </c>
      <c r="Q48" s="206" t="s">
        <v>4581</v>
      </c>
      <c r="R48" s="339" t="s">
        <v>4582</v>
      </c>
      <c r="S48" s="206" t="s">
        <v>4583</v>
      </c>
      <c r="T48" s="339" t="s">
        <v>4584</v>
      </c>
      <c r="U48" s="206" t="s">
        <v>4585</v>
      </c>
      <c r="V48" s="339" t="s">
        <v>4586</v>
      </c>
      <c r="W48" s="206" t="s">
        <v>4587</v>
      </c>
      <c r="X48" s="340" t="s">
        <v>4588</v>
      </c>
      <c r="Y48" s="209" t="s">
        <v>4589</v>
      </c>
      <c r="Z48" s="340" t="s">
        <v>4590</v>
      </c>
      <c r="AA48" s="209" t="s">
        <v>4591</v>
      </c>
      <c r="AB48" s="340" t="s">
        <v>4592</v>
      </c>
      <c r="AC48" s="209" t="s">
        <v>4593</v>
      </c>
      <c r="AD48" s="340" t="s">
        <v>4594</v>
      </c>
      <c r="AE48" s="209" t="s">
        <v>4595</v>
      </c>
      <c r="AF48" s="340" t="s">
        <v>4596</v>
      </c>
      <c r="AG48" s="209" t="s">
        <v>4597</v>
      </c>
      <c r="AH48" s="340" t="s">
        <v>4598</v>
      </c>
      <c r="AI48" s="209" t="s">
        <v>4599</v>
      </c>
      <c r="AJ48" s="340" t="s">
        <v>4600</v>
      </c>
      <c r="AK48" s="209" t="s">
        <v>4601</v>
      </c>
      <c r="AL48" s="340" t="s">
        <v>4602</v>
      </c>
      <c r="AM48" s="209" t="s">
        <v>4603</v>
      </c>
      <c r="AN48" s="340" t="s">
        <v>4604</v>
      </c>
      <c r="AO48" s="133" t="s">
        <v>4605</v>
      </c>
      <c r="AP48" s="1046" t="s">
        <v>4606</v>
      </c>
      <c r="AQ48" s="1047" t="s">
        <v>4934</v>
      </c>
      <c r="AR48" s="1048" t="s">
        <v>4935</v>
      </c>
      <c r="AS48" s="1047" t="s">
        <v>4936</v>
      </c>
      <c r="AT48" s="19" t="e">
        <f t="shared" si="23"/>
        <v>#VALUE!</v>
      </c>
      <c r="CB48" s="135" t="e">
        <f t="shared" si="20"/>
        <v>#VALUE!</v>
      </c>
      <c r="CC48" s="135" t="str">
        <f t="shared" si="21"/>
        <v xml:space="preserve"> * La variable Pueblos originarios no puede ser mayor al Total Ambos Sexos.</v>
      </c>
      <c r="CD48" s="135" t="str">
        <f t="shared" si="22"/>
        <v xml:space="preserve"> * La variable Migrantes no puede ser mayor al Total Ambos Sexos.</v>
      </c>
      <c r="CG48" s="182" t="e">
        <f t="shared" si="24"/>
        <v>#VALUE!</v>
      </c>
      <c r="CH48" s="182">
        <f t="shared" si="25"/>
        <v>1</v>
      </c>
      <c r="CI48" s="182">
        <f t="shared" si="26"/>
        <v>1</v>
      </c>
    </row>
    <row r="49" spans="1:87" s="19" customFormat="1" ht="15" customHeight="1" x14ac:dyDescent="0.15">
      <c r="A49" s="5824">
        <v>23042800</v>
      </c>
      <c r="B49" s="253" t="s">
        <v>2467</v>
      </c>
      <c r="C49" s="302" t="s">
        <v>4567</v>
      </c>
      <c r="D49" s="41" t="s">
        <v>4568</v>
      </c>
      <c r="E49" s="141" t="s">
        <v>4569</v>
      </c>
      <c r="F49" s="326" t="s">
        <v>4570</v>
      </c>
      <c r="G49" s="142" t="s">
        <v>4571</v>
      </c>
      <c r="H49" s="326" t="s">
        <v>4572</v>
      </c>
      <c r="I49" s="142" t="s">
        <v>4573</v>
      </c>
      <c r="J49" s="326" t="s">
        <v>4574</v>
      </c>
      <c r="K49" s="142" t="s">
        <v>4575</v>
      </c>
      <c r="L49" s="326" t="s">
        <v>4576</v>
      </c>
      <c r="M49" s="142" t="s">
        <v>4577</v>
      </c>
      <c r="N49" s="326" t="s">
        <v>4578</v>
      </c>
      <c r="O49" s="142" t="s">
        <v>4579</v>
      </c>
      <c r="P49" s="326" t="s">
        <v>4580</v>
      </c>
      <c r="Q49" s="142" t="s">
        <v>4581</v>
      </c>
      <c r="R49" s="326" t="s">
        <v>4582</v>
      </c>
      <c r="S49" s="142" t="s">
        <v>4583</v>
      </c>
      <c r="T49" s="326" t="s">
        <v>4584</v>
      </c>
      <c r="U49" s="142" t="s">
        <v>4585</v>
      </c>
      <c r="V49" s="326" t="s">
        <v>4586</v>
      </c>
      <c r="W49" s="142" t="s">
        <v>4587</v>
      </c>
      <c r="X49" s="326" t="s">
        <v>4588</v>
      </c>
      <c r="Y49" s="142" t="s">
        <v>4589</v>
      </c>
      <c r="Z49" s="326" t="s">
        <v>4590</v>
      </c>
      <c r="AA49" s="142" t="s">
        <v>4591</v>
      </c>
      <c r="AB49" s="326" t="s">
        <v>4592</v>
      </c>
      <c r="AC49" s="142" t="s">
        <v>4593</v>
      </c>
      <c r="AD49" s="326" t="s">
        <v>4594</v>
      </c>
      <c r="AE49" s="142" t="s">
        <v>4595</v>
      </c>
      <c r="AF49" s="326" t="s">
        <v>4596</v>
      </c>
      <c r="AG49" s="142" t="s">
        <v>4597</v>
      </c>
      <c r="AH49" s="326" t="s">
        <v>4598</v>
      </c>
      <c r="AI49" s="142" t="s">
        <v>4599</v>
      </c>
      <c r="AJ49" s="326" t="s">
        <v>4600</v>
      </c>
      <c r="AK49" s="142" t="s">
        <v>4601</v>
      </c>
      <c r="AL49" s="326" t="s">
        <v>4602</v>
      </c>
      <c r="AM49" s="142" t="s">
        <v>4603</v>
      </c>
      <c r="AN49" s="326" t="s">
        <v>4604</v>
      </c>
      <c r="AO49" s="45" t="s">
        <v>4605</v>
      </c>
      <c r="AP49" s="1046" t="s">
        <v>4606</v>
      </c>
      <c r="AQ49" s="1047" t="s">
        <v>4934</v>
      </c>
      <c r="AR49" s="1048" t="s">
        <v>4935</v>
      </c>
      <c r="AS49" s="1047" t="s">
        <v>4936</v>
      </c>
      <c r="AT49" s="19" t="e">
        <f t="shared" si="23"/>
        <v>#VALUE!</v>
      </c>
      <c r="CB49" s="135" t="e">
        <f t="shared" si="20"/>
        <v>#VALUE!</v>
      </c>
      <c r="CC49" s="135" t="str">
        <f t="shared" si="21"/>
        <v xml:space="preserve"> * La variable Pueblos originarios no puede ser mayor al Total Ambos Sexos.</v>
      </c>
      <c r="CD49" s="135" t="str">
        <f t="shared" si="22"/>
        <v xml:space="preserve"> * La variable Migrantes no puede ser mayor al Total Ambos Sexos.</v>
      </c>
      <c r="CG49" s="182" t="e">
        <f t="shared" si="24"/>
        <v>#VALUE!</v>
      </c>
      <c r="CH49" s="182">
        <f t="shared" si="25"/>
        <v>1</v>
      </c>
      <c r="CI49" s="182">
        <f t="shared" si="26"/>
        <v>1</v>
      </c>
    </row>
    <row r="50" spans="1:87" s="19" customFormat="1" ht="15" customHeight="1" x14ac:dyDescent="0.15">
      <c r="A50" s="5824">
        <v>23042900</v>
      </c>
      <c r="B50" s="1049" t="s">
        <v>2468</v>
      </c>
      <c r="C50" s="1050" t="s">
        <v>4567</v>
      </c>
      <c r="D50" s="1051" t="s">
        <v>4568</v>
      </c>
      <c r="E50" s="1042" t="s">
        <v>4569</v>
      </c>
      <c r="F50" s="1043" t="s">
        <v>4570</v>
      </c>
      <c r="G50" s="1044" t="s">
        <v>4571</v>
      </c>
      <c r="H50" s="1043" t="s">
        <v>4572</v>
      </c>
      <c r="I50" s="1044" t="s">
        <v>4573</v>
      </c>
      <c r="J50" s="1043" t="s">
        <v>4574</v>
      </c>
      <c r="K50" s="1044" t="s">
        <v>4575</v>
      </c>
      <c r="L50" s="1043" t="s">
        <v>4576</v>
      </c>
      <c r="M50" s="209" t="s">
        <v>4577</v>
      </c>
      <c r="N50" s="340" t="s">
        <v>4578</v>
      </c>
      <c r="O50" s="209" t="s">
        <v>4579</v>
      </c>
      <c r="P50" s="340" t="s">
        <v>4580</v>
      </c>
      <c r="Q50" s="209" t="s">
        <v>4581</v>
      </c>
      <c r="R50" s="340" t="s">
        <v>4582</v>
      </c>
      <c r="S50" s="209" t="s">
        <v>4583</v>
      </c>
      <c r="T50" s="340" t="s">
        <v>4584</v>
      </c>
      <c r="U50" s="209" t="s">
        <v>4585</v>
      </c>
      <c r="V50" s="340" t="s">
        <v>4586</v>
      </c>
      <c r="W50" s="209" t="s">
        <v>4587</v>
      </c>
      <c r="X50" s="340" t="s">
        <v>4588</v>
      </c>
      <c r="Y50" s="209" t="s">
        <v>4589</v>
      </c>
      <c r="Z50" s="340" t="s">
        <v>4590</v>
      </c>
      <c r="AA50" s="209" t="s">
        <v>4591</v>
      </c>
      <c r="AB50" s="340" t="s">
        <v>4592</v>
      </c>
      <c r="AC50" s="209" t="s">
        <v>4593</v>
      </c>
      <c r="AD50" s="340" t="s">
        <v>4594</v>
      </c>
      <c r="AE50" s="209" t="s">
        <v>4595</v>
      </c>
      <c r="AF50" s="340" t="s">
        <v>4596</v>
      </c>
      <c r="AG50" s="209" t="s">
        <v>4597</v>
      </c>
      <c r="AH50" s="340" t="s">
        <v>4598</v>
      </c>
      <c r="AI50" s="209" t="s">
        <v>4599</v>
      </c>
      <c r="AJ50" s="340" t="s">
        <v>4600</v>
      </c>
      <c r="AK50" s="209" t="s">
        <v>4601</v>
      </c>
      <c r="AL50" s="340" t="s">
        <v>4602</v>
      </c>
      <c r="AM50" s="209" t="s">
        <v>4603</v>
      </c>
      <c r="AN50" s="340" t="s">
        <v>4604</v>
      </c>
      <c r="AO50" s="133" t="s">
        <v>4605</v>
      </c>
      <c r="AP50" s="1046" t="s">
        <v>4606</v>
      </c>
      <c r="AQ50" s="1047" t="s">
        <v>4934</v>
      </c>
      <c r="AR50" s="1048" t="s">
        <v>4935</v>
      </c>
      <c r="AS50" s="1047" t="s">
        <v>4936</v>
      </c>
      <c r="AT50" s="19" t="e">
        <f t="shared" si="23"/>
        <v>#VALUE!</v>
      </c>
      <c r="CB50" s="135" t="e">
        <f t="shared" si="20"/>
        <v>#VALUE!</v>
      </c>
      <c r="CC50" s="135" t="str">
        <f t="shared" si="21"/>
        <v xml:space="preserve"> * La variable Pueblos originarios no puede ser mayor al Total Ambos Sexos.</v>
      </c>
      <c r="CD50" s="135" t="str">
        <f t="shared" si="22"/>
        <v xml:space="preserve"> * La variable Migrantes no puede ser mayor al Total Ambos Sexos.</v>
      </c>
      <c r="CG50" s="182" t="e">
        <f t="shared" si="24"/>
        <v>#VALUE!</v>
      </c>
      <c r="CH50" s="182">
        <f t="shared" si="25"/>
        <v>1</v>
      </c>
      <c r="CI50" s="182">
        <f t="shared" si="26"/>
        <v>1</v>
      </c>
    </row>
    <row r="51" spans="1:87" s="19" customFormat="1" ht="15" customHeight="1" x14ac:dyDescent="0.15">
      <c r="A51" s="5824">
        <v>23090800</v>
      </c>
      <c r="B51" s="1052" t="s">
        <v>2469</v>
      </c>
      <c r="C51" s="231" t="s">
        <v>4567</v>
      </c>
      <c r="D51" s="210" t="s">
        <v>4568</v>
      </c>
      <c r="E51" s="208" t="s">
        <v>4569</v>
      </c>
      <c r="F51" s="1043" t="s">
        <v>4570</v>
      </c>
      <c r="G51" s="1044" t="s">
        <v>4571</v>
      </c>
      <c r="H51" s="1043" t="s">
        <v>4572</v>
      </c>
      <c r="I51" s="1044" t="s">
        <v>4573</v>
      </c>
      <c r="J51" s="1043" t="s">
        <v>4574</v>
      </c>
      <c r="K51" s="1044" t="s">
        <v>4575</v>
      </c>
      <c r="L51" s="1043" t="s">
        <v>4576</v>
      </c>
      <c r="M51" s="1044" t="s">
        <v>4577</v>
      </c>
      <c r="N51" s="1043" t="s">
        <v>4578</v>
      </c>
      <c r="O51" s="1044" t="s">
        <v>4579</v>
      </c>
      <c r="P51" s="1043" t="s">
        <v>4580</v>
      </c>
      <c r="Q51" s="1044" t="s">
        <v>4581</v>
      </c>
      <c r="R51" s="1043" t="s">
        <v>4582</v>
      </c>
      <c r="S51" s="1044" t="s">
        <v>4583</v>
      </c>
      <c r="T51" s="1043" t="s">
        <v>4584</v>
      </c>
      <c r="U51" s="1044" t="s">
        <v>4585</v>
      </c>
      <c r="V51" s="1043" t="s">
        <v>4586</v>
      </c>
      <c r="W51" s="1044" t="s">
        <v>4587</v>
      </c>
      <c r="X51" s="1043" t="s">
        <v>4588</v>
      </c>
      <c r="Y51" s="1044" t="s">
        <v>4589</v>
      </c>
      <c r="Z51" s="1043" t="s">
        <v>4590</v>
      </c>
      <c r="AA51" s="1044" t="s">
        <v>4591</v>
      </c>
      <c r="AB51" s="1043" t="s">
        <v>4592</v>
      </c>
      <c r="AC51" s="1044" t="s">
        <v>4593</v>
      </c>
      <c r="AD51" s="1043" t="s">
        <v>4594</v>
      </c>
      <c r="AE51" s="1044" t="s">
        <v>4595</v>
      </c>
      <c r="AF51" s="1043" t="s">
        <v>4596</v>
      </c>
      <c r="AG51" s="1044" t="s">
        <v>4597</v>
      </c>
      <c r="AH51" s="1043" t="s">
        <v>4598</v>
      </c>
      <c r="AI51" s="1044" t="s">
        <v>4599</v>
      </c>
      <c r="AJ51" s="1043" t="s">
        <v>4600</v>
      </c>
      <c r="AK51" s="1044" t="s">
        <v>4601</v>
      </c>
      <c r="AL51" s="1043" t="s">
        <v>4602</v>
      </c>
      <c r="AM51" s="1044" t="s">
        <v>4603</v>
      </c>
      <c r="AN51" s="1043" t="s">
        <v>4604</v>
      </c>
      <c r="AO51" s="1045" t="s">
        <v>4605</v>
      </c>
      <c r="AP51" s="1053" t="s">
        <v>4606</v>
      </c>
      <c r="AQ51" s="1054" t="s">
        <v>4934</v>
      </c>
      <c r="AR51" s="1055" t="s">
        <v>4935</v>
      </c>
      <c r="AS51" s="1054" t="s">
        <v>4936</v>
      </c>
      <c r="AT51" s="19" t="e">
        <f t="shared" si="23"/>
        <v>#VALUE!</v>
      </c>
      <c r="CB51" s="135" t="e">
        <f t="shared" si="20"/>
        <v>#VALUE!</v>
      </c>
      <c r="CC51" s="135" t="str">
        <f t="shared" si="21"/>
        <v xml:space="preserve"> * La variable Pueblos originarios no puede ser mayor al Total Ambos Sexos.</v>
      </c>
      <c r="CD51" s="135" t="str">
        <f t="shared" si="22"/>
        <v xml:space="preserve"> * La variable Migrantes no puede ser mayor al Total Ambos Sexos.</v>
      </c>
      <c r="CG51" s="182" t="e">
        <f t="shared" si="24"/>
        <v>#VALUE!</v>
      </c>
      <c r="CH51" s="182">
        <f t="shared" si="25"/>
        <v>1</v>
      </c>
      <c r="CI51" s="182">
        <f t="shared" si="26"/>
        <v>1</v>
      </c>
    </row>
    <row r="52" spans="1:87" s="19" customFormat="1" ht="15" customHeight="1" x14ac:dyDescent="0.15">
      <c r="A52" s="5824">
        <v>23090810</v>
      </c>
      <c r="B52" s="1056" t="s">
        <v>2470</v>
      </c>
      <c r="C52" s="1050" t="s">
        <v>4567</v>
      </c>
      <c r="D52" s="1051" t="s">
        <v>4568</v>
      </c>
      <c r="E52" s="1042" t="s">
        <v>4569</v>
      </c>
      <c r="F52" s="1043" t="s">
        <v>4570</v>
      </c>
      <c r="G52" s="1044" t="s">
        <v>4571</v>
      </c>
      <c r="H52" s="1043" t="s">
        <v>4572</v>
      </c>
      <c r="I52" s="1044" t="s">
        <v>4573</v>
      </c>
      <c r="J52" s="1043" t="s">
        <v>4574</v>
      </c>
      <c r="K52" s="1044" t="s">
        <v>4575</v>
      </c>
      <c r="L52" s="1043" t="s">
        <v>4576</v>
      </c>
      <c r="M52" s="1044" t="s">
        <v>4577</v>
      </c>
      <c r="N52" s="1043" t="s">
        <v>4578</v>
      </c>
      <c r="O52" s="1044" t="s">
        <v>4579</v>
      </c>
      <c r="P52" s="1043" t="s">
        <v>4580</v>
      </c>
      <c r="Q52" s="1044" t="s">
        <v>4581</v>
      </c>
      <c r="R52" s="1043" t="s">
        <v>4582</v>
      </c>
      <c r="S52" s="1044" t="s">
        <v>4583</v>
      </c>
      <c r="T52" s="1043" t="s">
        <v>4584</v>
      </c>
      <c r="U52" s="1044" t="s">
        <v>4585</v>
      </c>
      <c r="V52" s="1043" t="s">
        <v>4586</v>
      </c>
      <c r="W52" s="1044" t="s">
        <v>4587</v>
      </c>
      <c r="X52" s="1043" t="s">
        <v>4588</v>
      </c>
      <c r="Y52" s="1044" t="s">
        <v>4589</v>
      </c>
      <c r="Z52" s="1043" t="s">
        <v>4590</v>
      </c>
      <c r="AA52" s="1044" t="s">
        <v>4591</v>
      </c>
      <c r="AB52" s="1043" t="s">
        <v>4592</v>
      </c>
      <c r="AC52" s="1044" t="s">
        <v>4593</v>
      </c>
      <c r="AD52" s="1043" t="s">
        <v>4594</v>
      </c>
      <c r="AE52" s="1044" t="s">
        <v>4595</v>
      </c>
      <c r="AF52" s="1043" t="s">
        <v>4596</v>
      </c>
      <c r="AG52" s="1044" t="s">
        <v>4597</v>
      </c>
      <c r="AH52" s="1043" t="s">
        <v>4598</v>
      </c>
      <c r="AI52" s="1044" t="s">
        <v>4599</v>
      </c>
      <c r="AJ52" s="1043" t="s">
        <v>4600</v>
      </c>
      <c r="AK52" s="1044" t="s">
        <v>4601</v>
      </c>
      <c r="AL52" s="1043" t="s">
        <v>4602</v>
      </c>
      <c r="AM52" s="1044" t="s">
        <v>4603</v>
      </c>
      <c r="AN52" s="1043" t="s">
        <v>4604</v>
      </c>
      <c r="AO52" s="1045" t="s">
        <v>4605</v>
      </c>
      <c r="AP52" s="1053" t="s">
        <v>4606</v>
      </c>
      <c r="AQ52" s="1054" t="s">
        <v>4934</v>
      </c>
      <c r="AR52" s="1055" t="s">
        <v>4935</v>
      </c>
      <c r="AS52" s="1054" t="s">
        <v>4936</v>
      </c>
      <c r="AT52" s="19" t="e">
        <f t="shared" si="23"/>
        <v>#VALUE!</v>
      </c>
      <c r="CB52" s="135" t="e">
        <f t="shared" si="20"/>
        <v>#VALUE!</v>
      </c>
      <c r="CC52" s="135" t="str">
        <f t="shared" si="21"/>
        <v xml:space="preserve"> * La variable Pueblos originarios no puede ser mayor al Total Ambos Sexos.</v>
      </c>
      <c r="CD52" s="135" t="str">
        <f t="shared" si="22"/>
        <v xml:space="preserve"> * La variable Migrantes no puede ser mayor al Total Ambos Sexos.</v>
      </c>
      <c r="CG52" s="182" t="e">
        <f t="shared" si="24"/>
        <v>#VALUE!</v>
      </c>
      <c r="CH52" s="182">
        <f t="shared" si="25"/>
        <v>1</v>
      </c>
      <c r="CI52" s="182">
        <f t="shared" si="26"/>
        <v>1</v>
      </c>
    </row>
    <row r="53" spans="1:87" s="19" customFormat="1" ht="15" customHeight="1" x14ac:dyDescent="0.15">
      <c r="A53" s="5824">
        <v>23043000</v>
      </c>
      <c r="B53" s="1057" t="s">
        <v>2471</v>
      </c>
      <c r="C53" s="1058" t="s">
        <v>4567</v>
      </c>
      <c r="D53" s="1059" t="s">
        <v>4568</v>
      </c>
      <c r="E53" s="1060" t="s">
        <v>4569</v>
      </c>
      <c r="F53" s="1061" t="s">
        <v>4570</v>
      </c>
      <c r="G53" s="1062" t="s">
        <v>4571</v>
      </c>
      <c r="H53" s="1061" t="s">
        <v>4572</v>
      </c>
      <c r="I53" s="1062" t="s">
        <v>4573</v>
      </c>
      <c r="J53" s="1061" t="s">
        <v>4574</v>
      </c>
      <c r="K53" s="1062" t="s">
        <v>4575</v>
      </c>
      <c r="L53" s="1061" t="s">
        <v>4576</v>
      </c>
      <c r="M53" s="1062" t="s">
        <v>4577</v>
      </c>
      <c r="N53" s="1061" t="s">
        <v>4578</v>
      </c>
      <c r="O53" s="1062" t="s">
        <v>4579</v>
      </c>
      <c r="P53" s="1061" t="s">
        <v>4580</v>
      </c>
      <c r="Q53" s="1062" t="s">
        <v>4581</v>
      </c>
      <c r="R53" s="1061" t="s">
        <v>4582</v>
      </c>
      <c r="S53" s="1062" t="s">
        <v>4583</v>
      </c>
      <c r="T53" s="1061" t="s">
        <v>4584</v>
      </c>
      <c r="U53" s="1062" t="s">
        <v>4585</v>
      </c>
      <c r="V53" s="1061" t="s">
        <v>4586</v>
      </c>
      <c r="W53" s="1062" t="s">
        <v>4587</v>
      </c>
      <c r="X53" s="1061" t="s">
        <v>4588</v>
      </c>
      <c r="Y53" s="1062" t="s">
        <v>4589</v>
      </c>
      <c r="Z53" s="1061" t="s">
        <v>4590</v>
      </c>
      <c r="AA53" s="1062" t="s">
        <v>4591</v>
      </c>
      <c r="AB53" s="1061" t="s">
        <v>4592</v>
      </c>
      <c r="AC53" s="1062" t="s">
        <v>4593</v>
      </c>
      <c r="AD53" s="1061" t="s">
        <v>4594</v>
      </c>
      <c r="AE53" s="1062" t="s">
        <v>4595</v>
      </c>
      <c r="AF53" s="1061" t="s">
        <v>4596</v>
      </c>
      <c r="AG53" s="1062" t="s">
        <v>4597</v>
      </c>
      <c r="AH53" s="1061" t="s">
        <v>4598</v>
      </c>
      <c r="AI53" s="1062" t="s">
        <v>4599</v>
      </c>
      <c r="AJ53" s="1061" t="s">
        <v>4600</v>
      </c>
      <c r="AK53" s="1062" t="s">
        <v>4601</v>
      </c>
      <c r="AL53" s="1061" t="s">
        <v>4602</v>
      </c>
      <c r="AM53" s="1062" t="s">
        <v>4603</v>
      </c>
      <c r="AN53" s="1061" t="s">
        <v>4604</v>
      </c>
      <c r="AO53" s="1063" t="s">
        <v>4605</v>
      </c>
      <c r="AP53" s="1064" t="s">
        <v>4606</v>
      </c>
      <c r="AQ53" s="1065" t="s">
        <v>4934</v>
      </c>
      <c r="AR53" s="1066" t="s">
        <v>4935</v>
      </c>
      <c r="AS53" s="1065" t="s">
        <v>4936</v>
      </c>
      <c r="AT53" s="19" t="e">
        <f t="shared" si="23"/>
        <v>#VALUE!</v>
      </c>
      <c r="CB53" s="135" t="e">
        <f t="shared" si="20"/>
        <v>#VALUE!</v>
      </c>
      <c r="CC53" s="135" t="str">
        <f t="shared" si="21"/>
        <v xml:space="preserve"> * La variable Pueblos originarios no puede ser mayor al Total Ambos Sexos.</v>
      </c>
      <c r="CD53" s="135" t="str">
        <f t="shared" si="22"/>
        <v xml:space="preserve"> * La variable Migrantes no puede ser mayor al Total Ambos Sexos.</v>
      </c>
      <c r="CG53" s="182" t="e">
        <f t="shared" si="24"/>
        <v>#VALUE!</v>
      </c>
      <c r="CH53" s="182">
        <f t="shared" si="25"/>
        <v>1</v>
      </c>
      <c r="CI53" s="182">
        <f t="shared" si="26"/>
        <v>1</v>
      </c>
    </row>
    <row r="54" spans="1:87" s="25" customFormat="1" ht="18" customHeight="1" x14ac:dyDescent="0.25">
      <c r="A54"/>
      <c r="B54" s="3" t="s">
        <v>2475</v>
      </c>
    </row>
    <row r="55" spans="1:87" s="19" customFormat="1" ht="15" customHeight="1" x14ac:dyDescent="0.15">
      <c r="A55" s="5862"/>
      <c r="B55" s="7290" t="s">
        <v>27</v>
      </c>
      <c r="C55" s="7299" t="s">
        <v>77</v>
      </c>
      <c r="D55" s="6491"/>
      <c r="E55" s="6491"/>
      <c r="F55" s="7292" t="s">
        <v>101</v>
      </c>
      <c r="G55" s="7293"/>
      <c r="H55" s="7293"/>
      <c r="I55" s="7293"/>
      <c r="J55" s="7293"/>
      <c r="K55" s="7293"/>
      <c r="L55" s="7293"/>
      <c r="M55" s="7293"/>
      <c r="N55" s="7293"/>
      <c r="O55" s="7293"/>
      <c r="P55" s="7293"/>
      <c r="Q55" s="7293"/>
      <c r="R55" s="7293"/>
      <c r="S55" s="7293"/>
      <c r="T55" s="7293"/>
      <c r="U55" s="7293"/>
      <c r="V55" s="7293"/>
      <c r="W55" s="7293"/>
      <c r="X55" s="7293"/>
      <c r="Y55" s="7293"/>
      <c r="Z55" s="7293"/>
      <c r="AA55" s="7293"/>
      <c r="AB55" s="7293"/>
      <c r="AC55" s="7293"/>
      <c r="AD55" s="7293"/>
      <c r="AE55" s="7293"/>
      <c r="AF55" s="7293"/>
      <c r="AG55" s="7293"/>
      <c r="AH55" s="7293"/>
      <c r="AI55" s="7293"/>
      <c r="AJ55" s="7293"/>
      <c r="AK55" s="7293"/>
      <c r="AL55" s="7293"/>
      <c r="AM55" s="7293"/>
      <c r="AN55" s="7293"/>
      <c r="AO55" s="7302"/>
      <c r="AP55" s="7346" t="s">
        <v>597</v>
      </c>
    </row>
    <row r="56" spans="1:87" s="19" customFormat="1" ht="15" customHeight="1" x14ac:dyDescent="0.15">
      <c r="A56" s="5862"/>
      <c r="B56" s="6331"/>
      <c r="C56" s="6827"/>
      <c r="D56" s="6954"/>
      <c r="E56" s="6331"/>
      <c r="F56" s="7289" t="s">
        <v>4407</v>
      </c>
      <c r="G56" s="7290"/>
      <c r="H56" s="6491" t="s">
        <v>2446</v>
      </c>
      <c r="I56" s="6491"/>
      <c r="J56" s="7299" t="s">
        <v>2447</v>
      </c>
      <c r="K56" s="7290"/>
      <c r="L56" s="6491" t="s">
        <v>94</v>
      </c>
      <c r="M56" s="6491"/>
      <c r="N56" s="7299" t="s">
        <v>44</v>
      </c>
      <c r="O56" s="7290"/>
      <c r="P56" s="7299" t="s">
        <v>45</v>
      </c>
      <c r="Q56" s="7290"/>
      <c r="R56" s="7299" t="s">
        <v>46</v>
      </c>
      <c r="S56" s="7290"/>
      <c r="T56" s="7299" t="s">
        <v>47</v>
      </c>
      <c r="U56" s="7290"/>
      <c r="V56" s="6491" t="s">
        <v>48</v>
      </c>
      <c r="W56" s="7290"/>
      <c r="X56" s="7299" t="s">
        <v>49</v>
      </c>
      <c r="Y56" s="7290"/>
      <c r="Z56" s="6491" t="s">
        <v>50</v>
      </c>
      <c r="AA56" s="6491"/>
      <c r="AB56" s="7299" t="s">
        <v>51</v>
      </c>
      <c r="AC56" s="7290"/>
      <c r="AD56" s="6491" t="s">
        <v>52</v>
      </c>
      <c r="AE56" s="6491"/>
      <c r="AF56" s="7299" t="s">
        <v>53</v>
      </c>
      <c r="AG56" s="7290"/>
      <c r="AH56" s="6491" t="s">
        <v>54</v>
      </c>
      <c r="AI56" s="6491"/>
      <c r="AJ56" s="7299" t="s">
        <v>55</v>
      </c>
      <c r="AK56" s="7290"/>
      <c r="AL56" s="6491" t="s">
        <v>56</v>
      </c>
      <c r="AM56" s="6491"/>
      <c r="AN56" s="7299" t="s">
        <v>57</v>
      </c>
      <c r="AO56" s="7303"/>
      <c r="AP56" s="7346"/>
    </row>
    <row r="57" spans="1:87" s="19" customFormat="1" ht="15" customHeight="1" x14ac:dyDescent="0.15">
      <c r="A57" s="5862"/>
      <c r="B57" s="6913"/>
      <c r="C57" s="981" t="s">
        <v>79</v>
      </c>
      <c r="D57" s="1068" t="s">
        <v>58</v>
      </c>
      <c r="E57" s="983" t="s">
        <v>59</v>
      </c>
      <c r="F57" s="981" t="s">
        <v>58</v>
      </c>
      <c r="G57" s="983" t="s">
        <v>59</v>
      </c>
      <c r="H57" s="1068" t="s">
        <v>58</v>
      </c>
      <c r="I57" s="1028" t="s">
        <v>59</v>
      </c>
      <c r="J57" s="981" t="s">
        <v>58</v>
      </c>
      <c r="K57" s="983" t="s">
        <v>59</v>
      </c>
      <c r="L57" s="1068" t="s">
        <v>58</v>
      </c>
      <c r="M57" s="1028" t="s">
        <v>59</v>
      </c>
      <c r="N57" s="981" t="s">
        <v>58</v>
      </c>
      <c r="O57" s="983" t="s">
        <v>59</v>
      </c>
      <c r="P57" s="981" t="s">
        <v>58</v>
      </c>
      <c r="Q57" s="983" t="s">
        <v>59</v>
      </c>
      <c r="R57" s="922" t="s">
        <v>58</v>
      </c>
      <c r="S57" s="915" t="s">
        <v>59</v>
      </c>
      <c r="T57" s="922" t="s">
        <v>58</v>
      </c>
      <c r="U57" s="915" t="s">
        <v>59</v>
      </c>
      <c r="V57" s="923" t="s">
        <v>58</v>
      </c>
      <c r="W57" s="915" t="s">
        <v>59</v>
      </c>
      <c r="X57" s="981" t="s">
        <v>58</v>
      </c>
      <c r="Y57" s="983" t="s">
        <v>59</v>
      </c>
      <c r="Z57" s="1068" t="s">
        <v>58</v>
      </c>
      <c r="AA57" s="1028" t="s">
        <v>59</v>
      </c>
      <c r="AB57" s="981" t="s">
        <v>58</v>
      </c>
      <c r="AC57" s="983" t="s">
        <v>59</v>
      </c>
      <c r="AD57" s="1068" t="s">
        <v>58</v>
      </c>
      <c r="AE57" s="1028" t="s">
        <v>59</v>
      </c>
      <c r="AF57" s="981" t="s">
        <v>58</v>
      </c>
      <c r="AG57" s="983" t="s">
        <v>59</v>
      </c>
      <c r="AH57" s="1068" t="s">
        <v>58</v>
      </c>
      <c r="AI57" s="1028" t="s">
        <v>59</v>
      </c>
      <c r="AJ57" s="981" t="s">
        <v>58</v>
      </c>
      <c r="AK57" s="983" t="s">
        <v>59</v>
      </c>
      <c r="AL57" s="1068" t="s">
        <v>58</v>
      </c>
      <c r="AM57" s="1028" t="s">
        <v>59</v>
      </c>
      <c r="AN57" s="981" t="s">
        <v>58</v>
      </c>
      <c r="AO57" s="984" t="s">
        <v>59</v>
      </c>
      <c r="AP57" s="7346"/>
    </row>
    <row r="58" spans="1:87" s="19" customFormat="1" ht="15" customHeight="1" x14ac:dyDescent="0.15">
      <c r="A58" s="5818">
        <v>23080200</v>
      </c>
      <c r="B58" s="1069" t="s">
        <v>64</v>
      </c>
      <c r="C58" s="973" t="s">
        <v>4567</v>
      </c>
      <c r="D58" s="976" t="s">
        <v>4568</v>
      </c>
      <c r="E58" s="974" t="s">
        <v>4569</v>
      </c>
      <c r="F58" s="1070" t="s">
        <v>4570</v>
      </c>
      <c r="G58" s="1071" t="s">
        <v>4571</v>
      </c>
      <c r="H58" s="1072" t="s">
        <v>4572</v>
      </c>
      <c r="I58" s="1073" t="s">
        <v>4573</v>
      </c>
      <c r="J58" s="1070" t="s">
        <v>4574</v>
      </c>
      <c r="K58" s="1074" t="s">
        <v>4575</v>
      </c>
      <c r="L58" s="1072" t="s">
        <v>4576</v>
      </c>
      <c r="M58" s="1073" t="s">
        <v>4577</v>
      </c>
      <c r="N58" s="1070" t="s">
        <v>4578</v>
      </c>
      <c r="O58" s="1074" t="s">
        <v>4579</v>
      </c>
      <c r="P58" s="1070" t="s">
        <v>4580</v>
      </c>
      <c r="Q58" s="1074" t="s">
        <v>4581</v>
      </c>
      <c r="R58" s="1070" t="s">
        <v>4582</v>
      </c>
      <c r="S58" s="1074" t="s">
        <v>4583</v>
      </c>
      <c r="T58" s="1070" t="s">
        <v>4584</v>
      </c>
      <c r="U58" s="1074" t="s">
        <v>4585</v>
      </c>
      <c r="V58" s="1072" t="s">
        <v>4586</v>
      </c>
      <c r="W58" s="1073" t="s">
        <v>4587</v>
      </c>
      <c r="X58" s="1070" t="s">
        <v>4588</v>
      </c>
      <c r="Y58" s="1074" t="s">
        <v>4589</v>
      </c>
      <c r="Z58" s="1072" t="s">
        <v>4590</v>
      </c>
      <c r="AA58" s="1073" t="s">
        <v>4591</v>
      </c>
      <c r="AB58" s="1070" t="s">
        <v>4592</v>
      </c>
      <c r="AC58" s="1074" t="s">
        <v>4593</v>
      </c>
      <c r="AD58" s="1072" t="s">
        <v>4594</v>
      </c>
      <c r="AE58" s="1073" t="s">
        <v>4595</v>
      </c>
      <c r="AF58" s="1070" t="s">
        <v>4596</v>
      </c>
      <c r="AG58" s="1074" t="s">
        <v>4597</v>
      </c>
      <c r="AH58" s="1072" t="s">
        <v>4598</v>
      </c>
      <c r="AI58" s="1073" t="s">
        <v>4599</v>
      </c>
      <c r="AJ58" s="1070" t="s">
        <v>4600</v>
      </c>
      <c r="AK58" s="1074" t="s">
        <v>4601</v>
      </c>
      <c r="AL58" s="1072" t="s">
        <v>4602</v>
      </c>
      <c r="AM58" s="1073" t="s">
        <v>4603</v>
      </c>
      <c r="AN58" s="1070" t="s">
        <v>4604</v>
      </c>
      <c r="AO58" s="1075" t="s">
        <v>4605</v>
      </c>
      <c r="AP58" s="1071" t="s">
        <v>4606</v>
      </c>
      <c r="AQ58" s="19" t="str">
        <f>CB58</f>
        <v xml:space="preserve"> * El campo Beneficiario No puede ser mayor al Total Ambos Sexos</v>
      </c>
      <c r="CB58" s="135" t="str">
        <f>IF(AND(AP58="",C58&gt;0)," * No olvide digitar la variable Beneficiarios. Digite cero si no tiene.",IF(AP58&gt;C58," * El campo Beneficiario No puede ser mayor al Total Ambos Sexos",""))</f>
        <v xml:space="preserve"> * El campo Beneficiario No puede ser mayor al Total Ambos Sexos</v>
      </c>
      <c r="CG58" s="182">
        <f>IF(AND(AP58="",C58&gt;0),1,IF(AP58&gt;C58,1,0))</f>
        <v>1</v>
      </c>
    </row>
    <row r="59" spans="1:87" s="25" customFormat="1" ht="18" customHeight="1" x14ac:dyDescent="0.15">
      <c r="B59" s="3" t="s">
        <v>2476</v>
      </c>
    </row>
    <row r="60" spans="1:87" s="19" customFormat="1" ht="15" customHeight="1" x14ac:dyDescent="0.15">
      <c r="A60" s="5862"/>
      <c r="B60" s="7290" t="s">
        <v>27</v>
      </c>
      <c r="C60" s="7299" t="s">
        <v>77</v>
      </c>
      <c r="D60" s="6491"/>
      <c r="E60" s="7290"/>
      <c r="F60" s="7292" t="s">
        <v>101</v>
      </c>
      <c r="G60" s="7293"/>
      <c r="H60" s="7293"/>
      <c r="I60" s="7293"/>
      <c r="J60" s="7293"/>
      <c r="K60" s="7293"/>
      <c r="L60" s="7293"/>
      <c r="M60" s="7293"/>
      <c r="N60" s="7293"/>
      <c r="O60" s="7293"/>
      <c r="P60" s="7293"/>
      <c r="Q60" s="7293"/>
      <c r="R60" s="7293"/>
      <c r="S60" s="7293"/>
      <c r="T60" s="7293"/>
      <c r="U60" s="7293"/>
      <c r="V60" s="7293"/>
      <c r="W60" s="7293"/>
      <c r="X60" s="7293"/>
      <c r="Y60" s="7293"/>
      <c r="Z60" s="7293"/>
      <c r="AA60" s="7293"/>
      <c r="AB60" s="7293"/>
      <c r="AC60" s="7293"/>
      <c r="AD60" s="7293"/>
      <c r="AE60" s="7293"/>
      <c r="AF60" s="7293"/>
      <c r="AG60" s="7293"/>
      <c r="AH60" s="7293"/>
      <c r="AI60" s="7293"/>
      <c r="AJ60" s="7293"/>
      <c r="AK60" s="7293"/>
      <c r="AL60" s="7293"/>
      <c r="AM60" s="7293"/>
      <c r="AN60" s="7293"/>
      <c r="AO60" s="7302"/>
      <c r="AP60" s="7237" t="s">
        <v>597</v>
      </c>
    </row>
    <row r="61" spans="1:87" s="19" customFormat="1" ht="15" customHeight="1" x14ac:dyDescent="0.15">
      <c r="A61" s="5862"/>
      <c r="B61" s="6331"/>
      <c r="C61" s="6827"/>
      <c r="D61" s="6954"/>
      <c r="E61" s="6331"/>
      <c r="F61" s="7289" t="s">
        <v>4407</v>
      </c>
      <c r="G61" s="7290"/>
      <c r="H61" s="7298" t="s">
        <v>2446</v>
      </c>
      <c r="I61" s="7298"/>
      <c r="J61" s="7291" t="s">
        <v>2447</v>
      </c>
      <c r="K61" s="7244"/>
      <c r="L61" s="7298" t="s">
        <v>94</v>
      </c>
      <c r="M61" s="7298"/>
      <c r="N61" s="7291" t="s">
        <v>44</v>
      </c>
      <c r="O61" s="7244"/>
      <c r="P61" s="7258" t="s">
        <v>45</v>
      </c>
      <c r="Q61" s="7298"/>
      <c r="R61" s="7299" t="s">
        <v>46</v>
      </c>
      <c r="S61" s="7290"/>
      <c r="T61" s="7299" t="s">
        <v>47</v>
      </c>
      <c r="U61" s="7290"/>
      <c r="V61" s="6491" t="s">
        <v>48</v>
      </c>
      <c r="W61" s="7290"/>
      <c r="X61" s="7298" t="s">
        <v>49</v>
      </c>
      <c r="Y61" s="7298"/>
      <c r="Z61" s="7291" t="s">
        <v>50</v>
      </c>
      <c r="AA61" s="7244"/>
      <c r="AB61" s="7298" t="s">
        <v>51</v>
      </c>
      <c r="AC61" s="7298"/>
      <c r="AD61" s="7291" t="s">
        <v>52</v>
      </c>
      <c r="AE61" s="7244"/>
      <c r="AF61" s="7298" t="s">
        <v>53</v>
      </c>
      <c r="AG61" s="7298"/>
      <c r="AH61" s="7291" t="s">
        <v>54</v>
      </c>
      <c r="AI61" s="7244"/>
      <c r="AJ61" s="7298" t="s">
        <v>55</v>
      </c>
      <c r="AK61" s="7298"/>
      <c r="AL61" s="7291" t="s">
        <v>56</v>
      </c>
      <c r="AM61" s="7244"/>
      <c r="AN61" s="7291" t="s">
        <v>57</v>
      </c>
      <c r="AO61" s="7339"/>
      <c r="AP61" s="6027"/>
    </row>
    <row r="62" spans="1:87" s="19" customFormat="1" ht="15" customHeight="1" x14ac:dyDescent="0.15">
      <c r="A62" s="5862"/>
      <c r="B62" s="6913"/>
      <c r="C62" s="981" t="s">
        <v>79</v>
      </c>
      <c r="D62" s="1068" t="s">
        <v>58</v>
      </c>
      <c r="E62" s="983" t="s">
        <v>59</v>
      </c>
      <c r="F62" s="922" t="s">
        <v>58</v>
      </c>
      <c r="G62" s="915" t="s">
        <v>59</v>
      </c>
      <c r="H62" s="923" t="s">
        <v>58</v>
      </c>
      <c r="I62" s="716" t="s">
        <v>59</v>
      </c>
      <c r="J62" s="922" t="s">
        <v>58</v>
      </c>
      <c r="K62" s="915" t="s">
        <v>59</v>
      </c>
      <c r="L62" s="923" t="s">
        <v>58</v>
      </c>
      <c r="M62" s="716" t="s">
        <v>59</v>
      </c>
      <c r="N62" s="922" t="s">
        <v>58</v>
      </c>
      <c r="O62" s="915" t="s">
        <v>59</v>
      </c>
      <c r="P62" s="923" t="s">
        <v>58</v>
      </c>
      <c r="Q62" s="716" t="s">
        <v>59</v>
      </c>
      <c r="R62" s="922" t="s">
        <v>58</v>
      </c>
      <c r="S62" s="915" t="s">
        <v>59</v>
      </c>
      <c r="T62" s="922" t="s">
        <v>58</v>
      </c>
      <c r="U62" s="915" t="s">
        <v>59</v>
      </c>
      <c r="V62" s="923" t="s">
        <v>58</v>
      </c>
      <c r="W62" s="915" t="s">
        <v>59</v>
      </c>
      <c r="X62" s="923" t="s">
        <v>58</v>
      </c>
      <c r="Y62" s="716" t="s">
        <v>59</v>
      </c>
      <c r="Z62" s="922" t="s">
        <v>58</v>
      </c>
      <c r="AA62" s="915" t="s">
        <v>59</v>
      </c>
      <c r="AB62" s="923" t="s">
        <v>58</v>
      </c>
      <c r="AC62" s="716" t="s">
        <v>59</v>
      </c>
      <c r="AD62" s="922" t="s">
        <v>58</v>
      </c>
      <c r="AE62" s="915" t="s">
        <v>59</v>
      </c>
      <c r="AF62" s="923" t="s">
        <v>58</v>
      </c>
      <c r="AG62" s="716" t="s">
        <v>59</v>
      </c>
      <c r="AH62" s="922" t="s">
        <v>58</v>
      </c>
      <c r="AI62" s="915" t="s">
        <v>59</v>
      </c>
      <c r="AJ62" s="923" t="s">
        <v>58</v>
      </c>
      <c r="AK62" s="716" t="s">
        <v>59</v>
      </c>
      <c r="AL62" s="922" t="s">
        <v>58</v>
      </c>
      <c r="AM62" s="915" t="s">
        <v>59</v>
      </c>
      <c r="AN62" s="922" t="s">
        <v>58</v>
      </c>
      <c r="AO62" s="920" t="s">
        <v>59</v>
      </c>
      <c r="AP62" s="6955"/>
    </row>
    <row r="63" spans="1:87" s="19" customFormat="1" ht="15" customHeight="1" x14ac:dyDescent="0.15">
      <c r="A63" s="5818">
        <v>23080300</v>
      </c>
      <c r="B63" s="1077" t="s">
        <v>64</v>
      </c>
      <c r="C63" s="1078" t="s">
        <v>4567</v>
      </c>
      <c r="D63" s="1079" t="s">
        <v>4568</v>
      </c>
      <c r="E63" s="1080" t="s">
        <v>4569</v>
      </c>
      <c r="F63" s="1081" t="s">
        <v>4570</v>
      </c>
      <c r="G63" s="1082" t="s">
        <v>4571</v>
      </c>
      <c r="H63" s="1083" t="s">
        <v>4572</v>
      </c>
      <c r="I63" s="1084" t="s">
        <v>4573</v>
      </c>
      <c r="J63" s="1081" t="s">
        <v>4574</v>
      </c>
      <c r="K63" s="748" t="s">
        <v>4575</v>
      </c>
      <c r="L63" s="1083" t="s">
        <v>4576</v>
      </c>
      <c r="M63" s="1084" t="s">
        <v>4577</v>
      </c>
      <c r="N63" s="1081" t="s">
        <v>4578</v>
      </c>
      <c r="O63" s="748" t="s">
        <v>4579</v>
      </c>
      <c r="P63" s="1083" t="s">
        <v>4580</v>
      </c>
      <c r="Q63" s="1084" t="s">
        <v>4581</v>
      </c>
      <c r="R63" s="1081" t="s">
        <v>4582</v>
      </c>
      <c r="S63" s="748" t="s">
        <v>4583</v>
      </c>
      <c r="T63" s="1081" t="s">
        <v>4584</v>
      </c>
      <c r="U63" s="748" t="s">
        <v>4585</v>
      </c>
      <c r="V63" s="1081" t="s">
        <v>4586</v>
      </c>
      <c r="W63" s="748" t="s">
        <v>4587</v>
      </c>
      <c r="X63" s="1083" t="s">
        <v>4588</v>
      </c>
      <c r="Y63" s="1084" t="s">
        <v>4589</v>
      </c>
      <c r="Z63" s="1081" t="s">
        <v>4590</v>
      </c>
      <c r="AA63" s="748" t="s">
        <v>4591</v>
      </c>
      <c r="AB63" s="1083" t="s">
        <v>4592</v>
      </c>
      <c r="AC63" s="1084" t="s">
        <v>4593</v>
      </c>
      <c r="AD63" s="1081" t="s">
        <v>4594</v>
      </c>
      <c r="AE63" s="748" t="s">
        <v>4595</v>
      </c>
      <c r="AF63" s="1083" t="s">
        <v>4596</v>
      </c>
      <c r="AG63" s="1084" t="s">
        <v>4597</v>
      </c>
      <c r="AH63" s="1081" t="s">
        <v>4598</v>
      </c>
      <c r="AI63" s="748" t="s">
        <v>4599</v>
      </c>
      <c r="AJ63" s="1083" t="s">
        <v>4600</v>
      </c>
      <c r="AK63" s="1084" t="s">
        <v>4601</v>
      </c>
      <c r="AL63" s="1081" t="s">
        <v>4602</v>
      </c>
      <c r="AM63" s="748" t="s">
        <v>4603</v>
      </c>
      <c r="AN63" s="1085" t="s">
        <v>4604</v>
      </c>
      <c r="AO63" s="736" t="s">
        <v>4605</v>
      </c>
      <c r="AP63" s="1086" t="s">
        <v>4606</v>
      </c>
      <c r="AQ63" s="19" t="str">
        <f>CB63</f>
        <v xml:space="preserve"> * El campo Beneficiario No puede ser mayor al Total Ambos Sexos</v>
      </c>
      <c r="CB63" s="135" t="str">
        <f>IF(AND(AP63="",C63&gt;0)," * No olvide digitar la variable Beneficiarios. Digite cero si no tiene.",IF(AP63&gt;C63," * El campo Beneficiario No puede ser mayor al Total Ambos Sexos",""))</f>
        <v xml:space="preserve"> * El campo Beneficiario No puede ser mayor al Total Ambos Sexos</v>
      </c>
      <c r="CG63" s="182">
        <f>IF(AND(AP63="",C63&gt;0),1,IF(AP63&gt;C63,1,0))</f>
        <v>1</v>
      </c>
    </row>
    <row r="64" spans="1:87" s="19" customFormat="1" ht="15" customHeight="1" x14ac:dyDescent="0.15">
      <c r="A64" s="5818">
        <v>23080400</v>
      </c>
      <c r="B64" s="1087" t="s">
        <v>98</v>
      </c>
      <c r="C64" s="1050" t="s">
        <v>4567</v>
      </c>
      <c r="D64" s="1051" t="s">
        <v>4568</v>
      </c>
      <c r="E64" s="1088" t="s">
        <v>4569</v>
      </c>
      <c r="F64" s="1089" t="s">
        <v>4570</v>
      </c>
      <c r="G64" s="1090" t="s">
        <v>4571</v>
      </c>
      <c r="H64" s="1091" t="s">
        <v>4572</v>
      </c>
      <c r="I64" s="1092" t="s">
        <v>4573</v>
      </c>
      <c r="J64" s="1089" t="s">
        <v>4574</v>
      </c>
      <c r="K64" s="1093" t="s">
        <v>4575</v>
      </c>
      <c r="L64" s="1091" t="s">
        <v>4576</v>
      </c>
      <c r="M64" s="1092" t="s">
        <v>4577</v>
      </c>
      <c r="N64" s="1089" t="s">
        <v>4578</v>
      </c>
      <c r="O64" s="1093" t="s">
        <v>4579</v>
      </c>
      <c r="P64" s="1091" t="s">
        <v>4580</v>
      </c>
      <c r="Q64" s="1092" t="s">
        <v>4581</v>
      </c>
      <c r="R64" s="1089" t="s">
        <v>4582</v>
      </c>
      <c r="S64" s="1093" t="s">
        <v>4583</v>
      </c>
      <c r="T64" s="1089" t="s">
        <v>4584</v>
      </c>
      <c r="U64" s="1093" t="s">
        <v>4585</v>
      </c>
      <c r="V64" s="1089" t="s">
        <v>4586</v>
      </c>
      <c r="W64" s="1093" t="s">
        <v>4587</v>
      </c>
      <c r="X64" s="1091" t="s">
        <v>4588</v>
      </c>
      <c r="Y64" s="1092" t="s">
        <v>4589</v>
      </c>
      <c r="Z64" s="1089" t="s">
        <v>4590</v>
      </c>
      <c r="AA64" s="1093" t="s">
        <v>4591</v>
      </c>
      <c r="AB64" s="1091" t="s">
        <v>4592</v>
      </c>
      <c r="AC64" s="1092" t="s">
        <v>4593</v>
      </c>
      <c r="AD64" s="1089" t="s">
        <v>4594</v>
      </c>
      <c r="AE64" s="1093" t="s">
        <v>4595</v>
      </c>
      <c r="AF64" s="1091" t="s">
        <v>4596</v>
      </c>
      <c r="AG64" s="1092" t="s">
        <v>4597</v>
      </c>
      <c r="AH64" s="1089" t="s">
        <v>4598</v>
      </c>
      <c r="AI64" s="1093" t="s">
        <v>4599</v>
      </c>
      <c r="AJ64" s="1091" t="s">
        <v>4600</v>
      </c>
      <c r="AK64" s="1092" t="s">
        <v>4601</v>
      </c>
      <c r="AL64" s="1089" t="s">
        <v>4602</v>
      </c>
      <c r="AM64" s="1093" t="s">
        <v>4603</v>
      </c>
      <c r="AN64" s="1094" t="s">
        <v>4604</v>
      </c>
      <c r="AO64" s="1095" t="s">
        <v>4605</v>
      </c>
      <c r="AP64" s="1090" t="s">
        <v>4606</v>
      </c>
      <c r="AQ64" s="19" t="str">
        <f t="shared" ref="AQ64:AQ65" si="27">CB64</f>
        <v xml:space="preserve"> * El campo Beneficiario No puede ser mayor al Total Ambos Sexos</v>
      </c>
      <c r="CB64" s="135" t="str">
        <f>IF(AND(AP64="",C64&gt;0)," * No olvide digitar la variable Beneficiarios. Digite cero si no tiene.",IF(AP64&gt;C64," * El campo Beneficiario No puede ser mayor al Total Ambos Sexos",""))</f>
        <v xml:space="preserve"> * El campo Beneficiario No puede ser mayor al Total Ambos Sexos</v>
      </c>
      <c r="CG64" s="182">
        <f>IF(AND(AP64="",C64&gt;0),1,IF(AP64&gt;C64,1,0))</f>
        <v>1</v>
      </c>
    </row>
    <row r="65" spans="1:86" s="19" customFormat="1" ht="15" customHeight="1" x14ac:dyDescent="0.15">
      <c r="A65" s="5818">
        <v>23080500</v>
      </c>
      <c r="B65" s="352" t="s">
        <v>1406</v>
      </c>
      <c r="C65" s="1096" t="s">
        <v>4567</v>
      </c>
      <c r="D65" s="1097" t="s">
        <v>4568</v>
      </c>
      <c r="E65" s="625" t="s">
        <v>4569</v>
      </c>
      <c r="F65" s="192" t="s">
        <v>4570</v>
      </c>
      <c r="G65" s="2" t="s">
        <v>4571</v>
      </c>
      <c r="H65" s="481" t="s">
        <v>4572</v>
      </c>
      <c r="I65" s="1098" t="s">
        <v>4573</v>
      </c>
      <c r="J65" s="192" t="s">
        <v>4574</v>
      </c>
      <c r="K65" s="382" t="s">
        <v>4575</v>
      </c>
      <c r="L65" s="481" t="s">
        <v>4576</v>
      </c>
      <c r="M65" s="1098" t="s">
        <v>4577</v>
      </c>
      <c r="N65" s="192" t="s">
        <v>4578</v>
      </c>
      <c r="O65" s="382" t="s">
        <v>4579</v>
      </c>
      <c r="P65" s="481" t="s">
        <v>4580</v>
      </c>
      <c r="Q65" s="1098" t="s">
        <v>4581</v>
      </c>
      <c r="R65" s="192" t="s">
        <v>4582</v>
      </c>
      <c r="S65" s="382" t="s">
        <v>4583</v>
      </c>
      <c r="T65" s="192" t="s">
        <v>4584</v>
      </c>
      <c r="U65" s="382" t="s">
        <v>4585</v>
      </c>
      <c r="V65" s="192" t="s">
        <v>4586</v>
      </c>
      <c r="W65" s="382" t="s">
        <v>4587</v>
      </c>
      <c r="X65" s="481" t="s">
        <v>4588</v>
      </c>
      <c r="Y65" s="1098" t="s">
        <v>4589</v>
      </c>
      <c r="Z65" s="192" t="s">
        <v>4590</v>
      </c>
      <c r="AA65" s="382" t="s">
        <v>4591</v>
      </c>
      <c r="AB65" s="481" t="s">
        <v>4592</v>
      </c>
      <c r="AC65" s="1098" t="s">
        <v>4593</v>
      </c>
      <c r="AD65" s="192" t="s">
        <v>4594</v>
      </c>
      <c r="AE65" s="382" t="s">
        <v>4595</v>
      </c>
      <c r="AF65" s="481" t="s">
        <v>4596</v>
      </c>
      <c r="AG65" s="1098" t="s">
        <v>4597</v>
      </c>
      <c r="AH65" s="192" t="s">
        <v>4598</v>
      </c>
      <c r="AI65" s="382" t="s">
        <v>4599</v>
      </c>
      <c r="AJ65" s="481" t="s">
        <v>4600</v>
      </c>
      <c r="AK65" s="1098" t="s">
        <v>4601</v>
      </c>
      <c r="AL65" s="192" t="s">
        <v>4602</v>
      </c>
      <c r="AM65" s="382" t="s">
        <v>4603</v>
      </c>
      <c r="AN65" s="753" t="s">
        <v>4604</v>
      </c>
      <c r="AO65" s="383" t="s">
        <v>4605</v>
      </c>
      <c r="AP65" s="42" t="s">
        <v>4606</v>
      </c>
      <c r="AQ65" s="19" t="str">
        <f t="shared" si="27"/>
        <v xml:space="preserve"> * El campo Beneficiario No puede ser mayor al Total Ambos Sexos</v>
      </c>
      <c r="CB65" s="135" t="str">
        <f>IF(AND(AP65="",C65&gt;0)," * No olvide digitar la variable Beneficiarios. Digite cero si no tiene.",IF(AP65&gt;C65," * El campo Beneficiario No puede ser mayor al Total Ambos Sexos",""))</f>
        <v xml:space="preserve"> * El campo Beneficiario No puede ser mayor al Total Ambos Sexos</v>
      </c>
      <c r="CG65" s="182">
        <f t="shared" ref="CG65" si="28">IF(AND(AP65="",C65&gt;0),1,IF(AP65&gt;C65,1,0))</f>
        <v>1</v>
      </c>
    </row>
    <row r="66" spans="1:86" s="19" customFormat="1" ht="15" customHeight="1" x14ac:dyDescent="0.2">
      <c r="A66" s="5863"/>
      <c r="B66" s="1099" t="s">
        <v>77</v>
      </c>
      <c r="C66" s="973">
        <f t="shared" ref="C66:L66" si="29">SUM(C63:C65)</f>
        <v>0</v>
      </c>
      <c r="D66" s="976">
        <f t="shared" si="29"/>
        <v>0</v>
      </c>
      <c r="E66" s="974">
        <f t="shared" si="29"/>
        <v>0</v>
      </c>
      <c r="F66" s="1100">
        <f t="shared" si="29"/>
        <v>0</v>
      </c>
      <c r="G66" s="1101">
        <f t="shared" si="29"/>
        <v>0</v>
      </c>
      <c r="H66" s="1102">
        <f t="shared" si="29"/>
        <v>0</v>
      </c>
      <c r="I66" s="1103">
        <f t="shared" si="29"/>
        <v>0</v>
      </c>
      <c r="J66" s="1100">
        <f t="shared" si="29"/>
        <v>0</v>
      </c>
      <c r="K66" s="1104">
        <f t="shared" si="29"/>
        <v>0</v>
      </c>
      <c r="L66" s="1102">
        <f t="shared" si="29"/>
        <v>0</v>
      </c>
      <c r="M66" s="1103">
        <f t="shared" ref="M66:AP66" si="30">SUM(M63:M65)</f>
        <v>0</v>
      </c>
      <c r="N66" s="1100">
        <f t="shared" si="30"/>
        <v>0</v>
      </c>
      <c r="O66" s="1104">
        <f t="shared" si="30"/>
        <v>0</v>
      </c>
      <c r="P66" s="1102">
        <f t="shared" si="30"/>
        <v>0</v>
      </c>
      <c r="Q66" s="1103">
        <f t="shared" si="30"/>
        <v>0</v>
      </c>
      <c r="R66" s="1100">
        <f t="shared" si="30"/>
        <v>0</v>
      </c>
      <c r="S66" s="1104">
        <f t="shared" si="30"/>
        <v>0</v>
      </c>
      <c r="T66" s="1100">
        <f t="shared" ref="T66:U66" si="31">SUM(T63:T65)</f>
        <v>0</v>
      </c>
      <c r="U66" s="1104">
        <f t="shared" si="31"/>
        <v>0</v>
      </c>
      <c r="V66" s="1100">
        <f t="shared" ref="V66:W66" si="32">SUM(V63:V65)</f>
        <v>0</v>
      </c>
      <c r="W66" s="1104">
        <f t="shared" si="32"/>
        <v>0</v>
      </c>
      <c r="X66" s="1102">
        <f t="shared" si="30"/>
        <v>0</v>
      </c>
      <c r="Y66" s="1103">
        <f t="shared" si="30"/>
        <v>0</v>
      </c>
      <c r="Z66" s="1100">
        <f t="shared" si="30"/>
        <v>0</v>
      </c>
      <c r="AA66" s="1104">
        <f t="shared" si="30"/>
        <v>0</v>
      </c>
      <c r="AB66" s="1102">
        <f t="shared" si="30"/>
        <v>0</v>
      </c>
      <c r="AC66" s="1103">
        <f t="shared" si="30"/>
        <v>0</v>
      </c>
      <c r="AD66" s="1100">
        <f t="shared" si="30"/>
        <v>0</v>
      </c>
      <c r="AE66" s="1104">
        <f t="shared" si="30"/>
        <v>0</v>
      </c>
      <c r="AF66" s="1102">
        <f t="shared" si="30"/>
        <v>0</v>
      </c>
      <c r="AG66" s="1103">
        <f t="shared" si="30"/>
        <v>0</v>
      </c>
      <c r="AH66" s="1100">
        <f t="shared" si="30"/>
        <v>0</v>
      </c>
      <c r="AI66" s="1104">
        <f t="shared" si="30"/>
        <v>0</v>
      </c>
      <c r="AJ66" s="1102">
        <f t="shared" si="30"/>
        <v>0</v>
      </c>
      <c r="AK66" s="1103">
        <f t="shared" si="30"/>
        <v>0</v>
      </c>
      <c r="AL66" s="1100">
        <f t="shared" si="30"/>
        <v>0</v>
      </c>
      <c r="AM66" s="1104">
        <f t="shared" si="30"/>
        <v>0</v>
      </c>
      <c r="AN66" s="1105">
        <f t="shared" si="30"/>
        <v>0</v>
      </c>
      <c r="AO66" s="1106">
        <f t="shared" si="30"/>
        <v>0</v>
      </c>
      <c r="AP66" s="1101">
        <f t="shared" si="30"/>
        <v>0</v>
      </c>
    </row>
    <row r="67" spans="1:86" s="25" customFormat="1" ht="18" customHeight="1" x14ac:dyDescent="0.25">
      <c r="A67"/>
      <c r="B67" s="3" t="s">
        <v>2477</v>
      </c>
    </row>
    <row r="68" spans="1:86" s="19" customFormat="1" ht="15" customHeight="1" x14ac:dyDescent="0.15">
      <c r="A68" s="5862"/>
      <c r="B68" s="7290" t="s">
        <v>27</v>
      </c>
      <c r="C68" s="7299" t="s">
        <v>77</v>
      </c>
      <c r="D68" s="6491"/>
      <c r="E68" s="7290"/>
      <c r="F68" s="7291" t="s">
        <v>101</v>
      </c>
      <c r="G68" s="7298"/>
      <c r="H68" s="7298"/>
      <c r="I68" s="7298"/>
      <c r="J68" s="7298"/>
      <c r="K68" s="7298"/>
      <c r="L68" s="7298"/>
      <c r="M68" s="7298"/>
      <c r="N68" s="7298"/>
      <c r="O68" s="7298"/>
      <c r="P68" s="7298"/>
      <c r="Q68" s="7298"/>
      <c r="R68" s="7298"/>
      <c r="S68" s="7298"/>
      <c r="T68" s="7298"/>
      <c r="U68" s="7298"/>
      <c r="V68" s="7298"/>
      <c r="W68" s="7298"/>
      <c r="X68" s="7298"/>
      <c r="Y68" s="7298"/>
      <c r="Z68" s="7298"/>
      <c r="AA68" s="7298"/>
      <c r="AB68" s="7298"/>
      <c r="AC68" s="7298"/>
      <c r="AD68" s="7298"/>
      <c r="AE68" s="7298"/>
      <c r="AF68" s="7298"/>
      <c r="AG68" s="7298"/>
      <c r="AH68" s="7298"/>
      <c r="AI68" s="7298"/>
      <c r="AJ68" s="7298"/>
      <c r="AK68" s="7298"/>
      <c r="AL68" s="7298"/>
      <c r="AM68" s="7298"/>
      <c r="AN68" s="7298"/>
      <c r="AO68" s="7339"/>
      <c r="AP68" s="7301" t="s">
        <v>597</v>
      </c>
      <c r="AQ68" s="7256" t="s">
        <v>473</v>
      </c>
    </row>
    <row r="69" spans="1:86" s="19" customFormat="1" ht="15" customHeight="1" x14ac:dyDescent="0.15">
      <c r="A69" s="5862"/>
      <c r="B69" s="6331"/>
      <c r="C69" s="6750"/>
      <c r="D69" s="6749"/>
      <c r="E69" s="6913"/>
      <c r="F69" s="7289" t="s">
        <v>4407</v>
      </c>
      <c r="G69" s="7290"/>
      <c r="H69" s="7291" t="s">
        <v>2446</v>
      </c>
      <c r="I69" s="7244"/>
      <c r="J69" s="7291" t="s">
        <v>2447</v>
      </c>
      <c r="K69" s="7244"/>
      <c r="L69" s="7257" t="s">
        <v>94</v>
      </c>
      <c r="M69" s="7244"/>
      <c r="N69" s="7291" t="s">
        <v>44</v>
      </c>
      <c r="O69" s="7244"/>
      <c r="P69" s="7291" t="s">
        <v>45</v>
      </c>
      <c r="Q69" s="7244"/>
      <c r="R69" s="7299" t="s">
        <v>46</v>
      </c>
      <c r="S69" s="7290"/>
      <c r="T69" s="7299" t="s">
        <v>47</v>
      </c>
      <c r="U69" s="7290"/>
      <c r="V69" s="6491" t="s">
        <v>48</v>
      </c>
      <c r="W69" s="7290"/>
      <c r="X69" s="7291" t="s">
        <v>49</v>
      </c>
      <c r="Y69" s="7244"/>
      <c r="Z69" s="7291" t="s">
        <v>50</v>
      </c>
      <c r="AA69" s="7244"/>
      <c r="AB69" s="7291" t="s">
        <v>51</v>
      </c>
      <c r="AC69" s="7244"/>
      <c r="AD69" s="7291" t="s">
        <v>52</v>
      </c>
      <c r="AE69" s="7244"/>
      <c r="AF69" s="7291" t="s">
        <v>53</v>
      </c>
      <c r="AG69" s="7244"/>
      <c r="AH69" s="7291" t="s">
        <v>54</v>
      </c>
      <c r="AI69" s="7244"/>
      <c r="AJ69" s="7291" t="s">
        <v>55</v>
      </c>
      <c r="AK69" s="7244"/>
      <c r="AL69" s="7291" t="s">
        <v>56</v>
      </c>
      <c r="AM69" s="7244"/>
      <c r="AN69" s="7291" t="s">
        <v>57</v>
      </c>
      <c r="AO69" s="7339"/>
      <c r="AP69" s="7206"/>
      <c r="AQ69" s="6023"/>
    </row>
    <row r="70" spans="1:86" s="19" customFormat="1" ht="15" customHeight="1" x14ac:dyDescent="0.15">
      <c r="A70" s="5862"/>
      <c r="B70" s="6913"/>
      <c r="C70" s="981" t="s">
        <v>79</v>
      </c>
      <c r="D70" s="1068" t="s">
        <v>58</v>
      </c>
      <c r="E70" s="983" t="s">
        <v>59</v>
      </c>
      <c r="F70" s="1109" t="s">
        <v>58</v>
      </c>
      <c r="G70" s="1067" t="s">
        <v>59</v>
      </c>
      <c r="H70" s="1110" t="s">
        <v>58</v>
      </c>
      <c r="I70" s="1076" t="s">
        <v>59</v>
      </c>
      <c r="J70" s="1109" t="s">
        <v>58</v>
      </c>
      <c r="K70" s="1067" t="s">
        <v>59</v>
      </c>
      <c r="L70" s="1109" t="s">
        <v>58</v>
      </c>
      <c r="M70" s="1067" t="s">
        <v>59</v>
      </c>
      <c r="N70" s="1110" t="s">
        <v>58</v>
      </c>
      <c r="O70" s="1076" t="s">
        <v>59</v>
      </c>
      <c r="P70" s="1109" t="s">
        <v>58</v>
      </c>
      <c r="Q70" s="1067" t="s">
        <v>59</v>
      </c>
      <c r="R70" s="981" t="s">
        <v>58</v>
      </c>
      <c r="S70" s="983" t="s">
        <v>59</v>
      </c>
      <c r="T70" s="981" t="s">
        <v>58</v>
      </c>
      <c r="U70" s="983" t="s">
        <v>59</v>
      </c>
      <c r="V70" s="1068" t="s">
        <v>58</v>
      </c>
      <c r="W70" s="983" t="s">
        <v>59</v>
      </c>
      <c r="X70" s="1109" t="s">
        <v>58</v>
      </c>
      <c r="Y70" s="1067" t="s">
        <v>59</v>
      </c>
      <c r="Z70" s="1110" t="s">
        <v>58</v>
      </c>
      <c r="AA70" s="1076" t="s">
        <v>59</v>
      </c>
      <c r="AB70" s="1109" t="s">
        <v>58</v>
      </c>
      <c r="AC70" s="1067" t="s">
        <v>59</v>
      </c>
      <c r="AD70" s="1110" t="s">
        <v>58</v>
      </c>
      <c r="AE70" s="1076" t="s">
        <v>59</v>
      </c>
      <c r="AF70" s="1109" t="s">
        <v>58</v>
      </c>
      <c r="AG70" s="1067" t="s">
        <v>59</v>
      </c>
      <c r="AH70" s="1110" t="s">
        <v>58</v>
      </c>
      <c r="AI70" s="1076" t="s">
        <v>59</v>
      </c>
      <c r="AJ70" s="1109" t="s">
        <v>58</v>
      </c>
      <c r="AK70" s="1067" t="s">
        <v>59</v>
      </c>
      <c r="AL70" s="1110" t="s">
        <v>58</v>
      </c>
      <c r="AM70" s="1076" t="s">
        <v>59</v>
      </c>
      <c r="AN70" s="1109" t="s">
        <v>58</v>
      </c>
      <c r="AO70" s="1111" t="s">
        <v>59</v>
      </c>
      <c r="AP70" s="6937"/>
      <c r="AQ70" s="6739"/>
    </row>
    <row r="71" spans="1:86" s="19" customFormat="1" ht="15" customHeight="1" x14ac:dyDescent="0.15">
      <c r="A71" s="5818">
        <v>23090450</v>
      </c>
      <c r="B71" s="1112" t="s">
        <v>98</v>
      </c>
      <c r="C71" s="302" t="s">
        <v>4567</v>
      </c>
      <c r="D71" s="41" t="s">
        <v>4568</v>
      </c>
      <c r="E71" s="141" t="s">
        <v>4569</v>
      </c>
      <c r="F71" s="290" t="s">
        <v>4570</v>
      </c>
      <c r="G71" s="107" t="s">
        <v>4571</v>
      </c>
      <c r="H71" s="22" t="s">
        <v>4572</v>
      </c>
      <c r="I71" s="714" t="s">
        <v>4573</v>
      </c>
      <c r="J71" s="290" t="s">
        <v>4574</v>
      </c>
      <c r="K71" s="622" t="s">
        <v>4575</v>
      </c>
      <c r="L71" s="290" t="s">
        <v>4576</v>
      </c>
      <c r="M71" s="622" t="s">
        <v>4577</v>
      </c>
      <c r="N71" s="22" t="s">
        <v>4578</v>
      </c>
      <c r="O71" s="714" t="s">
        <v>4579</v>
      </c>
      <c r="P71" s="290" t="s">
        <v>4580</v>
      </c>
      <c r="Q71" s="622" t="s">
        <v>4581</v>
      </c>
      <c r="R71" s="290" t="s">
        <v>4582</v>
      </c>
      <c r="S71" s="622" t="s">
        <v>4583</v>
      </c>
      <c r="T71" s="290" t="s">
        <v>4584</v>
      </c>
      <c r="U71" s="622" t="s">
        <v>4585</v>
      </c>
      <c r="V71" s="22" t="s">
        <v>4586</v>
      </c>
      <c r="W71" s="714" t="s">
        <v>4587</v>
      </c>
      <c r="X71" s="290" t="s">
        <v>4588</v>
      </c>
      <c r="Y71" s="622" t="s">
        <v>4589</v>
      </c>
      <c r="Z71" s="22" t="s">
        <v>4590</v>
      </c>
      <c r="AA71" s="714" t="s">
        <v>4591</v>
      </c>
      <c r="AB71" s="290" t="s">
        <v>4592</v>
      </c>
      <c r="AC71" s="622" t="s">
        <v>4593</v>
      </c>
      <c r="AD71" s="22" t="s">
        <v>4594</v>
      </c>
      <c r="AE71" s="714" t="s">
        <v>4595</v>
      </c>
      <c r="AF71" s="290" t="s">
        <v>4596</v>
      </c>
      <c r="AG71" s="622" t="s">
        <v>4597</v>
      </c>
      <c r="AH71" s="22" t="s">
        <v>4598</v>
      </c>
      <c r="AI71" s="714" t="s">
        <v>4599</v>
      </c>
      <c r="AJ71" s="290" t="s">
        <v>4600</v>
      </c>
      <c r="AK71" s="622" t="s">
        <v>4601</v>
      </c>
      <c r="AL71" s="22" t="s">
        <v>4602</v>
      </c>
      <c r="AM71" s="714" t="s">
        <v>4603</v>
      </c>
      <c r="AN71" s="245" t="s">
        <v>4604</v>
      </c>
      <c r="AO71" s="430" t="s">
        <v>4605</v>
      </c>
      <c r="AP71" s="107" t="s">
        <v>4606</v>
      </c>
      <c r="AQ71" s="353" t="s">
        <v>4934</v>
      </c>
      <c r="AR71" s="19" t="str">
        <f>CB71</f>
        <v xml:space="preserve"> * El campo Beneficiario No puede ser mayor al Total Ambos Sexos</v>
      </c>
      <c r="CB71" s="135" t="str">
        <f>IF(AND(AP71="",C71&gt;0)," * No olvide digitar la variable Beneficiarios. Digite cero si no tiene.",IF(AP71&gt;C71," * El campo Beneficiario No puede ser mayor al Total Ambos Sexos",""))</f>
        <v xml:space="preserve"> * El campo Beneficiario No puede ser mayor al Total Ambos Sexos</v>
      </c>
      <c r="CG71" s="182">
        <f>IF(AND(AP71="",C71&gt;0),1,IF(AP71&gt;C71,1,0))</f>
        <v>1</v>
      </c>
    </row>
    <row r="72" spans="1:86" s="19" customFormat="1" ht="15" customHeight="1" x14ac:dyDescent="0.15">
      <c r="A72" s="5818">
        <v>23090460</v>
      </c>
      <c r="B72" s="1113" t="s">
        <v>1406</v>
      </c>
      <c r="C72" s="231" t="s">
        <v>4567</v>
      </c>
      <c r="D72" s="210" t="s">
        <v>4568</v>
      </c>
      <c r="E72" s="43" t="s">
        <v>4569</v>
      </c>
      <c r="F72" s="192" t="s">
        <v>4570</v>
      </c>
      <c r="G72" s="2" t="s">
        <v>4571</v>
      </c>
      <c r="H72" s="481" t="s">
        <v>4572</v>
      </c>
      <c r="I72" s="1098" t="s">
        <v>4573</v>
      </c>
      <c r="J72" s="192" t="s">
        <v>4574</v>
      </c>
      <c r="K72" s="382" t="s">
        <v>4575</v>
      </c>
      <c r="L72" s="192" t="s">
        <v>4576</v>
      </c>
      <c r="M72" s="382" t="s">
        <v>4577</v>
      </c>
      <c r="N72" s="481" t="s">
        <v>4578</v>
      </c>
      <c r="O72" s="1098" t="s">
        <v>4579</v>
      </c>
      <c r="P72" s="192" t="s">
        <v>4580</v>
      </c>
      <c r="Q72" s="382" t="s">
        <v>4581</v>
      </c>
      <c r="R72" s="192" t="s">
        <v>4582</v>
      </c>
      <c r="S72" s="382" t="s">
        <v>4583</v>
      </c>
      <c r="T72" s="192" t="s">
        <v>4584</v>
      </c>
      <c r="U72" s="382" t="s">
        <v>4585</v>
      </c>
      <c r="V72" s="481" t="s">
        <v>4586</v>
      </c>
      <c r="W72" s="1098" t="s">
        <v>4587</v>
      </c>
      <c r="X72" s="192" t="s">
        <v>4588</v>
      </c>
      <c r="Y72" s="382" t="s">
        <v>4589</v>
      </c>
      <c r="Z72" s="481" t="s">
        <v>4590</v>
      </c>
      <c r="AA72" s="1098" t="s">
        <v>4591</v>
      </c>
      <c r="AB72" s="192" t="s">
        <v>4592</v>
      </c>
      <c r="AC72" s="382" t="s">
        <v>4593</v>
      </c>
      <c r="AD72" s="481" t="s">
        <v>4594</v>
      </c>
      <c r="AE72" s="1098" t="s">
        <v>4595</v>
      </c>
      <c r="AF72" s="192" t="s">
        <v>4596</v>
      </c>
      <c r="AG72" s="382" t="s">
        <v>4597</v>
      </c>
      <c r="AH72" s="481" t="s">
        <v>4598</v>
      </c>
      <c r="AI72" s="1098" t="s">
        <v>4599</v>
      </c>
      <c r="AJ72" s="1114" t="s">
        <v>4600</v>
      </c>
      <c r="AK72" s="1115" t="s">
        <v>4601</v>
      </c>
      <c r="AL72" s="481" t="s">
        <v>4602</v>
      </c>
      <c r="AM72" s="1098" t="s">
        <v>4603</v>
      </c>
      <c r="AN72" s="753" t="s">
        <v>4604</v>
      </c>
      <c r="AO72" s="383" t="s">
        <v>4605</v>
      </c>
      <c r="AP72" s="42" t="s">
        <v>4606</v>
      </c>
      <c r="AQ72" s="354" t="s">
        <v>4934</v>
      </c>
      <c r="AR72" s="19" t="str">
        <f>CB72&amp;CC72</f>
        <v xml:space="preserve"> * El campo Beneficiario No puede ser mayor al Total Ambos Sexos * La variable Por campaña de Invierno no puede ser mayor que el Total Ambos Sexos.</v>
      </c>
      <c r="CB72" s="135" t="str">
        <f>IF(AND(AP72="",C72&gt;0)," * No olvide digitar la variable Beneficiarios. Digite cero si no tiene.",IF(AP72&gt;C72," * El campo Beneficiario No puede ser mayor al Total Ambos Sexos",""))</f>
        <v xml:space="preserve"> * El campo Beneficiario No puede ser mayor al Total Ambos Sexos</v>
      </c>
      <c r="CC72" s="135" t="str">
        <f>IF(AND(AQ72="",C72&gt;0)," * No olvide digitar la variable Por campaña de Invierno. Digite CERO si no tiene.",IF(AQ72&gt;C72," * La variable Por campaña de Invierno no puede ser mayor que el Total Ambos Sexos.",""))</f>
        <v xml:space="preserve"> * La variable Por campaña de Invierno no puede ser mayor que el Total Ambos Sexos.</v>
      </c>
      <c r="CF72" s="151"/>
      <c r="CG72" s="182">
        <f>IF(AND(AP72="",C72&gt;0),1,IF(AP72&gt;C72,1,0))</f>
        <v>1</v>
      </c>
      <c r="CH72" s="84">
        <f>IF(AND(AQ72="",C72&gt;0),1,IF(AQ72&gt;C72,1,""))</f>
        <v>1</v>
      </c>
    </row>
    <row r="73" spans="1:86" s="19" customFormat="1" ht="15" customHeight="1" x14ac:dyDescent="0.2">
      <c r="A73" s="5863"/>
      <c r="B73" s="1025" t="s">
        <v>77</v>
      </c>
      <c r="C73" s="973">
        <f t="shared" ref="C73:AP73" si="33">SUM(C71:C72)</f>
        <v>0</v>
      </c>
      <c r="D73" s="976">
        <f>SUM(D71:D72)</f>
        <v>0</v>
      </c>
      <c r="E73" s="974">
        <f t="shared" si="33"/>
        <v>0</v>
      </c>
      <c r="F73" s="1100">
        <f>SUM(F71:F72)</f>
        <v>0</v>
      </c>
      <c r="G73" s="1101">
        <f t="shared" si="33"/>
        <v>0</v>
      </c>
      <c r="H73" s="1102">
        <f t="shared" si="33"/>
        <v>0</v>
      </c>
      <c r="I73" s="1103">
        <f t="shared" si="33"/>
        <v>0</v>
      </c>
      <c r="J73" s="1100">
        <f t="shared" si="33"/>
        <v>0</v>
      </c>
      <c r="K73" s="1104">
        <f t="shared" si="33"/>
        <v>0</v>
      </c>
      <c r="L73" s="1100">
        <f t="shared" si="33"/>
        <v>0</v>
      </c>
      <c r="M73" s="1104">
        <f t="shared" si="33"/>
        <v>0</v>
      </c>
      <c r="N73" s="1102">
        <f t="shared" si="33"/>
        <v>0</v>
      </c>
      <c r="O73" s="1103">
        <f t="shared" si="33"/>
        <v>0</v>
      </c>
      <c r="P73" s="1100">
        <f t="shared" si="33"/>
        <v>0</v>
      </c>
      <c r="Q73" s="1104">
        <f t="shared" si="33"/>
        <v>0</v>
      </c>
      <c r="R73" s="1100">
        <f t="shared" si="33"/>
        <v>0</v>
      </c>
      <c r="S73" s="1104">
        <f t="shared" si="33"/>
        <v>0</v>
      </c>
      <c r="T73" s="1100">
        <f t="shared" si="33"/>
        <v>0</v>
      </c>
      <c r="U73" s="1104">
        <f t="shared" si="33"/>
        <v>0</v>
      </c>
      <c r="V73" s="1102">
        <f t="shared" ref="V73:W73" si="34">SUM(V71:V72)</f>
        <v>0</v>
      </c>
      <c r="W73" s="1103">
        <f t="shared" si="34"/>
        <v>0</v>
      </c>
      <c r="X73" s="1100">
        <f t="shared" si="33"/>
        <v>0</v>
      </c>
      <c r="Y73" s="1104">
        <f t="shared" si="33"/>
        <v>0</v>
      </c>
      <c r="Z73" s="1102">
        <f t="shared" si="33"/>
        <v>0</v>
      </c>
      <c r="AA73" s="1103">
        <f t="shared" si="33"/>
        <v>0</v>
      </c>
      <c r="AB73" s="1100">
        <f t="shared" si="33"/>
        <v>0</v>
      </c>
      <c r="AC73" s="1104">
        <f t="shared" si="33"/>
        <v>0</v>
      </c>
      <c r="AD73" s="1102">
        <f t="shared" si="33"/>
        <v>0</v>
      </c>
      <c r="AE73" s="1103">
        <f t="shared" si="33"/>
        <v>0</v>
      </c>
      <c r="AF73" s="1100">
        <f t="shared" si="33"/>
        <v>0</v>
      </c>
      <c r="AG73" s="1104">
        <f t="shared" si="33"/>
        <v>0</v>
      </c>
      <c r="AH73" s="1102">
        <f t="shared" si="33"/>
        <v>0</v>
      </c>
      <c r="AI73" s="1116">
        <f t="shared" si="33"/>
        <v>0</v>
      </c>
      <c r="AJ73" s="1116">
        <f t="shared" si="33"/>
        <v>0</v>
      </c>
      <c r="AK73" s="1116">
        <f t="shared" si="33"/>
        <v>0</v>
      </c>
      <c r="AL73" s="1116">
        <f t="shared" si="33"/>
        <v>0</v>
      </c>
      <c r="AM73" s="1103">
        <f t="shared" si="33"/>
        <v>0</v>
      </c>
      <c r="AN73" s="1105">
        <f t="shared" si="33"/>
        <v>0</v>
      </c>
      <c r="AO73" s="1106">
        <f t="shared" si="33"/>
        <v>0</v>
      </c>
      <c r="AP73" s="1101">
        <f t="shared" si="33"/>
        <v>0</v>
      </c>
      <c r="AQ73" s="1069">
        <f>SUM(AQ71:AQ72)</f>
        <v>0</v>
      </c>
    </row>
    <row r="74" spans="1:86" s="25" customFormat="1" ht="18" customHeight="1" x14ac:dyDescent="0.2">
      <c r="A74" s="9"/>
      <c r="B74" s="3" t="s">
        <v>2478</v>
      </c>
    </row>
    <row r="75" spans="1:86" s="19" customFormat="1" ht="15" customHeight="1" x14ac:dyDescent="0.2">
      <c r="A75" s="5864"/>
      <c r="B75" s="7290" t="s">
        <v>2445</v>
      </c>
      <c r="C75" s="7299" t="s">
        <v>77</v>
      </c>
      <c r="D75" s="6491"/>
      <c r="E75" s="7290"/>
      <c r="F75" s="7292" t="s">
        <v>101</v>
      </c>
      <c r="G75" s="7293"/>
      <c r="H75" s="7293"/>
      <c r="I75" s="7293"/>
      <c r="J75" s="7293"/>
      <c r="K75" s="7293"/>
      <c r="L75" s="7293"/>
      <c r="M75" s="7293"/>
      <c r="N75" s="7293"/>
      <c r="O75" s="7293"/>
      <c r="P75" s="7293"/>
      <c r="Q75" s="7293"/>
      <c r="R75" s="7293"/>
      <c r="S75" s="7293"/>
      <c r="T75" s="7293"/>
      <c r="U75" s="7293"/>
      <c r="V75" s="7293"/>
      <c r="W75" s="7293"/>
      <c r="X75" s="7293"/>
      <c r="Y75" s="7293"/>
      <c r="Z75" s="7293"/>
      <c r="AA75" s="7293"/>
      <c r="AB75" s="7293"/>
      <c r="AC75" s="7293"/>
      <c r="AD75" s="7293"/>
      <c r="AE75" s="7293"/>
      <c r="AF75" s="7293"/>
      <c r="AG75" s="7293"/>
      <c r="AH75" s="7293"/>
      <c r="AI75" s="7293"/>
      <c r="AJ75" s="7293"/>
      <c r="AK75" s="7293"/>
      <c r="AL75" s="7293"/>
      <c r="AM75" s="7293"/>
      <c r="AN75" s="7293"/>
      <c r="AO75" s="7294"/>
    </row>
    <row r="76" spans="1:86" s="19" customFormat="1" ht="15" customHeight="1" x14ac:dyDescent="0.2">
      <c r="A76" s="5864"/>
      <c r="B76" s="6331"/>
      <c r="C76" s="6750"/>
      <c r="D76" s="6749"/>
      <c r="E76" s="6913"/>
      <c r="F76" s="7289" t="s">
        <v>4407</v>
      </c>
      <c r="G76" s="7290"/>
      <c r="H76" s="7298" t="s">
        <v>2446</v>
      </c>
      <c r="I76" s="7298"/>
      <c r="J76" s="7291" t="s">
        <v>2447</v>
      </c>
      <c r="K76" s="7244"/>
      <c r="L76" s="7298" t="s">
        <v>94</v>
      </c>
      <c r="M76" s="7298"/>
      <c r="N76" s="7291" t="s">
        <v>44</v>
      </c>
      <c r="O76" s="7244"/>
      <c r="P76" s="6491" t="s">
        <v>45</v>
      </c>
      <c r="Q76" s="6491"/>
      <c r="R76" s="7299" t="s">
        <v>46</v>
      </c>
      <c r="S76" s="7290"/>
      <c r="T76" s="7299" t="s">
        <v>47</v>
      </c>
      <c r="U76" s="7290"/>
      <c r="V76" s="6491" t="s">
        <v>48</v>
      </c>
      <c r="W76" s="7290"/>
      <c r="X76" s="7299" t="s">
        <v>49</v>
      </c>
      <c r="Y76" s="7290"/>
      <c r="Z76" s="6491" t="s">
        <v>50</v>
      </c>
      <c r="AA76" s="6491"/>
      <c r="AB76" s="7299" t="s">
        <v>51</v>
      </c>
      <c r="AC76" s="7290"/>
      <c r="AD76" s="6491" t="s">
        <v>52</v>
      </c>
      <c r="AE76" s="6491"/>
      <c r="AF76" s="7299" t="s">
        <v>53</v>
      </c>
      <c r="AG76" s="7290"/>
      <c r="AH76" s="6491" t="s">
        <v>54</v>
      </c>
      <c r="AI76" s="6491"/>
      <c r="AJ76" s="7299" t="s">
        <v>55</v>
      </c>
      <c r="AK76" s="7290"/>
      <c r="AL76" s="6491" t="s">
        <v>56</v>
      </c>
      <c r="AM76" s="6491"/>
      <c r="AN76" s="7291" t="s">
        <v>57</v>
      </c>
      <c r="AO76" s="7244"/>
    </row>
    <row r="77" spans="1:86" s="19" customFormat="1" ht="15" customHeight="1" x14ac:dyDescent="0.2">
      <c r="A77" s="5864"/>
      <c r="B77" s="6913"/>
      <c r="C77" s="981" t="s">
        <v>79</v>
      </c>
      <c r="D77" s="1068" t="s">
        <v>58</v>
      </c>
      <c r="E77" s="921" t="s">
        <v>59</v>
      </c>
      <c r="F77" s="981" t="s">
        <v>58</v>
      </c>
      <c r="G77" s="983" t="s">
        <v>59</v>
      </c>
      <c r="H77" s="1068" t="s">
        <v>58</v>
      </c>
      <c r="I77" s="1028" t="s">
        <v>59</v>
      </c>
      <c r="J77" s="981" t="s">
        <v>58</v>
      </c>
      <c r="K77" s="983" t="s">
        <v>59</v>
      </c>
      <c r="L77" s="1068" t="s">
        <v>58</v>
      </c>
      <c r="M77" s="1028" t="s">
        <v>59</v>
      </c>
      <c r="N77" s="981" t="s">
        <v>58</v>
      </c>
      <c r="O77" s="983" t="s">
        <v>59</v>
      </c>
      <c r="P77" s="1068" t="s">
        <v>58</v>
      </c>
      <c r="Q77" s="1028" t="s">
        <v>59</v>
      </c>
      <c r="R77" s="981" t="s">
        <v>58</v>
      </c>
      <c r="S77" s="983" t="s">
        <v>59</v>
      </c>
      <c r="T77" s="981" t="s">
        <v>58</v>
      </c>
      <c r="U77" s="983" t="s">
        <v>59</v>
      </c>
      <c r="V77" s="1068" t="s">
        <v>58</v>
      </c>
      <c r="W77" s="983" t="s">
        <v>59</v>
      </c>
      <c r="X77" s="981" t="s">
        <v>58</v>
      </c>
      <c r="Y77" s="983" t="s">
        <v>59</v>
      </c>
      <c r="Z77" s="1068" t="s">
        <v>58</v>
      </c>
      <c r="AA77" s="1028" t="s">
        <v>59</v>
      </c>
      <c r="AB77" s="981" t="s">
        <v>58</v>
      </c>
      <c r="AC77" s="983" t="s">
        <v>59</v>
      </c>
      <c r="AD77" s="1068" t="s">
        <v>58</v>
      </c>
      <c r="AE77" s="1028" t="s">
        <v>59</v>
      </c>
      <c r="AF77" s="981" t="s">
        <v>58</v>
      </c>
      <c r="AG77" s="983" t="s">
        <v>59</v>
      </c>
      <c r="AH77" s="1068" t="s">
        <v>58</v>
      </c>
      <c r="AI77" s="1028" t="s">
        <v>59</v>
      </c>
      <c r="AJ77" s="981" t="s">
        <v>58</v>
      </c>
      <c r="AK77" s="983" t="s">
        <v>59</v>
      </c>
      <c r="AL77" s="1068" t="s">
        <v>58</v>
      </c>
      <c r="AM77" s="1028" t="s">
        <v>59</v>
      </c>
      <c r="AN77" s="981" t="s">
        <v>58</v>
      </c>
      <c r="AO77" s="983" t="s">
        <v>59</v>
      </c>
    </row>
    <row r="78" spans="1:86" s="19" customFormat="1" ht="15" customHeight="1" x14ac:dyDescent="0.15">
      <c r="A78" s="5824">
        <v>23043100</v>
      </c>
      <c r="B78" s="1117" t="s">
        <v>2479</v>
      </c>
      <c r="C78" s="302" t="s">
        <v>4567</v>
      </c>
      <c r="D78" s="41" t="s">
        <v>4568</v>
      </c>
      <c r="E78" s="1088" t="s">
        <v>4569</v>
      </c>
      <c r="F78" s="1081" t="s">
        <v>4570</v>
      </c>
      <c r="G78" s="1082" t="s">
        <v>4571</v>
      </c>
      <c r="H78" s="1083" t="s">
        <v>4572</v>
      </c>
      <c r="I78" s="1084" t="s">
        <v>4573</v>
      </c>
      <c r="J78" s="996" t="s">
        <v>4574</v>
      </c>
      <c r="K78" s="1118" t="s">
        <v>4575</v>
      </c>
      <c r="L78" s="1119" t="s">
        <v>4576</v>
      </c>
      <c r="M78" s="1120" t="s">
        <v>4577</v>
      </c>
      <c r="N78" s="996" t="s">
        <v>4578</v>
      </c>
      <c r="O78" s="1118" t="s">
        <v>4579</v>
      </c>
      <c r="P78" s="1119" t="s">
        <v>4580</v>
      </c>
      <c r="Q78" s="1120" t="s">
        <v>4581</v>
      </c>
      <c r="R78" s="996" t="s">
        <v>4582</v>
      </c>
      <c r="S78" s="1118" t="s">
        <v>4583</v>
      </c>
      <c r="T78" s="996" t="s">
        <v>4584</v>
      </c>
      <c r="U78" s="1118" t="s">
        <v>4585</v>
      </c>
      <c r="V78" s="996" t="s">
        <v>4586</v>
      </c>
      <c r="W78" s="1118" t="s">
        <v>4587</v>
      </c>
      <c r="X78" s="996" t="s">
        <v>4588</v>
      </c>
      <c r="Y78" s="1118" t="s">
        <v>4589</v>
      </c>
      <c r="Z78" s="1119" t="s">
        <v>4590</v>
      </c>
      <c r="AA78" s="1120" t="s">
        <v>4591</v>
      </c>
      <c r="AB78" s="996" t="s">
        <v>4592</v>
      </c>
      <c r="AC78" s="1118" t="s">
        <v>4593</v>
      </c>
      <c r="AD78" s="1119" t="s">
        <v>4594</v>
      </c>
      <c r="AE78" s="1120" t="s">
        <v>4595</v>
      </c>
      <c r="AF78" s="996" t="s">
        <v>4596</v>
      </c>
      <c r="AG78" s="1118" t="s">
        <v>4597</v>
      </c>
      <c r="AH78" s="1119" t="s">
        <v>4598</v>
      </c>
      <c r="AI78" s="1120" t="s">
        <v>4599</v>
      </c>
      <c r="AJ78" s="996" t="s">
        <v>4600</v>
      </c>
      <c r="AK78" s="1118" t="s">
        <v>4601</v>
      </c>
      <c r="AL78" s="1119" t="s">
        <v>4602</v>
      </c>
      <c r="AM78" s="1120" t="s">
        <v>4603</v>
      </c>
      <c r="AN78" s="1121" t="s">
        <v>4604</v>
      </c>
      <c r="AO78" s="1118" t="s">
        <v>4605</v>
      </c>
    </row>
    <row r="79" spans="1:86" s="19" customFormat="1" ht="15" customHeight="1" x14ac:dyDescent="0.15">
      <c r="A79" s="5818">
        <v>23043200</v>
      </c>
      <c r="B79" s="936" t="s">
        <v>2467</v>
      </c>
      <c r="C79" s="1050" t="s">
        <v>4567</v>
      </c>
      <c r="D79" s="1051" t="s">
        <v>4568</v>
      </c>
      <c r="E79" s="1088" t="s">
        <v>4569</v>
      </c>
      <c r="F79" s="1089" t="s">
        <v>4570</v>
      </c>
      <c r="G79" s="1090" t="s">
        <v>4571</v>
      </c>
      <c r="H79" s="1091" t="s">
        <v>4572</v>
      </c>
      <c r="I79" s="1092" t="s">
        <v>4573</v>
      </c>
      <c r="J79" s="1089" t="s">
        <v>4574</v>
      </c>
      <c r="K79" s="1093" t="s">
        <v>4575</v>
      </c>
      <c r="L79" s="1091" t="s">
        <v>4576</v>
      </c>
      <c r="M79" s="1092" t="s">
        <v>4577</v>
      </c>
      <c r="N79" s="1089" t="s">
        <v>4578</v>
      </c>
      <c r="O79" s="1093" t="s">
        <v>4579</v>
      </c>
      <c r="P79" s="1091" t="s">
        <v>4580</v>
      </c>
      <c r="Q79" s="1092" t="s">
        <v>4581</v>
      </c>
      <c r="R79" s="1089" t="s">
        <v>4582</v>
      </c>
      <c r="S79" s="1093" t="s">
        <v>4583</v>
      </c>
      <c r="T79" s="1089" t="s">
        <v>4584</v>
      </c>
      <c r="U79" s="1093" t="s">
        <v>4585</v>
      </c>
      <c r="V79" s="1089" t="s">
        <v>4586</v>
      </c>
      <c r="W79" s="1093" t="s">
        <v>4587</v>
      </c>
      <c r="X79" s="1089" t="s">
        <v>4588</v>
      </c>
      <c r="Y79" s="1093" t="s">
        <v>4589</v>
      </c>
      <c r="Z79" s="1091" t="s">
        <v>4590</v>
      </c>
      <c r="AA79" s="1092" t="s">
        <v>4591</v>
      </c>
      <c r="AB79" s="1089" t="s">
        <v>4592</v>
      </c>
      <c r="AC79" s="1093" t="s">
        <v>4593</v>
      </c>
      <c r="AD79" s="1091" t="s">
        <v>4594</v>
      </c>
      <c r="AE79" s="1092" t="s">
        <v>4595</v>
      </c>
      <c r="AF79" s="1089" t="s">
        <v>4596</v>
      </c>
      <c r="AG79" s="1093" t="s">
        <v>4597</v>
      </c>
      <c r="AH79" s="1091" t="s">
        <v>4598</v>
      </c>
      <c r="AI79" s="1092" t="s">
        <v>4599</v>
      </c>
      <c r="AJ79" s="1089" t="s">
        <v>4600</v>
      </c>
      <c r="AK79" s="1093" t="s">
        <v>4601</v>
      </c>
      <c r="AL79" s="1091" t="s">
        <v>4602</v>
      </c>
      <c r="AM79" s="1092" t="s">
        <v>4603</v>
      </c>
      <c r="AN79" s="1094" t="s">
        <v>4604</v>
      </c>
      <c r="AO79" s="1093" t="s">
        <v>4605</v>
      </c>
    </row>
    <row r="80" spans="1:86" s="19" customFormat="1" ht="15" customHeight="1" x14ac:dyDescent="0.15">
      <c r="A80" s="5818">
        <v>23043300</v>
      </c>
      <c r="B80" s="936" t="s">
        <v>2468</v>
      </c>
      <c r="C80" s="1050" t="s">
        <v>4567</v>
      </c>
      <c r="D80" s="1051" t="s">
        <v>4568</v>
      </c>
      <c r="E80" s="1088" t="s">
        <v>4569</v>
      </c>
      <c r="F80" s="1089" t="s">
        <v>4570</v>
      </c>
      <c r="G80" s="1090" t="s">
        <v>4571</v>
      </c>
      <c r="H80" s="1091" t="s">
        <v>4572</v>
      </c>
      <c r="I80" s="1092" t="s">
        <v>4573</v>
      </c>
      <c r="J80" s="1089" t="s">
        <v>4574</v>
      </c>
      <c r="K80" s="1093" t="s">
        <v>4575</v>
      </c>
      <c r="L80" s="1091" t="s">
        <v>4576</v>
      </c>
      <c r="M80" s="1092" t="s">
        <v>4577</v>
      </c>
      <c r="N80" s="1089" t="s">
        <v>4578</v>
      </c>
      <c r="O80" s="1093" t="s">
        <v>4579</v>
      </c>
      <c r="P80" s="1091" t="s">
        <v>4580</v>
      </c>
      <c r="Q80" s="1092" t="s">
        <v>4581</v>
      </c>
      <c r="R80" s="1089" t="s">
        <v>4582</v>
      </c>
      <c r="S80" s="1093" t="s">
        <v>4583</v>
      </c>
      <c r="T80" s="1089" t="s">
        <v>4584</v>
      </c>
      <c r="U80" s="1093" t="s">
        <v>4585</v>
      </c>
      <c r="V80" s="1089" t="s">
        <v>4586</v>
      </c>
      <c r="W80" s="1093" t="s">
        <v>4587</v>
      </c>
      <c r="X80" s="1089" t="s">
        <v>4588</v>
      </c>
      <c r="Y80" s="1093" t="s">
        <v>4589</v>
      </c>
      <c r="Z80" s="1091" t="s">
        <v>4590</v>
      </c>
      <c r="AA80" s="1092" t="s">
        <v>4591</v>
      </c>
      <c r="AB80" s="1089" t="s">
        <v>4592</v>
      </c>
      <c r="AC80" s="1093" t="s">
        <v>4593</v>
      </c>
      <c r="AD80" s="1091" t="s">
        <v>4594</v>
      </c>
      <c r="AE80" s="1092" t="s">
        <v>4595</v>
      </c>
      <c r="AF80" s="1089" t="s">
        <v>4596</v>
      </c>
      <c r="AG80" s="1093" t="s">
        <v>4597</v>
      </c>
      <c r="AH80" s="1091" t="s">
        <v>4598</v>
      </c>
      <c r="AI80" s="1092" t="s">
        <v>4599</v>
      </c>
      <c r="AJ80" s="1089" t="s">
        <v>4600</v>
      </c>
      <c r="AK80" s="1093" t="s">
        <v>4601</v>
      </c>
      <c r="AL80" s="1091" t="s">
        <v>4602</v>
      </c>
      <c r="AM80" s="1092" t="s">
        <v>4603</v>
      </c>
      <c r="AN80" s="1094" t="s">
        <v>4604</v>
      </c>
      <c r="AO80" s="1093" t="s">
        <v>4605</v>
      </c>
    </row>
    <row r="81" spans="1:41" s="19" customFormat="1" ht="15" customHeight="1" x14ac:dyDescent="0.15">
      <c r="A81" s="5818">
        <v>23043400</v>
      </c>
      <c r="B81" s="936" t="s">
        <v>2480</v>
      </c>
      <c r="C81" s="1050" t="s">
        <v>4567</v>
      </c>
      <c r="D81" s="1051" t="s">
        <v>4568</v>
      </c>
      <c r="E81" s="1088" t="s">
        <v>4569</v>
      </c>
      <c r="F81" s="999" t="s">
        <v>4570</v>
      </c>
      <c r="G81" s="1000" t="s">
        <v>4571</v>
      </c>
      <c r="H81" s="1091" t="s">
        <v>4572</v>
      </c>
      <c r="I81" s="1092" t="s">
        <v>4573</v>
      </c>
      <c r="J81" s="1089" t="s">
        <v>4574</v>
      </c>
      <c r="K81" s="1093" t="s">
        <v>4575</v>
      </c>
      <c r="L81" s="1091" t="s">
        <v>4576</v>
      </c>
      <c r="M81" s="1092" t="s">
        <v>4577</v>
      </c>
      <c r="N81" s="1089" t="s">
        <v>4578</v>
      </c>
      <c r="O81" s="1093" t="s">
        <v>4579</v>
      </c>
      <c r="P81" s="1091" t="s">
        <v>4580</v>
      </c>
      <c r="Q81" s="1092" t="s">
        <v>4581</v>
      </c>
      <c r="R81" s="1089" t="s">
        <v>4582</v>
      </c>
      <c r="S81" s="1093" t="s">
        <v>4583</v>
      </c>
      <c r="T81" s="1089" t="s">
        <v>4584</v>
      </c>
      <c r="U81" s="1093" t="s">
        <v>4585</v>
      </c>
      <c r="V81" s="1089" t="s">
        <v>4586</v>
      </c>
      <c r="W81" s="1093" t="s">
        <v>4587</v>
      </c>
      <c r="X81" s="1089" t="s">
        <v>4588</v>
      </c>
      <c r="Y81" s="1093" t="s">
        <v>4589</v>
      </c>
      <c r="Z81" s="1091" t="s">
        <v>4590</v>
      </c>
      <c r="AA81" s="1092" t="s">
        <v>4591</v>
      </c>
      <c r="AB81" s="1089" t="s">
        <v>4592</v>
      </c>
      <c r="AC81" s="1093" t="s">
        <v>4593</v>
      </c>
      <c r="AD81" s="1091" t="s">
        <v>4594</v>
      </c>
      <c r="AE81" s="1092" t="s">
        <v>4595</v>
      </c>
      <c r="AF81" s="1089" t="s">
        <v>4596</v>
      </c>
      <c r="AG81" s="1093" t="s">
        <v>4597</v>
      </c>
      <c r="AH81" s="1091" t="s">
        <v>4598</v>
      </c>
      <c r="AI81" s="1092" t="s">
        <v>4599</v>
      </c>
      <c r="AJ81" s="1089" t="s">
        <v>4600</v>
      </c>
      <c r="AK81" s="1093" t="s">
        <v>4601</v>
      </c>
      <c r="AL81" s="1091" t="s">
        <v>4602</v>
      </c>
      <c r="AM81" s="1092" t="s">
        <v>4603</v>
      </c>
      <c r="AN81" s="1094" t="s">
        <v>4604</v>
      </c>
      <c r="AO81" s="1093" t="s">
        <v>4605</v>
      </c>
    </row>
    <row r="82" spans="1:41" s="19" customFormat="1" ht="15" customHeight="1" x14ac:dyDescent="0.15">
      <c r="A82" s="5818">
        <v>23043500</v>
      </c>
      <c r="B82" s="936" t="s">
        <v>2481</v>
      </c>
      <c r="C82" s="1050" t="s">
        <v>4567</v>
      </c>
      <c r="D82" s="1051" t="s">
        <v>4568</v>
      </c>
      <c r="E82" s="1088" t="s">
        <v>4569</v>
      </c>
      <c r="F82" s="999" t="s">
        <v>4570</v>
      </c>
      <c r="G82" s="1000" t="s">
        <v>4571</v>
      </c>
      <c r="H82" s="1122" t="s">
        <v>4572</v>
      </c>
      <c r="I82" s="1123" t="s">
        <v>4573</v>
      </c>
      <c r="J82" s="999" t="s">
        <v>4574</v>
      </c>
      <c r="K82" s="1124" t="s">
        <v>4575</v>
      </c>
      <c r="L82" s="1122" t="s">
        <v>4576</v>
      </c>
      <c r="M82" s="1123" t="s">
        <v>4577</v>
      </c>
      <c r="N82" s="999" t="s">
        <v>4578</v>
      </c>
      <c r="O82" s="1124" t="s">
        <v>4579</v>
      </c>
      <c r="P82" s="1122" t="s">
        <v>4580</v>
      </c>
      <c r="Q82" s="1123" t="s">
        <v>4581</v>
      </c>
      <c r="R82" s="999" t="s">
        <v>4582</v>
      </c>
      <c r="S82" s="1124" t="s">
        <v>4583</v>
      </c>
      <c r="T82" s="999" t="s">
        <v>4584</v>
      </c>
      <c r="U82" s="1124" t="s">
        <v>4585</v>
      </c>
      <c r="V82" s="999" t="s">
        <v>4586</v>
      </c>
      <c r="W82" s="1124" t="s">
        <v>4587</v>
      </c>
      <c r="X82" s="1089" t="s">
        <v>4588</v>
      </c>
      <c r="Y82" s="1093" t="s">
        <v>4589</v>
      </c>
      <c r="Z82" s="1091" t="s">
        <v>4590</v>
      </c>
      <c r="AA82" s="1092" t="s">
        <v>4591</v>
      </c>
      <c r="AB82" s="1089" t="s">
        <v>4592</v>
      </c>
      <c r="AC82" s="1093" t="s">
        <v>4593</v>
      </c>
      <c r="AD82" s="1091" t="s">
        <v>4594</v>
      </c>
      <c r="AE82" s="1092" t="s">
        <v>4595</v>
      </c>
      <c r="AF82" s="1089" t="s">
        <v>4596</v>
      </c>
      <c r="AG82" s="1093" t="s">
        <v>4597</v>
      </c>
      <c r="AH82" s="1091" t="s">
        <v>4598</v>
      </c>
      <c r="AI82" s="1092" t="s">
        <v>4599</v>
      </c>
      <c r="AJ82" s="1089" t="s">
        <v>4600</v>
      </c>
      <c r="AK82" s="1093" t="s">
        <v>4601</v>
      </c>
      <c r="AL82" s="1091" t="s">
        <v>4602</v>
      </c>
      <c r="AM82" s="1092" t="s">
        <v>4603</v>
      </c>
      <c r="AN82" s="1094" t="s">
        <v>4604</v>
      </c>
      <c r="AO82" s="1093" t="s">
        <v>4605</v>
      </c>
    </row>
    <row r="83" spans="1:41" s="19" customFormat="1" ht="15" customHeight="1" x14ac:dyDescent="0.15">
      <c r="A83" s="5818">
        <v>23043600</v>
      </c>
      <c r="B83" s="1125" t="s">
        <v>2471</v>
      </c>
      <c r="C83" s="199" t="s">
        <v>4567</v>
      </c>
      <c r="D83" s="1126" t="s">
        <v>4568</v>
      </c>
      <c r="E83" s="1088" t="s">
        <v>4569</v>
      </c>
      <c r="F83" s="1114" t="s">
        <v>4570</v>
      </c>
      <c r="G83" s="387" t="s">
        <v>4571</v>
      </c>
      <c r="H83" s="1127" t="s">
        <v>4572</v>
      </c>
      <c r="I83" s="1128" t="s">
        <v>4573</v>
      </c>
      <c r="J83" s="1114" t="s">
        <v>4574</v>
      </c>
      <c r="K83" s="1115" t="s">
        <v>4575</v>
      </c>
      <c r="L83" s="1127" t="s">
        <v>4576</v>
      </c>
      <c r="M83" s="1128" t="s">
        <v>4577</v>
      </c>
      <c r="N83" s="1114" t="s">
        <v>4578</v>
      </c>
      <c r="O83" s="1115" t="s">
        <v>4579</v>
      </c>
      <c r="P83" s="1127" t="s">
        <v>4580</v>
      </c>
      <c r="Q83" s="1128" t="s">
        <v>4581</v>
      </c>
      <c r="R83" s="1114" t="s">
        <v>4582</v>
      </c>
      <c r="S83" s="1115" t="s">
        <v>4583</v>
      </c>
      <c r="T83" s="1114" t="s">
        <v>4584</v>
      </c>
      <c r="U83" s="1115" t="s">
        <v>4585</v>
      </c>
      <c r="V83" s="1114" t="s">
        <v>4586</v>
      </c>
      <c r="W83" s="1115" t="s">
        <v>4587</v>
      </c>
      <c r="X83" s="1114" t="s">
        <v>4588</v>
      </c>
      <c r="Y83" s="1115" t="s">
        <v>4589</v>
      </c>
      <c r="Z83" s="1127" t="s">
        <v>4590</v>
      </c>
      <c r="AA83" s="1128" t="s">
        <v>4591</v>
      </c>
      <c r="AB83" s="1114" t="s">
        <v>4592</v>
      </c>
      <c r="AC83" s="1115" t="s">
        <v>4593</v>
      </c>
      <c r="AD83" s="1127" t="s">
        <v>4594</v>
      </c>
      <c r="AE83" s="1128" t="s">
        <v>4595</v>
      </c>
      <c r="AF83" s="1114" t="s">
        <v>4596</v>
      </c>
      <c r="AG83" s="1115" t="s">
        <v>4597</v>
      </c>
      <c r="AH83" s="1127" t="s">
        <v>4598</v>
      </c>
      <c r="AI83" s="1128" t="s">
        <v>4599</v>
      </c>
      <c r="AJ83" s="1114" t="s">
        <v>4600</v>
      </c>
      <c r="AK83" s="1115" t="s">
        <v>4601</v>
      </c>
      <c r="AL83" s="1127" t="s">
        <v>4602</v>
      </c>
      <c r="AM83" s="1128" t="s">
        <v>4603</v>
      </c>
      <c r="AN83" s="1129" t="s">
        <v>4604</v>
      </c>
      <c r="AO83" s="1115" t="s">
        <v>4605</v>
      </c>
    </row>
    <row r="84" spans="1:41" s="19" customFormat="1" ht="15" customHeight="1" x14ac:dyDescent="0.2">
      <c r="A84" s="5863"/>
      <c r="B84" s="1025" t="s">
        <v>77</v>
      </c>
      <c r="C84" s="973">
        <f t="shared" ref="C84:AO84" si="35">SUM(C78:C83)</f>
        <v>0</v>
      </c>
      <c r="D84" s="976">
        <f t="shared" si="35"/>
        <v>0</v>
      </c>
      <c r="E84" s="974">
        <f t="shared" si="35"/>
        <v>0</v>
      </c>
      <c r="F84" s="1100">
        <f>SUM(F78:F83)</f>
        <v>0</v>
      </c>
      <c r="G84" s="1101">
        <f t="shared" si="35"/>
        <v>0</v>
      </c>
      <c r="H84" s="1102">
        <f t="shared" si="35"/>
        <v>0</v>
      </c>
      <c r="I84" s="1103">
        <f t="shared" si="35"/>
        <v>0</v>
      </c>
      <c r="J84" s="1100">
        <f t="shared" si="35"/>
        <v>0</v>
      </c>
      <c r="K84" s="1104">
        <f t="shared" si="35"/>
        <v>0</v>
      </c>
      <c r="L84" s="1102">
        <f t="shared" si="35"/>
        <v>0</v>
      </c>
      <c r="M84" s="1103">
        <f t="shared" si="35"/>
        <v>0</v>
      </c>
      <c r="N84" s="1100">
        <f t="shared" si="35"/>
        <v>0</v>
      </c>
      <c r="O84" s="1104">
        <f t="shared" si="35"/>
        <v>0</v>
      </c>
      <c r="P84" s="1102">
        <f t="shared" si="35"/>
        <v>0</v>
      </c>
      <c r="Q84" s="1103">
        <f t="shared" si="35"/>
        <v>0</v>
      </c>
      <c r="R84" s="1100">
        <f t="shared" si="35"/>
        <v>0</v>
      </c>
      <c r="S84" s="1104">
        <f t="shared" si="35"/>
        <v>0</v>
      </c>
      <c r="T84" s="1100">
        <f t="shared" ref="T84:U84" si="36">SUM(T78:T83)</f>
        <v>0</v>
      </c>
      <c r="U84" s="1104">
        <f t="shared" si="36"/>
        <v>0</v>
      </c>
      <c r="V84" s="1100">
        <f t="shared" ref="V84:W84" si="37">SUM(V78:V83)</f>
        <v>0</v>
      </c>
      <c r="W84" s="1104">
        <f t="shared" si="37"/>
        <v>0</v>
      </c>
      <c r="X84" s="1100">
        <f t="shared" si="35"/>
        <v>0</v>
      </c>
      <c r="Y84" s="1104">
        <f t="shared" si="35"/>
        <v>0</v>
      </c>
      <c r="Z84" s="1102">
        <f t="shared" si="35"/>
        <v>0</v>
      </c>
      <c r="AA84" s="1103">
        <f t="shared" si="35"/>
        <v>0</v>
      </c>
      <c r="AB84" s="1100">
        <f t="shared" si="35"/>
        <v>0</v>
      </c>
      <c r="AC84" s="1104">
        <f t="shared" si="35"/>
        <v>0</v>
      </c>
      <c r="AD84" s="1102">
        <f t="shared" si="35"/>
        <v>0</v>
      </c>
      <c r="AE84" s="1103">
        <f t="shared" si="35"/>
        <v>0</v>
      </c>
      <c r="AF84" s="1100">
        <f t="shared" si="35"/>
        <v>0</v>
      </c>
      <c r="AG84" s="1104">
        <f t="shared" si="35"/>
        <v>0</v>
      </c>
      <c r="AH84" s="1102">
        <f t="shared" si="35"/>
        <v>0</v>
      </c>
      <c r="AI84" s="1103">
        <f t="shared" si="35"/>
        <v>0</v>
      </c>
      <c r="AJ84" s="1100">
        <f t="shared" si="35"/>
        <v>0</v>
      </c>
      <c r="AK84" s="1104">
        <f t="shared" si="35"/>
        <v>0</v>
      </c>
      <c r="AL84" s="1102">
        <f t="shared" si="35"/>
        <v>0</v>
      </c>
      <c r="AM84" s="1103">
        <f t="shared" si="35"/>
        <v>0</v>
      </c>
      <c r="AN84" s="1105">
        <f t="shared" si="35"/>
        <v>0</v>
      </c>
      <c r="AO84" s="1104">
        <f t="shared" si="35"/>
        <v>0</v>
      </c>
    </row>
    <row r="85" spans="1:41" s="25" customFormat="1" ht="18" customHeight="1" x14ac:dyDescent="0.15">
      <c r="B85" s="1" t="s">
        <v>2482</v>
      </c>
    </row>
    <row r="86" spans="1:41" s="19" customFormat="1" ht="21" x14ac:dyDescent="0.15">
      <c r="B86" s="7340" t="s">
        <v>27</v>
      </c>
      <c r="C86" s="7340"/>
      <c r="D86" s="981" t="s">
        <v>77</v>
      </c>
      <c r="E86" s="1110" t="s">
        <v>705</v>
      </c>
      <c r="F86" s="1067" t="s">
        <v>2483</v>
      </c>
    </row>
    <row r="87" spans="1:41" s="19" customFormat="1" ht="15" customHeight="1" x14ac:dyDescent="0.15">
      <c r="A87" s="5818">
        <v>23043700</v>
      </c>
      <c r="B87" s="7344" t="s">
        <v>64</v>
      </c>
      <c r="C87" s="7345"/>
      <c r="D87" s="937" t="s">
        <v>4567</v>
      </c>
      <c r="E87" s="44" t="s">
        <v>4568</v>
      </c>
      <c r="F87" s="882" t="s">
        <v>4569</v>
      </c>
    </row>
    <row r="88" spans="1:41" s="19" customFormat="1" ht="15" customHeight="1" x14ac:dyDescent="0.15">
      <c r="A88" s="5818">
        <v>23043800</v>
      </c>
      <c r="B88" s="7341" t="s">
        <v>1406</v>
      </c>
      <c r="C88" s="7342"/>
      <c r="D88" s="937" t="s">
        <v>4567</v>
      </c>
      <c r="E88" s="943" t="s">
        <v>4568</v>
      </c>
      <c r="F88" s="942" t="s">
        <v>4569</v>
      </c>
    </row>
    <row r="89" spans="1:41" s="19" customFormat="1" ht="15" customHeight="1" x14ac:dyDescent="0.15">
      <c r="A89" s="5818">
        <v>23043900</v>
      </c>
      <c r="B89" s="7343" t="s">
        <v>98</v>
      </c>
      <c r="C89" s="6838"/>
      <c r="D89" s="937" t="s">
        <v>4567</v>
      </c>
      <c r="E89" s="943" t="s">
        <v>4568</v>
      </c>
      <c r="F89" s="942" t="s">
        <v>4569</v>
      </c>
    </row>
    <row r="90" spans="1:41" s="19" customFormat="1" ht="15" customHeight="1" x14ac:dyDescent="0.2">
      <c r="A90" s="5863"/>
      <c r="B90" s="7292" t="s">
        <v>77</v>
      </c>
      <c r="C90" s="7294"/>
      <c r="D90" s="1130">
        <f>SUM(D87:D89)</f>
        <v>0</v>
      </c>
      <c r="E90" s="976">
        <f>SUM(E87:E89)</f>
        <v>0</v>
      </c>
      <c r="F90" s="975">
        <f>SUM(F87:F89)</f>
        <v>0</v>
      </c>
    </row>
    <row r="91" spans="1:41" s="25" customFormat="1" ht="18" customHeight="1" x14ac:dyDescent="0.25">
      <c r="A91"/>
      <c r="B91" s="3269" t="s">
        <v>2484</v>
      </c>
    </row>
    <row r="92" spans="1:41" s="19" customFormat="1" ht="15" customHeight="1" x14ac:dyDescent="0.15">
      <c r="A92" s="5862"/>
      <c r="B92" s="7290" t="s">
        <v>2485</v>
      </c>
      <c r="C92" s="7327" t="s">
        <v>77</v>
      </c>
      <c r="D92" s="6761"/>
      <c r="E92" s="7319"/>
      <c r="F92" s="7295" t="s">
        <v>101</v>
      </c>
      <c r="G92" s="7296"/>
      <c r="H92" s="7296"/>
      <c r="I92" s="7296"/>
      <c r="J92" s="7296"/>
      <c r="K92" s="7296"/>
      <c r="L92" s="7296"/>
      <c r="M92" s="7296"/>
      <c r="N92" s="7296"/>
      <c r="O92" s="7296"/>
      <c r="P92" s="7296"/>
      <c r="Q92" s="7296"/>
      <c r="R92" s="7296"/>
      <c r="S92" s="7296"/>
      <c r="T92" s="7296"/>
      <c r="U92" s="7296"/>
      <c r="V92" s="7296"/>
      <c r="W92" s="7296"/>
      <c r="X92" s="7296"/>
      <c r="Y92" s="7296"/>
      <c r="Z92" s="7296"/>
      <c r="AA92" s="7296"/>
      <c r="AB92" s="7296"/>
      <c r="AC92" s="7296"/>
      <c r="AD92" s="7296"/>
      <c r="AE92" s="7296"/>
      <c r="AF92" s="7296"/>
      <c r="AG92" s="7296"/>
      <c r="AH92" s="7296"/>
      <c r="AI92" s="7296"/>
      <c r="AJ92" s="7296"/>
      <c r="AK92" s="7296"/>
      <c r="AL92" s="7296"/>
      <c r="AM92" s="7296"/>
      <c r="AN92" s="7296"/>
      <c r="AO92" s="7297"/>
    </row>
    <row r="93" spans="1:41" s="19" customFormat="1" ht="15" customHeight="1" x14ac:dyDescent="0.15">
      <c r="A93" s="5862"/>
      <c r="B93" s="6331"/>
      <c r="C93" s="6900"/>
      <c r="D93" s="6764"/>
      <c r="E93" s="7268"/>
      <c r="F93" s="7289" t="s">
        <v>4407</v>
      </c>
      <c r="G93" s="7290"/>
      <c r="H93" s="7291" t="s">
        <v>2446</v>
      </c>
      <c r="I93" s="7244"/>
      <c r="J93" s="7291" t="s">
        <v>2447</v>
      </c>
      <c r="K93" s="7244"/>
      <c r="L93" s="7298" t="s">
        <v>94</v>
      </c>
      <c r="M93" s="7298"/>
      <c r="N93" s="7291" t="s">
        <v>44</v>
      </c>
      <c r="O93" s="7244"/>
      <c r="P93" s="7298" t="s">
        <v>45</v>
      </c>
      <c r="Q93" s="7298"/>
      <c r="R93" s="7299" t="s">
        <v>46</v>
      </c>
      <c r="S93" s="7290"/>
      <c r="T93" s="7299" t="s">
        <v>47</v>
      </c>
      <c r="U93" s="7290"/>
      <c r="V93" s="6491" t="s">
        <v>48</v>
      </c>
      <c r="W93" s="7290"/>
      <c r="X93" s="7298" t="s">
        <v>49</v>
      </c>
      <c r="Y93" s="7298"/>
      <c r="Z93" s="7291" t="s">
        <v>50</v>
      </c>
      <c r="AA93" s="7244"/>
      <c r="AB93" s="7298" t="s">
        <v>51</v>
      </c>
      <c r="AC93" s="7298"/>
      <c r="AD93" s="7291" t="s">
        <v>52</v>
      </c>
      <c r="AE93" s="7244"/>
      <c r="AF93" s="7298" t="s">
        <v>53</v>
      </c>
      <c r="AG93" s="7298"/>
      <c r="AH93" s="7291" t="s">
        <v>54</v>
      </c>
      <c r="AI93" s="7244"/>
      <c r="AJ93" s="7298" t="s">
        <v>55</v>
      </c>
      <c r="AK93" s="7298"/>
      <c r="AL93" s="7291" t="s">
        <v>56</v>
      </c>
      <c r="AM93" s="7244"/>
      <c r="AN93" s="7291" t="s">
        <v>57</v>
      </c>
      <c r="AO93" s="7244"/>
    </row>
    <row r="94" spans="1:41" s="19" customFormat="1" ht="15" customHeight="1" x14ac:dyDescent="0.15">
      <c r="A94" s="5862"/>
      <c r="B94" s="6913"/>
      <c r="C94" s="981" t="s">
        <v>79</v>
      </c>
      <c r="D94" s="1068" t="s">
        <v>58</v>
      </c>
      <c r="E94" s="983" t="s">
        <v>59</v>
      </c>
      <c r="F94" s="981" t="s">
        <v>58</v>
      </c>
      <c r="G94" s="983" t="s">
        <v>59</v>
      </c>
      <c r="H94" s="981" t="s">
        <v>58</v>
      </c>
      <c r="I94" s="983" t="s">
        <v>59</v>
      </c>
      <c r="J94" s="981" t="s">
        <v>58</v>
      </c>
      <c r="K94" s="983" t="s">
        <v>59</v>
      </c>
      <c r="L94" s="1068" t="s">
        <v>58</v>
      </c>
      <c r="M94" s="1028" t="s">
        <v>59</v>
      </c>
      <c r="N94" s="981" t="s">
        <v>58</v>
      </c>
      <c r="O94" s="983" t="s">
        <v>59</v>
      </c>
      <c r="P94" s="1068" t="s">
        <v>58</v>
      </c>
      <c r="Q94" s="1028" t="s">
        <v>59</v>
      </c>
      <c r="R94" s="981" t="s">
        <v>58</v>
      </c>
      <c r="S94" s="983" t="s">
        <v>59</v>
      </c>
      <c r="T94" s="981" t="s">
        <v>58</v>
      </c>
      <c r="U94" s="983" t="s">
        <v>59</v>
      </c>
      <c r="V94" s="1068" t="s">
        <v>58</v>
      </c>
      <c r="W94" s="983" t="s">
        <v>59</v>
      </c>
      <c r="X94" s="1068" t="s">
        <v>58</v>
      </c>
      <c r="Y94" s="1028" t="s">
        <v>59</v>
      </c>
      <c r="Z94" s="981" t="s">
        <v>58</v>
      </c>
      <c r="AA94" s="983" t="s">
        <v>59</v>
      </c>
      <c r="AB94" s="1068" t="s">
        <v>58</v>
      </c>
      <c r="AC94" s="1028" t="s">
        <v>59</v>
      </c>
      <c r="AD94" s="981" t="s">
        <v>58</v>
      </c>
      <c r="AE94" s="983" t="s">
        <v>59</v>
      </c>
      <c r="AF94" s="1068" t="s">
        <v>58</v>
      </c>
      <c r="AG94" s="1028" t="s">
        <v>59</v>
      </c>
      <c r="AH94" s="981" t="s">
        <v>58</v>
      </c>
      <c r="AI94" s="983" t="s">
        <v>59</v>
      </c>
      <c r="AJ94" s="1068" t="s">
        <v>58</v>
      </c>
      <c r="AK94" s="1028" t="s">
        <v>59</v>
      </c>
      <c r="AL94" s="981" t="s">
        <v>58</v>
      </c>
      <c r="AM94" s="983" t="s">
        <v>59</v>
      </c>
      <c r="AN94" s="981" t="s">
        <v>58</v>
      </c>
      <c r="AO94" s="983" t="s">
        <v>59</v>
      </c>
    </row>
    <row r="95" spans="1:41" s="19" customFormat="1" ht="15" customHeight="1" x14ac:dyDescent="0.15">
      <c r="A95" s="5818">
        <v>23044000</v>
      </c>
      <c r="B95" s="1117" t="s">
        <v>2486</v>
      </c>
      <c r="C95" s="1078" t="s">
        <v>4567</v>
      </c>
      <c r="D95" s="1079" t="s">
        <v>4568</v>
      </c>
      <c r="E95" s="1080" t="s">
        <v>4569</v>
      </c>
      <c r="F95" s="1007" t="s">
        <v>4570</v>
      </c>
      <c r="G95" s="1132" t="s">
        <v>4571</v>
      </c>
      <c r="H95" s="1007" t="s">
        <v>4572</v>
      </c>
      <c r="I95" s="1132" t="s">
        <v>4573</v>
      </c>
      <c r="J95" s="929" t="s">
        <v>4574</v>
      </c>
      <c r="K95" s="867" t="s">
        <v>4575</v>
      </c>
      <c r="L95" s="931" t="s">
        <v>4576</v>
      </c>
      <c r="M95" s="932" t="s">
        <v>4577</v>
      </c>
      <c r="N95" s="929" t="s">
        <v>4578</v>
      </c>
      <c r="O95" s="867" t="s">
        <v>4579</v>
      </c>
      <c r="P95" s="931" t="s">
        <v>4580</v>
      </c>
      <c r="Q95" s="932" t="s">
        <v>4581</v>
      </c>
      <c r="R95" s="929" t="s">
        <v>4582</v>
      </c>
      <c r="S95" s="867" t="s">
        <v>4583</v>
      </c>
      <c r="T95" s="929" t="s">
        <v>4584</v>
      </c>
      <c r="U95" s="867" t="s">
        <v>4585</v>
      </c>
      <c r="V95" s="929" t="s">
        <v>4586</v>
      </c>
      <c r="W95" s="867" t="s">
        <v>4587</v>
      </c>
      <c r="X95" s="931" t="s">
        <v>4588</v>
      </c>
      <c r="Y95" s="932" t="s">
        <v>4589</v>
      </c>
      <c r="Z95" s="929" t="s">
        <v>4590</v>
      </c>
      <c r="AA95" s="867" t="s">
        <v>4591</v>
      </c>
      <c r="AB95" s="931" t="s">
        <v>4592</v>
      </c>
      <c r="AC95" s="932" t="s">
        <v>4593</v>
      </c>
      <c r="AD95" s="929" t="s">
        <v>4594</v>
      </c>
      <c r="AE95" s="867" t="s">
        <v>4595</v>
      </c>
      <c r="AF95" s="931" t="s">
        <v>4596</v>
      </c>
      <c r="AG95" s="932" t="s">
        <v>4597</v>
      </c>
      <c r="AH95" s="929" t="s">
        <v>4598</v>
      </c>
      <c r="AI95" s="867" t="s">
        <v>4599</v>
      </c>
      <c r="AJ95" s="931" t="s">
        <v>4600</v>
      </c>
      <c r="AK95" s="932" t="s">
        <v>4601</v>
      </c>
      <c r="AL95" s="929" t="s">
        <v>4602</v>
      </c>
      <c r="AM95" s="867" t="s">
        <v>4603</v>
      </c>
      <c r="AN95" s="933" t="s">
        <v>4604</v>
      </c>
      <c r="AO95" s="867" t="s">
        <v>4605</v>
      </c>
    </row>
    <row r="96" spans="1:41" s="19" customFormat="1" ht="15" customHeight="1" x14ac:dyDescent="0.15">
      <c r="A96" s="5818">
        <v>23044100</v>
      </c>
      <c r="B96" s="936" t="s">
        <v>2487</v>
      </c>
      <c r="C96" s="302" t="s">
        <v>4567</v>
      </c>
      <c r="D96" s="41" t="s">
        <v>4568</v>
      </c>
      <c r="E96" s="141" t="s">
        <v>4569</v>
      </c>
      <c r="F96" s="333" t="s">
        <v>4570</v>
      </c>
      <c r="G96" s="211" t="s">
        <v>4571</v>
      </c>
      <c r="H96" s="333" t="s">
        <v>4572</v>
      </c>
      <c r="I96" s="211" t="s">
        <v>4573</v>
      </c>
      <c r="J96" s="326" t="s">
        <v>4574</v>
      </c>
      <c r="K96" s="882" t="s">
        <v>4575</v>
      </c>
      <c r="L96" s="44" t="s">
        <v>4576</v>
      </c>
      <c r="M96" s="1133" t="s">
        <v>4577</v>
      </c>
      <c r="N96" s="326" t="s">
        <v>4578</v>
      </c>
      <c r="O96" s="882" t="s">
        <v>4579</v>
      </c>
      <c r="P96" s="44" t="s">
        <v>4580</v>
      </c>
      <c r="Q96" s="1133" t="s">
        <v>4581</v>
      </c>
      <c r="R96" s="326" t="s">
        <v>4582</v>
      </c>
      <c r="S96" s="882" t="s">
        <v>4583</v>
      </c>
      <c r="T96" s="326" t="s">
        <v>4584</v>
      </c>
      <c r="U96" s="882" t="s">
        <v>4585</v>
      </c>
      <c r="V96" s="326" t="s">
        <v>4586</v>
      </c>
      <c r="W96" s="882" t="s">
        <v>4587</v>
      </c>
      <c r="X96" s="44" t="s">
        <v>4588</v>
      </c>
      <c r="Y96" s="1133" t="s">
        <v>4589</v>
      </c>
      <c r="Z96" s="326" t="s">
        <v>4590</v>
      </c>
      <c r="AA96" s="882" t="s">
        <v>4591</v>
      </c>
      <c r="AB96" s="44" t="s">
        <v>4592</v>
      </c>
      <c r="AC96" s="1133" t="s">
        <v>4593</v>
      </c>
      <c r="AD96" s="326" t="s">
        <v>4594</v>
      </c>
      <c r="AE96" s="882" t="s">
        <v>4595</v>
      </c>
      <c r="AF96" s="44" t="s">
        <v>4596</v>
      </c>
      <c r="AG96" s="1133" t="s">
        <v>4597</v>
      </c>
      <c r="AH96" s="326" t="s">
        <v>4598</v>
      </c>
      <c r="AI96" s="882" t="s">
        <v>4599</v>
      </c>
      <c r="AJ96" s="44" t="s">
        <v>4600</v>
      </c>
      <c r="AK96" s="1133" t="s">
        <v>4601</v>
      </c>
      <c r="AL96" s="326" t="s">
        <v>4602</v>
      </c>
      <c r="AM96" s="882" t="s">
        <v>4603</v>
      </c>
      <c r="AN96" s="45" t="s">
        <v>4604</v>
      </c>
      <c r="AO96" s="882" t="s">
        <v>4605</v>
      </c>
    </row>
    <row r="97" spans="1:41" s="19" customFormat="1" ht="15" customHeight="1" x14ac:dyDescent="0.15">
      <c r="A97" s="5818">
        <v>23044200</v>
      </c>
      <c r="B97" s="936" t="s">
        <v>2488</v>
      </c>
      <c r="C97" s="1050" t="s">
        <v>4567</v>
      </c>
      <c r="D97" s="1051" t="s">
        <v>4568</v>
      </c>
      <c r="E97" s="1088" t="s">
        <v>4569</v>
      </c>
      <c r="F97" s="333" t="s">
        <v>4570</v>
      </c>
      <c r="G97" s="211" t="s">
        <v>4571</v>
      </c>
      <c r="H97" s="333" t="s">
        <v>4572</v>
      </c>
      <c r="I97" s="211" t="s">
        <v>4573</v>
      </c>
      <c r="J97" s="326" t="s">
        <v>4574</v>
      </c>
      <c r="K97" s="882" t="s">
        <v>4575</v>
      </c>
      <c r="L97" s="44" t="s">
        <v>4576</v>
      </c>
      <c r="M97" s="1133" t="s">
        <v>4577</v>
      </c>
      <c r="N97" s="326" t="s">
        <v>4578</v>
      </c>
      <c r="O97" s="882" t="s">
        <v>4579</v>
      </c>
      <c r="P97" s="44" t="s">
        <v>4580</v>
      </c>
      <c r="Q97" s="1133" t="s">
        <v>4581</v>
      </c>
      <c r="R97" s="326" t="s">
        <v>4582</v>
      </c>
      <c r="S97" s="882" t="s">
        <v>4583</v>
      </c>
      <c r="T97" s="326" t="s">
        <v>4584</v>
      </c>
      <c r="U97" s="882" t="s">
        <v>4585</v>
      </c>
      <c r="V97" s="326" t="s">
        <v>4586</v>
      </c>
      <c r="W97" s="882" t="s">
        <v>4587</v>
      </c>
      <c r="X97" s="44" t="s">
        <v>4588</v>
      </c>
      <c r="Y97" s="1133" t="s">
        <v>4589</v>
      </c>
      <c r="Z97" s="326" t="s">
        <v>4590</v>
      </c>
      <c r="AA97" s="882" t="s">
        <v>4591</v>
      </c>
      <c r="AB97" s="44" t="s">
        <v>4592</v>
      </c>
      <c r="AC97" s="1133" t="s">
        <v>4593</v>
      </c>
      <c r="AD97" s="326" t="s">
        <v>4594</v>
      </c>
      <c r="AE97" s="882" t="s">
        <v>4595</v>
      </c>
      <c r="AF97" s="44" t="s">
        <v>4596</v>
      </c>
      <c r="AG97" s="1133" t="s">
        <v>4597</v>
      </c>
      <c r="AH97" s="326" t="s">
        <v>4598</v>
      </c>
      <c r="AI97" s="882" t="s">
        <v>4599</v>
      </c>
      <c r="AJ97" s="44" t="s">
        <v>4600</v>
      </c>
      <c r="AK97" s="1133" t="s">
        <v>4601</v>
      </c>
      <c r="AL97" s="326" t="s">
        <v>4602</v>
      </c>
      <c r="AM97" s="882" t="s">
        <v>4603</v>
      </c>
      <c r="AN97" s="45" t="s">
        <v>4604</v>
      </c>
      <c r="AO97" s="882" t="s">
        <v>4605</v>
      </c>
    </row>
    <row r="98" spans="1:41" s="19" customFormat="1" ht="15" customHeight="1" x14ac:dyDescent="0.15">
      <c r="A98" s="5818">
        <v>23044300</v>
      </c>
      <c r="B98" s="936" t="s">
        <v>2489</v>
      </c>
      <c r="C98" s="1050" t="s">
        <v>4567</v>
      </c>
      <c r="D98" s="1051" t="s">
        <v>4568</v>
      </c>
      <c r="E98" s="1088" t="s">
        <v>4569</v>
      </c>
      <c r="F98" s="333" t="s">
        <v>4570</v>
      </c>
      <c r="G98" s="211" t="s">
        <v>4571</v>
      </c>
      <c r="H98" s="333" t="s">
        <v>4572</v>
      </c>
      <c r="I98" s="211" t="s">
        <v>4573</v>
      </c>
      <c r="J98" s="326" t="s">
        <v>4574</v>
      </c>
      <c r="K98" s="882" t="s">
        <v>4575</v>
      </c>
      <c r="L98" s="44" t="s">
        <v>4576</v>
      </c>
      <c r="M98" s="1133" t="s">
        <v>4577</v>
      </c>
      <c r="N98" s="326" t="s">
        <v>4578</v>
      </c>
      <c r="O98" s="882" t="s">
        <v>4579</v>
      </c>
      <c r="P98" s="44" t="s">
        <v>4580</v>
      </c>
      <c r="Q98" s="1133" t="s">
        <v>4581</v>
      </c>
      <c r="R98" s="326" t="s">
        <v>4582</v>
      </c>
      <c r="S98" s="882" t="s">
        <v>4583</v>
      </c>
      <c r="T98" s="326" t="s">
        <v>4584</v>
      </c>
      <c r="U98" s="882" t="s">
        <v>4585</v>
      </c>
      <c r="V98" s="326" t="s">
        <v>4586</v>
      </c>
      <c r="W98" s="882" t="s">
        <v>4587</v>
      </c>
      <c r="X98" s="44" t="s">
        <v>4588</v>
      </c>
      <c r="Y98" s="1133" t="s">
        <v>4589</v>
      </c>
      <c r="Z98" s="326" t="s">
        <v>4590</v>
      </c>
      <c r="AA98" s="882" t="s">
        <v>4591</v>
      </c>
      <c r="AB98" s="44" t="s">
        <v>4592</v>
      </c>
      <c r="AC98" s="1133" t="s">
        <v>4593</v>
      </c>
      <c r="AD98" s="326" t="s">
        <v>4594</v>
      </c>
      <c r="AE98" s="882" t="s">
        <v>4595</v>
      </c>
      <c r="AF98" s="44" t="s">
        <v>4596</v>
      </c>
      <c r="AG98" s="1133" t="s">
        <v>4597</v>
      </c>
      <c r="AH98" s="326" t="s">
        <v>4598</v>
      </c>
      <c r="AI98" s="882" t="s">
        <v>4599</v>
      </c>
      <c r="AJ98" s="44" t="s">
        <v>4600</v>
      </c>
      <c r="AK98" s="1133" t="s">
        <v>4601</v>
      </c>
      <c r="AL98" s="326" t="s">
        <v>4602</v>
      </c>
      <c r="AM98" s="882" t="s">
        <v>4603</v>
      </c>
      <c r="AN98" s="45" t="s">
        <v>4604</v>
      </c>
      <c r="AO98" s="882" t="s">
        <v>4605</v>
      </c>
    </row>
    <row r="99" spans="1:41" s="19" customFormat="1" ht="15" customHeight="1" x14ac:dyDescent="0.15">
      <c r="A99" s="5818">
        <v>23080600</v>
      </c>
      <c r="B99" s="936" t="s">
        <v>2490</v>
      </c>
      <c r="C99" s="1050" t="s">
        <v>4567</v>
      </c>
      <c r="D99" s="1051" t="s">
        <v>4568</v>
      </c>
      <c r="E99" s="1088" t="s">
        <v>4569</v>
      </c>
      <c r="F99" s="954" t="s">
        <v>4570</v>
      </c>
      <c r="G99" s="960" t="s">
        <v>4571</v>
      </c>
      <c r="H99" s="954" t="s">
        <v>4572</v>
      </c>
      <c r="I99" s="960" t="s">
        <v>4573</v>
      </c>
      <c r="J99" s="940" t="s">
        <v>4574</v>
      </c>
      <c r="K99" s="942" t="s">
        <v>4575</v>
      </c>
      <c r="L99" s="943" t="s">
        <v>4576</v>
      </c>
      <c r="M99" s="944" t="s">
        <v>4577</v>
      </c>
      <c r="N99" s="940" t="s">
        <v>4578</v>
      </c>
      <c r="O99" s="942" t="s">
        <v>4579</v>
      </c>
      <c r="P99" s="943" t="s">
        <v>4580</v>
      </c>
      <c r="Q99" s="944" t="s">
        <v>4581</v>
      </c>
      <c r="R99" s="940" t="s">
        <v>4582</v>
      </c>
      <c r="S99" s="942" t="s">
        <v>4583</v>
      </c>
      <c r="T99" s="940" t="s">
        <v>4584</v>
      </c>
      <c r="U99" s="942" t="s">
        <v>4585</v>
      </c>
      <c r="V99" s="940" t="s">
        <v>4586</v>
      </c>
      <c r="W99" s="942" t="s">
        <v>4587</v>
      </c>
      <c r="X99" s="943" t="s">
        <v>4588</v>
      </c>
      <c r="Y99" s="944" t="s">
        <v>4589</v>
      </c>
      <c r="Z99" s="940" t="s">
        <v>4590</v>
      </c>
      <c r="AA99" s="942" t="s">
        <v>4591</v>
      </c>
      <c r="AB99" s="943" t="s">
        <v>4592</v>
      </c>
      <c r="AC99" s="944" t="s">
        <v>4593</v>
      </c>
      <c r="AD99" s="940" t="s">
        <v>4594</v>
      </c>
      <c r="AE99" s="942" t="s">
        <v>4595</v>
      </c>
      <c r="AF99" s="943" t="s">
        <v>4596</v>
      </c>
      <c r="AG99" s="944" t="s">
        <v>4597</v>
      </c>
      <c r="AH99" s="940" t="s">
        <v>4598</v>
      </c>
      <c r="AI99" s="942" t="s">
        <v>4599</v>
      </c>
      <c r="AJ99" s="943" t="s">
        <v>4600</v>
      </c>
      <c r="AK99" s="944" t="s">
        <v>4601</v>
      </c>
      <c r="AL99" s="940" t="s">
        <v>4602</v>
      </c>
      <c r="AM99" s="942" t="s">
        <v>4603</v>
      </c>
      <c r="AN99" s="945" t="s">
        <v>4604</v>
      </c>
      <c r="AO99" s="942" t="s">
        <v>4605</v>
      </c>
    </row>
    <row r="100" spans="1:41" s="19" customFormat="1" ht="15" customHeight="1" x14ac:dyDescent="0.15">
      <c r="A100" s="5818">
        <v>23040901</v>
      </c>
      <c r="B100" s="936" t="s">
        <v>2491</v>
      </c>
      <c r="C100" s="1050" t="s">
        <v>4567</v>
      </c>
      <c r="D100" s="1051" t="s">
        <v>4568</v>
      </c>
      <c r="E100" s="1088" t="s">
        <v>4569</v>
      </c>
      <c r="F100" s="954" t="s">
        <v>4570</v>
      </c>
      <c r="G100" s="960" t="s">
        <v>4571</v>
      </c>
      <c r="H100" s="954" t="s">
        <v>4572</v>
      </c>
      <c r="I100" s="960" t="s">
        <v>4573</v>
      </c>
      <c r="J100" s="940" t="s">
        <v>4574</v>
      </c>
      <c r="K100" s="942" t="s">
        <v>4575</v>
      </c>
      <c r="L100" s="943" t="s">
        <v>4576</v>
      </c>
      <c r="M100" s="944" t="s">
        <v>4577</v>
      </c>
      <c r="N100" s="940" t="s">
        <v>4578</v>
      </c>
      <c r="O100" s="942" t="s">
        <v>4579</v>
      </c>
      <c r="P100" s="943" t="s">
        <v>4580</v>
      </c>
      <c r="Q100" s="944" t="s">
        <v>4581</v>
      </c>
      <c r="R100" s="940" t="s">
        <v>4582</v>
      </c>
      <c r="S100" s="942" t="s">
        <v>4583</v>
      </c>
      <c r="T100" s="940" t="s">
        <v>4584</v>
      </c>
      <c r="U100" s="942" t="s">
        <v>4585</v>
      </c>
      <c r="V100" s="940" t="s">
        <v>4586</v>
      </c>
      <c r="W100" s="942" t="s">
        <v>4587</v>
      </c>
      <c r="X100" s="943" t="s">
        <v>4588</v>
      </c>
      <c r="Y100" s="944" t="s">
        <v>4589</v>
      </c>
      <c r="Z100" s="940" t="s">
        <v>4590</v>
      </c>
      <c r="AA100" s="942" t="s">
        <v>4591</v>
      </c>
      <c r="AB100" s="943" t="s">
        <v>4592</v>
      </c>
      <c r="AC100" s="944" t="s">
        <v>4593</v>
      </c>
      <c r="AD100" s="940" t="s">
        <v>4594</v>
      </c>
      <c r="AE100" s="942" t="s">
        <v>4595</v>
      </c>
      <c r="AF100" s="943" t="s">
        <v>4596</v>
      </c>
      <c r="AG100" s="944" t="s">
        <v>4597</v>
      </c>
      <c r="AH100" s="940" t="s">
        <v>4598</v>
      </c>
      <c r="AI100" s="942" t="s">
        <v>4599</v>
      </c>
      <c r="AJ100" s="943" t="s">
        <v>4600</v>
      </c>
      <c r="AK100" s="944" t="s">
        <v>4601</v>
      </c>
      <c r="AL100" s="940" t="s">
        <v>4602</v>
      </c>
      <c r="AM100" s="942" t="s">
        <v>4603</v>
      </c>
      <c r="AN100" s="945" t="s">
        <v>4604</v>
      </c>
      <c r="AO100" s="942" t="s">
        <v>4605</v>
      </c>
    </row>
    <row r="101" spans="1:41" s="19" customFormat="1" ht="15" customHeight="1" x14ac:dyDescent="0.15">
      <c r="A101" s="5818">
        <v>23080700</v>
      </c>
      <c r="B101" s="936" t="s">
        <v>2492</v>
      </c>
      <c r="C101" s="1050" t="s">
        <v>4567</v>
      </c>
      <c r="D101" s="1051" t="s">
        <v>4568</v>
      </c>
      <c r="E101" s="1088" t="s">
        <v>4569</v>
      </c>
      <c r="F101" s="954" t="s">
        <v>4570</v>
      </c>
      <c r="G101" s="960" t="s">
        <v>4571</v>
      </c>
      <c r="H101" s="954" t="s">
        <v>4572</v>
      </c>
      <c r="I101" s="960" t="s">
        <v>4573</v>
      </c>
      <c r="J101" s="940" t="s">
        <v>4574</v>
      </c>
      <c r="K101" s="942" t="s">
        <v>4575</v>
      </c>
      <c r="L101" s="943" t="s">
        <v>4576</v>
      </c>
      <c r="M101" s="944" t="s">
        <v>4577</v>
      </c>
      <c r="N101" s="940" t="s">
        <v>4578</v>
      </c>
      <c r="O101" s="942" t="s">
        <v>4579</v>
      </c>
      <c r="P101" s="943" t="s">
        <v>4580</v>
      </c>
      <c r="Q101" s="944" t="s">
        <v>4581</v>
      </c>
      <c r="R101" s="940" t="s">
        <v>4582</v>
      </c>
      <c r="S101" s="942" t="s">
        <v>4583</v>
      </c>
      <c r="T101" s="940" t="s">
        <v>4584</v>
      </c>
      <c r="U101" s="942" t="s">
        <v>4585</v>
      </c>
      <c r="V101" s="940" t="s">
        <v>4586</v>
      </c>
      <c r="W101" s="942" t="s">
        <v>4587</v>
      </c>
      <c r="X101" s="943" t="s">
        <v>4588</v>
      </c>
      <c r="Y101" s="944" t="s">
        <v>4589</v>
      </c>
      <c r="Z101" s="940" t="s">
        <v>4590</v>
      </c>
      <c r="AA101" s="942" t="s">
        <v>4591</v>
      </c>
      <c r="AB101" s="943" t="s">
        <v>4592</v>
      </c>
      <c r="AC101" s="944" t="s">
        <v>4593</v>
      </c>
      <c r="AD101" s="940" t="s">
        <v>4594</v>
      </c>
      <c r="AE101" s="942" t="s">
        <v>4595</v>
      </c>
      <c r="AF101" s="943" t="s">
        <v>4596</v>
      </c>
      <c r="AG101" s="944" t="s">
        <v>4597</v>
      </c>
      <c r="AH101" s="940" t="s">
        <v>4598</v>
      </c>
      <c r="AI101" s="942" t="s">
        <v>4599</v>
      </c>
      <c r="AJ101" s="943" t="s">
        <v>4600</v>
      </c>
      <c r="AK101" s="944" t="s">
        <v>4601</v>
      </c>
      <c r="AL101" s="940" t="s">
        <v>4602</v>
      </c>
      <c r="AM101" s="942" t="s">
        <v>4603</v>
      </c>
      <c r="AN101" s="945" t="s">
        <v>4604</v>
      </c>
      <c r="AO101" s="942" t="s">
        <v>4605</v>
      </c>
    </row>
    <row r="102" spans="1:41" s="19" customFormat="1" ht="15" customHeight="1" x14ac:dyDescent="0.15">
      <c r="A102" s="5818">
        <v>23090530</v>
      </c>
      <c r="B102" s="1134" t="s">
        <v>2493</v>
      </c>
      <c r="C102" s="1050" t="s">
        <v>4567</v>
      </c>
      <c r="D102" s="1135" t="s">
        <v>4568</v>
      </c>
      <c r="E102" s="1088" t="s">
        <v>4569</v>
      </c>
      <c r="F102" s="212" t="s">
        <v>4570</v>
      </c>
      <c r="G102" s="1136" t="s">
        <v>4571</v>
      </c>
      <c r="H102" s="212" t="s">
        <v>4572</v>
      </c>
      <c r="I102" s="1136" t="s">
        <v>4573</v>
      </c>
      <c r="J102" s="212" t="s">
        <v>4574</v>
      </c>
      <c r="K102" s="1136" t="s">
        <v>4575</v>
      </c>
      <c r="L102" s="1137" t="s">
        <v>4576</v>
      </c>
      <c r="M102" s="1138" t="s">
        <v>4577</v>
      </c>
      <c r="N102" s="212" t="s">
        <v>4578</v>
      </c>
      <c r="O102" s="1136" t="s">
        <v>4579</v>
      </c>
      <c r="P102" s="1137" t="s">
        <v>4580</v>
      </c>
      <c r="Q102" s="1138" t="s">
        <v>4581</v>
      </c>
      <c r="R102" s="212" t="s">
        <v>4582</v>
      </c>
      <c r="S102" s="1136" t="s">
        <v>4583</v>
      </c>
      <c r="T102" s="212" t="s">
        <v>4584</v>
      </c>
      <c r="U102" s="1136" t="s">
        <v>4585</v>
      </c>
      <c r="V102" s="212" t="s">
        <v>4586</v>
      </c>
      <c r="W102" s="1136" t="s">
        <v>4587</v>
      </c>
      <c r="X102" s="1137" t="s">
        <v>4588</v>
      </c>
      <c r="Y102" s="1138" t="s">
        <v>4589</v>
      </c>
      <c r="Z102" s="212" t="s">
        <v>4590</v>
      </c>
      <c r="AA102" s="1136" t="s">
        <v>4591</v>
      </c>
      <c r="AB102" s="1137" t="s">
        <v>4592</v>
      </c>
      <c r="AC102" s="1138" t="s">
        <v>4593</v>
      </c>
      <c r="AD102" s="212" t="s">
        <v>4594</v>
      </c>
      <c r="AE102" s="1136" t="s">
        <v>4595</v>
      </c>
      <c r="AF102" s="1137" t="s">
        <v>4596</v>
      </c>
      <c r="AG102" s="1138" t="s">
        <v>4597</v>
      </c>
      <c r="AH102" s="212" t="s">
        <v>4598</v>
      </c>
      <c r="AI102" s="1136" t="s">
        <v>4599</v>
      </c>
      <c r="AJ102" s="1137" t="s">
        <v>4600</v>
      </c>
      <c r="AK102" s="1138" t="s">
        <v>4601</v>
      </c>
      <c r="AL102" s="212" t="s">
        <v>4602</v>
      </c>
      <c r="AM102" s="1136" t="s">
        <v>4603</v>
      </c>
      <c r="AN102" s="46" t="s">
        <v>4604</v>
      </c>
      <c r="AO102" s="1136" t="s">
        <v>4605</v>
      </c>
    </row>
    <row r="103" spans="1:41" s="19" customFormat="1" ht="15" customHeight="1" x14ac:dyDescent="0.15">
      <c r="A103" s="5818">
        <v>23110100</v>
      </c>
      <c r="B103" s="1139" t="s">
        <v>2494</v>
      </c>
      <c r="C103" s="1140" t="s">
        <v>4567</v>
      </c>
      <c r="D103" s="1141" t="s">
        <v>4568</v>
      </c>
      <c r="E103" s="625" t="s">
        <v>4569</v>
      </c>
      <c r="F103" s="964" t="s">
        <v>4570</v>
      </c>
      <c r="G103" s="965" t="s">
        <v>4571</v>
      </c>
      <c r="H103" s="964" t="s">
        <v>4572</v>
      </c>
      <c r="I103" s="965" t="s">
        <v>4573</v>
      </c>
      <c r="J103" s="964" t="s">
        <v>4574</v>
      </c>
      <c r="K103" s="965" t="s">
        <v>4575</v>
      </c>
      <c r="L103" s="966" t="s">
        <v>4576</v>
      </c>
      <c r="M103" s="967" t="s">
        <v>4577</v>
      </c>
      <c r="N103" s="964" t="s">
        <v>4578</v>
      </c>
      <c r="O103" s="965" t="s">
        <v>4579</v>
      </c>
      <c r="P103" s="966" t="s">
        <v>4580</v>
      </c>
      <c r="Q103" s="967" t="s">
        <v>4581</v>
      </c>
      <c r="R103" s="964" t="s">
        <v>4582</v>
      </c>
      <c r="S103" s="965" t="s">
        <v>4583</v>
      </c>
      <c r="T103" s="964" t="s">
        <v>4584</v>
      </c>
      <c r="U103" s="965" t="s">
        <v>4585</v>
      </c>
      <c r="V103" s="964" t="s">
        <v>4586</v>
      </c>
      <c r="W103" s="965" t="s">
        <v>4587</v>
      </c>
      <c r="X103" s="966" t="s">
        <v>4588</v>
      </c>
      <c r="Y103" s="967" t="s">
        <v>4589</v>
      </c>
      <c r="Z103" s="964" t="s">
        <v>4590</v>
      </c>
      <c r="AA103" s="965" t="s">
        <v>4591</v>
      </c>
      <c r="AB103" s="966" t="s">
        <v>4592</v>
      </c>
      <c r="AC103" s="967" t="s">
        <v>4593</v>
      </c>
      <c r="AD103" s="964" t="s">
        <v>4594</v>
      </c>
      <c r="AE103" s="965" t="s">
        <v>4595</v>
      </c>
      <c r="AF103" s="966" t="s">
        <v>4596</v>
      </c>
      <c r="AG103" s="967" t="s">
        <v>4597</v>
      </c>
      <c r="AH103" s="964" t="s">
        <v>4598</v>
      </c>
      <c r="AI103" s="965" t="s">
        <v>4599</v>
      </c>
      <c r="AJ103" s="966" t="s">
        <v>4600</v>
      </c>
      <c r="AK103" s="967" t="s">
        <v>4601</v>
      </c>
      <c r="AL103" s="964" t="s">
        <v>4602</v>
      </c>
      <c r="AM103" s="965" t="s">
        <v>4603</v>
      </c>
      <c r="AN103" s="968" t="s">
        <v>4604</v>
      </c>
      <c r="AO103" s="965" t="s">
        <v>4605</v>
      </c>
    </row>
    <row r="104" spans="1:41" s="25" customFormat="1" ht="18" customHeight="1" x14ac:dyDescent="0.25">
      <c r="A104"/>
      <c r="B104" s="11" t="s">
        <v>2495</v>
      </c>
    </row>
    <row r="105" spans="1:41" s="19" customFormat="1" ht="15" customHeight="1" x14ac:dyDescent="0.15">
      <c r="A105" s="5862"/>
      <c r="B105" s="7290" t="s">
        <v>2496</v>
      </c>
      <c r="C105" s="7327" t="s">
        <v>77</v>
      </c>
      <c r="D105" s="6761"/>
      <c r="E105" s="7319"/>
      <c r="F105" s="7295" t="s">
        <v>101</v>
      </c>
      <c r="G105" s="7296"/>
      <c r="H105" s="7296"/>
      <c r="I105" s="7296"/>
      <c r="J105" s="7296"/>
      <c r="K105" s="7296"/>
      <c r="L105" s="7296"/>
      <c r="M105" s="7296"/>
      <c r="N105" s="7296"/>
      <c r="O105" s="7296"/>
      <c r="P105" s="7296"/>
      <c r="Q105" s="7296"/>
      <c r="R105" s="7296"/>
      <c r="S105" s="7296"/>
      <c r="T105" s="7296"/>
      <c r="U105" s="7296"/>
      <c r="V105" s="7296"/>
      <c r="W105" s="7296"/>
      <c r="X105" s="7296"/>
      <c r="Y105" s="7296"/>
      <c r="Z105" s="7296"/>
      <c r="AA105" s="7296"/>
      <c r="AB105" s="7296"/>
      <c r="AC105" s="7296"/>
      <c r="AD105" s="7296"/>
      <c r="AE105" s="7296"/>
      <c r="AF105" s="7296"/>
      <c r="AG105" s="7296"/>
      <c r="AH105" s="7296"/>
      <c r="AI105" s="7296"/>
      <c r="AJ105" s="7296"/>
      <c r="AK105" s="7296"/>
      <c r="AL105" s="7296"/>
      <c r="AM105" s="7296"/>
      <c r="AN105" s="7296"/>
      <c r="AO105" s="7297"/>
    </row>
    <row r="106" spans="1:41" s="19" customFormat="1" ht="15" customHeight="1" x14ac:dyDescent="0.15">
      <c r="A106" s="5862"/>
      <c r="B106" s="6331"/>
      <c r="C106" s="6900"/>
      <c r="D106" s="6764"/>
      <c r="E106" s="7268"/>
      <c r="F106" s="7289" t="s">
        <v>4407</v>
      </c>
      <c r="G106" s="7290"/>
      <c r="H106" s="7291" t="s">
        <v>2446</v>
      </c>
      <c r="I106" s="7244"/>
      <c r="J106" s="7291" t="s">
        <v>2447</v>
      </c>
      <c r="K106" s="7244"/>
      <c r="L106" s="7298" t="s">
        <v>94</v>
      </c>
      <c r="M106" s="7298"/>
      <c r="N106" s="7291" t="s">
        <v>44</v>
      </c>
      <c r="O106" s="7244"/>
      <c r="P106" s="7298" t="s">
        <v>45</v>
      </c>
      <c r="Q106" s="7298"/>
      <c r="R106" s="7299" t="s">
        <v>46</v>
      </c>
      <c r="S106" s="7290"/>
      <c r="T106" s="7299" t="s">
        <v>47</v>
      </c>
      <c r="U106" s="7290"/>
      <c r="V106" s="6491" t="s">
        <v>48</v>
      </c>
      <c r="W106" s="7290"/>
      <c r="X106" s="7298" t="s">
        <v>49</v>
      </c>
      <c r="Y106" s="7298"/>
      <c r="Z106" s="7291" t="s">
        <v>50</v>
      </c>
      <c r="AA106" s="7244"/>
      <c r="AB106" s="7298" t="s">
        <v>51</v>
      </c>
      <c r="AC106" s="7298"/>
      <c r="AD106" s="7291" t="s">
        <v>52</v>
      </c>
      <c r="AE106" s="7244"/>
      <c r="AF106" s="7298" t="s">
        <v>53</v>
      </c>
      <c r="AG106" s="7298"/>
      <c r="AH106" s="7291" t="s">
        <v>54</v>
      </c>
      <c r="AI106" s="7244"/>
      <c r="AJ106" s="7298" t="s">
        <v>55</v>
      </c>
      <c r="AK106" s="7298"/>
      <c r="AL106" s="7291" t="s">
        <v>56</v>
      </c>
      <c r="AM106" s="7244"/>
      <c r="AN106" s="7291" t="s">
        <v>57</v>
      </c>
      <c r="AO106" s="7244"/>
    </row>
    <row r="107" spans="1:41" s="19" customFormat="1" ht="15" customHeight="1" x14ac:dyDescent="0.15">
      <c r="A107" s="5862"/>
      <c r="B107" s="6913"/>
      <c r="C107" s="981" t="s">
        <v>79</v>
      </c>
      <c r="D107" s="1068" t="s">
        <v>58</v>
      </c>
      <c r="E107" s="983" t="s">
        <v>59</v>
      </c>
      <c r="F107" s="981" t="s">
        <v>58</v>
      </c>
      <c r="G107" s="983" t="s">
        <v>59</v>
      </c>
      <c r="H107" s="981" t="s">
        <v>58</v>
      </c>
      <c r="I107" s="983" t="s">
        <v>59</v>
      </c>
      <c r="J107" s="981" t="s">
        <v>58</v>
      </c>
      <c r="K107" s="983" t="s">
        <v>59</v>
      </c>
      <c r="L107" s="1068" t="s">
        <v>58</v>
      </c>
      <c r="M107" s="1028" t="s">
        <v>59</v>
      </c>
      <c r="N107" s="981" t="s">
        <v>58</v>
      </c>
      <c r="O107" s="983" t="s">
        <v>59</v>
      </c>
      <c r="P107" s="1068" t="s">
        <v>58</v>
      </c>
      <c r="Q107" s="1028" t="s">
        <v>59</v>
      </c>
      <c r="R107" s="981" t="s">
        <v>58</v>
      </c>
      <c r="S107" s="983" t="s">
        <v>59</v>
      </c>
      <c r="T107" s="981" t="s">
        <v>58</v>
      </c>
      <c r="U107" s="983" t="s">
        <v>59</v>
      </c>
      <c r="V107" s="1068" t="s">
        <v>58</v>
      </c>
      <c r="W107" s="983" t="s">
        <v>59</v>
      </c>
      <c r="X107" s="1068" t="s">
        <v>58</v>
      </c>
      <c r="Y107" s="1028" t="s">
        <v>59</v>
      </c>
      <c r="Z107" s="981" t="s">
        <v>58</v>
      </c>
      <c r="AA107" s="983" t="s">
        <v>59</v>
      </c>
      <c r="AB107" s="1068" t="s">
        <v>58</v>
      </c>
      <c r="AC107" s="1028" t="s">
        <v>59</v>
      </c>
      <c r="AD107" s="981" t="s">
        <v>58</v>
      </c>
      <c r="AE107" s="983" t="s">
        <v>59</v>
      </c>
      <c r="AF107" s="1068" t="s">
        <v>58</v>
      </c>
      <c r="AG107" s="1028" t="s">
        <v>59</v>
      </c>
      <c r="AH107" s="981" t="s">
        <v>58</v>
      </c>
      <c r="AI107" s="983" t="s">
        <v>59</v>
      </c>
      <c r="AJ107" s="1068" t="s">
        <v>58</v>
      </c>
      <c r="AK107" s="1028" t="s">
        <v>59</v>
      </c>
      <c r="AL107" s="981" t="s">
        <v>58</v>
      </c>
      <c r="AM107" s="983" t="s">
        <v>59</v>
      </c>
      <c r="AN107" s="1068" t="s">
        <v>58</v>
      </c>
      <c r="AO107" s="983" t="s">
        <v>59</v>
      </c>
    </row>
    <row r="108" spans="1:41" s="19" customFormat="1" ht="15" customHeight="1" x14ac:dyDescent="0.15">
      <c r="A108" s="5824">
        <v>23080900</v>
      </c>
      <c r="B108" s="1142" t="s">
        <v>2497</v>
      </c>
      <c r="C108" s="926" t="s">
        <v>4567</v>
      </c>
      <c r="D108" s="927" t="s">
        <v>4568</v>
      </c>
      <c r="E108" s="939" t="s">
        <v>4569</v>
      </c>
      <c r="F108" s="326" t="s">
        <v>4570</v>
      </c>
      <c r="G108" s="882" t="s">
        <v>4571</v>
      </c>
      <c r="H108" s="326" t="s">
        <v>4572</v>
      </c>
      <c r="I108" s="882" t="s">
        <v>4573</v>
      </c>
      <c r="J108" s="326" t="s">
        <v>4574</v>
      </c>
      <c r="K108" s="882" t="s">
        <v>4575</v>
      </c>
      <c r="L108" s="326" t="s">
        <v>4576</v>
      </c>
      <c r="M108" s="882" t="s">
        <v>4577</v>
      </c>
      <c r="N108" s="326" t="s">
        <v>4578</v>
      </c>
      <c r="O108" s="882" t="s">
        <v>4579</v>
      </c>
      <c r="P108" s="326" t="s">
        <v>4580</v>
      </c>
      <c r="Q108" s="882" t="s">
        <v>4581</v>
      </c>
      <c r="R108" s="326" t="s">
        <v>4582</v>
      </c>
      <c r="S108" s="882" t="s">
        <v>4583</v>
      </c>
      <c r="T108" s="326" t="s">
        <v>4584</v>
      </c>
      <c r="U108" s="882" t="s">
        <v>4585</v>
      </c>
      <c r="V108" s="326" t="s">
        <v>4586</v>
      </c>
      <c r="W108" s="882" t="s">
        <v>4587</v>
      </c>
      <c r="X108" s="326" t="s">
        <v>4588</v>
      </c>
      <c r="Y108" s="882" t="s">
        <v>4589</v>
      </c>
      <c r="Z108" s="326" t="s">
        <v>4590</v>
      </c>
      <c r="AA108" s="882" t="s">
        <v>4591</v>
      </c>
      <c r="AB108" s="326" t="s">
        <v>4592</v>
      </c>
      <c r="AC108" s="882" t="s">
        <v>4593</v>
      </c>
      <c r="AD108" s="326" t="s">
        <v>4594</v>
      </c>
      <c r="AE108" s="882" t="s">
        <v>4595</v>
      </c>
      <c r="AF108" s="326" t="s">
        <v>4596</v>
      </c>
      <c r="AG108" s="882" t="s">
        <v>4597</v>
      </c>
      <c r="AH108" s="326" t="s">
        <v>4598</v>
      </c>
      <c r="AI108" s="882" t="s">
        <v>4599</v>
      </c>
      <c r="AJ108" s="326" t="s">
        <v>4600</v>
      </c>
      <c r="AK108" s="882" t="s">
        <v>4601</v>
      </c>
      <c r="AL108" s="326" t="s">
        <v>4602</v>
      </c>
      <c r="AM108" s="882" t="s">
        <v>4603</v>
      </c>
      <c r="AN108" s="326" t="s">
        <v>4604</v>
      </c>
      <c r="AO108" s="882" t="s">
        <v>4605</v>
      </c>
    </row>
    <row r="109" spans="1:41" s="19" customFormat="1" ht="15" customHeight="1" x14ac:dyDescent="0.15">
      <c r="A109" s="5818">
        <v>23090100</v>
      </c>
      <c r="B109" s="949" t="s">
        <v>2498</v>
      </c>
      <c r="C109" s="937" t="s">
        <v>4567</v>
      </c>
      <c r="D109" s="938" t="s">
        <v>4568</v>
      </c>
      <c r="E109" s="939" t="s">
        <v>4569</v>
      </c>
      <c r="F109" s="326" t="s">
        <v>4570</v>
      </c>
      <c r="G109" s="882" t="s">
        <v>4571</v>
      </c>
      <c r="H109" s="326" t="s">
        <v>4572</v>
      </c>
      <c r="I109" s="882" t="s">
        <v>4573</v>
      </c>
      <c r="J109" s="326" t="s">
        <v>4574</v>
      </c>
      <c r="K109" s="882" t="s">
        <v>4575</v>
      </c>
      <c r="L109" s="326" t="s">
        <v>4576</v>
      </c>
      <c r="M109" s="882" t="s">
        <v>4577</v>
      </c>
      <c r="N109" s="326" t="s">
        <v>4578</v>
      </c>
      <c r="O109" s="882" t="s">
        <v>4579</v>
      </c>
      <c r="P109" s="326" t="s">
        <v>4580</v>
      </c>
      <c r="Q109" s="882" t="s">
        <v>4581</v>
      </c>
      <c r="R109" s="326" t="s">
        <v>4582</v>
      </c>
      <c r="S109" s="882" t="s">
        <v>4583</v>
      </c>
      <c r="T109" s="326" t="s">
        <v>4584</v>
      </c>
      <c r="U109" s="882" t="s">
        <v>4585</v>
      </c>
      <c r="V109" s="326" t="s">
        <v>4586</v>
      </c>
      <c r="W109" s="882" t="s">
        <v>4587</v>
      </c>
      <c r="X109" s="326" t="s">
        <v>4588</v>
      </c>
      <c r="Y109" s="882" t="s">
        <v>4589</v>
      </c>
      <c r="Z109" s="326" t="s">
        <v>4590</v>
      </c>
      <c r="AA109" s="882" t="s">
        <v>4591</v>
      </c>
      <c r="AB109" s="326" t="s">
        <v>4592</v>
      </c>
      <c r="AC109" s="882" t="s">
        <v>4593</v>
      </c>
      <c r="AD109" s="326" t="s">
        <v>4594</v>
      </c>
      <c r="AE109" s="882" t="s">
        <v>4595</v>
      </c>
      <c r="AF109" s="326" t="s">
        <v>4596</v>
      </c>
      <c r="AG109" s="882" t="s">
        <v>4597</v>
      </c>
      <c r="AH109" s="326" t="s">
        <v>4598</v>
      </c>
      <c r="AI109" s="882" t="s">
        <v>4599</v>
      </c>
      <c r="AJ109" s="326" t="s">
        <v>4600</v>
      </c>
      <c r="AK109" s="882" t="s">
        <v>4601</v>
      </c>
      <c r="AL109" s="326" t="s">
        <v>4602</v>
      </c>
      <c r="AM109" s="882" t="s">
        <v>4603</v>
      </c>
      <c r="AN109" s="326" t="s">
        <v>4604</v>
      </c>
      <c r="AO109" s="882" t="s">
        <v>4605</v>
      </c>
    </row>
    <row r="110" spans="1:41" s="19" customFormat="1" ht="15" customHeight="1" x14ac:dyDescent="0.15">
      <c r="A110" s="5818">
        <v>23060004</v>
      </c>
      <c r="B110" s="1113" t="s">
        <v>2499</v>
      </c>
      <c r="C110" s="1020" t="s">
        <v>4567</v>
      </c>
      <c r="D110" s="1143" t="s">
        <v>4568</v>
      </c>
      <c r="E110" s="413" t="s">
        <v>4569</v>
      </c>
      <c r="F110" s="964" t="s">
        <v>4570</v>
      </c>
      <c r="G110" s="965" t="s">
        <v>4571</v>
      </c>
      <c r="H110" s="964" t="s">
        <v>4572</v>
      </c>
      <c r="I110" s="965" t="s">
        <v>4573</v>
      </c>
      <c r="J110" s="964" t="s">
        <v>4574</v>
      </c>
      <c r="K110" s="965" t="s">
        <v>4575</v>
      </c>
      <c r="L110" s="964" t="s">
        <v>4576</v>
      </c>
      <c r="M110" s="965" t="s">
        <v>4577</v>
      </c>
      <c r="N110" s="964" t="s">
        <v>4578</v>
      </c>
      <c r="O110" s="965" t="s">
        <v>4579</v>
      </c>
      <c r="P110" s="964" t="s">
        <v>4580</v>
      </c>
      <c r="Q110" s="965" t="s">
        <v>4581</v>
      </c>
      <c r="R110" s="964" t="s">
        <v>4582</v>
      </c>
      <c r="S110" s="965" t="s">
        <v>4583</v>
      </c>
      <c r="T110" s="964" t="s">
        <v>4584</v>
      </c>
      <c r="U110" s="965" t="s">
        <v>4585</v>
      </c>
      <c r="V110" s="964" t="s">
        <v>4586</v>
      </c>
      <c r="W110" s="965" t="s">
        <v>4587</v>
      </c>
      <c r="X110" s="964" t="s">
        <v>4588</v>
      </c>
      <c r="Y110" s="965" t="s">
        <v>4589</v>
      </c>
      <c r="Z110" s="964" t="s">
        <v>4590</v>
      </c>
      <c r="AA110" s="965" t="s">
        <v>4591</v>
      </c>
      <c r="AB110" s="964" t="s">
        <v>4592</v>
      </c>
      <c r="AC110" s="965" t="s">
        <v>4593</v>
      </c>
      <c r="AD110" s="964" t="s">
        <v>4594</v>
      </c>
      <c r="AE110" s="965" t="s">
        <v>4595</v>
      </c>
      <c r="AF110" s="964" t="s">
        <v>4596</v>
      </c>
      <c r="AG110" s="965" t="s">
        <v>4597</v>
      </c>
      <c r="AH110" s="964" t="s">
        <v>4598</v>
      </c>
      <c r="AI110" s="965" t="s">
        <v>4599</v>
      </c>
      <c r="AJ110" s="964" t="s">
        <v>4600</v>
      </c>
      <c r="AK110" s="965" t="s">
        <v>4601</v>
      </c>
      <c r="AL110" s="964" t="s">
        <v>4602</v>
      </c>
      <c r="AM110" s="965" t="s">
        <v>4603</v>
      </c>
      <c r="AN110" s="964" t="s">
        <v>4604</v>
      </c>
      <c r="AO110" s="965" t="s">
        <v>4605</v>
      </c>
    </row>
    <row r="111" spans="1:41" s="25" customFormat="1" ht="18" customHeight="1" x14ac:dyDescent="0.25">
      <c r="A111"/>
      <c r="B111" s="11" t="s">
        <v>2500</v>
      </c>
    </row>
    <row r="112" spans="1:41" s="19" customFormat="1" ht="15" customHeight="1" x14ac:dyDescent="0.15">
      <c r="A112" s="5862"/>
      <c r="B112" s="7290" t="s">
        <v>2496</v>
      </c>
      <c r="C112" s="7327" t="s">
        <v>77</v>
      </c>
      <c r="D112" s="6761"/>
      <c r="E112" s="7319"/>
      <c r="F112" s="7295" t="s">
        <v>101</v>
      </c>
      <c r="G112" s="7296"/>
      <c r="H112" s="7296"/>
      <c r="I112" s="7296"/>
      <c r="J112" s="7296"/>
      <c r="K112" s="7296"/>
      <c r="L112" s="7296"/>
      <c r="M112" s="7296"/>
      <c r="N112" s="7296"/>
      <c r="O112" s="7296"/>
      <c r="P112" s="7296"/>
      <c r="Q112" s="7296"/>
      <c r="R112" s="7296"/>
      <c r="S112" s="7296"/>
      <c r="T112" s="7296"/>
      <c r="U112" s="7296"/>
      <c r="V112" s="7296"/>
      <c r="W112" s="7296"/>
      <c r="X112" s="7296"/>
      <c r="Y112" s="7296"/>
      <c r="Z112" s="7296"/>
      <c r="AA112" s="7296"/>
      <c r="AB112" s="7296"/>
      <c r="AC112" s="7296"/>
      <c r="AD112" s="7296"/>
      <c r="AE112" s="7296"/>
      <c r="AF112" s="7296"/>
      <c r="AG112" s="7296"/>
      <c r="AH112" s="7296"/>
      <c r="AI112" s="7296"/>
      <c r="AJ112" s="7296"/>
      <c r="AK112" s="7296"/>
      <c r="AL112" s="7296"/>
      <c r="AM112" s="7296"/>
      <c r="AN112" s="7296"/>
      <c r="AO112" s="7297"/>
    </row>
    <row r="113" spans="1:85" s="19" customFormat="1" ht="15" customHeight="1" x14ac:dyDescent="0.15">
      <c r="A113" s="5862"/>
      <c r="B113" s="6331"/>
      <c r="C113" s="6900"/>
      <c r="D113" s="6764"/>
      <c r="E113" s="7268"/>
      <c r="F113" s="7289" t="s">
        <v>4407</v>
      </c>
      <c r="G113" s="7290"/>
      <c r="H113" s="7291" t="s">
        <v>2446</v>
      </c>
      <c r="I113" s="7244"/>
      <c r="J113" s="7291" t="s">
        <v>2447</v>
      </c>
      <c r="K113" s="7244"/>
      <c r="L113" s="7291" t="s">
        <v>94</v>
      </c>
      <c r="M113" s="7244"/>
      <c r="N113" s="7291" t="s">
        <v>44</v>
      </c>
      <c r="O113" s="7244"/>
      <c r="P113" s="7258" t="s">
        <v>45</v>
      </c>
      <c r="Q113" s="7298"/>
      <c r="R113" s="7299" t="s">
        <v>46</v>
      </c>
      <c r="S113" s="7290"/>
      <c r="T113" s="7299" t="s">
        <v>47</v>
      </c>
      <c r="U113" s="7290"/>
      <c r="V113" s="6491" t="s">
        <v>48</v>
      </c>
      <c r="W113" s="7290"/>
      <c r="X113" s="7298" t="s">
        <v>49</v>
      </c>
      <c r="Y113" s="7298"/>
      <c r="Z113" s="7291" t="s">
        <v>50</v>
      </c>
      <c r="AA113" s="7244"/>
      <c r="AB113" s="7298" t="s">
        <v>51</v>
      </c>
      <c r="AC113" s="7298"/>
      <c r="AD113" s="7291" t="s">
        <v>52</v>
      </c>
      <c r="AE113" s="7244"/>
      <c r="AF113" s="7291" t="s">
        <v>53</v>
      </c>
      <c r="AG113" s="7244"/>
      <c r="AH113" s="7291" t="s">
        <v>54</v>
      </c>
      <c r="AI113" s="7244"/>
      <c r="AJ113" s="7298" t="s">
        <v>55</v>
      </c>
      <c r="AK113" s="7298"/>
      <c r="AL113" s="7291" t="s">
        <v>56</v>
      </c>
      <c r="AM113" s="7244"/>
      <c r="AN113" s="7291" t="s">
        <v>57</v>
      </c>
      <c r="AO113" s="7244"/>
    </row>
    <row r="114" spans="1:85" s="19" customFormat="1" ht="15" customHeight="1" x14ac:dyDescent="0.15">
      <c r="A114" s="5862"/>
      <c r="B114" s="6913"/>
      <c r="C114" s="981" t="s">
        <v>79</v>
      </c>
      <c r="D114" s="1068" t="s">
        <v>58</v>
      </c>
      <c r="E114" s="983" t="s">
        <v>59</v>
      </c>
      <c r="F114" s="981" t="s">
        <v>58</v>
      </c>
      <c r="G114" s="983" t="s">
        <v>59</v>
      </c>
      <c r="H114" s="981" t="s">
        <v>58</v>
      </c>
      <c r="I114" s="983" t="s">
        <v>59</v>
      </c>
      <c r="J114" s="981" t="s">
        <v>58</v>
      </c>
      <c r="K114" s="983" t="s">
        <v>59</v>
      </c>
      <c r="L114" s="1068" t="s">
        <v>58</v>
      </c>
      <c r="M114" s="1028" t="s">
        <v>59</v>
      </c>
      <c r="N114" s="981" t="s">
        <v>58</v>
      </c>
      <c r="O114" s="983" t="s">
        <v>59</v>
      </c>
      <c r="P114" s="1068" t="s">
        <v>58</v>
      </c>
      <c r="Q114" s="1028" t="s">
        <v>59</v>
      </c>
      <c r="R114" s="981" t="s">
        <v>58</v>
      </c>
      <c r="S114" s="983" t="s">
        <v>59</v>
      </c>
      <c r="T114" s="981" t="s">
        <v>58</v>
      </c>
      <c r="U114" s="983" t="s">
        <v>59</v>
      </c>
      <c r="V114" s="1068" t="s">
        <v>58</v>
      </c>
      <c r="W114" s="983" t="s">
        <v>59</v>
      </c>
      <c r="X114" s="981" t="s">
        <v>58</v>
      </c>
      <c r="Y114" s="983" t="s">
        <v>59</v>
      </c>
      <c r="Z114" s="981" t="s">
        <v>58</v>
      </c>
      <c r="AA114" s="983" t="s">
        <v>59</v>
      </c>
      <c r="AB114" s="981" t="s">
        <v>58</v>
      </c>
      <c r="AC114" s="983" t="s">
        <v>59</v>
      </c>
      <c r="AD114" s="1068" t="s">
        <v>58</v>
      </c>
      <c r="AE114" s="1028" t="s">
        <v>59</v>
      </c>
      <c r="AF114" s="981" t="s">
        <v>58</v>
      </c>
      <c r="AG114" s="983" t="s">
        <v>59</v>
      </c>
      <c r="AH114" s="1068" t="s">
        <v>58</v>
      </c>
      <c r="AI114" s="1028" t="s">
        <v>59</v>
      </c>
      <c r="AJ114" s="981" t="s">
        <v>58</v>
      </c>
      <c r="AK114" s="983" t="s">
        <v>59</v>
      </c>
      <c r="AL114" s="1068" t="s">
        <v>58</v>
      </c>
      <c r="AM114" s="1028" t="s">
        <v>59</v>
      </c>
      <c r="AN114" s="981" t="s">
        <v>58</v>
      </c>
      <c r="AO114" s="983" t="s">
        <v>59</v>
      </c>
    </row>
    <row r="115" spans="1:85" s="19" customFormat="1" ht="15" customHeight="1" x14ac:dyDescent="0.15">
      <c r="A115" s="5818">
        <v>23090550</v>
      </c>
      <c r="B115" s="1142" t="s">
        <v>2497</v>
      </c>
      <c r="C115" s="335" t="s">
        <v>4567</v>
      </c>
      <c r="D115" s="938" t="s">
        <v>4568</v>
      </c>
      <c r="E115" s="939" t="s">
        <v>4569</v>
      </c>
      <c r="F115" s="929" t="s">
        <v>4570</v>
      </c>
      <c r="G115" s="930" t="s">
        <v>4571</v>
      </c>
      <c r="H115" s="929" t="s">
        <v>4572</v>
      </c>
      <c r="I115" s="930" t="s">
        <v>4573</v>
      </c>
      <c r="J115" s="929" t="s">
        <v>4574</v>
      </c>
      <c r="K115" s="930" t="s">
        <v>4575</v>
      </c>
      <c r="L115" s="929" t="s">
        <v>4576</v>
      </c>
      <c r="M115" s="930" t="s">
        <v>4577</v>
      </c>
      <c r="N115" s="929" t="s">
        <v>4578</v>
      </c>
      <c r="O115" s="930" t="s">
        <v>4579</v>
      </c>
      <c r="P115" s="929" t="s">
        <v>4580</v>
      </c>
      <c r="Q115" s="930" t="s">
        <v>4581</v>
      </c>
      <c r="R115" s="929" t="s">
        <v>4582</v>
      </c>
      <c r="S115" s="930" t="s">
        <v>4583</v>
      </c>
      <c r="T115" s="929" t="s">
        <v>4584</v>
      </c>
      <c r="U115" s="930" t="s">
        <v>4585</v>
      </c>
      <c r="V115" s="929" t="s">
        <v>4586</v>
      </c>
      <c r="W115" s="930" t="s">
        <v>4587</v>
      </c>
      <c r="X115" s="929" t="s">
        <v>4588</v>
      </c>
      <c r="Y115" s="930" t="s">
        <v>4589</v>
      </c>
      <c r="Z115" s="929" t="s">
        <v>4590</v>
      </c>
      <c r="AA115" s="930" t="s">
        <v>4591</v>
      </c>
      <c r="AB115" s="929" t="s">
        <v>4592</v>
      </c>
      <c r="AC115" s="930" t="s">
        <v>4593</v>
      </c>
      <c r="AD115" s="929" t="s">
        <v>4594</v>
      </c>
      <c r="AE115" s="930" t="s">
        <v>4595</v>
      </c>
      <c r="AF115" s="929" t="s">
        <v>4596</v>
      </c>
      <c r="AG115" s="930" t="s">
        <v>4597</v>
      </c>
      <c r="AH115" s="929" t="s">
        <v>4598</v>
      </c>
      <c r="AI115" s="930" t="s">
        <v>4599</v>
      </c>
      <c r="AJ115" s="929" t="s">
        <v>4600</v>
      </c>
      <c r="AK115" s="930" t="s">
        <v>4601</v>
      </c>
      <c r="AL115" s="929" t="s">
        <v>4602</v>
      </c>
      <c r="AM115" s="930" t="s">
        <v>4603</v>
      </c>
      <c r="AN115" s="929" t="s">
        <v>4604</v>
      </c>
      <c r="AO115" s="930" t="s">
        <v>4605</v>
      </c>
    </row>
    <row r="116" spans="1:85" s="19" customFormat="1" ht="15" customHeight="1" x14ac:dyDescent="0.15">
      <c r="A116" s="5818">
        <v>23090560</v>
      </c>
      <c r="B116" s="949" t="s">
        <v>2501</v>
      </c>
      <c r="C116" s="937" t="s">
        <v>4567</v>
      </c>
      <c r="D116" s="938" t="s">
        <v>4568</v>
      </c>
      <c r="E116" s="939" t="s">
        <v>4569</v>
      </c>
      <c r="F116" s="940" t="s">
        <v>4570</v>
      </c>
      <c r="G116" s="941" t="s">
        <v>4571</v>
      </c>
      <c r="H116" s="940" t="s">
        <v>4572</v>
      </c>
      <c r="I116" s="941" t="s">
        <v>4573</v>
      </c>
      <c r="J116" s="940" t="s">
        <v>4574</v>
      </c>
      <c r="K116" s="941" t="s">
        <v>4575</v>
      </c>
      <c r="L116" s="940" t="s">
        <v>4576</v>
      </c>
      <c r="M116" s="941" t="s">
        <v>4577</v>
      </c>
      <c r="N116" s="940" t="s">
        <v>4578</v>
      </c>
      <c r="O116" s="941" t="s">
        <v>4579</v>
      </c>
      <c r="P116" s="940" t="s">
        <v>4580</v>
      </c>
      <c r="Q116" s="941" t="s">
        <v>4581</v>
      </c>
      <c r="R116" s="940" t="s">
        <v>4582</v>
      </c>
      <c r="S116" s="941" t="s">
        <v>4583</v>
      </c>
      <c r="T116" s="940" t="s">
        <v>4584</v>
      </c>
      <c r="U116" s="941" t="s">
        <v>4585</v>
      </c>
      <c r="V116" s="940" t="s">
        <v>4586</v>
      </c>
      <c r="W116" s="941" t="s">
        <v>4587</v>
      </c>
      <c r="X116" s="940" t="s">
        <v>4588</v>
      </c>
      <c r="Y116" s="941" t="s">
        <v>4589</v>
      </c>
      <c r="Z116" s="940" t="s">
        <v>4590</v>
      </c>
      <c r="AA116" s="941" t="s">
        <v>4591</v>
      </c>
      <c r="AB116" s="940" t="s">
        <v>4592</v>
      </c>
      <c r="AC116" s="941" t="s">
        <v>4593</v>
      </c>
      <c r="AD116" s="940" t="s">
        <v>4594</v>
      </c>
      <c r="AE116" s="941" t="s">
        <v>4595</v>
      </c>
      <c r="AF116" s="940" t="s">
        <v>4596</v>
      </c>
      <c r="AG116" s="941" t="s">
        <v>4597</v>
      </c>
      <c r="AH116" s="940" t="s">
        <v>4598</v>
      </c>
      <c r="AI116" s="941" t="s">
        <v>4599</v>
      </c>
      <c r="AJ116" s="940" t="s">
        <v>4600</v>
      </c>
      <c r="AK116" s="941" t="s">
        <v>4601</v>
      </c>
      <c r="AL116" s="940" t="s">
        <v>4602</v>
      </c>
      <c r="AM116" s="941" t="s">
        <v>4603</v>
      </c>
      <c r="AN116" s="940" t="s">
        <v>4604</v>
      </c>
      <c r="AO116" s="941" t="s">
        <v>4605</v>
      </c>
    </row>
    <row r="117" spans="1:85" s="19" customFormat="1" ht="15" customHeight="1" x14ac:dyDescent="0.15">
      <c r="A117" s="5818">
        <v>23090570</v>
      </c>
      <c r="B117" s="949" t="s">
        <v>2502</v>
      </c>
      <c r="C117" s="937" t="s">
        <v>4567</v>
      </c>
      <c r="D117" s="938" t="s">
        <v>4568</v>
      </c>
      <c r="E117" s="939" t="s">
        <v>4569</v>
      </c>
      <c r="F117" s="212" t="s">
        <v>4570</v>
      </c>
      <c r="G117" s="34" t="s">
        <v>4571</v>
      </c>
      <c r="H117" s="212" t="s">
        <v>4572</v>
      </c>
      <c r="I117" s="34" t="s">
        <v>4573</v>
      </c>
      <c r="J117" s="212" t="s">
        <v>4574</v>
      </c>
      <c r="K117" s="34" t="s">
        <v>4575</v>
      </c>
      <c r="L117" s="212" t="s">
        <v>4576</v>
      </c>
      <c r="M117" s="34" t="s">
        <v>4577</v>
      </c>
      <c r="N117" s="212" t="s">
        <v>4578</v>
      </c>
      <c r="O117" s="34" t="s">
        <v>4579</v>
      </c>
      <c r="P117" s="212" t="s">
        <v>4580</v>
      </c>
      <c r="Q117" s="34" t="s">
        <v>4581</v>
      </c>
      <c r="R117" s="212" t="s">
        <v>4582</v>
      </c>
      <c r="S117" s="34" t="s">
        <v>4583</v>
      </c>
      <c r="T117" s="212" t="s">
        <v>4584</v>
      </c>
      <c r="U117" s="34" t="s">
        <v>4585</v>
      </c>
      <c r="V117" s="212" t="s">
        <v>4586</v>
      </c>
      <c r="W117" s="34" t="s">
        <v>4587</v>
      </c>
      <c r="X117" s="212" t="s">
        <v>4588</v>
      </c>
      <c r="Y117" s="34" t="s">
        <v>4589</v>
      </c>
      <c r="Z117" s="212" t="s">
        <v>4590</v>
      </c>
      <c r="AA117" s="34" t="s">
        <v>4591</v>
      </c>
      <c r="AB117" s="212" t="s">
        <v>4592</v>
      </c>
      <c r="AC117" s="34" t="s">
        <v>4593</v>
      </c>
      <c r="AD117" s="212" t="s">
        <v>4594</v>
      </c>
      <c r="AE117" s="34" t="s">
        <v>4595</v>
      </c>
      <c r="AF117" s="212" t="s">
        <v>4596</v>
      </c>
      <c r="AG117" s="34" t="s">
        <v>4597</v>
      </c>
      <c r="AH117" s="212" t="s">
        <v>4598</v>
      </c>
      <c r="AI117" s="34" t="s">
        <v>4599</v>
      </c>
      <c r="AJ117" s="212" t="s">
        <v>4600</v>
      </c>
      <c r="AK117" s="34" t="s">
        <v>4601</v>
      </c>
      <c r="AL117" s="212" t="s">
        <v>4602</v>
      </c>
      <c r="AM117" s="34" t="s">
        <v>4603</v>
      </c>
      <c r="AN117" s="212" t="s">
        <v>4604</v>
      </c>
      <c r="AO117" s="34" t="s">
        <v>4605</v>
      </c>
    </row>
    <row r="118" spans="1:85" s="19" customFormat="1" ht="15" customHeight="1" x14ac:dyDescent="0.15">
      <c r="A118" s="5818">
        <v>23090580</v>
      </c>
      <c r="B118" s="1144" t="s">
        <v>2499</v>
      </c>
      <c r="C118" s="937" t="s">
        <v>4567</v>
      </c>
      <c r="D118" s="938" t="s">
        <v>4568</v>
      </c>
      <c r="E118" s="939" t="s">
        <v>4569</v>
      </c>
      <c r="F118" s="212" t="s">
        <v>4570</v>
      </c>
      <c r="G118" s="34" t="s">
        <v>4571</v>
      </c>
      <c r="H118" s="212" t="s">
        <v>4572</v>
      </c>
      <c r="I118" s="34" t="s">
        <v>4573</v>
      </c>
      <c r="J118" s="212" t="s">
        <v>4574</v>
      </c>
      <c r="K118" s="34" t="s">
        <v>4575</v>
      </c>
      <c r="L118" s="212" t="s">
        <v>4576</v>
      </c>
      <c r="M118" s="34" t="s">
        <v>4577</v>
      </c>
      <c r="N118" s="212" t="s">
        <v>4578</v>
      </c>
      <c r="O118" s="34" t="s">
        <v>4579</v>
      </c>
      <c r="P118" s="212" t="s">
        <v>4580</v>
      </c>
      <c r="Q118" s="34" t="s">
        <v>4581</v>
      </c>
      <c r="R118" s="212" t="s">
        <v>4582</v>
      </c>
      <c r="S118" s="34" t="s">
        <v>4583</v>
      </c>
      <c r="T118" s="212" t="s">
        <v>4584</v>
      </c>
      <c r="U118" s="34" t="s">
        <v>4585</v>
      </c>
      <c r="V118" s="212" t="s">
        <v>4586</v>
      </c>
      <c r="W118" s="34" t="s">
        <v>4587</v>
      </c>
      <c r="X118" s="212" t="s">
        <v>4588</v>
      </c>
      <c r="Y118" s="34" t="s">
        <v>4589</v>
      </c>
      <c r="Z118" s="212" t="s">
        <v>4590</v>
      </c>
      <c r="AA118" s="34" t="s">
        <v>4591</v>
      </c>
      <c r="AB118" s="212" t="s">
        <v>4592</v>
      </c>
      <c r="AC118" s="34" t="s">
        <v>4593</v>
      </c>
      <c r="AD118" s="212" t="s">
        <v>4594</v>
      </c>
      <c r="AE118" s="34" t="s">
        <v>4595</v>
      </c>
      <c r="AF118" s="212" t="s">
        <v>4596</v>
      </c>
      <c r="AG118" s="34" t="s">
        <v>4597</v>
      </c>
      <c r="AH118" s="212" t="s">
        <v>4598</v>
      </c>
      <c r="AI118" s="34" t="s">
        <v>4599</v>
      </c>
      <c r="AJ118" s="212" t="s">
        <v>4600</v>
      </c>
      <c r="AK118" s="34" t="s">
        <v>4601</v>
      </c>
      <c r="AL118" s="212" t="s">
        <v>4602</v>
      </c>
      <c r="AM118" s="34" t="s">
        <v>4603</v>
      </c>
      <c r="AN118" s="212" t="s">
        <v>4604</v>
      </c>
      <c r="AO118" s="34" t="s">
        <v>4605</v>
      </c>
    </row>
    <row r="119" spans="1:85" s="19" customFormat="1" ht="15" customHeight="1" x14ac:dyDescent="0.15">
      <c r="A119" s="5818">
        <v>23044400</v>
      </c>
      <c r="B119" s="1145" t="s">
        <v>2503</v>
      </c>
      <c r="C119" s="1146" t="s">
        <v>4567</v>
      </c>
      <c r="D119" s="1143" t="s">
        <v>4568</v>
      </c>
      <c r="E119" s="413" t="s">
        <v>4569</v>
      </c>
      <c r="F119" s="964" t="s">
        <v>4570</v>
      </c>
      <c r="G119" s="854" t="s">
        <v>4571</v>
      </c>
      <c r="H119" s="964" t="s">
        <v>4572</v>
      </c>
      <c r="I119" s="854" t="s">
        <v>4573</v>
      </c>
      <c r="J119" s="964" t="s">
        <v>4574</v>
      </c>
      <c r="K119" s="854" t="s">
        <v>4575</v>
      </c>
      <c r="L119" s="964" t="s">
        <v>4576</v>
      </c>
      <c r="M119" s="854" t="s">
        <v>4577</v>
      </c>
      <c r="N119" s="964" t="s">
        <v>4578</v>
      </c>
      <c r="O119" s="854" t="s">
        <v>4579</v>
      </c>
      <c r="P119" s="964" t="s">
        <v>4580</v>
      </c>
      <c r="Q119" s="854" t="s">
        <v>4581</v>
      </c>
      <c r="R119" s="964" t="s">
        <v>4582</v>
      </c>
      <c r="S119" s="854" t="s">
        <v>4583</v>
      </c>
      <c r="T119" s="964" t="s">
        <v>4584</v>
      </c>
      <c r="U119" s="854" t="s">
        <v>4585</v>
      </c>
      <c r="V119" s="964" t="s">
        <v>4586</v>
      </c>
      <c r="W119" s="854" t="s">
        <v>4587</v>
      </c>
      <c r="X119" s="964" t="s">
        <v>4588</v>
      </c>
      <c r="Y119" s="854" t="s">
        <v>4589</v>
      </c>
      <c r="Z119" s="964" t="s">
        <v>4590</v>
      </c>
      <c r="AA119" s="854" t="s">
        <v>4591</v>
      </c>
      <c r="AB119" s="964" t="s">
        <v>4592</v>
      </c>
      <c r="AC119" s="854" t="s">
        <v>4593</v>
      </c>
      <c r="AD119" s="964" t="s">
        <v>4594</v>
      </c>
      <c r="AE119" s="854" t="s">
        <v>4595</v>
      </c>
      <c r="AF119" s="964" t="s">
        <v>4596</v>
      </c>
      <c r="AG119" s="854" t="s">
        <v>4597</v>
      </c>
      <c r="AH119" s="964" t="s">
        <v>4598</v>
      </c>
      <c r="AI119" s="854" t="s">
        <v>4599</v>
      </c>
      <c r="AJ119" s="964" t="s">
        <v>4600</v>
      </c>
      <c r="AK119" s="854" t="s">
        <v>4601</v>
      </c>
      <c r="AL119" s="964" t="s">
        <v>4602</v>
      </c>
      <c r="AM119" s="854" t="s">
        <v>4603</v>
      </c>
      <c r="AN119" s="964" t="s">
        <v>4604</v>
      </c>
      <c r="AO119" s="854" t="s">
        <v>4605</v>
      </c>
    </row>
    <row r="120" spans="1:85" s="25" customFormat="1" ht="18" customHeight="1" x14ac:dyDescent="0.15">
      <c r="B120" s="1" t="s">
        <v>2504</v>
      </c>
    </row>
    <row r="121" spans="1:85" s="19" customFormat="1" ht="15" customHeight="1" x14ac:dyDescent="0.15">
      <c r="B121" s="7329" t="s">
        <v>2445</v>
      </c>
      <c r="C121" s="6491" t="s">
        <v>77</v>
      </c>
      <c r="D121" s="6491"/>
      <c r="E121" s="7290"/>
      <c r="F121" s="7291" t="s">
        <v>101</v>
      </c>
      <c r="G121" s="7298"/>
      <c r="H121" s="7298"/>
      <c r="I121" s="7298"/>
      <c r="J121" s="7298"/>
      <c r="K121" s="7298"/>
      <c r="L121" s="7298"/>
      <c r="M121" s="7298"/>
      <c r="N121" s="7298"/>
      <c r="O121" s="7298"/>
      <c r="P121" s="7298"/>
      <c r="Q121" s="7298"/>
      <c r="R121" s="7298"/>
      <c r="S121" s="7298"/>
      <c r="T121" s="7298"/>
      <c r="U121" s="7298"/>
      <c r="V121" s="7298"/>
      <c r="W121" s="7298"/>
      <c r="X121" s="7298"/>
      <c r="Y121" s="7298"/>
      <c r="Z121" s="7298"/>
      <c r="AA121" s="7298"/>
      <c r="AB121" s="7298"/>
      <c r="AC121" s="7298"/>
      <c r="AD121" s="7298"/>
      <c r="AE121" s="7298"/>
      <c r="AF121" s="7298"/>
      <c r="AG121" s="7298"/>
      <c r="AH121" s="7298"/>
      <c r="AI121" s="7298"/>
      <c r="AJ121" s="7298"/>
      <c r="AK121" s="7298"/>
      <c r="AL121" s="7298"/>
      <c r="AM121" s="7298"/>
      <c r="AN121" s="7298"/>
      <c r="AO121" s="7339"/>
      <c r="AP121" s="7301" t="s">
        <v>473</v>
      </c>
    </row>
    <row r="122" spans="1:85" s="19" customFormat="1" ht="15" customHeight="1" x14ac:dyDescent="0.15">
      <c r="B122" s="6039"/>
      <c r="C122" s="6749"/>
      <c r="D122" s="6749"/>
      <c r="E122" s="6913"/>
      <c r="F122" s="7289" t="s">
        <v>4407</v>
      </c>
      <c r="G122" s="7290"/>
      <c r="H122" s="7291" t="s">
        <v>2446</v>
      </c>
      <c r="I122" s="7244"/>
      <c r="J122" s="7298" t="s">
        <v>2447</v>
      </c>
      <c r="K122" s="7298"/>
      <c r="L122" s="7291" t="s">
        <v>94</v>
      </c>
      <c r="M122" s="7244"/>
      <c r="N122" s="7291" t="s">
        <v>44</v>
      </c>
      <c r="O122" s="7244"/>
      <c r="P122" s="7299" t="s">
        <v>45</v>
      </c>
      <c r="Q122" s="7290"/>
      <c r="R122" s="7299" t="s">
        <v>46</v>
      </c>
      <c r="S122" s="7290"/>
      <c r="T122" s="7299" t="s">
        <v>47</v>
      </c>
      <c r="U122" s="7290"/>
      <c r="V122" s="6491" t="s">
        <v>48</v>
      </c>
      <c r="W122" s="7290"/>
      <c r="X122" s="7299" t="s">
        <v>49</v>
      </c>
      <c r="Y122" s="7290"/>
      <c r="Z122" s="6491" t="s">
        <v>50</v>
      </c>
      <c r="AA122" s="6491"/>
      <c r="AB122" s="7299" t="s">
        <v>51</v>
      </c>
      <c r="AC122" s="7290"/>
      <c r="AD122" s="6491" t="s">
        <v>52</v>
      </c>
      <c r="AE122" s="6491"/>
      <c r="AF122" s="7299" t="s">
        <v>53</v>
      </c>
      <c r="AG122" s="7290"/>
      <c r="AH122" s="6491" t="s">
        <v>54</v>
      </c>
      <c r="AI122" s="6491"/>
      <c r="AJ122" s="7299" t="s">
        <v>55</v>
      </c>
      <c r="AK122" s="7290"/>
      <c r="AL122" s="6491" t="s">
        <v>56</v>
      </c>
      <c r="AM122" s="6491"/>
      <c r="AN122" s="7291" t="s">
        <v>57</v>
      </c>
      <c r="AO122" s="7339"/>
      <c r="AP122" s="7206"/>
    </row>
    <row r="123" spans="1:85" s="19" customFormat="1" ht="15" customHeight="1" x14ac:dyDescent="0.15">
      <c r="B123" s="6733"/>
      <c r="C123" s="981" t="s">
        <v>79</v>
      </c>
      <c r="D123" s="1068" t="s">
        <v>58</v>
      </c>
      <c r="E123" s="983" t="s">
        <v>59</v>
      </c>
      <c r="F123" s="981" t="s">
        <v>58</v>
      </c>
      <c r="G123" s="983" t="s">
        <v>59</v>
      </c>
      <c r="H123" s="981" t="s">
        <v>58</v>
      </c>
      <c r="I123" s="983" t="s">
        <v>59</v>
      </c>
      <c r="J123" s="1068" t="s">
        <v>58</v>
      </c>
      <c r="K123" s="1028" t="s">
        <v>59</v>
      </c>
      <c r="L123" s="981" t="s">
        <v>58</v>
      </c>
      <c r="M123" s="983" t="s">
        <v>59</v>
      </c>
      <c r="N123" s="1068" t="s">
        <v>58</v>
      </c>
      <c r="O123" s="1028" t="s">
        <v>59</v>
      </c>
      <c r="P123" s="981" t="s">
        <v>58</v>
      </c>
      <c r="Q123" s="983" t="s">
        <v>59</v>
      </c>
      <c r="R123" s="981" t="s">
        <v>58</v>
      </c>
      <c r="S123" s="983" t="s">
        <v>59</v>
      </c>
      <c r="T123" s="981" t="s">
        <v>58</v>
      </c>
      <c r="U123" s="983" t="s">
        <v>59</v>
      </c>
      <c r="V123" s="1068" t="s">
        <v>58</v>
      </c>
      <c r="W123" s="983" t="s">
        <v>59</v>
      </c>
      <c r="X123" s="981" t="s">
        <v>58</v>
      </c>
      <c r="Y123" s="983" t="s">
        <v>59</v>
      </c>
      <c r="Z123" s="1068" t="s">
        <v>58</v>
      </c>
      <c r="AA123" s="1028" t="s">
        <v>59</v>
      </c>
      <c r="AB123" s="981" t="s">
        <v>58</v>
      </c>
      <c r="AC123" s="983" t="s">
        <v>59</v>
      </c>
      <c r="AD123" s="1068" t="s">
        <v>58</v>
      </c>
      <c r="AE123" s="1028" t="s">
        <v>59</v>
      </c>
      <c r="AF123" s="981" t="s">
        <v>58</v>
      </c>
      <c r="AG123" s="983" t="s">
        <v>59</v>
      </c>
      <c r="AH123" s="1068" t="s">
        <v>58</v>
      </c>
      <c r="AI123" s="1028" t="s">
        <v>59</v>
      </c>
      <c r="AJ123" s="981" t="s">
        <v>58</v>
      </c>
      <c r="AK123" s="983" t="s">
        <v>59</v>
      </c>
      <c r="AL123" s="1068" t="s">
        <v>58</v>
      </c>
      <c r="AM123" s="1028" t="s">
        <v>59</v>
      </c>
      <c r="AN123" s="981" t="s">
        <v>58</v>
      </c>
      <c r="AO123" s="1028" t="s">
        <v>59</v>
      </c>
      <c r="AP123" s="6937"/>
    </row>
    <row r="124" spans="1:85" s="19" customFormat="1" ht="15" customHeight="1" x14ac:dyDescent="0.15">
      <c r="A124" s="5818" t="s">
        <v>6023</v>
      </c>
      <c r="B124" s="1147" t="s">
        <v>2505</v>
      </c>
      <c r="C124" s="1148" t="s">
        <v>4567</v>
      </c>
      <c r="D124" s="1135" t="s">
        <v>4568</v>
      </c>
      <c r="E124" s="1149" t="s">
        <v>4569</v>
      </c>
      <c r="F124" s="929" t="s">
        <v>4570</v>
      </c>
      <c r="G124" s="930" t="s">
        <v>4571</v>
      </c>
      <c r="H124" s="929" t="s">
        <v>4572</v>
      </c>
      <c r="I124" s="867" t="s">
        <v>4573</v>
      </c>
      <c r="J124" s="931" t="s">
        <v>4574</v>
      </c>
      <c r="K124" s="932" t="s">
        <v>4575</v>
      </c>
      <c r="L124" s="929" t="s">
        <v>4576</v>
      </c>
      <c r="M124" s="867" t="s">
        <v>4577</v>
      </c>
      <c r="N124" s="931" t="s">
        <v>4578</v>
      </c>
      <c r="O124" s="932" t="s">
        <v>4579</v>
      </c>
      <c r="P124" s="929" t="s">
        <v>4580</v>
      </c>
      <c r="Q124" s="867" t="s">
        <v>4581</v>
      </c>
      <c r="R124" s="929" t="s">
        <v>4582</v>
      </c>
      <c r="S124" s="867" t="s">
        <v>4583</v>
      </c>
      <c r="T124" s="929" t="s">
        <v>4584</v>
      </c>
      <c r="U124" s="867" t="s">
        <v>4585</v>
      </c>
      <c r="V124" s="931" t="s">
        <v>4586</v>
      </c>
      <c r="W124" s="932" t="s">
        <v>4587</v>
      </c>
      <c r="X124" s="929" t="s">
        <v>4588</v>
      </c>
      <c r="Y124" s="867" t="s">
        <v>4589</v>
      </c>
      <c r="Z124" s="931" t="s">
        <v>4590</v>
      </c>
      <c r="AA124" s="932" t="s">
        <v>4591</v>
      </c>
      <c r="AB124" s="929" t="s">
        <v>4592</v>
      </c>
      <c r="AC124" s="867" t="s">
        <v>4593</v>
      </c>
      <c r="AD124" s="931" t="s">
        <v>4594</v>
      </c>
      <c r="AE124" s="932" t="s">
        <v>4595</v>
      </c>
      <c r="AF124" s="929" t="s">
        <v>4596</v>
      </c>
      <c r="AG124" s="867" t="s">
        <v>4597</v>
      </c>
      <c r="AH124" s="931" t="s">
        <v>4598</v>
      </c>
      <c r="AI124" s="932" t="s">
        <v>4599</v>
      </c>
      <c r="AJ124" s="998" t="s">
        <v>4600</v>
      </c>
      <c r="AK124" s="867" t="s">
        <v>4601</v>
      </c>
      <c r="AL124" s="931" t="s">
        <v>4602</v>
      </c>
      <c r="AM124" s="932" t="s">
        <v>4603</v>
      </c>
      <c r="AN124" s="998" t="s">
        <v>4604</v>
      </c>
      <c r="AO124" s="932" t="s">
        <v>4605</v>
      </c>
      <c r="AP124" s="1150" t="s">
        <v>4606</v>
      </c>
      <c r="AQ124" s="19" t="str">
        <f>CB124</f>
        <v xml:space="preserve"> * La variable Por campaña de Invierno no puede ser mayor que el Total Ambos Sexos.</v>
      </c>
      <c r="CB124" s="135" t="str">
        <f>IF(AND(AP124="",C124&gt;0)," * No olvide digitar la variable Por campaña de Invierno. Digite CERO si no tiene.",IF(AP124&gt;C124," * La variable Por campaña de Invierno no puede ser mayor que el Total Ambos Sexos.",""))</f>
        <v xml:space="preserve"> * La variable Por campaña de Invierno no puede ser mayor que el Total Ambos Sexos.</v>
      </c>
      <c r="CG124" s="84">
        <f t="shared" ref="CG124:CG129" si="38">IF(AND(AP124="",C124&gt;0),1,IF(AP124&gt;C124,1,0))</f>
        <v>1</v>
      </c>
    </row>
    <row r="125" spans="1:85" s="19" customFormat="1" ht="15" customHeight="1" x14ac:dyDescent="0.15">
      <c r="A125" s="5818">
        <v>23044500</v>
      </c>
      <c r="B125" s="1151" t="s">
        <v>2506</v>
      </c>
      <c r="C125" s="1152" t="s">
        <v>4567</v>
      </c>
      <c r="D125" s="1153" t="s">
        <v>4568</v>
      </c>
      <c r="E125" s="1149" t="s">
        <v>4569</v>
      </c>
      <c r="F125" s="940" t="s">
        <v>4570</v>
      </c>
      <c r="G125" s="941" t="s">
        <v>4571</v>
      </c>
      <c r="H125" s="940" t="s">
        <v>4572</v>
      </c>
      <c r="I125" s="942" t="s">
        <v>4573</v>
      </c>
      <c r="J125" s="956" t="s">
        <v>4574</v>
      </c>
      <c r="K125" s="957" t="s">
        <v>4575</v>
      </c>
      <c r="L125" s="954" t="s">
        <v>4576</v>
      </c>
      <c r="M125" s="955" t="s">
        <v>4577</v>
      </c>
      <c r="N125" s="956" t="s">
        <v>4578</v>
      </c>
      <c r="O125" s="957" t="s">
        <v>4579</v>
      </c>
      <c r="P125" s="954" t="s">
        <v>4580</v>
      </c>
      <c r="Q125" s="955" t="s">
        <v>4581</v>
      </c>
      <c r="R125" s="954" t="s">
        <v>4582</v>
      </c>
      <c r="S125" s="955" t="s">
        <v>4583</v>
      </c>
      <c r="T125" s="954" t="s">
        <v>4584</v>
      </c>
      <c r="U125" s="955" t="s">
        <v>4585</v>
      </c>
      <c r="V125" s="956" t="s">
        <v>4586</v>
      </c>
      <c r="W125" s="957" t="s">
        <v>4587</v>
      </c>
      <c r="X125" s="954" t="s">
        <v>4588</v>
      </c>
      <c r="Y125" s="955" t="s">
        <v>4589</v>
      </c>
      <c r="Z125" s="956" t="s">
        <v>4590</v>
      </c>
      <c r="AA125" s="957" t="s">
        <v>4591</v>
      </c>
      <c r="AB125" s="954" t="s">
        <v>4592</v>
      </c>
      <c r="AC125" s="955" t="s">
        <v>4593</v>
      </c>
      <c r="AD125" s="956" t="s">
        <v>4594</v>
      </c>
      <c r="AE125" s="957" t="s">
        <v>4595</v>
      </c>
      <c r="AF125" s="954" t="s">
        <v>4596</v>
      </c>
      <c r="AG125" s="955" t="s">
        <v>4597</v>
      </c>
      <c r="AH125" s="956" t="s">
        <v>4598</v>
      </c>
      <c r="AI125" s="957" t="s">
        <v>4599</v>
      </c>
      <c r="AJ125" s="1154" t="s">
        <v>4600</v>
      </c>
      <c r="AK125" s="955" t="s">
        <v>4601</v>
      </c>
      <c r="AL125" s="956" t="s">
        <v>4602</v>
      </c>
      <c r="AM125" s="957" t="s">
        <v>4603</v>
      </c>
      <c r="AN125" s="1154" t="s">
        <v>4604</v>
      </c>
      <c r="AO125" s="957" t="s">
        <v>4605</v>
      </c>
      <c r="AP125" s="1155" t="s">
        <v>4606</v>
      </c>
      <c r="AQ125" s="19" t="str">
        <f t="shared" ref="AQ125:AQ129" si="39">CB125</f>
        <v xml:space="preserve"> * La variable Por campaña de Invierno no puede ser mayor que el Total Ambos Sexos.</v>
      </c>
      <c r="CB125" s="135" t="str">
        <f t="shared" ref="CB125:CB129" si="40">IF(AND(AP125="",C125&gt;0)," * No olvide digitar la variable Por campaña de Invierno. Digite CERO si no tiene.",IF(AP125&gt;C125," * La variable Por campaña de Invierno no puede ser mayor que el Total Ambos Sexos.",""))</f>
        <v xml:space="preserve"> * La variable Por campaña de Invierno no puede ser mayor que el Total Ambos Sexos.</v>
      </c>
      <c r="CG125" s="84">
        <f t="shared" si="38"/>
        <v>1</v>
      </c>
    </row>
    <row r="126" spans="1:85" s="19" customFormat="1" ht="15" customHeight="1" x14ac:dyDescent="0.15">
      <c r="A126" s="5818">
        <v>23044600</v>
      </c>
      <c r="B126" s="1151" t="s">
        <v>2507</v>
      </c>
      <c r="C126" s="1152" t="s">
        <v>4567</v>
      </c>
      <c r="D126" s="1153" t="s">
        <v>4568</v>
      </c>
      <c r="E126" s="1149" t="s">
        <v>4569</v>
      </c>
      <c r="F126" s="999" t="s">
        <v>4570</v>
      </c>
      <c r="G126" s="1000" t="s">
        <v>4571</v>
      </c>
      <c r="H126" s="940" t="s">
        <v>4572</v>
      </c>
      <c r="I126" s="942" t="s">
        <v>4573</v>
      </c>
      <c r="J126" s="943" t="s">
        <v>4574</v>
      </c>
      <c r="K126" s="944" t="s">
        <v>4575</v>
      </c>
      <c r="L126" s="940" t="s">
        <v>4576</v>
      </c>
      <c r="M126" s="942" t="s">
        <v>4577</v>
      </c>
      <c r="N126" s="943" t="s">
        <v>4578</v>
      </c>
      <c r="O126" s="944" t="s">
        <v>4579</v>
      </c>
      <c r="P126" s="940" t="s">
        <v>4580</v>
      </c>
      <c r="Q126" s="942" t="s">
        <v>4581</v>
      </c>
      <c r="R126" s="940" t="s">
        <v>4582</v>
      </c>
      <c r="S126" s="942" t="s">
        <v>4583</v>
      </c>
      <c r="T126" s="940" t="s">
        <v>4584</v>
      </c>
      <c r="U126" s="942" t="s">
        <v>4585</v>
      </c>
      <c r="V126" s="943" t="s">
        <v>4586</v>
      </c>
      <c r="W126" s="944" t="s">
        <v>4587</v>
      </c>
      <c r="X126" s="940" t="s">
        <v>4588</v>
      </c>
      <c r="Y126" s="942" t="s">
        <v>4589</v>
      </c>
      <c r="Z126" s="943" t="s">
        <v>4590</v>
      </c>
      <c r="AA126" s="944" t="s">
        <v>4591</v>
      </c>
      <c r="AB126" s="940" t="s">
        <v>4592</v>
      </c>
      <c r="AC126" s="942" t="s">
        <v>4593</v>
      </c>
      <c r="AD126" s="943" t="s">
        <v>4594</v>
      </c>
      <c r="AE126" s="944" t="s">
        <v>4595</v>
      </c>
      <c r="AF126" s="940" t="s">
        <v>4596</v>
      </c>
      <c r="AG126" s="942" t="s">
        <v>4597</v>
      </c>
      <c r="AH126" s="943" t="s">
        <v>4598</v>
      </c>
      <c r="AI126" s="944" t="s">
        <v>4599</v>
      </c>
      <c r="AJ126" s="1017" t="s">
        <v>4600</v>
      </c>
      <c r="AK126" s="942" t="s">
        <v>4601</v>
      </c>
      <c r="AL126" s="943" t="s">
        <v>4602</v>
      </c>
      <c r="AM126" s="944" t="s">
        <v>4603</v>
      </c>
      <c r="AN126" s="1017" t="s">
        <v>4604</v>
      </c>
      <c r="AO126" s="944" t="s">
        <v>4605</v>
      </c>
      <c r="AP126" s="1155" t="s">
        <v>4606</v>
      </c>
      <c r="AQ126" s="19" t="str">
        <f t="shared" si="39"/>
        <v xml:space="preserve"> * La variable Por campaña de Invierno no puede ser mayor que el Total Ambos Sexos.</v>
      </c>
      <c r="CB126" s="135" t="str">
        <f t="shared" si="40"/>
        <v xml:space="preserve"> * La variable Por campaña de Invierno no puede ser mayor que el Total Ambos Sexos.</v>
      </c>
      <c r="CG126" s="84">
        <f t="shared" si="38"/>
        <v>1</v>
      </c>
    </row>
    <row r="127" spans="1:85" s="19" customFormat="1" ht="15" customHeight="1" x14ac:dyDescent="0.15">
      <c r="A127" s="5818">
        <v>23044700</v>
      </c>
      <c r="B127" s="1151" t="s">
        <v>2508</v>
      </c>
      <c r="C127" s="1152" t="s">
        <v>4567</v>
      </c>
      <c r="D127" s="1153" t="s">
        <v>4568</v>
      </c>
      <c r="E127" s="1149" t="s">
        <v>4569</v>
      </c>
      <c r="F127" s="940" t="s">
        <v>4570</v>
      </c>
      <c r="G127" s="941" t="s">
        <v>4571</v>
      </c>
      <c r="H127" s="940" t="s">
        <v>4572</v>
      </c>
      <c r="I127" s="942" t="s">
        <v>4573</v>
      </c>
      <c r="J127" s="943" t="s">
        <v>4574</v>
      </c>
      <c r="K127" s="944" t="s">
        <v>4575</v>
      </c>
      <c r="L127" s="940" t="s">
        <v>4576</v>
      </c>
      <c r="M127" s="942" t="s">
        <v>4577</v>
      </c>
      <c r="N127" s="943" t="s">
        <v>4578</v>
      </c>
      <c r="O127" s="944" t="s">
        <v>4579</v>
      </c>
      <c r="P127" s="940" t="s">
        <v>4580</v>
      </c>
      <c r="Q127" s="942" t="s">
        <v>4581</v>
      </c>
      <c r="R127" s="940" t="s">
        <v>4582</v>
      </c>
      <c r="S127" s="942" t="s">
        <v>4583</v>
      </c>
      <c r="T127" s="940" t="s">
        <v>4584</v>
      </c>
      <c r="U127" s="942" t="s">
        <v>4585</v>
      </c>
      <c r="V127" s="943" t="s">
        <v>4586</v>
      </c>
      <c r="W127" s="944" t="s">
        <v>4587</v>
      </c>
      <c r="X127" s="940" t="s">
        <v>4588</v>
      </c>
      <c r="Y127" s="942" t="s">
        <v>4589</v>
      </c>
      <c r="Z127" s="943" t="s">
        <v>4590</v>
      </c>
      <c r="AA127" s="944" t="s">
        <v>4591</v>
      </c>
      <c r="AB127" s="940" t="s">
        <v>4592</v>
      </c>
      <c r="AC127" s="942" t="s">
        <v>4593</v>
      </c>
      <c r="AD127" s="943" t="s">
        <v>4594</v>
      </c>
      <c r="AE127" s="944" t="s">
        <v>4595</v>
      </c>
      <c r="AF127" s="940" t="s">
        <v>4596</v>
      </c>
      <c r="AG127" s="942" t="s">
        <v>4597</v>
      </c>
      <c r="AH127" s="943" t="s">
        <v>4598</v>
      </c>
      <c r="AI127" s="944" t="s">
        <v>4599</v>
      </c>
      <c r="AJ127" s="1017" t="s">
        <v>4600</v>
      </c>
      <c r="AK127" s="942" t="s">
        <v>4601</v>
      </c>
      <c r="AL127" s="943" t="s">
        <v>4602</v>
      </c>
      <c r="AM127" s="944" t="s">
        <v>4603</v>
      </c>
      <c r="AN127" s="1017" t="s">
        <v>4604</v>
      </c>
      <c r="AO127" s="944" t="s">
        <v>4605</v>
      </c>
      <c r="AP127" s="1155" t="s">
        <v>4606</v>
      </c>
      <c r="AQ127" s="19" t="str">
        <f t="shared" si="39"/>
        <v xml:space="preserve"> * La variable Por campaña de Invierno no puede ser mayor que el Total Ambos Sexos.</v>
      </c>
      <c r="CB127" s="135" t="str">
        <f t="shared" si="40"/>
        <v xml:space="preserve"> * La variable Por campaña de Invierno no puede ser mayor que el Total Ambos Sexos.</v>
      </c>
      <c r="CG127" s="84">
        <f t="shared" si="38"/>
        <v>1</v>
      </c>
    </row>
    <row r="128" spans="1:85" s="19" customFormat="1" ht="15" customHeight="1" x14ac:dyDescent="0.15">
      <c r="A128" s="5818">
        <v>23044800</v>
      </c>
      <c r="B128" s="1151" t="s">
        <v>2509</v>
      </c>
      <c r="C128" s="1152" t="s">
        <v>4567</v>
      </c>
      <c r="D128" s="1153" t="s">
        <v>4568</v>
      </c>
      <c r="E128" s="1149" t="s">
        <v>4569</v>
      </c>
      <c r="F128" s="954" t="s">
        <v>4570</v>
      </c>
      <c r="G128" s="960" t="s">
        <v>4571</v>
      </c>
      <c r="H128" s="954" t="s">
        <v>4572</v>
      </c>
      <c r="I128" s="955" t="s">
        <v>4573</v>
      </c>
      <c r="J128" s="956" t="s">
        <v>4574</v>
      </c>
      <c r="K128" s="957" t="s">
        <v>4575</v>
      </c>
      <c r="L128" s="954" t="s">
        <v>4576</v>
      </c>
      <c r="M128" s="955" t="s">
        <v>4577</v>
      </c>
      <c r="N128" s="956" t="s">
        <v>4578</v>
      </c>
      <c r="O128" s="957" t="s">
        <v>4579</v>
      </c>
      <c r="P128" s="954" t="s">
        <v>4580</v>
      </c>
      <c r="Q128" s="955" t="s">
        <v>4581</v>
      </c>
      <c r="R128" s="954" t="s">
        <v>4582</v>
      </c>
      <c r="S128" s="955" t="s">
        <v>4583</v>
      </c>
      <c r="T128" s="954" t="s">
        <v>4584</v>
      </c>
      <c r="U128" s="955" t="s">
        <v>4585</v>
      </c>
      <c r="V128" s="956" t="s">
        <v>4586</v>
      </c>
      <c r="W128" s="957" t="s">
        <v>4587</v>
      </c>
      <c r="X128" s="940" t="s">
        <v>4588</v>
      </c>
      <c r="Y128" s="942" t="s">
        <v>4589</v>
      </c>
      <c r="Z128" s="943" t="s">
        <v>4590</v>
      </c>
      <c r="AA128" s="944" t="s">
        <v>4591</v>
      </c>
      <c r="AB128" s="940" t="s">
        <v>4592</v>
      </c>
      <c r="AC128" s="942" t="s">
        <v>4593</v>
      </c>
      <c r="AD128" s="943" t="s">
        <v>4594</v>
      </c>
      <c r="AE128" s="944" t="s">
        <v>4595</v>
      </c>
      <c r="AF128" s="940" t="s">
        <v>4596</v>
      </c>
      <c r="AG128" s="942" t="s">
        <v>4597</v>
      </c>
      <c r="AH128" s="943" t="s">
        <v>4598</v>
      </c>
      <c r="AI128" s="944" t="s">
        <v>4599</v>
      </c>
      <c r="AJ128" s="1017" t="s">
        <v>4600</v>
      </c>
      <c r="AK128" s="942" t="s">
        <v>4601</v>
      </c>
      <c r="AL128" s="943" t="s">
        <v>4602</v>
      </c>
      <c r="AM128" s="944" t="s">
        <v>4603</v>
      </c>
      <c r="AN128" s="1017" t="s">
        <v>4604</v>
      </c>
      <c r="AO128" s="944" t="s">
        <v>4605</v>
      </c>
      <c r="AP128" s="1155" t="s">
        <v>4606</v>
      </c>
      <c r="AQ128" s="19" t="str">
        <f t="shared" si="39"/>
        <v xml:space="preserve"> * La variable Por campaña de Invierno no puede ser mayor que el Total Ambos Sexos.</v>
      </c>
      <c r="CB128" s="135" t="str">
        <f t="shared" si="40"/>
        <v xml:space="preserve"> * La variable Por campaña de Invierno no puede ser mayor que el Total Ambos Sexos.</v>
      </c>
      <c r="CG128" s="84">
        <f t="shared" si="38"/>
        <v>1</v>
      </c>
    </row>
    <row r="129" spans="1:85" s="19" customFormat="1" ht="15" customHeight="1" x14ac:dyDescent="0.15">
      <c r="A129" s="5818">
        <v>23044900</v>
      </c>
      <c r="B129" s="1156" t="s">
        <v>2510</v>
      </c>
      <c r="C129" s="1152" t="s">
        <v>4567</v>
      </c>
      <c r="D129" s="1153" t="s">
        <v>4568</v>
      </c>
      <c r="E129" s="1149" t="s">
        <v>4569</v>
      </c>
      <c r="F129" s="964" t="s">
        <v>4570</v>
      </c>
      <c r="G129" s="854" t="s">
        <v>4571</v>
      </c>
      <c r="H129" s="964" t="s">
        <v>4572</v>
      </c>
      <c r="I129" s="965" t="s">
        <v>4573</v>
      </c>
      <c r="J129" s="966" t="s">
        <v>4574</v>
      </c>
      <c r="K129" s="967" t="s">
        <v>4575</v>
      </c>
      <c r="L129" s="964" t="s">
        <v>4576</v>
      </c>
      <c r="M129" s="965" t="s">
        <v>4577</v>
      </c>
      <c r="N129" s="966" t="s">
        <v>4578</v>
      </c>
      <c r="O129" s="967" t="s">
        <v>4579</v>
      </c>
      <c r="P129" s="964" t="s">
        <v>4580</v>
      </c>
      <c r="Q129" s="965" t="s">
        <v>4581</v>
      </c>
      <c r="R129" s="964" t="s">
        <v>4582</v>
      </c>
      <c r="S129" s="965" t="s">
        <v>4583</v>
      </c>
      <c r="T129" s="964" t="s">
        <v>4584</v>
      </c>
      <c r="U129" s="965" t="s">
        <v>4585</v>
      </c>
      <c r="V129" s="966" t="s">
        <v>4586</v>
      </c>
      <c r="W129" s="967" t="s">
        <v>4587</v>
      </c>
      <c r="X129" s="964" t="s">
        <v>4588</v>
      </c>
      <c r="Y129" s="965" t="s">
        <v>4589</v>
      </c>
      <c r="Z129" s="966" t="s">
        <v>4590</v>
      </c>
      <c r="AA129" s="967" t="s">
        <v>4591</v>
      </c>
      <c r="AB129" s="964" t="s">
        <v>4592</v>
      </c>
      <c r="AC129" s="965" t="s">
        <v>4593</v>
      </c>
      <c r="AD129" s="966" t="s">
        <v>4594</v>
      </c>
      <c r="AE129" s="967" t="s">
        <v>4595</v>
      </c>
      <c r="AF129" s="964" t="s">
        <v>4596</v>
      </c>
      <c r="AG129" s="965" t="s">
        <v>4597</v>
      </c>
      <c r="AH129" s="966" t="s">
        <v>4598</v>
      </c>
      <c r="AI129" s="967" t="s">
        <v>4599</v>
      </c>
      <c r="AJ129" s="1004" t="s">
        <v>4600</v>
      </c>
      <c r="AK129" s="965" t="s">
        <v>4601</v>
      </c>
      <c r="AL129" s="966" t="s">
        <v>4602</v>
      </c>
      <c r="AM129" s="967" t="s">
        <v>4603</v>
      </c>
      <c r="AN129" s="1004" t="s">
        <v>4604</v>
      </c>
      <c r="AO129" s="967" t="s">
        <v>4605</v>
      </c>
      <c r="AP129" s="1157" t="s">
        <v>4606</v>
      </c>
      <c r="AQ129" s="19" t="str">
        <f t="shared" si="39"/>
        <v xml:space="preserve"> * La variable Por campaña de Invierno no puede ser mayor que el Total Ambos Sexos.</v>
      </c>
      <c r="CB129" s="135" t="str">
        <f t="shared" si="40"/>
        <v xml:space="preserve"> * La variable Por campaña de Invierno no puede ser mayor que el Total Ambos Sexos.</v>
      </c>
      <c r="CG129" s="84">
        <f t="shared" si="38"/>
        <v>1</v>
      </c>
    </row>
    <row r="130" spans="1:85" s="19" customFormat="1" ht="15" customHeight="1" x14ac:dyDescent="0.2">
      <c r="A130" s="5863"/>
      <c r="B130" s="1026" t="s">
        <v>77</v>
      </c>
      <c r="C130" s="973">
        <f t="shared" ref="C130:AO130" si="41">SUM(C124:C129)</f>
        <v>0</v>
      </c>
      <c r="D130" s="976">
        <f t="shared" si="41"/>
        <v>0</v>
      </c>
      <c r="E130" s="974">
        <f t="shared" si="41"/>
        <v>0</v>
      </c>
      <c r="F130" s="973">
        <f>SUM(F124:F129)</f>
        <v>0</v>
      </c>
      <c r="G130" s="974">
        <f t="shared" si="41"/>
        <v>0</v>
      </c>
      <c r="H130" s="973">
        <f>SUM(H124:H129)</f>
        <v>0</v>
      </c>
      <c r="I130" s="974">
        <f t="shared" si="41"/>
        <v>0</v>
      </c>
      <c r="J130" s="976">
        <f t="shared" si="41"/>
        <v>0</v>
      </c>
      <c r="K130" s="977">
        <f t="shared" si="41"/>
        <v>0</v>
      </c>
      <c r="L130" s="973">
        <f t="shared" si="41"/>
        <v>0</v>
      </c>
      <c r="M130" s="975">
        <f t="shared" si="41"/>
        <v>0</v>
      </c>
      <c r="N130" s="976">
        <f t="shared" si="41"/>
        <v>0</v>
      </c>
      <c r="O130" s="975">
        <f t="shared" si="41"/>
        <v>0</v>
      </c>
      <c r="P130" s="976">
        <f t="shared" si="41"/>
        <v>0</v>
      </c>
      <c r="Q130" s="975">
        <f t="shared" si="41"/>
        <v>0</v>
      </c>
      <c r="R130" s="973">
        <f t="shared" si="41"/>
        <v>0</v>
      </c>
      <c r="S130" s="975">
        <f t="shared" si="41"/>
        <v>0</v>
      </c>
      <c r="T130" s="973">
        <f t="shared" ref="T130:U130" si="42">SUM(T124:T129)</f>
        <v>0</v>
      </c>
      <c r="U130" s="975">
        <f t="shared" si="42"/>
        <v>0</v>
      </c>
      <c r="V130" s="976">
        <f t="shared" ref="V130:W130" si="43">SUM(V124:V129)</f>
        <v>0</v>
      </c>
      <c r="W130" s="977">
        <f t="shared" si="43"/>
        <v>0</v>
      </c>
      <c r="X130" s="973">
        <f t="shared" si="41"/>
        <v>0</v>
      </c>
      <c r="Y130" s="975">
        <f t="shared" si="41"/>
        <v>0</v>
      </c>
      <c r="Z130" s="976">
        <f t="shared" si="41"/>
        <v>0</v>
      </c>
      <c r="AA130" s="977">
        <f t="shared" si="41"/>
        <v>0</v>
      </c>
      <c r="AB130" s="973">
        <f t="shared" si="41"/>
        <v>0</v>
      </c>
      <c r="AC130" s="975">
        <f t="shared" si="41"/>
        <v>0</v>
      </c>
      <c r="AD130" s="976">
        <f t="shared" si="41"/>
        <v>0</v>
      </c>
      <c r="AE130" s="977">
        <f t="shared" si="41"/>
        <v>0</v>
      </c>
      <c r="AF130" s="973">
        <f t="shared" si="41"/>
        <v>0</v>
      </c>
      <c r="AG130" s="975">
        <f t="shared" si="41"/>
        <v>0</v>
      </c>
      <c r="AH130" s="976">
        <f t="shared" si="41"/>
        <v>0</v>
      </c>
      <c r="AI130" s="977">
        <f t="shared" si="41"/>
        <v>0</v>
      </c>
      <c r="AJ130" s="973">
        <f t="shared" si="41"/>
        <v>0</v>
      </c>
      <c r="AK130" s="975">
        <f t="shared" si="41"/>
        <v>0</v>
      </c>
      <c r="AL130" s="976">
        <f t="shared" si="41"/>
        <v>0</v>
      </c>
      <c r="AM130" s="977">
        <f t="shared" si="41"/>
        <v>0</v>
      </c>
      <c r="AN130" s="1022">
        <f t="shared" si="41"/>
        <v>0</v>
      </c>
      <c r="AO130" s="977">
        <f t="shared" si="41"/>
        <v>0</v>
      </c>
      <c r="AP130" s="1158">
        <f>SUM(AP124:AP129)</f>
        <v>0</v>
      </c>
    </row>
    <row r="131" spans="1:85" s="25" customFormat="1" ht="18" customHeight="1" x14ac:dyDescent="0.25">
      <c r="A131"/>
      <c r="B131" s="13" t="s">
        <v>2511</v>
      </c>
      <c r="C131" s="13"/>
      <c r="D131" s="13"/>
      <c r="E131" s="13"/>
      <c r="F131" s="86"/>
    </row>
    <row r="132" spans="1:85" s="25" customFormat="1" ht="18" customHeight="1" x14ac:dyDescent="0.25">
      <c r="A132"/>
      <c r="B132" s="7333" t="s">
        <v>2512</v>
      </c>
      <c r="C132" s="7333"/>
      <c r="D132" s="7333"/>
      <c r="E132" s="7333"/>
      <c r="F132" s="7333"/>
    </row>
    <row r="133" spans="1:85" s="19" customFormat="1" ht="15" customHeight="1" x14ac:dyDescent="0.15">
      <c r="A133" s="5862"/>
      <c r="B133" s="7290" t="s">
        <v>2496</v>
      </c>
      <c r="C133" s="6761" t="s">
        <v>77</v>
      </c>
      <c r="D133" s="6761"/>
      <c r="E133" s="7319"/>
      <c r="F133" s="7291" t="s">
        <v>101</v>
      </c>
      <c r="G133" s="7298"/>
      <c r="H133" s="7298"/>
      <c r="I133" s="7298"/>
      <c r="J133" s="7298"/>
      <c r="K133" s="7298"/>
      <c r="L133" s="7298"/>
      <c r="M133" s="7298"/>
      <c r="N133" s="7298"/>
      <c r="O133" s="7298"/>
      <c r="P133" s="7298"/>
      <c r="Q133" s="7298"/>
      <c r="R133" s="7298"/>
      <c r="S133" s="7298"/>
      <c r="T133" s="7298"/>
      <c r="U133" s="7298"/>
      <c r="V133" s="7298"/>
      <c r="W133" s="7298"/>
      <c r="X133" s="7298"/>
      <c r="Y133" s="7298"/>
      <c r="Z133" s="7298"/>
      <c r="AA133" s="7298"/>
      <c r="AB133" s="7298"/>
      <c r="AC133" s="7298"/>
      <c r="AD133" s="7298"/>
      <c r="AE133" s="7298"/>
      <c r="AF133" s="7298"/>
      <c r="AG133" s="7298"/>
      <c r="AH133" s="7298"/>
      <c r="AI133" s="7298"/>
      <c r="AJ133" s="7298"/>
      <c r="AK133" s="7298"/>
      <c r="AL133" s="7298"/>
      <c r="AM133" s="7298"/>
      <c r="AN133" s="7298"/>
      <c r="AO133" s="7244"/>
    </row>
    <row r="134" spans="1:85" s="19" customFormat="1" ht="15" customHeight="1" x14ac:dyDescent="0.15">
      <c r="A134" s="5862"/>
      <c r="B134" s="6331"/>
      <c r="C134" s="6764"/>
      <c r="D134" s="6764"/>
      <c r="E134" s="7268"/>
      <c r="F134" s="7289" t="s">
        <v>4407</v>
      </c>
      <c r="G134" s="7290"/>
      <c r="H134" s="7291" t="s">
        <v>2446</v>
      </c>
      <c r="I134" s="7244"/>
      <c r="J134" s="7298" t="s">
        <v>2447</v>
      </c>
      <c r="K134" s="7298"/>
      <c r="L134" s="7291" t="s">
        <v>94</v>
      </c>
      <c r="M134" s="7244"/>
      <c r="N134" s="7291" t="s">
        <v>44</v>
      </c>
      <c r="O134" s="7244"/>
      <c r="P134" s="7299" t="s">
        <v>45</v>
      </c>
      <c r="Q134" s="7290"/>
      <c r="R134" s="7299" t="s">
        <v>46</v>
      </c>
      <c r="S134" s="7290"/>
      <c r="T134" s="7299" t="s">
        <v>47</v>
      </c>
      <c r="U134" s="7290"/>
      <c r="V134" s="6491" t="s">
        <v>48</v>
      </c>
      <c r="W134" s="7290"/>
      <c r="X134" s="7299" t="s">
        <v>49</v>
      </c>
      <c r="Y134" s="7290"/>
      <c r="Z134" s="6491" t="s">
        <v>50</v>
      </c>
      <c r="AA134" s="6491"/>
      <c r="AB134" s="7299" t="s">
        <v>51</v>
      </c>
      <c r="AC134" s="7290"/>
      <c r="AD134" s="6491" t="s">
        <v>52</v>
      </c>
      <c r="AE134" s="6491"/>
      <c r="AF134" s="7299" t="s">
        <v>53</v>
      </c>
      <c r="AG134" s="7290"/>
      <c r="AH134" s="6491" t="s">
        <v>54</v>
      </c>
      <c r="AI134" s="6491"/>
      <c r="AJ134" s="7299" t="s">
        <v>55</v>
      </c>
      <c r="AK134" s="7290"/>
      <c r="AL134" s="6491" t="s">
        <v>56</v>
      </c>
      <c r="AM134" s="6491"/>
      <c r="AN134" s="7291" t="s">
        <v>57</v>
      </c>
      <c r="AO134" s="7244"/>
    </row>
    <row r="135" spans="1:85" s="19" customFormat="1" ht="15" customHeight="1" x14ac:dyDescent="0.15">
      <c r="A135" s="5862"/>
      <c r="B135" s="6913"/>
      <c r="C135" s="981" t="s">
        <v>79</v>
      </c>
      <c r="D135" s="1068" t="s">
        <v>58</v>
      </c>
      <c r="E135" s="983" t="s">
        <v>59</v>
      </c>
      <c r="F135" s="981" t="s">
        <v>58</v>
      </c>
      <c r="G135" s="983" t="s">
        <v>59</v>
      </c>
      <c r="H135" s="981" t="s">
        <v>58</v>
      </c>
      <c r="I135" s="983" t="s">
        <v>59</v>
      </c>
      <c r="J135" s="1068" t="s">
        <v>58</v>
      </c>
      <c r="K135" s="1028" t="s">
        <v>59</v>
      </c>
      <c r="L135" s="981" t="s">
        <v>58</v>
      </c>
      <c r="M135" s="983" t="s">
        <v>59</v>
      </c>
      <c r="N135" s="1068" t="s">
        <v>58</v>
      </c>
      <c r="O135" s="1028" t="s">
        <v>59</v>
      </c>
      <c r="P135" s="981" t="s">
        <v>58</v>
      </c>
      <c r="Q135" s="983" t="s">
        <v>59</v>
      </c>
      <c r="R135" s="981" t="s">
        <v>58</v>
      </c>
      <c r="S135" s="983" t="s">
        <v>59</v>
      </c>
      <c r="T135" s="981" t="s">
        <v>58</v>
      </c>
      <c r="U135" s="983" t="s">
        <v>59</v>
      </c>
      <c r="V135" s="1068" t="s">
        <v>58</v>
      </c>
      <c r="W135" s="983" t="s">
        <v>59</v>
      </c>
      <c r="X135" s="981" t="s">
        <v>58</v>
      </c>
      <c r="Y135" s="983" t="s">
        <v>59</v>
      </c>
      <c r="Z135" s="1068" t="s">
        <v>58</v>
      </c>
      <c r="AA135" s="1028" t="s">
        <v>59</v>
      </c>
      <c r="AB135" s="981" t="s">
        <v>58</v>
      </c>
      <c r="AC135" s="983" t="s">
        <v>59</v>
      </c>
      <c r="AD135" s="1068" t="s">
        <v>58</v>
      </c>
      <c r="AE135" s="1028" t="s">
        <v>59</v>
      </c>
      <c r="AF135" s="981" t="s">
        <v>58</v>
      </c>
      <c r="AG135" s="983" t="s">
        <v>59</v>
      </c>
      <c r="AH135" s="1068" t="s">
        <v>58</v>
      </c>
      <c r="AI135" s="1028" t="s">
        <v>59</v>
      </c>
      <c r="AJ135" s="981" t="s">
        <v>58</v>
      </c>
      <c r="AK135" s="983" t="s">
        <v>59</v>
      </c>
      <c r="AL135" s="1068" t="s">
        <v>58</v>
      </c>
      <c r="AM135" s="1028" t="s">
        <v>59</v>
      </c>
      <c r="AN135" s="981" t="s">
        <v>58</v>
      </c>
      <c r="AO135" s="983" t="s">
        <v>59</v>
      </c>
    </row>
    <row r="136" spans="1:85" s="19" customFormat="1" ht="15" customHeight="1" x14ac:dyDescent="0.15">
      <c r="A136" s="5818">
        <v>23090590</v>
      </c>
      <c r="B136" s="1159" t="s">
        <v>2513</v>
      </c>
      <c r="C136" s="1160" t="s">
        <v>4567</v>
      </c>
      <c r="D136" s="1153" t="s">
        <v>4568</v>
      </c>
      <c r="E136" s="1149" t="s">
        <v>4569</v>
      </c>
      <c r="F136" s="47" t="s">
        <v>4570</v>
      </c>
      <c r="G136" s="42" t="s">
        <v>4571</v>
      </c>
      <c r="H136" s="47" t="s">
        <v>4572</v>
      </c>
      <c r="I136" s="42" t="s">
        <v>4573</v>
      </c>
      <c r="J136" s="47" t="s">
        <v>4574</v>
      </c>
      <c r="K136" s="42" t="s">
        <v>4575</v>
      </c>
      <c r="L136" s="47" t="s">
        <v>4576</v>
      </c>
      <c r="M136" s="42" t="s">
        <v>4577</v>
      </c>
      <c r="N136" s="47" t="s">
        <v>4578</v>
      </c>
      <c r="O136" s="42" t="s">
        <v>4579</v>
      </c>
      <c r="P136" s="47" t="s">
        <v>4580</v>
      </c>
      <c r="Q136" s="42" t="s">
        <v>4581</v>
      </c>
      <c r="R136" s="47" t="s">
        <v>4582</v>
      </c>
      <c r="S136" s="42" t="s">
        <v>4583</v>
      </c>
      <c r="T136" s="47" t="s">
        <v>4584</v>
      </c>
      <c r="U136" s="42" t="s">
        <v>4585</v>
      </c>
      <c r="V136" s="47" t="s">
        <v>4586</v>
      </c>
      <c r="W136" s="42" t="s">
        <v>4587</v>
      </c>
      <c r="X136" s="47" t="s">
        <v>4588</v>
      </c>
      <c r="Y136" s="42" t="s">
        <v>4589</v>
      </c>
      <c r="Z136" s="47" t="s">
        <v>4590</v>
      </c>
      <c r="AA136" s="42" t="s">
        <v>4591</v>
      </c>
      <c r="AB136" s="47" t="s">
        <v>4592</v>
      </c>
      <c r="AC136" s="42" t="s">
        <v>4593</v>
      </c>
      <c r="AD136" s="47" t="s">
        <v>4594</v>
      </c>
      <c r="AE136" s="42" t="s">
        <v>4595</v>
      </c>
      <c r="AF136" s="47" t="s">
        <v>4596</v>
      </c>
      <c r="AG136" s="42" t="s">
        <v>4597</v>
      </c>
      <c r="AH136" s="47" t="s">
        <v>4598</v>
      </c>
      <c r="AI136" s="42" t="s">
        <v>4599</v>
      </c>
      <c r="AJ136" s="47" t="s">
        <v>4600</v>
      </c>
      <c r="AK136" s="42" t="s">
        <v>4601</v>
      </c>
      <c r="AL136" s="47" t="s">
        <v>4602</v>
      </c>
      <c r="AM136" s="42" t="s">
        <v>4603</v>
      </c>
      <c r="AN136" s="47" t="s">
        <v>4604</v>
      </c>
      <c r="AO136" s="42" t="s">
        <v>4605</v>
      </c>
    </row>
    <row r="137" spans="1:85" s="19" customFormat="1" ht="15" customHeight="1" x14ac:dyDescent="0.15">
      <c r="A137" s="5818">
        <v>23090600</v>
      </c>
      <c r="B137" s="1161" t="s">
        <v>2514</v>
      </c>
      <c r="C137" s="952" t="s">
        <v>4567</v>
      </c>
      <c r="D137" s="1153" t="s">
        <v>4568</v>
      </c>
      <c r="E137" s="1149" t="s">
        <v>4569</v>
      </c>
      <c r="F137" s="192" t="s">
        <v>4570</v>
      </c>
      <c r="G137" s="2" t="s">
        <v>4571</v>
      </c>
      <c r="H137" s="192" t="s">
        <v>4572</v>
      </c>
      <c r="I137" s="2" t="s">
        <v>4573</v>
      </c>
      <c r="J137" s="192" t="s">
        <v>4574</v>
      </c>
      <c r="K137" s="2" t="s">
        <v>4575</v>
      </c>
      <c r="L137" s="192" t="s">
        <v>4576</v>
      </c>
      <c r="M137" s="2" t="s">
        <v>4577</v>
      </c>
      <c r="N137" s="192" t="s">
        <v>4578</v>
      </c>
      <c r="O137" s="2" t="s">
        <v>4579</v>
      </c>
      <c r="P137" s="192" t="s">
        <v>4580</v>
      </c>
      <c r="Q137" s="2" t="s">
        <v>4581</v>
      </c>
      <c r="R137" s="192" t="s">
        <v>4582</v>
      </c>
      <c r="S137" s="2" t="s">
        <v>4583</v>
      </c>
      <c r="T137" s="192" t="s">
        <v>4584</v>
      </c>
      <c r="U137" s="2" t="s">
        <v>4585</v>
      </c>
      <c r="V137" s="192" t="s">
        <v>4586</v>
      </c>
      <c r="W137" s="2" t="s">
        <v>4587</v>
      </c>
      <c r="X137" s="192" t="s">
        <v>4588</v>
      </c>
      <c r="Y137" s="2" t="s">
        <v>4589</v>
      </c>
      <c r="Z137" s="192" t="s">
        <v>4590</v>
      </c>
      <c r="AA137" s="2" t="s">
        <v>4591</v>
      </c>
      <c r="AB137" s="192" t="s">
        <v>4592</v>
      </c>
      <c r="AC137" s="2" t="s">
        <v>4593</v>
      </c>
      <c r="AD137" s="192" t="s">
        <v>4594</v>
      </c>
      <c r="AE137" s="2" t="s">
        <v>4595</v>
      </c>
      <c r="AF137" s="192" t="s">
        <v>4596</v>
      </c>
      <c r="AG137" s="2" t="s">
        <v>4597</v>
      </c>
      <c r="AH137" s="192" t="s">
        <v>4598</v>
      </c>
      <c r="AI137" s="2" t="s">
        <v>4599</v>
      </c>
      <c r="AJ137" s="192" t="s">
        <v>4600</v>
      </c>
      <c r="AK137" s="2" t="s">
        <v>4601</v>
      </c>
      <c r="AL137" s="192" t="s">
        <v>4602</v>
      </c>
      <c r="AM137" s="2" t="s">
        <v>4603</v>
      </c>
      <c r="AN137" s="192" t="s">
        <v>4604</v>
      </c>
      <c r="AO137" s="2" t="s">
        <v>4605</v>
      </c>
    </row>
    <row r="138" spans="1:85" s="19" customFormat="1" ht="15" customHeight="1" x14ac:dyDescent="0.15">
      <c r="A138" s="5818">
        <v>23090620</v>
      </c>
      <c r="B138" s="1162" t="s">
        <v>2515</v>
      </c>
      <c r="C138" s="952" t="s">
        <v>4567</v>
      </c>
      <c r="D138" s="1153" t="s">
        <v>4568</v>
      </c>
      <c r="E138" s="1149" t="s">
        <v>4569</v>
      </c>
      <c r="F138" s="192" t="s">
        <v>4570</v>
      </c>
      <c r="G138" s="2" t="s">
        <v>4571</v>
      </c>
      <c r="H138" s="192" t="s">
        <v>4572</v>
      </c>
      <c r="I138" s="2" t="s">
        <v>4573</v>
      </c>
      <c r="J138" s="192" t="s">
        <v>4574</v>
      </c>
      <c r="K138" s="2" t="s">
        <v>4575</v>
      </c>
      <c r="L138" s="192" t="s">
        <v>4576</v>
      </c>
      <c r="M138" s="2" t="s">
        <v>4577</v>
      </c>
      <c r="N138" s="192" t="s">
        <v>4578</v>
      </c>
      <c r="O138" s="2" t="s">
        <v>4579</v>
      </c>
      <c r="P138" s="192" t="s">
        <v>4580</v>
      </c>
      <c r="Q138" s="2" t="s">
        <v>4581</v>
      </c>
      <c r="R138" s="192" t="s">
        <v>4582</v>
      </c>
      <c r="S138" s="2" t="s">
        <v>4583</v>
      </c>
      <c r="T138" s="192" t="s">
        <v>4584</v>
      </c>
      <c r="U138" s="2" t="s">
        <v>4585</v>
      </c>
      <c r="V138" s="192" t="s">
        <v>4586</v>
      </c>
      <c r="W138" s="2" t="s">
        <v>4587</v>
      </c>
      <c r="X138" s="192" t="s">
        <v>4588</v>
      </c>
      <c r="Y138" s="2" t="s">
        <v>4589</v>
      </c>
      <c r="Z138" s="192" t="s">
        <v>4590</v>
      </c>
      <c r="AA138" s="2" t="s">
        <v>4591</v>
      </c>
      <c r="AB138" s="192" t="s">
        <v>4592</v>
      </c>
      <c r="AC138" s="2" t="s">
        <v>4593</v>
      </c>
      <c r="AD138" s="192" t="s">
        <v>4594</v>
      </c>
      <c r="AE138" s="2" t="s">
        <v>4595</v>
      </c>
      <c r="AF138" s="192" t="s">
        <v>4596</v>
      </c>
      <c r="AG138" s="2" t="s">
        <v>4597</v>
      </c>
      <c r="AH138" s="192" t="s">
        <v>4598</v>
      </c>
      <c r="AI138" s="2" t="s">
        <v>4599</v>
      </c>
      <c r="AJ138" s="192" t="s">
        <v>4600</v>
      </c>
      <c r="AK138" s="2" t="s">
        <v>4601</v>
      </c>
      <c r="AL138" s="192" t="s">
        <v>4602</v>
      </c>
      <c r="AM138" s="1093" t="s">
        <v>4603</v>
      </c>
      <c r="AN138" s="192" t="s">
        <v>4604</v>
      </c>
      <c r="AO138" s="2" t="s">
        <v>4605</v>
      </c>
    </row>
    <row r="139" spans="1:85" s="19" customFormat="1" ht="15" customHeight="1" x14ac:dyDescent="0.15">
      <c r="A139" s="5818">
        <v>23045000</v>
      </c>
      <c r="B139" s="1161" t="s">
        <v>2516</v>
      </c>
      <c r="C139" s="952" t="s">
        <v>4567</v>
      </c>
      <c r="D139" s="1153" t="s">
        <v>4568</v>
      </c>
      <c r="E139" s="1149" t="s">
        <v>4569</v>
      </c>
      <c r="F139" s="192" t="s">
        <v>4570</v>
      </c>
      <c r="G139" s="2" t="s">
        <v>4571</v>
      </c>
      <c r="H139" s="192" t="s">
        <v>4572</v>
      </c>
      <c r="I139" s="2" t="s">
        <v>4573</v>
      </c>
      <c r="J139" s="192" t="s">
        <v>4574</v>
      </c>
      <c r="K139" s="2" t="s">
        <v>4575</v>
      </c>
      <c r="L139" s="192" t="s">
        <v>4576</v>
      </c>
      <c r="M139" s="2" t="s">
        <v>4577</v>
      </c>
      <c r="N139" s="192" t="s">
        <v>4578</v>
      </c>
      <c r="O139" s="2" t="s">
        <v>4579</v>
      </c>
      <c r="P139" s="192" t="s">
        <v>4580</v>
      </c>
      <c r="Q139" s="2" t="s">
        <v>4581</v>
      </c>
      <c r="R139" s="192" t="s">
        <v>4582</v>
      </c>
      <c r="S139" s="2" t="s">
        <v>4583</v>
      </c>
      <c r="T139" s="192" t="s">
        <v>4584</v>
      </c>
      <c r="U139" s="2" t="s">
        <v>4585</v>
      </c>
      <c r="V139" s="192" t="s">
        <v>4586</v>
      </c>
      <c r="W139" s="2" t="s">
        <v>4587</v>
      </c>
      <c r="X139" s="192" t="s">
        <v>4588</v>
      </c>
      <c r="Y139" s="2" t="s">
        <v>4589</v>
      </c>
      <c r="Z139" s="192" t="s">
        <v>4590</v>
      </c>
      <c r="AA139" s="2" t="s">
        <v>4591</v>
      </c>
      <c r="AB139" s="192" t="s">
        <v>4592</v>
      </c>
      <c r="AC139" s="2" t="s">
        <v>4593</v>
      </c>
      <c r="AD139" s="192" t="s">
        <v>4594</v>
      </c>
      <c r="AE139" s="2" t="s">
        <v>4595</v>
      </c>
      <c r="AF139" s="192" t="s">
        <v>4596</v>
      </c>
      <c r="AG139" s="2" t="s">
        <v>4597</v>
      </c>
      <c r="AH139" s="192" t="s">
        <v>4598</v>
      </c>
      <c r="AI139" s="2" t="s">
        <v>4599</v>
      </c>
      <c r="AJ139" s="192" t="s">
        <v>4600</v>
      </c>
      <c r="AK139" s="2" t="s">
        <v>4601</v>
      </c>
      <c r="AL139" s="192" t="s">
        <v>4602</v>
      </c>
      <c r="AM139" s="2" t="s">
        <v>4603</v>
      </c>
      <c r="AN139" s="192" t="s">
        <v>4604</v>
      </c>
      <c r="AO139" s="2" t="s">
        <v>4605</v>
      </c>
    </row>
    <row r="140" spans="1:85" s="19" customFormat="1" ht="15" customHeight="1" x14ac:dyDescent="0.15">
      <c r="A140" s="5818">
        <v>23045100</v>
      </c>
      <c r="B140" s="1161" t="s">
        <v>2517</v>
      </c>
      <c r="C140" s="952" t="s">
        <v>4567</v>
      </c>
      <c r="D140" s="1153" t="s">
        <v>4568</v>
      </c>
      <c r="E140" s="1149" t="s">
        <v>4569</v>
      </c>
      <c r="F140" s="192" t="s">
        <v>4570</v>
      </c>
      <c r="G140" s="2" t="s">
        <v>4571</v>
      </c>
      <c r="H140" s="192" t="s">
        <v>4572</v>
      </c>
      <c r="I140" s="2" t="s">
        <v>4573</v>
      </c>
      <c r="J140" s="192" t="s">
        <v>4574</v>
      </c>
      <c r="K140" s="2" t="s">
        <v>4575</v>
      </c>
      <c r="L140" s="192" t="s">
        <v>4576</v>
      </c>
      <c r="M140" s="2" t="s">
        <v>4577</v>
      </c>
      <c r="N140" s="192" t="s">
        <v>4578</v>
      </c>
      <c r="O140" s="2" t="s">
        <v>4579</v>
      </c>
      <c r="P140" s="192" t="s">
        <v>4580</v>
      </c>
      <c r="Q140" s="2" t="s">
        <v>4581</v>
      </c>
      <c r="R140" s="192" t="s">
        <v>4582</v>
      </c>
      <c r="S140" s="2" t="s">
        <v>4583</v>
      </c>
      <c r="T140" s="192" t="s">
        <v>4584</v>
      </c>
      <c r="U140" s="2" t="s">
        <v>4585</v>
      </c>
      <c r="V140" s="192" t="s">
        <v>4586</v>
      </c>
      <c r="W140" s="2" t="s">
        <v>4587</v>
      </c>
      <c r="X140" s="192" t="s">
        <v>4588</v>
      </c>
      <c r="Y140" s="2" t="s">
        <v>4589</v>
      </c>
      <c r="Z140" s="192" t="s">
        <v>4590</v>
      </c>
      <c r="AA140" s="2" t="s">
        <v>4591</v>
      </c>
      <c r="AB140" s="192" t="s">
        <v>4592</v>
      </c>
      <c r="AC140" s="2" t="s">
        <v>4593</v>
      </c>
      <c r="AD140" s="192" t="s">
        <v>4594</v>
      </c>
      <c r="AE140" s="2" t="s">
        <v>4595</v>
      </c>
      <c r="AF140" s="192" t="s">
        <v>4596</v>
      </c>
      <c r="AG140" s="2" t="s">
        <v>4597</v>
      </c>
      <c r="AH140" s="192" t="s">
        <v>4598</v>
      </c>
      <c r="AI140" s="2" t="s">
        <v>4599</v>
      </c>
      <c r="AJ140" s="192" t="s">
        <v>4600</v>
      </c>
      <c r="AK140" s="2" t="s">
        <v>4601</v>
      </c>
      <c r="AL140" s="192" t="s">
        <v>4602</v>
      </c>
      <c r="AM140" s="2" t="s">
        <v>4603</v>
      </c>
      <c r="AN140" s="192" t="s">
        <v>4604</v>
      </c>
      <c r="AO140" s="2" t="s">
        <v>4605</v>
      </c>
    </row>
    <row r="141" spans="1:85" s="19" customFormat="1" ht="15" customHeight="1" x14ac:dyDescent="0.15">
      <c r="A141" s="5818">
        <v>23090630</v>
      </c>
      <c r="B141" s="1163" t="s">
        <v>902</v>
      </c>
      <c r="C141" s="952" t="s">
        <v>4567</v>
      </c>
      <c r="D141" s="1153" t="s">
        <v>4568</v>
      </c>
      <c r="E141" s="1149" t="s">
        <v>4569</v>
      </c>
      <c r="F141" s="192" t="s">
        <v>4570</v>
      </c>
      <c r="G141" s="2" t="s">
        <v>4571</v>
      </c>
      <c r="H141" s="192" t="s">
        <v>4572</v>
      </c>
      <c r="I141" s="2" t="s">
        <v>4573</v>
      </c>
      <c r="J141" s="192" t="s">
        <v>4574</v>
      </c>
      <c r="K141" s="2" t="s">
        <v>4575</v>
      </c>
      <c r="L141" s="192" t="s">
        <v>4576</v>
      </c>
      <c r="M141" s="2" t="s">
        <v>4577</v>
      </c>
      <c r="N141" s="192" t="s">
        <v>4578</v>
      </c>
      <c r="O141" s="2" t="s">
        <v>4579</v>
      </c>
      <c r="P141" s="192" t="s">
        <v>4580</v>
      </c>
      <c r="Q141" s="2" t="s">
        <v>4581</v>
      </c>
      <c r="R141" s="192" t="s">
        <v>4582</v>
      </c>
      <c r="S141" s="2" t="s">
        <v>4583</v>
      </c>
      <c r="T141" s="192" t="s">
        <v>4584</v>
      </c>
      <c r="U141" s="2" t="s">
        <v>4585</v>
      </c>
      <c r="V141" s="192" t="s">
        <v>4586</v>
      </c>
      <c r="W141" s="2" t="s">
        <v>4587</v>
      </c>
      <c r="X141" s="192" t="s">
        <v>4588</v>
      </c>
      <c r="Y141" s="2" t="s">
        <v>4589</v>
      </c>
      <c r="Z141" s="192" t="s">
        <v>4590</v>
      </c>
      <c r="AA141" s="2" t="s">
        <v>4591</v>
      </c>
      <c r="AB141" s="192" t="s">
        <v>4592</v>
      </c>
      <c r="AC141" s="2" t="s">
        <v>4593</v>
      </c>
      <c r="AD141" s="192" t="s">
        <v>4594</v>
      </c>
      <c r="AE141" s="2" t="s">
        <v>4595</v>
      </c>
      <c r="AF141" s="192" t="s">
        <v>4596</v>
      </c>
      <c r="AG141" s="2" t="s">
        <v>4597</v>
      </c>
      <c r="AH141" s="192" t="s">
        <v>4598</v>
      </c>
      <c r="AI141" s="2" t="s">
        <v>4599</v>
      </c>
      <c r="AJ141" s="192" t="s">
        <v>4600</v>
      </c>
      <c r="AK141" s="2" t="s">
        <v>4601</v>
      </c>
      <c r="AL141" s="192" t="s">
        <v>4602</v>
      </c>
      <c r="AM141" s="2" t="s">
        <v>4603</v>
      </c>
      <c r="AN141" s="192" t="s">
        <v>4604</v>
      </c>
      <c r="AO141" s="2" t="s">
        <v>4605</v>
      </c>
    </row>
    <row r="142" spans="1:85" s="19" customFormat="1" ht="15" customHeight="1" x14ac:dyDescent="0.2">
      <c r="A142" s="5863"/>
      <c r="B142" s="1099" t="s">
        <v>77</v>
      </c>
      <c r="C142" s="1100">
        <f>SUM(C136:C141)</f>
        <v>0</v>
      </c>
      <c r="D142" s="1102">
        <f>SUM(D136:D141)</f>
        <v>0</v>
      </c>
      <c r="E142" s="1101">
        <f>SUM(E136:E141)</f>
        <v>0</v>
      </c>
      <c r="F142" s="1100">
        <f>SUM(F136:F141)</f>
        <v>0</v>
      </c>
      <c r="G142" s="1104">
        <f t="shared" ref="G142:AO142" si="44">SUM(G136:G141)</f>
        <v>0</v>
      </c>
      <c r="H142" s="1100">
        <f t="shared" si="44"/>
        <v>0</v>
      </c>
      <c r="I142" s="1104">
        <f t="shared" si="44"/>
        <v>0</v>
      </c>
      <c r="J142" s="1100">
        <f t="shared" si="44"/>
        <v>0</v>
      </c>
      <c r="K142" s="1104">
        <f t="shared" si="44"/>
        <v>0</v>
      </c>
      <c r="L142" s="1100">
        <f t="shared" si="44"/>
        <v>0</v>
      </c>
      <c r="M142" s="1104">
        <f t="shared" si="44"/>
        <v>0</v>
      </c>
      <c r="N142" s="1100">
        <f t="shared" si="44"/>
        <v>0</v>
      </c>
      <c r="O142" s="1104">
        <f t="shared" si="44"/>
        <v>0</v>
      </c>
      <c r="P142" s="1100">
        <f t="shared" si="44"/>
        <v>0</v>
      </c>
      <c r="Q142" s="1104">
        <f t="shared" si="44"/>
        <v>0</v>
      </c>
      <c r="R142" s="1100">
        <f t="shared" si="44"/>
        <v>0</v>
      </c>
      <c r="S142" s="1104">
        <f t="shared" si="44"/>
        <v>0</v>
      </c>
      <c r="T142" s="1100">
        <f t="shared" ref="T142:U142" si="45">SUM(T136:T141)</f>
        <v>0</v>
      </c>
      <c r="U142" s="1104">
        <f t="shared" si="45"/>
        <v>0</v>
      </c>
      <c r="V142" s="1100">
        <f t="shared" ref="V142:W142" si="46">SUM(V136:V141)</f>
        <v>0</v>
      </c>
      <c r="W142" s="1104">
        <f t="shared" si="46"/>
        <v>0</v>
      </c>
      <c r="X142" s="1100">
        <f t="shared" si="44"/>
        <v>0</v>
      </c>
      <c r="Y142" s="1104">
        <f t="shared" si="44"/>
        <v>0</v>
      </c>
      <c r="Z142" s="1100">
        <f t="shared" si="44"/>
        <v>0</v>
      </c>
      <c r="AA142" s="1104">
        <f t="shared" si="44"/>
        <v>0</v>
      </c>
      <c r="AB142" s="1100">
        <f t="shared" si="44"/>
        <v>0</v>
      </c>
      <c r="AC142" s="1104">
        <f t="shared" si="44"/>
        <v>0</v>
      </c>
      <c r="AD142" s="1100">
        <f t="shared" si="44"/>
        <v>0</v>
      </c>
      <c r="AE142" s="1104">
        <f t="shared" si="44"/>
        <v>0</v>
      </c>
      <c r="AF142" s="1100">
        <f t="shared" si="44"/>
        <v>0</v>
      </c>
      <c r="AG142" s="1104">
        <f t="shared" si="44"/>
        <v>0</v>
      </c>
      <c r="AH142" s="1100">
        <f t="shared" si="44"/>
        <v>0</v>
      </c>
      <c r="AI142" s="1104">
        <f t="shared" si="44"/>
        <v>0</v>
      </c>
      <c r="AJ142" s="1100">
        <f t="shared" si="44"/>
        <v>0</v>
      </c>
      <c r="AK142" s="1104">
        <f t="shared" si="44"/>
        <v>0</v>
      </c>
      <c r="AL142" s="1100">
        <f t="shared" si="44"/>
        <v>0</v>
      </c>
      <c r="AM142" s="1104">
        <f t="shared" si="44"/>
        <v>0</v>
      </c>
      <c r="AN142" s="1100">
        <f t="shared" si="44"/>
        <v>0</v>
      </c>
      <c r="AO142" s="1104">
        <f t="shared" si="44"/>
        <v>0</v>
      </c>
    </row>
    <row r="143" spans="1:85" s="25" customFormat="1" ht="18" customHeight="1" x14ac:dyDescent="0.25">
      <c r="A143"/>
      <c r="B143" s="1" t="s">
        <v>2518</v>
      </c>
    </row>
    <row r="144" spans="1:85" s="19" customFormat="1" ht="15" customHeight="1" x14ac:dyDescent="0.25">
      <c r="A144"/>
      <c r="B144" s="7334" t="s">
        <v>2519</v>
      </c>
      <c r="C144" s="7335"/>
      <c r="D144" s="1165" t="s">
        <v>2520</v>
      </c>
      <c r="E144" s="1166" t="s">
        <v>2521</v>
      </c>
    </row>
    <row r="145" spans="1:41" s="19" customFormat="1" ht="15" customHeight="1" x14ac:dyDescent="0.15">
      <c r="A145" s="5818">
        <v>23045200</v>
      </c>
      <c r="B145" s="7336" t="s">
        <v>2522</v>
      </c>
      <c r="C145" s="1168" t="s">
        <v>2523</v>
      </c>
      <c r="D145" s="929" t="s">
        <v>4567</v>
      </c>
      <c r="E145" s="867" t="s">
        <v>4568</v>
      </c>
    </row>
    <row r="146" spans="1:41" s="19" customFormat="1" ht="15" customHeight="1" x14ac:dyDescent="0.15">
      <c r="A146" s="5818">
        <v>23045300</v>
      </c>
      <c r="B146" s="7337"/>
      <c r="C146" s="1170" t="s">
        <v>2524</v>
      </c>
      <c r="D146" s="940" t="s">
        <v>4567</v>
      </c>
      <c r="E146" s="942" t="s">
        <v>4568</v>
      </c>
    </row>
    <row r="147" spans="1:41" s="19" customFormat="1" ht="15" customHeight="1" x14ac:dyDescent="0.15">
      <c r="A147" s="5818">
        <v>23045400</v>
      </c>
      <c r="B147" s="7337"/>
      <c r="C147" s="1170" t="s">
        <v>2141</v>
      </c>
      <c r="D147" s="940" t="s">
        <v>4567</v>
      </c>
      <c r="E147" s="942" t="s">
        <v>4568</v>
      </c>
    </row>
    <row r="148" spans="1:41" s="19" customFormat="1" ht="15" customHeight="1" x14ac:dyDescent="0.15">
      <c r="A148" s="5818">
        <v>23045500</v>
      </c>
      <c r="B148" s="7338"/>
      <c r="C148" s="1172" t="s">
        <v>2525</v>
      </c>
      <c r="D148" s="964" t="s">
        <v>4567</v>
      </c>
      <c r="E148" s="965" t="s">
        <v>4568</v>
      </c>
    </row>
    <row r="149" spans="1:41" s="19" customFormat="1" ht="15" customHeight="1" x14ac:dyDescent="0.15">
      <c r="A149" s="5818">
        <v>23045700</v>
      </c>
      <c r="B149" s="7336" t="s">
        <v>2526</v>
      </c>
      <c r="C149" s="1168" t="s">
        <v>2523</v>
      </c>
      <c r="D149" s="326" t="s">
        <v>4567</v>
      </c>
      <c r="E149" s="882" t="s">
        <v>4568</v>
      </c>
    </row>
    <row r="150" spans="1:41" s="19" customFormat="1" ht="15" customHeight="1" x14ac:dyDescent="0.15">
      <c r="A150" s="5818">
        <v>23045800</v>
      </c>
      <c r="B150" s="7337"/>
      <c r="C150" s="1170" t="s">
        <v>2524</v>
      </c>
      <c r="D150" s="940" t="s">
        <v>4567</v>
      </c>
      <c r="E150" s="942" t="s">
        <v>4568</v>
      </c>
    </row>
    <row r="151" spans="1:41" s="19" customFormat="1" ht="15" customHeight="1" x14ac:dyDescent="0.15">
      <c r="A151" s="5818">
        <v>23045900</v>
      </c>
      <c r="B151" s="7337"/>
      <c r="C151" s="1170" t="s">
        <v>2141</v>
      </c>
      <c r="D151" s="940" t="s">
        <v>4567</v>
      </c>
      <c r="E151" s="942" t="s">
        <v>4568</v>
      </c>
    </row>
    <row r="152" spans="1:41" s="19" customFormat="1" ht="15" customHeight="1" x14ac:dyDescent="0.15">
      <c r="A152" s="5818">
        <v>23046000</v>
      </c>
      <c r="B152" s="7338"/>
      <c r="C152" s="1172" t="s">
        <v>2525</v>
      </c>
      <c r="D152" s="964" t="s">
        <v>4567</v>
      </c>
      <c r="E152" s="965" t="s">
        <v>4568</v>
      </c>
    </row>
    <row r="153" spans="1:41" s="19" customFormat="1" ht="15" customHeight="1" x14ac:dyDescent="0.2">
      <c r="A153" s="5863"/>
      <c r="B153" s="7330" t="s">
        <v>77</v>
      </c>
      <c r="C153" s="7331"/>
      <c r="D153" s="1173">
        <f>SUM(D145:D152)</f>
        <v>0</v>
      </c>
      <c r="E153" s="254">
        <f>SUM(E145:E152)</f>
        <v>0</v>
      </c>
    </row>
    <row r="154" spans="1:41" s="25" customFormat="1" ht="18" customHeight="1" x14ac:dyDescent="0.15">
      <c r="B154" s="15" t="s">
        <v>2527</v>
      </c>
    </row>
    <row r="155" spans="1:41" s="19" customFormat="1" ht="15" customHeight="1" x14ac:dyDescent="0.15">
      <c r="A155" s="5862"/>
      <c r="B155" s="7332" t="s">
        <v>651</v>
      </c>
      <c r="C155" s="6761" t="s">
        <v>77</v>
      </c>
      <c r="D155" s="6761"/>
      <c r="E155" s="7319"/>
      <c r="F155" s="7295" t="s">
        <v>101</v>
      </c>
      <c r="G155" s="7296"/>
      <c r="H155" s="7296"/>
      <c r="I155" s="7296"/>
      <c r="J155" s="7296"/>
      <c r="K155" s="7296"/>
      <c r="L155" s="7296"/>
      <c r="M155" s="7296"/>
      <c r="N155" s="7296"/>
      <c r="O155" s="7296"/>
      <c r="P155" s="7296"/>
      <c r="Q155" s="7296"/>
      <c r="R155" s="7296"/>
      <c r="S155" s="7296"/>
      <c r="T155" s="7296"/>
      <c r="U155" s="7296"/>
      <c r="V155" s="7296"/>
      <c r="W155" s="7296"/>
      <c r="X155" s="7296"/>
      <c r="Y155" s="7296"/>
      <c r="Z155" s="7296"/>
      <c r="AA155" s="7296"/>
      <c r="AB155" s="7296"/>
      <c r="AC155" s="7296"/>
      <c r="AD155" s="7296"/>
      <c r="AE155" s="7296"/>
      <c r="AF155" s="7296"/>
      <c r="AG155" s="7296"/>
      <c r="AH155" s="7296"/>
      <c r="AI155" s="7296"/>
      <c r="AJ155" s="7296"/>
      <c r="AK155" s="7296"/>
      <c r="AL155" s="7296"/>
      <c r="AM155" s="7296"/>
      <c r="AN155" s="7296"/>
      <c r="AO155" s="7297"/>
    </row>
    <row r="156" spans="1:41" s="19" customFormat="1" ht="15" customHeight="1" x14ac:dyDescent="0.15">
      <c r="A156" s="5862"/>
      <c r="B156" s="7025"/>
      <c r="C156" s="6764"/>
      <c r="D156" s="6764"/>
      <c r="E156" s="7268"/>
      <c r="F156" s="7289" t="s">
        <v>4407</v>
      </c>
      <c r="G156" s="7290"/>
      <c r="H156" s="7298" t="s">
        <v>2446</v>
      </c>
      <c r="I156" s="7298"/>
      <c r="J156" s="7291" t="s">
        <v>2447</v>
      </c>
      <c r="K156" s="7244"/>
      <c r="L156" s="7291" t="s">
        <v>94</v>
      </c>
      <c r="M156" s="7244"/>
      <c r="N156" s="7291" t="s">
        <v>44</v>
      </c>
      <c r="O156" s="7244"/>
      <c r="P156" s="6491" t="s">
        <v>45</v>
      </c>
      <c r="Q156" s="6491"/>
      <c r="R156" s="7299" t="s">
        <v>46</v>
      </c>
      <c r="S156" s="7290"/>
      <c r="T156" s="7299" t="s">
        <v>47</v>
      </c>
      <c r="U156" s="7290"/>
      <c r="V156" s="6491" t="s">
        <v>48</v>
      </c>
      <c r="W156" s="7290"/>
      <c r="X156" s="7299" t="s">
        <v>49</v>
      </c>
      <c r="Y156" s="7290"/>
      <c r="Z156" s="6491" t="s">
        <v>50</v>
      </c>
      <c r="AA156" s="6491"/>
      <c r="AB156" s="7299" t="s">
        <v>51</v>
      </c>
      <c r="AC156" s="7290"/>
      <c r="AD156" s="6491" t="s">
        <v>52</v>
      </c>
      <c r="AE156" s="6491"/>
      <c r="AF156" s="7299" t="s">
        <v>53</v>
      </c>
      <c r="AG156" s="7290"/>
      <c r="AH156" s="6491" t="s">
        <v>54</v>
      </c>
      <c r="AI156" s="6491"/>
      <c r="AJ156" s="7299" t="s">
        <v>55</v>
      </c>
      <c r="AK156" s="7290"/>
      <c r="AL156" s="6491" t="s">
        <v>56</v>
      </c>
      <c r="AM156" s="6491"/>
      <c r="AN156" s="7291" t="s">
        <v>57</v>
      </c>
      <c r="AO156" s="7244"/>
    </row>
    <row r="157" spans="1:41" s="19" customFormat="1" ht="15" customHeight="1" x14ac:dyDescent="0.15">
      <c r="A157" s="5862"/>
      <c r="B157" s="6964"/>
      <c r="C157" s="1175" t="s">
        <v>79</v>
      </c>
      <c r="D157" s="1176" t="s">
        <v>58</v>
      </c>
      <c r="E157" s="1177" t="s">
        <v>59</v>
      </c>
      <c r="F157" s="1068" t="s">
        <v>58</v>
      </c>
      <c r="G157" s="1178" t="s">
        <v>59</v>
      </c>
      <c r="H157" s="1068" t="s">
        <v>58</v>
      </c>
      <c r="I157" s="1178" t="s">
        <v>59</v>
      </c>
      <c r="J157" s="1068" t="s">
        <v>58</v>
      </c>
      <c r="K157" s="1178" t="s">
        <v>59</v>
      </c>
      <c r="L157" s="1068" t="s">
        <v>58</v>
      </c>
      <c r="M157" s="1178" t="s">
        <v>59</v>
      </c>
      <c r="N157" s="1068" t="s">
        <v>58</v>
      </c>
      <c r="O157" s="1178" t="s">
        <v>59</v>
      </c>
      <c r="P157" s="1068" t="s">
        <v>58</v>
      </c>
      <c r="Q157" s="1178" t="s">
        <v>59</v>
      </c>
      <c r="R157" s="981" t="s">
        <v>58</v>
      </c>
      <c r="S157" s="983" t="s">
        <v>59</v>
      </c>
      <c r="T157" s="981" t="s">
        <v>58</v>
      </c>
      <c r="U157" s="983" t="s">
        <v>59</v>
      </c>
      <c r="V157" s="1068" t="s">
        <v>58</v>
      </c>
      <c r="W157" s="983" t="s">
        <v>59</v>
      </c>
      <c r="X157" s="1068" t="s">
        <v>58</v>
      </c>
      <c r="Y157" s="1178" t="s">
        <v>59</v>
      </c>
      <c r="Z157" s="1068" t="s">
        <v>58</v>
      </c>
      <c r="AA157" s="1178" t="s">
        <v>59</v>
      </c>
      <c r="AB157" s="1068" t="s">
        <v>58</v>
      </c>
      <c r="AC157" s="1178" t="s">
        <v>59</v>
      </c>
      <c r="AD157" s="1068" t="s">
        <v>58</v>
      </c>
      <c r="AE157" s="1178" t="s">
        <v>59</v>
      </c>
      <c r="AF157" s="1068" t="s">
        <v>58</v>
      </c>
      <c r="AG157" s="1178" t="s">
        <v>59</v>
      </c>
      <c r="AH157" s="1068" t="s">
        <v>58</v>
      </c>
      <c r="AI157" s="1178" t="s">
        <v>59</v>
      </c>
      <c r="AJ157" s="1068" t="s">
        <v>58</v>
      </c>
      <c r="AK157" s="1178" t="s">
        <v>59</v>
      </c>
      <c r="AL157" s="1068" t="s">
        <v>58</v>
      </c>
      <c r="AM157" s="1178" t="s">
        <v>59</v>
      </c>
      <c r="AN157" s="1068" t="s">
        <v>58</v>
      </c>
      <c r="AO157" s="983" t="s">
        <v>59</v>
      </c>
    </row>
    <row r="158" spans="1:41" s="19" customFormat="1" ht="15" customHeight="1" x14ac:dyDescent="0.15">
      <c r="A158" s="5818">
        <v>23090690</v>
      </c>
      <c r="B158" s="1179" t="s">
        <v>2528</v>
      </c>
      <c r="C158" s="1180" t="s">
        <v>4567</v>
      </c>
      <c r="D158" s="48" t="s">
        <v>4568</v>
      </c>
      <c r="E158" s="1181" t="s">
        <v>4569</v>
      </c>
      <c r="F158" s="931" t="s">
        <v>4570</v>
      </c>
      <c r="G158" s="882" t="s">
        <v>4571</v>
      </c>
      <c r="H158" s="931" t="s">
        <v>4572</v>
      </c>
      <c r="I158" s="882" t="s">
        <v>4573</v>
      </c>
      <c r="J158" s="931" t="s">
        <v>4574</v>
      </c>
      <c r="K158" s="882" t="s">
        <v>4575</v>
      </c>
      <c r="L158" s="931" t="s">
        <v>4576</v>
      </c>
      <c r="M158" s="882" t="s">
        <v>4577</v>
      </c>
      <c r="N158" s="931" t="s">
        <v>4578</v>
      </c>
      <c r="O158" s="882" t="s">
        <v>4579</v>
      </c>
      <c r="P158" s="931" t="s">
        <v>4580</v>
      </c>
      <c r="Q158" s="882" t="s">
        <v>4581</v>
      </c>
      <c r="R158" s="931" t="s">
        <v>4582</v>
      </c>
      <c r="S158" s="882" t="s">
        <v>4583</v>
      </c>
      <c r="T158" s="931" t="s">
        <v>4584</v>
      </c>
      <c r="U158" s="882" t="s">
        <v>4585</v>
      </c>
      <c r="V158" s="931" t="s">
        <v>4586</v>
      </c>
      <c r="W158" s="882" t="s">
        <v>4587</v>
      </c>
      <c r="X158" s="931" t="s">
        <v>4588</v>
      </c>
      <c r="Y158" s="882" t="s">
        <v>4589</v>
      </c>
      <c r="Z158" s="931" t="s">
        <v>4590</v>
      </c>
      <c r="AA158" s="882" t="s">
        <v>4591</v>
      </c>
      <c r="AB158" s="931" t="s">
        <v>4592</v>
      </c>
      <c r="AC158" s="882" t="s">
        <v>4593</v>
      </c>
      <c r="AD158" s="931" t="s">
        <v>4594</v>
      </c>
      <c r="AE158" s="882" t="s">
        <v>4595</v>
      </c>
      <c r="AF158" s="931" t="s">
        <v>4596</v>
      </c>
      <c r="AG158" s="882" t="s">
        <v>4597</v>
      </c>
      <c r="AH158" s="931" t="s">
        <v>4598</v>
      </c>
      <c r="AI158" s="882" t="s">
        <v>4599</v>
      </c>
      <c r="AJ158" s="931" t="s">
        <v>4600</v>
      </c>
      <c r="AK158" s="882" t="s">
        <v>4601</v>
      </c>
      <c r="AL158" s="931" t="s">
        <v>4602</v>
      </c>
      <c r="AM158" s="882" t="s">
        <v>4603</v>
      </c>
      <c r="AN158" s="44" t="s">
        <v>4604</v>
      </c>
      <c r="AO158" s="882" t="s">
        <v>4605</v>
      </c>
    </row>
    <row r="159" spans="1:41" s="19" customFormat="1" ht="15" customHeight="1" x14ac:dyDescent="0.15">
      <c r="A159" s="5818">
        <v>23090700</v>
      </c>
      <c r="B159" s="255" t="s">
        <v>2529</v>
      </c>
      <c r="C159" s="358" t="s">
        <v>4567</v>
      </c>
      <c r="D159" s="1182" t="s">
        <v>4568</v>
      </c>
      <c r="E159" s="1183" t="s">
        <v>4569</v>
      </c>
      <c r="F159" s="943" t="s">
        <v>4570</v>
      </c>
      <c r="G159" s="942" t="s">
        <v>4571</v>
      </c>
      <c r="H159" s="943" t="s">
        <v>4572</v>
      </c>
      <c r="I159" s="942" t="s">
        <v>4573</v>
      </c>
      <c r="J159" s="943" t="s">
        <v>4574</v>
      </c>
      <c r="K159" s="942" t="s">
        <v>4575</v>
      </c>
      <c r="L159" s="943" t="s">
        <v>4576</v>
      </c>
      <c r="M159" s="942" t="s">
        <v>4577</v>
      </c>
      <c r="N159" s="943" t="s">
        <v>4578</v>
      </c>
      <c r="O159" s="942" t="s">
        <v>4579</v>
      </c>
      <c r="P159" s="943" t="s">
        <v>4580</v>
      </c>
      <c r="Q159" s="942" t="s">
        <v>4581</v>
      </c>
      <c r="R159" s="943" t="s">
        <v>4582</v>
      </c>
      <c r="S159" s="942" t="s">
        <v>4583</v>
      </c>
      <c r="T159" s="943" t="s">
        <v>4584</v>
      </c>
      <c r="U159" s="942" t="s">
        <v>4585</v>
      </c>
      <c r="V159" s="943" t="s">
        <v>4586</v>
      </c>
      <c r="W159" s="942" t="s">
        <v>4587</v>
      </c>
      <c r="X159" s="943" t="s">
        <v>4588</v>
      </c>
      <c r="Y159" s="942" t="s">
        <v>4589</v>
      </c>
      <c r="Z159" s="943" t="s">
        <v>4590</v>
      </c>
      <c r="AA159" s="942" t="s">
        <v>4591</v>
      </c>
      <c r="AB159" s="943" t="s">
        <v>4592</v>
      </c>
      <c r="AC159" s="942" t="s">
        <v>4593</v>
      </c>
      <c r="AD159" s="943" t="s">
        <v>4594</v>
      </c>
      <c r="AE159" s="942" t="s">
        <v>4595</v>
      </c>
      <c r="AF159" s="943" t="s">
        <v>4596</v>
      </c>
      <c r="AG159" s="942" t="s">
        <v>4597</v>
      </c>
      <c r="AH159" s="943" t="s">
        <v>4598</v>
      </c>
      <c r="AI159" s="942" t="s">
        <v>4599</v>
      </c>
      <c r="AJ159" s="943" t="s">
        <v>4600</v>
      </c>
      <c r="AK159" s="942" t="s">
        <v>4601</v>
      </c>
      <c r="AL159" s="943" t="s">
        <v>4602</v>
      </c>
      <c r="AM159" s="942" t="s">
        <v>4603</v>
      </c>
      <c r="AN159" s="943" t="s">
        <v>4604</v>
      </c>
      <c r="AO159" s="942" t="s">
        <v>4605</v>
      </c>
    </row>
    <row r="160" spans="1:41" s="19" customFormat="1" ht="15" customHeight="1" x14ac:dyDescent="0.15">
      <c r="A160" s="5818">
        <v>23090710</v>
      </c>
      <c r="B160" s="1134" t="s">
        <v>2530</v>
      </c>
      <c r="C160" s="358" t="s">
        <v>4567</v>
      </c>
      <c r="D160" s="1184" t="s">
        <v>4568</v>
      </c>
      <c r="E160" s="1185" t="s">
        <v>4569</v>
      </c>
      <c r="F160" s="1137" t="s">
        <v>4570</v>
      </c>
      <c r="G160" s="1136" t="s">
        <v>4571</v>
      </c>
      <c r="H160" s="1137" t="s">
        <v>4572</v>
      </c>
      <c r="I160" s="1136" t="s">
        <v>4573</v>
      </c>
      <c r="J160" s="1137" t="s">
        <v>4574</v>
      </c>
      <c r="K160" s="1136" t="s">
        <v>4575</v>
      </c>
      <c r="L160" s="1137" t="s">
        <v>4576</v>
      </c>
      <c r="M160" s="1136" t="s">
        <v>4577</v>
      </c>
      <c r="N160" s="1137" t="s">
        <v>4578</v>
      </c>
      <c r="O160" s="1136" t="s">
        <v>4579</v>
      </c>
      <c r="P160" s="1137" t="s">
        <v>4580</v>
      </c>
      <c r="Q160" s="1136" t="s">
        <v>4581</v>
      </c>
      <c r="R160" s="1137" t="s">
        <v>4582</v>
      </c>
      <c r="S160" s="1136" t="s">
        <v>4583</v>
      </c>
      <c r="T160" s="1137" t="s">
        <v>4584</v>
      </c>
      <c r="U160" s="1136" t="s">
        <v>4585</v>
      </c>
      <c r="V160" s="1137" t="s">
        <v>4586</v>
      </c>
      <c r="W160" s="1136" t="s">
        <v>4587</v>
      </c>
      <c r="X160" s="1137" t="s">
        <v>4588</v>
      </c>
      <c r="Y160" s="1136" t="s">
        <v>4589</v>
      </c>
      <c r="Z160" s="1137" t="s">
        <v>4590</v>
      </c>
      <c r="AA160" s="1136" t="s">
        <v>4591</v>
      </c>
      <c r="AB160" s="1137" t="s">
        <v>4592</v>
      </c>
      <c r="AC160" s="1136" t="s">
        <v>4593</v>
      </c>
      <c r="AD160" s="1137" t="s">
        <v>4594</v>
      </c>
      <c r="AE160" s="1136" t="s">
        <v>4595</v>
      </c>
      <c r="AF160" s="1137" t="s">
        <v>4596</v>
      </c>
      <c r="AG160" s="1136" t="s">
        <v>4597</v>
      </c>
      <c r="AH160" s="1137" t="s">
        <v>4598</v>
      </c>
      <c r="AI160" s="1136" t="s">
        <v>4599</v>
      </c>
      <c r="AJ160" s="1137" t="s">
        <v>4600</v>
      </c>
      <c r="AK160" s="1136" t="s">
        <v>4601</v>
      </c>
      <c r="AL160" s="1137" t="s">
        <v>4602</v>
      </c>
      <c r="AM160" s="1136" t="s">
        <v>4603</v>
      </c>
      <c r="AN160" s="1137" t="s">
        <v>4604</v>
      </c>
      <c r="AO160" s="1136" t="s">
        <v>4605</v>
      </c>
    </row>
    <row r="161" spans="1:41" s="19" customFormat="1" ht="15" customHeight="1" x14ac:dyDescent="0.15">
      <c r="A161" s="5818">
        <v>23110110</v>
      </c>
      <c r="B161" s="1134" t="s">
        <v>2531</v>
      </c>
      <c r="C161" s="358" t="s">
        <v>4567</v>
      </c>
      <c r="D161" s="1184" t="s">
        <v>4568</v>
      </c>
      <c r="E161" s="1185" t="s">
        <v>4569</v>
      </c>
      <c r="F161" s="1137" t="s">
        <v>4570</v>
      </c>
      <c r="G161" s="1136" t="s">
        <v>4571</v>
      </c>
      <c r="H161" s="1137" t="s">
        <v>4572</v>
      </c>
      <c r="I161" s="1136" t="s">
        <v>4573</v>
      </c>
      <c r="J161" s="1137" t="s">
        <v>4574</v>
      </c>
      <c r="K161" s="1136" t="s">
        <v>4575</v>
      </c>
      <c r="L161" s="1137" t="s">
        <v>4576</v>
      </c>
      <c r="M161" s="1136" t="s">
        <v>4577</v>
      </c>
      <c r="N161" s="1137" t="s">
        <v>4578</v>
      </c>
      <c r="O161" s="1136" t="s">
        <v>4579</v>
      </c>
      <c r="P161" s="1137" t="s">
        <v>4580</v>
      </c>
      <c r="Q161" s="1136" t="s">
        <v>4581</v>
      </c>
      <c r="R161" s="1137" t="s">
        <v>4582</v>
      </c>
      <c r="S161" s="1136" t="s">
        <v>4583</v>
      </c>
      <c r="T161" s="1137" t="s">
        <v>4584</v>
      </c>
      <c r="U161" s="1136" t="s">
        <v>4585</v>
      </c>
      <c r="V161" s="1137" t="s">
        <v>4586</v>
      </c>
      <c r="W161" s="1136" t="s">
        <v>4587</v>
      </c>
      <c r="X161" s="1137" t="s">
        <v>4588</v>
      </c>
      <c r="Y161" s="1136" t="s">
        <v>4589</v>
      </c>
      <c r="Z161" s="1137" t="s">
        <v>4590</v>
      </c>
      <c r="AA161" s="1136" t="s">
        <v>4591</v>
      </c>
      <c r="AB161" s="1137" t="s">
        <v>4592</v>
      </c>
      <c r="AC161" s="1136" t="s">
        <v>4593</v>
      </c>
      <c r="AD161" s="1137" t="s">
        <v>4594</v>
      </c>
      <c r="AE161" s="1136" t="s">
        <v>4595</v>
      </c>
      <c r="AF161" s="1137" t="s">
        <v>4596</v>
      </c>
      <c r="AG161" s="1136" t="s">
        <v>4597</v>
      </c>
      <c r="AH161" s="1137" t="s">
        <v>4598</v>
      </c>
      <c r="AI161" s="1136" t="s">
        <v>4599</v>
      </c>
      <c r="AJ161" s="1137" t="s">
        <v>4600</v>
      </c>
      <c r="AK161" s="1136" t="s">
        <v>4601</v>
      </c>
      <c r="AL161" s="1137" t="s">
        <v>4602</v>
      </c>
      <c r="AM161" s="1136" t="s">
        <v>4603</v>
      </c>
      <c r="AN161" s="1137" t="s">
        <v>4604</v>
      </c>
      <c r="AO161" s="1136" t="s">
        <v>4605</v>
      </c>
    </row>
    <row r="162" spans="1:41" s="19" customFormat="1" ht="15" customHeight="1" x14ac:dyDescent="0.15">
      <c r="A162" s="5818">
        <v>23090720</v>
      </c>
      <c r="B162" s="1145" t="s">
        <v>2532</v>
      </c>
      <c r="C162" s="1140" t="s">
        <v>4567</v>
      </c>
      <c r="D162" s="1186" t="s">
        <v>4568</v>
      </c>
      <c r="E162" s="1187" t="s">
        <v>4569</v>
      </c>
      <c r="F162" s="966" t="s">
        <v>4570</v>
      </c>
      <c r="G162" s="965" t="s">
        <v>4571</v>
      </c>
      <c r="H162" s="966" t="s">
        <v>4572</v>
      </c>
      <c r="I162" s="965" t="s">
        <v>4573</v>
      </c>
      <c r="J162" s="966" t="s">
        <v>4574</v>
      </c>
      <c r="K162" s="965" t="s">
        <v>4575</v>
      </c>
      <c r="L162" s="966" t="s">
        <v>4576</v>
      </c>
      <c r="M162" s="965" t="s">
        <v>4577</v>
      </c>
      <c r="N162" s="966" t="s">
        <v>4578</v>
      </c>
      <c r="O162" s="965" t="s">
        <v>4579</v>
      </c>
      <c r="P162" s="966" t="s">
        <v>4580</v>
      </c>
      <c r="Q162" s="965" t="s">
        <v>4581</v>
      </c>
      <c r="R162" s="966" t="s">
        <v>4582</v>
      </c>
      <c r="S162" s="965" t="s">
        <v>4583</v>
      </c>
      <c r="T162" s="966" t="s">
        <v>4584</v>
      </c>
      <c r="U162" s="965" t="s">
        <v>4585</v>
      </c>
      <c r="V162" s="966" t="s">
        <v>4586</v>
      </c>
      <c r="W162" s="965" t="s">
        <v>4587</v>
      </c>
      <c r="X162" s="966" t="s">
        <v>4588</v>
      </c>
      <c r="Y162" s="965" t="s">
        <v>4589</v>
      </c>
      <c r="Z162" s="966" t="s">
        <v>4590</v>
      </c>
      <c r="AA162" s="965" t="s">
        <v>4591</v>
      </c>
      <c r="AB162" s="966" t="s">
        <v>4592</v>
      </c>
      <c r="AC162" s="965" t="s">
        <v>4593</v>
      </c>
      <c r="AD162" s="966" t="s">
        <v>4594</v>
      </c>
      <c r="AE162" s="965" t="s">
        <v>4595</v>
      </c>
      <c r="AF162" s="966" t="s">
        <v>4596</v>
      </c>
      <c r="AG162" s="965" t="s">
        <v>4597</v>
      </c>
      <c r="AH162" s="966" t="s">
        <v>4598</v>
      </c>
      <c r="AI162" s="965" t="s">
        <v>4599</v>
      </c>
      <c r="AJ162" s="966" t="s">
        <v>4600</v>
      </c>
      <c r="AK162" s="965" t="s">
        <v>4601</v>
      </c>
      <c r="AL162" s="966" t="s">
        <v>4602</v>
      </c>
      <c r="AM162" s="965" t="s">
        <v>4603</v>
      </c>
      <c r="AN162" s="966" t="s">
        <v>4604</v>
      </c>
      <c r="AO162" s="965" t="s">
        <v>4605</v>
      </c>
    </row>
    <row r="163" spans="1:41" s="25" customFormat="1" ht="18" customHeight="1" x14ac:dyDescent="0.25">
      <c r="A163"/>
      <c r="B163" s="7323" t="s">
        <v>2533</v>
      </c>
      <c r="C163" s="7323"/>
      <c r="D163" s="7323"/>
    </row>
    <row r="164" spans="1:41" s="19" customFormat="1" ht="21" x14ac:dyDescent="0.25">
      <c r="A164"/>
      <c r="B164" s="7324" t="s">
        <v>1093</v>
      </c>
      <c r="C164" s="7324"/>
      <c r="D164" s="1174" t="s">
        <v>2534</v>
      </c>
      <c r="E164" s="1188" t="s">
        <v>2535</v>
      </c>
      <c r="F164" s="1189" t="s">
        <v>2536</v>
      </c>
      <c r="G164" s="1189" t="s">
        <v>2480</v>
      </c>
      <c r="H164" s="916" t="s">
        <v>591</v>
      </c>
    </row>
    <row r="165" spans="1:41" s="19" customFormat="1" ht="15" customHeight="1" x14ac:dyDescent="0.15">
      <c r="A165" s="5818">
        <v>23110120</v>
      </c>
      <c r="B165" s="7325" t="s">
        <v>2537</v>
      </c>
      <c r="C165" s="1167" t="s">
        <v>2538</v>
      </c>
      <c r="D165" s="1190" t="s">
        <v>4567</v>
      </c>
      <c r="E165" s="1191" t="s">
        <v>4568</v>
      </c>
      <c r="F165" s="1192" t="s">
        <v>4569</v>
      </c>
      <c r="G165" s="1192" t="s">
        <v>4570</v>
      </c>
      <c r="H165" s="1193" t="s">
        <v>4571</v>
      </c>
    </row>
    <row r="166" spans="1:41" s="19" customFormat="1" ht="15" customHeight="1" x14ac:dyDescent="0.15">
      <c r="A166" s="5818">
        <v>23110130</v>
      </c>
      <c r="B166" s="7090"/>
      <c r="C166" s="1169" t="s">
        <v>2539</v>
      </c>
      <c r="D166" s="1194" t="s">
        <v>4567</v>
      </c>
      <c r="E166" s="212" t="s">
        <v>4568</v>
      </c>
      <c r="F166" s="993" t="s">
        <v>4569</v>
      </c>
      <c r="G166" s="993" t="s">
        <v>4570</v>
      </c>
      <c r="H166" s="34" t="s">
        <v>4571</v>
      </c>
    </row>
    <row r="167" spans="1:41" s="19" customFormat="1" ht="15" customHeight="1" x14ac:dyDescent="0.15">
      <c r="A167" s="5818">
        <v>23110140</v>
      </c>
      <c r="B167" s="7091"/>
      <c r="C167" s="1171" t="s">
        <v>2540</v>
      </c>
      <c r="D167" s="1196" t="s">
        <v>4567</v>
      </c>
      <c r="E167" s="964" t="s">
        <v>4568</v>
      </c>
      <c r="F167" s="1006" t="s">
        <v>4569</v>
      </c>
      <c r="G167" s="1006" t="s">
        <v>4570</v>
      </c>
      <c r="H167" s="854" t="s">
        <v>4571</v>
      </c>
    </row>
    <row r="168" spans="1:41" s="19" customFormat="1" ht="15" customHeight="1" x14ac:dyDescent="0.15">
      <c r="A168" s="5818">
        <v>23110150</v>
      </c>
      <c r="B168" s="7325" t="s">
        <v>2541</v>
      </c>
      <c r="C168" s="1167" t="s">
        <v>2542</v>
      </c>
      <c r="D168" s="359" t="s">
        <v>4567</v>
      </c>
      <c r="E168" s="20" t="s">
        <v>4568</v>
      </c>
      <c r="F168" s="232" t="s">
        <v>4569</v>
      </c>
      <c r="G168" s="232" t="s">
        <v>4570</v>
      </c>
      <c r="H168" s="29" t="s">
        <v>4571</v>
      </c>
    </row>
    <row r="169" spans="1:41" s="19" customFormat="1" ht="15" customHeight="1" x14ac:dyDescent="0.15">
      <c r="A169" s="5818">
        <v>23110160</v>
      </c>
      <c r="B169" s="7090"/>
      <c r="C169" s="1169" t="s">
        <v>2543</v>
      </c>
      <c r="D169" s="359" t="s">
        <v>4567</v>
      </c>
      <c r="E169" s="212" t="s">
        <v>4568</v>
      </c>
      <c r="F169" s="993" t="s">
        <v>4569</v>
      </c>
      <c r="G169" s="993" t="s">
        <v>4570</v>
      </c>
      <c r="H169" s="34" t="s">
        <v>4571</v>
      </c>
    </row>
    <row r="170" spans="1:41" s="19" customFormat="1" ht="15" customHeight="1" x14ac:dyDescent="0.15">
      <c r="A170" s="5818">
        <v>23110170</v>
      </c>
      <c r="B170" s="7091"/>
      <c r="C170" s="1195" t="s">
        <v>2544</v>
      </c>
      <c r="D170" s="1196" t="s">
        <v>4567</v>
      </c>
      <c r="E170" s="964" t="s">
        <v>4568</v>
      </c>
      <c r="F170" s="1006" t="s">
        <v>4569</v>
      </c>
      <c r="G170" s="1006" t="s">
        <v>4570</v>
      </c>
      <c r="H170" s="854" t="s">
        <v>4571</v>
      </c>
    </row>
    <row r="171" spans="1:41" s="25" customFormat="1" ht="18" customHeight="1" x14ac:dyDescent="0.25">
      <c r="A171"/>
      <c r="B171" s="7323" t="s">
        <v>2545</v>
      </c>
      <c r="C171" s="7323"/>
      <c r="D171" s="6768"/>
    </row>
    <row r="172" spans="1:41" s="19" customFormat="1" ht="15" customHeight="1" x14ac:dyDescent="0.15">
      <c r="A172" s="5862"/>
      <c r="B172" s="6761" t="s">
        <v>1093</v>
      </c>
      <c r="C172" s="7319"/>
      <c r="D172" s="7327" t="s">
        <v>77</v>
      </c>
      <c r="E172" s="6761"/>
      <c r="F172" s="7319"/>
      <c r="G172" s="7291" t="s">
        <v>101</v>
      </c>
      <c r="H172" s="7298"/>
      <c r="I172" s="7298"/>
      <c r="J172" s="7298"/>
      <c r="K172" s="7298"/>
      <c r="L172" s="7244"/>
    </row>
    <row r="173" spans="1:41" s="19" customFormat="1" ht="15" customHeight="1" x14ac:dyDescent="0.15">
      <c r="A173" s="5862"/>
      <c r="B173" s="7326"/>
      <c r="C173" s="7267"/>
      <c r="D173" s="6900"/>
      <c r="E173" s="6764"/>
      <c r="F173" s="7268"/>
      <c r="G173" s="7298" t="s">
        <v>4405</v>
      </c>
      <c r="H173" s="7244"/>
      <c r="I173" s="7291" t="s">
        <v>2546</v>
      </c>
      <c r="J173" s="7244"/>
      <c r="K173" s="7296" t="s">
        <v>664</v>
      </c>
      <c r="L173" s="7297"/>
    </row>
    <row r="174" spans="1:41" s="19" customFormat="1" ht="15" customHeight="1" x14ac:dyDescent="0.15">
      <c r="A174" s="5862"/>
      <c r="B174" s="6764"/>
      <c r="C174" s="7268"/>
      <c r="D174" s="1165" t="s">
        <v>79</v>
      </c>
      <c r="E174" s="1197" t="s">
        <v>58</v>
      </c>
      <c r="F174" s="1164" t="s">
        <v>59</v>
      </c>
      <c r="G174" s="1175" t="s">
        <v>58</v>
      </c>
      <c r="H174" s="1131" t="s">
        <v>59</v>
      </c>
      <c r="I174" s="1175" t="s">
        <v>58</v>
      </c>
      <c r="J174" s="1131" t="s">
        <v>59</v>
      </c>
      <c r="K174" s="1176" t="s">
        <v>58</v>
      </c>
      <c r="L174" s="1131" t="s">
        <v>59</v>
      </c>
    </row>
    <row r="175" spans="1:41" s="19" customFormat="1" ht="15" customHeight="1" x14ac:dyDescent="0.15">
      <c r="A175" s="5818">
        <v>29101384</v>
      </c>
      <c r="B175" s="7328" t="s">
        <v>2547</v>
      </c>
      <c r="C175" s="1198" t="s">
        <v>2542</v>
      </c>
      <c r="D175" s="361" t="s">
        <v>4567</v>
      </c>
      <c r="E175" s="48" t="s">
        <v>4568</v>
      </c>
      <c r="F175" s="213" t="s">
        <v>4569</v>
      </c>
      <c r="G175" s="20" t="s">
        <v>4570</v>
      </c>
      <c r="H175" s="29" t="s">
        <v>4571</v>
      </c>
      <c r="I175" s="20" t="s">
        <v>4572</v>
      </c>
      <c r="J175" s="29" t="s">
        <v>4573</v>
      </c>
      <c r="K175" s="214" t="s">
        <v>4574</v>
      </c>
      <c r="L175" s="29" t="s">
        <v>4575</v>
      </c>
    </row>
    <row r="176" spans="1:41" s="19" customFormat="1" ht="15" customHeight="1" x14ac:dyDescent="0.15">
      <c r="A176" s="5818">
        <v>29101385</v>
      </c>
      <c r="B176" s="6058"/>
      <c r="C176" s="1198" t="s">
        <v>2538</v>
      </c>
      <c r="D176" s="361" t="s">
        <v>4567</v>
      </c>
      <c r="E176" s="48" t="s">
        <v>4568</v>
      </c>
      <c r="F176" s="213" t="s">
        <v>4569</v>
      </c>
      <c r="G176" s="212" t="s">
        <v>4570</v>
      </c>
      <c r="H176" s="34" t="s">
        <v>4571</v>
      </c>
      <c r="I176" s="212" t="s">
        <v>4572</v>
      </c>
      <c r="J176" s="34" t="s">
        <v>4573</v>
      </c>
      <c r="K176" s="1137" t="s">
        <v>4574</v>
      </c>
      <c r="L176" s="34" t="s">
        <v>4575</v>
      </c>
    </row>
    <row r="177" spans="1:43" s="19" customFormat="1" ht="15" customHeight="1" x14ac:dyDescent="0.15">
      <c r="A177" s="5818">
        <v>29101386</v>
      </c>
      <c r="B177" s="6058"/>
      <c r="C177" s="1198" t="s">
        <v>2539</v>
      </c>
      <c r="D177" s="361" t="s">
        <v>4567</v>
      </c>
      <c r="E177" s="48" t="s">
        <v>4568</v>
      </c>
      <c r="F177" s="213" t="s">
        <v>4569</v>
      </c>
      <c r="G177" s="212" t="s">
        <v>4570</v>
      </c>
      <c r="H177" s="34" t="s">
        <v>4571</v>
      </c>
      <c r="I177" s="212" t="s">
        <v>4572</v>
      </c>
      <c r="J177" s="34" t="s">
        <v>4573</v>
      </c>
      <c r="K177" s="1137" t="s">
        <v>4574</v>
      </c>
      <c r="L177" s="34" t="s">
        <v>4575</v>
      </c>
    </row>
    <row r="178" spans="1:43" s="19" customFormat="1" ht="15" customHeight="1" x14ac:dyDescent="0.15">
      <c r="A178" s="5818">
        <v>29101387</v>
      </c>
      <c r="B178" s="6842"/>
      <c r="C178" s="1199" t="s">
        <v>2548</v>
      </c>
      <c r="D178" s="1200" t="s">
        <v>4567</v>
      </c>
      <c r="E178" s="1186" t="s">
        <v>4568</v>
      </c>
      <c r="F178" s="1201" t="s">
        <v>4569</v>
      </c>
      <c r="G178" s="964" t="s">
        <v>4570</v>
      </c>
      <c r="H178" s="854" t="s">
        <v>4571</v>
      </c>
      <c r="I178" s="964" t="s">
        <v>4572</v>
      </c>
      <c r="J178" s="854" t="s">
        <v>4573</v>
      </c>
      <c r="K178" s="966" t="s">
        <v>4574</v>
      </c>
      <c r="L178" s="854" t="s">
        <v>4575</v>
      </c>
    </row>
    <row r="179" spans="1:43" s="25" customFormat="1" ht="18" customHeight="1" x14ac:dyDescent="0.2">
      <c r="A179" s="9"/>
      <c r="B179" s="13" t="s">
        <v>2549</v>
      </c>
    </row>
    <row r="180" spans="1:43" s="19" customFormat="1" ht="15" customHeight="1" x14ac:dyDescent="0.2">
      <c r="A180" s="9"/>
      <c r="B180" s="7315" t="s">
        <v>2550</v>
      </c>
      <c r="C180" s="7315"/>
      <c r="D180" s="7318" t="s">
        <v>2551</v>
      </c>
      <c r="E180" s="6761" t="s">
        <v>77</v>
      </c>
      <c r="F180" s="6761"/>
      <c r="G180" s="7319"/>
      <c r="H180" s="7320" t="s">
        <v>101</v>
      </c>
      <c r="I180" s="7321"/>
      <c r="J180" s="7321"/>
      <c r="K180" s="7321"/>
      <c r="L180" s="7321"/>
      <c r="M180" s="7321"/>
      <c r="N180" s="7321"/>
      <c r="O180" s="7321"/>
      <c r="P180" s="7321"/>
      <c r="Q180" s="7321"/>
      <c r="R180" s="7321"/>
      <c r="S180" s="7321"/>
      <c r="T180" s="7321"/>
      <c r="U180" s="7321"/>
      <c r="V180" s="7321"/>
      <c r="W180" s="7321"/>
      <c r="X180" s="7321"/>
      <c r="Y180" s="7321"/>
      <c r="Z180" s="7321"/>
      <c r="AA180" s="7321"/>
      <c r="AB180" s="7321"/>
      <c r="AC180" s="7321"/>
      <c r="AD180" s="7321"/>
      <c r="AE180" s="7321"/>
      <c r="AF180" s="7321"/>
      <c r="AG180" s="7321"/>
      <c r="AH180" s="7321"/>
      <c r="AI180" s="7321"/>
      <c r="AJ180" s="7321"/>
      <c r="AK180" s="7321"/>
      <c r="AL180" s="7321"/>
      <c r="AM180" s="7321"/>
      <c r="AN180" s="7321"/>
      <c r="AO180" s="7321"/>
      <c r="AP180" s="7321"/>
      <c r="AQ180" s="7322"/>
    </row>
    <row r="181" spans="1:43" s="19" customFormat="1" ht="15" customHeight="1" x14ac:dyDescent="0.2">
      <c r="A181" s="9"/>
      <c r="B181" s="7316"/>
      <c r="C181" s="7316"/>
      <c r="D181" s="7318"/>
      <c r="E181" s="6764"/>
      <c r="F181" s="6764"/>
      <c r="G181" s="7268"/>
      <c r="H181" s="7289" t="s">
        <v>4407</v>
      </c>
      <c r="I181" s="7290"/>
      <c r="J181" s="7298" t="s">
        <v>2446</v>
      </c>
      <c r="K181" s="7298"/>
      <c r="L181" s="7291" t="s">
        <v>2447</v>
      </c>
      <c r="M181" s="7244"/>
      <c r="N181" s="7291" t="s">
        <v>94</v>
      </c>
      <c r="O181" s="7244"/>
      <c r="P181" s="7291" t="s">
        <v>44</v>
      </c>
      <c r="Q181" s="7244"/>
      <c r="R181" s="6491" t="s">
        <v>45</v>
      </c>
      <c r="S181" s="6491"/>
      <c r="T181" s="7299" t="s">
        <v>46</v>
      </c>
      <c r="U181" s="7290"/>
      <c r="V181" s="7299" t="s">
        <v>47</v>
      </c>
      <c r="W181" s="7290"/>
      <c r="X181" s="6491" t="s">
        <v>48</v>
      </c>
      <c r="Y181" s="7290"/>
      <c r="Z181" s="7299" t="s">
        <v>49</v>
      </c>
      <c r="AA181" s="7290"/>
      <c r="AB181" s="6491" t="s">
        <v>50</v>
      </c>
      <c r="AC181" s="6491"/>
      <c r="AD181" s="7299" t="s">
        <v>51</v>
      </c>
      <c r="AE181" s="7290"/>
      <c r="AF181" s="6491" t="s">
        <v>52</v>
      </c>
      <c r="AG181" s="6491"/>
      <c r="AH181" s="7299" t="s">
        <v>53</v>
      </c>
      <c r="AI181" s="7290"/>
      <c r="AJ181" s="6491" t="s">
        <v>54</v>
      </c>
      <c r="AK181" s="6491"/>
      <c r="AL181" s="7299" t="s">
        <v>55</v>
      </c>
      <c r="AM181" s="7290"/>
      <c r="AN181" s="6491" t="s">
        <v>56</v>
      </c>
      <c r="AO181" s="6491"/>
      <c r="AP181" s="7291" t="s">
        <v>57</v>
      </c>
      <c r="AQ181" s="7244"/>
    </row>
    <row r="182" spans="1:43" s="19" customFormat="1" ht="15" customHeight="1" x14ac:dyDescent="0.2">
      <c r="A182" s="9"/>
      <c r="B182" s="7317"/>
      <c r="C182" s="7317"/>
      <c r="D182" s="7318"/>
      <c r="E182" s="1175" t="s">
        <v>79</v>
      </c>
      <c r="F182" s="1176" t="s">
        <v>58</v>
      </c>
      <c r="G182" s="1131" t="s">
        <v>59</v>
      </c>
      <c r="H182" s="1068" t="s">
        <v>58</v>
      </c>
      <c r="I182" s="1178" t="s">
        <v>59</v>
      </c>
      <c r="J182" s="1068" t="s">
        <v>58</v>
      </c>
      <c r="K182" s="1178" t="s">
        <v>59</v>
      </c>
      <c r="L182" s="1068" t="s">
        <v>58</v>
      </c>
      <c r="M182" s="1178" t="s">
        <v>59</v>
      </c>
      <c r="N182" s="1068" t="s">
        <v>58</v>
      </c>
      <c r="O182" s="1178" t="s">
        <v>59</v>
      </c>
      <c r="P182" s="1068" t="s">
        <v>58</v>
      </c>
      <c r="Q182" s="1178" t="s">
        <v>59</v>
      </c>
      <c r="R182" s="1068" t="s">
        <v>58</v>
      </c>
      <c r="S182" s="1178" t="s">
        <v>59</v>
      </c>
      <c r="T182" s="981" t="s">
        <v>58</v>
      </c>
      <c r="U182" s="983" t="s">
        <v>59</v>
      </c>
      <c r="V182" s="981" t="s">
        <v>58</v>
      </c>
      <c r="W182" s="983" t="s">
        <v>59</v>
      </c>
      <c r="X182" s="1068" t="s">
        <v>58</v>
      </c>
      <c r="Y182" s="983" t="s">
        <v>59</v>
      </c>
      <c r="Z182" s="1068" t="s">
        <v>58</v>
      </c>
      <c r="AA182" s="1178" t="s">
        <v>59</v>
      </c>
      <c r="AB182" s="1068" t="s">
        <v>58</v>
      </c>
      <c r="AC182" s="1178" t="s">
        <v>59</v>
      </c>
      <c r="AD182" s="1068" t="s">
        <v>58</v>
      </c>
      <c r="AE182" s="1178" t="s">
        <v>59</v>
      </c>
      <c r="AF182" s="1068" t="s">
        <v>58</v>
      </c>
      <c r="AG182" s="1178" t="s">
        <v>59</v>
      </c>
      <c r="AH182" s="1068" t="s">
        <v>58</v>
      </c>
      <c r="AI182" s="1178" t="s">
        <v>59</v>
      </c>
      <c r="AJ182" s="1068" t="s">
        <v>58</v>
      </c>
      <c r="AK182" s="1178" t="s">
        <v>59</v>
      </c>
      <c r="AL182" s="1068" t="s">
        <v>58</v>
      </c>
      <c r="AM182" s="1178" t="s">
        <v>59</v>
      </c>
      <c r="AN182" s="1068" t="s">
        <v>58</v>
      </c>
      <c r="AO182" s="1178" t="s">
        <v>59</v>
      </c>
      <c r="AP182" s="1068" t="s">
        <v>58</v>
      </c>
      <c r="AQ182" s="983" t="s">
        <v>59</v>
      </c>
    </row>
    <row r="183" spans="1:43" s="19" customFormat="1" ht="15" customHeight="1" x14ac:dyDescent="0.15">
      <c r="A183" s="5818">
        <v>23110180</v>
      </c>
      <c r="B183" s="7313" t="s">
        <v>2552</v>
      </c>
      <c r="C183" s="7313"/>
      <c r="D183" s="1167" t="s">
        <v>838</v>
      </c>
      <c r="E183" s="1203" t="s">
        <v>4567</v>
      </c>
      <c r="F183" s="1168" t="s">
        <v>4568</v>
      </c>
      <c r="G183" s="1204" t="s">
        <v>4569</v>
      </c>
      <c r="H183" s="929" t="s">
        <v>4570</v>
      </c>
      <c r="I183" s="867" t="s">
        <v>4571</v>
      </c>
      <c r="J183" s="929" t="s">
        <v>4572</v>
      </c>
      <c r="K183" s="867" t="s">
        <v>4573</v>
      </c>
      <c r="L183" s="929" t="s">
        <v>4574</v>
      </c>
      <c r="M183" s="867" t="s">
        <v>4575</v>
      </c>
      <c r="N183" s="929" t="s">
        <v>4576</v>
      </c>
      <c r="O183" s="867" t="s">
        <v>4577</v>
      </c>
      <c r="P183" s="929" t="s">
        <v>4578</v>
      </c>
      <c r="Q183" s="867" t="s">
        <v>4579</v>
      </c>
      <c r="R183" s="929" t="s">
        <v>4580</v>
      </c>
      <c r="S183" s="867" t="s">
        <v>4581</v>
      </c>
      <c r="T183" s="929" t="s">
        <v>4582</v>
      </c>
      <c r="U183" s="867" t="s">
        <v>4583</v>
      </c>
      <c r="V183" s="929" t="s">
        <v>4584</v>
      </c>
      <c r="W183" s="867" t="s">
        <v>4585</v>
      </c>
      <c r="X183" s="929" t="s">
        <v>4586</v>
      </c>
      <c r="Y183" s="867" t="s">
        <v>4587</v>
      </c>
      <c r="Z183" s="929" t="s">
        <v>4588</v>
      </c>
      <c r="AA183" s="867" t="s">
        <v>4589</v>
      </c>
      <c r="AB183" s="929" t="s">
        <v>4590</v>
      </c>
      <c r="AC183" s="867" t="s">
        <v>4591</v>
      </c>
      <c r="AD183" s="929" t="s">
        <v>4592</v>
      </c>
      <c r="AE183" s="867" t="s">
        <v>4593</v>
      </c>
      <c r="AF183" s="929" t="s">
        <v>4594</v>
      </c>
      <c r="AG183" s="867" t="s">
        <v>4595</v>
      </c>
      <c r="AH183" s="929" t="s">
        <v>4596</v>
      </c>
      <c r="AI183" s="867" t="s">
        <v>4597</v>
      </c>
      <c r="AJ183" s="929" t="s">
        <v>4598</v>
      </c>
      <c r="AK183" s="867" t="s">
        <v>4599</v>
      </c>
      <c r="AL183" s="929" t="s">
        <v>4600</v>
      </c>
      <c r="AM183" s="867" t="s">
        <v>4601</v>
      </c>
      <c r="AN183" s="929" t="s">
        <v>4602</v>
      </c>
      <c r="AO183" s="867" t="s">
        <v>4603</v>
      </c>
      <c r="AP183" s="929" t="s">
        <v>4604</v>
      </c>
      <c r="AQ183" s="867" t="s">
        <v>4605</v>
      </c>
    </row>
    <row r="184" spans="1:43" s="19" customFormat="1" ht="15" customHeight="1" x14ac:dyDescent="0.15">
      <c r="A184" s="5818">
        <v>23110190</v>
      </c>
      <c r="B184" s="7314"/>
      <c r="C184" s="7314"/>
      <c r="D184" s="1171" t="s">
        <v>2553</v>
      </c>
      <c r="E184" s="1205" t="s">
        <v>4567</v>
      </c>
      <c r="F184" s="1172" t="s">
        <v>4568</v>
      </c>
      <c r="G184" s="1206" t="s">
        <v>4569</v>
      </c>
      <c r="H184" s="964" t="s">
        <v>4570</v>
      </c>
      <c r="I184" s="965" t="s">
        <v>4571</v>
      </c>
      <c r="J184" s="964" t="s">
        <v>4572</v>
      </c>
      <c r="K184" s="965" t="s">
        <v>4573</v>
      </c>
      <c r="L184" s="964" t="s">
        <v>4574</v>
      </c>
      <c r="M184" s="965" t="s">
        <v>4575</v>
      </c>
      <c r="N184" s="964" t="s">
        <v>4576</v>
      </c>
      <c r="O184" s="965" t="s">
        <v>4577</v>
      </c>
      <c r="P184" s="964" t="s">
        <v>4578</v>
      </c>
      <c r="Q184" s="965" t="s">
        <v>4579</v>
      </c>
      <c r="R184" s="964" t="s">
        <v>4580</v>
      </c>
      <c r="S184" s="965" t="s">
        <v>4581</v>
      </c>
      <c r="T184" s="964" t="s">
        <v>4582</v>
      </c>
      <c r="U184" s="965" t="s">
        <v>4583</v>
      </c>
      <c r="V184" s="964" t="s">
        <v>4584</v>
      </c>
      <c r="W184" s="965" t="s">
        <v>4585</v>
      </c>
      <c r="X184" s="964" t="s">
        <v>4586</v>
      </c>
      <c r="Y184" s="965" t="s">
        <v>4587</v>
      </c>
      <c r="Z184" s="964" t="s">
        <v>4588</v>
      </c>
      <c r="AA184" s="965" t="s">
        <v>4589</v>
      </c>
      <c r="AB184" s="964" t="s">
        <v>4590</v>
      </c>
      <c r="AC184" s="965" t="s">
        <v>4591</v>
      </c>
      <c r="AD184" s="964" t="s">
        <v>4592</v>
      </c>
      <c r="AE184" s="965" t="s">
        <v>4593</v>
      </c>
      <c r="AF184" s="964" t="s">
        <v>4594</v>
      </c>
      <c r="AG184" s="965" t="s">
        <v>4595</v>
      </c>
      <c r="AH184" s="964" t="s">
        <v>4596</v>
      </c>
      <c r="AI184" s="965" t="s">
        <v>4597</v>
      </c>
      <c r="AJ184" s="964" t="s">
        <v>4598</v>
      </c>
      <c r="AK184" s="965" t="s">
        <v>4599</v>
      </c>
      <c r="AL184" s="964" t="s">
        <v>4600</v>
      </c>
      <c r="AM184" s="965" t="s">
        <v>4601</v>
      </c>
      <c r="AN184" s="964" t="s">
        <v>4602</v>
      </c>
      <c r="AO184" s="965" t="s">
        <v>4603</v>
      </c>
      <c r="AP184" s="964" t="s">
        <v>4604</v>
      </c>
      <c r="AQ184" s="965" t="s">
        <v>4605</v>
      </c>
    </row>
    <row r="185" spans="1:43" s="19" customFormat="1" ht="15" customHeight="1" x14ac:dyDescent="0.15">
      <c r="A185" s="5818">
        <v>23110200</v>
      </c>
      <c r="B185" s="7307" t="s">
        <v>2480</v>
      </c>
      <c r="C185" s="7307"/>
      <c r="D185" s="1167" t="s">
        <v>838</v>
      </c>
      <c r="E185" s="1203" t="s">
        <v>4567</v>
      </c>
      <c r="F185" s="1168" t="s">
        <v>4568</v>
      </c>
      <c r="G185" s="1204" t="s">
        <v>4569</v>
      </c>
      <c r="H185" s="929" t="s">
        <v>4570</v>
      </c>
      <c r="I185" s="867" t="s">
        <v>4571</v>
      </c>
      <c r="J185" s="929" t="s">
        <v>4572</v>
      </c>
      <c r="K185" s="867" t="s">
        <v>4573</v>
      </c>
      <c r="L185" s="929" t="s">
        <v>4574</v>
      </c>
      <c r="M185" s="867" t="s">
        <v>4575</v>
      </c>
      <c r="N185" s="929" t="s">
        <v>4576</v>
      </c>
      <c r="O185" s="867" t="s">
        <v>4577</v>
      </c>
      <c r="P185" s="929" t="s">
        <v>4578</v>
      </c>
      <c r="Q185" s="867" t="s">
        <v>4579</v>
      </c>
      <c r="R185" s="929" t="s">
        <v>4580</v>
      </c>
      <c r="S185" s="867" t="s">
        <v>4581</v>
      </c>
      <c r="T185" s="929" t="s">
        <v>4582</v>
      </c>
      <c r="U185" s="867" t="s">
        <v>4583</v>
      </c>
      <c r="V185" s="929" t="s">
        <v>4584</v>
      </c>
      <c r="W185" s="867" t="s">
        <v>4585</v>
      </c>
      <c r="X185" s="929" t="s">
        <v>4586</v>
      </c>
      <c r="Y185" s="867" t="s">
        <v>4587</v>
      </c>
      <c r="Z185" s="929" t="s">
        <v>4588</v>
      </c>
      <c r="AA185" s="867" t="s">
        <v>4589</v>
      </c>
      <c r="AB185" s="929" t="s">
        <v>4590</v>
      </c>
      <c r="AC185" s="867" t="s">
        <v>4591</v>
      </c>
      <c r="AD185" s="929" t="s">
        <v>4592</v>
      </c>
      <c r="AE185" s="867" t="s">
        <v>4593</v>
      </c>
      <c r="AF185" s="929" t="s">
        <v>4594</v>
      </c>
      <c r="AG185" s="867" t="s">
        <v>4595</v>
      </c>
      <c r="AH185" s="929" t="s">
        <v>4596</v>
      </c>
      <c r="AI185" s="867" t="s">
        <v>4597</v>
      </c>
      <c r="AJ185" s="929" t="s">
        <v>4598</v>
      </c>
      <c r="AK185" s="867" t="s">
        <v>4599</v>
      </c>
      <c r="AL185" s="929" t="s">
        <v>4600</v>
      </c>
      <c r="AM185" s="867" t="s">
        <v>4601</v>
      </c>
      <c r="AN185" s="929" t="s">
        <v>4602</v>
      </c>
      <c r="AO185" s="867" t="s">
        <v>4603</v>
      </c>
      <c r="AP185" s="929" t="s">
        <v>4604</v>
      </c>
      <c r="AQ185" s="867" t="s">
        <v>4605</v>
      </c>
    </row>
    <row r="186" spans="1:43" s="19" customFormat="1" ht="15" customHeight="1" x14ac:dyDescent="0.15">
      <c r="A186" s="5818">
        <v>23110210</v>
      </c>
      <c r="B186" s="7308"/>
      <c r="C186" s="7308"/>
      <c r="D186" s="1171" t="s">
        <v>2553</v>
      </c>
      <c r="E186" s="1205" t="s">
        <v>4567</v>
      </c>
      <c r="F186" s="1172" t="s">
        <v>4568</v>
      </c>
      <c r="G186" s="1206" t="s">
        <v>4569</v>
      </c>
      <c r="H186" s="964" t="s">
        <v>4570</v>
      </c>
      <c r="I186" s="965" t="s">
        <v>4571</v>
      </c>
      <c r="J186" s="964" t="s">
        <v>4572</v>
      </c>
      <c r="K186" s="965" t="s">
        <v>4573</v>
      </c>
      <c r="L186" s="964" t="s">
        <v>4574</v>
      </c>
      <c r="M186" s="965" t="s">
        <v>4575</v>
      </c>
      <c r="N186" s="964" t="s">
        <v>4576</v>
      </c>
      <c r="O186" s="965" t="s">
        <v>4577</v>
      </c>
      <c r="P186" s="964" t="s">
        <v>4578</v>
      </c>
      <c r="Q186" s="965" t="s">
        <v>4579</v>
      </c>
      <c r="R186" s="964" t="s">
        <v>4580</v>
      </c>
      <c r="S186" s="965" t="s">
        <v>4581</v>
      </c>
      <c r="T186" s="964" t="s">
        <v>4582</v>
      </c>
      <c r="U186" s="965" t="s">
        <v>4583</v>
      </c>
      <c r="V186" s="964" t="s">
        <v>4584</v>
      </c>
      <c r="W186" s="965" t="s">
        <v>4585</v>
      </c>
      <c r="X186" s="964" t="s">
        <v>4586</v>
      </c>
      <c r="Y186" s="965" t="s">
        <v>4587</v>
      </c>
      <c r="Z186" s="964" t="s">
        <v>4588</v>
      </c>
      <c r="AA186" s="965" t="s">
        <v>4589</v>
      </c>
      <c r="AB186" s="964" t="s">
        <v>4590</v>
      </c>
      <c r="AC186" s="965" t="s">
        <v>4591</v>
      </c>
      <c r="AD186" s="964" t="s">
        <v>4592</v>
      </c>
      <c r="AE186" s="965" t="s">
        <v>4593</v>
      </c>
      <c r="AF186" s="964" t="s">
        <v>4594</v>
      </c>
      <c r="AG186" s="965" t="s">
        <v>4595</v>
      </c>
      <c r="AH186" s="964" t="s">
        <v>4596</v>
      </c>
      <c r="AI186" s="965" t="s">
        <v>4597</v>
      </c>
      <c r="AJ186" s="964" t="s">
        <v>4598</v>
      </c>
      <c r="AK186" s="965" t="s">
        <v>4599</v>
      </c>
      <c r="AL186" s="964" t="s">
        <v>4600</v>
      </c>
      <c r="AM186" s="965" t="s">
        <v>4601</v>
      </c>
      <c r="AN186" s="964" t="s">
        <v>4602</v>
      </c>
      <c r="AO186" s="965" t="s">
        <v>4603</v>
      </c>
      <c r="AP186" s="964" t="s">
        <v>4604</v>
      </c>
      <c r="AQ186" s="965" t="s">
        <v>4605</v>
      </c>
    </row>
    <row r="187" spans="1:43" s="19" customFormat="1" ht="15" customHeight="1" x14ac:dyDescent="0.15">
      <c r="A187" s="5818">
        <v>23110220</v>
      </c>
      <c r="B187" s="7309" t="s">
        <v>2554</v>
      </c>
      <c r="C187" s="7310"/>
      <c r="D187" s="362" t="s">
        <v>838</v>
      </c>
      <c r="E187" s="363" t="s">
        <v>4567</v>
      </c>
      <c r="F187" s="233" t="s">
        <v>4568</v>
      </c>
      <c r="G187" s="215" t="s">
        <v>4569</v>
      </c>
      <c r="H187" s="326" t="s">
        <v>4570</v>
      </c>
      <c r="I187" s="882" t="s">
        <v>4571</v>
      </c>
      <c r="J187" s="326" t="s">
        <v>4572</v>
      </c>
      <c r="K187" s="882" t="s">
        <v>4573</v>
      </c>
      <c r="L187" s="326" t="s">
        <v>4574</v>
      </c>
      <c r="M187" s="882" t="s">
        <v>4575</v>
      </c>
      <c r="N187" s="326" t="s">
        <v>4576</v>
      </c>
      <c r="O187" s="882" t="s">
        <v>4577</v>
      </c>
      <c r="P187" s="326" t="s">
        <v>4578</v>
      </c>
      <c r="Q187" s="882" t="s">
        <v>4579</v>
      </c>
      <c r="R187" s="326" t="s">
        <v>4580</v>
      </c>
      <c r="S187" s="882" t="s">
        <v>4581</v>
      </c>
      <c r="T187" s="326" t="s">
        <v>4582</v>
      </c>
      <c r="U187" s="882" t="s">
        <v>4583</v>
      </c>
      <c r="V187" s="326" t="s">
        <v>4584</v>
      </c>
      <c r="W187" s="882" t="s">
        <v>4585</v>
      </c>
      <c r="X187" s="326" t="s">
        <v>4586</v>
      </c>
      <c r="Y187" s="882" t="s">
        <v>4587</v>
      </c>
      <c r="Z187" s="326" t="s">
        <v>4588</v>
      </c>
      <c r="AA187" s="882" t="s">
        <v>4589</v>
      </c>
      <c r="AB187" s="326" t="s">
        <v>4590</v>
      </c>
      <c r="AC187" s="882" t="s">
        <v>4591</v>
      </c>
      <c r="AD187" s="326" t="s">
        <v>4592</v>
      </c>
      <c r="AE187" s="882" t="s">
        <v>4593</v>
      </c>
      <c r="AF187" s="326" t="s">
        <v>4594</v>
      </c>
      <c r="AG187" s="882" t="s">
        <v>4595</v>
      </c>
      <c r="AH187" s="326" t="s">
        <v>4596</v>
      </c>
      <c r="AI187" s="882" t="s">
        <v>4597</v>
      </c>
      <c r="AJ187" s="326" t="s">
        <v>4598</v>
      </c>
      <c r="AK187" s="882" t="s">
        <v>4599</v>
      </c>
      <c r="AL187" s="326" t="s">
        <v>4600</v>
      </c>
      <c r="AM187" s="882" t="s">
        <v>4601</v>
      </c>
      <c r="AN187" s="326" t="s">
        <v>4602</v>
      </c>
      <c r="AO187" s="882" t="s">
        <v>4603</v>
      </c>
      <c r="AP187" s="326" t="s">
        <v>4604</v>
      </c>
      <c r="AQ187" s="882" t="s">
        <v>4605</v>
      </c>
    </row>
    <row r="188" spans="1:43" s="19" customFormat="1" ht="15" customHeight="1" x14ac:dyDescent="0.15">
      <c r="A188" s="5818">
        <v>23110230</v>
      </c>
      <c r="B188" s="7311"/>
      <c r="C188" s="7312"/>
      <c r="D188" s="1171" t="s">
        <v>2553</v>
      </c>
      <c r="E188" s="1205" t="s">
        <v>4567</v>
      </c>
      <c r="F188" s="1172" t="s">
        <v>4568</v>
      </c>
      <c r="G188" s="1206" t="s">
        <v>4569</v>
      </c>
      <c r="H188" s="964" t="s">
        <v>4570</v>
      </c>
      <c r="I188" s="965" t="s">
        <v>4571</v>
      </c>
      <c r="J188" s="964" t="s">
        <v>4572</v>
      </c>
      <c r="K188" s="965" t="s">
        <v>4573</v>
      </c>
      <c r="L188" s="964" t="s">
        <v>4574</v>
      </c>
      <c r="M188" s="965" t="s">
        <v>4575</v>
      </c>
      <c r="N188" s="964" t="s">
        <v>4576</v>
      </c>
      <c r="O188" s="965" t="s">
        <v>4577</v>
      </c>
      <c r="P188" s="964" t="s">
        <v>4578</v>
      </c>
      <c r="Q188" s="965" t="s">
        <v>4579</v>
      </c>
      <c r="R188" s="964" t="s">
        <v>4580</v>
      </c>
      <c r="S188" s="965" t="s">
        <v>4581</v>
      </c>
      <c r="T188" s="964" t="s">
        <v>4582</v>
      </c>
      <c r="U188" s="965" t="s">
        <v>4583</v>
      </c>
      <c r="V188" s="964" t="s">
        <v>4584</v>
      </c>
      <c r="W188" s="965" t="s">
        <v>4585</v>
      </c>
      <c r="X188" s="964" t="s">
        <v>4586</v>
      </c>
      <c r="Y188" s="965" t="s">
        <v>4587</v>
      </c>
      <c r="Z188" s="964" t="s">
        <v>4588</v>
      </c>
      <c r="AA188" s="965" t="s">
        <v>4589</v>
      </c>
      <c r="AB188" s="964" t="s">
        <v>4590</v>
      </c>
      <c r="AC188" s="965" t="s">
        <v>4591</v>
      </c>
      <c r="AD188" s="964" t="s">
        <v>4592</v>
      </c>
      <c r="AE188" s="965" t="s">
        <v>4593</v>
      </c>
      <c r="AF188" s="964" t="s">
        <v>4594</v>
      </c>
      <c r="AG188" s="965" t="s">
        <v>4595</v>
      </c>
      <c r="AH188" s="964" t="s">
        <v>4596</v>
      </c>
      <c r="AI188" s="965" t="s">
        <v>4597</v>
      </c>
      <c r="AJ188" s="964" t="s">
        <v>4598</v>
      </c>
      <c r="AK188" s="965" t="s">
        <v>4599</v>
      </c>
      <c r="AL188" s="964" t="s">
        <v>4600</v>
      </c>
      <c r="AM188" s="965" t="s">
        <v>4601</v>
      </c>
      <c r="AN188" s="964" t="s">
        <v>4602</v>
      </c>
      <c r="AO188" s="965" t="s">
        <v>4603</v>
      </c>
      <c r="AP188" s="964" t="s">
        <v>4604</v>
      </c>
      <c r="AQ188" s="965" t="s">
        <v>4605</v>
      </c>
    </row>
    <row r="215" spans="2:3" hidden="1" x14ac:dyDescent="0.25">
      <c r="B215" s="4487">
        <f>SUM(C12:C23,D28:D41,C46:C53,C58,C63:C65,C71:C72,C78:C83,D87:D89,C95:C103,C108:C110,C115:C119,C124:C129,C136:C141,D153:E153,C158:C162,D165:D170,D175:D178,E183:E188)</f>
        <v>0</v>
      </c>
      <c r="C215" s="4488" t="e">
        <f>SUM(CG12:CI129)</f>
        <v>#VALUE!</v>
      </c>
    </row>
  </sheetData>
  <mergeCells count="344">
    <mergeCell ref="B6:W6"/>
    <mergeCell ref="B9:B11"/>
    <mergeCell ref="C9:E10"/>
    <mergeCell ref="B31:B33"/>
    <mergeCell ref="B34:B35"/>
    <mergeCell ref="B36:C36"/>
    <mergeCell ref="B37:C37"/>
    <mergeCell ref="B38:C38"/>
    <mergeCell ref="B39:C39"/>
    <mergeCell ref="P10:Q10"/>
    <mergeCell ref="R10:S10"/>
    <mergeCell ref="F9:AO9"/>
    <mergeCell ref="B28:B30"/>
    <mergeCell ref="B25:C27"/>
    <mergeCell ref="D25:F26"/>
    <mergeCell ref="G26:H26"/>
    <mergeCell ref="I26:J26"/>
    <mergeCell ref="K26:L26"/>
    <mergeCell ref="M26:N26"/>
    <mergeCell ref="O26:P26"/>
    <mergeCell ref="Q26:R26"/>
    <mergeCell ref="T10:U10"/>
    <mergeCell ref="V10:W10"/>
    <mergeCell ref="U26:V26"/>
    <mergeCell ref="B40:C40"/>
    <mergeCell ref="B41:C41"/>
    <mergeCell ref="B43:B45"/>
    <mergeCell ref="C43:E44"/>
    <mergeCell ref="AP43:AQ44"/>
    <mergeCell ref="F44:G44"/>
    <mergeCell ref="H44:I44"/>
    <mergeCell ref="J44:K44"/>
    <mergeCell ref="L44:M44"/>
    <mergeCell ref="AD44:AE44"/>
    <mergeCell ref="AF44:AG44"/>
    <mergeCell ref="AH44:AI44"/>
    <mergeCell ref="AJ44:AK44"/>
    <mergeCell ref="AL44:AM44"/>
    <mergeCell ref="AN44:AO44"/>
    <mergeCell ref="N44:O44"/>
    <mergeCell ref="P44:Q44"/>
    <mergeCell ref="R44:S44"/>
    <mergeCell ref="X44:Y44"/>
    <mergeCell ref="Z44:AA44"/>
    <mergeCell ref="AB44:AC44"/>
    <mergeCell ref="B55:B57"/>
    <mergeCell ref="C55:E56"/>
    <mergeCell ref="AP55:AP57"/>
    <mergeCell ref="F56:G56"/>
    <mergeCell ref="H56:I56"/>
    <mergeCell ref="J56:K56"/>
    <mergeCell ref="L56:M56"/>
    <mergeCell ref="AD56:AE56"/>
    <mergeCell ref="AF56:AG56"/>
    <mergeCell ref="AH56:AI56"/>
    <mergeCell ref="AJ56:AK56"/>
    <mergeCell ref="AL56:AM56"/>
    <mergeCell ref="AN56:AO56"/>
    <mergeCell ref="N56:O56"/>
    <mergeCell ref="P56:Q56"/>
    <mergeCell ref="R56:S56"/>
    <mergeCell ref="X56:Y56"/>
    <mergeCell ref="Z56:AA56"/>
    <mergeCell ref="F55:AO55"/>
    <mergeCell ref="AB56:AC56"/>
    <mergeCell ref="B60:B62"/>
    <mergeCell ref="C60:E61"/>
    <mergeCell ref="AH61:AI61"/>
    <mergeCell ref="AJ61:AK61"/>
    <mergeCell ref="AL61:AM61"/>
    <mergeCell ref="AN61:AO61"/>
    <mergeCell ref="B87:C87"/>
    <mergeCell ref="V69:W69"/>
    <mergeCell ref="F61:G61"/>
    <mergeCell ref="H61:I61"/>
    <mergeCell ref="J61:K61"/>
    <mergeCell ref="L61:M61"/>
    <mergeCell ref="N61:O61"/>
    <mergeCell ref="T61:U61"/>
    <mergeCell ref="T69:U69"/>
    <mergeCell ref="P61:Q61"/>
    <mergeCell ref="F68:AO68"/>
    <mergeCell ref="B88:C88"/>
    <mergeCell ref="B89:C89"/>
    <mergeCell ref="B90:C90"/>
    <mergeCell ref="AP68:AP70"/>
    <mergeCell ref="AQ68:AQ70"/>
    <mergeCell ref="F69:G69"/>
    <mergeCell ref="H69:I69"/>
    <mergeCell ref="J69:K69"/>
    <mergeCell ref="L69:M69"/>
    <mergeCell ref="N69:O69"/>
    <mergeCell ref="P69:Q69"/>
    <mergeCell ref="R69:S69"/>
    <mergeCell ref="X69:Y69"/>
    <mergeCell ref="AF69:AG69"/>
    <mergeCell ref="AH69:AI69"/>
    <mergeCell ref="AJ69:AK69"/>
    <mergeCell ref="AL69:AM69"/>
    <mergeCell ref="AN69:AO69"/>
    <mergeCell ref="B68:B70"/>
    <mergeCell ref="C68:E69"/>
    <mergeCell ref="Z69:AA69"/>
    <mergeCell ref="AB69:AC69"/>
    <mergeCell ref="AD69:AE69"/>
    <mergeCell ref="V76:W76"/>
    <mergeCell ref="B92:B94"/>
    <mergeCell ref="C92:E93"/>
    <mergeCell ref="AL76:AM76"/>
    <mergeCell ref="AN76:AO76"/>
    <mergeCell ref="B86:C86"/>
    <mergeCell ref="Z76:AA76"/>
    <mergeCell ref="AB76:AC76"/>
    <mergeCell ref="AD76:AE76"/>
    <mergeCell ref="AF76:AG76"/>
    <mergeCell ref="AH76:AI76"/>
    <mergeCell ref="AJ76:AK76"/>
    <mergeCell ref="J76:K76"/>
    <mergeCell ref="L76:M76"/>
    <mergeCell ref="N76:O76"/>
    <mergeCell ref="P76:Q76"/>
    <mergeCell ref="R76:S76"/>
    <mergeCell ref="X76:Y76"/>
    <mergeCell ref="F93:G93"/>
    <mergeCell ref="H93:I93"/>
    <mergeCell ref="J93:K93"/>
    <mergeCell ref="B75:B77"/>
    <mergeCell ref="C75:E76"/>
    <mergeCell ref="F76:G76"/>
    <mergeCell ref="H76:I76"/>
    <mergeCell ref="B105:B107"/>
    <mergeCell ref="C105:E106"/>
    <mergeCell ref="F106:G106"/>
    <mergeCell ref="H106:I106"/>
    <mergeCell ref="J106:K106"/>
    <mergeCell ref="L113:M113"/>
    <mergeCell ref="N113:O113"/>
    <mergeCell ref="P113:Q113"/>
    <mergeCell ref="L106:M106"/>
    <mergeCell ref="N106:O106"/>
    <mergeCell ref="P106:Q106"/>
    <mergeCell ref="F112:AO112"/>
    <mergeCell ref="AD113:AE113"/>
    <mergeCell ref="AF113:AG113"/>
    <mergeCell ref="AH113:AI113"/>
    <mergeCell ref="R106:S106"/>
    <mergeCell ref="X106:Y106"/>
    <mergeCell ref="Z106:AA106"/>
    <mergeCell ref="AB106:AC106"/>
    <mergeCell ref="C121:E122"/>
    <mergeCell ref="V122:W122"/>
    <mergeCell ref="F121:AO121"/>
    <mergeCell ref="B112:B114"/>
    <mergeCell ref="C112:E113"/>
    <mergeCell ref="F113:G113"/>
    <mergeCell ref="H113:I113"/>
    <mergeCell ref="J113:K113"/>
    <mergeCell ref="X113:Y113"/>
    <mergeCell ref="Z113:AA113"/>
    <mergeCell ref="AF122:AG122"/>
    <mergeCell ref="AH122:AI122"/>
    <mergeCell ref="AJ122:AK122"/>
    <mergeCell ref="AL122:AM122"/>
    <mergeCell ref="AN122:AO122"/>
    <mergeCell ref="R113:S113"/>
    <mergeCell ref="T113:U113"/>
    <mergeCell ref="V113:W113"/>
    <mergeCell ref="Z122:AA122"/>
    <mergeCell ref="AB122:AC122"/>
    <mergeCell ref="AD122:AE122"/>
    <mergeCell ref="AB113:AC113"/>
    <mergeCell ref="T122:U122"/>
    <mergeCell ref="X122:Y122"/>
    <mergeCell ref="Z134:AA134"/>
    <mergeCell ref="AB134:AC134"/>
    <mergeCell ref="AD134:AE134"/>
    <mergeCell ref="AF134:AG134"/>
    <mergeCell ref="AH134:AI134"/>
    <mergeCell ref="B133:B135"/>
    <mergeCell ref="C133:E134"/>
    <mergeCell ref="F134:G134"/>
    <mergeCell ref="H134:I134"/>
    <mergeCell ref="J134:K134"/>
    <mergeCell ref="L134:M134"/>
    <mergeCell ref="N134:O134"/>
    <mergeCell ref="P134:Q134"/>
    <mergeCell ref="R134:S134"/>
    <mergeCell ref="T134:U134"/>
    <mergeCell ref="B121:B123"/>
    <mergeCell ref="V134:W134"/>
    <mergeCell ref="B153:C153"/>
    <mergeCell ref="B155:B157"/>
    <mergeCell ref="C155:E156"/>
    <mergeCell ref="F156:G156"/>
    <mergeCell ref="H156:I156"/>
    <mergeCell ref="J156:K156"/>
    <mergeCell ref="L156:M156"/>
    <mergeCell ref="N156:O156"/>
    <mergeCell ref="P156:Q156"/>
    <mergeCell ref="F155:AO155"/>
    <mergeCell ref="AH156:AI156"/>
    <mergeCell ref="AJ156:AK156"/>
    <mergeCell ref="AL156:AM156"/>
    <mergeCell ref="AN156:AO156"/>
    <mergeCell ref="B132:F132"/>
    <mergeCell ref="AJ134:AK134"/>
    <mergeCell ref="AL134:AM134"/>
    <mergeCell ref="AN134:AO134"/>
    <mergeCell ref="B144:C144"/>
    <mergeCell ref="B145:B148"/>
    <mergeCell ref="B149:B152"/>
    <mergeCell ref="X134:Y134"/>
    <mergeCell ref="H180:AQ180"/>
    <mergeCell ref="B163:D163"/>
    <mergeCell ref="B164:C164"/>
    <mergeCell ref="R156:S156"/>
    <mergeCell ref="X156:Y156"/>
    <mergeCell ref="Z156:AA156"/>
    <mergeCell ref="AB156:AC156"/>
    <mergeCell ref="AD156:AE156"/>
    <mergeCell ref="AF156:AG156"/>
    <mergeCell ref="B165:B167"/>
    <mergeCell ref="T156:U156"/>
    <mergeCell ref="V156:W156"/>
    <mergeCell ref="B168:B170"/>
    <mergeCell ref="B171:D171"/>
    <mergeCell ref="B172:C174"/>
    <mergeCell ref="D172:F173"/>
    <mergeCell ref="G172:L172"/>
    <mergeCell ref="G173:H173"/>
    <mergeCell ref="I173:J173"/>
    <mergeCell ref="K173:L173"/>
    <mergeCell ref="B175:B178"/>
    <mergeCell ref="B185:C186"/>
    <mergeCell ref="B187:C188"/>
    <mergeCell ref="AH181:AI181"/>
    <mergeCell ref="AJ181:AK181"/>
    <mergeCell ref="AL181:AM181"/>
    <mergeCell ref="AN181:AO181"/>
    <mergeCell ref="AP181:AQ181"/>
    <mergeCell ref="B183:C184"/>
    <mergeCell ref="R181:S181"/>
    <mergeCell ref="T181:U181"/>
    <mergeCell ref="Z181:AA181"/>
    <mergeCell ref="AB181:AC181"/>
    <mergeCell ref="AD181:AE181"/>
    <mergeCell ref="AF181:AG181"/>
    <mergeCell ref="B180:C182"/>
    <mergeCell ref="D180:D182"/>
    <mergeCell ref="E180:G181"/>
    <mergeCell ref="H181:I181"/>
    <mergeCell ref="J181:K181"/>
    <mergeCell ref="L181:M181"/>
    <mergeCell ref="N181:O181"/>
    <mergeCell ref="P181:Q181"/>
    <mergeCell ref="V181:W181"/>
    <mergeCell ref="X181:Y181"/>
    <mergeCell ref="AR25:AR27"/>
    <mergeCell ref="AS25:AS27"/>
    <mergeCell ref="AM26:AN26"/>
    <mergeCell ref="AO26:AP26"/>
    <mergeCell ref="AR9:AR11"/>
    <mergeCell ref="F10:G10"/>
    <mergeCell ref="H10:I10"/>
    <mergeCell ref="J10:K10"/>
    <mergeCell ref="L10:M10"/>
    <mergeCell ref="N10:O10"/>
    <mergeCell ref="AG26:AH26"/>
    <mergeCell ref="AI26:AJ26"/>
    <mergeCell ref="AK26:AL26"/>
    <mergeCell ref="S26:T26"/>
    <mergeCell ref="Y26:Z26"/>
    <mergeCell ref="AA26:AB26"/>
    <mergeCell ref="AC26:AD26"/>
    <mergeCell ref="AE26:AF26"/>
    <mergeCell ref="AP9:AP11"/>
    <mergeCell ref="AQ9:AQ11"/>
    <mergeCell ref="AB10:AC10"/>
    <mergeCell ref="AD10:AE10"/>
    <mergeCell ref="AF10:AG10"/>
    <mergeCell ref="AQ25:AQ27"/>
    <mergeCell ref="AP60:AP62"/>
    <mergeCell ref="F60:AO60"/>
    <mergeCell ref="T93:U93"/>
    <mergeCell ref="J122:K122"/>
    <mergeCell ref="L122:M122"/>
    <mergeCell ref="N122:O122"/>
    <mergeCell ref="P122:Q122"/>
    <mergeCell ref="R122:S122"/>
    <mergeCell ref="AH10:AI10"/>
    <mergeCell ref="X10:Y10"/>
    <mergeCell ref="Z10:AA10"/>
    <mergeCell ref="AJ10:AK10"/>
    <mergeCell ref="AL10:AM10"/>
    <mergeCell ref="AN10:AO10"/>
    <mergeCell ref="V93:W93"/>
    <mergeCell ref="T106:U106"/>
    <mergeCell ref="V106:W106"/>
    <mergeCell ref="W26:X26"/>
    <mergeCell ref="T44:U44"/>
    <mergeCell ref="V44:W44"/>
    <mergeCell ref="T56:U56"/>
    <mergeCell ref="V56:W56"/>
    <mergeCell ref="G25:AP25"/>
    <mergeCell ref="F43:AO43"/>
    <mergeCell ref="AP121:AP123"/>
    <mergeCell ref="AN113:AO113"/>
    <mergeCell ref="X93:Y93"/>
    <mergeCell ref="Z93:AA93"/>
    <mergeCell ref="AN93:AO93"/>
    <mergeCell ref="AB93:AC93"/>
    <mergeCell ref="AD93:AE93"/>
    <mergeCell ref="AF93:AG93"/>
    <mergeCell ref="AH93:AI93"/>
    <mergeCell ref="AJ93:AK93"/>
    <mergeCell ref="AL93:AM93"/>
    <mergeCell ref="AH106:AI106"/>
    <mergeCell ref="AJ106:AK106"/>
    <mergeCell ref="AJ113:AK113"/>
    <mergeCell ref="AL113:AM113"/>
    <mergeCell ref="AS43:AS45"/>
    <mergeCell ref="F122:G122"/>
    <mergeCell ref="H122:I122"/>
    <mergeCell ref="F75:AO75"/>
    <mergeCell ref="F92:AO92"/>
    <mergeCell ref="F105:AO105"/>
    <mergeCell ref="F133:AO133"/>
    <mergeCell ref="AL106:AM106"/>
    <mergeCell ref="AN106:AO106"/>
    <mergeCell ref="AD106:AE106"/>
    <mergeCell ref="AF106:AG106"/>
    <mergeCell ref="R61:S61"/>
    <mergeCell ref="X61:Y61"/>
    <mergeCell ref="Z61:AA61"/>
    <mergeCell ref="L93:M93"/>
    <mergeCell ref="N93:O93"/>
    <mergeCell ref="P93:Q93"/>
    <mergeCell ref="R93:S93"/>
    <mergeCell ref="AB61:AC61"/>
    <mergeCell ref="AD61:AE61"/>
    <mergeCell ref="AF61:AG61"/>
    <mergeCell ref="V61:W61"/>
    <mergeCell ref="T76:U76"/>
    <mergeCell ref="AR43:AR45"/>
  </mergeCells>
  <dataValidations count="2">
    <dataValidation type="whole" operator="greaterThanOrEqual" allowBlank="1" showInputMessage="1" showErrorMessage="1" sqref="F78:AO83 F136:AO141 F158:AO162 E165:H170 G28:AS40 F46:AS53 F58:AP58 F63:AP65 F71:AQ72 E87:F89 F95:AO103 F108:AO110 F115:AO119 F124:AP129 D145:E152 G175:L178 H183:AQ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F12:AR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DA190"/>
  <sheetViews>
    <sheetView showGridLines="0" zoomScaleNormal="100" workbookViewId="0"/>
  </sheetViews>
  <sheetFormatPr baseColWidth="10" defaultColWidth="11.42578125" defaultRowHeight="15" x14ac:dyDescent="0.25"/>
  <cols>
    <col min="1" max="1" width="15.28515625" customWidth="1"/>
    <col min="2" max="2" width="53.5703125" customWidth="1"/>
    <col min="3" max="3" width="23.42578125" bestFit="1" customWidth="1"/>
    <col min="4" max="5" width="14" customWidth="1"/>
    <col min="6" max="6" width="15.28515625" customWidth="1"/>
    <col min="7" max="8" width="14" customWidth="1"/>
    <col min="9" max="9" width="15" customWidth="1"/>
    <col min="10" max="11" width="14" customWidth="1"/>
    <col min="12" max="12" width="13.42578125" customWidth="1"/>
    <col min="13" max="13" width="13.140625" customWidth="1"/>
    <col min="14" max="14" width="14" customWidth="1"/>
    <col min="15" max="15" width="15.28515625" customWidth="1"/>
    <col min="16" max="16" width="13" customWidth="1"/>
    <col min="17" max="17" width="12" customWidth="1"/>
    <col min="18" max="19" width="13.42578125" customWidth="1"/>
    <col min="20" max="20" width="11.28515625" customWidth="1"/>
    <col min="21" max="21" width="12.42578125" customWidth="1"/>
    <col min="23" max="23" width="12.85546875" customWidth="1"/>
    <col min="24" max="28" width="11.28515625" customWidth="1"/>
    <col min="29" max="29" width="11.7109375" customWidth="1"/>
    <col min="31" max="31" width="13.7109375" customWidth="1"/>
    <col min="56" max="56" width="20.28515625" bestFit="1" customWidth="1"/>
    <col min="66" max="66" width="20.28515625" bestFit="1" customWidth="1"/>
    <col min="78" max="78" width="0" hidden="1" customWidth="1"/>
    <col min="79" max="79" width="11.42578125" hidden="1" customWidth="1"/>
    <col min="80" max="81" width="11.85546875" style="25" hidden="1" customWidth="1"/>
    <col min="82" max="84" width="11.42578125" style="25" hidden="1" customWidth="1"/>
    <col min="85" max="87" width="8.7109375" style="25" hidden="1" customWidth="1"/>
    <col min="88" max="91" width="11.42578125" style="25" hidden="1" customWidth="1"/>
    <col min="92" max="92" width="15.140625" style="25" hidden="1" customWidth="1"/>
    <col min="93" max="94" width="11.42578125" style="25" hidden="1" customWidth="1"/>
    <col min="95" max="95" width="11.42578125" style="25" customWidth="1"/>
    <col min="96" max="96" width="20.28515625" style="25" customWidth="1"/>
    <col min="97" max="97" width="11.42578125" style="25" customWidth="1"/>
    <col min="98" max="101" width="11.42578125" style="25"/>
  </cols>
  <sheetData>
    <row r="1" spans="1:105" x14ac:dyDescent="0.25">
      <c r="B1" s="50" t="s">
        <v>23</v>
      </c>
    </row>
    <row r="2" spans="1:105" x14ac:dyDescent="0.25">
      <c r="B2" s="50" t="str">
        <f>CONCATENATE("COMUNA: ",NOMBRE!B2, " (",NOMBRE!C2,NOMBRE!D2,NOMBRE!E2,NOMBRE!F2,NOMBRE!G2,")")</f>
        <v>COMUNA:  ()</v>
      </c>
    </row>
    <row r="3" spans="1:105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105" x14ac:dyDescent="0.25">
      <c r="B4" s="50" t="str">
        <f>CONCATENATE("MES: ",NOMBRE!B6, " (",NOMBRE!C6,NOMBRE!D6,")")</f>
        <v>MES:  ()</v>
      </c>
    </row>
    <row r="5" spans="1:105" x14ac:dyDescent="0.25">
      <c r="B5" s="50" t="str">
        <f>CONCATENATE("AÑO: ",NOMBRE!B7)</f>
        <v>AÑO: 2025</v>
      </c>
    </row>
    <row r="6" spans="1:105" ht="18" customHeight="1" x14ac:dyDescent="0.25">
      <c r="B6" s="6087" t="s">
        <v>2555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</row>
    <row r="8" spans="1:105" s="25" customFormat="1" ht="18" customHeight="1" x14ac:dyDescent="0.15">
      <c r="B8" s="4489" t="s">
        <v>2556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  <c r="R8" s="8"/>
      <c r="S8" s="8"/>
      <c r="T8" s="8"/>
      <c r="U8" s="8"/>
      <c r="V8" s="8"/>
      <c r="W8" s="8"/>
      <c r="X8" s="5"/>
      <c r="Y8" s="5"/>
      <c r="Z8" s="5"/>
      <c r="AA8" s="5"/>
      <c r="AB8" s="5"/>
      <c r="AC8" s="5"/>
    </row>
    <row r="9" spans="1:105" ht="15" customHeight="1" x14ac:dyDescent="0.25">
      <c r="B9" s="7289" t="s">
        <v>2557</v>
      </c>
      <c r="C9" s="7237"/>
      <c r="D9" s="7299" t="s">
        <v>77</v>
      </c>
      <c r="E9" s="7334" t="s">
        <v>2558</v>
      </c>
      <c r="F9" s="7406"/>
      <c r="G9" s="7406"/>
      <c r="H9" s="7335"/>
      <c r="I9" s="7257" t="s">
        <v>2559</v>
      </c>
      <c r="J9" s="7258"/>
      <c r="K9" s="7258"/>
      <c r="L9" s="7346"/>
      <c r="M9" s="7222" t="s">
        <v>2560</v>
      </c>
      <c r="N9" s="7257" t="s">
        <v>2561</v>
      </c>
      <c r="O9" s="7258"/>
      <c r="P9" s="7258"/>
      <c r="Q9" s="7258"/>
      <c r="R9" s="7258"/>
      <c r="S9" s="7259"/>
      <c r="T9" s="7289" t="s">
        <v>4365</v>
      </c>
      <c r="U9" s="7402" t="s">
        <v>2562</v>
      </c>
      <c r="V9" s="7390"/>
      <c r="W9" s="7390"/>
      <c r="X9" s="7403"/>
      <c r="Y9" s="7306" t="s">
        <v>2563</v>
      </c>
      <c r="Z9" s="7305" t="s">
        <v>2564</v>
      </c>
      <c r="AA9" s="6510" t="s">
        <v>2565</v>
      </c>
      <c r="AB9" s="7306" t="s">
        <v>36</v>
      </c>
      <c r="AC9" s="7395" t="s">
        <v>37</v>
      </c>
      <c r="AD9" s="7305" t="s">
        <v>1722</v>
      </c>
      <c r="AE9" s="7397" t="s">
        <v>2566</v>
      </c>
      <c r="AF9" s="7399" t="s">
        <v>734</v>
      </c>
      <c r="AG9" s="7400"/>
      <c r="CB9"/>
      <c r="CC9"/>
      <c r="CD9"/>
      <c r="CE9"/>
      <c r="CX9" s="25"/>
      <c r="CY9" s="25"/>
      <c r="CZ9" s="25"/>
      <c r="DA9" s="25"/>
    </row>
    <row r="10" spans="1:105" ht="27.75" customHeight="1" x14ac:dyDescent="0.25">
      <c r="B10" s="6213"/>
      <c r="C10" s="6027"/>
      <c r="D10" s="6399"/>
      <c r="E10" s="7408" t="s">
        <v>2567</v>
      </c>
      <c r="F10" s="7409" t="s">
        <v>44</v>
      </c>
      <c r="G10" s="7409" t="s">
        <v>2410</v>
      </c>
      <c r="H10" s="7410" t="s">
        <v>2568</v>
      </c>
      <c r="I10" s="7411" t="s">
        <v>2569</v>
      </c>
      <c r="J10" s="7409" t="s">
        <v>2570</v>
      </c>
      <c r="K10" s="7409" t="s">
        <v>2571</v>
      </c>
      <c r="L10" s="7332" t="s">
        <v>2572</v>
      </c>
      <c r="M10" s="7222"/>
      <c r="N10" s="7408" t="s">
        <v>2573</v>
      </c>
      <c r="O10" s="7305" t="s">
        <v>2574</v>
      </c>
      <c r="P10" s="7305" t="s">
        <v>2575</v>
      </c>
      <c r="Q10" s="7305" t="s">
        <v>2576</v>
      </c>
      <c r="R10" s="7305" t="s">
        <v>2577</v>
      </c>
      <c r="S10" s="7407" t="s">
        <v>2578</v>
      </c>
      <c r="T10" s="6213"/>
      <c r="U10" s="7402" t="s">
        <v>2579</v>
      </c>
      <c r="V10" s="7391"/>
      <c r="W10" s="7390" t="s">
        <v>2580</v>
      </c>
      <c r="X10" s="7403"/>
      <c r="Y10" s="6034"/>
      <c r="Z10" s="6386"/>
      <c r="AA10" s="6045"/>
      <c r="AB10" s="6034"/>
      <c r="AC10" s="7396"/>
      <c r="AD10" s="6386"/>
      <c r="AE10" s="6552"/>
      <c r="AF10" s="7401"/>
      <c r="AG10" s="7167"/>
      <c r="CB10"/>
      <c r="CC10"/>
      <c r="CD10"/>
      <c r="CE10"/>
      <c r="CX10" s="25"/>
      <c r="CY10" s="25"/>
      <c r="CZ10" s="25"/>
      <c r="DA10" s="25"/>
    </row>
    <row r="11" spans="1:105" ht="31.5" x14ac:dyDescent="0.25">
      <c r="B11" s="6734"/>
      <c r="C11" s="6955"/>
      <c r="D11" s="6750"/>
      <c r="E11" s="6751"/>
      <c r="F11" s="6083"/>
      <c r="G11" s="6083"/>
      <c r="H11" s="6067"/>
      <c r="I11" s="7083"/>
      <c r="J11" s="6083"/>
      <c r="K11" s="6083"/>
      <c r="L11" s="6964"/>
      <c r="M11" s="7222"/>
      <c r="N11" s="6751"/>
      <c r="O11" s="6086"/>
      <c r="P11" s="6086"/>
      <c r="Q11" s="6086"/>
      <c r="R11" s="6086"/>
      <c r="S11" s="6224"/>
      <c r="T11" s="6734"/>
      <c r="U11" s="1217" t="s">
        <v>2581</v>
      </c>
      <c r="V11" s="1067" t="s">
        <v>2582</v>
      </c>
      <c r="W11" s="1110" t="s">
        <v>2581</v>
      </c>
      <c r="X11" s="1111" t="s">
        <v>2582</v>
      </c>
      <c r="Y11" s="6035"/>
      <c r="Z11" s="6086"/>
      <c r="AA11" s="6735"/>
      <c r="AB11" s="6035"/>
      <c r="AC11" s="7214"/>
      <c r="AD11" s="6086"/>
      <c r="AE11" s="7398"/>
      <c r="AF11" s="4493" t="s">
        <v>60</v>
      </c>
      <c r="AG11" s="1227" t="s">
        <v>62</v>
      </c>
      <c r="CB11"/>
      <c r="CC11"/>
      <c r="CD11"/>
      <c r="CE11"/>
      <c r="CX11" s="25"/>
      <c r="CY11" s="25"/>
      <c r="CZ11" s="25"/>
      <c r="DA11" s="25"/>
    </row>
    <row r="12" spans="1:105" s="19" customFormat="1" ht="15" customHeight="1" x14ac:dyDescent="0.2">
      <c r="A12" s="5606"/>
      <c r="B12" s="7291" t="s">
        <v>2583</v>
      </c>
      <c r="C12" s="7244"/>
      <c r="D12" s="4494">
        <f>SUM(D13:D16)</f>
        <v>0</v>
      </c>
      <c r="E12" s="4495">
        <f t="shared" ref="E12:AE12" si="0">SUM(E13:E16)</f>
        <v>0</v>
      </c>
      <c r="F12" s="4496">
        <f t="shared" si="0"/>
        <v>0</v>
      </c>
      <c r="G12" s="4497">
        <f t="shared" si="0"/>
        <v>0</v>
      </c>
      <c r="H12" s="4498">
        <f t="shared" si="0"/>
        <v>0</v>
      </c>
      <c r="I12" s="4495">
        <f t="shared" si="0"/>
        <v>0</v>
      </c>
      <c r="J12" s="4496">
        <f t="shared" si="0"/>
        <v>0</v>
      </c>
      <c r="K12" s="4499">
        <f t="shared" si="0"/>
        <v>0</v>
      </c>
      <c r="L12" s="4500">
        <f t="shared" si="0"/>
        <v>0</v>
      </c>
      <c r="M12" s="4501">
        <f t="shared" si="0"/>
        <v>0</v>
      </c>
      <c r="N12" s="4495">
        <f t="shared" si="0"/>
        <v>0</v>
      </c>
      <c r="O12" s="4496">
        <f t="shared" si="0"/>
        <v>0</v>
      </c>
      <c r="P12" s="4499">
        <f t="shared" si="0"/>
        <v>0</v>
      </c>
      <c r="Q12" s="4496">
        <f t="shared" si="0"/>
        <v>0</v>
      </c>
      <c r="R12" s="4499">
        <f t="shared" si="0"/>
        <v>0</v>
      </c>
      <c r="S12" s="4502">
        <f t="shared" si="0"/>
        <v>0</v>
      </c>
      <c r="T12" s="4498">
        <f t="shared" si="0"/>
        <v>0</v>
      </c>
      <c r="U12" s="4503">
        <f t="shared" si="0"/>
        <v>0</v>
      </c>
      <c r="V12" s="4498">
        <f t="shared" si="0"/>
        <v>0</v>
      </c>
      <c r="W12" s="4495">
        <f t="shared" si="0"/>
        <v>0</v>
      </c>
      <c r="X12" s="4504">
        <f t="shared" si="0"/>
        <v>0</v>
      </c>
      <c r="Y12" s="4503">
        <f t="shared" si="0"/>
        <v>0</v>
      </c>
      <c r="Z12" s="4496">
        <f t="shared" si="0"/>
        <v>0</v>
      </c>
      <c r="AA12" s="1274">
        <f t="shared" si="0"/>
        <v>0</v>
      </c>
      <c r="AB12" s="4503">
        <f t="shared" si="0"/>
        <v>0</v>
      </c>
      <c r="AC12" s="4496">
        <f t="shared" si="0"/>
        <v>0</v>
      </c>
      <c r="AD12" s="4496">
        <f t="shared" si="0"/>
        <v>0</v>
      </c>
      <c r="AE12" s="4504">
        <f t="shared" si="0"/>
        <v>0</v>
      </c>
      <c r="AF12" s="4497">
        <f>SUM(AF13:AF16)</f>
        <v>0</v>
      </c>
      <c r="AG12" s="4498">
        <f>SUM(AG13:AG16)</f>
        <v>0</v>
      </c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</row>
    <row r="13" spans="1:105" s="19" customFormat="1" ht="15" customHeight="1" x14ac:dyDescent="0.25">
      <c r="A13" s="5865" t="s">
        <v>6024</v>
      </c>
      <c r="B13" s="7361" t="s">
        <v>2584</v>
      </c>
      <c r="C13" s="7362"/>
      <c r="D13" s="1085" t="s">
        <v>4567</v>
      </c>
      <c r="E13" s="1081" t="s">
        <v>4568</v>
      </c>
      <c r="F13" s="1083" t="s">
        <v>4569</v>
      </c>
      <c r="G13" s="1083" t="s">
        <v>4570</v>
      </c>
      <c r="H13" s="1082" t="s">
        <v>4571</v>
      </c>
      <c r="I13" s="1081" t="s">
        <v>4572</v>
      </c>
      <c r="J13" s="750" t="s">
        <v>4573</v>
      </c>
      <c r="K13" s="750" t="s">
        <v>4574</v>
      </c>
      <c r="L13" s="1082" t="s">
        <v>4575</v>
      </c>
      <c r="M13" s="4348" t="s">
        <v>4576</v>
      </c>
      <c r="N13" s="750" t="s">
        <v>4577</v>
      </c>
      <c r="O13" s="750" t="s">
        <v>4578</v>
      </c>
      <c r="P13" s="750" t="s">
        <v>4579</v>
      </c>
      <c r="Q13" s="750" t="s">
        <v>4580</v>
      </c>
      <c r="R13" s="750" t="s">
        <v>4581</v>
      </c>
      <c r="S13" s="736" t="s">
        <v>4582</v>
      </c>
      <c r="T13" s="1082" t="s">
        <v>4583</v>
      </c>
      <c r="U13" s="1294" t="s">
        <v>4584</v>
      </c>
      <c r="V13" s="748" t="s">
        <v>4585</v>
      </c>
      <c r="W13" s="1083" t="s">
        <v>4586</v>
      </c>
      <c r="X13" s="1259" t="s">
        <v>4587</v>
      </c>
      <c r="Y13" s="1294" t="s">
        <v>4588</v>
      </c>
      <c r="Z13" s="750" t="s">
        <v>4589</v>
      </c>
      <c r="AA13" s="4347" t="s">
        <v>4590</v>
      </c>
      <c r="AB13" s="1294" t="s">
        <v>4591</v>
      </c>
      <c r="AC13" s="750" t="s">
        <v>4592</v>
      </c>
      <c r="AD13" s="750" t="s">
        <v>4593</v>
      </c>
      <c r="AE13" s="1259" t="s">
        <v>4594</v>
      </c>
      <c r="AF13" s="1083" t="s">
        <v>4595</v>
      </c>
      <c r="AG13" s="1082" t="s">
        <v>4596</v>
      </c>
      <c r="AH13" s="1936" t="e">
        <f>$CB13&amp;CC13&amp;CD13&amp;CE13&amp;CF13</f>
        <v>#VALUE!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 s="3944" t="str">
        <f t="shared" ref="CB13:CB23" si="1">IF(AND(D13&gt;0,AB13="")," * No olvide digitar la variable Pueblos originarios. Digite Cero si no tiene.",IF(AB13&gt;D13," * La variable Pueblos originarios no puede ser mayor al Total.",""))</f>
        <v xml:space="preserve"> * La variable Pueblos originarios no puede ser mayor al Total.</v>
      </c>
      <c r="CC13" s="3944" t="str">
        <f t="shared" ref="CC13:CC23" si="2">IF(AND(D13&gt;0,AC13="")," * No olvide digitar la variable Migrantes. Digite Cero si no tiene.",IF(AC13&gt;D13," * La variable Migrantes no puede ser mayor al Total.",""))</f>
        <v xml:space="preserve"> * La variable Migrantes no puede ser mayor al Total.</v>
      </c>
      <c r="CD13" s="3944" t="str">
        <f t="shared" ref="CD13:CD23" si="3">IF(AND($D13&gt;0,OR(AD13=""))," * No olvide digitar la variable "&amp;$AD$9&amp;""&amp;". Digite Cero si no tiene.",IF(OR(AD13&gt;$D13)," * La variable Discapacidad no puede ser mayor al Total.",""))</f>
        <v xml:space="preserve"> * La variable Discapacidad no puede ser mayor al Total.</v>
      </c>
      <c r="CE13" s="3944" t="str">
        <f t="shared" ref="CE13:CE23" si="4">IF(AND($D13&gt;0,OR(AE13=""))," * No olvide digitar la variable "&amp;$AE$9&amp;""&amp;". Digite Cero si no tiene.",IF(OR(AE13&gt;$D13)," * La variable "&amp;$AE$9&amp;""&amp;" no puede ser mayor al Total.",""))</f>
        <v xml:space="preserve"> * La variable Privada de Libertad no puede ser mayor al Total.</v>
      </c>
      <c r="CF13" s="3944" t="e">
        <f>IF(AND($D13&gt;0,OR(AF13="",AG13=""))," * No olvide digitar la variable "&amp;$AF$9&amp;""&amp;". Digite Cero si no tiene.",IF(OR(AF13+AG13&gt;$D13)," * La variable "&amp;$AF$9&amp;""&amp;" no puede ser mayor al Total.",""))</f>
        <v>#VALUE!</v>
      </c>
      <c r="CJ13" s="1867">
        <f>IF(AND($D13&gt;0,AB13=""),1,IF(AB13&gt;$D13,1,0))</f>
        <v>1</v>
      </c>
      <c r="CK13" s="1867">
        <f>IF(AND($D13&gt;0,AC13=""),1,IF(AC13&gt;$D13,1,0))</f>
        <v>1</v>
      </c>
      <c r="CL13" s="1867">
        <f>IF(AND($D13&gt;0,AD13=""),1,IF(AD13&gt;$D13,1,0))</f>
        <v>1</v>
      </c>
      <c r="CM13" s="1867">
        <f>IF(AND($D13&gt;0,AE13=""),1,IF(AE13&gt;$D13,1,0))</f>
        <v>1</v>
      </c>
      <c r="CN13" s="1867" t="e">
        <f>IF(AND($D13&gt;0,AF13="",AG13=""),1,IF(AF13+AG13&gt;$D13,1,0))</f>
        <v>#VALUE!</v>
      </c>
      <c r="CO13" s="4"/>
      <c r="CP13" s="4"/>
      <c r="CT13"/>
      <c r="CU13" s="3211"/>
      <c r="CV13" s="25"/>
      <c r="CW13" s="25"/>
      <c r="CX13" s="25"/>
      <c r="CY13" s="25"/>
      <c r="CZ13" s="25"/>
      <c r="DA13" s="25"/>
    </row>
    <row r="14" spans="1:105" s="19" customFormat="1" ht="15" customHeight="1" x14ac:dyDescent="0.25">
      <c r="A14" s="5865">
        <v>29101714</v>
      </c>
      <c r="B14" s="7363" t="s">
        <v>2585</v>
      </c>
      <c r="C14" s="7364"/>
      <c r="D14" s="1094" t="s">
        <v>4567</v>
      </c>
      <c r="E14" s="1089" t="s">
        <v>4568</v>
      </c>
      <c r="F14" s="1091" t="s">
        <v>4569</v>
      </c>
      <c r="G14" s="1091" t="s">
        <v>4570</v>
      </c>
      <c r="H14" s="1090" t="s">
        <v>4571</v>
      </c>
      <c r="I14" s="1089" t="s">
        <v>4572</v>
      </c>
      <c r="J14" s="1253" t="s">
        <v>4573</v>
      </c>
      <c r="K14" s="1253" t="s">
        <v>4574</v>
      </c>
      <c r="L14" s="1090" t="s">
        <v>4575</v>
      </c>
      <c r="M14" s="4505" t="s">
        <v>4576</v>
      </c>
      <c r="N14" s="1253" t="s">
        <v>4577</v>
      </c>
      <c r="O14" s="1253" t="s">
        <v>4578</v>
      </c>
      <c r="P14" s="1253" t="s">
        <v>4579</v>
      </c>
      <c r="Q14" s="1253" t="s">
        <v>4580</v>
      </c>
      <c r="R14" s="1253" t="s">
        <v>4581</v>
      </c>
      <c r="S14" s="1095" t="s">
        <v>4582</v>
      </c>
      <c r="T14" s="1090" t="s">
        <v>4583</v>
      </c>
      <c r="U14" s="1299" t="s">
        <v>4584</v>
      </c>
      <c r="V14" s="1093" t="s">
        <v>4585</v>
      </c>
      <c r="W14" s="1091" t="s">
        <v>4586</v>
      </c>
      <c r="X14" s="1295" t="s">
        <v>4587</v>
      </c>
      <c r="Y14" s="1299" t="s">
        <v>4588</v>
      </c>
      <c r="Z14" s="1253" t="s">
        <v>4589</v>
      </c>
      <c r="AA14" s="1311" t="s">
        <v>4590</v>
      </c>
      <c r="AB14" s="1299" t="s">
        <v>4591</v>
      </c>
      <c r="AC14" s="1253" t="s">
        <v>4592</v>
      </c>
      <c r="AD14" s="1253" t="s">
        <v>4593</v>
      </c>
      <c r="AE14" s="1295" t="s">
        <v>4594</v>
      </c>
      <c r="AF14" s="1091" t="s">
        <v>4595</v>
      </c>
      <c r="AG14" s="1090" t="s">
        <v>4596</v>
      </c>
      <c r="AH14" s="1936" t="e">
        <f t="shared" ref="AH14:AH23" si="5">$CB14&amp;CC14&amp;CD14&amp;CE14&amp;CF14</f>
        <v>#VALUE!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 s="3944" t="str">
        <f t="shared" si="1"/>
        <v xml:space="preserve"> * La variable Pueblos originarios no puede ser mayor al Total.</v>
      </c>
      <c r="CC14" s="3944" t="str">
        <f t="shared" si="2"/>
        <v xml:space="preserve"> * La variable Migrantes no puede ser mayor al Total.</v>
      </c>
      <c r="CD14" s="3944" t="str">
        <f t="shared" si="3"/>
        <v xml:space="preserve"> * La variable Discapacidad no puede ser mayor al Total.</v>
      </c>
      <c r="CE14" s="3944" t="str">
        <f t="shared" si="4"/>
        <v xml:space="preserve"> * La variable Privada de Libertad no puede ser mayor al Total.</v>
      </c>
      <c r="CF14" s="3944" t="e">
        <f t="shared" ref="CF14:CF23" si="6">IF(AND($D14&gt;0,OR(AF14="",AG14=""))," * No olvide digitar la variable "&amp;$AF$9&amp;""&amp;". Digite Cero si no tiene.",IF(OR(AF14+AG14&gt;$D14)," * La variable "&amp;$AF$9&amp;""&amp;" no puede ser mayor al Total.",""))</f>
        <v>#VALUE!</v>
      </c>
      <c r="CJ14" s="1867">
        <f t="shared" ref="CJ14:CJ23" si="7">IF(AND($D14&gt;0,AB14=""),1,IF(AB14&gt;$D14,1,0))</f>
        <v>1</v>
      </c>
      <c r="CK14" s="1867">
        <f t="shared" ref="CK14:CK23" si="8">IF(AND($D14&gt;0,AC14=""),1,IF(AC14&gt;$D14,1,0))</f>
        <v>1</v>
      </c>
      <c r="CL14" s="1867">
        <f t="shared" ref="CL14:CL23" si="9">IF(AND($D14&gt;0,AD14=""),1,IF(AD14&gt;$D14,1,0))</f>
        <v>1</v>
      </c>
      <c r="CM14" s="1867">
        <f t="shared" ref="CM14:CM23" si="10">IF(AND($D14&gt;0,AE14=""),1,IF(AE14&gt;$D14,1,0))</f>
        <v>1</v>
      </c>
      <c r="CN14" s="1867" t="e">
        <f t="shared" ref="CN14:CN23" si="11">IF(AND($D14&gt;0,AF14="",AG14=""),1,IF(AF14+AG14&gt;$D14,1,0))</f>
        <v>#VALUE!</v>
      </c>
      <c r="CO14" s="4"/>
      <c r="CP14" s="4"/>
      <c r="CT14"/>
      <c r="CU14" s="3211"/>
      <c r="CV14" s="25"/>
      <c r="CW14" s="25"/>
      <c r="CX14" s="25"/>
      <c r="CY14" s="25"/>
      <c r="CZ14" s="25"/>
      <c r="DA14" s="25"/>
    </row>
    <row r="15" spans="1:105" s="19" customFormat="1" ht="15" customHeight="1" x14ac:dyDescent="0.25">
      <c r="A15" s="5865" t="s">
        <v>6025</v>
      </c>
      <c r="B15" s="7363" t="s">
        <v>2586</v>
      </c>
      <c r="C15" s="7364"/>
      <c r="D15" s="1094" t="s">
        <v>4567</v>
      </c>
      <c r="E15" s="1089" t="s">
        <v>4568</v>
      </c>
      <c r="F15" s="1091" t="s">
        <v>4569</v>
      </c>
      <c r="G15" s="1091" t="s">
        <v>4570</v>
      </c>
      <c r="H15" s="1090" t="s">
        <v>4571</v>
      </c>
      <c r="I15" s="1089" t="s">
        <v>4572</v>
      </c>
      <c r="J15" s="1253" t="s">
        <v>4573</v>
      </c>
      <c r="K15" s="1253" t="s">
        <v>4574</v>
      </c>
      <c r="L15" s="1090" t="s">
        <v>4575</v>
      </c>
      <c r="M15" s="4505" t="s">
        <v>4576</v>
      </c>
      <c r="N15" s="1253" t="s">
        <v>4577</v>
      </c>
      <c r="O15" s="1253" t="s">
        <v>4578</v>
      </c>
      <c r="P15" s="1253" t="s">
        <v>4579</v>
      </c>
      <c r="Q15" s="1253" t="s">
        <v>4580</v>
      </c>
      <c r="R15" s="1253" t="s">
        <v>4581</v>
      </c>
      <c r="S15" s="1095" t="s">
        <v>4582</v>
      </c>
      <c r="T15" s="1090" t="s">
        <v>4583</v>
      </c>
      <c r="U15" s="1299" t="s">
        <v>4584</v>
      </c>
      <c r="V15" s="1093" t="s">
        <v>4585</v>
      </c>
      <c r="W15" s="1091" t="s">
        <v>4586</v>
      </c>
      <c r="X15" s="1295" t="s">
        <v>4587</v>
      </c>
      <c r="Y15" s="1299" t="s">
        <v>4588</v>
      </c>
      <c r="Z15" s="1253" t="s">
        <v>4589</v>
      </c>
      <c r="AA15" s="1311" t="s">
        <v>4590</v>
      </c>
      <c r="AB15" s="1299" t="s">
        <v>4591</v>
      </c>
      <c r="AC15" s="1253" t="s">
        <v>4592</v>
      </c>
      <c r="AD15" s="1253" t="s">
        <v>4593</v>
      </c>
      <c r="AE15" s="1295" t="s">
        <v>4594</v>
      </c>
      <c r="AF15" s="1091" t="s">
        <v>4595</v>
      </c>
      <c r="AG15" s="1090" t="s">
        <v>4596</v>
      </c>
      <c r="AH15" s="1936" t="e">
        <f t="shared" si="5"/>
        <v>#VALUE!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 s="3944" t="str">
        <f t="shared" si="1"/>
        <v xml:space="preserve"> * La variable Pueblos originarios no puede ser mayor al Total.</v>
      </c>
      <c r="CC15" s="3944" t="str">
        <f t="shared" si="2"/>
        <v xml:space="preserve"> * La variable Migrantes no puede ser mayor al Total.</v>
      </c>
      <c r="CD15" s="3944" t="str">
        <f t="shared" si="3"/>
        <v xml:space="preserve"> * La variable Discapacidad no puede ser mayor al Total.</v>
      </c>
      <c r="CE15" s="3944" t="str">
        <f t="shared" si="4"/>
        <v xml:space="preserve"> * La variable Privada de Libertad no puede ser mayor al Total.</v>
      </c>
      <c r="CF15" s="3944" t="e">
        <f t="shared" si="6"/>
        <v>#VALUE!</v>
      </c>
      <c r="CJ15" s="1867">
        <f t="shared" si="7"/>
        <v>1</v>
      </c>
      <c r="CK15" s="1867">
        <f t="shared" si="8"/>
        <v>1</v>
      </c>
      <c r="CL15" s="1867">
        <f t="shared" si="9"/>
        <v>1</v>
      </c>
      <c r="CM15" s="1867">
        <f t="shared" si="10"/>
        <v>1</v>
      </c>
      <c r="CN15" s="1867" t="e">
        <f t="shared" si="11"/>
        <v>#VALUE!</v>
      </c>
      <c r="CO15" s="4"/>
      <c r="CP15" s="4"/>
      <c r="CT15"/>
      <c r="CU15" s="3211"/>
      <c r="CV15" s="25"/>
      <c r="CW15" s="25"/>
      <c r="CX15" s="25"/>
      <c r="CY15" s="25"/>
      <c r="CZ15" s="25"/>
      <c r="DA15" s="25"/>
    </row>
    <row r="16" spans="1:105" s="19" customFormat="1" ht="15" customHeight="1" x14ac:dyDescent="0.25">
      <c r="A16" s="5865">
        <v>24090700</v>
      </c>
      <c r="B16" s="7343" t="s">
        <v>2587</v>
      </c>
      <c r="C16" s="6838"/>
      <c r="D16" s="1129" t="s">
        <v>4567</v>
      </c>
      <c r="E16" s="1114" t="s">
        <v>4568</v>
      </c>
      <c r="F16" s="1127" t="s">
        <v>4569</v>
      </c>
      <c r="G16" s="1127" t="s">
        <v>4570</v>
      </c>
      <c r="H16" s="387" t="s">
        <v>4571</v>
      </c>
      <c r="I16" s="1114" t="s">
        <v>4572</v>
      </c>
      <c r="J16" s="1258" t="s">
        <v>4573</v>
      </c>
      <c r="K16" s="1258" t="s">
        <v>4574</v>
      </c>
      <c r="L16" s="387" t="s">
        <v>4575</v>
      </c>
      <c r="M16" s="4506" t="s">
        <v>4576</v>
      </c>
      <c r="N16" s="1258" t="s">
        <v>4577</v>
      </c>
      <c r="O16" s="1258" t="s">
        <v>4578</v>
      </c>
      <c r="P16" s="1258" t="s">
        <v>4579</v>
      </c>
      <c r="Q16" s="1258" t="s">
        <v>4580</v>
      </c>
      <c r="R16" s="1258" t="s">
        <v>4581</v>
      </c>
      <c r="S16" s="1324" t="s">
        <v>4582</v>
      </c>
      <c r="T16" s="387" t="s">
        <v>4583</v>
      </c>
      <c r="U16" s="1303" t="s">
        <v>4584</v>
      </c>
      <c r="V16" s="1115" t="s">
        <v>4585</v>
      </c>
      <c r="W16" s="1127" t="s">
        <v>4586</v>
      </c>
      <c r="X16" s="391" t="s">
        <v>4587</v>
      </c>
      <c r="Y16" s="1303" t="s">
        <v>4588</v>
      </c>
      <c r="Z16" s="1258" t="s">
        <v>4589</v>
      </c>
      <c r="AA16" s="557" t="s">
        <v>4590</v>
      </c>
      <c r="AB16" s="1303" t="s">
        <v>4591</v>
      </c>
      <c r="AC16" s="1258" t="s">
        <v>4592</v>
      </c>
      <c r="AD16" s="1258" t="s">
        <v>4593</v>
      </c>
      <c r="AE16" s="391" t="s">
        <v>4594</v>
      </c>
      <c r="AF16" s="1127" t="s">
        <v>4595</v>
      </c>
      <c r="AG16" s="387" t="s">
        <v>4596</v>
      </c>
      <c r="AH16" s="1936" t="e">
        <f t="shared" si="5"/>
        <v>#VALUE!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 s="3944" t="str">
        <f t="shared" si="1"/>
        <v xml:space="preserve"> * La variable Pueblos originarios no puede ser mayor al Total.</v>
      </c>
      <c r="CC16" s="3944" t="str">
        <f t="shared" si="2"/>
        <v xml:space="preserve"> * La variable Migrantes no puede ser mayor al Total.</v>
      </c>
      <c r="CD16" s="3944" t="str">
        <f t="shared" si="3"/>
        <v xml:space="preserve"> * La variable Discapacidad no puede ser mayor al Total.</v>
      </c>
      <c r="CE16" s="3944" t="str">
        <f t="shared" si="4"/>
        <v xml:space="preserve"> * La variable Privada de Libertad no puede ser mayor al Total.</v>
      </c>
      <c r="CF16" s="3944" t="e">
        <f t="shared" si="6"/>
        <v>#VALUE!</v>
      </c>
      <c r="CJ16" s="1867">
        <f t="shared" si="7"/>
        <v>1</v>
      </c>
      <c r="CK16" s="1867">
        <f t="shared" si="8"/>
        <v>1</v>
      </c>
      <c r="CL16" s="1867">
        <f t="shared" si="9"/>
        <v>1</v>
      </c>
      <c r="CM16" s="1867">
        <f t="shared" si="10"/>
        <v>1</v>
      </c>
      <c r="CN16" s="1867" t="e">
        <f t="shared" si="11"/>
        <v>#VALUE!</v>
      </c>
      <c r="CO16" s="4"/>
      <c r="CP16" s="4"/>
      <c r="CT16"/>
      <c r="CU16" s="3211"/>
      <c r="CV16" s="25"/>
      <c r="CW16" s="25"/>
      <c r="CX16" s="25"/>
      <c r="CY16" s="25"/>
      <c r="CZ16" s="25"/>
      <c r="DA16" s="25"/>
    </row>
    <row r="17" spans="1:105" s="19" customFormat="1" ht="15" customHeight="1" x14ac:dyDescent="0.25">
      <c r="A17" s="5865">
        <v>29101715</v>
      </c>
      <c r="B17" s="7344" t="s">
        <v>2588</v>
      </c>
      <c r="C17" s="7345"/>
      <c r="D17" s="1085" t="s">
        <v>4567</v>
      </c>
      <c r="E17" s="1081" t="s">
        <v>4568</v>
      </c>
      <c r="F17" s="1083" t="s">
        <v>4569</v>
      </c>
      <c r="G17" s="1083" t="s">
        <v>4570</v>
      </c>
      <c r="H17" s="1082" t="s">
        <v>4571</v>
      </c>
      <c r="I17" s="1081" t="s">
        <v>4572</v>
      </c>
      <c r="J17" s="750" t="s">
        <v>4573</v>
      </c>
      <c r="K17" s="750" t="s">
        <v>4574</v>
      </c>
      <c r="L17" s="1082" t="s">
        <v>4575</v>
      </c>
      <c r="M17" s="4348" t="s">
        <v>4576</v>
      </c>
      <c r="N17" s="750" t="s">
        <v>4577</v>
      </c>
      <c r="O17" s="750" t="s">
        <v>4578</v>
      </c>
      <c r="P17" s="750" t="s">
        <v>4579</v>
      </c>
      <c r="Q17" s="750" t="s">
        <v>4580</v>
      </c>
      <c r="R17" s="750" t="s">
        <v>4581</v>
      </c>
      <c r="S17" s="736" t="s">
        <v>4582</v>
      </c>
      <c r="T17" s="1082" t="s">
        <v>4583</v>
      </c>
      <c r="U17" s="1294" t="s">
        <v>4584</v>
      </c>
      <c r="V17" s="748" t="s">
        <v>4585</v>
      </c>
      <c r="W17" s="1083" t="s">
        <v>4586</v>
      </c>
      <c r="X17" s="1259" t="s">
        <v>4587</v>
      </c>
      <c r="Y17" s="1294" t="s">
        <v>4588</v>
      </c>
      <c r="Z17" s="750" t="s">
        <v>4589</v>
      </c>
      <c r="AA17" s="4347" t="s">
        <v>4590</v>
      </c>
      <c r="AB17" s="1294" t="s">
        <v>4591</v>
      </c>
      <c r="AC17" s="750" t="s">
        <v>4592</v>
      </c>
      <c r="AD17" s="750" t="s">
        <v>4593</v>
      </c>
      <c r="AE17" s="1259" t="s">
        <v>4594</v>
      </c>
      <c r="AF17" s="1083" t="s">
        <v>4595</v>
      </c>
      <c r="AG17" s="1082" t="s">
        <v>4596</v>
      </c>
      <c r="AH17" s="1936" t="e">
        <f t="shared" si="5"/>
        <v>#VALUE!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 s="3944" t="str">
        <f t="shared" si="1"/>
        <v xml:space="preserve"> * La variable Pueblos originarios no puede ser mayor al Total.</v>
      </c>
      <c r="CC17" s="3944" t="str">
        <f t="shared" si="2"/>
        <v xml:space="preserve"> * La variable Migrantes no puede ser mayor al Total.</v>
      </c>
      <c r="CD17" s="3944" t="str">
        <f t="shared" si="3"/>
        <v xml:space="preserve"> * La variable Discapacidad no puede ser mayor al Total.</v>
      </c>
      <c r="CE17" s="3944" t="str">
        <f t="shared" si="4"/>
        <v xml:space="preserve"> * La variable Privada de Libertad no puede ser mayor al Total.</v>
      </c>
      <c r="CF17" s="3944" t="e">
        <f t="shared" si="6"/>
        <v>#VALUE!</v>
      </c>
      <c r="CJ17" s="1867">
        <f t="shared" si="7"/>
        <v>1</v>
      </c>
      <c r="CK17" s="1867">
        <f t="shared" si="8"/>
        <v>1</v>
      </c>
      <c r="CL17" s="1867">
        <f t="shared" si="9"/>
        <v>1</v>
      </c>
      <c r="CM17" s="1867">
        <f t="shared" si="10"/>
        <v>1</v>
      </c>
      <c r="CN17" s="1867" t="e">
        <f t="shared" si="11"/>
        <v>#VALUE!</v>
      </c>
      <c r="CO17" s="4"/>
      <c r="CP17" s="4"/>
      <c r="CT17"/>
      <c r="CU17" s="3211"/>
      <c r="CV17" s="25"/>
      <c r="CW17" s="25"/>
      <c r="CX17" s="25"/>
      <c r="CY17" s="25"/>
      <c r="CZ17" s="25"/>
      <c r="DA17" s="25"/>
    </row>
    <row r="18" spans="1:105" s="19" customFormat="1" ht="15" customHeight="1" x14ac:dyDescent="0.25">
      <c r="A18" s="5865">
        <v>29101716</v>
      </c>
      <c r="B18" s="7341" t="s">
        <v>2589</v>
      </c>
      <c r="C18" s="7342"/>
      <c r="D18" s="306" t="s">
        <v>4567</v>
      </c>
      <c r="E18" s="1089" t="s">
        <v>4568</v>
      </c>
      <c r="F18" s="1091" t="s">
        <v>4569</v>
      </c>
      <c r="G18" s="1091" t="s">
        <v>4570</v>
      </c>
      <c r="H18" s="1090" t="s">
        <v>4571</v>
      </c>
      <c r="I18" s="1089" t="s">
        <v>4572</v>
      </c>
      <c r="J18" s="1253" t="s">
        <v>4573</v>
      </c>
      <c r="K18" s="1253" t="s">
        <v>4574</v>
      </c>
      <c r="L18" s="1090" t="s">
        <v>4575</v>
      </c>
      <c r="M18" s="4505" t="s">
        <v>4576</v>
      </c>
      <c r="N18" s="1253" t="s">
        <v>4577</v>
      </c>
      <c r="O18" s="1253" t="s">
        <v>4578</v>
      </c>
      <c r="P18" s="1253" t="s">
        <v>4579</v>
      </c>
      <c r="Q18" s="1253" t="s">
        <v>4580</v>
      </c>
      <c r="R18" s="1253" t="s">
        <v>4581</v>
      </c>
      <c r="S18" s="1095" t="s">
        <v>4582</v>
      </c>
      <c r="T18" s="1090" t="s">
        <v>4583</v>
      </c>
      <c r="U18" s="1299" t="s">
        <v>4584</v>
      </c>
      <c r="V18" s="1093" t="s">
        <v>4585</v>
      </c>
      <c r="W18" s="1091" t="s">
        <v>4586</v>
      </c>
      <c r="X18" s="1295" t="s">
        <v>4587</v>
      </c>
      <c r="Y18" s="1299" t="s">
        <v>4588</v>
      </c>
      <c r="Z18" s="1253" t="s">
        <v>4589</v>
      </c>
      <c r="AA18" s="1311" t="s">
        <v>4590</v>
      </c>
      <c r="AB18" s="1299" t="s">
        <v>4591</v>
      </c>
      <c r="AC18" s="1253" t="s">
        <v>4592</v>
      </c>
      <c r="AD18" s="1253" t="s">
        <v>4593</v>
      </c>
      <c r="AE18" s="1295" t="s">
        <v>4594</v>
      </c>
      <c r="AF18" s="1091" t="s">
        <v>4595</v>
      </c>
      <c r="AG18" s="1090" t="s">
        <v>4596</v>
      </c>
      <c r="AH18" s="1936" t="e">
        <f t="shared" si="5"/>
        <v>#VALUE!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 s="3944" t="str">
        <f t="shared" si="1"/>
        <v xml:space="preserve"> * La variable Pueblos originarios no puede ser mayor al Total.</v>
      </c>
      <c r="CC18" s="3944" t="str">
        <f t="shared" si="2"/>
        <v xml:space="preserve"> * La variable Migrantes no puede ser mayor al Total.</v>
      </c>
      <c r="CD18" s="3944" t="str">
        <f t="shared" si="3"/>
        <v xml:space="preserve"> * La variable Discapacidad no puede ser mayor al Total.</v>
      </c>
      <c r="CE18" s="3944" t="str">
        <f t="shared" si="4"/>
        <v xml:space="preserve"> * La variable Privada de Libertad no puede ser mayor al Total.</v>
      </c>
      <c r="CF18" s="3944" t="e">
        <f t="shared" si="6"/>
        <v>#VALUE!</v>
      </c>
      <c r="CJ18" s="1867">
        <f t="shared" si="7"/>
        <v>1</v>
      </c>
      <c r="CK18" s="1867">
        <f t="shared" si="8"/>
        <v>1</v>
      </c>
      <c r="CL18" s="1867">
        <f t="shared" si="9"/>
        <v>1</v>
      </c>
      <c r="CM18" s="1867">
        <f t="shared" si="10"/>
        <v>1</v>
      </c>
      <c r="CN18" s="1867" t="e">
        <f t="shared" si="11"/>
        <v>#VALUE!</v>
      </c>
      <c r="CO18" s="4"/>
      <c r="CP18" s="4"/>
      <c r="CT18"/>
      <c r="CU18" s="3211"/>
      <c r="CV18" s="25"/>
      <c r="CW18" s="25"/>
      <c r="CX18" s="25"/>
      <c r="CY18" s="25"/>
      <c r="CZ18" s="25"/>
      <c r="DA18" s="25"/>
    </row>
    <row r="19" spans="1:105" s="19" customFormat="1" ht="15" customHeight="1" x14ac:dyDescent="0.25">
      <c r="A19" s="5866">
        <v>24311010</v>
      </c>
      <c r="B19" s="6906" t="s">
        <v>2590</v>
      </c>
      <c r="C19" s="7007"/>
      <c r="D19" s="4506" t="s">
        <v>4567</v>
      </c>
      <c r="E19" s="1264" t="s">
        <v>4568</v>
      </c>
      <c r="F19" s="3249" t="s">
        <v>4569</v>
      </c>
      <c r="G19" s="3249" t="s">
        <v>4570</v>
      </c>
      <c r="H19" s="1447" t="s">
        <v>4571</v>
      </c>
      <c r="I19" s="1264" t="s">
        <v>4572</v>
      </c>
      <c r="J19" s="262" t="s">
        <v>4573</v>
      </c>
      <c r="K19" s="262" t="s">
        <v>4574</v>
      </c>
      <c r="L19" s="1447" t="s">
        <v>4575</v>
      </c>
      <c r="M19" s="3367" t="s">
        <v>4576</v>
      </c>
      <c r="N19" s="262" t="s">
        <v>4577</v>
      </c>
      <c r="O19" s="262" t="s">
        <v>4578</v>
      </c>
      <c r="P19" s="262" t="s">
        <v>4579</v>
      </c>
      <c r="Q19" s="262" t="s">
        <v>4580</v>
      </c>
      <c r="R19" s="262" t="s">
        <v>4581</v>
      </c>
      <c r="S19" s="297" t="s">
        <v>4582</v>
      </c>
      <c r="T19" s="1447" t="s">
        <v>4583</v>
      </c>
      <c r="U19" s="266" t="s">
        <v>4584</v>
      </c>
      <c r="V19" s="310" t="s">
        <v>4585</v>
      </c>
      <c r="W19" s="3249" t="s">
        <v>4586</v>
      </c>
      <c r="X19" s="4507" t="s">
        <v>4587</v>
      </c>
      <c r="Y19" s="266" t="s">
        <v>4588</v>
      </c>
      <c r="Z19" s="262" t="s">
        <v>4589</v>
      </c>
      <c r="AA19" s="3219" t="s">
        <v>4590</v>
      </c>
      <c r="AB19" s="266" t="s">
        <v>4591</v>
      </c>
      <c r="AC19" s="262" t="s">
        <v>4592</v>
      </c>
      <c r="AD19" s="262" t="s">
        <v>4593</v>
      </c>
      <c r="AE19" s="4507" t="s">
        <v>4594</v>
      </c>
      <c r="AF19" s="3249" t="s">
        <v>4595</v>
      </c>
      <c r="AG19" s="1447" t="s">
        <v>4596</v>
      </c>
      <c r="AH19" s="1936" t="e">
        <f t="shared" si="5"/>
        <v>#VALUE!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 s="3944" t="str">
        <f t="shared" si="1"/>
        <v xml:space="preserve"> * La variable Pueblos originarios no puede ser mayor al Total.</v>
      </c>
      <c r="CC19" s="3944" t="str">
        <f t="shared" si="2"/>
        <v xml:space="preserve"> * La variable Migrantes no puede ser mayor al Total.</v>
      </c>
      <c r="CD19" s="3944" t="str">
        <f t="shared" si="3"/>
        <v xml:space="preserve"> * La variable Discapacidad no puede ser mayor al Total.</v>
      </c>
      <c r="CE19" s="3944" t="str">
        <f t="shared" si="4"/>
        <v xml:space="preserve"> * La variable Privada de Libertad no puede ser mayor al Total.</v>
      </c>
      <c r="CF19" s="3944" t="e">
        <f t="shared" si="6"/>
        <v>#VALUE!</v>
      </c>
      <c r="CJ19" s="1867">
        <f t="shared" si="7"/>
        <v>1</v>
      </c>
      <c r="CK19" s="1867">
        <f t="shared" si="8"/>
        <v>1</v>
      </c>
      <c r="CL19" s="1867">
        <f t="shared" si="9"/>
        <v>1</v>
      </c>
      <c r="CM19" s="1867">
        <f t="shared" si="10"/>
        <v>1</v>
      </c>
      <c r="CN19" s="1867" t="e">
        <f t="shared" si="11"/>
        <v>#VALUE!</v>
      </c>
      <c r="CO19" s="4"/>
      <c r="CP19" s="4"/>
      <c r="CT19"/>
      <c r="CU19" s="3211"/>
      <c r="CV19" s="25"/>
      <c r="CW19" s="25"/>
      <c r="CX19" s="25"/>
      <c r="CY19" s="25"/>
      <c r="CZ19" s="25"/>
      <c r="DA19" s="25"/>
    </row>
    <row r="20" spans="1:105" s="19" customFormat="1" ht="15" customHeight="1" x14ac:dyDescent="0.25">
      <c r="A20" s="5865">
        <v>24200121</v>
      </c>
      <c r="B20" s="7361" t="s">
        <v>2591</v>
      </c>
      <c r="C20" s="7362"/>
      <c r="D20" s="1085" t="s">
        <v>4567</v>
      </c>
      <c r="E20" s="1081" t="s">
        <v>4568</v>
      </c>
      <c r="F20" s="750" t="s">
        <v>4569</v>
      </c>
      <c r="G20" s="750" t="s">
        <v>4570</v>
      </c>
      <c r="H20" s="748" t="s">
        <v>4571</v>
      </c>
      <c r="I20" s="4508" t="s">
        <v>4572</v>
      </c>
      <c r="J20" s="4509" t="s">
        <v>4573</v>
      </c>
      <c r="K20" s="4509" t="s">
        <v>4574</v>
      </c>
      <c r="L20" s="1086" t="s">
        <v>4575</v>
      </c>
      <c r="M20" s="4510" t="s">
        <v>4576</v>
      </c>
      <c r="N20" s="4509" t="s">
        <v>4577</v>
      </c>
      <c r="O20" s="4509" t="s">
        <v>4578</v>
      </c>
      <c r="P20" s="4509" t="s">
        <v>4579</v>
      </c>
      <c r="Q20" s="4509" t="s">
        <v>4580</v>
      </c>
      <c r="R20" s="4509" t="s">
        <v>4581</v>
      </c>
      <c r="S20" s="4511" t="s">
        <v>4582</v>
      </c>
      <c r="T20" s="1086" t="s">
        <v>4583</v>
      </c>
      <c r="U20" s="4512" t="s">
        <v>4584</v>
      </c>
      <c r="V20" s="4513" t="s">
        <v>4585</v>
      </c>
      <c r="W20" s="4514" t="s">
        <v>4586</v>
      </c>
      <c r="X20" s="4515" t="s">
        <v>4587</v>
      </c>
      <c r="Y20" s="4512" t="s">
        <v>4588</v>
      </c>
      <c r="Z20" s="4509" t="s">
        <v>4589</v>
      </c>
      <c r="AA20" s="654" t="s">
        <v>4590</v>
      </c>
      <c r="AB20" s="4512" t="s">
        <v>4591</v>
      </c>
      <c r="AC20" s="4509" t="s">
        <v>4592</v>
      </c>
      <c r="AD20" s="4509" t="s">
        <v>4593</v>
      </c>
      <c r="AE20" s="4515" t="s">
        <v>4594</v>
      </c>
      <c r="AF20" s="4514" t="s">
        <v>4595</v>
      </c>
      <c r="AG20" s="1086" t="s">
        <v>4596</v>
      </c>
      <c r="AH20" s="1936" t="e">
        <f t="shared" si="5"/>
        <v>#VALUE!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 s="3944" t="str">
        <f t="shared" si="1"/>
        <v xml:space="preserve"> * La variable Pueblos originarios no puede ser mayor al Total.</v>
      </c>
      <c r="CC20" s="3944" t="str">
        <f t="shared" si="2"/>
        <v xml:space="preserve"> * La variable Migrantes no puede ser mayor al Total.</v>
      </c>
      <c r="CD20" s="3944" t="str">
        <f t="shared" si="3"/>
        <v xml:space="preserve"> * La variable Discapacidad no puede ser mayor al Total.</v>
      </c>
      <c r="CE20" s="3944" t="str">
        <f t="shared" si="4"/>
        <v xml:space="preserve"> * La variable Privada de Libertad no puede ser mayor al Total.</v>
      </c>
      <c r="CF20" s="3944" t="e">
        <f t="shared" si="6"/>
        <v>#VALUE!</v>
      </c>
      <c r="CJ20" s="1867">
        <f t="shared" si="7"/>
        <v>1</v>
      </c>
      <c r="CK20" s="1867">
        <f t="shared" si="8"/>
        <v>1</v>
      </c>
      <c r="CL20" s="1867">
        <f t="shared" si="9"/>
        <v>1</v>
      </c>
      <c r="CM20" s="1867">
        <f t="shared" si="10"/>
        <v>1</v>
      </c>
      <c r="CN20" s="1867" t="e">
        <f t="shared" si="11"/>
        <v>#VALUE!</v>
      </c>
      <c r="CO20" s="4"/>
      <c r="CP20" s="4"/>
      <c r="CT20"/>
      <c r="CU20" s="3211"/>
      <c r="CV20" s="25"/>
      <c r="CW20" s="25"/>
      <c r="CX20" s="25"/>
      <c r="CY20" s="25"/>
      <c r="CZ20" s="25"/>
      <c r="DA20" s="25"/>
    </row>
    <row r="21" spans="1:105" s="19" customFormat="1" ht="15" customHeight="1" x14ac:dyDescent="0.25">
      <c r="A21" s="5865">
        <v>24100100</v>
      </c>
      <c r="B21" s="7343" t="s">
        <v>2592</v>
      </c>
      <c r="C21" s="6838"/>
      <c r="D21" s="1129" t="s">
        <v>4567</v>
      </c>
      <c r="E21" s="1114" t="s">
        <v>4568</v>
      </c>
      <c r="F21" s="1258" t="s">
        <v>4569</v>
      </c>
      <c r="G21" s="1258" t="s">
        <v>4570</v>
      </c>
      <c r="H21" s="1115" t="s">
        <v>4571</v>
      </c>
      <c r="I21" s="1114" t="s">
        <v>4572</v>
      </c>
      <c r="J21" s="1258" t="s">
        <v>4573</v>
      </c>
      <c r="K21" s="1258" t="s">
        <v>4574</v>
      </c>
      <c r="L21" s="387" t="s">
        <v>4575</v>
      </c>
      <c r="M21" s="4506" t="s">
        <v>4576</v>
      </c>
      <c r="N21" s="1258" t="s">
        <v>4577</v>
      </c>
      <c r="O21" s="1258" t="s">
        <v>4578</v>
      </c>
      <c r="P21" s="1258" t="s">
        <v>4579</v>
      </c>
      <c r="Q21" s="1258" t="s">
        <v>4580</v>
      </c>
      <c r="R21" s="1258" t="s">
        <v>4581</v>
      </c>
      <c r="S21" s="1324" t="s">
        <v>4582</v>
      </c>
      <c r="T21" s="387" t="s">
        <v>4583</v>
      </c>
      <c r="U21" s="1303" t="s">
        <v>4584</v>
      </c>
      <c r="V21" s="1115" t="s">
        <v>4585</v>
      </c>
      <c r="W21" s="1127" t="s">
        <v>4586</v>
      </c>
      <c r="X21" s="391" t="s">
        <v>4587</v>
      </c>
      <c r="Y21" s="1303" t="s">
        <v>4588</v>
      </c>
      <c r="Z21" s="1258" t="s">
        <v>4589</v>
      </c>
      <c r="AA21" s="557" t="s">
        <v>4590</v>
      </c>
      <c r="AB21" s="1303" t="s">
        <v>4591</v>
      </c>
      <c r="AC21" s="1258" t="s">
        <v>4592</v>
      </c>
      <c r="AD21" s="1258" t="s">
        <v>4593</v>
      </c>
      <c r="AE21" s="391" t="s">
        <v>4594</v>
      </c>
      <c r="AF21" s="1127" t="s">
        <v>4595</v>
      </c>
      <c r="AG21" s="387" t="s">
        <v>4596</v>
      </c>
      <c r="AH21" s="1936" t="e">
        <f t="shared" si="5"/>
        <v>#VALUE!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 s="3944" t="str">
        <f t="shared" si="1"/>
        <v xml:space="preserve"> * La variable Pueblos originarios no puede ser mayor al Total.</v>
      </c>
      <c r="CC21" s="3944" t="str">
        <f t="shared" si="2"/>
        <v xml:space="preserve"> * La variable Migrantes no puede ser mayor al Total.</v>
      </c>
      <c r="CD21" s="3944" t="str">
        <f t="shared" si="3"/>
        <v xml:space="preserve"> * La variable Discapacidad no puede ser mayor al Total.</v>
      </c>
      <c r="CE21" s="3944" t="str">
        <f t="shared" si="4"/>
        <v xml:space="preserve"> * La variable Privada de Libertad no puede ser mayor al Total.</v>
      </c>
      <c r="CF21" s="3944" t="e">
        <f t="shared" si="6"/>
        <v>#VALUE!</v>
      </c>
      <c r="CJ21" s="1867">
        <f t="shared" si="7"/>
        <v>1</v>
      </c>
      <c r="CK21" s="1867">
        <f t="shared" si="8"/>
        <v>1</v>
      </c>
      <c r="CL21" s="1867">
        <f t="shared" si="9"/>
        <v>1</v>
      </c>
      <c r="CM21" s="1867">
        <f t="shared" si="10"/>
        <v>1</v>
      </c>
      <c r="CN21" s="1867" t="e">
        <f t="shared" si="11"/>
        <v>#VALUE!</v>
      </c>
      <c r="CO21" s="4"/>
      <c r="CP21" s="4"/>
      <c r="CT21"/>
      <c r="CU21" s="3211"/>
      <c r="CV21" s="25"/>
      <c r="CW21" s="25"/>
      <c r="CX21" s="25"/>
      <c r="CY21" s="25"/>
      <c r="CZ21" s="25"/>
      <c r="DA21" s="25"/>
    </row>
    <row r="22" spans="1:105" s="19" customFormat="1" ht="15" customHeight="1" x14ac:dyDescent="0.25">
      <c r="A22" s="5865">
        <v>29101717</v>
      </c>
      <c r="B22" s="6112" t="s">
        <v>2593</v>
      </c>
      <c r="C22" s="4516" t="s">
        <v>2594</v>
      </c>
      <c r="D22" s="306" t="s">
        <v>4567</v>
      </c>
      <c r="E22" s="47" t="s">
        <v>4568</v>
      </c>
      <c r="F22" s="4517" t="s">
        <v>4569</v>
      </c>
      <c r="G22" s="4517" t="s">
        <v>4570</v>
      </c>
      <c r="H22" s="42" t="s">
        <v>4571</v>
      </c>
      <c r="I22" s="47" t="s">
        <v>4572</v>
      </c>
      <c r="J22" s="242" t="s">
        <v>4573</v>
      </c>
      <c r="K22" s="242" t="s">
        <v>4574</v>
      </c>
      <c r="L22" s="42" t="s">
        <v>4575</v>
      </c>
      <c r="M22" s="4518" t="s">
        <v>4576</v>
      </c>
      <c r="N22" s="242" t="s">
        <v>4577</v>
      </c>
      <c r="O22" s="242" t="s">
        <v>4578</v>
      </c>
      <c r="P22" s="242" t="s">
        <v>4579</v>
      </c>
      <c r="Q22" s="242" t="s">
        <v>4580</v>
      </c>
      <c r="R22" s="242" t="s">
        <v>4581</v>
      </c>
      <c r="S22" s="4519" t="s">
        <v>4582</v>
      </c>
      <c r="T22" s="42" t="s">
        <v>4583</v>
      </c>
      <c r="U22" s="296" t="s">
        <v>4584</v>
      </c>
      <c r="V22" s="622" t="s">
        <v>4585</v>
      </c>
      <c r="W22" s="4517" t="s">
        <v>4586</v>
      </c>
      <c r="X22" s="75" t="s">
        <v>4587</v>
      </c>
      <c r="Y22" s="74" t="s">
        <v>4588</v>
      </c>
      <c r="Z22" s="242" t="s">
        <v>4589</v>
      </c>
      <c r="AA22" s="66" t="s">
        <v>4590</v>
      </c>
      <c r="AB22" s="74" t="s">
        <v>4591</v>
      </c>
      <c r="AC22" s="242" t="s">
        <v>4592</v>
      </c>
      <c r="AD22" s="242" t="s">
        <v>4593</v>
      </c>
      <c r="AE22" s="75" t="s">
        <v>4594</v>
      </c>
      <c r="AF22" s="4517" t="s">
        <v>4595</v>
      </c>
      <c r="AG22" s="42" t="s">
        <v>4596</v>
      </c>
      <c r="AH22" s="1936" t="e">
        <f t="shared" si="5"/>
        <v>#VALUE!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 s="3944" t="str">
        <f t="shared" si="1"/>
        <v xml:space="preserve"> * La variable Pueblos originarios no puede ser mayor al Total.</v>
      </c>
      <c r="CC22" s="3944" t="str">
        <f t="shared" si="2"/>
        <v xml:space="preserve"> * La variable Migrantes no puede ser mayor al Total.</v>
      </c>
      <c r="CD22" s="3944" t="str">
        <f t="shared" si="3"/>
        <v xml:space="preserve"> * La variable Discapacidad no puede ser mayor al Total.</v>
      </c>
      <c r="CE22" s="3944" t="str">
        <f t="shared" si="4"/>
        <v xml:space="preserve"> * La variable Privada de Libertad no puede ser mayor al Total.</v>
      </c>
      <c r="CF22" s="3944" t="e">
        <f t="shared" si="6"/>
        <v>#VALUE!</v>
      </c>
      <c r="CJ22" s="1867">
        <f t="shared" si="7"/>
        <v>1</v>
      </c>
      <c r="CK22" s="1867">
        <f t="shared" si="8"/>
        <v>1</v>
      </c>
      <c r="CL22" s="1867">
        <f t="shared" si="9"/>
        <v>1</v>
      </c>
      <c r="CM22" s="1867">
        <f t="shared" si="10"/>
        <v>1</v>
      </c>
      <c r="CN22" s="1867" t="e">
        <f t="shared" si="11"/>
        <v>#VALUE!</v>
      </c>
      <c r="CO22" s="4"/>
      <c r="CP22" s="4"/>
      <c r="CT22"/>
      <c r="CU22" s="3211"/>
      <c r="CV22" s="25"/>
      <c r="CW22" s="25"/>
      <c r="CX22" s="25"/>
      <c r="CY22" s="25"/>
      <c r="CZ22" s="25"/>
      <c r="DA22" s="25"/>
    </row>
    <row r="23" spans="1:105" s="19" customFormat="1" ht="15" customHeight="1" x14ac:dyDescent="0.25">
      <c r="A23" s="5865">
        <v>29101718</v>
      </c>
      <c r="B23" s="6842"/>
      <c r="C23" s="416" t="s">
        <v>2595</v>
      </c>
      <c r="D23" s="1129" t="s">
        <v>4567</v>
      </c>
      <c r="E23" s="1129" t="s">
        <v>4568</v>
      </c>
      <c r="F23" s="1258" t="s">
        <v>4569</v>
      </c>
      <c r="G23" s="1258" t="s">
        <v>4570</v>
      </c>
      <c r="H23" s="387" t="s">
        <v>4571</v>
      </c>
      <c r="I23" s="1114" t="s">
        <v>4572</v>
      </c>
      <c r="J23" s="1258" t="s">
        <v>4573</v>
      </c>
      <c r="K23" s="1258" t="s">
        <v>4574</v>
      </c>
      <c r="L23" s="387" t="s">
        <v>4575</v>
      </c>
      <c r="M23" s="4506" t="s">
        <v>4576</v>
      </c>
      <c r="N23" s="1258" t="s">
        <v>4577</v>
      </c>
      <c r="O23" s="1258" t="s">
        <v>4578</v>
      </c>
      <c r="P23" s="1258" t="s">
        <v>4579</v>
      </c>
      <c r="Q23" s="1258" t="s">
        <v>4580</v>
      </c>
      <c r="R23" s="1258" t="s">
        <v>4581</v>
      </c>
      <c r="S23" s="1324" t="s">
        <v>4582</v>
      </c>
      <c r="T23" s="387" t="s">
        <v>4583</v>
      </c>
      <c r="U23" s="1303" t="s">
        <v>4584</v>
      </c>
      <c r="V23" s="1115" t="s">
        <v>4585</v>
      </c>
      <c r="W23" s="1127" t="s">
        <v>4586</v>
      </c>
      <c r="X23" s="391" t="s">
        <v>4587</v>
      </c>
      <c r="Y23" s="1303" t="s">
        <v>4588</v>
      </c>
      <c r="Z23" s="1258" t="s">
        <v>4589</v>
      </c>
      <c r="AA23" s="557" t="s">
        <v>4590</v>
      </c>
      <c r="AB23" s="1303" t="s">
        <v>4591</v>
      </c>
      <c r="AC23" s="1258" t="s">
        <v>4592</v>
      </c>
      <c r="AD23" s="1258" t="s">
        <v>4593</v>
      </c>
      <c r="AE23" s="391" t="s">
        <v>4594</v>
      </c>
      <c r="AF23" s="1127" t="s">
        <v>4595</v>
      </c>
      <c r="AG23" s="387" t="s">
        <v>4596</v>
      </c>
      <c r="AH23" s="1936" t="e">
        <f t="shared" si="5"/>
        <v>#VALUE!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 s="3944" t="str">
        <f t="shared" si="1"/>
        <v xml:space="preserve"> * La variable Pueblos originarios no puede ser mayor al Total.</v>
      </c>
      <c r="CC23" s="3944" t="str">
        <f t="shared" si="2"/>
        <v xml:space="preserve"> * La variable Migrantes no puede ser mayor al Total.</v>
      </c>
      <c r="CD23" s="3944" t="str">
        <f t="shared" si="3"/>
        <v xml:space="preserve"> * La variable Discapacidad no puede ser mayor al Total.</v>
      </c>
      <c r="CE23" s="3944" t="str">
        <f t="shared" si="4"/>
        <v xml:space="preserve"> * La variable Privada de Libertad no puede ser mayor al Total.</v>
      </c>
      <c r="CF23" s="3944" t="e">
        <f t="shared" si="6"/>
        <v>#VALUE!</v>
      </c>
      <c r="CJ23" s="1867">
        <f t="shared" si="7"/>
        <v>1</v>
      </c>
      <c r="CK23" s="1867">
        <f t="shared" si="8"/>
        <v>1</v>
      </c>
      <c r="CL23" s="1867">
        <f t="shared" si="9"/>
        <v>1</v>
      </c>
      <c r="CM23" s="1867">
        <f t="shared" si="10"/>
        <v>1</v>
      </c>
      <c r="CN23" s="1867" t="e">
        <f t="shared" si="11"/>
        <v>#VALUE!</v>
      </c>
      <c r="CO23" s="4"/>
      <c r="CP23" s="4"/>
      <c r="CT23"/>
      <c r="CU23" s="3211"/>
      <c r="CV23" s="25"/>
      <c r="CW23" s="25"/>
      <c r="CX23" s="25"/>
      <c r="CY23" s="25"/>
      <c r="CZ23" s="25"/>
      <c r="DA23" s="25"/>
    </row>
    <row r="24" spans="1:105" s="25" customFormat="1" ht="18" customHeight="1" x14ac:dyDescent="0.15">
      <c r="B24" s="15" t="s">
        <v>2596</v>
      </c>
      <c r="C24" s="15"/>
      <c r="D24" s="4520"/>
      <c r="E24" s="4521"/>
      <c r="F24" s="4521"/>
      <c r="G24" s="4522"/>
    </row>
    <row r="25" spans="1:105" s="19" customFormat="1" ht="21" x14ac:dyDescent="0.15">
      <c r="B25" s="7291" t="s">
        <v>2597</v>
      </c>
      <c r="C25" s="7244"/>
      <c r="D25" s="1773" t="s">
        <v>77</v>
      </c>
      <c r="E25" s="1165" t="s">
        <v>2598</v>
      </c>
      <c r="F25" s="4523" t="s">
        <v>2599</v>
      </c>
      <c r="G25" s="1164" t="s">
        <v>2600</v>
      </c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</row>
    <row r="26" spans="1:105" s="19" customFormat="1" ht="15" customHeight="1" x14ac:dyDescent="0.15">
      <c r="A26" s="5865">
        <v>29101719</v>
      </c>
      <c r="B26" s="7404" t="s">
        <v>2601</v>
      </c>
      <c r="C26" s="7405"/>
      <c r="D26" s="1077" t="s">
        <v>4567</v>
      </c>
      <c r="E26" s="4524" t="s">
        <v>4568</v>
      </c>
      <c r="F26" s="4525" t="s">
        <v>4569</v>
      </c>
      <c r="G26" s="4526" t="s">
        <v>4570</v>
      </c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</row>
    <row r="27" spans="1:105" s="19" customFormat="1" ht="15" customHeight="1" x14ac:dyDescent="0.15">
      <c r="A27" s="5865">
        <v>29101720</v>
      </c>
      <c r="B27" s="7358" t="s">
        <v>2602</v>
      </c>
      <c r="C27" s="1432" t="s">
        <v>2603</v>
      </c>
      <c r="D27" s="1159" t="s">
        <v>4567</v>
      </c>
      <c r="E27" s="4527" t="s">
        <v>4568</v>
      </c>
      <c r="F27" s="4528" t="s">
        <v>4569</v>
      </c>
      <c r="G27" s="4529" t="s">
        <v>4570</v>
      </c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</row>
    <row r="28" spans="1:105" s="19" customFormat="1" ht="15" customHeight="1" x14ac:dyDescent="0.15">
      <c r="A28" s="5865">
        <v>29101721</v>
      </c>
      <c r="B28" s="7359"/>
      <c r="C28" s="1002" t="s">
        <v>2604</v>
      </c>
      <c r="D28" s="1163" t="s">
        <v>4567</v>
      </c>
      <c r="E28" s="4530" t="s">
        <v>4568</v>
      </c>
      <c r="F28" s="4531" t="s">
        <v>4569</v>
      </c>
      <c r="G28" s="4532" t="s">
        <v>4570</v>
      </c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</row>
    <row r="29" spans="1:105" s="19" customFormat="1" ht="15" customHeight="1" x14ac:dyDescent="0.15">
      <c r="A29" s="5865">
        <v>29101722</v>
      </c>
      <c r="B29" s="7361" t="s">
        <v>2605</v>
      </c>
      <c r="C29" s="7362"/>
      <c r="D29" s="1159" t="s">
        <v>4567</v>
      </c>
      <c r="E29" s="4527" t="s">
        <v>4568</v>
      </c>
      <c r="F29" s="4528" t="s">
        <v>4569</v>
      </c>
      <c r="G29" s="4529" t="s">
        <v>4570</v>
      </c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</row>
    <row r="30" spans="1:105" s="19" customFormat="1" ht="15" customHeight="1" x14ac:dyDescent="0.15">
      <c r="A30" s="5865">
        <v>29101723</v>
      </c>
      <c r="B30" s="7363" t="s">
        <v>2606</v>
      </c>
      <c r="C30" s="7364"/>
      <c r="D30" s="1162" t="s">
        <v>4567</v>
      </c>
      <c r="E30" s="4533" t="s">
        <v>4568</v>
      </c>
      <c r="F30" s="4534" t="s">
        <v>4569</v>
      </c>
      <c r="G30" s="4535" t="s">
        <v>4570</v>
      </c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</row>
    <row r="31" spans="1:105" s="19" customFormat="1" ht="15" customHeight="1" x14ac:dyDescent="0.15">
      <c r="A31" s="5865">
        <v>29101724</v>
      </c>
      <c r="B31" s="7343" t="s">
        <v>2607</v>
      </c>
      <c r="C31" s="6838"/>
      <c r="D31" s="1163" t="s">
        <v>4567</v>
      </c>
      <c r="E31" s="4530" t="s">
        <v>4568</v>
      </c>
      <c r="F31" s="4531" t="s">
        <v>4569</v>
      </c>
      <c r="G31" s="4532" t="s">
        <v>4570</v>
      </c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</row>
    <row r="32" spans="1:105" s="19" customFormat="1" ht="15" customHeight="1" x14ac:dyDescent="0.15">
      <c r="A32" s="5866">
        <v>24311011</v>
      </c>
      <c r="B32" s="7328" t="s">
        <v>2608</v>
      </c>
      <c r="C32" s="1418" t="s">
        <v>2609</v>
      </c>
      <c r="D32" s="1159" t="s">
        <v>4567</v>
      </c>
      <c r="E32" s="4527" t="s">
        <v>4568</v>
      </c>
      <c r="F32" s="4528" t="s">
        <v>4569</v>
      </c>
      <c r="G32" s="4529" t="s">
        <v>4570</v>
      </c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</row>
    <row r="33" spans="1:101" s="19" customFormat="1" ht="15" customHeight="1" x14ac:dyDescent="0.15">
      <c r="A33" s="5866">
        <v>24311012</v>
      </c>
      <c r="B33" s="6842"/>
      <c r="C33" s="1786" t="s">
        <v>2610</v>
      </c>
      <c r="D33" s="1163" t="s">
        <v>4567</v>
      </c>
      <c r="E33" s="4530" t="s">
        <v>4568</v>
      </c>
      <c r="F33" s="4531" t="s">
        <v>4569</v>
      </c>
      <c r="G33" s="4532" t="s">
        <v>4570</v>
      </c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</row>
    <row r="34" spans="1:101" s="19" customFormat="1" ht="15" customHeight="1" x14ac:dyDescent="0.15">
      <c r="A34" s="5865">
        <v>29101725</v>
      </c>
      <c r="B34" s="7328" t="s">
        <v>2611</v>
      </c>
      <c r="C34" s="1418" t="s">
        <v>2612</v>
      </c>
      <c r="D34" s="1159" t="s">
        <v>4567</v>
      </c>
      <c r="E34" s="4527" t="s">
        <v>4568</v>
      </c>
      <c r="F34" s="4528" t="s">
        <v>4569</v>
      </c>
      <c r="G34" s="4529" t="s">
        <v>4570</v>
      </c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</row>
    <row r="35" spans="1:101" s="19" customFormat="1" ht="15" customHeight="1" x14ac:dyDescent="0.15">
      <c r="A35" s="5865">
        <v>29101726</v>
      </c>
      <c r="B35" s="6842"/>
      <c r="C35" s="1786" t="s">
        <v>2613</v>
      </c>
      <c r="D35" s="1163" t="s">
        <v>4567</v>
      </c>
      <c r="E35" s="4530" t="s">
        <v>4568</v>
      </c>
      <c r="F35" s="4531" t="s">
        <v>4569</v>
      </c>
      <c r="G35" s="4532" t="s">
        <v>4570</v>
      </c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</row>
    <row r="36" spans="1:101" s="19" customFormat="1" ht="15" customHeight="1" x14ac:dyDescent="0.15">
      <c r="A36" s="5865">
        <v>29101727</v>
      </c>
      <c r="B36" s="7414" t="s">
        <v>2614</v>
      </c>
      <c r="C36" s="7415"/>
      <c r="D36" s="1069" t="s">
        <v>4567</v>
      </c>
      <c r="E36" s="4524" t="s">
        <v>4568</v>
      </c>
      <c r="F36" s="4525" t="s">
        <v>4569</v>
      </c>
      <c r="G36" s="4526" t="s">
        <v>4570</v>
      </c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</row>
    <row r="37" spans="1:101" s="19" customFormat="1" ht="15" customHeight="1" x14ac:dyDescent="0.15">
      <c r="A37" s="5865">
        <v>29101728</v>
      </c>
      <c r="B37" s="7328" t="s">
        <v>2615</v>
      </c>
      <c r="C37" s="1202" t="s">
        <v>2616</v>
      </c>
      <c r="D37" s="295" t="s">
        <v>4567</v>
      </c>
      <c r="E37" s="4527" t="s">
        <v>4568</v>
      </c>
      <c r="F37" s="4528" t="s">
        <v>4569</v>
      </c>
      <c r="G37" s="4529" t="s">
        <v>4570</v>
      </c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</row>
    <row r="38" spans="1:101" s="19" customFormat="1" ht="15" customHeight="1" x14ac:dyDescent="0.15">
      <c r="A38" s="5865">
        <v>29101729</v>
      </c>
      <c r="B38" s="6842"/>
      <c r="C38" s="1002" t="s">
        <v>2617</v>
      </c>
      <c r="D38" s="1163" t="s">
        <v>4567</v>
      </c>
      <c r="E38" s="4530" t="s">
        <v>4568</v>
      </c>
      <c r="F38" s="4531" t="s">
        <v>4569</v>
      </c>
      <c r="G38" s="4532" t="s">
        <v>4570</v>
      </c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</row>
    <row r="39" spans="1:101" s="49" customFormat="1" ht="15" customHeight="1" x14ac:dyDescent="0.2">
      <c r="B39" s="3221" t="s">
        <v>2618</v>
      </c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</row>
    <row r="40" spans="1:101" s="25" customFormat="1" ht="18" customHeight="1" x14ac:dyDescent="0.15">
      <c r="B40" s="13" t="s">
        <v>2619</v>
      </c>
      <c r="C40" s="4441"/>
      <c r="D40" s="4536"/>
      <c r="E40" s="4537"/>
    </row>
    <row r="41" spans="1:101" x14ac:dyDescent="0.25">
      <c r="B41" s="7416" t="s">
        <v>2620</v>
      </c>
      <c r="C41" s="7417"/>
      <c r="D41" s="4539" t="s">
        <v>2621</v>
      </c>
      <c r="E41" s="4492" t="s">
        <v>554</v>
      </c>
    </row>
    <row r="42" spans="1:101" ht="15" customHeight="1" x14ac:dyDescent="0.25">
      <c r="A42" s="5865">
        <v>29101730</v>
      </c>
      <c r="B42" s="7412" t="s">
        <v>2622</v>
      </c>
      <c r="C42" s="7413"/>
      <c r="D42" s="1070" t="s">
        <v>4567</v>
      </c>
      <c r="E42" s="1071" t="s">
        <v>4568</v>
      </c>
    </row>
    <row r="43" spans="1:101" ht="21.95" customHeight="1" x14ac:dyDescent="0.25">
      <c r="A43" s="5866">
        <v>24311013</v>
      </c>
      <c r="B43" s="7372" t="s">
        <v>2623</v>
      </c>
      <c r="C43" s="2965" t="s">
        <v>2624</v>
      </c>
      <c r="D43" s="290" t="s">
        <v>4567</v>
      </c>
      <c r="E43" s="107" t="s">
        <v>4568</v>
      </c>
    </row>
    <row r="44" spans="1:101" ht="15" customHeight="1" x14ac:dyDescent="0.25">
      <c r="A44" s="5866">
        <v>24311014</v>
      </c>
      <c r="B44" s="7039"/>
      <c r="C44" s="4540" t="s">
        <v>2625</v>
      </c>
      <c r="D44" s="1114" t="s">
        <v>4567</v>
      </c>
      <c r="E44" s="387" t="s">
        <v>4568</v>
      </c>
    </row>
    <row r="45" spans="1:101" ht="24.95" customHeight="1" x14ac:dyDescent="0.25">
      <c r="A45" s="5865">
        <v>29101733</v>
      </c>
      <c r="B45" s="7412" t="s">
        <v>2626</v>
      </c>
      <c r="C45" s="7413"/>
      <c r="D45" s="1070" t="s">
        <v>4567</v>
      </c>
      <c r="E45" s="1071" t="s">
        <v>4568</v>
      </c>
    </row>
    <row r="46" spans="1:101" ht="21.95" customHeight="1" x14ac:dyDescent="0.25">
      <c r="A46" s="5866">
        <v>24311015</v>
      </c>
      <c r="B46" s="7418" t="s">
        <v>2627</v>
      </c>
      <c r="C46" s="2965" t="s">
        <v>2624</v>
      </c>
      <c r="D46" s="1081" t="s">
        <v>4567</v>
      </c>
      <c r="E46" s="1082" t="s">
        <v>4568</v>
      </c>
    </row>
    <row r="47" spans="1:101" ht="15" customHeight="1" x14ac:dyDescent="0.25">
      <c r="A47" s="5866">
        <v>24311016</v>
      </c>
      <c r="B47" s="7419"/>
      <c r="C47" s="4540" t="s">
        <v>2625</v>
      </c>
      <c r="D47" s="1264" t="s">
        <v>4567</v>
      </c>
      <c r="E47" s="1447" t="s">
        <v>4568</v>
      </c>
    </row>
    <row r="48" spans="1:101" ht="15" customHeight="1" x14ac:dyDescent="0.25">
      <c r="A48" s="5865">
        <v>29101735</v>
      </c>
      <c r="B48" s="7372" t="s">
        <v>2628</v>
      </c>
      <c r="C48" s="4541" t="s">
        <v>2629</v>
      </c>
      <c r="D48" s="290" t="s">
        <v>4567</v>
      </c>
      <c r="E48" s="107" t="s">
        <v>4568</v>
      </c>
    </row>
    <row r="49" spans="1:103" ht="21" x14ac:dyDescent="0.25">
      <c r="A49" s="5865">
        <v>29101736</v>
      </c>
      <c r="B49" s="7039"/>
      <c r="C49" s="3712" t="s">
        <v>2630</v>
      </c>
      <c r="D49" s="1114" t="s">
        <v>4567</v>
      </c>
      <c r="E49" s="387" t="s">
        <v>4568</v>
      </c>
    </row>
    <row r="50" spans="1:103" ht="24.95" customHeight="1" x14ac:dyDescent="0.25">
      <c r="A50" s="5865">
        <v>29101737</v>
      </c>
      <c r="B50" s="7412" t="s">
        <v>2631</v>
      </c>
      <c r="C50" s="7413"/>
      <c r="D50" s="1070" t="s">
        <v>4567</v>
      </c>
      <c r="E50" s="1071" t="s">
        <v>4568</v>
      </c>
    </row>
    <row r="51" spans="1:103" ht="15" customHeight="1" x14ac:dyDescent="0.25">
      <c r="A51" s="5865">
        <v>29101738</v>
      </c>
      <c r="B51" s="7412" t="s">
        <v>2632</v>
      </c>
      <c r="C51" s="7413"/>
      <c r="D51" s="1070" t="s">
        <v>4567</v>
      </c>
      <c r="E51" s="1071" t="s">
        <v>4568</v>
      </c>
    </row>
    <row r="52" spans="1:103" ht="24.95" customHeight="1" x14ac:dyDescent="0.25">
      <c r="A52" s="5865">
        <v>29101739</v>
      </c>
      <c r="B52" s="7412" t="s">
        <v>2633</v>
      </c>
      <c r="C52" s="7413"/>
      <c r="D52" s="1070" t="s">
        <v>4567</v>
      </c>
      <c r="E52" s="1071" t="s">
        <v>4568</v>
      </c>
    </row>
    <row r="53" spans="1:103" ht="24.95" customHeight="1" x14ac:dyDescent="0.25">
      <c r="A53" s="5865">
        <v>29101740</v>
      </c>
      <c r="B53" s="7412" t="s">
        <v>2634</v>
      </c>
      <c r="C53" s="7413"/>
      <c r="D53" s="1070" t="s">
        <v>4567</v>
      </c>
      <c r="E53" s="1071" t="s">
        <v>4568</v>
      </c>
    </row>
    <row r="54" spans="1:103" ht="24.75" customHeight="1" x14ac:dyDescent="0.25">
      <c r="A54" s="5865">
        <v>29101741</v>
      </c>
      <c r="B54" s="7412" t="s">
        <v>2635</v>
      </c>
      <c r="C54" s="7413"/>
      <c r="D54" s="1070" t="s">
        <v>4567</v>
      </c>
      <c r="E54" s="1071" t="s">
        <v>4568</v>
      </c>
    </row>
    <row r="55" spans="1:103" ht="15" customHeight="1" x14ac:dyDescent="0.25">
      <c r="A55" s="5866">
        <v>24311017</v>
      </c>
      <c r="B55" s="7372" t="s">
        <v>2636</v>
      </c>
      <c r="C55" s="4541" t="s">
        <v>2637</v>
      </c>
      <c r="D55" s="290" t="s">
        <v>4567</v>
      </c>
      <c r="E55" s="107" t="s">
        <v>4568</v>
      </c>
    </row>
    <row r="56" spans="1:103" ht="15" customHeight="1" x14ac:dyDescent="0.25">
      <c r="A56" s="5866">
        <v>24311018</v>
      </c>
      <c r="B56" s="7039"/>
      <c r="C56" s="3712" t="s">
        <v>2638</v>
      </c>
      <c r="D56" s="1114" t="s">
        <v>4567</v>
      </c>
      <c r="E56" s="387" t="s">
        <v>4568</v>
      </c>
    </row>
    <row r="57" spans="1:103" ht="15" customHeight="1" x14ac:dyDescent="0.25">
      <c r="A57" s="5865">
        <v>29101742</v>
      </c>
      <c r="B57" s="7420" t="s">
        <v>2639</v>
      </c>
      <c r="C57" s="7420"/>
      <c r="D57" s="1264" t="s">
        <v>4567</v>
      </c>
      <c r="E57" s="1447" t="s">
        <v>4568</v>
      </c>
    </row>
    <row r="58" spans="1:103" s="25" customFormat="1" ht="18" customHeight="1" x14ac:dyDescent="0.15">
      <c r="B58" s="13" t="s">
        <v>2640</v>
      </c>
      <c r="C58" s="4441"/>
      <c r="D58" s="4536"/>
      <c r="E58" s="4537"/>
    </row>
    <row r="59" spans="1:103" ht="24.95" customHeight="1" x14ac:dyDescent="0.25">
      <c r="B59" s="7421" t="s">
        <v>2641</v>
      </c>
      <c r="C59" s="7422"/>
      <c r="D59" s="7374" t="s">
        <v>2642</v>
      </c>
      <c r="E59" s="7375"/>
      <c r="F59" s="7428"/>
      <c r="G59" s="7429" t="s">
        <v>2593</v>
      </c>
      <c r="CB59"/>
      <c r="CC59"/>
      <c r="CX59" s="25"/>
      <c r="CY59" s="25"/>
    </row>
    <row r="60" spans="1:103" ht="24.95" customHeight="1" x14ac:dyDescent="0.25">
      <c r="B60" s="7423"/>
      <c r="C60" s="7424"/>
      <c r="D60" s="4539" t="s">
        <v>2643</v>
      </c>
      <c r="E60" s="4444" t="s">
        <v>2644</v>
      </c>
      <c r="F60" s="4492" t="s">
        <v>2645</v>
      </c>
      <c r="G60" s="7430"/>
      <c r="CB60"/>
      <c r="CC60"/>
      <c r="CX60" s="25"/>
      <c r="CY60" s="25"/>
    </row>
    <row r="61" spans="1:103" ht="15" customHeight="1" x14ac:dyDescent="0.25">
      <c r="A61" s="5865">
        <v>29101743</v>
      </c>
      <c r="B61" s="7431" t="s">
        <v>2646</v>
      </c>
      <c r="C61" s="4542" t="s">
        <v>2647</v>
      </c>
      <c r="D61" s="290" t="s">
        <v>4567</v>
      </c>
      <c r="E61" s="531" t="s">
        <v>4568</v>
      </c>
      <c r="F61" s="107" t="s">
        <v>4569</v>
      </c>
      <c r="G61" s="2692" t="s">
        <v>4570</v>
      </c>
      <c r="CB61"/>
      <c r="CC61"/>
      <c r="CX61" s="25"/>
      <c r="CY61" s="25"/>
    </row>
    <row r="62" spans="1:103" ht="15" customHeight="1" x14ac:dyDescent="0.25">
      <c r="A62" s="5865">
        <v>29101744</v>
      </c>
      <c r="B62" s="7431"/>
      <c r="C62" s="4543" t="s">
        <v>2648</v>
      </c>
      <c r="D62" s="290" t="s">
        <v>4567</v>
      </c>
      <c r="E62" s="531" t="s">
        <v>4568</v>
      </c>
      <c r="F62" s="107" t="s">
        <v>4569</v>
      </c>
      <c r="G62" s="2692" t="s">
        <v>4570</v>
      </c>
      <c r="CB62"/>
      <c r="CC62"/>
      <c r="CX62" s="25"/>
      <c r="CY62" s="25"/>
    </row>
    <row r="63" spans="1:103" ht="15" customHeight="1" x14ac:dyDescent="0.25">
      <c r="A63" s="5865">
        <v>29101745</v>
      </c>
      <c r="B63" s="7431"/>
      <c r="C63" s="4543" t="s">
        <v>2649</v>
      </c>
      <c r="D63" s="290" t="s">
        <v>4567</v>
      </c>
      <c r="E63" s="531" t="s">
        <v>4568</v>
      </c>
      <c r="F63" s="107" t="s">
        <v>4569</v>
      </c>
      <c r="G63" s="2692" t="s">
        <v>4570</v>
      </c>
      <c r="CB63"/>
      <c r="CC63"/>
      <c r="CX63" s="25"/>
      <c r="CY63" s="25"/>
    </row>
    <row r="64" spans="1:103" ht="15" customHeight="1" x14ac:dyDescent="0.25">
      <c r="A64" s="5865">
        <v>29101746</v>
      </c>
      <c r="B64" s="7431"/>
      <c r="C64" s="4543" t="s">
        <v>2650</v>
      </c>
      <c r="D64" s="290" t="s">
        <v>4567</v>
      </c>
      <c r="E64" s="531" t="s">
        <v>4568</v>
      </c>
      <c r="F64" s="107" t="s">
        <v>4569</v>
      </c>
      <c r="G64" s="2692" t="s">
        <v>4570</v>
      </c>
      <c r="CB64"/>
      <c r="CC64"/>
      <c r="CX64" s="25"/>
      <c r="CY64" s="25"/>
    </row>
    <row r="65" spans="1:104" ht="21" x14ac:dyDescent="0.25">
      <c r="A65" s="5865">
        <v>29101747</v>
      </c>
      <c r="B65" s="7359"/>
      <c r="C65" s="4544" t="s">
        <v>2651</v>
      </c>
      <c r="D65" s="1264" t="s">
        <v>4567</v>
      </c>
      <c r="E65" s="262" t="s">
        <v>4568</v>
      </c>
      <c r="F65" s="1447" t="s">
        <v>4569</v>
      </c>
      <c r="G65" s="3367" t="s">
        <v>4570</v>
      </c>
      <c r="CB65"/>
      <c r="CC65"/>
      <c r="CX65" s="25"/>
      <c r="CY65" s="25"/>
    </row>
    <row r="66" spans="1:104" ht="15" customHeight="1" x14ac:dyDescent="0.25">
      <c r="A66" s="5865">
        <v>29101748</v>
      </c>
      <c r="B66" s="7361" t="s">
        <v>2652</v>
      </c>
      <c r="C66" s="7362"/>
      <c r="D66" s="290" t="s">
        <v>4567</v>
      </c>
      <c r="E66" s="531" t="s">
        <v>4568</v>
      </c>
      <c r="F66" s="107" t="s">
        <v>4569</v>
      </c>
      <c r="G66" s="2692" t="s">
        <v>4570</v>
      </c>
      <c r="CB66"/>
      <c r="CC66"/>
      <c r="CX66" s="25"/>
      <c r="CY66" s="25"/>
    </row>
    <row r="67" spans="1:104" ht="15" customHeight="1" x14ac:dyDescent="0.25">
      <c r="A67" s="5865">
        <v>29101749</v>
      </c>
      <c r="B67" s="7363" t="s">
        <v>1488</v>
      </c>
      <c r="C67" s="7364"/>
      <c r="D67" s="290" t="s">
        <v>4567</v>
      </c>
      <c r="E67" s="531" t="s">
        <v>4568</v>
      </c>
      <c r="F67" s="107" t="s">
        <v>4569</v>
      </c>
      <c r="G67" s="2692" t="s">
        <v>4570</v>
      </c>
      <c r="CB67"/>
      <c r="CC67"/>
      <c r="CX67" s="25"/>
      <c r="CY67" s="25"/>
    </row>
    <row r="68" spans="1:104" ht="15" customHeight="1" x14ac:dyDescent="0.25">
      <c r="A68" s="5865">
        <v>29101750</v>
      </c>
      <c r="B68" s="7363" t="s">
        <v>2653</v>
      </c>
      <c r="C68" s="7364"/>
      <c r="D68" s="290" t="s">
        <v>4567</v>
      </c>
      <c r="E68" s="531" t="s">
        <v>4568</v>
      </c>
      <c r="F68" s="107" t="s">
        <v>4569</v>
      </c>
      <c r="G68" s="2692" t="s">
        <v>4570</v>
      </c>
      <c r="CB68"/>
      <c r="CC68"/>
      <c r="CX68" s="25"/>
      <c r="CY68" s="25"/>
    </row>
    <row r="69" spans="1:104" ht="15" customHeight="1" x14ac:dyDescent="0.25">
      <c r="A69" s="5865">
        <v>29101752</v>
      </c>
      <c r="B69" s="6909" t="s">
        <v>2654</v>
      </c>
      <c r="C69" s="6910"/>
      <c r="D69" s="290" t="s">
        <v>4567</v>
      </c>
      <c r="E69" s="531" t="s">
        <v>4568</v>
      </c>
      <c r="F69" s="107" t="s">
        <v>4569</v>
      </c>
      <c r="G69" s="2692" t="s">
        <v>4570</v>
      </c>
      <c r="CB69"/>
      <c r="CC69"/>
      <c r="CX69" s="25"/>
      <c r="CY69" s="25"/>
    </row>
    <row r="70" spans="1:104" ht="15" customHeight="1" x14ac:dyDescent="0.25">
      <c r="A70" s="5865">
        <v>29101753</v>
      </c>
      <c r="B70" s="7363" t="s">
        <v>2655</v>
      </c>
      <c r="C70" s="7364"/>
      <c r="D70" s="290" t="s">
        <v>4567</v>
      </c>
      <c r="E70" s="531" t="s">
        <v>4568</v>
      </c>
      <c r="F70" s="107" t="s">
        <v>4569</v>
      </c>
      <c r="G70" s="2692" t="s">
        <v>4570</v>
      </c>
      <c r="CB70"/>
      <c r="CC70"/>
      <c r="CX70" s="25"/>
      <c r="CY70" s="25"/>
    </row>
    <row r="71" spans="1:104" ht="15" customHeight="1" x14ac:dyDescent="0.25">
      <c r="A71" s="5866">
        <v>24311019</v>
      </c>
      <c r="B71" s="7343" t="s">
        <v>2656</v>
      </c>
      <c r="C71" s="6838"/>
      <c r="D71" s="1114" t="s">
        <v>4567</v>
      </c>
      <c r="E71" s="1258" t="s">
        <v>4568</v>
      </c>
      <c r="F71" s="387" t="s">
        <v>4569</v>
      </c>
      <c r="G71" s="4506" t="s">
        <v>4570</v>
      </c>
      <c r="CB71"/>
      <c r="CC71"/>
      <c r="CX71" s="25"/>
      <c r="CY71" s="25"/>
    </row>
    <row r="72" spans="1:104" s="25" customFormat="1" ht="18" customHeight="1" x14ac:dyDescent="0.15">
      <c r="B72" s="4441" t="s">
        <v>2657</v>
      </c>
      <c r="C72" s="4520"/>
      <c r="D72" s="4521"/>
      <c r="E72" s="4521"/>
      <c r="F72" s="4522"/>
      <c r="G72" s="4521"/>
      <c r="H72" s="4521"/>
      <c r="I72" s="4521"/>
      <c r="J72" s="4521"/>
      <c r="K72" s="4522"/>
      <c r="L72" s="4521"/>
      <c r="M72" s="4521"/>
      <c r="N72" s="3047"/>
      <c r="O72" s="8"/>
      <c r="P72" s="8"/>
      <c r="Q72" s="8"/>
      <c r="R72" s="8"/>
      <c r="S72" s="8"/>
      <c r="T72" s="8"/>
      <c r="U72" s="8"/>
    </row>
    <row r="73" spans="1:104" s="25" customFormat="1" ht="18" customHeight="1" x14ac:dyDescent="0.15">
      <c r="B73" s="7256" t="s">
        <v>2658</v>
      </c>
      <c r="C73" s="7425" t="s">
        <v>2659</v>
      </c>
      <c r="D73" s="7426"/>
      <c r="E73" s="7426"/>
      <c r="F73" s="7425" t="s">
        <v>2660</v>
      </c>
      <c r="G73" s="7426"/>
      <c r="H73" s="7427"/>
      <c r="I73" s="7306" t="s">
        <v>2661</v>
      </c>
      <c r="J73" s="7305" t="s">
        <v>36</v>
      </c>
      <c r="K73" s="7395" t="s">
        <v>37</v>
      </c>
      <c r="L73" s="7305" t="s">
        <v>60</v>
      </c>
      <c r="M73" s="7237" t="s">
        <v>1722</v>
      </c>
      <c r="N73" s="8"/>
      <c r="O73" s="8"/>
      <c r="P73" s="8"/>
      <c r="Q73" s="8"/>
      <c r="R73" s="8"/>
      <c r="S73" s="8"/>
    </row>
    <row r="74" spans="1:104" ht="15" customHeight="1" x14ac:dyDescent="0.25">
      <c r="B74" s="6119"/>
      <c r="C74" s="7291" t="s">
        <v>2662</v>
      </c>
      <c r="D74" s="7298"/>
      <c r="E74" s="7298"/>
      <c r="F74" s="7291" t="s">
        <v>2662</v>
      </c>
      <c r="G74" s="7298"/>
      <c r="H74" s="7339"/>
      <c r="I74" s="6034"/>
      <c r="J74" s="6386"/>
      <c r="K74" s="7396"/>
      <c r="L74" s="6386"/>
      <c r="M74" s="6027"/>
      <c r="BT74" s="25"/>
      <c r="BU74" s="25"/>
      <c r="BV74" s="25"/>
      <c r="BW74" s="25"/>
      <c r="BX74" s="25"/>
      <c r="BY74" s="25"/>
      <c r="BZ74" s="25"/>
      <c r="CA74" s="25"/>
      <c r="CP74"/>
      <c r="CQ74"/>
      <c r="CR74"/>
      <c r="CS74"/>
      <c r="CT74"/>
      <c r="CU74"/>
      <c r="CV74"/>
      <c r="CW74"/>
    </row>
    <row r="75" spans="1:104" ht="21.95" customHeight="1" x14ac:dyDescent="0.25">
      <c r="B75" s="6739"/>
      <c r="C75" s="1109" t="s">
        <v>4414</v>
      </c>
      <c r="D75" s="1213" t="s">
        <v>2663</v>
      </c>
      <c r="E75" s="1214" t="s">
        <v>1108</v>
      </c>
      <c r="F75" s="1109" t="s">
        <v>4414</v>
      </c>
      <c r="G75" s="1213" t="s">
        <v>2663</v>
      </c>
      <c r="H75" s="1216" t="s">
        <v>1108</v>
      </c>
      <c r="I75" s="6035"/>
      <c r="J75" s="6086"/>
      <c r="K75" s="7214"/>
      <c r="L75" s="6086"/>
      <c r="M75" s="6955"/>
      <c r="BT75" s="25"/>
      <c r="BU75" s="25"/>
      <c r="BV75" s="25"/>
      <c r="BW75" s="25"/>
      <c r="BX75" s="25"/>
      <c r="BY75" s="25"/>
      <c r="BZ75" s="25"/>
      <c r="CA75" s="25"/>
      <c r="CP75"/>
      <c r="CQ75"/>
      <c r="CR75"/>
      <c r="CS75"/>
      <c r="CT75"/>
      <c r="CU75"/>
      <c r="CV75"/>
      <c r="CW75"/>
    </row>
    <row r="76" spans="1:104" x14ac:dyDescent="0.25">
      <c r="A76" s="5606"/>
      <c r="B76" s="1212" t="s">
        <v>77</v>
      </c>
      <c r="C76" s="4545">
        <f t="shared" ref="C76:M76" si="12">SUM(C77:C79)</f>
        <v>0</v>
      </c>
      <c r="D76" s="4546">
        <f t="shared" si="12"/>
        <v>0</v>
      </c>
      <c r="E76" s="4547">
        <f t="shared" si="12"/>
        <v>0</v>
      </c>
      <c r="F76" s="4545">
        <f t="shared" si="12"/>
        <v>0</v>
      </c>
      <c r="G76" s="4546">
        <f t="shared" si="12"/>
        <v>0</v>
      </c>
      <c r="H76" s="4548">
        <f t="shared" si="12"/>
        <v>0</v>
      </c>
      <c r="I76" s="4549">
        <f t="shared" si="12"/>
        <v>0</v>
      </c>
      <c r="J76" s="27">
        <f t="shared" si="12"/>
        <v>0</v>
      </c>
      <c r="K76" s="4546">
        <f t="shared" si="12"/>
        <v>0</v>
      </c>
      <c r="L76" s="4546">
        <f t="shared" si="12"/>
        <v>0</v>
      </c>
      <c r="M76" s="4550">
        <f t="shared" si="12"/>
        <v>0</v>
      </c>
      <c r="BT76" s="25"/>
      <c r="BU76" s="25"/>
      <c r="BV76" s="25"/>
      <c r="BW76" s="25"/>
      <c r="BX76" s="25"/>
      <c r="BY76" s="25"/>
      <c r="BZ76" s="25"/>
      <c r="CA76" s="25"/>
      <c r="CP76"/>
      <c r="CQ76"/>
      <c r="CR76"/>
      <c r="CS76"/>
      <c r="CT76"/>
      <c r="CU76"/>
      <c r="CV76"/>
      <c r="CW76"/>
    </row>
    <row r="77" spans="1:104" ht="15" customHeight="1" x14ac:dyDescent="0.25">
      <c r="A77" s="5818">
        <v>24200200</v>
      </c>
      <c r="B77" s="1432" t="s">
        <v>2664</v>
      </c>
      <c r="C77" s="1081" t="s">
        <v>4567</v>
      </c>
      <c r="D77" s="1083" t="s">
        <v>4568</v>
      </c>
      <c r="E77" s="1084" t="s">
        <v>4569</v>
      </c>
      <c r="F77" s="1081" t="s">
        <v>4570</v>
      </c>
      <c r="G77" s="1083" t="s">
        <v>4571</v>
      </c>
      <c r="H77" s="736" t="s">
        <v>4572</v>
      </c>
      <c r="I77" s="1294" t="s">
        <v>4573</v>
      </c>
      <c r="J77" s="750" t="s">
        <v>4574</v>
      </c>
      <c r="K77" s="750" t="s">
        <v>4575</v>
      </c>
      <c r="L77" s="750" t="s">
        <v>4576</v>
      </c>
      <c r="M77" s="1082" t="s">
        <v>4577</v>
      </c>
      <c r="N77" s="1936" t="str">
        <f>$CB77&amp;CC77&amp;CD77&amp;CE77&amp;CF77</f>
        <v xml:space="preserve"> * La variable Beneficiarias no puede ser mayor a la Suma de la variable INTERRUMPE EMBARAZO. * La variable Pueblos originarios no puede ser mayor a la suma de la variable INTERRUMPE EMBARAZO. * La variable Migrantes no puede ser mayor a la suma de la variable INTERRUMPE EMBARAZO. * La variable Trans Masculino no puede ser mayor a la suma de la variable INTERRUMPE EMBARAZO. * La variable Discapacidad no puede ser mayor a la Suma de la variable INTERRUMPE EMBARAZO.</v>
      </c>
      <c r="CB77" s="3944" t="str">
        <f>IF(AND(SUM(F77:H77)&gt;0,I77="")," * No olvide digitar la variable "&amp;$I$73&amp;""&amp;". Digite cero si tiene.",IF(I77&gt;SUM(F77:H77)," * La variable "&amp;$I$73&amp;""&amp;" no puede ser mayor a la Suma de la variable "&amp;$F$73&amp;""&amp;".",""))</f>
        <v xml:space="preserve"> * La variable Beneficiarias no puede ser mayor a la Suma de la variable INTERRUMPE EMBARAZO.</v>
      </c>
      <c r="CC77" s="3944" t="str">
        <f>IF(AND(SUM(F77:H77)&gt;0,J77="")," * No olvide digitar la variable Pueblos originarios. Digite cero si tiene.",IF(J77&gt;SUM(F77:H77)," * La variable Pueblos originarios no puede ser mayor a la suma de la variable "&amp;$F$73&amp;""&amp;".",""))</f>
        <v xml:space="preserve"> * La variable Pueblos originarios no puede ser mayor a la suma de la variable INTERRUMPE EMBARAZO.</v>
      </c>
      <c r="CD77" s="3944" t="str">
        <f>IF(AND(SUM(F77:H77)&gt;0,K77="")," * No olvide digitar la variable  Migrantes. Digite cero si tiene.",IF(K77&gt;SUM(F77:H77)," * La variable Migrantes no puede ser mayor a la suma de la variable "&amp;$F$73&amp;""&amp;".",""))</f>
        <v xml:space="preserve"> * La variable Migrantes no puede ser mayor a la suma de la variable INTERRUMPE EMBARAZO.</v>
      </c>
      <c r="CE77" s="3944" t="str">
        <f>IF(AND(SUM($F77:$H77)&gt;0,OR(L77=""))," * No olvide digitar la variable Trans Masculino. Digite Cero si no tiene.",IF(L77&gt;SUM($F77:$H77)," * La variable Trans Masculino no puede ser mayor a la suma de la variable "&amp;$F$73&amp;""&amp;".",""))</f>
        <v xml:space="preserve"> * La variable Trans Masculino no puede ser mayor a la suma de la variable INTERRUMPE EMBARAZO.</v>
      </c>
      <c r="CF77" s="3944" t="str">
        <f>IF(AND(SUM($F77:$H77)&gt;0,OR(M77=""))," * No olvide digitar la variable "&amp;$M$73&amp;""&amp;". Digite Cero si no tiene.",IF(M77&gt;SUM($F77:$H77)," * La variable Discapacidad no puede ser mayor a la Suma de la variable "&amp;$F$73&amp;""&amp;".",""))</f>
        <v xml:space="preserve"> * La variable Discapacidad no puede ser mayor a la Suma de la variable INTERRUMPE EMBARAZO.</v>
      </c>
      <c r="CG77" s="1937"/>
      <c r="CH77" s="1937"/>
      <c r="CI77" s="1937"/>
      <c r="CJ77" s="1867">
        <f>IF(AND(SUM($F77:$H77)&gt;0,I77=""),1,IF(I77&gt;SUM(F77:H77),1,0))</f>
        <v>1</v>
      </c>
      <c r="CK77" s="1867">
        <f>IF(AND(SUM(F77:H77)&gt;0,J77=""),1,IF(J77&gt;SUM(F77:H77),1,0))</f>
        <v>1</v>
      </c>
      <c r="CL77" s="1867">
        <f>IF(AND(SUM(F77:H77)&gt;0,K77=""),1,IF(K77&gt;SUM(F77:H77),1,0))</f>
        <v>1</v>
      </c>
      <c r="CM77" s="1867">
        <f t="shared" ref="CM77:CN79" si="13">IF(AND(SUM($F77:$H77)&gt;0,OR(L77="")),1,IF(L77&gt;SUM($F77:$H77),1,0))</f>
        <v>1</v>
      </c>
      <c r="CN77" s="1867">
        <f t="shared" si="13"/>
        <v>1</v>
      </c>
      <c r="CO77"/>
      <c r="CP77"/>
      <c r="CQ77"/>
      <c r="CR77"/>
      <c r="CS77"/>
      <c r="CT77"/>
      <c r="CU77"/>
      <c r="CV77"/>
      <c r="CW77"/>
    </row>
    <row r="78" spans="1:104" ht="15" customHeight="1" x14ac:dyDescent="0.25">
      <c r="A78" s="5818">
        <v>24200201</v>
      </c>
      <c r="B78" s="1435" t="s">
        <v>2665</v>
      </c>
      <c r="C78" s="290" t="s">
        <v>4567</v>
      </c>
      <c r="D78" s="22" t="s">
        <v>4568</v>
      </c>
      <c r="E78" s="714" t="s">
        <v>4569</v>
      </c>
      <c r="F78" s="290" t="s">
        <v>4570</v>
      </c>
      <c r="G78" s="22" t="s">
        <v>4571</v>
      </c>
      <c r="H78" s="430" t="s">
        <v>4572</v>
      </c>
      <c r="I78" s="296" t="s">
        <v>4573</v>
      </c>
      <c r="J78" s="531" t="s">
        <v>4574</v>
      </c>
      <c r="K78" s="531" t="s">
        <v>4575</v>
      </c>
      <c r="L78" s="531" t="s">
        <v>4576</v>
      </c>
      <c r="M78" s="107" t="s">
        <v>4577</v>
      </c>
      <c r="N78" s="1936" t="str">
        <f>$CB78&amp;CC78&amp;CD78&amp;CE78&amp;CF78</f>
        <v xml:space="preserve"> * La variable Beneficiarias no puede ser mayor a la Suma de la variable INTERRUMPE EMBARAZO. * La variable Pueblos originarios no puede ser mayor a la suma de la variable INTERRUMPE EMBARAZO. * La variable Migrantes no puede ser mayor a la suma de la variable INTERRUMPE EMBARAZO. * La variable Trans Masculino no puede ser mayor a la suma de la variable INTERRUMPE EMBARAZO. * La variable Discapacidad no puede ser mayor a la Suma de la variable INTERRUMPE EMBARAZO.</v>
      </c>
      <c r="CB78" s="3944" t="str">
        <f>IF(AND(SUM(F78:H78)&gt;0,I78="")," * No olvide digitar la variable "&amp;$I$73&amp;""&amp;". Digite cero si tiene.",IF(I78&gt;SUM(F78:H78)," * La variable "&amp;$I$73&amp;""&amp;" no puede ser mayor a la Suma de la variable "&amp;$F$73&amp;""&amp;".",""))</f>
        <v xml:space="preserve"> * La variable Beneficiarias no puede ser mayor a la Suma de la variable INTERRUMPE EMBARAZO.</v>
      </c>
      <c r="CC78" s="3944" t="str">
        <f>IF(AND(SUM(F78:H78)&gt;0,J78="")," * No olvide digitar la variable Pueblos originarios. Digite cero si tiene.",IF(J78&gt;SUM(F78:H78)," * La variable Pueblos originarios no puede ser mayor a la suma de la variable "&amp;$F$73&amp;""&amp;".",""))</f>
        <v xml:space="preserve"> * La variable Pueblos originarios no puede ser mayor a la suma de la variable INTERRUMPE EMBARAZO.</v>
      </c>
      <c r="CD78" s="3944" t="str">
        <f>IF(AND(SUM(F78:H78)&gt;0,K78="")," * No olvide digitar la variable  Migrantes. Digite cero si tiene.",IF(K78&gt;SUM(F78:H78)," * La variable Migrantes no puede ser mayor a la suma de la variable "&amp;$F$73&amp;""&amp;".",""))</f>
        <v xml:space="preserve"> * La variable Migrantes no puede ser mayor a la suma de la variable INTERRUMPE EMBARAZO.</v>
      </c>
      <c r="CE78" s="3944" t="str">
        <f>IF(AND(SUM($F78:$H78)&gt;0,OR(L78=""))," * No olvide digitar la variable Trans Masculino. Digite Cero si no tiene.",IF(L78&gt;SUM($F78:$H78)," * La variable Trans Masculino no puede ser mayor a la suma de la variable "&amp;$F$73&amp;""&amp;".",""))</f>
        <v xml:space="preserve"> * La variable Trans Masculino no puede ser mayor a la suma de la variable INTERRUMPE EMBARAZO.</v>
      </c>
      <c r="CF78" s="3944" t="str">
        <f>IF(AND(SUM($F78:$H78)&gt;0,OR(M78=""))," * No olvide digitar la variable "&amp;$M$73&amp;""&amp;". Digite Cero si no tiene.",IF(M78&gt;SUM($F78:$H78)," * La variable Discapacidad no puede ser mayor a la Suma de la variable "&amp;$F$73&amp;""&amp;".",""))</f>
        <v xml:space="preserve"> * La variable Discapacidad no puede ser mayor a la Suma de la variable INTERRUMPE EMBARAZO.</v>
      </c>
      <c r="CG78" s="1937"/>
      <c r="CH78" s="1937"/>
      <c r="CI78" s="1937"/>
      <c r="CJ78" s="1867">
        <f>IF(AND(SUM($F78:$H78)&gt;0,I78=""),1,IF(I78&gt;SUM(F78:H78),1,0))</f>
        <v>1</v>
      </c>
      <c r="CK78" s="1867">
        <f>IF(AND(SUM(F78:H78)&gt;0,J78=""),1,IF(J78&gt;SUM(F78:H78),1,0))</f>
        <v>1</v>
      </c>
      <c r="CL78" s="1867">
        <f>IF(AND(SUM(F78:H78)&gt;0,K78=""),1,IF(K78&gt;SUM(F78:H78),1,0))</f>
        <v>1</v>
      </c>
      <c r="CM78" s="1867">
        <f t="shared" si="13"/>
        <v>1</v>
      </c>
      <c r="CN78" s="1867">
        <f t="shared" si="13"/>
        <v>1</v>
      </c>
      <c r="CO78"/>
      <c r="CP78"/>
      <c r="CQ78"/>
      <c r="CR78"/>
      <c r="CS78"/>
      <c r="CT78"/>
      <c r="CU78"/>
      <c r="CV78"/>
      <c r="CW78"/>
    </row>
    <row r="79" spans="1:104" ht="15" customHeight="1" x14ac:dyDescent="0.25">
      <c r="A79" s="5818">
        <v>24200202</v>
      </c>
      <c r="B79" s="1785" t="s">
        <v>2666</v>
      </c>
      <c r="C79" s="1264" t="s">
        <v>4567</v>
      </c>
      <c r="D79" s="3249" t="s">
        <v>4568</v>
      </c>
      <c r="E79" s="315" t="s">
        <v>4569</v>
      </c>
      <c r="F79" s="1264" t="s">
        <v>4570</v>
      </c>
      <c r="G79" s="3249" t="s">
        <v>4571</v>
      </c>
      <c r="H79" s="297" t="s">
        <v>4572</v>
      </c>
      <c r="I79" s="1303" t="s">
        <v>4573</v>
      </c>
      <c r="J79" s="1258" t="s">
        <v>4574</v>
      </c>
      <c r="K79" s="1258" t="s">
        <v>4575</v>
      </c>
      <c r="L79" s="1258" t="s">
        <v>4576</v>
      </c>
      <c r="M79" s="387" t="s">
        <v>4577</v>
      </c>
      <c r="N79" s="1936" t="str">
        <f>$CB79&amp;CC79&amp;CD79&amp;CE79&amp;CF79</f>
        <v xml:space="preserve"> * La variable Beneficiarias no puede ser mayor a la Suma de la variable INTERRUMPE EMBARAZO. * La variable Pueblos originarios no puede ser mayor a la suma de la variable INTERRUMPE EMBARAZO. * La variable Migrantes no puede ser mayor a la suma de la variable INTERRUMPE EMBARAZO. * La variable Trans Masculino no puede ser mayor a la suma de la variableINTERRUMPE EMBARAZO. * La variable Discapacidad no puede ser mayor a la Suma de la variable INTERRUMPE EMBARAZO.</v>
      </c>
      <c r="CB79" s="3944" t="str">
        <f>IF(AND(SUM(F79:H79)&gt;0,I79="")," * No olvide digitar la variable "&amp;$I$73&amp;""&amp;". Digite cero si tiene.",IF(I79&gt;SUM(F79:H79)," * La variable "&amp;$I$73&amp;""&amp;" no puede ser mayor a la Suma de la variable "&amp;$F$73&amp;""&amp;""&amp;".",""))</f>
        <v xml:space="preserve"> * La variable Beneficiarias no puede ser mayor a la Suma de la variable INTERRUMPE EMBARAZO.</v>
      </c>
      <c r="CC79" s="3944" t="str">
        <f>IF(AND(SUM(F79:H79)&gt;0,J79="")," * No olvide digitar la variable Pueblos originarios. Digite cero si tiene.",IF(J79&gt;SUM(F79:H79)," * La variable Pueblos originarios no puede ser mayor a la suma de la variable "&amp;$F$73&amp;""&amp;".",""))</f>
        <v xml:space="preserve"> * La variable Pueblos originarios no puede ser mayor a la suma de la variable INTERRUMPE EMBARAZO.</v>
      </c>
      <c r="CD79" s="3944" t="str">
        <f>IF(AND(SUM(F79:H79)&gt;0,K79="")," * No olvide digitar la variable  Migrantes. Digite cero si tiene.",IF(K79&gt;SUM(F79:H79)," * La variable Migrantes no puede ser mayor a la suma de la variable "&amp;$F$73&amp;""&amp;".",""))</f>
        <v xml:space="preserve"> * La variable Migrantes no puede ser mayor a la suma de la variable INTERRUMPE EMBARAZO.</v>
      </c>
      <c r="CE79" s="3944" t="str">
        <f>IF(AND(SUM($F79:$H79)&gt;0,OR(L79=""))," * No olvide digitar la variable Trans Masculino. Digite Cero si no tiene.",IF(L79&gt;SUM($F79:$H79)," * La variable Trans Masculino no puede ser mayor a la suma de la variable"&amp;$F$73&amp;""&amp;".",""))</f>
        <v xml:space="preserve"> * La variable Trans Masculino no puede ser mayor a la suma de la variableINTERRUMPE EMBARAZO.</v>
      </c>
      <c r="CF79" s="3944" t="str">
        <f>IF(AND(SUM($F79:$H79)&gt;0,OR(M79=""))," * No olvide digitar la variable "&amp;$M$73&amp;""&amp;". Digite Cero si no tiene.",IF(M79&gt;SUM($F79:$H79)," * La variable Discapacidad no puede ser mayor a la Suma de la variable "&amp;$F$73&amp;""&amp;".",""))</f>
        <v xml:space="preserve"> * La variable Discapacidad no puede ser mayor a la Suma de la variable INTERRUMPE EMBARAZO.</v>
      </c>
      <c r="CG79" s="1937"/>
      <c r="CH79" s="1937"/>
      <c r="CI79" s="1937"/>
      <c r="CJ79" s="1867">
        <f>IF(AND(SUM($F79:$H79)&gt;0,I79=""),1,IF(I79&gt;SUM(F79:H79),1,0))</f>
        <v>1</v>
      </c>
      <c r="CK79" s="1867">
        <f>IF(AND(SUM(F79:H79)&gt;0,J79=""),1,IF(J79&gt;SUM(F79:H79),1,0))</f>
        <v>1</v>
      </c>
      <c r="CL79" s="1867">
        <f>IF(AND(SUM(F79:H79)&gt;0,K79=""),1,IF(K79&gt;SUM(F79:H79),1,0))</f>
        <v>1</v>
      </c>
      <c r="CM79" s="1867">
        <f t="shared" si="13"/>
        <v>1</v>
      </c>
      <c r="CN79" s="1867">
        <f t="shared" si="13"/>
        <v>1</v>
      </c>
      <c r="CO79"/>
      <c r="CP79"/>
      <c r="CQ79"/>
      <c r="CR79"/>
      <c r="CS79"/>
      <c r="CT79"/>
      <c r="CU79"/>
      <c r="CV79"/>
      <c r="CW79"/>
    </row>
    <row r="80" spans="1:104" ht="15" customHeight="1" x14ac:dyDescent="0.25">
      <c r="B80" s="4441" t="s">
        <v>2667</v>
      </c>
      <c r="L80" s="3253"/>
      <c r="M80" s="3253"/>
      <c r="N80" s="3253"/>
      <c r="O80" s="3253"/>
      <c r="P80" s="3253"/>
      <c r="Q80" s="3253"/>
      <c r="R80" s="3253"/>
      <c r="S80" s="3253"/>
      <c r="T80" s="3253"/>
      <c r="U80" s="3253"/>
      <c r="V80" s="3253"/>
      <c r="W80" s="3253"/>
      <c r="X80" s="3253"/>
      <c r="Y80" s="1936"/>
      <c r="CB80"/>
      <c r="CC80"/>
      <c r="CD80"/>
      <c r="CE80" s="1937"/>
      <c r="CF80" s="1937"/>
      <c r="CG80" s="1937"/>
      <c r="CH80" s="1937"/>
      <c r="CI80" s="1937"/>
      <c r="CJ80" s="1937"/>
      <c r="CK80" s="1937"/>
      <c r="CL80" s="1937"/>
      <c r="CM80" s="1937"/>
      <c r="CN80" s="4"/>
      <c r="CO80" s="4"/>
      <c r="CP80"/>
      <c r="CQ80"/>
      <c r="CR80"/>
      <c r="CS80"/>
      <c r="CT80"/>
      <c r="CX80" s="25"/>
      <c r="CY80" s="25"/>
      <c r="CZ80" s="25"/>
    </row>
    <row r="81" spans="1:95" ht="15" customHeight="1" x14ac:dyDescent="0.25">
      <c r="B81" s="7289" t="s">
        <v>2668</v>
      </c>
      <c r="C81" s="7291" t="s">
        <v>29</v>
      </c>
      <c r="D81" s="7298"/>
      <c r="E81" s="7298"/>
      <c r="F81" s="7340" t="s">
        <v>2669</v>
      </c>
      <c r="G81" s="7340"/>
      <c r="H81" s="7340"/>
      <c r="I81" s="3253"/>
      <c r="J81" s="3253"/>
      <c r="K81" s="3253"/>
      <c r="L81" s="3253"/>
      <c r="M81" s="3253"/>
      <c r="N81" s="3253"/>
      <c r="O81" s="3253"/>
      <c r="P81" s="3253"/>
      <c r="Q81" s="3253"/>
      <c r="R81" s="3253"/>
      <c r="S81" s="3253"/>
      <c r="T81" s="3253"/>
      <c r="U81" s="3253"/>
      <c r="V81" s="1936"/>
      <c r="CB81" s="1937"/>
      <c r="CC81" s="1937"/>
      <c r="CD81" s="1937"/>
      <c r="CE81" s="1937"/>
      <c r="CF81" s="1937"/>
      <c r="CG81" s="1937"/>
      <c r="CH81" s="1937"/>
      <c r="CI81" s="1937"/>
      <c r="CJ81" s="1937"/>
      <c r="CK81" s="4"/>
      <c r="CL81" s="4"/>
      <c r="CM81"/>
      <c r="CN81"/>
      <c r="CO81"/>
      <c r="CP81"/>
      <c r="CQ81"/>
    </row>
    <row r="82" spans="1:95" ht="15" customHeight="1" x14ac:dyDescent="0.25">
      <c r="B82" s="6739"/>
      <c r="C82" s="1109" t="s">
        <v>4414</v>
      </c>
      <c r="D82" s="1213" t="s">
        <v>2663</v>
      </c>
      <c r="E82" s="1214" t="s">
        <v>1108</v>
      </c>
      <c r="F82" s="1109" t="s">
        <v>2670</v>
      </c>
      <c r="G82" s="1213" t="s">
        <v>2671</v>
      </c>
      <c r="H82" s="1067" t="s">
        <v>2672</v>
      </c>
      <c r="I82" s="3253"/>
      <c r="J82" s="3253"/>
      <c r="K82" s="3253"/>
      <c r="L82" s="3253"/>
      <c r="M82" s="3253"/>
      <c r="N82" s="3253"/>
      <c r="O82" s="3253"/>
      <c r="P82" s="3253"/>
      <c r="Q82" s="3253"/>
      <c r="R82" s="3253"/>
      <c r="S82" s="3253"/>
      <c r="T82" s="3253"/>
      <c r="U82" s="3253"/>
      <c r="V82" s="1936"/>
      <c r="CB82" s="1937"/>
      <c r="CC82" s="1937"/>
      <c r="CD82" s="1937"/>
      <c r="CE82" s="1937"/>
      <c r="CF82" s="1937"/>
      <c r="CG82" s="1937"/>
      <c r="CH82" s="1937"/>
      <c r="CI82" s="1937"/>
      <c r="CJ82" s="1937"/>
      <c r="CK82" s="4"/>
      <c r="CL82" s="4"/>
      <c r="CM82"/>
      <c r="CN82"/>
      <c r="CO82"/>
      <c r="CP82"/>
      <c r="CQ82"/>
    </row>
    <row r="83" spans="1:95" ht="15" customHeight="1" x14ac:dyDescent="0.25">
      <c r="A83" s="5616"/>
      <c r="B83" s="1212" t="s">
        <v>77</v>
      </c>
      <c r="C83" s="4545" t="e">
        <f t="shared" ref="C83:H83" si="14">C84+C85+C86+C87+C88</f>
        <v>#VALUE!</v>
      </c>
      <c r="D83" s="4551" t="e">
        <f t="shared" si="14"/>
        <v>#VALUE!</v>
      </c>
      <c r="E83" s="4552" t="e">
        <f t="shared" si="14"/>
        <v>#VALUE!</v>
      </c>
      <c r="F83" s="4545" t="e">
        <f t="shared" si="14"/>
        <v>#VALUE!</v>
      </c>
      <c r="G83" s="4546" t="e">
        <f t="shared" si="14"/>
        <v>#VALUE!</v>
      </c>
      <c r="H83" s="4550" t="e">
        <f t="shared" si="14"/>
        <v>#VALUE!</v>
      </c>
      <c r="I83" s="3253"/>
      <c r="J83" s="3253"/>
      <c r="K83" s="3253"/>
      <c r="L83" s="3253"/>
      <c r="M83" s="3253"/>
      <c r="N83" s="3253"/>
      <c r="O83" s="3253"/>
      <c r="P83" s="3253"/>
      <c r="Q83" s="3253"/>
      <c r="R83" s="3253"/>
      <c r="S83" s="3253"/>
      <c r="T83" s="3253"/>
      <c r="U83" s="3253"/>
      <c r="V83" s="1936"/>
      <c r="CB83" s="1937"/>
      <c r="CC83" s="1937"/>
      <c r="CD83" s="1937"/>
      <c r="CE83" s="1937"/>
      <c r="CF83" s="1937"/>
      <c r="CG83" s="1937"/>
      <c r="CH83" s="1937"/>
      <c r="CI83" s="1937"/>
      <c r="CJ83" s="1937"/>
      <c r="CK83" s="4"/>
      <c r="CL83" s="4"/>
      <c r="CM83"/>
      <c r="CN83"/>
      <c r="CO83"/>
      <c r="CP83"/>
      <c r="CQ83"/>
    </row>
    <row r="84" spans="1:95" ht="15" customHeight="1" x14ac:dyDescent="0.25">
      <c r="A84" s="5866">
        <v>24311020</v>
      </c>
      <c r="B84" s="1432" t="s">
        <v>2673</v>
      </c>
      <c r="C84" s="1081" t="s">
        <v>4567</v>
      </c>
      <c r="D84" s="1083" t="s">
        <v>4568</v>
      </c>
      <c r="E84" s="1084" t="s">
        <v>4569</v>
      </c>
      <c r="F84" s="1081" t="s">
        <v>4570</v>
      </c>
      <c r="G84" s="750" t="s">
        <v>4571</v>
      </c>
      <c r="H84" s="1082" t="s">
        <v>4572</v>
      </c>
      <c r="I84" s="3253"/>
      <c r="J84" s="3253"/>
      <c r="K84" s="3253"/>
      <c r="L84" s="3253"/>
      <c r="M84" s="3253"/>
      <c r="N84" s="3253"/>
      <c r="O84" s="3253"/>
      <c r="P84" s="3253"/>
      <c r="Q84" s="3253"/>
      <c r="R84" s="3253"/>
      <c r="S84" s="3253"/>
      <c r="T84" s="3253"/>
      <c r="U84" s="3253"/>
      <c r="V84" s="1936"/>
      <c r="CB84" s="1937"/>
      <c r="CC84" s="1937"/>
      <c r="CD84" s="1937"/>
      <c r="CE84" s="1937"/>
      <c r="CF84" s="1937"/>
      <c r="CG84" s="1937"/>
      <c r="CH84" s="1937"/>
      <c r="CI84" s="1937"/>
      <c r="CJ84" s="1937"/>
      <c r="CK84" s="4"/>
      <c r="CL84" s="4"/>
      <c r="CM84"/>
      <c r="CN84"/>
      <c r="CO84"/>
      <c r="CP84"/>
      <c r="CQ84"/>
    </row>
    <row r="85" spans="1:95" ht="15" customHeight="1" x14ac:dyDescent="0.25">
      <c r="A85" s="5866">
        <v>24311021</v>
      </c>
      <c r="B85" s="1435" t="s">
        <v>2674</v>
      </c>
      <c r="C85" s="290" t="s">
        <v>4567</v>
      </c>
      <c r="D85" s="22" t="s">
        <v>4568</v>
      </c>
      <c r="E85" s="714" t="s">
        <v>4569</v>
      </c>
      <c r="F85" s="290" t="s">
        <v>4570</v>
      </c>
      <c r="G85" s="531" t="s">
        <v>4571</v>
      </c>
      <c r="H85" s="107" t="s">
        <v>4572</v>
      </c>
      <c r="I85" s="3253"/>
      <c r="J85" s="3253"/>
      <c r="K85" s="3253"/>
      <c r="L85" s="3253"/>
      <c r="M85" s="3253"/>
      <c r="N85" s="3253"/>
      <c r="O85" s="3253"/>
      <c r="P85" s="3253"/>
      <c r="Q85" s="3253"/>
      <c r="R85" s="3253"/>
      <c r="S85" s="3253"/>
      <c r="T85" s="3253"/>
      <c r="U85" s="3253"/>
      <c r="V85" s="1936"/>
      <c r="CB85" s="1937"/>
      <c r="CC85" s="1937"/>
      <c r="CD85" s="1937"/>
      <c r="CE85" s="1937"/>
      <c r="CF85" s="1937"/>
      <c r="CG85" s="1937"/>
      <c r="CH85" s="1937"/>
      <c r="CI85" s="1937"/>
      <c r="CJ85" s="1937"/>
      <c r="CK85" s="4"/>
      <c r="CL85" s="4"/>
      <c r="CM85"/>
      <c r="CN85"/>
      <c r="CO85"/>
      <c r="CP85"/>
      <c r="CQ85"/>
    </row>
    <row r="86" spans="1:95" ht="15" customHeight="1" x14ac:dyDescent="0.25">
      <c r="A86" s="5866">
        <v>24311022</v>
      </c>
      <c r="B86" s="1435" t="s">
        <v>2675</v>
      </c>
      <c r="C86" s="1089" t="s">
        <v>4567</v>
      </c>
      <c r="D86" s="1253" t="s">
        <v>4568</v>
      </c>
      <c r="E86" s="3099" t="s">
        <v>4569</v>
      </c>
      <c r="F86" s="1089" t="s">
        <v>4570</v>
      </c>
      <c r="G86" s="1253" t="s">
        <v>4571</v>
      </c>
      <c r="H86" s="1090" t="s">
        <v>4572</v>
      </c>
      <c r="I86" s="3253"/>
      <c r="J86" s="3253"/>
      <c r="K86" s="3253"/>
      <c r="L86" s="3253"/>
      <c r="M86" s="3253"/>
      <c r="N86" s="3253"/>
      <c r="O86" s="3253"/>
      <c r="P86" s="3253"/>
      <c r="Q86" s="3253"/>
      <c r="R86" s="3253"/>
      <c r="S86" s="3253"/>
      <c r="T86" s="3253"/>
      <c r="U86" s="3253"/>
      <c r="V86" s="1936"/>
      <c r="CB86" s="1937"/>
      <c r="CC86" s="1937"/>
      <c r="CD86" s="1937"/>
      <c r="CE86" s="1937"/>
      <c r="CF86" s="1937"/>
      <c r="CG86" s="1937"/>
      <c r="CH86" s="1937"/>
      <c r="CI86" s="1937"/>
      <c r="CJ86" s="1937"/>
      <c r="CK86" s="4"/>
      <c r="CL86" s="4"/>
      <c r="CM86"/>
      <c r="CN86"/>
      <c r="CO86"/>
      <c r="CP86"/>
      <c r="CQ86"/>
    </row>
    <row r="87" spans="1:95" ht="15" customHeight="1" x14ac:dyDescent="0.25">
      <c r="A87" s="5866">
        <v>24311023</v>
      </c>
      <c r="B87" s="2141" t="s">
        <v>2676</v>
      </c>
      <c r="C87" s="1264" t="s">
        <v>4567</v>
      </c>
      <c r="D87" s="3249" t="s">
        <v>4568</v>
      </c>
      <c r="E87" s="1115" t="s">
        <v>4569</v>
      </c>
      <c r="F87" s="1264" t="s">
        <v>4570</v>
      </c>
      <c r="G87" s="262" t="s">
        <v>4571</v>
      </c>
      <c r="H87" s="1447" t="s">
        <v>4572</v>
      </c>
      <c r="I87" s="3253"/>
      <c r="J87" s="3253"/>
      <c r="K87" s="3253"/>
      <c r="L87" s="3253"/>
      <c r="M87" s="3253"/>
      <c r="N87" s="3253"/>
      <c r="O87" s="3253"/>
      <c r="P87" s="3253"/>
      <c r="Q87" s="3253"/>
      <c r="R87" s="3253"/>
      <c r="S87" s="3253"/>
      <c r="T87" s="3253"/>
      <c r="U87" s="3253"/>
      <c r="V87" s="1936"/>
      <c r="CB87" s="1937"/>
      <c r="CC87" s="1937"/>
      <c r="CD87" s="1937"/>
      <c r="CE87" s="1937"/>
      <c r="CF87" s="1937"/>
      <c r="CG87" s="1937"/>
      <c r="CH87" s="1937"/>
      <c r="CI87" s="1937"/>
      <c r="CJ87" s="1937"/>
      <c r="CK87" s="4"/>
      <c r="CL87" s="4"/>
      <c r="CM87"/>
      <c r="CN87"/>
      <c r="CO87"/>
      <c r="CP87"/>
      <c r="CQ87"/>
    </row>
    <row r="88" spans="1:95" ht="15" customHeight="1" x14ac:dyDescent="0.25">
      <c r="A88" s="5866">
        <v>24311024</v>
      </c>
      <c r="B88" s="4553" t="s">
        <v>2677</v>
      </c>
      <c r="C88" s="1264" t="s">
        <v>4567</v>
      </c>
      <c r="D88" s="3249" t="s">
        <v>4568</v>
      </c>
      <c r="E88" s="315" t="s">
        <v>4569</v>
      </c>
      <c r="F88" s="1264" t="s">
        <v>4570</v>
      </c>
      <c r="G88" s="262" t="s">
        <v>4571</v>
      </c>
      <c r="H88" s="1447" t="s">
        <v>4572</v>
      </c>
      <c r="I88" s="3253"/>
      <c r="J88" s="3253"/>
      <c r="K88" s="3253"/>
      <c r="L88" s="3253"/>
      <c r="M88" s="3253"/>
      <c r="N88" s="3253"/>
      <c r="O88" s="3253"/>
      <c r="P88" s="3253"/>
      <c r="Q88" s="3253"/>
      <c r="R88" s="3253"/>
      <c r="S88" s="3253"/>
      <c r="T88" s="3253"/>
      <c r="U88" s="3253"/>
      <c r="V88" s="1936"/>
      <c r="CB88" s="1937"/>
      <c r="CC88" s="1937"/>
      <c r="CD88" s="1937"/>
      <c r="CE88" s="1937"/>
      <c r="CF88" s="1937"/>
      <c r="CG88" s="1937"/>
      <c r="CH88" s="1937"/>
      <c r="CI88" s="1937"/>
      <c r="CJ88" s="1937"/>
      <c r="CK88" s="4"/>
      <c r="CL88" s="4"/>
      <c r="CM88"/>
      <c r="CN88"/>
      <c r="CO88"/>
      <c r="CP88"/>
      <c r="CQ88"/>
    </row>
    <row r="89" spans="1:95" s="25" customFormat="1" ht="18" customHeight="1" x14ac:dyDescent="0.15">
      <c r="B89" s="13" t="s">
        <v>2678</v>
      </c>
      <c r="C89" s="4441"/>
      <c r="D89" s="5"/>
      <c r="E89" s="5"/>
      <c r="F89" s="5"/>
      <c r="G89" s="4554"/>
      <c r="H89" s="4555"/>
      <c r="I89" s="5"/>
    </row>
    <row r="90" spans="1:95" ht="15" customHeight="1" x14ac:dyDescent="0.25">
      <c r="B90" s="7434" t="s">
        <v>2679</v>
      </c>
      <c r="C90" s="7435"/>
      <c r="D90" s="7436" t="s">
        <v>68</v>
      </c>
      <c r="E90" s="7438" t="s">
        <v>2680</v>
      </c>
      <c r="F90" s="7438" t="s">
        <v>67</v>
      </c>
      <c r="G90" s="7439" t="s">
        <v>2681</v>
      </c>
      <c r="H90" s="7390" t="s">
        <v>29</v>
      </c>
      <c r="I90" s="7390"/>
      <c r="J90" s="7391"/>
    </row>
    <row r="91" spans="1:95" ht="15" customHeight="1" x14ac:dyDescent="0.25">
      <c r="B91" s="7093"/>
      <c r="C91" s="7065"/>
      <c r="D91" s="7437"/>
      <c r="E91" s="6960"/>
      <c r="F91" s="6960"/>
      <c r="G91" s="7088"/>
      <c r="H91" s="4490" t="s">
        <v>2567</v>
      </c>
      <c r="I91" s="4444" t="s">
        <v>304</v>
      </c>
      <c r="J91" s="4492" t="s">
        <v>706</v>
      </c>
    </row>
    <row r="92" spans="1:95" ht="15" customHeight="1" x14ac:dyDescent="0.25">
      <c r="A92" s="5818">
        <v>29101755</v>
      </c>
      <c r="B92" s="7361" t="s">
        <v>2682</v>
      </c>
      <c r="C92" s="7362"/>
      <c r="D92" s="1081" t="s">
        <v>4567</v>
      </c>
      <c r="E92" s="3645" t="s">
        <v>4568</v>
      </c>
      <c r="F92" s="750" t="s">
        <v>4569</v>
      </c>
      <c r="G92" s="748" t="s">
        <v>4570</v>
      </c>
      <c r="H92" s="1081" t="s">
        <v>4571</v>
      </c>
      <c r="I92" s="750" t="s">
        <v>4572</v>
      </c>
      <c r="J92" s="1082" t="s">
        <v>4573</v>
      </c>
    </row>
    <row r="93" spans="1:95" ht="15" customHeight="1" x14ac:dyDescent="0.25">
      <c r="A93" s="5818">
        <v>29101756</v>
      </c>
      <c r="B93" s="6921" t="s">
        <v>2683</v>
      </c>
      <c r="C93" s="6922"/>
      <c r="D93" s="1264" t="s">
        <v>4567</v>
      </c>
      <c r="E93" s="4556" t="s">
        <v>4568</v>
      </c>
      <c r="F93" s="262" t="s">
        <v>4569</v>
      </c>
      <c r="G93" s="310" t="s">
        <v>4570</v>
      </c>
      <c r="H93" s="1264" t="s">
        <v>4571</v>
      </c>
      <c r="I93" s="262" t="s">
        <v>4572</v>
      </c>
      <c r="J93" s="1447" t="s">
        <v>4573</v>
      </c>
    </row>
    <row r="94" spans="1:95" ht="15" customHeight="1" x14ac:dyDescent="0.25">
      <c r="A94" s="5818">
        <v>29101757</v>
      </c>
      <c r="B94" s="7432" t="s">
        <v>742</v>
      </c>
      <c r="C94" s="1777" t="s">
        <v>743</v>
      </c>
      <c r="D94" s="290" t="s">
        <v>4567</v>
      </c>
      <c r="E94" s="532" t="s">
        <v>4568</v>
      </c>
      <c r="F94" s="531" t="s">
        <v>4569</v>
      </c>
      <c r="G94" s="622" t="s">
        <v>4570</v>
      </c>
      <c r="H94" s="290" t="s">
        <v>4571</v>
      </c>
      <c r="I94" s="531" t="s">
        <v>4572</v>
      </c>
      <c r="J94" s="107" t="s">
        <v>4573</v>
      </c>
    </row>
    <row r="95" spans="1:95" ht="15" customHeight="1" x14ac:dyDescent="0.25">
      <c r="A95" s="5818">
        <v>29101758</v>
      </c>
      <c r="B95" s="7433"/>
      <c r="C95" s="4542" t="s">
        <v>744</v>
      </c>
      <c r="D95" s="1089" t="s">
        <v>4567</v>
      </c>
      <c r="E95" s="4557" t="s">
        <v>4568</v>
      </c>
      <c r="F95" s="1253" t="s">
        <v>4569</v>
      </c>
      <c r="G95" s="1093" t="s">
        <v>4570</v>
      </c>
      <c r="H95" s="1089" t="s">
        <v>4571</v>
      </c>
      <c r="I95" s="1253" t="s">
        <v>4572</v>
      </c>
      <c r="J95" s="1090" t="s">
        <v>4573</v>
      </c>
    </row>
    <row r="96" spans="1:95" ht="15" customHeight="1" x14ac:dyDescent="0.25">
      <c r="A96" s="5818">
        <v>29101759</v>
      </c>
      <c r="B96" s="7433"/>
      <c r="C96" s="4558" t="s">
        <v>745</v>
      </c>
      <c r="D96" s="1089" t="s">
        <v>4567</v>
      </c>
      <c r="E96" s="4557" t="s">
        <v>4568</v>
      </c>
      <c r="F96" s="1253" t="s">
        <v>4569</v>
      </c>
      <c r="G96" s="1093" t="s">
        <v>4570</v>
      </c>
      <c r="H96" s="1089" t="s">
        <v>4571</v>
      </c>
      <c r="I96" s="1253" t="s">
        <v>4572</v>
      </c>
      <c r="J96" s="1090" t="s">
        <v>4573</v>
      </c>
    </row>
    <row r="97" spans="1:103" ht="15" customHeight="1" x14ac:dyDescent="0.25">
      <c r="A97" s="5818">
        <v>29101760</v>
      </c>
      <c r="B97" s="7433"/>
      <c r="C97" s="4559" t="s">
        <v>746</v>
      </c>
      <c r="D97" s="1089" t="s">
        <v>4567</v>
      </c>
      <c r="E97" s="4557" t="s">
        <v>4568</v>
      </c>
      <c r="F97" s="1253" t="s">
        <v>4569</v>
      </c>
      <c r="G97" s="1093" t="s">
        <v>4570</v>
      </c>
      <c r="H97" s="1089" t="s">
        <v>4571</v>
      </c>
      <c r="I97" s="1253" t="s">
        <v>4572</v>
      </c>
      <c r="J97" s="1090" t="s">
        <v>4573</v>
      </c>
    </row>
    <row r="98" spans="1:103" ht="21" x14ac:dyDescent="0.25">
      <c r="A98" s="5818">
        <v>29101761</v>
      </c>
      <c r="B98" s="7433"/>
      <c r="C98" s="4560" t="s">
        <v>747</v>
      </c>
      <c r="D98" s="1089" t="s">
        <v>4567</v>
      </c>
      <c r="E98" s="4557" t="s">
        <v>4568</v>
      </c>
      <c r="F98" s="1253" t="s">
        <v>4569</v>
      </c>
      <c r="G98" s="1093" t="s">
        <v>4570</v>
      </c>
      <c r="H98" s="1089" t="s">
        <v>4571</v>
      </c>
      <c r="I98" s="1253" t="s">
        <v>4572</v>
      </c>
      <c r="J98" s="1090" t="s">
        <v>4573</v>
      </c>
    </row>
    <row r="99" spans="1:103" ht="21" x14ac:dyDescent="0.25">
      <c r="A99" s="5818">
        <v>29101762</v>
      </c>
      <c r="B99" s="7433"/>
      <c r="C99" s="4560" t="s">
        <v>748</v>
      </c>
      <c r="D99" s="1089" t="s">
        <v>4567</v>
      </c>
      <c r="E99" s="4557" t="s">
        <v>4568</v>
      </c>
      <c r="F99" s="1253" t="s">
        <v>4569</v>
      </c>
      <c r="G99" s="1093" t="s">
        <v>4570</v>
      </c>
      <c r="H99" s="1089" t="s">
        <v>4571</v>
      </c>
      <c r="I99" s="1253" t="s">
        <v>4572</v>
      </c>
      <c r="J99" s="1090" t="s">
        <v>4573</v>
      </c>
    </row>
    <row r="100" spans="1:103" ht="15" customHeight="1" x14ac:dyDescent="0.25">
      <c r="A100" s="5818">
        <v>29101763</v>
      </c>
      <c r="B100" s="7420"/>
      <c r="C100" s="1003" t="s">
        <v>2684</v>
      </c>
      <c r="D100" s="1114" t="s">
        <v>4567</v>
      </c>
      <c r="E100" s="4556" t="s">
        <v>4568</v>
      </c>
      <c r="F100" s="1258" t="s">
        <v>4569</v>
      </c>
      <c r="G100" s="1115" t="s">
        <v>4570</v>
      </c>
      <c r="H100" s="1114" t="s">
        <v>4571</v>
      </c>
      <c r="I100" s="1258" t="s">
        <v>4572</v>
      </c>
      <c r="J100" s="387" t="s">
        <v>4573</v>
      </c>
    </row>
    <row r="101" spans="1:103" ht="15" customHeight="1" x14ac:dyDescent="0.25">
      <c r="A101" s="5818">
        <v>29101764</v>
      </c>
      <c r="B101" s="7361" t="s">
        <v>2685</v>
      </c>
      <c r="C101" s="7362"/>
      <c r="D101" s="1081" t="s">
        <v>4567</v>
      </c>
      <c r="E101" s="3645" t="s">
        <v>4568</v>
      </c>
      <c r="F101" s="750" t="s">
        <v>4569</v>
      </c>
      <c r="G101" s="748" t="s">
        <v>4570</v>
      </c>
      <c r="H101" s="1081" t="s">
        <v>4571</v>
      </c>
      <c r="I101" s="750" t="s">
        <v>4572</v>
      </c>
      <c r="J101" s="1082" t="s">
        <v>4573</v>
      </c>
    </row>
    <row r="102" spans="1:103" ht="15" customHeight="1" x14ac:dyDescent="0.25">
      <c r="A102" s="5818">
        <v>29101765</v>
      </c>
      <c r="B102" s="7440" t="s">
        <v>2686</v>
      </c>
      <c r="C102" s="7441"/>
      <c r="D102" s="290" t="s">
        <v>4567</v>
      </c>
      <c r="E102" s="531" t="s">
        <v>4568</v>
      </c>
      <c r="F102" s="531" t="s">
        <v>4569</v>
      </c>
      <c r="G102" s="622" t="s">
        <v>4570</v>
      </c>
      <c r="H102" s="290" t="s">
        <v>4571</v>
      </c>
      <c r="I102" s="531" t="s">
        <v>4572</v>
      </c>
      <c r="J102" s="107" t="s">
        <v>4573</v>
      </c>
    </row>
    <row r="103" spans="1:103" ht="15" customHeight="1" x14ac:dyDescent="0.25">
      <c r="A103" s="5818">
        <v>29101766</v>
      </c>
      <c r="B103" s="7442" t="s">
        <v>2687</v>
      </c>
      <c r="C103" s="7443"/>
      <c r="D103" s="1070" t="s">
        <v>4567</v>
      </c>
      <c r="E103" s="4561" t="s">
        <v>4568</v>
      </c>
      <c r="F103" s="4562" t="s">
        <v>4569</v>
      </c>
      <c r="G103" s="1074" t="s">
        <v>4570</v>
      </c>
      <c r="H103" s="1070" t="s">
        <v>4571</v>
      </c>
      <c r="I103" s="4562" t="s">
        <v>4572</v>
      </c>
      <c r="J103" s="1071" t="s">
        <v>4573</v>
      </c>
    </row>
    <row r="104" spans="1:103" ht="15" customHeight="1" x14ac:dyDescent="0.25">
      <c r="A104" s="5606"/>
      <c r="B104" s="7416" t="s">
        <v>2688</v>
      </c>
      <c r="C104" s="7417"/>
      <c r="D104" s="3707">
        <f>SUM(D92:D103)</f>
        <v>0</v>
      </c>
      <c r="E104" s="3709" t="str">
        <f>E102</f>
        <v>COL02</v>
      </c>
      <c r="F104" s="3709">
        <f t="shared" ref="F104:J104" si="15">SUM(F92:F103)</f>
        <v>0</v>
      </c>
      <c r="G104" s="3705">
        <f t="shared" si="15"/>
        <v>0</v>
      </c>
      <c r="H104" s="3707">
        <f t="shared" si="15"/>
        <v>0</v>
      </c>
      <c r="I104" s="3709">
        <f t="shared" si="15"/>
        <v>0</v>
      </c>
      <c r="J104" s="4563">
        <f t="shared" si="15"/>
        <v>0</v>
      </c>
    </row>
    <row r="105" spans="1:103" s="25" customFormat="1" ht="18" customHeight="1" x14ac:dyDescent="0.15">
      <c r="B105" s="7444" t="s">
        <v>2689</v>
      </c>
      <c r="C105" s="6327"/>
      <c r="D105" s="6327"/>
      <c r="E105" s="6327"/>
      <c r="F105" s="6327"/>
      <c r="G105" s="6327"/>
      <c r="H105" s="6327"/>
      <c r="I105" s="4564"/>
      <c r="J105" s="4564"/>
      <c r="K105" s="4564"/>
      <c r="L105" s="4564"/>
      <c r="M105" s="11"/>
    </row>
    <row r="106" spans="1:103" s="25" customFormat="1" ht="18" customHeight="1" x14ac:dyDescent="0.15">
      <c r="B106" s="7445" t="s">
        <v>2690</v>
      </c>
      <c r="C106" s="7446"/>
      <c r="D106" s="7446"/>
      <c r="E106" s="7446"/>
      <c r="F106" s="7446"/>
      <c r="G106" s="7446"/>
      <c r="H106" s="7446"/>
      <c r="I106" s="8"/>
      <c r="J106" s="8"/>
      <c r="K106" s="8"/>
      <c r="L106" s="8"/>
      <c r="M106" s="8"/>
    </row>
    <row r="107" spans="1:103" x14ac:dyDescent="0.25">
      <c r="B107" s="7289" t="s">
        <v>277</v>
      </c>
      <c r="C107" s="7237"/>
      <c r="D107" s="7329" t="s">
        <v>77</v>
      </c>
      <c r="E107" s="7257" t="s">
        <v>2691</v>
      </c>
      <c r="F107" s="7258"/>
      <c r="G107" s="7258"/>
      <c r="H107" s="7258"/>
      <c r="I107" s="7258"/>
      <c r="J107" s="7258"/>
      <c r="K107" s="7258"/>
      <c r="L107" s="7259"/>
      <c r="M107" s="7237" t="s">
        <v>2692</v>
      </c>
    </row>
    <row r="108" spans="1:103" ht="21" x14ac:dyDescent="0.25">
      <c r="B108" s="6734"/>
      <c r="C108" s="6955"/>
      <c r="D108" s="7386"/>
      <c r="E108" s="1109" t="s">
        <v>2693</v>
      </c>
      <c r="F108" s="1110" t="s">
        <v>2694</v>
      </c>
      <c r="G108" s="1213" t="s">
        <v>2695</v>
      </c>
      <c r="H108" s="1213" t="s">
        <v>2696</v>
      </c>
      <c r="I108" s="1213" t="s">
        <v>2697</v>
      </c>
      <c r="J108" s="1213" t="s">
        <v>2698</v>
      </c>
      <c r="K108" s="1213" t="s">
        <v>2699</v>
      </c>
      <c r="L108" s="1216" t="s">
        <v>2700</v>
      </c>
      <c r="M108" s="6955"/>
    </row>
    <row r="109" spans="1:103" ht="15" customHeight="1" x14ac:dyDescent="0.25">
      <c r="A109" s="5865" t="s">
        <v>6026</v>
      </c>
      <c r="B109" s="7393" t="s">
        <v>2701</v>
      </c>
      <c r="C109" s="7394"/>
      <c r="D109" s="4501" t="s">
        <v>4567</v>
      </c>
      <c r="E109" s="1070" t="s">
        <v>4568</v>
      </c>
      <c r="F109" s="1072" t="s">
        <v>4569</v>
      </c>
      <c r="G109" s="4562" t="s">
        <v>4570</v>
      </c>
      <c r="H109" s="4562" t="s">
        <v>4571</v>
      </c>
      <c r="I109" s="4562" t="s">
        <v>4572</v>
      </c>
      <c r="J109" s="4562" t="s">
        <v>4573</v>
      </c>
      <c r="K109" s="4562" t="s">
        <v>4574</v>
      </c>
      <c r="L109" s="1075" t="s">
        <v>4575</v>
      </c>
      <c r="M109" s="1071" t="s">
        <v>4576</v>
      </c>
      <c r="N109" s="2147" t="str">
        <f>CB109</f>
        <v xml:space="preserve">* El Número de Anomalía Congenita no puede superar el Total. </v>
      </c>
      <c r="O109" s="4566"/>
      <c r="P109" s="2147"/>
      <c r="Q109" s="7"/>
      <c r="R109" s="7"/>
      <c r="S109" s="7"/>
      <c r="T109" s="9"/>
      <c r="U109" s="9"/>
      <c r="V109" s="9"/>
      <c r="W109" s="1839"/>
      <c r="X109" s="1839"/>
      <c r="Y109" s="1839"/>
      <c r="Z109" s="1839"/>
      <c r="AA109" s="1839"/>
      <c r="AB109" s="1839"/>
      <c r="AC109" s="1839"/>
      <c r="AD109" s="1839"/>
      <c r="AE109" s="1839"/>
      <c r="AF109" s="1839"/>
      <c r="AG109" s="1839"/>
      <c r="AH109" s="1839"/>
      <c r="AI109" s="1839"/>
      <c r="AJ109" s="1839"/>
      <c r="AK109" s="1839"/>
      <c r="AL109" s="1839"/>
      <c r="AM109" s="1839"/>
      <c r="AN109" s="1839"/>
      <c r="AO109" s="1839"/>
      <c r="AP109" s="1839"/>
      <c r="AQ109" s="1839"/>
      <c r="AR109" s="1839"/>
      <c r="AS109" s="1839"/>
      <c r="AT109" s="1839"/>
      <c r="AU109" s="1839"/>
      <c r="AV109" s="1839"/>
      <c r="AW109" s="1839"/>
      <c r="AX109" s="1839"/>
      <c r="AY109" s="1839"/>
      <c r="AZ109" s="1839"/>
      <c r="BA109" s="1839"/>
      <c r="BB109" s="1839"/>
      <c r="BC109" s="1839"/>
      <c r="BD109" s="1839"/>
      <c r="BE109" s="1839"/>
      <c r="BF109" s="1839"/>
      <c r="BG109" s="1839"/>
      <c r="BH109" s="1839"/>
      <c r="BI109" s="1839"/>
      <c r="BJ109" s="1839"/>
      <c r="BK109" s="1839"/>
      <c r="BL109" s="1839"/>
      <c r="BM109" s="1839"/>
      <c r="BN109" s="1839"/>
      <c r="BO109" s="1839"/>
      <c r="BP109" s="1839"/>
      <c r="BQ109" s="1839"/>
      <c r="BR109" s="1839"/>
      <c r="BS109" s="1839"/>
      <c r="BT109" s="1839"/>
      <c r="BU109" s="1839"/>
      <c r="BV109" s="1839"/>
      <c r="BW109" s="1839"/>
      <c r="BX109" s="1839"/>
      <c r="BY109" s="1839"/>
      <c r="BZ109" s="1839"/>
      <c r="CA109" s="283"/>
      <c r="CB109" s="1865" t="str">
        <f>IF(AND($D109&lt;&gt;0,M109=""),"* No olvide ingresar la variable  "&amp;M$107&amp;""&amp;" . Si no tiene digite CERO.  ",IF(M109&gt;$D109,"* El Número de Anomalía Congenita no puede superar el Total. ",""))</f>
        <v xml:space="preserve">* El Número de Anomalía Congenita no puede superar el Total. </v>
      </c>
      <c r="CJ109" s="1867">
        <f>IF(AND($D109&lt;&gt;0,M109=""),1,IF(M109&gt;$D109,1,0))</f>
        <v>1</v>
      </c>
      <c r="CU109"/>
      <c r="CV109"/>
      <c r="CW109"/>
    </row>
    <row r="110" spans="1:103" s="25" customFormat="1" ht="18" customHeight="1" x14ac:dyDescent="0.15">
      <c r="B110" s="15" t="s">
        <v>2702</v>
      </c>
      <c r="C110" s="15"/>
      <c r="D110" s="8"/>
      <c r="E110" s="8"/>
      <c r="F110" s="8"/>
      <c r="G110" s="8"/>
      <c r="H110" s="4567"/>
      <c r="I110" s="8"/>
      <c r="J110" s="8"/>
      <c r="K110" s="8"/>
      <c r="L110" s="8"/>
      <c r="M110" s="3638"/>
      <c r="N110" s="8"/>
    </row>
    <row r="111" spans="1:103" ht="15" customHeight="1" x14ac:dyDescent="0.25">
      <c r="B111" s="7340" t="s">
        <v>277</v>
      </c>
      <c r="C111" s="7340"/>
      <c r="D111" s="7334" t="s">
        <v>2703</v>
      </c>
      <c r="E111" s="7335"/>
      <c r="F111" s="7257" t="s">
        <v>2704</v>
      </c>
      <c r="G111" s="7258"/>
      <c r="H111" s="7258"/>
      <c r="I111" s="7346"/>
      <c r="J111" s="7324" t="s">
        <v>2705</v>
      </c>
      <c r="K111" s="7324"/>
      <c r="L111" s="7387" t="s">
        <v>2706</v>
      </c>
      <c r="M111" s="7387" t="s">
        <v>2707</v>
      </c>
      <c r="N111" s="7256" t="s">
        <v>2708</v>
      </c>
      <c r="O111" s="7256" t="s">
        <v>2709</v>
      </c>
      <c r="P111" s="7256" t="s">
        <v>2710</v>
      </c>
      <c r="CB111"/>
      <c r="CC111"/>
      <c r="CX111" s="25"/>
      <c r="CY111" s="25"/>
    </row>
    <row r="112" spans="1:103" ht="31.5" x14ac:dyDescent="0.25">
      <c r="B112" s="7340"/>
      <c r="C112" s="7340"/>
      <c r="D112" s="1165" t="s">
        <v>2711</v>
      </c>
      <c r="E112" s="1164" t="s">
        <v>2712</v>
      </c>
      <c r="F112" s="1165" t="s">
        <v>2713</v>
      </c>
      <c r="G112" s="4523" t="s">
        <v>2714</v>
      </c>
      <c r="H112" s="4523" t="s">
        <v>2715</v>
      </c>
      <c r="I112" s="1164" t="s">
        <v>2716</v>
      </c>
      <c r="J112" s="4490" t="s">
        <v>2717</v>
      </c>
      <c r="K112" s="1067" t="s">
        <v>2718</v>
      </c>
      <c r="L112" s="7388"/>
      <c r="M112" s="7388"/>
      <c r="N112" s="6739"/>
      <c r="O112" s="6739"/>
      <c r="P112" s="6739"/>
      <c r="CB112"/>
      <c r="CC112"/>
      <c r="CX112" s="25"/>
      <c r="CY112" s="25"/>
    </row>
    <row r="113" spans="1:103" ht="15" customHeight="1" x14ac:dyDescent="0.25">
      <c r="A113" s="5865">
        <v>29101767</v>
      </c>
      <c r="B113" s="7382" t="s">
        <v>2701</v>
      </c>
      <c r="C113" s="7383"/>
      <c r="D113" s="4569" t="s">
        <v>4567</v>
      </c>
      <c r="E113" s="4570" t="s">
        <v>4568</v>
      </c>
      <c r="F113" s="4569" t="s">
        <v>4569</v>
      </c>
      <c r="G113" s="4571" t="s">
        <v>4570</v>
      </c>
      <c r="H113" s="4571" t="s">
        <v>4571</v>
      </c>
      <c r="I113" s="4570" t="s">
        <v>4572</v>
      </c>
      <c r="J113" s="4569" t="s">
        <v>4573</v>
      </c>
      <c r="K113" s="4570" t="s">
        <v>4574</v>
      </c>
      <c r="L113" s="4570" t="s">
        <v>4575</v>
      </c>
      <c r="M113" s="4570" t="s">
        <v>4576</v>
      </c>
      <c r="N113" s="4570" t="s">
        <v>4577</v>
      </c>
      <c r="O113" s="4570" t="s">
        <v>4578</v>
      </c>
      <c r="P113" s="4570" t="s">
        <v>4579</v>
      </c>
      <c r="CB113"/>
      <c r="CC113"/>
      <c r="CX113" s="25"/>
      <c r="CY113" s="25"/>
    </row>
    <row r="114" spans="1:103" s="25" customFormat="1" ht="18" customHeight="1" x14ac:dyDescent="0.15">
      <c r="B114" s="7384" t="s">
        <v>2719</v>
      </c>
      <c r="C114" s="7385"/>
      <c r="D114" s="7385"/>
      <c r="E114" s="7385"/>
      <c r="F114" s="7385"/>
      <c r="G114" s="7385"/>
      <c r="H114" s="7385"/>
      <c r="I114" s="8"/>
      <c r="J114" s="8"/>
      <c r="K114" s="8"/>
      <c r="L114" s="8"/>
      <c r="M114" s="8"/>
      <c r="N114" s="8"/>
      <c r="O114" s="8"/>
      <c r="P114" s="8"/>
    </row>
    <row r="115" spans="1:103" ht="15" customHeight="1" x14ac:dyDescent="0.25">
      <c r="B115" s="7256" t="s">
        <v>277</v>
      </c>
      <c r="C115" s="6350" t="s">
        <v>77</v>
      </c>
      <c r="D115" s="7257" t="s">
        <v>2691</v>
      </c>
      <c r="E115" s="7258"/>
      <c r="F115" s="7258"/>
      <c r="G115" s="7258"/>
      <c r="H115" s="7258"/>
      <c r="I115" s="7258"/>
      <c r="J115" s="7258"/>
      <c r="K115" s="7346"/>
      <c r="L115" s="7387" t="s">
        <v>2720</v>
      </c>
      <c r="M115" s="7389" t="s">
        <v>2721</v>
      </c>
      <c r="N115" s="7390"/>
      <c r="O115" s="7390"/>
      <c r="P115" s="7391"/>
    </row>
    <row r="116" spans="1:103" ht="42" x14ac:dyDescent="0.25">
      <c r="B116" s="6739"/>
      <c r="C116" s="7386"/>
      <c r="D116" s="1109" t="s">
        <v>2693</v>
      </c>
      <c r="E116" s="1110" t="s">
        <v>2694</v>
      </c>
      <c r="F116" s="1213" t="s">
        <v>2695</v>
      </c>
      <c r="G116" s="1213" t="s">
        <v>2696</v>
      </c>
      <c r="H116" s="1213" t="s">
        <v>2697</v>
      </c>
      <c r="I116" s="1213" t="s">
        <v>2698</v>
      </c>
      <c r="J116" s="1213" t="s">
        <v>2699</v>
      </c>
      <c r="K116" s="1227" t="s">
        <v>2700</v>
      </c>
      <c r="L116" s="7388"/>
      <c r="M116" s="4539" t="s">
        <v>2722</v>
      </c>
      <c r="N116" s="4444" t="s">
        <v>2723</v>
      </c>
      <c r="O116" s="4444" t="s">
        <v>2724</v>
      </c>
      <c r="P116" s="4492" t="s">
        <v>2725</v>
      </c>
    </row>
    <row r="117" spans="1:103" ht="15" customHeight="1" x14ac:dyDescent="0.25">
      <c r="A117" s="5818" t="s">
        <v>6027</v>
      </c>
      <c r="B117" s="1142" t="s">
        <v>2726</v>
      </c>
      <c r="C117" s="4572" t="s">
        <v>4567</v>
      </c>
      <c r="D117" s="290" t="s">
        <v>4568</v>
      </c>
      <c r="E117" s="3645" t="s">
        <v>4569</v>
      </c>
      <c r="F117" s="3645" t="s">
        <v>4570</v>
      </c>
      <c r="G117" s="3645" t="s">
        <v>4571</v>
      </c>
      <c r="H117" s="3645" t="s">
        <v>4572</v>
      </c>
      <c r="I117" s="3645" t="s">
        <v>4573</v>
      </c>
      <c r="J117" s="3645" t="s">
        <v>4574</v>
      </c>
      <c r="K117" s="130" t="s">
        <v>4575</v>
      </c>
      <c r="L117" s="622" t="s">
        <v>4576</v>
      </c>
      <c r="M117" s="290" t="s">
        <v>4577</v>
      </c>
      <c r="N117" s="531" t="s">
        <v>4578</v>
      </c>
      <c r="O117" s="531" t="s">
        <v>4579</v>
      </c>
      <c r="P117" s="107" t="s">
        <v>4580</v>
      </c>
    </row>
    <row r="118" spans="1:103" ht="15" customHeight="1" x14ac:dyDescent="0.25">
      <c r="A118" s="5818">
        <v>29101768</v>
      </c>
      <c r="B118" s="247" t="s">
        <v>2727</v>
      </c>
      <c r="C118" s="392" t="s">
        <v>4567</v>
      </c>
      <c r="D118" s="290" t="s">
        <v>4568</v>
      </c>
      <c r="E118" s="531" t="s">
        <v>4569</v>
      </c>
      <c r="F118" s="531" t="s">
        <v>4570</v>
      </c>
      <c r="G118" s="531" t="s">
        <v>4571</v>
      </c>
      <c r="H118" s="531" t="s">
        <v>4572</v>
      </c>
      <c r="I118" s="531" t="s">
        <v>4573</v>
      </c>
      <c r="J118" s="531" t="s">
        <v>4574</v>
      </c>
      <c r="K118" s="107" t="s">
        <v>4575</v>
      </c>
      <c r="L118" s="622" t="s">
        <v>4576</v>
      </c>
      <c r="M118" s="290" t="s">
        <v>4577</v>
      </c>
      <c r="N118" s="531" t="s">
        <v>4578</v>
      </c>
      <c r="O118" s="531" t="s">
        <v>4579</v>
      </c>
      <c r="P118" s="107" t="s">
        <v>4580</v>
      </c>
    </row>
    <row r="119" spans="1:103" ht="15" customHeight="1" x14ac:dyDescent="0.25">
      <c r="A119" s="5824">
        <v>29101769</v>
      </c>
      <c r="B119" s="2947" t="s">
        <v>2728</v>
      </c>
      <c r="C119" s="1369" t="s">
        <v>4567</v>
      </c>
      <c r="D119" s="1114" t="s">
        <v>4568</v>
      </c>
      <c r="E119" s="1258" t="s">
        <v>4569</v>
      </c>
      <c r="F119" s="1258" t="s">
        <v>4570</v>
      </c>
      <c r="G119" s="1258" t="s">
        <v>4571</v>
      </c>
      <c r="H119" s="1258" t="s">
        <v>4572</v>
      </c>
      <c r="I119" s="1258" t="s">
        <v>4573</v>
      </c>
      <c r="J119" s="1258" t="s">
        <v>4574</v>
      </c>
      <c r="K119" s="387" t="s">
        <v>4575</v>
      </c>
      <c r="L119" s="387" t="s">
        <v>4576</v>
      </c>
      <c r="M119" s="1114" t="s">
        <v>4577</v>
      </c>
      <c r="N119" s="1258" t="s">
        <v>4578</v>
      </c>
      <c r="O119" s="1258" t="s">
        <v>4579</v>
      </c>
      <c r="P119" s="387" t="s">
        <v>4580</v>
      </c>
    </row>
    <row r="120" spans="1:103" s="25" customFormat="1" ht="18" customHeight="1" x14ac:dyDescent="0.15">
      <c r="B120" s="1" t="s">
        <v>2729</v>
      </c>
      <c r="C120" s="8"/>
      <c r="D120" s="8"/>
      <c r="E120" s="8"/>
      <c r="F120" s="8"/>
    </row>
    <row r="121" spans="1:103" ht="21.75" customHeight="1" x14ac:dyDescent="0.25">
      <c r="B121" s="1774" t="s">
        <v>2730</v>
      </c>
      <c r="C121" s="1211" t="s">
        <v>2731</v>
      </c>
      <c r="D121" s="1111" t="s">
        <v>2732</v>
      </c>
      <c r="E121" s="1217" t="s">
        <v>322</v>
      </c>
      <c r="F121" s="1067" t="s">
        <v>37</v>
      </c>
    </row>
    <row r="122" spans="1:103" ht="15" customHeight="1" x14ac:dyDescent="0.25">
      <c r="A122" s="5824">
        <v>24200134</v>
      </c>
      <c r="B122" s="1293" t="s">
        <v>2733</v>
      </c>
      <c r="C122" s="4573" t="s">
        <v>4567</v>
      </c>
      <c r="D122" s="4574" t="s">
        <v>4568</v>
      </c>
      <c r="E122" s="4575" t="s">
        <v>4569</v>
      </c>
      <c r="F122" s="4576" t="s">
        <v>4570</v>
      </c>
      <c r="G122" s="1936" t="e">
        <f>CB122&amp;CC122&amp;CD122&amp;CE122&amp;CF122</f>
        <v>#VALUE!</v>
      </c>
      <c r="CB122" s="4"/>
      <c r="CC122" s="4"/>
      <c r="CD122" s="4174" t="e">
        <f>IF(AND(OR(C122&gt;0,D122&gt;0),E122="")," * No olvide digitar la variable Pueblos originarios. Digite cero si no tiene.",IF(E122&gt;(C122+D122)," * La variable pueblos originarios No puede ser mayor a los egresados en Servicio Gineco-obstétrico y Neonatología..",""))</f>
        <v>#VALUE!</v>
      </c>
      <c r="CE122" s="4174" t="e">
        <f>IF(AND(OR(C122&gt;0,D122&gt;0),F122="")," * No olvide digitar la variable Migrantes. Digite cero si no tiene.",IF(F122&gt;(C122+D122)," * La variable Migrantes No puede ser mayor a los egresados en Servicio Gineco-obstétrico y Neonatología.",""))</f>
        <v>#VALUE!</v>
      </c>
      <c r="CF122" s="4174"/>
      <c r="CG122" s="4174"/>
      <c r="CL122" s="4577" t="e">
        <f t="shared" ref="CL122:CL130" si="16">IF(AND(OR(C122&gt;0,D122&gt;0),E122=""),1,IF(E122&gt;(C122+D122),1,0))</f>
        <v>#VALUE!</v>
      </c>
      <c r="CM122" s="4577" t="e">
        <f t="shared" ref="CM122:CM130" si="17">IF(AND(OR(C122&gt;0,D122&gt;0),F122=""),1,IF(F122&gt;(C122+D122),1,0))</f>
        <v>#VALUE!</v>
      </c>
      <c r="CN122" s="4"/>
      <c r="CO122" s="4"/>
      <c r="CU122"/>
      <c r="CV122"/>
      <c r="CW122"/>
    </row>
    <row r="123" spans="1:103" ht="21.95" customHeight="1" x14ac:dyDescent="0.25">
      <c r="A123" s="5824">
        <v>24300103</v>
      </c>
      <c r="B123" s="990" t="s">
        <v>2734</v>
      </c>
      <c r="C123" s="4578" t="s">
        <v>4567</v>
      </c>
      <c r="D123" s="3735" t="s">
        <v>4568</v>
      </c>
      <c r="E123" s="4579" t="s">
        <v>4569</v>
      </c>
      <c r="F123" s="4580" t="s">
        <v>4570</v>
      </c>
      <c r="G123" s="1936" t="e">
        <f t="shared" ref="G123:G130" si="18">CB123&amp;CC123&amp;CD123&amp;CE123&amp;CF123</f>
        <v>#VALUE!</v>
      </c>
      <c r="CB123" s="4174"/>
      <c r="CC123" s="4174"/>
      <c r="CD123" s="4174" t="e">
        <f t="shared" ref="CD123:CD130" si="19">IF(AND(OR(C123&gt;0,D123&gt;0),E123="")," * No olvide digitar la variable Pueblos originarios. Digite cero si no tiene.",IF(E123&gt;(C123+D123)," * La variable pueblos originarios No puede ser mayor a los egresados en Servicio Gineco-obstétrico y Neonatología..",""))</f>
        <v>#VALUE!</v>
      </c>
      <c r="CE123" s="4174" t="e">
        <f t="shared" ref="CE123:CE130" si="20">IF(AND(OR(C123&gt;0,D123&gt;0),F123="")," * No olvide digitar la variable Migrantes. Digite cero si no tiene.",IF(F123&gt;(C123+D123)," * La variable Migrantes No puede ser mayor a los egresados en Servicio Gineco-obstétrico y Neonatología.",""))</f>
        <v>#VALUE!</v>
      </c>
      <c r="CF123" s="4174"/>
      <c r="CG123" s="4174"/>
      <c r="CJ123" s="4577"/>
      <c r="CK123" s="4577"/>
      <c r="CL123" s="4577" t="e">
        <f t="shared" si="16"/>
        <v>#VALUE!</v>
      </c>
      <c r="CM123" s="4577" t="e">
        <f t="shared" si="17"/>
        <v>#VALUE!</v>
      </c>
      <c r="CN123" s="4"/>
      <c r="CO123" s="4"/>
      <c r="CU123"/>
      <c r="CV123"/>
      <c r="CW123"/>
    </row>
    <row r="124" spans="1:103" ht="21.95" customHeight="1" x14ac:dyDescent="0.25">
      <c r="A124" s="5866">
        <v>24311025</v>
      </c>
      <c r="B124" s="990" t="s">
        <v>2735</v>
      </c>
      <c r="C124" s="4581" t="s">
        <v>4567</v>
      </c>
      <c r="D124" s="4582" t="s">
        <v>4568</v>
      </c>
      <c r="E124" s="3748" t="s">
        <v>4569</v>
      </c>
      <c r="F124" s="4583" t="s">
        <v>4570</v>
      </c>
      <c r="G124" s="1936" t="e">
        <f t="shared" si="18"/>
        <v>#VALUE!</v>
      </c>
      <c r="CB124" s="4"/>
      <c r="CC124" s="4"/>
      <c r="CD124" s="4174" t="e">
        <f t="shared" si="19"/>
        <v>#VALUE!</v>
      </c>
      <c r="CE124" s="4174" t="e">
        <f t="shared" si="20"/>
        <v>#VALUE!</v>
      </c>
      <c r="CF124" s="4174"/>
      <c r="CG124" s="4174"/>
      <c r="CL124" s="4577" t="e">
        <f t="shared" si="16"/>
        <v>#VALUE!</v>
      </c>
      <c r="CM124" s="4577" t="e">
        <f t="shared" si="17"/>
        <v>#VALUE!</v>
      </c>
      <c r="CN124" s="4"/>
      <c r="CO124" s="4"/>
      <c r="CU124"/>
      <c r="CV124"/>
      <c r="CW124"/>
    </row>
    <row r="125" spans="1:103" ht="21.95" customHeight="1" x14ac:dyDescent="0.25">
      <c r="A125" s="5866">
        <v>24311026</v>
      </c>
      <c r="B125" s="170" t="s">
        <v>2736</v>
      </c>
      <c r="C125" s="4581" t="s">
        <v>4567</v>
      </c>
      <c r="D125" s="4582" t="s">
        <v>4568</v>
      </c>
      <c r="E125" s="3748" t="s">
        <v>4569</v>
      </c>
      <c r="F125" s="4583" t="s">
        <v>4570</v>
      </c>
      <c r="G125" s="1936" t="e">
        <f t="shared" si="18"/>
        <v>#VALUE!</v>
      </c>
      <c r="CB125" s="4"/>
      <c r="CC125" s="4"/>
      <c r="CD125" s="4174" t="e">
        <f t="shared" si="19"/>
        <v>#VALUE!</v>
      </c>
      <c r="CE125" s="4174" t="e">
        <f t="shared" si="20"/>
        <v>#VALUE!</v>
      </c>
      <c r="CF125" s="4174"/>
      <c r="CG125" s="4174"/>
      <c r="CL125" s="4577" t="e">
        <f t="shared" si="16"/>
        <v>#VALUE!</v>
      </c>
      <c r="CM125" s="4577" t="e">
        <f t="shared" si="17"/>
        <v>#VALUE!</v>
      </c>
      <c r="CN125" s="4"/>
      <c r="CO125" s="4"/>
      <c r="CU125"/>
      <c r="CV125"/>
      <c r="CW125"/>
    </row>
    <row r="126" spans="1:103" ht="42" x14ac:dyDescent="0.25">
      <c r="A126" s="5866">
        <v>24311027</v>
      </c>
      <c r="B126" s="990" t="s">
        <v>2737</v>
      </c>
      <c r="C126" s="4581" t="s">
        <v>4567</v>
      </c>
      <c r="D126" s="4582" t="s">
        <v>4568</v>
      </c>
      <c r="E126" s="3748" t="s">
        <v>4569</v>
      </c>
      <c r="F126" s="4583" t="s">
        <v>4570</v>
      </c>
      <c r="G126" s="1936" t="e">
        <f t="shared" si="18"/>
        <v>#VALUE!</v>
      </c>
      <c r="CB126" s="4"/>
      <c r="CC126" s="4"/>
      <c r="CD126" s="4174" t="e">
        <f t="shared" si="19"/>
        <v>#VALUE!</v>
      </c>
      <c r="CE126" s="4174" t="e">
        <f t="shared" si="20"/>
        <v>#VALUE!</v>
      </c>
      <c r="CF126" s="4174"/>
      <c r="CG126" s="4174"/>
      <c r="CL126" s="4577" t="e">
        <f t="shared" si="16"/>
        <v>#VALUE!</v>
      </c>
      <c r="CM126" s="4577" t="e">
        <f t="shared" si="17"/>
        <v>#VALUE!</v>
      </c>
      <c r="CN126" s="4"/>
      <c r="CO126" s="4"/>
      <c r="CU126"/>
      <c r="CV126"/>
      <c r="CW126"/>
    </row>
    <row r="127" spans="1:103" ht="21.95" customHeight="1" x14ac:dyDescent="0.25">
      <c r="A127" s="5824">
        <v>29101770</v>
      </c>
      <c r="B127" s="170" t="s">
        <v>2738</v>
      </c>
      <c r="C127" s="4581" t="s">
        <v>4567</v>
      </c>
      <c r="D127" s="4584" t="s">
        <v>4568</v>
      </c>
      <c r="E127" s="4585" t="s">
        <v>4569</v>
      </c>
      <c r="F127" s="3618" t="s">
        <v>4570</v>
      </c>
      <c r="G127" s="1936" t="e">
        <f t="shared" si="18"/>
        <v>#VALUE!</v>
      </c>
      <c r="CB127" s="4174"/>
      <c r="CC127" s="4174"/>
      <c r="CD127" s="4174" t="e">
        <f t="shared" si="19"/>
        <v>#VALUE!</v>
      </c>
      <c r="CE127" s="4174" t="e">
        <f t="shared" si="20"/>
        <v>#VALUE!</v>
      </c>
      <c r="CF127" s="4174"/>
      <c r="CG127" s="4174"/>
      <c r="CJ127" s="4577"/>
      <c r="CK127" s="4577"/>
      <c r="CL127" s="4577" t="e">
        <f t="shared" si="16"/>
        <v>#VALUE!</v>
      </c>
      <c r="CM127" s="4577" t="e">
        <f t="shared" si="17"/>
        <v>#VALUE!</v>
      </c>
      <c r="CN127" s="4"/>
      <c r="CO127" s="4"/>
      <c r="CU127"/>
      <c r="CV127"/>
      <c r="CW127"/>
    </row>
    <row r="128" spans="1:103" ht="21.95" customHeight="1" x14ac:dyDescent="0.25">
      <c r="A128" s="5824">
        <v>29101771</v>
      </c>
      <c r="B128" s="990" t="s">
        <v>2739</v>
      </c>
      <c r="C128" s="4578" t="s">
        <v>4567</v>
      </c>
      <c r="D128" s="4582" t="s">
        <v>4568</v>
      </c>
      <c r="E128" s="3748" t="s">
        <v>4569</v>
      </c>
      <c r="F128" s="4583" t="s">
        <v>4570</v>
      </c>
      <c r="G128" s="1936" t="e">
        <f t="shared" si="18"/>
        <v>#VALUE!</v>
      </c>
      <c r="CB128" s="4"/>
      <c r="CC128" s="4"/>
      <c r="CD128" s="4174" t="e">
        <f t="shared" si="19"/>
        <v>#VALUE!</v>
      </c>
      <c r="CE128" s="4174" t="e">
        <f t="shared" si="20"/>
        <v>#VALUE!</v>
      </c>
      <c r="CF128" s="4174"/>
      <c r="CG128" s="4174"/>
      <c r="CL128" s="4577" t="e">
        <f t="shared" si="16"/>
        <v>#VALUE!</v>
      </c>
      <c r="CM128" s="4577" t="e">
        <f t="shared" si="17"/>
        <v>#VALUE!</v>
      </c>
      <c r="CN128" s="4"/>
      <c r="CO128" s="4"/>
      <c r="CU128"/>
      <c r="CV128"/>
      <c r="CW128"/>
    </row>
    <row r="129" spans="1:102" ht="21.95" customHeight="1" x14ac:dyDescent="0.25">
      <c r="A129" s="5824">
        <v>29101772</v>
      </c>
      <c r="B129" s="990" t="s">
        <v>2740</v>
      </c>
      <c r="C129" s="4581" t="s">
        <v>4567</v>
      </c>
      <c r="D129" s="4582" t="s">
        <v>4568</v>
      </c>
      <c r="E129" s="3748" t="s">
        <v>4569</v>
      </c>
      <c r="F129" s="4583" t="s">
        <v>4570</v>
      </c>
      <c r="G129" s="1936" t="e">
        <f t="shared" si="18"/>
        <v>#VALUE!</v>
      </c>
      <c r="CB129" s="4174"/>
      <c r="CC129" s="4174"/>
      <c r="CD129" s="4174" t="e">
        <f t="shared" si="19"/>
        <v>#VALUE!</v>
      </c>
      <c r="CE129" s="4174" t="e">
        <f t="shared" si="20"/>
        <v>#VALUE!</v>
      </c>
      <c r="CF129" s="4174"/>
      <c r="CG129" s="4174"/>
      <c r="CJ129" s="4577"/>
      <c r="CK129" s="4577"/>
      <c r="CL129" s="4577" t="e">
        <f t="shared" si="16"/>
        <v>#VALUE!</v>
      </c>
      <c r="CM129" s="4577" t="e">
        <f t="shared" si="17"/>
        <v>#VALUE!</v>
      </c>
      <c r="CN129" s="4"/>
      <c r="CO129" s="4"/>
      <c r="CU129"/>
      <c r="CV129"/>
      <c r="CW129"/>
    </row>
    <row r="130" spans="1:102" ht="35.1" customHeight="1" x14ac:dyDescent="0.25">
      <c r="A130" s="5866">
        <v>24311028</v>
      </c>
      <c r="B130" s="4586" t="s">
        <v>2741</v>
      </c>
      <c r="C130" s="4587" t="s">
        <v>4567</v>
      </c>
      <c r="D130" s="4588" t="s">
        <v>4568</v>
      </c>
      <c r="E130" s="4589" t="s">
        <v>4569</v>
      </c>
      <c r="F130" s="4590" t="s">
        <v>4570</v>
      </c>
      <c r="G130" s="1936" t="e">
        <f t="shared" si="18"/>
        <v>#VALUE!</v>
      </c>
      <c r="CB130" s="4174"/>
      <c r="CC130" s="4174"/>
      <c r="CD130" s="4174" t="e">
        <f t="shared" si="19"/>
        <v>#VALUE!</v>
      </c>
      <c r="CE130" s="4174" t="e">
        <f t="shared" si="20"/>
        <v>#VALUE!</v>
      </c>
      <c r="CF130" s="4174"/>
      <c r="CG130" s="4174"/>
      <c r="CJ130" s="4577"/>
      <c r="CK130" s="4577"/>
      <c r="CL130" s="4577" t="e">
        <f t="shared" si="16"/>
        <v>#VALUE!</v>
      </c>
      <c r="CM130" s="4577" t="e">
        <f t="shared" si="17"/>
        <v>#VALUE!</v>
      </c>
      <c r="CN130" s="4"/>
      <c r="CO130" s="4"/>
      <c r="CU130"/>
      <c r="CV130"/>
      <c r="CW130"/>
    </row>
    <row r="131" spans="1:102" ht="15" customHeight="1" x14ac:dyDescent="0.25">
      <c r="B131" s="7392" t="s">
        <v>2742</v>
      </c>
      <c r="C131" s="7392"/>
    </row>
    <row r="132" spans="1:102" s="25" customFormat="1" ht="18" customHeight="1" x14ac:dyDescent="0.15">
      <c r="B132" s="11" t="s">
        <v>4366</v>
      </c>
      <c r="C132" s="11"/>
      <c r="D132" s="11"/>
    </row>
    <row r="133" spans="1:102" ht="21.95" customHeight="1" x14ac:dyDescent="0.25">
      <c r="B133" s="7371" t="s">
        <v>603</v>
      </c>
      <c r="C133" s="7371"/>
      <c r="D133" s="1208" t="s">
        <v>2731</v>
      </c>
      <c r="E133" s="1067" t="s">
        <v>2732</v>
      </c>
    </row>
    <row r="134" spans="1:102" x14ac:dyDescent="0.25">
      <c r="A134" s="5824">
        <v>29101773</v>
      </c>
      <c r="B134" s="7372" t="s">
        <v>4367</v>
      </c>
      <c r="C134" s="4591" t="s">
        <v>2743</v>
      </c>
      <c r="D134" s="4573" t="s">
        <v>4567</v>
      </c>
      <c r="E134" s="4576" t="s">
        <v>4568</v>
      </c>
    </row>
    <row r="135" spans="1:102" x14ac:dyDescent="0.25">
      <c r="A135" s="5824">
        <v>29101774</v>
      </c>
      <c r="B135" s="7039"/>
      <c r="C135" s="4592" t="s">
        <v>2744</v>
      </c>
      <c r="D135" s="1264" t="s">
        <v>4567</v>
      </c>
      <c r="E135" s="1447" t="s">
        <v>4568</v>
      </c>
    </row>
    <row r="136" spans="1:102" ht="15" customHeight="1" x14ac:dyDescent="0.25">
      <c r="A136" s="5824">
        <v>29101775</v>
      </c>
      <c r="B136" s="7372" t="s">
        <v>4368</v>
      </c>
      <c r="C136" s="4345" t="s">
        <v>959</v>
      </c>
      <c r="D136" s="1081" t="s">
        <v>4567</v>
      </c>
      <c r="E136" s="1082" t="s">
        <v>4568</v>
      </c>
    </row>
    <row r="137" spans="1:102" ht="15" customHeight="1" x14ac:dyDescent="0.25">
      <c r="A137" s="5824">
        <v>29101776</v>
      </c>
      <c r="B137" s="7373"/>
      <c r="C137" s="4593" t="s">
        <v>2745</v>
      </c>
      <c r="D137" s="1089" t="s">
        <v>4567</v>
      </c>
      <c r="E137" s="1090" t="s">
        <v>4568</v>
      </c>
    </row>
    <row r="138" spans="1:102" ht="15" customHeight="1" x14ac:dyDescent="0.25">
      <c r="A138" s="5824">
        <v>29101777</v>
      </c>
      <c r="B138" s="7373"/>
      <c r="C138" s="4593" t="s">
        <v>98</v>
      </c>
      <c r="D138" s="1089" t="s">
        <v>4567</v>
      </c>
      <c r="E138" s="1090" t="s">
        <v>4568</v>
      </c>
    </row>
    <row r="139" spans="1:102" ht="15" customHeight="1" x14ac:dyDescent="0.25">
      <c r="A139" s="5824">
        <v>29101778</v>
      </c>
      <c r="B139" s="7039"/>
      <c r="C139" s="4594" t="s">
        <v>105</v>
      </c>
      <c r="D139" s="4587" t="s">
        <v>4567</v>
      </c>
      <c r="E139" s="4590" t="s">
        <v>4568</v>
      </c>
    </row>
    <row r="140" spans="1:102" s="25" customFormat="1" ht="18" customHeight="1" x14ac:dyDescent="0.15">
      <c r="B140" s="4595" t="s">
        <v>4369</v>
      </c>
      <c r="C140" s="3269"/>
      <c r="D140" s="3269"/>
      <c r="E140" s="1"/>
      <c r="F140" s="8"/>
      <c r="G140" s="8"/>
      <c r="H140" s="8"/>
      <c r="I140" s="8"/>
      <c r="J140" s="8"/>
      <c r="K140" s="8"/>
      <c r="L140" s="8"/>
      <c r="M140" s="8"/>
      <c r="N140" s="8"/>
    </row>
    <row r="141" spans="1:102" ht="27.95" customHeight="1" x14ac:dyDescent="0.25">
      <c r="A141" s="5613"/>
      <c r="B141" s="7290" t="s">
        <v>285</v>
      </c>
      <c r="C141" s="7256" t="s">
        <v>77</v>
      </c>
      <c r="D141" s="7374" t="s">
        <v>29</v>
      </c>
      <c r="E141" s="7375"/>
      <c r="F141" s="7375"/>
      <c r="G141" s="7375"/>
      <c r="H141" s="7375"/>
      <c r="I141" s="7375"/>
      <c r="J141" s="7375"/>
      <c r="K141" s="7375"/>
      <c r="L141" s="7376"/>
      <c r="M141" s="6665" t="s">
        <v>36</v>
      </c>
      <c r="N141" s="7378" t="s">
        <v>37</v>
      </c>
      <c r="O141" s="7380" t="s">
        <v>2746</v>
      </c>
      <c r="CB141"/>
      <c r="CX141" s="25"/>
    </row>
    <row r="142" spans="1:102" ht="27.95" customHeight="1" x14ac:dyDescent="0.25">
      <c r="A142" s="5613"/>
      <c r="B142" s="6331"/>
      <c r="C142" s="6734"/>
      <c r="D142" s="1211" t="s">
        <v>94</v>
      </c>
      <c r="E142" s="1438" t="s">
        <v>44</v>
      </c>
      <c r="F142" s="1438" t="s">
        <v>45</v>
      </c>
      <c r="G142" s="1438" t="s">
        <v>46</v>
      </c>
      <c r="H142" s="1438" t="s">
        <v>47</v>
      </c>
      <c r="I142" s="1438" t="s">
        <v>48</v>
      </c>
      <c r="J142" s="1438" t="s">
        <v>49</v>
      </c>
      <c r="K142" s="1438" t="s">
        <v>50</v>
      </c>
      <c r="L142" s="4596" t="s">
        <v>51</v>
      </c>
      <c r="M142" s="7377"/>
      <c r="N142" s="7379"/>
      <c r="O142" s="7381"/>
      <c r="CB142"/>
      <c r="CX142" s="25"/>
    </row>
    <row r="143" spans="1:102" ht="21" x14ac:dyDescent="0.25">
      <c r="A143" s="5824">
        <v>29101779</v>
      </c>
      <c r="B143" s="985" t="s">
        <v>4370</v>
      </c>
      <c r="C143" s="4348" t="s">
        <v>4567</v>
      </c>
      <c r="D143" s="1305" t="s">
        <v>4568</v>
      </c>
      <c r="E143" s="3645" t="s">
        <v>4569</v>
      </c>
      <c r="F143" s="3645" t="s">
        <v>4570</v>
      </c>
      <c r="G143" s="3645" t="s">
        <v>4571</v>
      </c>
      <c r="H143" s="3645" t="s">
        <v>4572</v>
      </c>
      <c r="I143" s="3645" t="s">
        <v>4573</v>
      </c>
      <c r="J143" s="3645" t="s">
        <v>4574</v>
      </c>
      <c r="K143" s="3645" t="s">
        <v>4575</v>
      </c>
      <c r="L143" s="4598" t="s">
        <v>4576</v>
      </c>
      <c r="M143" s="4599" t="s">
        <v>4577</v>
      </c>
      <c r="N143" s="4600" t="s">
        <v>4578</v>
      </c>
      <c r="O143" s="4600" t="s">
        <v>4579</v>
      </c>
      <c r="CB143"/>
      <c r="CX143" s="25"/>
    </row>
    <row r="144" spans="1:102" ht="21" x14ac:dyDescent="0.25">
      <c r="A144" s="5824">
        <v>29101780</v>
      </c>
      <c r="B144" s="1003" t="s">
        <v>4371</v>
      </c>
      <c r="C144" s="4601" t="s">
        <v>4567</v>
      </c>
      <c r="D144" s="1264" t="s">
        <v>4568</v>
      </c>
      <c r="E144" s="262" t="s">
        <v>4569</v>
      </c>
      <c r="F144" s="262" t="s">
        <v>4570</v>
      </c>
      <c r="G144" s="262" t="s">
        <v>4571</v>
      </c>
      <c r="H144" s="262" t="s">
        <v>4572</v>
      </c>
      <c r="I144" s="262" t="s">
        <v>4573</v>
      </c>
      <c r="J144" s="262" t="s">
        <v>4574</v>
      </c>
      <c r="K144" s="262" t="s">
        <v>4575</v>
      </c>
      <c r="L144" s="297" t="s">
        <v>4576</v>
      </c>
      <c r="M144" s="3219" t="s">
        <v>4577</v>
      </c>
      <c r="N144" s="3367" t="s">
        <v>4578</v>
      </c>
      <c r="O144" s="3367" t="s">
        <v>4579</v>
      </c>
      <c r="P144" s="1936" t="str">
        <f>$CB144&amp;CC144&amp;CD144</f>
        <v xml:space="preserve">* La variable Pueblos Originarios no puede superar el Total. * La variable Migrantes no puede superar el Total. * La variable Padres o acompañantes significativos que participan en talleres no puede superar el Total. </v>
      </c>
      <c r="CB144" s="4174" t="str">
        <f>IF(AND($C144&lt;&gt;0,M144=""),"* No olvide ingresar la variable Pueblos Originarios. Si no tiene digite CERO.  ",IF(M144&gt;$C144,"* La variable Pueblos Originarios no puede superar el Total. ",""))</f>
        <v xml:space="preserve">* La variable Pueblos Originarios no puede superar el Total. </v>
      </c>
      <c r="CC144" s="4174" t="str">
        <f>IF(AND($C144&lt;&gt;0,N144=""),"* No olvide ingresar la variable Migrantes. Si no tiene digite CERO. ",IF(N144&gt;$C144,"* La variable Migrantes no puede superar el Total. ",""))</f>
        <v xml:space="preserve">* La variable Migrantes no puede superar el Total. </v>
      </c>
      <c r="CD144" s="4174" t="str">
        <f>IF(AND($C144&lt;&gt;0,O144=""),"* No olvide ingresar la variable Padres o acompañantes significativos que participan en talleres. Si no tiene digite CERO. ",IF(O144&gt;$C144,"* La variable Padres o acompañantes significativos que participan en talleres no puede superar el Total. ",""))</f>
        <v xml:space="preserve">* La variable Padres o acompañantes significativos que participan en talleres no puede superar el Total. </v>
      </c>
      <c r="CJ144" s="4577">
        <f>IF(AND($C144&lt;&gt;0,M144=""),1,IF(M144&gt;$C144,1,0))</f>
        <v>1</v>
      </c>
      <c r="CK144" s="4577">
        <f>IF(AND($C144&lt;&gt;0,O144=""),1,IF(O144&gt;$C144,1,0))</f>
        <v>1</v>
      </c>
      <c r="CV144"/>
      <c r="CW144"/>
    </row>
    <row r="145" spans="1:101" s="25" customFormat="1" ht="18" customHeight="1" x14ac:dyDescent="0.15">
      <c r="B145" s="11" t="s">
        <v>2747</v>
      </c>
      <c r="C145" s="11"/>
      <c r="D145" s="8"/>
      <c r="E145" s="8"/>
      <c r="F145" s="8"/>
      <c r="G145" s="8"/>
    </row>
    <row r="146" spans="1:101" s="25" customFormat="1" ht="18" customHeight="1" x14ac:dyDescent="0.15">
      <c r="B146" s="11" t="s">
        <v>2748</v>
      </c>
      <c r="C146" s="11"/>
      <c r="D146" s="8"/>
      <c r="E146" s="8"/>
      <c r="F146" s="8"/>
      <c r="G146" s="8"/>
    </row>
    <row r="147" spans="1:101" ht="21" x14ac:dyDescent="0.25">
      <c r="B147" s="7369" t="s">
        <v>2749</v>
      </c>
      <c r="C147" s="7335" t="s">
        <v>2750</v>
      </c>
      <c r="D147" s="7242"/>
      <c r="E147" s="7242"/>
      <c r="F147" s="7242"/>
      <c r="G147" s="4341" t="s">
        <v>2751</v>
      </c>
    </row>
    <row r="148" spans="1:101" ht="21" x14ac:dyDescent="0.25">
      <c r="B148" s="7370"/>
      <c r="C148" s="1110" t="s">
        <v>2752</v>
      </c>
      <c r="D148" s="1213" t="s">
        <v>2753</v>
      </c>
      <c r="E148" s="1110" t="s">
        <v>2754</v>
      </c>
      <c r="F148" s="1067" t="s">
        <v>2755</v>
      </c>
      <c r="G148" s="4341" t="s">
        <v>2756</v>
      </c>
    </row>
    <row r="149" spans="1:101" x14ac:dyDescent="0.25">
      <c r="A149" s="5824">
        <v>29101781</v>
      </c>
      <c r="B149" s="4602" t="s">
        <v>2757</v>
      </c>
      <c r="C149" s="1072" t="s">
        <v>4567</v>
      </c>
      <c r="D149" s="4562" t="s">
        <v>4568</v>
      </c>
      <c r="E149" s="1072" t="s">
        <v>4569</v>
      </c>
      <c r="F149" s="1071" t="s">
        <v>4570</v>
      </c>
      <c r="G149" s="1074" t="s">
        <v>4571</v>
      </c>
    </row>
    <row r="150" spans="1:101" s="25" customFormat="1" ht="18" customHeight="1" x14ac:dyDescent="0.15">
      <c r="B150" s="11" t="s">
        <v>2758</v>
      </c>
      <c r="C150" s="8"/>
      <c r="D150" s="8"/>
      <c r="E150" s="8"/>
      <c r="F150" s="8"/>
    </row>
    <row r="151" spans="1:101" ht="21" x14ac:dyDescent="0.25">
      <c r="B151" s="1774" t="s">
        <v>2759</v>
      </c>
      <c r="C151" s="1212" t="s">
        <v>2760</v>
      </c>
      <c r="D151" s="1109" t="s">
        <v>2761</v>
      </c>
      <c r="E151" s="1111" t="s">
        <v>2329</v>
      </c>
      <c r="F151" s="1067" t="s">
        <v>36</v>
      </c>
    </row>
    <row r="152" spans="1:101" ht="15" customHeight="1" x14ac:dyDescent="0.25">
      <c r="A152" s="5824">
        <v>29101782</v>
      </c>
      <c r="B152" s="1202" t="s">
        <v>2762</v>
      </c>
      <c r="C152" s="4603" t="s">
        <v>4567</v>
      </c>
      <c r="D152" s="4573" t="s">
        <v>4568</v>
      </c>
      <c r="E152" s="4574" t="s">
        <v>4569</v>
      </c>
      <c r="F152" s="4576" t="s">
        <v>4570</v>
      </c>
      <c r="G152" s="1936" t="str">
        <f>$CB152</f>
        <v xml:space="preserve">* La variable Pueblos Originarios no puede superar el Total de Tamizaje. </v>
      </c>
      <c r="CB152" s="4174" t="str">
        <f>IF(AND($C152&lt;&gt;0,F152=""),"* No olvide ingresar la variable Pueblos Originarios. Si no tiene digite CERO. ",IF(F152&gt;$C152,"* La variable Pueblos Originarios no puede superar el Total de Tamizaje. ",""))</f>
        <v xml:space="preserve">* La variable Pueblos Originarios no puede superar el Total de Tamizaje. </v>
      </c>
      <c r="CC152" s="4"/>
      <c r="CJ152" s="4577">
        <f>IF(AND($C152&lt;&gt;0,F152=""),1,IF(F152&gt;$C152,1,0))</f>
        <v>1</v>
      </c>
      <c r="CK152" s="4"/>
      <c r="CU152"/>
      <c r="CV152"/>
      <c r="CW152"/>
    </row>
    <row r="153" spans="1:101" ht="15" customHeight="1" x14ac:dyDescent="0.25">
      <c r="A153" s="5824">
        <v>29101783</v>
      </c>
      <c r="B153" s="1198" t="s">
        <v>2763</v>
      </c>
      <c r="C153" s="4505" t="s">
        <v>4567</v>
      </c>
      <c r="D153" s="1089" t="s">
        <v>4568</v>
      </c>
      <c r="E153" s="1295" t="s">
        <v>4569</v>
      </c>
      <c r="F153" s="1090" t="s">
        <v>4570</v>
      </c>
      <c r="G153" s="1936" t="str">
        <f>$CM153&amp;CB153</f>
        <v xml:space="preserve">* La variable Pueblos Originarios no puede superar el Total de Tamizaje. </v>
      </c>
      <c r="CB153" s="4174" t="str">
        <f t="shared" ref="CB153:CB154" si="21">IF(AND($C153&lt;&gt;0,F153=""),"* No olvide ingresar la variable Pueblos Originarios. Si no tiene digite CERO. ",IF(F153&gt;$C153,"* La variable Pueblos Originarios no puede superar el Total de Tamizaje. ",""))</f>
        <v xml:space="preserve">* La variable Pueblos Originarios no puede superar el Total de Tamizaje. </v>
      </c>
      <c r="CC153" s="4"/>
      <c r="CJ153" s="4577">
        <f t="shared" ref="CJ153:CJ154" si="22">IF(AND($C153&lt;&gt;0,F153=""),1,IF(F153&gt;$C153,1,0))</f>
        <v>1</v>
      </c>
      <c r="CU153"/>
      <c r="CV153"/>
      <c r="CW153"/>
    </row>
    <row r="154" spans="1:101" ht="15" customHeight="1" x14ac:dyDescent="0.25">
      <c r="A154" s="5824">
        <v>29101784</v>
      </c>
      <c r="B154" s="1199" t="s">
        <v>2764</v>
      </c>
      <c r="C154" s="4604" t="s">
        <v>4567</v>
      </c>
      <c r="D154" s="4605" t="s">
        <v>4568</v>
      </c>
      <c r="E154" s="3741" t="s">
        <v>4569</v>
      </c>
      <c r="F154" s="677" t="s">
        <v>4570</v>
      </c>
      <c r="G154" s="1936" t="str">
        <f>$CM154&amp;CB154</f>
        <v xml:space="preserve">* La variable Pueblos Originarios no puede superar el Total de Tamizaje. </v>
      </c>
      <c r="CB154" s="4174" t="str">
        <f t="shared" si="21"/>
        <v xml:space="preserve">* La variable Pueblos Originarios no puede superar el Total de Tamizaje. </v>
      </c>
      <c r="CC154" s="4"/>
      <c r="CJ154" s="4577">
        <f t="shared" si="22"/>
        <v>1</v>
      </c>
      <c r="CU154"/>
      <c r="CV154"/>
      <c r="CW154"/>
    </row>
    <row r="155" spans="1:101" ht="21" x14ac:dyDescent="0.25">
      <c r="A155" s="5825"/>
      <c r="B155" s="4565" t="s">
        <v>2765</v>
      </c>
      <c r="C155" s="4606" t="s">
        <v>2766</v>
      </c>
      <c r="D155" s="4607" t="s">
        <v>2767</v>
      </c>
      <c r="E155" s="1768" t="s">
        <v>36</v>
      </c>
      <c r="F155" s="9"/>
      <c r="CU155"/>
      <c r="CV155"/>
      <c r="CW155"/>
    </row>
    <row r="156" spans="1:101" x14ac:dyDescent="0.25">
      <c r="A156" s="5824">
        <v>29101785</v>
      </c>
      <c r="B156" s="1202" t="s">
        <v>2768</v>
      </c>
      <c r="C156" s="4603" t="s">
        <v>4567</v>
      </c>
      <c r="D156" s="4608" t="s">
        <v>4568</v>
      </c>
      <c r="E156" s="4576" t="s">
        <v>4569</v>
      </c>
      <c r="F156" s="1936" t="str">
        <f>$CB156</f>
        <v xml:space="preserve">* La variable Pueblos Originarios no puede superar el Total de EOA. </v>
      </c>
      <c r="CB156" s="4174" t="str">
        <f>IF(AND($C156&lt;&gt;0,E156=""),"* No olvide ingresar la variable Pueblos Originarios. Si no tiene digite CERO. ",IF(E156&gt;$C156,"* La variable Pueblos Originarios no puede superar el Total de EOA. ",""))</f>
        <v xml:space="preserve">* La variable Pueblos Originarios no puede superar el Total de EOA. </v>
      </c>
      <c r="CC156" s="4"/>
      <c r="CJ156" s="4577">
        <f>IF(AND($C156&lt;&gt;0,E156=""),1,IF(E156&gt;$C156,1,0))</f>
        <v>1</v>
      </c>
      <c r="CU156"/>
      <c r="CV156"/>
      <c r="CW156"/>
    </row>
    <row r="157" spans="1:101" x14ac:dyDescent="0.25">
      <c r="A157" s="5824">
        <v>29101786</v>
      </c>
      <c r="B157" s="1198" t="s">
        <v>1210</v>
      </c>
      <c r="C157" s="4505" t="s">
        <v>4567</v>
      </c>
      <c r="D157" s="1251" t="s">
        <v>4568</v>
      </c>
      <c r="E157" s="1090" t="s">
        <v>4569</v>
      </c>
      <c r="F157" s="1936" t="str">
        <f t="shared" ref="F157:F158" si="23">$CB157</f>
        <v xml:space="preserve">* La variable Pueblos Originarios no puede superar el Total de EOA. </v>
      </c>
      <c r="CB157" s="4174" t="str">
        <f t="shared" ref="CB157:CB158" si="24">IF(AND($C157&lt;&gt;0,E157=""),"* No olvide ingresar la variable Pueblos Originarios. Si no tiene digite CERO. ",IF(E157&gt;$C157,"* La variable Pueblos Originarios no puede superar el Total de EOA. ",""))</f>
        <v xml:space="preserve">* La variable Pueblos Originarios no puede superar el Total de EOA. </v>
      </c>
      <c r="CC157" s="4"/>
      <c r="CJ157" s="4577">
        <f t="shared" ref="CJ157:CJ158" si="25">IF(AND($C157&lt;&gt;0,E157=""),1,IF(E157&gt;$C157,1,0))</f>
        <v>1</v>
      </c>
      <c r="CU157"/>
      <c r="CV157"/>
      <c r="CW157"/>
    </row>
    <row r="158" spans="1:101" ht="21" x14ac:dyDescent="0.25">
      <c r="A158" s="5824">
        <v>29101787</v>
      </c>
      <c r="B158" s="1199" t="s">
        <v>2769</v>
      </c>
      <c r="C158" s="4604" t="s">
        <v>4567</v>
      </c>
      <c r="D158" s="4609" t="s">
        <v>4568</v>
      </c>
      <c r="E158" s="677" t="s">
        <v>4569</v>
      </c>
      <c r="F158" s="1936" t="str">
        <f t="shared" si="23"/>
        <v xml:space="preserve">* La variable Pueblos Originarios no puede superar el Total de EOA. </v>
      </c>
      <c r="CB158" s="4174" t="str">
        <f t="shared" si="24"/>
        <v xml:space="preserve">* La variable Pueblos Originarios no puede superar el Total de EOA. </v>
      </c>
      <c r="CC158" s="4"/>
      <c r="CJ158" s="4577">
        <f t="shared" si="25"/>
        <v>1</v>
      </c>
      <c r="CU158"/>
      <c r="CV158"/>
      <c r="CW158"/>
    </row>
    <row r="159" spans="1:101" x14ac:dyDescent="0.25">
      <c r="B159" s="11" t="s">
        <v>2770</v>
      </c>
      <c r="C159" s="2271"/>
      <c r="D159" s="9"/>
    </row>
    <row r="160" spans="1:101" ht="31.5" x14ac:dyDescent="0.25">
      <c r="B160" s="1026" t="s">
        <v>2765</v>
      </c>
      <c r="C160" s="1109" t="s">
        <v>2771</v>
      </c>
      <c r="D160" s="1767" t="s">
        <v>2772</v>
      </c>
    </row>
    <row r="161" spans="1:4" x14ac:dyDescent="0.25">
      <c r="A161" s="5824">
        <v>29101788</v>
      </c>
      <c r="B161" s="1117" t="s">
        <v>2768</v>
      </c>
      <c r="C161" s="4573" t="s">
        <v>4567</v>
      </c>
      <c r="D161" s="4576" t="s">
        <v>4568</v>
      </c>
    </row>
    <row r="162" spans="1:4" x14ac:dyDescent="0.25">
      <c r="A162" s="5824">
        <v>29101789</v>
      </c>
      <c r="B162" s="4610" t="s">
        <v>1210</v>
      </c>
      <c r="C162" s="4587" t="s">
        <v>4567</v>
      </c>
      <c r="D162" s="4590" t="s">
        <v>4568</v>
      </c>
    </row>
    <row r="164" spans="1:4" x14ac:dyDescent="0.25">
      <c r="A164" t="s">
        <v>4777</v>
      </c>
    </row>
    <row r="165" spans="1:4" x14ac:dyDescent="0.25">
      <c r="A165" s="5602">
        <v>29101731</v>
      </c>
    </row>
    <row r="166" spans="1:4" x14ac:dyDescent="0.25">
      <c r="A166" s="5602">
        <v>29101732</v>
      </c>
    </row>
    <row r="167" spans="1:4" x14ac:dyDescent="0.25">
      <c r="A167" s="5602">
        <v>29101734</v>
      </c>
    </row>
    <row r="168" spans="1:4" x14ac:dyDescent="0.25">
      <c r="A168" s="5602">
        <v>29101751</v>
      </c>
    </row>
    <row r="169" spans="1:4" x14ac:dyDescent="0.25">
      <c r="A169" s="5602">
        <v>29101754</v>
      </c>
    </row>
    <row r="170" spans="1:4" x14ac:dyDescent="0.25">
      <c r="A170" s="5609">
        <v>24200100</v>
      </c>
    </row>
    <row r="171" spans="1:4" x14ac:dyDescent="0.25">
      <c r="A171" t="s">
        <v>4566</v>
      </c>
    </row>
    <row r="172" spans="1:4" x14ac:dyDescent="0.25">
      <c r="A172" s="5867">
        <v>24311010</v>
      </c>
    </row>
    <row r="173" spans="1:4" x14ac:dyDescent="0.25">
      <c r="A173" s="5867">
        <v>24311011</v>
      </c>
    </row>
    <row r="174" spans="1:4" x14ac:dyDescent="0.25">
      <c r="A174" s="5867">
        <v>24311012</v>
      </c>
    </row>
    <row r="175" spans="1:4" x14ac:dyDescent="0.25">
      <c r="A175" s="5867">
        <v>24311013</v>
      </c>
    </row>
    <row r="176" spans="1:4" x14ac:dyDescent="0.25">
      <c r="A176" s="5867">
        <v>24311014</v>
      </c>
    </row>
    <row r="177" spans="1:3" x14ac:dyDescent="0.25">
      <c r="A177" s="5867">
        <v>24311015</v>
      </c>
    </row>
    <row r="178" spans="1:3" x14ac:dyDescent="0.25">
      <c r="A178" s="5867">
        <v>24311016</v>
      </c>
    </row>
    <row r="179" spans="1:3" ht="33.75" hidden="1" customHeight="1" x14ac:dyDescent="0.25">
      <c r="A179" s="5867">
        <v>24311017</v>
      </c>
      <c r="B179" s="105">
        <f>SUM(D13:AA23,D26:D38,D42:E57,D61:G71,C77:H79,C84:H88,D92:J103,D109,D113:P113,C117:C119,C122:D130,D134:E139,C143:C144,C149:G149,C152:E154,C156:D158,C161:D162)</f>
        <v>0</v>
      </c>
      <c r="C179" s="105" t="e">
        <f>SUM(CJ13:CN158)</f>
        <v>#VALUE!</v>
      </c>
    </row>
    <row r="180" spans="1:3" x14ac:dyDescent="0.25">
      <c r="A180" s="5867">
        <v>24311018</v>
      </c>
    </row>
    <row r="181" spans="1:3" x14ac:dyDescent="0.25">
      <c r="A181" s="5867">
        <v>24311019</v>
      </c>
    </row>
    <row r="182" spans="1:3" x14ac:dyDescent="0.25">
      <c r="A182" s="5867">
        <v>24311020</v>
      </c>
    </row>
    <row r="183" spans="1:3" x14ac:dyDescent="0.25">
      <c r="A183" s="5867">
        <v>24311021</v>
      </c>
    </row>
    <row r="184" spans="1:3" x14ac:dyDescent="0.25">
      <c r="A184" s="5867">
        <v>24311022</v>
      </c>
    </row>
    <row r="185" spans="1:3" x14ac:dyDescent="0.25">
      <c r="A185" s="5867">
        <v>24311023</v>
      </c>
    </row>
    <row r="186" spans="1:3" x14ac:dyDescent="0.25">
      <c r="A186" s="5867">
        <v>24311024</v>
      </c>
    </row>
    <row r="187" spans="1:3" x14ac:dyDescent="0.25">
      <c r="A187" s="5867">
        <v>24311025</v>
      </c>
    </row>
    <row r="188" spans="1:3" x14ac:dyDescent="0.25">
      <c r="A188" s="5867">
        <v>24311026</v>
      </c>
    </row>
    <row r="189" spans="1:3" x14ac:dyDescent="0.25">
      <c r="A189" s="5867">
        <v>24311027</v>
      </c>
    </row>
    <row r="190" spans="1:3" x14ac:dyDescent="0.25">
      <c r="A190" s="5867">
        <v>24311028</v>
      </c>
    </row>
  </sheetData>
  <mergeCells count="138">
    <mergeCell ref="B92:C92"/>
    <mergeCell ref="B93:C93"/>
    <mergeCell ref="B94:B100"/>
    <mergeCell ref="B115:B116"/>
    <mergeCell ref="L73:L75"/>
    <mergeCell ref="M73:M75"/>
    <mergeCell ref="C74:E74"/>
    <mergeCell ref="F74:H74"/>
    <mergeCell ref="B81:B82"/>
    <mergeCell ref="C81:E81"/>
    <mergeCell ref="F81:H81"/>
    <mergeCell ref="B90:C91"/>
    <mergeCell ref="D90:D91"/>
    <mergeCell ref="E90:E91"/>
    <mergeCell ref="F90:F91"/>
    <mergeCell ref="G90:G91"/>
    <mergeCell ref="H90:J90"/>
    <mergeCell ref="B101:C101"/>
    <mergeCell ref="B102:C102"/>
    <mergeCell ref="B103:C103"/>
    <mergeCell ref="B104:C104"/>
    <mergeCell ref="B105:H105"/>
    <mergeCell ref="B106:H106"/>
    <mergeCell ref="B107:C108"/>
    <mergeCell ref="B55:B56"/>
    <mergeCell ref="B57:C57"/>
    <mergeCell ref="B59:C60"/>
    <mergeCell ref="B73:B75"/>
    <mergeCell ref="C73:E73"/>
    <mergeCell ref="F73:H73"/>
    <mergeCell ref="I73:I75"/>
    <mergeCell ref="J73:J75"/>
    <mergeCell ref="K73:K75"/>
    <mergeCell ref="D59:F59"/>
    <mergeCell ref="G59:G60"/>
    <mergeCell ref="B61:B65"/>
    <mergeCell ref="B66:C66"/>
    <mergeCell ref="B67:C67"/>
    <mergeCell ref="B68:C68"/>
    <mergeCell ref="B69:C69"/>
    <mergeCell ref="B70:C70"/>
    <mergeCell ref="B71:C71"/>
    <mergeCell ref="B43:B44"/>
    <mergeCell ref="B45:C45"/>
    <mergeCell ref="B46:B47"/>
    <mergeCell ref="B48:B49"/>
    <mergeCell ref="B50:C50"/>
    <mergeCell ref="B51:C51"/>
    <mergeCell ref="B53:C53"/>
    <mergeCell ref="B52:C52"/>
    <mergeCell ref="B54:C54"/>
    <mergeCell ref="B29:C29"/>
    <mergeCell ref="B30:C30"/>
    <mergeCell ref="B16:C16"/>
    <mergeCell ref="B17:C17"/>
    <mergeCell ref="B18:C18"/>
    <mergeCell ref="B19:C19"/>
    <mergeCell ref="B20:C20"/>
    <mergeCell ref="B27:B28"/>
    <mergeCell ref="B42:C42"/>
    <mergeCell ref="B34:B35"/>
    <mergeCell ref="B31:C31"/>
    <mergeCell ref="B32:B33"/>
    <mergeCell ref="B36:C36"/>
    <mergeCell ref="B37:B38"/>
    <mergeCell ref="B41:C41"/>
    <mergeCell ref="B6:M6"/>
    <mergeCell ref="B9:C11"/>
    <mergeCell ref="D9:D11"/>
    <mergeCell ref="E9:H9"/>
    <mergeCell ref="I9:L9"/>
    <mergeCell ref="M9:M11"/>
    <mergeCell ref="S10:S11"/>
    <mergeCell ref="T9:T11"/>
    <mergeCell ref="U9:X9"/>
    <mergeCell ref="E10:E11"/>
    <mergeCell ref="F10:F11"/>
    <mergeCell ref="G10:G11"/>
    <mergeCell ref="H10:H11"/>
    <mergeCell ref="I10:I11"/>
    <mergeCell ref="J10:J11"/>
    <mergeCell ref="K10:K11"/>
    <mergeCell ref="L10:L11"/>
    <mergeCell ref="N10:N11"/>
    <mergeCell ref="N9:S9"/>
    <mergeCell ref="O10:O11"/>
    <mergeCell ref="P10:P11"/>
    <mergeCell ref="Q10:Q11"/>
    <mergeCell ref="R10:R11"/>
    <mergeCell ref="AC9:AC11"/>
    <mergeCell ref="AD9:AD11"/>
    <mergeCell ref="AE9:AE11"/>
    <mergeCell ref="AF9:AG10"/>
    <mergeCell ref="U10:V10"/>
    <mergeCell ref="W10:X10"/>
    <mergeCell ref="B21:C21"/>
    <mergeCell ref="B22:B23"/>
    <mergeCell ref="B26:C26"/>
    <mergeCell ref="B13:C13"/>
    <mergeCell ref="B14:C14"/>
    <mergeCell ref="B15:C15"/>
    <mergeCell ref="Y9:Y11"/>
    <mergeCell ref="Z9:Z11"/>
    <mergeCell ref="AA9:AA11"/>
    <mergeCell ref="AB9:AB11"/>
    <mergeCell ref="B25:C25"/>
    <mergeCell ref="B12:C12"/>
    <mergeCell ref="D107:D108"/>
    <mergeCell ref="E107:L107"/>
    <mergeCell ref="M107:M108"/>
    <mergeCell ref="B109:C109"/>
    <mergeCell ref="B111:C112"/>
    <mergeCell ref="D111:E111"/>
    <mergeCell ref="F111:I111"/>
    <mergeCell ref="J111:K111"/>
    <mergeCell ref="L111:L112"/>
    <mergeCell ref="M111:M112"/>
    <mergeCell ref="N111:N112"/>
    <mergeCell ref="N141:N142"/>
    <mergeCell ref="O141:O142"/>
    <mergeCell ref="O111:O112"/>
    <mergeCell ref="P111:P112"/>
    <mergeCell ref="B113:C113"/>
    <mergeCell ref="B114:H114"/>
    <mergeCell ref="C115:C116"/>
    <mergeCell ref="D115:K115"/>
    <mergeCell ref="L115:L116"/>
    <mergeCell ref="M115:P115"/>
    <mergeCell ref="B131:C131"/>
    <mergeCell ref="B147:B148"/>
    <mergeCell ref="C147:F147"/>
    <mergeCell ref="B133:C133"/>
    <mergeCell ref="B134:B135"/>
    <mergeCell ref="B136:B139"/>
    <mergeCell ref="B141:B142"/>
    <mergeCell ref="C141:C142"/>
    <mergeCell ref="D141:L141"/>
    <mergeCell ref="M141:M142"/>
  </mergeCells>
  <dataValidations count="7">
    <dataValidation allowBlank="1" showInputMessage="1" showErrorMessage="1" error="Valor no Permitido" sqref="B6:M6 D9:D10 V11:V12 B9:B10 W10 N9 I9 I10:L10 D148:F148 B8:AC8 C144 X11:X12 W12 G25 B27 C27:C28 B36:B37 C37:C38 B24:G24 B34 B42:B43 C48:C49 B48 B40:E40 Y12:AG12 N109:CA109 B92:B94 B101:B107 G90:H90 I91:J91 C89 B109:B115 C105:M106 M107 E107:L108 C110:N110 F111 J111:K112 N116:P116 M115:M116 C114:P114 L115 T9 D115:K116 D89:F90 D120:F121 B159:D159 U9:U10 C115:C120 E140:N140 N10:S10 D104:J104 E142:L142 D107:D109 C147:C148 B179:C179 B145:G146 G89:I89 G147:G148 C140:D142 B150:B158 C150:F151 C155:F155 B76:B90 C82:E82 E133 M141:O141 B12:B22 Y9:Y10 D26:D38 B29:B32 B45:B46 B50:B55 G59 C55:C56 C58:E58 D60:F60 B57:B59 B61 L111:P111 AF11 Z9:AE9 C72:U72 G75:H76 D75:E76 C73:C76 B66:B73 B118:B131 D12:U12 F73:F76 I73:S73 B140:B143 I76:M76 C81 A153:A158" xr:uid="{887A9D0F-6E14-4FE8-A7FB-8C615D74515D}"/>
    <dataValidation type="whole" operator="greaterThanOrEqual" allowBlank="1" showInputMessage="1" showErrorMessage="1" error="Valor no Permitido" sqref="I81:U88 D13:AG23 D61:G71 C80:X80 C77:M79 D113:P113 C83:E83 C152:F154 C122:F130 D134:E139 D144:O144 C149:G149 F82:H83 E26:G38 D42:E57 E109:M109 C156:E158" xr:uid="{CEF4C239-B468-4F10-9A38-EFB112D68492}">
      <formula1>0</formula1>
    </dataValidation>
    <dataValidation type="whole" operator="greaterThanOrEqual" allowBlank="1" showInputMessage="1" showErrorMessage="1" sqref="C84:H88 C161:D162" xr:uid="{29463081-FB87-4BF3-A5C2-7B01E7275332}">
      <formula1>0</formula1>
    </dataValidation>
    <dataValidation operator="greaterThanOrEqual" allowBlank="1" showInputMessage="1" showErrorMessage="1" error="Valor no Permitido" sqref="F81:H81" xr:uid="{C84B62CD-A5FB-45BF-91F1-6C2D83E8110D}"/>
    <dataValidation type="whole" allowBlank="1" showInputMessage="1" showErrorMessage="1" sqref="D92:J103" xr:uid="{C66B2225-7A3A-4B32-9F8D-C49FB664D07F}">
      <formula1>0</formula1>
      <formula2>9.99999999999999E+35</formula2>
    </dataValidation>
    <dataValidation type="whole" allowBlank="1" showInputMessage="1" showErrorMessage="1" sqref="D117:P119" xr:uid="{F0A4C0FB-2B18-4F63-872C-969F10381C48}">
      <formula1>0</formula1>
      <formula2>9.99999999999999E+37</formula2>
    </dataValidation>
    <dataValidation type="whole" allowBlank="1" showInputMessage="1" showErrorMessage="1" sqref="C143:O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E320"/>
  <sheetViews>
    <sheetView showGridLines="0" zoomScaleNormal="100" workbookViewId="0"/>
  </sheetViews>
  <sheetFormatPr baseColWidth="10" defaultColWidth="11.42578125" defaultRowHeight="15" x14ac:dyDescent="0.25"/>
  <cols>
    <col min="1" max="1" width="17.85546875" customWidth="1"/>
    <col min="2" max="2" width="44.85546875" customWidth="1"/>
    <col min="3" max="3" width="18.140625" customWidth="1"/>
    <col min="4" max="4" width="23.85546875" customWidth="1"/>
    <col min="5" max="5" width="18.5703125" customWidth="1"/>
    <col min="6" max="6" width="12.85546875" customWidth="1"/>
    <col min="7" max="7" width="12.7109375" customWidth="1"/>
    <col min="8" max="8" width="15.7109375" customWidth="1"/>
    <col min="9" max="9" width="16.42578125" customWidth="1"/>
  </cols>
  <sheetData>
    <row r="1" spans="1:29" x14ac:dyDescent="0.25">
      <c r="B1" s="50" t="s">
        <v>23</v>
      </c>
    </row>
    <row r="2" spans="1:29" x14ac:dyDescent="0.25">
      <c r="B2" s="50" t="str">
        <f>CONCATENATE("COMUNA: ",NOMBRE!B2, " (",NOMBRE!C2,NOMBRE!D2,NOMBRE!E2,NOMBRE!F2,NOMBRE!G2,")")</f>
        <v>COMUNA:  ()</v>
      </c>
    </row>
    <row r="3" spans="1:29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29" x14ac:dyDescent="0.25">
      <c r="B4" s="50" t="str">
        <f>CONCATENATE("MES: ",NOMBRE!B6, " (",NOMBRE!C6,NOMBRE!D6,")")</f>
        <v>MES:  ()</v>
      </c>
    </row>
    <row r="5" spans="1:29" x14ac:dyDescent="0.25">
      <c r="B5" s="50" t="str">
        <f>CONCATENATE("AÑO: ",NOMBRE!B7)</f>
        <v>AÑO: 2025</v>
      </c>
    </row>
    <row r="6" spans="1:29" ht="18" customHeight="1" x14ac:dyDescent="0.25">
      <c r="B6" s="7447" t="s">
        <v>2773</v>
      </c>
      <c r="C6" s="7447"/>
      <c r="D6" s="7447"/>
      <c r="E6" s="7447"/>
      <c r="F6" s="7447"/>
      <c r="G6" s="7447"/>
      <c r="H6" s="7447"/>
      <c r="I6" s="7447"/>
      <c r="J6" s="7447"/>
      <c r="K6" s="7447"/>
      <c r="L6" s="7447"/>
      <c r="M6" s="7447"/>
      <c r="N6" s="7447"/>
      <c r="O6" s="7447"/>
      <c r="P6" s="7447"/>
      <c r="Q6" s="7447"/>
      <c r="R6" s="7447"/>
      <c r="S6" s="7447"/>
      <c r="T6" s="7447"/>
      <c r="U6" s="7447"/>
      <c r="V6" s="7447"/>
      <c r="W6" s="7447"/>
    </row>
    <row r="8" spans="1:29" s="6" customFormat="1" ht="18" customHeight="1" x14ac:dyDescent="0.2">
      <c r="B8" s="7179" t="s">
        <v>2774</v>
      </c>
      <c r="C8" s="7179"/>
      <c r="D8" s="7179"/>
    </row>
    <row r="9" spans="1:29" s="19" customFormat="1" ht="15" customHeight="1" x14ac:dyDescent="0.15">
      <c r="B9" s="7222" t="s">
        <v>2775</v>
      </c>
      <c r="C9" s="7222" t="s">
        <v>2776</v>
      </c>
      <c r="D9" s="7222"/>
      <c r="E9" s="7289" t="s">
        <v>77</v>
      </c>
      <c r="F9" s="6510"/>
      <c r="G9" s="7237"/>
      <c r="H9" s="7257" t="s">
        <v>101</v>
      </c>
      <c r="I9" s="7258"/>
      <c r="J9" s="7258"/>
      <c r="K9" s="7258"/>
      <c r="L9" s="7258"/>
      <c r="M9" s="7258"/>
      <c r="N9" s="7258"/>
      <c r="O9" s="7258"/>
      <c r="P9" s="7258"/>
      <c r="Q9" s="7258"/>
      <c r="R9" s="7258"/>
      <c r="S9" s="7258"/>
      <c r="T9" s="7258"/>
      <c r="U9" s="7258"/>
      <c r="V9" s="7258"/>
      <c r="W9" s="7258"/>
      <c r="X9" s="7258"/>
      <c r="Y9" s="7258"/>
      <c r="Z9" s="7258"/>
      <c r="AA9" s="7258"/>
      <c r="AB9" s="7258"/>
      <c r="AC9" s="7346"/>
    </row>
    <row r="10" spans="1:29" s="19" customFormat="1" ht="15" customHeight="1" x14ac:dyDescent="0.15">
      <c r="B10" s="7222"/>
      <c r="C10" s="7222"/>
      <c r="D10" s="7222"/>
      <c r="E10" s="7448"/>
      <c r="F10" s="6735"/>
      <c r="G10" s="6955"/>
      <c r="H10" s="7340" t="s">
        <v>1300</v>
      </c>
      <c r="I10" s="7340"/>
      <c r="J10" s="7340" t="s">
        <v>305</v>
      </c>
      <c r="K10" s="7340"/>
      <c r="L10" s="7340" t="s">
        <v>974</v>
      </c>
      <c r="M10" s="7340"/>
      <c r="N10" s="7340" t="s">
        <v>629</v>
      </c>
      <c r="O10" s="7340"/>
      <c r="P10" s="7340" t="s">
        <v>2057</v>
      </c>
      <c r="Q10" s="7340"/>
      <c r="R10" s="7340" t="s">
        <v>630</v>
      </c>
      <c r="S10" s="7340"/>
      <c r="T10" s="7340" t="s">
        <v>2058</v>
      </c>
      <c r="U10" s="7340"/>
      <c r="V10" s="7340" t="s">
        <v>2059</v>
      </c>
      <c r="W10" s="7340"/>
      <c r="X10" s="7340" t="s">
        <v>1949</v>
      </c>
      <c r="Y10" s="7340"/>
      <c r="Z10" s="7340" t="s">
        <v>1583</v>
      </c>
      <c r="AA10" s="7340"/>
      <c r="AB10" s="7340" t="s">
        <v>664</v>
      </c>
      <c r="AC10" s="7340"/>
    </row>
    <row r="11" spans="1:29" s="19" customFormat="1" ht="15" customHeight="1" x14ac:dyDescent="0.15">
      <c r="B11" s="7222"/>
      <c r="C11" s="7222"/>
      <c r="D11" s="7222"/>
      <c r="E11" s="1109" t="s">
        <v>79</v>
      </c>
      <c r="F11" s="1213" t="s">
        <v>58</v>
      </c>
      <c r="G11" s="1067" t="s">
        <v>59</v>
      </c>
      <c r="H11" s="981" t="s">
        <v>58</v>
      </c>
      <c r="I11" s="983" t="s">
        <v>59</v>
      </c>
      <c r="J11" s="922" t="s">
        <v>58</v>
      </c>
      <c r="K11" s="23" t="s">
        <v>59</v>
      </c>
      <c r="L11" s="922" t="s">
        <v>58</v>
      </c>
      <c r="M11" s="23" t="s">
        <v>59</v>
      </c>
      <c r="N11" s="922" t="s">
        <v>58</v>
      </c>
      <c r="O11" s="23" t="s">
        <v>59</v>
      </c>
      <c r="P11" s="922" t="s">
        <v>58</v>
      </c>
      <c r="Q11" s="23" t="s">
        <v>59</v>
      </c>
      <c r="R11" s="922" t="s">
        <v>58</v>
      </c>
      <c r="S11" s="23" t="s">
        <v>59</v>
      </c>
      <c r="T11" s="922" t="s">
        <v>58</v>
      </c>
      <c r="U11" s="23" t="s">
        <v>59</v>
      </c>
      <c r="V11" s="922" t="s">
        <v>58</v>
      </c>
      <c r="W11" s="23" t="s">
        <v>59</v>
      </c>
      <c r="X11" s="922" t="s">
        <v>58</v>
      </c>
      <c r="Y11" s="23" t="s">
        <v>59</v>
      </c>
      <c r="Z11" s="922" t="s">
        <v>58</v>
      </c>
      <c r="AA11" s="23" t="s">
        <v>59</v>
      </c>
      <c r="AB11" s="922" t="s">
        <v>58</v>
      </c>
      <c r="AC11" s="23" t="s">
        <v>59</v>
      </c>
    </row>
    <row r="12" spans="1:29" s="19" customFormat="1" ht="15" customHeight="1" x14ac:dyDescent="0.15">
      <c r="A12" s="5818">
        <v>25100100</v>
      </c>
      <c r="B12" s="7358" t="s">
        <v>2777</v>
      </c>
      <c r="C12" s="1202" t="s">
        <v>2778</v>
      </c>
      <c r="D12" s="1432" t="s">
        <v>2779</v>
      </c>
      <c r="E12" s="1078" t="s">
        <v>4567</v>
      </c>
      <c r="F12" s="605" t="s">
        <v>4568</v>
      </c>
      <c r="G12" s="3037" t="s">
        <v>4569</v>
      </c>
      <c r="H12" s="1081" t="s">
        <v>4570</v>
      </c>
      <c r="I12" s="1082" t="s">
        <v>4571</v>
      </c>
      <c r="J12" s="1081" t="s">
        <v>4572</v>
      </c>
      <c r="K12" s="1082" t="s">
        <v>4573</v>
      </c>
      <c r="L12" s="1081" t="s">
        <v>4574</v>
      </c>
      <c r="M12" s="1082" t="s">
        <v>4575</v>
      </c>
      <c r="N12" s="1081" t="s">
        <v>4576</v>
      </c>
      <c r="O12" s="1082" t="s">
        <v>4577</v>
      </c>
      <c r="P12" s="1081" t="s">
        <v>4578</v>
      </c>
      <c r="Q12" s="1082" t="s">
        <v>4579</v>
      </c>
      <c r="R12" s="1081" t="s">
        <v>4580</v>
      </c>
      <c r="S12" s="1082" t="s">
        <v>4581</v>
      </c>
      <c r="T12" s="1081" t="s">
        <v>4582</v>
      </c>
      <c r="U12" s="1082" t="s">
        <v>4583</v>
      </c>
      <c r="V12" s="1081" t="s">
        <v>4584</v>
      </c>
      <c r="W12" s="1082" t="s">
        <v>4585</v>
      </c>
      <c r="X12" s="1081" t="s">
        <v>4586</v>
      </c>
      <c r="Y12" s="1082" t="s">
        <v>4587</v>
      </c>
      <c r="Z12" s="1081" t="s">
        <v>4588</v>
      </c>
      <c r="AA12" s="1082" t="s">
        <v>4589</v>
      </c>
      <c r="AB12" s="1081" t="s">
        <v>4590</v>
      </c>
      <c r="AC12" s="1082" t="s">
        <v>4591</v>
      </c>
    </row>
    <row r="13" spans="1:29" s="19" customFormat="1" ht="15" customHeight="1" x14ac:dyDescent="0.15">
      <c r="A13" s="5818">
        <v>25100300</v>
      </c>
      <c r="B13" s="7431"/>
      <c r="C13" s="1747" t="s">
        <v>2780</v>
      </c>
      <c r="D13" s="1784" t="s">
        <v>2779</v>
      </c>
      <c r="E13" s="199" t="s">
        <v>4567</v>
      </c>
      <c r="F13" s="608" t="s">
        <v>4568</v>
      </c>
      <c r="G13" s="3958" t="s">
        <v>4569</v>
      </c>
      <c r="H13" s="1264" t="s">
        <v>4570</v>
      </c>
      <c r="I13" s="1447" t="s">
        <v>4571</v>
      </c>
      <c r="J13" s="290" t="s">
        <v>4572</v>
      </c>
      <c r="K13" s="107" t="s">
        <v>4573</v>
      </c>
      <c r="L13" s="290" t="s">
        <v>4574</v>
      </c>
      <c r="M13" s="107" t="s">
        <v>4575</v>
      </c>
      <c r="N13" s="290" t="s">
        <v>4576</v>
      </c>
      <c r="O13" s="107" t="s">
        <v>4577</v>
      </c>
      <c r="P13" s="290" t="s">
        <v>4578</v>
      </c>
      <c r="Q13" s="107" t="s">
        <v>4579</v>
      </c>
      <c r="R13" s="290" t="s">
        <v>4580</v>
      </c>
      <c r="S13" s="107" t="s">
        <v>4581</v>
      </c>
      <c r="T13" s="290" t="s">
        <v>4582</v>
      </c>
      <c r="U13" s="107" t="s">
        <v>4583</v>
      </c>
      <c r="V13" s="290" t="s">
        <v>4584</v>
      </c>
      <c r="W13" s="107" t="s">
        <v>4585</v>
      </c>
      <c r="X13" s="290" t="s">
        <v>4586</v>
      </c>
      <c r="Y13" s="107" t="s">
        <v>4587</v>
      </c>
      <c r="Z13" s="290" t="s">
        <v>4588</v>
      </c>
      <c r="AA13" s="107" t="s">
        <v>4589</v>
      </c>
      <c r="AB13" s="290" t="s">
        <v>4590</v>
      </c>
      <c r="AC13" s="107" t="s">
        <v>4591</v>
      </c>
    </row>
    <row r="14" spans="1:29" s="19" customFormat="1" ht="15" customHeight="1" x14ac:dyDescent="0.15">
      <c r="A14" s="5818">
        <v>25100500</v>
      </c>
      <c r="B14" s="7382" t="s">
        <v>2781</v>
      </c>
      <c r="C14" s="7383"/>
      <c r="D14" s="4611" t="s">
        <v>2779</v>
      </c>
      <c r="E14" s="973" t="s">
        <v>4567</v>
      </c>
      <c r="F14" s="980" t="s">
        <v>4568</v>
      </c>
      <c r="G14" s="975" t="s">
        <v>4569</v>
      </c>
      <c r="H14" s="1070" t="s">
        <v>4570</v>
      </c>
      <c r="I14" s="1071" t="s">
        <v>4571</v>
      </c>
      <c r="J14" s="1070" t="s">
        <v>4572</v>
      </c>
      <c r="K14" s="1071" t="s">
        <v>4573</v>
      </c>
      <c r="L14" s="1070" t="s">
        <v>4574</v>
      </c>
      <c r="M14" s="1071" t="s">
        <v>4575</v>
      </c>
      <c r="N14" s="1070" t="s">
        <v>4576</v>
      </c>
      <c r="O14" s="1071" t="s">
        <v>4577</v>
      </c>
      <c r="P14" s="1070" t="s">
        <v>4578</v>
      </c>
      <c r="Q14" s="1071" t="s">
        <v>4579</v>
      </c>
      <c r="R14" s="1070" t="s">
        <v>4580</v>
      </c>
      <c r="S14" s="1071" t="s">
        <v>4581</v>
      </c>
      <c r="T14" s="1070" t="s">
        <v>4582</v>
      </c>
      <c r="U14" s="1071" t="s">
        <v>4583</v>
      </c>
      <c r="V14" s="1070" t="s">
        <v>4584</v>
      </c>
      <c r="W14" s="1071" t="s">
        <v>4585</v>
      </c>
      <c r="X14" s="1070" t="s">
        <v>4586</v>
      </c>
      <c r="Y14" s="1071" t="s">
        <v>4587</v>
      </c>
      <c r="Z14" s="1070" t="s">
        <v>4588</v>
      </c>
      <c r="AA14" s="1071" t="s">
        <v>4589</v>
      </c>
      <c r="AB14" s="1070" t="s">
        <v>4590</v>
      </c>
      <c r="AC14" s="1071" t="s">
        <v>4591</v>
      </c>
    </row>
    <row r="15" spans="1:29" s="19" customFormat="1" ht="15" customHeight="1" x14ac:dyDescent="0.15">
      <c r="A15" s="5818"/>
      <c r="B15" s="7292" t="s">
        <v>77</v>
      </c>
      <c r="C15" s="7293"/>
      <c r="D15" s="7294"/>
      <c r="E15" s="973" t="s">
        <v>4567</v>
      </c>
      <c r="F15" s="980" t="s">
        <v>4568</v>
      </c>
      <c r="G15" s="974" t="s">
        <v>4569</v>
      </c>
      <c r="H15" s="1100" t="s">
        <v>4570</v>
      </c>
      <c r="I15" s="1104" t="s">
        <v>4571</v>
      </c>
      <c r="J15" s="1102" t="s">
        <v>4572</v>
      </c>
      <c r="K15" s="1101" t="s">
        <v>4573</v>
      </c>
      <c r="L15" s="1100" t="s">
        <v>4574</v>
      </c>
      <c r="M15" s="1101" t="s">
        <v>4575</v>
      </c>
      <c r="N15" s="1100" t="s">
        <v>4576</v>
      </c>
      <c r="O15" s="1101" t="s">
        <v>4577</v>
      </c>
      <c r="P15" s="1100" t="s">
        <v>4578</v>
      </c>
      <c r="Q15" s="1101" t="s">
        <v>4579</v>
      </c>
      <c r="R15" s="1100" t="s">
        <v>4580</v>
      </c>
      <c r="S15" s="1101" t="s">
        <v>4581</v>
      </c>
      <c r="T15" s="1100" t="s">
        <v>4582</v>
      </c>
      <c r="U15" s="1101" t="s">
        <v>4583</v>
      </c>
      <c r="V15" s="1100" t="s">
        <v>4584</v>
      </c>
      <c r="W15" s="1101" t="s">
        <v>4585</v>
      </c>
      <c r="X15" s="1100" t="s">
        <v>4586</v>
      </c>
      <c r="Y15" s="1101" t="s">
        <v>4587</v>
      </c>
      <c r="Z15" s="1100" t="s">
        <v>4588</v>
      </c>
      <c r="AA15" s="1101" t="s">
        <v>4589</v>
      </c>
      <c r="AB15" s="1100" t="s">
        <v>4590</v>
      </c>
      <c r="AC15" s="1101" t="s">
        <v>4591</v>
      </c>
    </row>
    <row r="16" spans="1:29" s="19" customFormat="1" ht="15" customHeight="1" x14ac:dyDescent="0.15">
      <c r="A16" s="5818">
        <v>25502201</v>
      </c>
      <c r="B16" s="7449" t="s">
        <v>2782</v>
      </c>
      <c r="C16" s="7450"/>
      <c r="D16" s="7451"/>
      <c r="E16" s="1081" t="s">
        <v>4567</v>
      </c>
      <c r="F16" s="3368" t="s">
        <v>4568</v>
      </c>
      <c r="G16" s="819" t="s">
        <v>4569</v>
      </c>
      <c r="H16" s="4612" t="s">
        <v>4570</v>
      </c>
      <c r="I16" s="819" t="s">
        <v>4571</v>
      </c>
      <c r="J16" s="4612" t="s">
        <v>4572</v>
      </c>
      <c r="K16" s="819" t="s">
        <v>4573</v>
      </c>
      <c r="L16" s="4612" t="s">
        <v>4574</v>
      </c>
      <c r="M16" s="819" t="s">
        <v>4575</v>
      </c>
      <c r="N16" s="4612" t="s">
        <v>4576</v>
      </c>
      <c r="O16" s="819" t="s">
        <v>4577</v>
      </c>
      <c r="P16" s="4612" t="s">
        <v>4578</v>
      </c>
      <c r="Q16" s="819" t="s">
        <v>4579</v>
      </c>
      <c r="R16" s="4612" t="s">
        <v>4580</v>
      </c>
      <c r="S16" s="819" t="s">
        <v>4581</v>
      </c>
      <c r="T16" s="4612" t="s">
        <v>4582</v>
      </c>
      <c r="U16" s="819" t="s">
        <v>4583</v>
      </c>
      <c r="V16" s="4612" t="s">
        <v>4584</v>
      </c>
      <c r="W16" s="819" t="s">
        <v>4585</v>
      </c>
      <c r="X16" s="4612" t="s">
        <v>4586</v>
      </c>
      <c r="Y16" s="819" t="s">
        <v>4587</v>
      </c>
      <c r="Z16" s="4612" t="s">
        <v>4588</v>
      </c>
      <c r="AA16" s="1442" t="s">
        <v>4589</v>
      </c>
      <c r="AB16" s="3694" t="s">
        <v>4590</v>
      </c>
      <c r="AC16" s="3131" t="s">
        <v>4591</v>
      </c>
    </row>
    <row r="17" spans="1:31" s="19" customFormat="1" ht="15" customHeight="1" x14ac:dyDescent="0.15">
      <c r="A17" s="5818">
        <v>25502202</v>
      </c>
      <c r="B17" s="7452" t="s">
        <v>2783</v>
      </c>
      <c r="C17" s="6324"/>
      <c r="D17" s="6325"/>
      <c r="E17" s="1264" t="s">
        <v>4567</v>
      </c>
      <c r="F17" s="3369" t="s">
        <v>4568</v>
      </c>
      <c r="G17" s="3666" t="s">
        <v>4569</v>
      </c>
      <c r="H17" s="4613" t="s">
        <v>4570</v>
      </c>
      <c r="I17" s="3666" t="s">
        <v>4571</v>
      </c>
      <c r="J17" s="4613" t="s">
        <v>4572</v>
      </c>
      <c r="K17" s="3666" t="s">
        <v>4573</v>
      </c>
      <c r="L17" s="4613" t="s">
        <v>4574</v>
      </c>
      <c r="M17" s="3666" t="s">
        <v>4575</v>
      </c>
      <c r="N17" s="4613" t="s">
        <v>4576</v>
      </c>
      <c r="O17" s="3666" t="s">
        <v>4577</v>
      </c>
      <c r="P17" s="4613" t="s">
        <v>4578</v>
      </c>
      <c r="Q17" s="3666" t="s">
        <v>4579</v>
      </c>
      <c r="R17" s="4613" t="s">
        <v>4580</v>
      </c>
      <c r="S17" s="3666" t="s">
        <v>4581</v>
      </c>
      <c r="T17" s="4613" t="s">
        <v>4582</v>
      </c>
      <c r="U17" s="3666" t="s">
        <v>4583</v>
      </c>
      <c r="V17" s="4613" t="s">
        <v>4584</v>
      </c>
      <c r="W17" s="3666" t="s">
        <v>4585</v>
      </c>
      <c r="X17" s="4613" t="s">
        <v>4586</v>
      </c>
      <c r="Y17" s="3666" t="s">
        <v>4587</v>
      </c>
      <c r="Z17" s="4613" t="s">
        <v>4588</v>
      </c>
      <c r="AA17" s="1455" t="s">
        <v>4589</v>
      </c>
      <c r="AB17" s="3369" t="s">
        <v>4590</v>
      </c>
      <c r="AC17" s="1455" t="s">
        <v>4591</v>
      </c>
    </row>
    <row r="18" spans="1:31" s="6" customFormat="1" ht="18" customHeight="1" x14ac:dyDescent="0.25">
      <c r="A18"/>
      <c r="B18" s="7323" t="s">
        <v>2784</v>
      </c>
      <c r="C18" s="7323"/>
      <c r="D18" s="7323"/>
    </row>
    <row r="19" spans="1:31" ht="15" customHeight="1" x14ac:dyDescent="0.25">
      <c r="B19" s="7222" t="s">
        <v>2775</v>
      </c>
      <c r="C19" s="7222" t="s">
        <v>2776</v>
      </c>
      <c r="D19" s="7222"/>
      <c r="E19" s="7289" t="s">
        <v>77</v>
      </c>
      <c r="F19" s="6510"/>
      <c r="G19" s="7237"/>
      <c r="H19" s="7257" t="s">
        <v>101</v>
      </c>
      <c r="I19" s="7258"/>
      <c r="J19" s="7258"/>
      <c r="K19" s="7258"/>
      <c r="L19" s="7258"/>
      <c r="M19" s="7258"/>
      <c r="N19" s="7258"/>
      <c r="O19" s="7258"/>
      <c r="P19" s="7258"/>
      <c r="Q19" s="7258"/>
      <c r="R19" s="7258"/>
      <c r="S19" s="7258"/>
      <c r="T19" s="7258"/>
      <c r="U19" s="7258"/>
      <c r="V19" s="7258"/>
      <c r="W19" s="7258"/>
      <c r="X19" s="7258"/>
      <c r="Y19" s="7258"/>
      <c r="Z19" s="7258"/>
      <c r="AA19" s="7258"/>
      <c r="AB19" s="7258"/>
      <c r="AC19" s="7258"/>
      <c r="AD19" s="7258"/>
      <c r="AE19" s="7346"/>
    </row>
    <row r="20" spans="1:31" ht="15" customHeight="1" x14ac:dyDescent="0.25">
      <c r="B20" s="7222"/>
      <c r="C20" s="7222"/>
      <c r="D20" s="7222"/>
      <c r="E20" s="7448"/>
      <c r="F20" s="6735"/>
      <c r="G20" s="6735"/>
      <c r="H20" s="7291" t="s">
        <v>2785</v>
      </c>
      <c r="I20" s="7244"/>
      <c r="J20" s="7340" t="s">
        <v>1300</v>
      </c>
      <c r="K20" s="7340"/>
      <c r="L20" s="7340" t="s">
        <v>305</v>
      </c>
      <c r="M20" s="7340"/>
      <c r="N20" s="7340" t="s">
        <v>974</v>
      </c>
      <c r="O20" s="7340"/>
      <c r="P20" s="7340" t="s">
        <v>629</v>
      </c>
      <c r="Q20" s="7340"/>
      <c r="R20" s="7340" t="s">
        <v>2057</v>
      </c>
      <c r="S20" s="7340"/>
      <c r="T20" s="7340" t="s">
        <v>630</v>
      </c>
      <c r="U20" s="7340"/>
      <c r="V20" s="7340" t="s">
        <v>2058</v>
      </c>
      <c r="W20" s="7340"/>
      <c r="X20" s="7340" t="s">
        <v>2059</v>
      </c>
      <c r="Y20" s="7340"/>
      <c r="Z20" s="7340" t="s">
        <v>1949</v>
      </c>
      <c r="AA20" s="7340"/>
      <c r="AB20" s="7340" t="s">
        <v>1583</v>
      </c>
      <c r="AC20" s="7340"/>
      <c r="AD20" s="7340" t="s">
        <v>664</v>
      </c>
      <c r="AE20" s="7340"/>
    </row>
    <row r="21" spans="1:31" ht="15" customHeight="1" x14ac:dyDescent="0.25">
      <c r="B21" s="7222"/>
      <c r="C21" s="7222"/>
      <c r="D21" s="7222"/>
      <c r="E21" s="1109" t="s">
        <v>79</v>
      </c>
      <c r="F21" s="1213" t="s">
        <v>58</v>
      </c>
      <c r="G21" s="1076" t="s">
        <v>59</v>
      </c>
      <c r="H21" s="981" t="s">
        <v>58</v>
      </c>
      <c r="I21" s="983" t="s">
        <v>59</v>
      </c>
      <c r="J21" s="981" t="s">
        <v>58</v>
      </c>
      <c r="K21" s="983" t="s">
        <v>59</v>
      </c>
      <c r="L21" s="981" t="s">
        <v>58</v>
      </c>
      <c r="M21" s="1028" t="s">
        <v>59</v>
      </c>
      <c r="N21" s="981" t="s">
        <v>58</v>
      </c>
      <c r="O21" s="983" t="s">
        <v>59</v>
      </c>
      <c r="P21" s="981" t="s">
        <v>58</v>
      </c>
      <c r="Q21" s="983" t="s">
        <v>59</v>
      </c>
      <c r="R21" s="981" t="s">
        <v>58</v>
      </c>
      <c r="S21" s="983" t="s">
        <v>59</v>
      </c>
      <c r="T21" s="981" t="s">
        <v>58</v>
      </c>
      <c r="U21" s="983" t="s">
        <v>59</v>
      </c>
      <c r="V21" s="981" t="s">
        <v>58</v>
      </c>
      <c r="W21" s="983" t="s">
        <v>59</v>
      </c>
      <c r="X21" s="981" t="s">
        <v>58</v>
      </c>
      <c r="Y21" s="983" t="s">
        <v>59</v>
      </c>
      <c r="Z21" s="981" t="s">
        <v>58</v>
      </c>
      <c r="AA21" s="983" t="s">
        <v>59</v>
      </c>
      <c r="AB21" s="981" t="s">
        <v>58</v>
      </c>
      <c r="AC21" s="983" t="s">
        <v>59</v>
      </c>
      <c r="AD21" s="981" t="s">
        <v>58</v>
      </c>
      <c r="AE21" s="983" t="s">
        <v>59</v>
      </c>
    </row>
    <row r="22" spans="1:31" ht="15" customHeight="1" x14ac:dyDescent="0.25">
      <c r="A22" s="5818">
        <v>29101388</v>
      </c>
      <c r="B22" s="7431" t="s">
        <v>2777</v>
      </c>
      <c r="C22" s="7328" t="s">
        <v>2778</v>
      </c>
      <c r="D22" s="4614" t="s">
        <v>2786</v>
      </c>
      <c r="E22" s="316" t="s">
        <v>4567</v>
      </c>
      <c r="F22" s="746" t="s">
        <v>4568</v>
      </c>
      <c r="G22" s="1080" t="s">
        <v>4569</v>
      </c>
      <c r="H22" s="290" t="s">
        <v>4570</v>
      </c>
      <c r="I22" s="622" t="s">
        <v>4571</v>
      </c>
      <c r="J22" s="290" t="s">
        <v>4572</v>
      </c>
      <c r="K22" s="622" t="s">
        <v>4573</v>
      </c>
      <c r="L22" s="1081" t="s">
        <v>4574</v>
      </c>
      <c r="M22" s="1082" t="s">
        <v>4575</v>
      </c>
      <c r="N22" s="1085" t="s">
        <v>4576</v>
      </c>
      <c r="O22" s="748" t="s">
        <v>4577</v>
      </c>
      <c r="P22" s="1085" t="s">
        <v>4578</v>
      </c>
      <c r="Q22" s="748" t="s">
        <v>4579</v>
      </c>
      <c r="R22" s="1085" t="s">
        <v>4580</v>
      </c>
      <c r="S22" s="748" t="s">
        <v>4581</v>
      </c>
      <c r="T22" s="1085" t="s">
        <v>4582</v>
      </c>
      <c r="U22" s="748" t="s">
        <v>4583</v>
      </c>
      <c r="V22" s="1085" t="s">
        <v>4584</v>
      </c>
      <c r="W22" s="748" t="s">
        <v>4585</v>
      </c>
      <c r="X22" s="1085" t="s">
        <v>4586</v>
      </c>
      <c r="Y22" s="748" t="s">
        <v>4587</v>
      </c>
      <c r="Z22" s="1085" t="s">
        <v>4588</v>
      </c>
      <c r="AA22" s="748" t="s">
        <v>4589</v>
      </c>
      <c r="AB22" s="1081" t="s">
        <v>4590</v>
      </c>
      <c r="AC22" s="748" t="s">
        <v>4591</v>
      </c>
      <c r="AD22" s="1081" t="s">
        <v>4592</v>
      </c>
      <c r="AE22" s="748" t="s">
        <v>4593</v>
      </c>
    </row>
    <row r="23" spans="1:31" ht="15" customHeight="1" x14ac:dyDescent="0.25">
      <c r="A23" s="5818">
        <v>29101389</v>
      </c>
      <c r="B23" s="7431"/>
      <c r="C23" s="7464"/>
      <c r="D23" s="1404" t="s">
        <v>2787</v>
      </c>
      <c r="E23" s="4615" t="s">
        <v>4567</v>
      </c>
      <c r="F23" s="4616" t="s">
        <v>4568</v>
      </c>
      <c r="G23" s="3346" t="s">
        <v>4569</v>
      </c>
      <c r="H23" s="1114" t="s">
        <v>4570</v>
      </c>
      <c r="I23" s="1115" t="s">
        <v>4571</v>
      </c>
      <c r="J23" s="1114" t="s">
        <v>4572</v>
      </c>
      <c r="K23" s="1115" t="s">
        <v>4573</v>
      </c>
      <c r="L23" s="1264" t="s">
        <v>4574</v>
      </c>
      <c r="M23" s="1447" t="s">
        <v>4575</v>
      </c>
      <c r="N23" s="4617" t="s">
        <v>4576</v>
      </c>
      <c r="O23" s="310" t="s">
        <v>4577</v>
      </c>
      <c r="P23" s="4617" t="s">
        <v>4578</v>
      </c>
      <c r="Q23" s="310" t="s">
        <v>4579</v>
      </c>
      <c r="R23" s="4617" t="s">
        <v>4580</v>
      </c>
      <c r="S23" s="310" t="s">
        <v>4581</v>
      </c>
      <c r="T23" s="4617" t="s">
        <v>4582</v>
      </c>
      <c r="U23" s="310" t="s">
        <v>4583</v>
      </c>
      <c r="V23" s="4617" t="s">
        <v>4584</v>
      </c>
      <c r="W23" s="310" t="s">
        <v>4585</v>
      </c>
      <c r="X23" s="4617" t="s">
        <v>4586</v>
      </c>
      <c r="Y23" s="310" t="s">
        <v>4587</v>
      </c>
      <c r="Z23" s="4617" t="s">
        <v>4588</v>
      </c>
      <c r="AA23" s="310" t="s">
        <v>4589</v>
      </c>
      <c r="AB23" s="4617" t="s">
        <v>4590</v>
      </c>
      <c r="AC23" s="310" t="s">
        <v>4591</v>
      </c>
      <c r="AD23" s="4617" t="s">
        <v>4592</v>
      </c>
      <c r="AE23" s="310" t="s">
        <v>4593</v>
      </c>
    </row>
    <row r="24" spans="1:31" ht="15" customHeight="1" x14ac:dyDescent="0.25">
      <c r="A24" s="5818">
        <v>29101390</v>
      </c>
      <c r="B24" s="7431"/>
      <c r="C24" s="7328" t="s">
        <v>2780</v>
      </c>
      <c r="D24" s="4614" t="s">
        <v>2786</v>
      </c>
      <c r="E24" s="4618" t="s">
        <v>4567</v>
      </c>
      <c r="F24" s="746" t="s">
        <v>4568</v>
      </c>
      <c r="G24" s="1080" t="s">
        <v>4569</v>
      </c>
      <c r="H24" s="1089" t="s">
        <v>4570</v>
      </c>
      <c r="I24" s="1093" t="s">
        <v>4571</v>
      </c>
      <c r="J24" s="1089" t="s">
        <v>4572</v>
      </c>
      <c r="K24" s="1093" t="s">
        <v>4573</v>
      </c>
      <c r="L24" s="1089" t="s">
        <v>4574</v>
      </c>
      <c r="M24" s="1090" t="s">
        <v>4575</v>
      </c>
      <c r="N24" s="1094" t="s">
        <v>4576</v>
      </c>
      <c r="O24" s="1093" t="s">
        <v>4577</v>
      </c>
      <c r="P24" s="1094" t="s">
        <v>4578</v>
      </c>
      <c r="Q24" s="1093" t="s">
        <v>4579</v>
      </c>
      <c r="R24" s="1094" t="s">
        <v>4580</v>
      </c>
      <c r="S24" s="1093" t="s">
        <v>4581</v>
      </c>
      <c r="T24" s="1094" t="s">
        <v>4582</v>
      </c>
      <c r="U24" s="1093" t="s">
        <v>4583</v>
      </c>
      <c r="V24" s="1094" t="s">
        <v>4584</v>
      </c>
      <c r="W24" s="1093" t="s">
        <v>4585</v>
      </c>
      <c r="X24" s="1094" t="s">
        <v>4586</v>
      </c>
      <c r="Y24" s="1093" t="s">
        <v>4587</v>
      </c>
      <c r="Z24" s="1094" t="s">
        <v>4588</v>
      </c>
      <c r="AA24" s="1093" t="s">
        <v>4589</v>
      </c>
      <c r="AB24" s="1094" t="s">
        <v>4590</v>
      </c>
      <c r="AC24" s="1093" t="s">
        <v>4591</v>
      </c>
      <c r="AD24" s="1094" t="s">
        <v>4592</v>
      </c>
      <c r="AE24" s="1093" t="s">
        <v>4593</v>
      </c>
    </row>
    <row r="25" spans="1:31" ht="15" customHeight="1" x14ac:dyDescent="0.25">
      <c r="A25" s="5818">
        <v>29101391</v>
      </c>
      <c r="B25" s="7463"/>
      <c r="C25" s="7464"/>
      <c r="D25" s="1404" t="s">
        <v>2787</v>
      </c>
      <c r="E25" s="4615" t="s">
        <v>4567</v>
      </c>
      <c r="F25" s="4616" t="s">
        <v>4568</v>
      </c>
      <c r="G25" s="3346" t="s">
        <v>4569</v>
      </c>
      <c r="H25" s="1114" t="s">
        <v>4570</v>
      </c>
      <c r="I25" s="1115" t="s">
        <v>4571</v>
      </c>
      <c r="J25" s="1114" t="s">
        <v>4572</v>
      </c>
      <c r="K25" s="1115" t="s">
        <v>4573</v>
      </c>
      <c r="L25" s="1114" t="s">
        <v>4574</v>
      </c>
      <c r="M25" s="387" t="s">
        <v>4575</v>
      </c>
      <c r="N25" s="1129" t="s">
        <v>4576</v>
      </c>
      <c r="O25" s="1115" t="s">
        <v>4577</v>
      </c>
      <c r="P25" s="1129" t="s">
        <v>4578</v>
      </c>
      <c r="Q25" s="1115" t="s">
        <v>4579</v>
      </c>
      <c r="R25" s="1129" t="s">
        <v>4580</v>
      </c>
      <c r="S25" s="1115" t="s">
        <v>4581</v>
      </c>
      <c r="T25" s="1129" t="s">
        <v>4582</v>
      </c>
      <c r="U25" s="1115" t="s">
        <v>4583</v>
      </c>
      <c r="V25" s="1129" t="s">
        <v>4584</v>
      </c>
      <c r="W25" s="1115" t="s">
        <v>4585</v>
      </c>
      <c r="X25" s="1129" t="s">
        <v>4586</v>
      </c>
      <c r="Y25" s="1115" t="s">
        <v>4587</v>
      </c>
      <c r="Z25" s="1129" t="s">
        <v>4588</v>
      </c>
      <c r="AA25" s="1115" t="s">
        <v>4589</v>
      </c>
      <c r="AB25" s="1129" t="s">
        <v>4590</v>
      </c>
      <c r="AC25" s="1115" t="s">
        <v>4591</v>
      </c>
      <c r="AD25" s="1129" t="s">
        <v>4592</v>
      </c>
      <c r="AE25" s="1115" t="s">
        <v>4593</v>
      </c>
    </row>
    <row r="26" spans="1:31" ht="15" customHeight="1" x14ac:dyDescent="0.25">
      <c r="A26" s="5818">
        <v>29101392</v>
      </c>
      <c r="B26" s="6359" t="s">
        <v>2781</v>
      </c>
      <c r="C26" s="6643"/>
      <c r="D26" s="247" t="s">
        <v>2786</v>
      </c>
      <c r="E26" s="201" t="s">
        <v>4567</v>
      </c>
      <c r="F26" s="746" t="s">
        <v>4568</v>
      </c>
      <c r="G26" s="1080" t="s">
        <v>4569</v>
      </c>
      <c r="H26" s="306" t="s">
        <v>4570</v>
      </c>
      <c r="I26" s="95" t="s">
        <v>4571</v>
      </c>
      <c r="J26" s="306" t="s">
        <v>4572</v>
      </c>
      <c r="K26" s="95" t="s">
        <v>4573</v>
      </c>
      <c r="L26" s="47" t="s">
        <v>4574</v>
      </c>
      <c r="M26" s="42" t="s">
        <v>4575</v>
      </c>
      <c r="N26" s="306" t="s">
        <v>4576</v>
      </c>
      <c r="O26" s="95" t="s">
        <v>4577</v>
      </c>
      <c r="P26" s="306" t="s">
        <v>4578</v>
      </c>
      <c r="Q26" s="95" t="s">
        <v>4579</v>
      </c>
      <c r="R26" s="306" t="s">
        <v>4580</v>
      </c>
      <c r="S26" s="95" t="s">
        <v>4581</v>
      </c>
      <c r="T26" s="306" t="s">
        <v>4582</v>
      </c>
      <c r="U26" s="95" t="s">
        <v>4583</v>
      </c>
      <c r="V26" s="306" t="s">
        <v>4584</v>
      </c>
      <c r="W26" s="95" t="s">
        <v>4585</v>
      </c>
      <c r="X26" s="306" t="s">
        <v>4586</v>
      </c>
      <c r="Y26" s="95" t="s">
        <v>4587</v>
      </c>
      <c r="Z26" s="306" t="s">
        <v>4588</v>
      </c>
      <c r="AA26" s="95" t="s">
        <v>4589</v>
      </c>
      <c r="AB26" s="306" t="s">
        <v>4590</v>
      </c>
      <c r="AC26" s="95" t="s">
        <v>4591</v>
      </c>
      <c r="AD26" s="306" t="s">
        <v>4592</v>
      </c>
      <c r="AE26" s="95" t="s">
        <v>4593</v>
      </c>
    </row>
    <row r="27" spans="1:31" ht="15" customHeight="1" x14ac:dyDescent="0.25">
      <c r="A27" s="5818">
        <v>29101393</v>
      </c>
      <c r="B27" s="7493"/>
      <c r="C27" s="7007"/>
      <c r="D27" s="4620" t="s">
        <v>2787</v>
      </c>
      <c r="E27" s="4615" t="s">
        <v>4567</v>
      </c>
      <c r="F27" s="4616" t="s">
        <v>4568</v>
      </c>
      <c r="G27" s="3346" t="s">
        <v>4569</v>
      </c>
      <c r="H27" s="1129" t="s">
        <v>4570</v>
      </c>
      <c r="I27" s="1115" t="s">
        <v>4571</v>
      </c>
      <c r="J27" s="1129" t="s">
        <v>4572</v>
      </c>
      <c r="K27" s="1115" t="s">
        <v>4573</v>
      </c>
      <c r="L27" s="1114" t="s">
        <v>4574</v>
      </c>
      <c r="M27" s="387" t="s">
        <v>4575</v>
      </c>
      <c r="N27" s="1129" t="s">
        <v>4576</v>
      </c>
      <c r="O27" s="1115" t="s">
        <v>4577</v>
      </c>
      <c r="P27" s="1129" t="s">
        <v>4578</v>
      </c>
      <c r="Q27" s="1115" t="s">
        <v>4579</v>
      </c>
      <c r="R27" s="1129" t="s">
        <v>4580</v>
      </c>
      <c r="S27" s="1115" t="s">
        <v>4581</v>
      </c>
      <c r="T27" s="1129" t="s">
        <v>4582</v>
      </c>
      <c r="U27" s="1115" t="s">
        <v>4583</v>
      </c>
      <c r="V27" s="1129" t="s">
        <v>4584</v>
      </c>
      <c r="W27" s="1115" t="s">
        <v>4585</v>
      </c>
      <c r="X27" s="1129" t="s">
        <v>4586</v>
      </c>
      <c r="Y27" s="1115" t="s">
        <v>4587</v>
      </c>
      <c r="Z27" s="1129" t="s">
        <v>4588</v>
      </c>
      <c r="AA27" s="1115" t="s">
        <v>4589</v>
      </c>
      <c r="AB27" s="1129" t="s">
        <v>4590</v>
      </c>
      <c r="AC27" s="1115" t="s">
        <v>4591</v>
      </c>
      <c r="AD27" s="1129" t="s">
        <v>4592</v>
      </c>
      <c r="AE27" s="1115" t="s">
        <v>4593</v>
      </c>
    </row>
    <row r="28" spans="1:31" ht="15" customHeight="1" x14ac:dyDescent="0.25">
      <c r="A28" s="5616"/>
      <c r="B28" s="7494" t="s">
        <v>77</v>
      </c>
      <c r="C28" s="7495"/>
      <c r="D28" s="7496"/>
      <c r="E28" s="1058">
        <f t="shared" ref="E28:AE28" si="0">SUM(E22:E27)</f>
        <v>0</v>
      </c>
      <c r="F28" s="303">
        <f t="shared" si="0"/>
        <v>0</v>
      </c>
      <c r="G28" s="4155">
        <f t="shared" si="0"/>
        <v>0</v>
      </c>
      <c r="H28" s="4601">
        <f t="shared" si="0"/>
        <v>0</v>
      </c>
      <c r="I28" s="3113">
        <f t="shared" si="0"/>
        <v>0</v>
      </c>
      <c r="J28" s="4601">
        <f t="shared" si="0"/>
        <v>0</v>
      </c>
      <c r="K28" s="3113">
        <f t="shared" si="0"/>
        <v>0</v>
      </c>
      <c r="L28" s="3109">
        <f t="shared" si="0"/>
        <v>0</v>
      </c>
      <c r="M28" s="3414">
        <f t="shared" si="0"/>
        <v>0</v>
      </c>
      <c r="N28" s="4601">
        <f t="shared" si="0"/>
        <v>0</v>
      </c>
      <c r="O28" s="3113">
        <f t="shared" si="0"/>
        <v>0</v>
      </c>
      <c r="P28" s="4601">
        <f t="shared" si="0"/>
        <v>0</v>
      </c>
      <c r="Q28" s="3113">
        <f t="shared" si="0"/>
        <v>0</v>
      </c>
      <c r="R28" s="4601">
        <f t="shared" si="0"/>
        <v>0</v>
      </c>
      <c r="S28" s="3113">
        <f t="shared" si="0"/>
        <v>0</v>
      </c>
      <c r="T28" s="4601">
        <f t="shared" si="0"/>
        <v>0</v>
      </c>
      <c r="U28" s="3113">
        <f t="shared" si="0"/>
        <v>0</v>
      </c>
      <c r="V28" s="4601">
        <f t="shared" si="0"/>
        <v>0</v>
      </c>
      <c r="W28" s="3113">
        <f t="shared" si="0"/>
        <v>0</v>
      </c>
      <c r="X28" s="4601">
        <f t="shared" si="0"/>
        <v>0</v>
      </c>
      <c r="Y28" s="3113">
        <f t="shared" si="0"/>
        <v>0</v>
      </c>
      <c r="Z28" s="4601">
        <f t="shared" si="0"/>
        <v>0</v>
      </c>
      <c r="AA28" s="3113">
        <f t="shared" si="0"/>
        <v>0</v>
      </c>
      <c r="AB28" s="4601">
        <f t="shared" si="0"/>
        <v>0</v>
      </c>
      <c r="AC28" s="3113">
        <f t="shared" si="0"/>
        <v>0</v>
      </c>
      <c r="AD28" s="4601">
        <f t="shared" si="0"/>
        <v>0</v>
      </c>
      <c r="AE28" s="3113">
        <f t="shared" si="0"/>
        <v>0</v>
      </c>
    </row>
    <row r="29" spans="1:31" s="6" customFormat="1" ht="18" customHeight="1" x14ac:dyDescent="0.2">
      <c r="B29" s="7497" t="s">
        <v>2788</v>
      </c>
      <c r="C29" s="7497"/>
      <c r="D29" s="7497"/>
      <c r="E29" s="7497"/>
      <c r="F29" s="7497"/>
      <c r="G29" s="7497"/>
    </row>
    <row r="30" spans="1:31" ht="15" customHeight="1" x14ac:dyDescent="0.25">
      <c r="B30" s="4621" t="s">
        <v>596</v>
      </c>
      <c r="C30" s="4621" t="s">
        <v>277</v>
      </c>
      <c r="D30" s="7453" t="s">
        <v>2789</v>
      </c>
      <c r="E30" s="7454"/>
      <c r="F30" s="4622" t="s">
        <v>77</v>
      </c>
      <c r="G30" s="4623" t="s">
        <v>2790</v>
      </c>
      <c r="H30" s="4624" t="s">
        <v>2781</v>
      </c>
    </row>
    <row r="31" spans="1:31" ht="15" customHeight="1" x14ac:dyDescent="0.25">
      <c r="A31" s="5818">
        <v>25501000</v>
      </c>
      <c r="B31" s="7372" t="s">
        <v>2791</v>
      </c>
      <c r="C31" s="7456" t="s">
        <v>2792</v>
      </c>
      <c r="D31" s="7457" t="s">
        <v>2793</v>
      </c>
      <c r="E31" s="7458"/>
      <c r="F31" s="1190" t="s">
        <v>4567</v>
      </c>
      <c r="G31" s="929" t="s">
        <v>4568</v>
      </c>
      <c r="H31" s="930" t="s">
        <v>4569</v>
      </c>
    </row>
    <row r="32" spans="1:31" ht="15" customHeight="1" x14ac:dyDescent="0.25">
      <c r="A32" s="5818">
        <v>25501100</v>
      </c>
      <c r="B32" s="7373"/>
      <c r="C32" s="7456"/>
      <c r="D32" s="7459" t="s">
        <v>2794</v>
      </c>
      <c r="E32" s="7460"/>
      <c r="F32" s="1194" t="s">
        <v>4567</v>
      </c>
      <c r="G32" s="940" t="s">
        <v>4568</v>
      </c>
      <c r="H32" s="941" t="s">
        <v>4569</v>
      </c>
    </row>
    <row r="33" spans="1:8" ht="15" customHeight="1" x14ac:dyDescent="0.25">
      <c r="A33" s="5818">
        <v>25501200</v>
      </c>
      <c r="B33" s="7373"/>
      <c r="C33" s="7456"/>
      <c r="D33" s="7461" t="s">
        <v>2795</v>
      </c>
      <c r="E33" s="7462"/>
      <c r="F33" s="1196" t="s">
        <v>4567</v>
      </c>
      <c r="G33" s="964" t="s">
        <v>4568</v>
      </c>
      <c r="H33" s="854" t="s">
        <v>4569</v>
      </c>
    </row>
    <row r="34" spans="1:8" ht="15" customHeight="1" x14ac:dyDescent="0.25">
      <c r="A34" s="5818">
        <v>25501300</v>
      </c>
      <c r="B34" s="7373"/>
      <c r="C34" s="7372" t="s">
        <v>2796</v>
      </c>
      <c r="D34" s="7488" t="s">
        <v>2797</v>
      </c>
      <c r="E34" s="7489"/>
      <c r="F34" s="359" t="s">
        <v>4567</v>
      </c>
      <c r="G34" s="326" t="s">
        <v>4568</v>
      </c>
      <c r="H34" s="142" t="s">
        <v>4569</v>
      </c>
    </row>
    <row r="35" spans="1:8" ht="15" customHeight="1" x14ac:dyDescent="0.25">
      <c r="A35" s="5818">
        <v>25501600</v>
      </c>
      <c r="B35" s="7373"/>
      <c r="C35" s="7455"/>
      <c r="D35" s="7461" t="s">
        <v>2798</v>
      </c>
      <c r="E35" s="7462"/>
      <c r="F35" s="1196" t="s">
        <v>4567</v>
      </c>
      <c r="G35" s="964" t="s">
        <v>4568</v>
      </c>
      <c r="H35" s="854" t="s">
        <v>4569</v>
      </c>
    </row>
    <row r="36" spans="1:8" ht="15" customHeight="1" x14ac:dyDescent="0.25">
      <c r="A36" s="5818">
        <v>25501700</v>
      </c>
      <c r="B36" s="7373"/>
      <c r="C36" s="7490" t="s">
        <v>2799</v>
      </c>
      <c r="D36" s="7488" t="s">
        <v>2800</v>
      </c>
      <c r="E36" s="7489"/>
      <c r="F36" s="359" t="s">
        <v>4567</v>
      </c>
      <c r="G36" s="326" t="s">
        <v>4568</v>
      </c>
      <c r="H36" s="142" t="s">
        <v>4569</v>
      </c>
    </row>
    <row r="37" spans="1:8" ht="15" customHeight="1" x14ac:dyDescent="0.25">
      <c r="A37" s="5818">
        <v>29101394</v>
      </c>
      <c r="B37" s="7373"/>
      <c r="C37" s="7491"/>
      <c r="D37" s="7486" t="s">
        <v>2801</v>
      </c>
      <c r="E37" s="7487"/>
      <c r="F37" s="1196" t="s">
        <v>4567</v>
      </c>
      <c r="G37" s="964" t="s">
        <v>4568</v>
      </c>
      <c r="H37" s="854" t="s">
        <v>4569</v>
      </c>
    </row>
    <row r="38" spans="1:8" ht="15" customHeight="1" x14ac:dyDescent="0.25">
      <c r="A38" s="5818">
        <v>29101395</v>
      </c>
      <c r="B38" s="7373"/>
      <c r="C38" s="7490" t="s">
        <v>2802</v>
      </c>
      <c r="D38" s="7482" t="s">
        <v>2803</v>
      </c>
      <c r="E38" s="7483"/>
      <c r="F38" s="359" t="s">
        <v>4567</v>
      </c>
      <c r="G38" s="326" t="s">
        <v>4568</v>
      </c>
      <c r="H38" s="142" t="s">
        <v>4569</v>
      </c>
    </row>
    <row r="39" spans="1:8" ht="15" customHeight="1" x14ac:dyDescent="0.25">
      <c r="A39" s="5818">
        <v>29101396</v>
      </c>
      <c r="B39" s="7373"/>
      <c r="C39" s="7492"/>
      <c r="D39" s="7484" t="s">
        <v>2804</v>
      </c>
      <c r="E39" s="7485"/>
      <c r="F39" s="1194" t="s">
        <v>4567</v>
      </c>
      <c r="G39" s="940" t="s">
        <v>4568</v>
      </c>
      <c r="H39" s="941" t="s">
        <v>4569</v>
      </c>
    </row>
    <row r="40" spans="1:8" ht="15" customHeight="1" x14ac:dyDescent="0.25">
      <c r="A40" s="5818">
        <v>29101397</v>
      </c>
      <c r="B40" s="7373"/>
      <c r="C40" s="7492"/>
      <c r="D40" s="7484" t="s">
        <v>2805</v>
      </c>
      <c r="E40" s="7485"/>
      <c r="F40" s="1194" t="s">
        <v>4567</v>
      </c>
      <c r="G40" s="940" t="s">
        <v>4568</v>
      </c>
      <c r="H40" s="941" t="s">
        <v>4569</v>
      </c>
    </row>
    <row r="41" spans="1:8" ht="15" customHeight="1" x14ac:dyDescent="0.25">
      <c r="A41" s="5818">
        <v>29101398</v>
      </c>
      <c r="B41" s="7455"/>
      <c r="C41" s="7491"/>
      <c r="D41" s="7486" t="s">
        <v>2806</v>
      </c>
      <c r="E41" s="7487"/>
      <c r="F41" s="1196" t="s">
        <v>4567</v>
      </c>
      <c r="G41" s="964" t="s">
        <v>4568</v>
      </c>
      <c r="H41" s="854" t="s">
        <v>4569</v>
      </c>
    </row>
    <row r="42" spans="1:8" ht="15" customHeight="1" x14ac:dyDescent="0.25">
      <c r="A42" s="5818">
        <v>29101399</v>
      </c>
      <c r="B42" s="7372" t="s">
        <v>2807</v>
      </c>
      <c r="C42" s="7372" t="s">
        <v>2808</v>
      </c>
      <c r="D42" s="7472" t="s">
        <v>2809</v>
      </c>
      <c r="E42" s="7474"/>
      <c r="F42" s="4626" t="s">
        <v>4567</v>
      </c>
      <c r="G42" s="4627" t="s">
        <v>4568</v>
      </c>
      <c r="H42" s="4628" t="s">
        <v>4569</v>
      </c>
    </row>
    <row r="43" spans="1:8" ht="21" x14ac:dyDescent="0.25">
      <c r="A43" s="5818">
        <v>29101400</v>
      </c>
      <c r="B43" s="7373"/>
      <c r="C43" s="7373"/>
      <c r="D43" s="7372" t="s">
        <v>2810</v>
      </c>
      <c r="E43" s="4629" t="s">
        <v>2811</v>
      </c>
      <c r="F43" s="4630" t="s">
        <v>4567</v>
      </c>
      <c r="G43" s="874" t="s">
        <v>4568</v>
      </c>
      <c r="H43" s="3416" t="s">
        <v>4569</v>
      </c>
    </row>
    <row r="44" spans="1:8" ht="31.5" x14ac:dyDescent="0.25">
      <c r="A44" s="5818">
        <v>29101401</v>
      </c>
      <c r="B44" s="7373"/>
      <c r="C44" s="7373"/>
      <c r="D44" s="7455"/>
      <c r="E44" s="4631" t="s">
        <v>2812</v>
      </c>
      <c r="F44" s="4630" t="s">
        <v>4567</v>
      </c>
      <c r="G44" s="874" t="s">
        <v>4568</v>
      </c>
      <c r="H44" s="3416" t="s">
        <v>4569</v>
      </c>
    </row>
    <row r="45" spans="1:8" ht="15" customHeight="1" x14ac:dyDescent="0.25">
      <c r="A45" s="5818">
        <v>29101402</v>
      </c>
      <c r="B45" s="7373"/>
      <c r="C45" s="7373"/>
      <c r="D45" s="7466" t="s">
        <v>2813</v>
      </c>
      <c r="E45" s="7468"/>
      <c r="F45" s="359" t="s">
        <v>4567</v>
      </c>
      <c r="G45" s="326" t="s">
        <v>4568</v>
      </c>
      <c r="H45" s="142" t="s">
        <v>4569</v>
      </c>
    </row>
    <row r="46" spans="1:8" ht="15" customHeight="1" x14ac:dyDescent="0.25">
      <c r="A46" s="5818">
        <v>29101403</v>
      </c>
      <c r="B46" s="7373"/>
      <c r="C46" s="7373"/>
      <c r="D46" s="7469" t="s">
        <v>2814</v>
      </c>
      <c r="E46" s="7471"/>
      <c r="F46" s="1194" t="s">
        <v>4567</v>
      </c>
      <c r="G46" s="940" t="s">
        <v>4568</v>
      </c>
      <c r="H46" s="941" t="s">
        <v>4569</v>
      </c>
    </row>
    <row r="47" spans="1:8" ht="15" customHeight="1" x14ac:dyDescent="0.25">
      <c r="A47" s="5818">
        <v>29101404</v>
      </c>
      <c r="B47" s="7373"/>
      <c r="C47" s="7373"/>
      <c r="D47" s="7469" t="s">
        <v>2815</v>
      </c>
      <c r="E47" s="7471"/>
      <c r="F47" s="1194" t="s">
        <v>4567</v>
      </c>
      <c r="G47" s="940" t="s">
        <v>4568</v>
      </c>
      <c r="H47" s="941" t="s">
        <v>4569</v>
      </c>
    </row>
    <row r="48" spans="1:8" ht="15" customHeight="1" x14ac:dyDescent="0.25">
      <c r="A48" s="5818">
        <v>29101405</v>
      </c>
      <c r="B48" s="7455"/>
      <c r="C48" s="7455"/>
      <c r="D48" s="7472" t="s">
        <v>2816</v>
      </c>
      <c r="E48" s="7474"/>
      <c r="F48" s="1196" t="s">
        <v>4567</v>
      </c>
      <c r="G48" s="964" t="s">
        <v>4568</v>
      </c>
      <c r="H48" s="854" t="s">
        <v>4569</v>
      </c>
    </row>
    <row r="49" spans="1:9" ht="15" customHeight="1" x14ac:dyDescent="0.25">
      <c r="A49" s="5818">
        <v>29101406</v>
      </c>
      <c r="B49" s="7372" t="s">
        <v>2817</v>
      </c>
      <c r="C49" s="7466" t="s">
        <v>2818</v>
      </c>
      <c r="D49" s="7467"/>
      <c r="E49" s="7468"/>
      <c r="F49" s="1190" t="s">
        <v>4567</v>
      </c>
      <c r="G49" s="929" t="s">
        <v>4568</v>
      </c>
      <c r="H49" s="930" t="s">
        <v>4569</v>
      </c>
    </row>
    <row r="50" spans="1:9" ht="15" customHeight="1" x14ac:dyDescent="0.25">
      <c r="A50" s="5818">
        <v>29101407</v>
      </c>
      <c r="B50" s="7373"/>
      <c r="C50" s="7469" t="s">
        <v>2819</v>
      </c>
      <c r="D50" s="7470"/>
      <c r="E50" s="7471"/>
      <c r="F50" s="1194" t="s">
        <v>4567</v>
      </c>
      <c r="G50" s="940" t="s">
        <v>4568</v>
      </c>
      <c r="H50" s="941" t="s">
        <v>4569</v>
      </c>
    </row>
    <row r="51" spans="1:9" ht="15" customHeight="1" x14ac:dyDescent="0.25">
      <c r="A51" s="5818">
        <v>29101408</v>
      </c>
      <c r="B51" s="7373"/>
      <c r="C51" s="7469" t="s">
        <v>2820</v>
      </c>
      <c r="D51" s="7470"/>
      <c r="E51" s="7471"/>
      <c r="F51" s="1194" t="s">
        <v>4567</v>
      </c>
      <c r="G51" s="940" t="s">
        <v>4568</v>
      </c>
      <c r="H51" s="941" t="s">
        <v>4569</v>
      </c>
    </row>
    <row r="52" spans="1:9" ht="15" customHeight="1" x14ac:dyDescent="0.25">
      <c r="A52" s="5818">
        <v>29101409</v>
      </c>
      <c r="B52" s="7455"/>
      <c r="C52" s="7476" t="s">
        <v>2821</v>
      </c>
      <c r="D52" s="7477"/>
      <c r="E52" s="7478"/>
      <c r="F52" s="1196" t="s">
        <v>4567</v>
      </c>
      <c r="G52" s="964" t="s">
        <v>4568</v>
      </c>
      <c r="H52" s="854" t="s">
        <v>4569</v>
      </c>
    </row>
    <row r="53" spans="1:9" ht="15" customHeight="1" x14ac:dyDescent="0.25">
      <c r="A53" s="5818">
        <v>29101410</v>
      </c>
      <c r="B53" s="7373" t="s">
        <v>2822</v>
      </c>
      <c r="C53" s="7479" t="s">
        <v>2823</v>
      </c>
      <c r="D53" s="7480"/>
      <c r="E53" s="7481"/>
      <c r="F53" s="359" t="s">
        <v>4567</v>
      </c>
      <c r="G53" s="326" t="s">
        <v>4568</v>
      </c>
      <c r="H53" s="142" t="s">
        <v>4569</v>
      </c>
    </row>
    <row r="54" spans="1:9" ht="15" customHeight="1" x14ac:dyDescent="0.25">
      <c r="A54" s="5818">
        <v>29101411</v>
      </c>
      <c r="B54" s="7455"/>
      <c r="C54" s="7476" t="s">
        <v>2824</v>
      </c>
      <c r="D54" s="7477"/>
      <c r="E54" s="7478"/>
      <c r="F54" s="1196" t="s">
        <v>4567</v>
      </c>
      <c r="G54" s="964" t="s">
        <v>4568</v>
      </c>
      <c r="H54" s="854" t="s">
        <v>4569</v>
      </c>
    </row>
    <row r="55" spans="1:9" ht="15" customHeight="1" x14ac:dyDescent="0.25">
      <c r="A55" s="5818">
        <v>29101412</v>
      </c>
      <c r="B55" s="7372" t="s">
        <v>2825</v>
      </c>
      <c r="C55" s="7466" t="s">
        <v>2826</v>
      </c>
      <c r="D55" s="7467"/>
      <c r="E55" s="7468"/>
      <c r="F55" s="359" t="s">
        <v>4567</v>
      </c>
      <c r="G55" s="326" t="s">
        <v>4568</v>
      </c>
      <c r="H55" s="142" t="s">
        <v>4569</v>
      </c>
    </row>
    <row r="56" spans="1:9" ht="15" customHeight="1" x14ac:dyDescent="0.25">
      <c r="A56" s="5818">
        <v>29101413</v>
      </c>
      <c r="B56" s="7373"/>
      <c r="C56" s="7469" t="s">
        <v>2827</v>
      </c>
      <c r="D56" s="7470"/>
      <c r="E56" s="7471"/>
      <c r="F56" s="1194" t="s">
        <v>4567</v>
      </c>
      <c r="G56" s="940" t="s">
        <v>4568</v>
      </c>
      <c r="H56" s="941" t="s">
        <v>4569</v>
      </c>
    </row>
    <row r="57" spans="1:9" ht="15" customHeight="1" x14ac:dyDescent="0.25">
      <c r="A57" s="5818">
        <v>29101414</v>
      </c>
      <c r="B57" s="7373"/>
      <c r="C57" s="7469" t="s">
        <v>2828</v>
      </c>
      <c r="D57" s="7470"/>
      <c r="E57" s="7471"/>
      <c r="F57" s="1194" t="s">
        <v>4567</v>
      </c>
      <c r="G57" s="940" t="s">
        <v>4568</v>
      </c>
      <c r="H57" s="941" t="s">
        <v>4569</v>
      </c>
    </row>
    <row r="58" spans="1:9" ht="15" customHeight="1" x14ac:dyDescent="0.25">
      <c r="A58" s="5818">
        <v>29101415</v>
      </c>
      <c r="B58" s="7373"/>
      <c r="C58" s="7469" t="s">
        <v>2829</v>
      </c>
      <c r="D58" s="7470"/>
      <c r="E58" s="7471"/>
      <c r="F58" s="1194" t="s">
        <v>4567</v>
      </c>
      <c r="G58" s="940" t="s">
        <v>4568</v>
      </c>
      <c r="H58" s="941" t="s">
        <v>4569</v>
      </c>
    </row>
    <row r="59" spans="1:9" ht="15" customHeight="1" x14ac:dyDescent="0.25">
      <c r="A59" s="5818">
        <v>29101416</v>
      </c>
      <c r="B59" s="7373"/>
      <c r="C59" s="7469" t="s">
        <v>2830</v>
      </c>
      <c r="D59" s="7470"/>
      <c r="E59" s="7471"/>
      <c r="F59" s="1194" t="s">
        <v>4567</v>
      </c>
      <c r="G59" s="940" t="s">
        <v>4568</v>
      </c>
      <c r="H59" s="941" t="s">
        <v>4569</v>
      </c>
    </row>
    <row r="60" spans="1:9" ht="15" customHeight="1" x14ac:dyDescent="0.25">
      <c r="A60" s="5818">
        <v>29101417</v>
      </c>
      <c r="B60" s="7455"/>
      <c r="C60" s="7472" t="s">
        <v>2831</v>
      </c>
      <c r="D60" s="7473"/>
      <c r="E60" s="7474"/>
      <c r="F60" s="1196" t="s">
        <v>4567</v>
      </c>
      <c r="G60" s="964" t="s">
        <v>4568</v>
      </c>
      <c r="H60" s="854" t="s">
        <v>4569</v>
      </c>
    </row>
    <row r="61" spans="1:9" ht="15" customHeight="1" x14ac:dyDescent="0.25">
      <c r="A61" s="5818">
        <v>29101418</v>
      </c>
      <c r="B61" s="4625" t="s">
        <v>2832</v>
      </c>
      <c r="C61" s="7412" t="s">
        <v>2833</v>
      </c>
      <c r="D61" s="7475"/>
      <c r="E61" s="7413"/>
      <c r="F61" s="4626" t="s">
        <v>4567</v>
      </c>
      <c r="G61" s="4627" t="s">
        <v>4568</v>
      </c>
      <c r="H61" s="4628" t="s">
        <v>4569</v>
      </c>
    </row>
    <row r="62" spans="1:9" s="6" customFormat="1" ht="18" customHeight="1" x14ac:dyDescent="0.2">
      <c r="B62" s="7465" t="s">
        <v>2834</v>
      </c>
      <c r="C62" s="7465"/>
      <c r="D62" s="7465"/>
      <c r="E62" s="7465"/>
      <c r="F62" s="4632"/>
      <c r="G62" s="4632"/>
      <c r="H62" s="4632"/>
      <c r="I62" s="4632"/>
    </row>
    <row r="63" spans="1:9" ht="15" customHeight="1" x14ac:dyDescent="0.25">
      <c r="B63" s="4568" t="s">
        <v>2835</v>
      </c>
      <c r="C63" s="4633" t="s">
        <v>77</v>
      </c>
    </row>
    <row r="64" spans="1:9" ht="15" customHeight="1" x14ac:dyDescent="0.25">
      <c r="A64" s="5818">
        <v>25100700</v>
      </c>
      <c r="B64" s="1202" t="s">
        <v>2836</v>
      </c>
      <c r="C64" s="4348" t="s">
        <v>4567</v>
      </c>
    </row>
    <row r="65" spans="1:4" ht="15" customHeight="1" x14ac:dyDescent="0.25">
      <c r="A65" s="5818">
        <v>25100800</v>
      </c>
      <c r="B65" s="1199" t="s">
        <v>2837</v>
      </c>
      <c r="C65" s="4506" t="s">
        <v>4567</v>
      </c>
    </row>
    <row r="66" spans="1:4" ht="15" customHeight="1" x14ac:dyDescent="0.25">
      <c r="A66" s="5863"/>
      <c r="B66" s="4606" t="s">
        <v>77</v>
      </c>
      <c r="C66" s="4634" t="e">
        <f>SUM(C64+C65)</f>
        <v>#VALUE!</v>
      </c>
    </row>
    <row r="67" spans="1:4" s="6" customFormat="1" ht="18" customHeight="1" x14ac:dyDescent="0.2">
      <c r="B67" s="7333" t="s">
        <v>2838</v>
      </c>
      <c r="C67" s="7333"/>
      <c r="D67" s="7333"/>
    </row>
    <row r="68" spans="1:4" s="19" customFormat="1" ht="15" customHeight="1" x14ac:dyDescent="0.15">
      <c r="B68" s="1107" t="s">
        <v>2839</v>
      </c>
      <c r="C68" s="1767" t="s">
        <v>2776</v>
      </c>
      <c r="D68" s="1107" t="s">
        <v>77</v>
      </c>
    </row>
    <row r="69" spans="1:4" s="19" customFormat="1" ht="15" customHeight="1" x14ac:dyDescent="0.15">
      <c r="A69" s="5818">
        <v>25400080</v>
      </c>
      <c r="B69" s="7328" t="s">
        <v>2840</v>
      </c>
      <c r="C69" s="1202" t="s">
        <v>2841</v>
      </c>
      <c r="D69" s="4348" t="s">
        <v>4567</v>
      </c>
    </row>
    <row r="70" spans="1:4" s="19" customFormat="1" ht="15" customHeight="1" x14ac:dyDescent="0.15">
      <c r="A70" s="5818">
        <v>25400090</v>
      </c>
      <c r="B70" s="6112"/>
      <c r="C70" s="4516" t="s">
        <v>2842</v>
      </c>
      <c r="D70" s="4505" t="s">
        <v>4567</v>
      </c>
    </row>
    <row r="71" spans="1:4" s="19" customFormat="1" ht="15" customHeight="1" x14ac:dyDescent="0.15">
      <c r="A71" s="5818">
        <v>25400100</v>
      </c>
      <c r="B71" s="6112"/>
      <c r="C71" s="1198" t="s">
        <v>2843</v>
      </c>
      <c r="D71" s="3363" t="s">
        <v>4567</v>
      </c>
    </row>
    <row r="72" spans="1:4" s="19" customFormat="1" ht="15" customHeight="1" x14ac:dyDescent="0.15">
      <c r="A72" s="5818">
        <v>29101419</v>
      </c>
      <c r="B72" s="6112"/>
      <c r="C72" s="1198" t="s">
        <v>2844</v>
      </c>
      <c r="D72" s="3363" t="s">
        <v>4567</v>
      </c>
    </row>
    <row r="73" spans="1:4" s="19" customFormat="1" ht="15" customHeight="1" x14ac:dyDescent="0.15">
      <c r="A73" s="5818">
        <v>25400110</v>
      </c>
      <c r="B73" s="7328" t="s">
        <v>2845</v>
      </c>
      <c r="C73" s="1202" t="s">
        <v>2846</v>
      </c>
      <c r="D73" s="4348" t="s">
        <v>4567</v>
      </c>
    </row>
    <row r="74" spans="1:4" s="19" customFormat="1" ht="15" customHeight="1" x14ac:dyDescent="0.15">
      <c r="A74" s="5818">
        <v>25400122</v>
      </c>
      <c r="B74" s="6112"/>
      <c r="C74" s="4516" t="s">
        <v>2847</v>
      </c>
      <c r="D74" s="4505" t="s">
        <v>4567</v>
      </c>
    </row>
    <row r="75" spans="1:4" s="19" customFormat="1" ht="15" customHeight="1" x14ac:dyDescent="0.15">
      <c r="A75" s="5818">
        <v>25400124</v>
      </c>
      <c r="B75" s="6112"/>
      <c r="C75" s="1198" t="s">
        <v>2848</v>
      </c>
      <c r="D75" s="4505" t="s">
        <v>4567</v>
      </c>
    </row>
    <row r="76" spans="1:4" s="19" customFormat="1" ht="15" customHeight="1" x14ac:dyDescent="0.15">
      <c r="A76" s="5818">
        <v>25400130</v>
      </c>
      <c r="B76" s="6112"/>
      <c r="C76" s="1198" t="s">
        <v>2844</v>
      </c>
      <c r="D76" s="3363" t="s">
        <v>4567</v>
      </c>
    </row>
    <row r="77" spans="1:4" s="19" customFormat="1" ht="15" customHeight="1" x14ac:dyDescent="0.15">
      <c r="A77" s="5818">
        <v>29101421</v>
      </c>
      <c r="B77" s="7464"/>
      <c r="C77" s="1198" t="s">
        <v>2843</v>
      </c>
      <c r="D77" s="3363" t="s">
        <v>4567</v>
      </c>
    </row>
    <row r="78" spans="1:4" ht="31.5" x14ac:dyDescent="0.25">
      <c r="A78" s="5818">
        <v>25400140</v>
      </c>
      <c r="B78" s="7328" t="s">
        <v>2849</v>
      </c>
      <c r="C78" s="4635" t="s">
        <v>2850</v>
      </c>
      <c r="D78" s="4348" t="s">
        <v>4567</v>
      </c>
    </row>
    <row r="79" spans="1:4" ht="21" x14ac:dyDescent="0.25">
      <c r="A79" s="5818">
        <v>25400150</v>
      </c>
      <c r="B79" s="6112"/>
      <c r="C79" s="1198" t="s">
        <v>2851</v>
      </c>
      <c r="D79" s="4505" t="s">
        <v>4567</v>
      </c>
    </row>
    <row r="80" spans="1:4" s="19" customFormat="1" ht="15" customHeight="1" x14ac:dyDescent="0.15">
      <c r="A80" s="5818">
        <v>29101422</v>
      </c>
      <c r="B80" s="7464"/>
      <c r="C80" s="3576" t="s">
        <v>2844</v>
      </c>
      <c r="D80" s="4636" t="s">
        <v>4567</v>
      </c>
    </row>
    <row r="81" spans="1:13" s="19" customFormat="1" ht="15" customHeight="1" x14ac:dyDescent="0.15">
      <c r="A81" s="5818">
        <v>25400160</v>
      </c>
      <c r="B81" s="7505" t="s">
        <v>2852</v>
      </c>
      <c r="C81" s="7506"/>
      <c r="D81" s="4636" t="s">
        <v>4567</v>
      </c>
    </row>
    <row r="82" spans="1:13" s="6" customFormat="1" ht="18" customHeight="1" x14ac:dyDescent="0.2">
      <c r="B82" s="7498" t="s">
        <v>2853</v>
      </c>
      <c r="C82" s="7498"/>
      <c r="D82" s="7498"/>
      <c r="E82" s="7498"/>
      <c r="F82" s="7498"/>
      <c r="G82" s="7498"/>
      <c r="H82" s="7498"/>
      <c r="I82" s="7498"/>
      <c r="J82" s="4632"/>
    </row>
    <row r="83" spans="1:13" ht="15" customHeight="1" x14ac:dyDescent="0.25">
      <c r="B83" s="7242" t="s">
        <v>2854</v>
      </c>
      <c r="C83" s="7242"/>
      <c r="D83" s="7507" t="s">
        <v>2855</v>
      </c>
      <c r="E83" s="7499" t="s">
        <v>2856</v>
      </c>
      <c r="F83" s="7501" t="s">
        <v>2845</v>
      </c>
      <c r="G83" s="7502"/>
      <c r="H83" s="7502"/>
      <c r="I83" s="7502" t="s">
        <v>2852</v>
      </c>
    </row>
    <row r="84" spans="1:13" ht="15" customHeight="1" x14ac:dyDescent="0.25">
      <c r="B84" s="7242"/>
      <c r="C84" s="7242"/>
      <c r="D84" s="7508"/>
      <c r="E84" s="7500"/>
      <c r="F84" s="4638" t="s">
        <v>2846</v>
      </c>
      <c r="G84" s="4639" t="s">
        <v>2857</v>
      </c>
      <c r="H84" s="4637" t="s">
        <v>2844</v>
      </c>
      <c r="I84" s="7501"/>
    </row>
    <row r="85" spans="1:13" ht="15" customHeight="1" x14ac:dyDescent="0.25">
      <c r="A85" s="5818">
        <v>25400170</v>
      </c>
      <c r="B85" s="7503" t="s">
        <v>2858</v>
      </c>
      <c r="C85" s="7504"/>
      <c r="D85" s="4640" t="s">
        <v>4567</v>
      </c>
      <c r="E85" s="4641" t="s">
        <v>4568</v>
      </c>
      <c r="F85" s="4640" t="s">
        <v>4569</v>
      </c>
      <c r="G85" s="3478" t="s">
        <v>4570</v>
      </c>
      <c r="H85" s="4641" t="s">
        <v>4571</v>
      </c>
      <c r="I85" s="4641" t="s">
        <v>4572</v>
      </c>
    </row>
    <row r="86" spans="1:13" ht="15" customHeight="1" x14ac:dyDescent="0.25">
      <c r="A86" s="5818">
        <v>25400190</v>
      </c>
      <c r="B86" s="7341" t="s">
        <v>2859</v>
      </c>
      <c r="C86" s="7342"/>
      <c r="D86" s="4642" t="s">
        <v>4567</v>
      </c>
      <c r="E86" s="4643" t="s">
        <v>4568</v>
      </c>
      <c r="F86" s="4642" t="s">
        <v>4569</v>
      </c>
      <c r="G86" s="4644" t="s">
        <v>4570</v>
      </c>
      <c r="H86" s="4643" t="s">
        <v>4571</v>
      </c>
      <c r="I86" s="4643" t="s">
        <v>4572</v>
      </c>
    </row>
    <row r="87" spans="1:13" ht="15" customHeight="1" x14ac:dyDescent="0.25">
      <c r="A87" s="5818">
        <v>29101423</v>
      </c>
      <c r="B87" s="7341" t="s">
        <v>2860</v>
      </c>
      <c r="C87" s="7342"/>
      <c r="D87" s="3534" t="s">
        <v>4567</v>
      </c>
      <c r="E87" s="3535" t="s">
        <v>4568</v>
      </c>
      <c r="F87" s="3534" t="s">
        <v>4569</v>
      </c>
      <c r="G87" s="3542" t="s">
        <v>4570</v>
      </c>
      <c r="H87" s="3535" t="s">
        <v>4571</v>
      </c>
      <c r="I87" s="3535" t="s">
        <v>4572</v>
      </c>
    </row>
    <row r="88" spans="1:13" ht="15" customHeight="1" x14ac:dyDescent="0.25">
      <c r="A88" s="5818">
        <v>29101424</v>
      </c>
      <c r="B88" s="7341" t="s">
        <v>2861</v>
      </c>
      <c r="C88" s="7342"/>
      <c r="D88" s="3534" t="s">
        <v>4567</v>
      </c>
      <c r="E88" s="3535" t="s">
        <v>4568</v>
      </c>
      <c r="F88" s="3534" t="s">
        <v>4569</v>
      </c>
      <c r="G88" s="3542" t="s">
        <v>4570</v>
      </c>
      <c r="H88" s="3535" t="s">
        <v>4571</v>
      </c>
      <c r="I88" s="3535" t="s">
        <v>4572</v>
      </c>
    </row>
    <row r="89" spans="1:13" ht="15" customHeight="1" x14ac:dyDescent="0.25">
      <c r="A89" s="5818">
        <v>25505000</v>
      </c>
      <c r="B89" s="7452" t="s">
        <v>591</v>
      </c>
      <c r="C89" s="6325"/>
      <c r="D89" s="192" t="s">
        <v>4567</v>
      </c>
      <c r="E89" s="2" t="s">
        <v>4568</v>
      </c>
      <c r="F89" s="1114" t="s">
        <v>4569</v>
      </c>
      <c r="G89" s="1258" t="s">
        <v>4570</v>
      </c>
      <c r="H89" s="2" t="s">
        <v>4571</v>
      </c>
      <c r="I89" s="2" t="s">
        <v>4572</v>
      </c>
    </row>
    <row r="90" spans="1:13" ht="15" customHeight="1" x14ac:dyDescent="0.25">
      <c r="A90" s="5863"/>
      <c r="B90" s="7509" t="s">
        <v>77</v>
      </c>
      <c r="C90" s="7509"/>
      <c r="D90" s="1100">
        <f t="shared" ref="D90:I90" si="1">SUM(D85:D89)</f>
        <v>0</v>
      </c>
      <c r="E90" s="4645">
        <f t="shared" si="1"/>
        <v>0</v>
      </c>
      <c r="F90" s="1100">
        <f t="shared" si="1"/>
        <v>0</v>
      </c>
      <c r="G90" s="1116">
        <f t="shared" si="1"/>
        <v>0</v>
      </c>
      <c r="H90" s="4645">
        <f t="shared" si="1"/>
        <v>0</v>
      </c>
      <c r="I90" s="1069">
        <f t="shared" si="1"/>
        <v>0</v>
      </c>
    </row>
    <row r="91" spans="1:13" ht="15" customHeight="1" x14ac:dyDescent="0.25">
      <c r="B91" s="3221" t="s">
        <v>2862</v>
      </c>
    </row>
    <row r="92" spans="1:13" s="6" customFormat="1" ht="18" customHeight="1" x14ac:dyDescent="0.2">
      <c r="B92" s="7498" t="s">
        <v>2863</v>
      </c>
      <c r="C92" s="7498"/>
      <c r="D92" s="7498"/>
      <c r="E92" s="7498"/>
      <c r="F92" s="7498"/>
      <c r="G92" s="7498"/>
      <c r="H92" s="7498"/>
      <c r="I92" s="7498"/>
      <c r="J92" s="4632"/>
      <c r="K92" s="4632"/>
      <c r="L92" s="4632"/>
      <c r="M92" s="4632"/>
    </row>
    <row r="93" spans="1:13" ht="15" customHeight="1" x14ac:dyDescent="0.25">
      <c r="B93" s="7242" t="s">
        <v>2854</v>
      </c>
      <c r="C93" s="7242"/>
      <c r="D93" s="7507" t="s">
        <v>2855</v>
      </c>
      <c r="E93" s="7499" t="s">
        <v>2856</v>
      </c>
      <c r="F93" s="7501" t="s">
        <v>2845</v>
      </c>
      <c r="G93" s="7502"/>
      <c r="H93" s="7502"/>
      <c r="I93" s="7502" t="s">
        <v>2852</v>
      </c>
    </row>
    <row r="94" spans="1:13" ht="15" customHeight="1" x14ac:dyDescent="0.25">
      <c r="B94" s="7242"/>
      <c r="C94" s="7242"/>
      <c r="D94" s="7508"/>
      <c r="E94" s="7500"/>
      <c r="F94" s="4638" t="s">
        <v>2846</v>
      </c>
      <c r="G94" s="4639" t="s">
        <v>2857</v>
      </c>
      <c r="H94" s="4637" t="s">
        <v>2844</v>
      </c>
      <c r="I94" s="7501"/>
    </row>
    <row r="95" spans="1:13" ht="15" customHeight="1" x14ac:dyDescent="0.25">
      <c r="A95" s="5818" t="s">
        <v>6028</v>
      </c>
      <c r="B95" s="7503" t="s">
        <v>2859</v>
      </c>
      <c r="C95" s="7504"/>
      <c r="D95" s="4640" t="s">
        <v>4567</v>
      </c>
      <c r="E95" s="4641" t="s">
        <v>4568</v>
      </c>
      <c r="F95" s="4646" t="s">
        <v>4569</v>
      </c>
      <c r="G95" s="3478" t="s">
        <v>4570</v>
      </c>
      <c r="H95" s="3472" t="s">
        <v>4571</v>
      </c>
      <c r="I95" s="4641" t="s">
        <v>4572</v>
      </c>
    </row>
    <row r="96" spans="1:13" ht="15" customHeight="1" x14ac:dyDescent="0.25">
      <c r="A96" s="5818">
        <v>25502300</v>
      </c>
      <c r="B96" s="7341" t="s">
        <v>2864</v>
      </c>
      <c r="C96" s="7342"/>
      <c r="D96" s="1089" t="s">
        <v>4567</v>
      </c>
      <c r="E96" s="1090" t="s">
        <v>4568</v>
      </c>
      <c r="F96" s="1091" t="s">
        <v>4569</v>
      </c>
      <c r="G96" s="1253" t="s">
        <v>4570</v>
      </c>
      <c r="H96" s="1093" t="s">
        <v>4571</v>
      </c>
      <c r="I96" s="1090" t="s">
        <v>4572</v>
      </c>
    </row>
    <row r="97" spans="1:10" ht="15" customHeight="1" x14ac:dyDescent="0.25">
      <c r="A97" s="5818">
        <v>25502400</v>
      </c>
      <c r="B97" s="7510" t="s">
        <v>2865</v>
      </c>
      <c r="C97" s="7511"/>
      <c r="D97" s="1089" t="s">
        <v>4567</v>
      </c>
      <c r="E97" s="1090" t="s">
        <v>4568</v>
      </c>
      <c r="F97" s="1091" t="s">
        <v>4569</v>
      </c>
      <c r="G97" s="1253" t="s">
        <v>4570</v>
      </c>
      <c r="H97" s="1093" t="s">
        <v>4571</v>
      </c>
      <c r="I97" s="1090" t="s">
        <v>4572</v>
      </c>
    </row>
    <row r="98" spans="1:10" ht="15" customHeight="1" x14ac:dyDescent="0.25">
      <c r="A98" s="5818">
        <v>25502500</v>
      </c>
      <c r="B98" s="7341" t="s">
        <v>2866</v>
      </c>
      <c r="C98" s="7342"/>
      <c r="D98" s="1089" t="s">
        <v>4567</v>
      </c>
      <c r="E98" s="1090" t="s">
        <v>4568</v>
      </c>
      <c r="F98" s="1091" t="s">
        <v>4569</v>
      </c>
      <c r="G98" s="1253" t="s">
        <v>4570</v>
      </c>
      <c r="H98" s="1093" t="s">
        <v>4571</v>
      </c>
      <c r="I98" s="1090" t="s">
        <v>4572</v>
      </c>
    </row>
    <row r="99" spans="1:10" ht="15" customHeight="1" x14ac:dyDescent="0.25">
      <c r="A99" s="5818">
        <v>25502600</v>
      </c>
      <c r="B99" s="7512" t="s">
        <v>591</v>
      </c>
      <c r="C99" s="7031"/>
      <c r="D99" s="192" t="s">
        <v>4567</v>
      </c>
      <c r="E99" s="387" t="s">
        <v>4568</v>
      </c>
      <c r="F99" s="1127" t="s">
        <v>4569</v>
      </c>
      <c r="G99" s="1258" t="s">
        <v>4570</v>
      </c>
      <c r="H99" s="1115" t="s">
        <v>4571</v>
      </c>
      <c r="I99" s="2" t="s">
        <v>4572</v>
      </c>
    </row>
    <row r="100" spans="1:10" ht="15" customHeight="1" x14ac:dyDescent="0.25">
      <c r="A100" s="5863"/>
      <c r="B100" s="7509" t="s">
        <v>77</v>
      </c>
      <c r="C100" s="7509"/>
      <c r="D100" s="1100">
        <f t="shared" ref="D100:I100" si="2">SUM(D95:D99)</f>
        <v>0</v>
      </c>
      <c r="E100" s="1101">
        <f t="shared" si="2"/>
        <v>0</v>
      </c>
      <c r="F100" s="1100">
        <f t="shared" si="2"/>
        <v>0</v>
      </c>
      <c r="G100" s="1102">
        <f t="shared" si="2"/>
        <v>0</v>
      </c>
      <c r="H100" s="1101">
        <f t="shared" si="2"/>
        <v>0</v>
      </c>
      <c r="I100" s="1101">
        <f t="shared" si="2"/>
        <v>0</v>
      </c>
    </row>
    <row r="101" spans="1:10" ht="15" customHeight="1" x14ac:dyDescent="0.25">
      <c r="B101" s="3221" t="s">
        <v>2862</v>
      </c>
    </row>
    <row r="102" spans="1:10" ht="18" customHeight="1" x14ac:dyDescent="0.25">
      <c r="B102" s="7498" t="s">
        <v>2867</v>
      </c>
      <c r="C102" s="7498"/>
      <c r="D102" s="7498"/>
      <c r="E102" s="7498"/>
      <c r="F102" s="7498"/>
      <c r="G102" s="7498"/>
      <c r="H102" s="7498"/>
      <c r="I102" s="7498"/>
      <c r="J102" s="7498"/>
    </row>
    <row r="103" spans="1:10" ht="42" x14ac:dyDescent="0.25">
      <c r="B103" s="7334" t="s">
        <v>2319</v>
      </c>
      <c r="C103" s="7335"/>
      <c r="D103" s="4647" t="s">
        <v>77</v>
      </c>
      <c r="E103" s="4638" t="s">
        <v>2868</v>
      </c>
      <c r="F103" s="4639" t="s">
        <v>2869</v>
      </c>
      <c r="G103" s="4639" t="s">
        <v>2870</v>
      </c>
      <c r="H103" s="4639" t="s">
        <v>2871</v>
      </c>
      <c r="I103" s="4648" t="s">
        <v>2872</v>
      </c>
      <c r="J103" s="4624" t="s">
        <v>2873</v>
      </c>
    </row>
    <row r="104" spans="1:10" s="19" customFormat="1" ht="15" customHeight="1" x14ac:dyDescent="0.15">
      <c r="A104" s="5818">
        <v>25502700</v>
      </c>
      <c r="B104" s="7414" t="s">
        <v>2874</v>
      </c>
      <c r="C104" s="7415"/>
      <c r="D104" s="4649" t="s">
        <v>4567</v>
      </c>
      <c r="E104" s="4650" t="s">
        <v>4568</v>
      </c>
      <c r="F104" s="4651" t="s">
        <v>4569</v>
      </c>
      <c r="G104" s="4651" t="s">
        <v>4570</v>
      </c>
      <c r="H104" s="4651" t="s">
        <v>4571</v>
      </c>
      <c r="I104" s="4651" t="s">
        <v>4572</v>
      </c>
      <c r="J104" s="3506" t="s">
        <v>4573</v>
      </c>
    </row>
    <row r="105" spans="1:10" s="19" customFormat="1" ht="15" customHeight="1" x14ac:dyDescent="0.15">
      <c r="A105" s="5818">
        <v>25502800</v>
      </c>
      <c r="B105" s="7328" t="s">
        <v>2845</v>
      </c>
      <c r="C105" s="1167" t="s">
        <v>2846</v>
      </c>
      <c r="D105" s="1257" t="s">
        <v>4567</v>
      </c>
      <c r="E105" s="3481" t="s">
        <v>4568</v>
      </c>
      <c r="F105" s="3492" t="s">
        <v>4569</v>
      </c>
      <c r="G105" s="3492" t="s">
        <v>4570</v>
      </c>
      <c r="H105" s="3492" t="s">
        <v>4571</v>
      </c>
      <c r="I105" s="3492" t="s">
        <v>4572</v>
      </c>
      <c r="J105" s="3482" t="s">
        <v>4573</v>
      </c>
    </row>
    <row r="106" spans="1:10" s="19" customFormat="1" ht="15" customHeight="1" x14ac:dyDescent="0.15">
      <c r="A106" s="5818">
        <v>25502900</v>
      </c>
      <c r="B106" s="6112"/>
      <c r="C106" s="1169" t="s">
        <v>2857</v>
      </c>
      <c r="D106" s="1218" t="s">
        <v>4567</v>
      </c>
      <c r="E106" s="4642" t="s">
        <v>4568</v>
      </c>
      <c r="F106" s="4644" t="s">
        <v>4569</v>
      </c>
      <c r="G106" s="4644" t="s">
        <v>4570</v>
      </c>
      <c r="H106" s="4644" t="s">
        <v>4571</v>
      </c>
      <c r="I106" s="4644" t="s">
        <v>4572</v>
      </c>
      <c r="J106" s="3482" t="s">
        <v>4573</v>
      </c>
    </row>
    <row r="107" spans="1:10" s="19" customFormat="1" ht="15" customHeight="1" x14ac:dyDescent="0.15">
      <c r="A107" s="5818">
        <v>25503000</v>
      </c>
      <c r="B107" s="7464"/>
      <c r="C107" s="1171" t="s">
        <v>2844</v>
      </c>
      <c r="D107" s="1225" t="s">
        <v>4567</v>
      </c>
      <c r="E107" s="4652" t="s">
        <v>4568</v>
      </c>
      <c r="F107" s="4653" t="s">
        <v>4569</v>
      </c>
      <c r="G107" s="4653" t="s">
        <v>4570</v>
      </c>
      <c r="H107" s="4653" t="s">
        <v>4571</v>
      </c>
      <c r="I107" s="4653" t="s">
        <v>4572</v>
      </c>
      <c r="J107" s="3544" t="s">
        <v>4573</v>
      </c>
    </row>
    <row r="108" spans="1:10" s="19" customFormat="1" ht="15" customHeight="1" x14ac:dyDescent="0.15">
      <c r="A108" s="5818">
        <v>25503100</v>
      </c>
      <c r="B108" s="7503" t="s">
        <v>2856</v>
      </c>
      <c r="C108" s="7504"/>
      <c r="D108" s="1257" t="s">
        <v>4567</v>
      </c>
      <c r="E108" s="3481" t="s">
        <v>4568</v>
      </c>
      <c r="F108" s="3492" t="s">
        <v>4569</v>
      </c>
      <c r="G108" s="3492" t="s">
        <v>4570</v>
      </c>
      <c r="H108" s="3492" t="s">
        <v>4571</v>
      </c>
      <c r="I108" s="3492" t="s">
        <v>4572</v>
      </c>
      <c r="J108" s="4654" t="s">
        <v>4573</v>
      </c>
    </row>
    <row r="109" spans="1:10" s="19" customFormat="1" ht="15" customHeight="1" x14ac:dyDescent="0.15">
      <c r="A109" s="5818">
        <v>25503200</v>
      </c>
      <c r="B109" s="7516" t="s">
        <v>2852</v>
      </c>
      <c r="C109" s="7517"/>
      <c r="D109" s="4655" t="s">
        <v>4567</v>
      </c>
      <c r="E109" s="1114" t="s">
        <v>4568</v>
      </c>
      <c r="F109" s="1258" t="s">
        <v>4569</v>
      </c>
      <c r="G109" s="1258" t="s">
        <v>4570</v>
      </c>
      <c r="H109" s="1258" t="s">
        <v>4571</v>
      </c>
      <c r="I109" s="1258" t="s">
        <v>4572</v>
      </c>
      <c r="J109" s="4656" t="s">
        <v>4573</v>
      </c>
    </row>
    <row r="110" spans="1:10" ht="15" customHeight="1" x14ac:dyDescent="0.25">
      <c r="B110" s="3221" t="s">
        <v>2862</v>
      </c>
    </row>
    <row r="111" spans="1:10" s="6" customFormat="1" ht="18" customHeight="1" x14ac:dyDescent="0.2">
      <c r="B111" s="7515" t="s">
        <v>2875</v>
      </c>
      <c r="C111" s="7515"/>
      <c r="D111" s="7515"/>
      <c r="E111" s="7515"/>
      <c r="F111" s="7515"/>
      <c r="G111" s="7515"/>
      <c r="H111" s="7515"/>
      <c r="I111" s="7515"/>
      <c r="J111" s="7515"/>
    </row>
    <row r="112" spans="1:10" ht="42" x14ac:dyDescent="0.25">
      <c r="B112" s="7334" t="s">
        <v>2319</v>
      </c>
      <c r="C112" s="7335"/>
      <c r="D112" s="4647" t="s">
        <v>77</v>
      </c>
      <c r="E112" s="4638" t="s">
        <v>2868</v>
      </c>
      <c r="F112" s="4639" t="s">
        <v>2869</v>
      </c>
      <c r="G112" s="4639" t="s">
        <v>2870</v>
      </c>
      <c r="H112" s="4639" t="s">
        <v>2871</v>
      </c>
      <c r="I112" s="4648" t="s">
        <v>2872</v>
      </c>
      <c r="J112" s="4624" t="s">
        <v>2876</v>
      </c>
    </row>
    <row r="113" spans="1:10" ht="15" customHeight="1" x14ac:dyDescent="0.25">
      <c r="A113" s="5818">
        <v>25503300</v>
      </c>
      <c r="B113" s="7414" t="s">
        <v>2874</v>
      </c>
      <c r="C113" s="7415"/>
      <c r="D113" s="4649" t="s">
        <v>4567</v>
      </c>
      <c r="E113" s="4650" t="s">
        <v>4568</v>
      </c>
      <c r="F113" s="4651" t="s">
        <v>4569</v>
      </c>
      <c r="G113" s="4651" t="s">
        <v>4570</v>
      </c>
      <c r="H113" s="4651" t="s">
        <v>4571</v>
      </c>
      <c r="I113" s="4651" t="s">
        <v>4572</v>
      </c>
      <c r="J113" s="4657" t="s">
        <v>4573</v>
      </c>
    </row>
    <row r="114" spans="1:10" ht="15" customHeight="1" x14ac:dyDescent="0.25">
      <c r="A114" s="5818">
        <v>25503400</v>
      </c>
      <c r="B114" s="7328" t="s">
        <v>2845</v>
      </c>
      <c r="C114" s="1167" t="s">
        <v>2846</v>
      </c>
      <c r="D114" s="1257" t="s">
        <v>4567</v>
      </c>
      <c r="E114" s="3481" t="s">
        <v>4568</v>
      </c>
      <c r="F114" s="3492" t="s">
        <v>4569</v>
      </c>
      <c r="G114" s="3492" t="s">
        <v>4570</v>
      </c>
      <c r="H114" s="3492" t="s">
        <v>4571</v>
      </c>
      <c r="I114" s="3492" t="s">
        <v>4572</v>
      </c>
      <c r="J114" s="3482" t="s">
        <v>4573</v>
      </c>
    </row>
    <row r="115" spans="1:10" ht="15" customHeight="1" x14ac:dyDescent="0.25">
      <c r="A115" s="5818">
        <v>25503500</v>
      </c>
      <c r="B115" s="6112"/>
      <c r="C115" s="1169" t="s">
        <v>2857</v>
      </c>
      <c r="D115" s="1218" t="s">
        <v>4567</v>
      </c>
      <c r="E115" s="3481" t="s">
        <v>4568</v>
      </c>
      <c r="F115" s="3492" t="s">
        <v>4569</v>
      </c>
      <c r="G115" s="3492" t="s">
        <v>4570</v>
      </c>
      <c r="H115" s="3492" t="s">
        <v>4571</v>
      </c>
      <c r="I115" s="3492" t="s">
        <v>4572</v>
      </c>
      <c r="J115" s="3482" t="s">
        <v>4573</v>
      </c>
    </row>
    <row r="116" spans="1:10" ht="15" customHeight="1" x14ac:dyDescent="0.25">
      <c r="A116" s="5818">
        <v>25503600</v>
      </c>
      <c r="B116" s="7464"/>
      <c r="C116" s="1171" t="s">
        <v>2844</v>
      </c>
      <c r="D116" s="1225" t="s">
        <v>4567</v>
      </c>
      <c r="E116" s="4652" t="s">
        <v>4568</v>
      </c>
      <c r="F116" s="4653" t="s">
        <v>4569</v>
      </c>
      <c r="G116" s="4653" t="s">
        <v>4570</v>
      </c>
      <c r="H116" s="4653" t="s">
        <v>4571</v>
      </c>
      <c r="I116" s="4653" t="s">
        <v>4572</v>
      </c>
      <c r="J116" s="3544" t="s">
        <v>4573</v>
      </c>
    </row>
    <row r="117" spans="1:10" ht="15" customHeight="1" x14ac:dyDescent="0.25">
      <c r="A117" s="5818">
        <v>25503700</v>
      </c>
      <c r="B117" s="7503" t="s">
        <v>2856</v>
      </c>
      <c r="C117" s="7504"/>
      <c r="D117" s="1257" t="s">
        <v>4567</v>
      </c>
      <c r="E117" s="3481" t="s">
        <v>4568</v>
      </c>
      <c r="F117" s="3492" t="s">
        <v>4569</v>
      </c>
      <c r="G117" s="3492" t="s">
        <v>4570</v>
      </c>
      <c r="H117" s="3492" t="s">
        <v>4571</v>
      </c>
      <c r="I117" s="3492" t="s">
        <v>4572</v>
      </c>
      <c r="J117" s="3482" t="s">
        <v>4573</v>
      </c>
    </row>
    <row r="118" spans="1:10" ht="15" customHeight="1" x14ac:dyDescent="0.25">
      <c r="A118" s="5818">
        <v>25503800</v>
      </c>
      <c r="B118" s="7516" t="s">
        <v>2852</v>
      </c>
      <c r="C118" s="7517"/>
      <c r="D118" s="4655" t="s">
        <v>4567</v>
      </c>
      <c r="E118" s="4652" t="s">
        <v>4568</v>
      </c>
      <c r="F118" s="4653" t="s">
        <v>4569</v>
      </c>
      <c r="G118" s="4653" t="s">
        <v>4570</v>
      </c>
      <c r="H118" s="4653" t="s">
        <v>4571</v>
      </c>
      <c r="I118" s="4653" t="s">
        <v>4572</v>
      </c>
      <c r="J118" s="3544" t="s">
        <v>4573</v>
      </c>
    </row>
    <row r="119" spans="1:10" ht="15" customHeight="1" x14ac:dyDescent="0.25">
      <c r="B119" s="3221" t="s">
        <v>2862</v>
      </c>
    </row>
    <row r="120" spans="1:10" s="6" customFormat="1" ht="18" customHeight="1" x14ac:dyDescent="0.2">
      <c r="B120" s="7514" t="s">
        <v>2877</v>
      </c>
      <c r="C120" s="7514"/>
      <c r="D120" s="4658"/>
      <c r="E120" s="4658"/>
      <c r="F120" s="4658"/>
    </row>
    <row r="121" spans="1:10" ht="21" x14ac:dyDescent="0.25">
      <c r="B121" s="4341" t="s">
        <v>2878</v>
      </c>
      <c r="C121" s="4341" t="s">
        <v>2879</v>
      </c>
    </row>
    <row r="122" spans="1:10" ht="15" customHeight="1" x14ac:dyDescent="0.25">
      <c r="A122" s="5818">
        <v>25503900</v>
      </c>
      <c r="B122" s="1169" t="s">
        <v>2880</v>
      </c>
      <c r="C122" s="4659" t="s">
        <v>4567</v>
      </c>
    </row>
    <row r="123" spans="1:10" ht="15" customHeight="1" x14ac:dyDescent="0.25">
      <c r="A123" s="5818">
        <v>25504000</v>
      </c>
      <c r="B123" s="1169" t="s">
        <v>2881</v>
      </c>
      <c r="C123" s="4660" t="s">
        <v>4567</v>
      </c>
    </row>
    <row r="124" spans="1:10" ht="15" customHeight="1" x14ac:dyDescent="0.25">
      <c r="A124" s="5818">
        <v>25504100</v>
      </c>
      <c r="B124" s="1169" t="s">
        <v>2882</v>
      </c>
      <c r="C124" s="4660" t="s">
        <v>4567</v>
      </c>
    </row>
    <row r="125" spans="1:10" ht="15" customHeight="1" x14ac:dyDescent="0.25">
      <c r="A125" s="5818">
        <v>25504200</v>
      </c>
      <c r="B125" s="1169" t="s">
        <v>2883</v>
      </c>
      <c r="C125" s="4660" t="s">
        <v>4567</v>
      </c>
    </row>
    <row r="126" spans="1:10" ht="15" customHeight="1" x14ac:dyDescent="0.25">
      <c r="A126" s="5818">
        <v>25504300</v>
      </c>
      <c r="B126" s="1171" t="s">
        <v>2884</v>
      </c>
      <c r="C126" s="4661" t="s">
        <v>4567</v>
      </c>
    </row>
    <row r="127" spans="1:10" s="6" customFormat="1" ht="18" customHeight="1" x14ac:dyDescent="0.25">
      <c r="A127"/>
      <c r="B127" s="7513" t="s">
        <v>2885</v>
      </c>
      <c r="C127" s="7513"/>
      <c r="D127" s="4662"/>
      <c r="E127" s="4662"/>
    </row>
    <row r="128" spans="1:10" ht="21" x14ac:dyDescent="0.25">
      <c r="B128" s="4341" t="s">
        <v>2878</v>
      </c>
      <c r="C128" s="4341" t="s">
        <v>2886</v>
      </c>
    </row>
    <row r="129" spans="1:10" x14ac:dyDescent="0.25">
      <c r="A129" s="5818">
        <v>25504400</v>
      </c>
      <c r="B129" s="1169" t="s">
        <v>2880</v>
      </c>
      <c r="C129" s="4659" t="s">
        <v>4567</v>
      </c>
    </row>
    <row r="130" spans="1:10" x14ac:dyDescent="0.25">
      <c r="A130" s="5818">
        <v>25504500</v>
      </c>
      <c r="B130" s="1169" t="s">
        <v>2881</v>
      </c>
      <c r="C130" s="4660" t="s">
        <v>4567</v>
      </c>
    </row>
    <row r="131" spans="1:10" x14ac:dyDescent="0.25">
      <c r="A131" s="5818">
        <v>25504600</v>
      </c>
      <c r="B131" s="1169" t="s">
        <v>2882</v>
      </c>
      <c r="C131" s="4660" t="s">
        <v>4567</v>
      </c>
    </row>
    <row r="132" spans="1:10" x14ac:dyDescent="0.25">
      <c r="A132" s="5818">
        <v>25504700</v>
      </c>
      <c r="B132" s="1169" t="s">
        <v>2883</v>
      </c>
      <c r="C132" s="4660" t="s">
        <v>4567</v>
      </c>
    </row>
    <row r="133" spans="1:10" x14ac:dyDescent="0.25">
      <c r="A133" s="5818">
        <v>25504800</v>
      </c>
      <c r="B133" s="1171" t="s">
        <v>2884</v>
      </c>
      <c r="C133" s="4661" t="s">
        <v>4567</v>
      </c>
    </row>
    <row r="134" spans="1:10" s="6" customFormat="1" ht="18" customHeight="1" x14ac:dyDescent="0.2">
      <c r="B134" s="4663" t="s">
        <v>2887</v>
      </c>
    </row>
    <row r="135" spans="1:10" x14ac:dyDescent="0.25">
      <c r="B135" s="7334" t="s">
        <v>2776</v>
      </c>
      <c r="C135" s="7335"/>
      <c r="D135" s="4647" t="s">
        <v>77</v>
      </c>
      <c r="E135" s="4638" t="s">
        <v>2888</v>
      </c>
      <c r="F135" s="4639" t="s">
        <v>2889</v>
      </c>
      <c r="G135" s="4637" t="s">
        <v>2890</v>
      </c>
    </row>
    <row r="136" spans="1:10" x14ac:dyDescent="0.25">
      <c r="A136" s="5818">
        <v>25400270</v>
      </c>
      <c r="B136" s="7414" t="s">
        <v>2874</v>
      </c>
      <c r="C136" s="7415"/>
      <c r="D136" s="4664" t="s">
        <v>4567</v>
      </c>
      <c r="E136" s="4665" t="s">
        <v>4568</v>
      </c>
      <c r="F136" s="4666" t="s">
        <v>4569</v>
      </c>
      <c r="G136" s="4667" t="s">
        <v>4570</v>
      </c>
    </row>
    <row r="137" spans="1:10" x14ac:dyDescent="0.25">
      <c r="A137" s="5818">
        <v>25400280</v>
      </c>
      <c r="B137" s="7328" t="s">
        <v>2845</v>
      </c>
      <c r="C137" s="1167" t="s">
        <v>2846</v>
      </c>
      <c r="D137" s="4668" t="s">
        <v>4567</v>
      </c>
      <c r="E137" s="4640" t="s">
        <v>4568</v>
      </c>
      <c r="F137" s="3478" t="s">
        <v>4569</v>
      </c>
      <c r="G137" s="4641" t="s">
        <v>4570</v>
      </c>
    </row>
    <row r="138" spans="1:10" x14ac:dyDescent="0.25">
      <c r="A138" s="5818">
        <v>25400290</v>
      </c>
      <c r="B138" s="6112"/>
      <c r="C138" s="1169" t="s">
        <v>2857</v>
      </c>
      <c r="D138" s="4669" t="s">
        <v>4567</v>
      </c>
      <c r="E138" s="1089" t="s">
        <v>4568</v>
      </c>
      <c r="F138" s="1253" t="s">
        <v>4569</v>
      </c>
      <c r="G138" s="1090" t="s">
        <v>4570</v>
      </c>
    </row>
    <row r="139" spans="1:10" x14ac:dyDescent="0.25">
      <c r="A139" s="5818">
        <v>25400300</v>
      </c>
      <c r="B139" s="7464"/>
      <c r="C139" s="1171" t="s">
        <v>2844</v>
      </c>
      <c r="D139" s="1263" t="s">
        <v>4567</v>
      </c>
      <c r="E139" s="1114" t="s">
        <v>4568</v>
      </c>
      <c r="F139" s="1258" t="s">
        <v>4569</v>
      </c>
      <c r="G139" s="387" t="s">
        <v>4570</v>
      </c>
    </row>
    <row r="140" spans="1:10" x14ac:dyDescent="0.25">
      <c r="A140" s="5818">
        <v>25400322</v>
      </c>
      <c r="B140" s="7503" t="s">
        <v>2856</v>
      </c>
      <c r="C140" s="7504"/>
      <c r="D140" s="1882" t="s">
        <v>4567</v>
      </c>
      <c r="E140" s="290" t="s">
        <v>4568</v>
      </c>
      <c r="F140" s="531" t="s">
        <v>4569</v>
      </c>
      <c r="G140" s="107" t="s">
        <v>4570</v>
      </c>
    </row>
    <row r="141" spans="1:10" x14ac:dyDescent="0.25">
      <c r="A141" s="5818">
        <v>25400330</v>
      </c>
      <c r="B141" s="7516" t="s">
        <v>2852</v>
      </c>
      <c r="C141" s="7517"/>
      <c r="D141" s="1263" t="s">
        <v>4567</v>
      </c>
      <c r="E141" s="1114" t="s">
        <v>4568</v>
      </c>
      <c r="F141" s="1258" t="s">
        <v>4569</v>
      </c>
      <c r="G141" s="387" t="s">
        <v>4570</v>
      </c>
    </row>
    <row r="142" spans="1:10" x14ac:dyDescent="0.25">
      <c r="B142" s="3221" t="s">
        <v>2862</v>
      </c>
      <c r="C142" s="3638"/>
      <c r="D142" s="4670"/>
      <c r="E142" s="4670"/>
      <c r="F142" s="1838"/>
      <c r="G142" s="7"/>
    </row>
    <row r="143" spans="1:10" x14ac:dyDescent="0.25">
      <c r="B143" s="3221" t="s">
        <v>2891</v>
      </c>
      <c r="C143" s="4567"/>
      <c r="D143" s="4670"/>
      <c r="E143" s="4670"/>
      <c r="F143" s="4670"/>
      <c r="G143" s="4670"/>
    </row>
    <row r="144" spans="1:10" s="6" customFormat="1" ht="18" customHeight="1" x14ac:dyDescent="0.2">
      <c r="B144" s="7179" t="s">
        <v>2892</v>
      </c>
      <c r="C144" s="7179"/>
      <c r="D144" s="7179"/>
      <c r="E144" s="7179"/>
      <c r="F144" s="7179"/>
      <c r="G144" s="7179"/>
      <c r="H144" s="7179"/>
      <c r="I144" s="7179"/>
      <c r="J144" s="1"/>
    </row>
    <row r="145" spans="1:10" x14ac:dyDescent="0.25">
      <c r="B145" s="7289" t="s">
        <v>2893</v>
      </c>
      <c r="C145" s="7237"/>
      <c r="D145" s="7257" t="s">
        <v>2894</v>
      </c>
      <c r="E145" s="7258"/>
      <c r="F145" s="7346"/>
      <c r="G145" s="7257" t="s">
        <v>1202</v>
      </c>
      <c r="H145" s="7258"/>
      <c r="I145" s="7346"/>
    </row>
    <row r="146" spans="1:10" x14ac:dyDescent="0.25">
      <c r="B146" s="7448"/>
      <c r="C146" s="6955"/>
      <c r="D146" s="1109" t="s">
        <v>2846</v>
      </c>
      <c r="E146" s="1213" t="s">
        <v>2895</v>
      </c>
      <c r="F146" s="1067" t="s">
        <v>2876</v>
      </c>
      <c r="G146" s="1109" t="s">
        <v>2846</v>
      </c>
      <c r="H146" s="1213" t="s">
        <v>2895</v>
      </c>
      <c r="I146" s="1067" t="s">
        <v>2876</v>
      </c>
    </row>
    <row r="147" spans="1:10" x14ac:dyDescent="0.25">
      <c r="A147" s="5818">
        <v>25200500</v>
      </c>
      <c r="B147" s="7414" t="s">
        <v>2840</v>
      </c>
      <c r="C147" s="7415"/>
      <c r="D147" s="4671" t="s">
        <v>4567</v>
      </c>
      <c r="E147" s="802" t="s">
        <v>4568</v>
      </c>
      <c r="F147" s="4672" t="s">
        <v>4569</v>
      </c>
      <c r="G147" s="4671" t="s">
        <v>4570</v>
      </c>
      <c r="H147" s="802" t="s">
        <v>4571</v>
      </c>
      <c r="I147" s="4672" t="s">
        <v>4572</v>
      </c>
    </row>
    <row r="148" spans="1:10" x14ac:dyDescent="0.25">
      <c r="A148" s="5818">
        <v>25200600</v>
      </c>
      <c r="B148" s="7328" t="s">
        <v>2845</v>
      </c>
      <c r="C148" s="1167" t="s">
        <v>2846</v>
      </c>
      <c r="D148" s="4671" t="s">
        <v>4567</v>
      </c>
      <c r="E148" s="802" t="s">
        <v>4568</v>
      </c>
      <c r="F148" s="4672" t="s">
        <v>4569</v>
      </c>
      <c r="G148" s="4671" t="s">
        <v>4570</v>
      </c>
      <c r="H148" s="802" t="s">
        <v>4571</v>
      </c>
      <c r="I148" s="4672" t="s">
        <v>4572</v>
      </c>
    </row>
    <row r="149" spans="1:10" x14ac:dyDescent="0.25">
      <c r="A149" s="5818">
        <v>25400340</v>
      </c>
      <c r="B149" s="6112"/>
      <c r="C149" s="1169" t="s">
        <v>2896</v>
      </c>
      <c r="D149" s="4673" t="s">
        <v>4567</v>
      </c>
      <c r="E149" s="4674" t="s">
        <v>4568</v>
      </c>
      <c r="F149" s="4675" t="s">
        <v>4569</v>
      </c>
      <c r="G149" s="4673" t="s">
        <v>4570</v>
      </c>
      <c r="H149" s="4674" t="s">
        <v>4571</v>
      </c>
      <c r="I149" s="4675" t="s">
        <v>4572</v>
      </c>
    </row>
    <row r="150" spans="1:10" x14ac:dyDescent="0.25">
      <c r="A150" s="5818">
        <v>25400350</v>
      </c>
      <c r="B150" s="7464"/>
      <c r="C150" s="1171" t="s">
        <v>2844</v>
      </c>
      <c r="D150" s="4676" t="s">
        <v>4567</v>
      </c>
      <c r="E150" s="4677" t="s">
        <v>4568</v>
      </c>
      <c r="F150" s="815" t="s">
        <v>4569</v>
      </c>
      <c r="G150" s="4676" t="s">
        <v>4570</v>
      </c>
      <c r="H150" s="4677" t="s">
        <v>4571</v>
      </c>
      <c r="I150" s="815" t="s">
        <v>4572</v>
      </c>
    </row>
    <row r="151" spans="1:10" x14ac:dyDescent="0.25">
      <c r="A151" s="5818">
        <v>25400362</v>
      </c>
      <c r="B151" s="7503" t="s">
        <v>2849</v>
      </c>
      <c r="C151" s="7504"/>
      <c r="D151" s="1081" t="s">
        <v>4567</v>
      </c>
      <c r="E151" s="3645" t="s">
        <v>4568</v>
      </c>
      <c r="F151" s="4678" t="s">
        <v>4569</v>
      </c>
      <c r="G151" s="1081" t="s">
        <v>4570</v>
      </c>
      <c r="H151" s="3645" t="s">
        <v>4571</v>
      </c>
      <c r="I151" s="4678" t="s">
        <v>4572</v>
      </c>
    </row>
    <row r="152" spans="1:10" x14ac:dyDescent="0.25">
      <c r="A152" s="5818">
        <v>25200700</v>
      </c>
      <c r="B152" s="7516" t="s">
        <v>2852</v>
      </c>
      <c r="C152" s="7517"/>
      <c r="D152" s="1264" t="s">
        <v>4567</v>
      </c>
      <c r="E152" s="293" t="s">
        <v>4568</v>
      </c>
      <c r="F152" s="3589" t="s">
        <v>4569</v>
      </c>
      <c r="G152" s="1264" t="s">
        <v>4570</v>
      </c>
      <c r="H152" s="293" t="s">
        <v>4571</v>
      </c>
      <c r="I152" s="3589" t="s">
        <v>4572</v>
      </c>
    </row>
    <row r="153" spans="1:10" x14ac:dyDescent="0.25">
      <c r="A153" s="5863"/>
      <c r="B153" s="7292" t="s">
        <v>77</v>
      </c>
      <c r="C153" s="7293"/>
      <c r="D153" s="1100">
        <f>SUM(D147:D152)</f>
        <v>0</v>
      </c>
      <c r="E153" s="1116">
        <f>SUM(E147:E150)</f>
        <v>0</v>
      </c>
      <c r="F153" s="1101">
        <f>SUM(F147:F150)</f>
        <v>0</v>
      </c>
      <c r="G153" s="973">
        <f>SUM(G147:G152)</f>
        <v>0</v>
      </c>
      <c r="H153" s="980">
        <f>SUM(H147:H150)</f>
        <v>0</v>
      </c>
      <c r="I153" s="974">
        <f>SUM(I147:I150)</f>
        <v>0</v>
      </c>
    </row>
    <row r="154" spans="1:10" s="6" customFormat="1" ht="18" customHeight="1" x14ac:dyDescent="0.2">
      <c r="B154" s="7519" t="s">
        <v>2897</v>
      </c>
      <c r="C154" s="7519"/>
      <c r="D154" s="7519"/>
    </row>
    <row r="155" spans="1:10" ht="15" customHeight="1" x14ac:dyDescent="0.25">
      <c r="B155" s="7289" t="s">
        <v>277</v>
      </c>
      <c r="C155" s="7518"/>
      <c r="D155" s="1107" t="s">
        <v>77</v>
      </c>
    </row>
    <row r="156" spans="1:10" ht="15" customHeight="1" x14ac:dyDescent="0.25">
      <c r="A156" s="5818">
        <v>25200900</v>
      </c>
      <c r="B156" s="7328" t="s">
        <v>2898</v>
      </c>
      <c r="C156" s="4679" t="s">
        <v>2899</v>
      </c>
      <c r="D156" s="4680" t="s">
        <v>4567</v>
      </c>
    </row>
    <row r="157" spans="1:10" ht="15" customHeight="1" x14ac:dyDescent="0.25">
      <c r="A157" s="5818">
        <v>25300100</v>
      </c>
      <c r="B157" s="7464"/>
      <c r="C157" s="4681" t="s">
        <v>2900</v>
      </c>
      <c r="D157" s="4682" t="s">
        <v>4567</v>
      </c>
    </row>
    <row r="158" spans="1:10" s="6" customFormat="1" ht="18" customHeight="1" x14ac:dyDescent="0.2">
      <c r="B158" s="6743" t="s">
        <v>2901</v>
      </c>
      <c r="C158" s="6743"/>
      <c r="D158" s="6743"/>
      <c r="E158" s="6743"/>
      <c r="F158" s="6743"/>
      <c r="G158" s="6743"/>
      <c r="H158" s="7333"/>
      <c r="I158" s="7333"/>
      <c r="J158" s="7333"/>
    </row>
    <row r="159" spans="1:10" ht="21" customHeight="1" x14ac:dyDescent="0.25">
      <c r="B159" s="4683" t="s">
        <v>2902</v>
      </c>
      <c r="C159" s="4683" t="s">
        <v>2903</v>
      </c>
      <c r="D159" s="7327" t="s">
        <v>277</v>
      </c>
      <c r="E159" s="6761"/>
      <c r="F159" s="7319"/>
      <c r="G159" s="1212" t="s">
        <v>77</v>
      </c>
      <c r="H159" s="1208" t="s">
        <v>2840</v>
      </c>
      <c r="I159" s="1209" t="s">
        <v>2904</v>
      </c>
      <c r="J159" s="1210" t="s">
        <v>2845</v>
      </c>
    </row>
    <row r="160" spans="1:10" x14ac:dyDescent="0.25">
      <c r="A160" s="5818">
        <v>29101425</v>
      </c>
      <c r="B160" s="7520" t="s">
        <v>2905</v>
      </c>
      <c r="C160" s="7520" t="s">
        <v>2906</v>
      </c>
      <c r="D160" s="7521" t="s">
        <v>2907</v>
      </c>
      <c r="E160" s="7522"/>
      <c r="F160" s="7523"/>
      <c r="G160" s="392" t="s">
        <v>4567</v>
      </c>
      <c r="H160" s="3774" t="s">
        <v>4568</v>
      </c>
      <c r="I160" s="2656" t="s">
        <v>4569</v>
      </c>
      <c r="J160" s="2657" t="s">
        <v>4570</v>
      </c>
    </row>
    <row r="161" spans="1:10" x14ac:dyDescent="0.25">
      <c r="A161" s="5818">
        <v>25400390</v>
      </c>
      <c r="B161" s="7520"/>
      <c r="C161" s="7520"/>
      <c r="D161" s="7524" t="s">
        <v>2908</v>
      </c>
      <c r="E161" s="7525"/>
      <c r="F161" s="7526"/>
      <c r="G161" s="1161" t="s">
        <v>4567</v>
      </c>
      <c r="H161" s="4673" t="s">
        <v>4568</v>
      </c>
      <c r="I161" s="4674" t="s">
        <v>4569</v>
      </c>
      <c r="J161" s="4675" t="s">
        <v>4570</v>
      </c>
    </row>
    <row r="162" spans="1:10" x14ac:dyDescent="0.25">
      <c r="A162" s="5818">
        <v>29101426</v>
      </c>
      <c r="B162" s="7520"/>
      <c r="C162" s="7520"/>
      <c r="D162" s="7524" t="s">
        <v>2822</v>
      </c>
      <c r="E162" s="7525"/>
      <c r="F162" s="7526"/>
      <c r="G162" s="1161" t="s">
        <v>4567</v>
      </c>
      <c r="H162" s="4673" t="s">
        <v>4568</v>
      </c>
      <c r="I162" s="4674" t="s">
        <v>4569</v>
      </c>
      <c r="J162" s="4675" t="s">
        <v>4570</v>
      </c>
    </row>
    <row r="163" spans="1:10" x14ac:dyDescent="0.25">
      <c r="A163" s="5818">
        <v>25400380</v>
      </c>
      <c r="B163" s="7520"/>
      <c r="C163" s="7520"/>
      <c r="D163" s="7524" t="s">
        <v>2909</v>
      </c>
      <c r="E163" s="7525"/>
      <c r="F163" s="7526"/>
      <c r="G163" s="1161" t="s">
        <v>4567</v>
      </c>
      <c r="H163" s="4673" t="s">
        <v>4568</v>
      </c>
      <c r="I163" s="4674" t="s">
        <v>4569</v>
      </c>
      <c r="J163" s="4675" t="s">
        <v>4570</v>
      </c>
    </row>
    <row r="164" spans="1:10" x14ac:dyDescent="0.25">
      <c r="A164" s="5818">
        <v>25400450</v>
      </c>
      <c r="B164" s="7520"/>
      <c r="C164" s="7520"/>
      <c r="D164" s="7524" t="s">
        <v>2910</v>
      </c>
      <c r="E164" s="7525"/>
      <c r="F164" s="7526"/>
      <c r="G164" s="1161" t="s">
        <v>4567</v>
      </c>
      <c r="H164" s="4673" t="s">
        <v>4568</v>
      </c>
      <c r="I164" s="4674" t="s">
        <v>4569</v>
      </c>
      <c r="J164" s="4675" t="s">
        <v>4570</v>
      </c>
    </row>
    <row r="165" spans="1:10" x14ac:dyDescent="0.25">
      <c r="A165" s="5818">
        <v>29101427</v>
      </c>
      <c r="B165" s="7520"/>
      <c r="C165" s="7520"/>
      <c r="D165" s="7524" t="s">
        <v>2911</v>
      </c>
      <c r="E165" s="7525"/>
      <c r="F165" s="7526"/>
      <c r="G165" s="1161" t="s">
        <v>4567</v>
      </c>
      <c r="H165" s="4673" t="s">
        <v>4568</v>
      </c>
      <c r="I165" s="4674" t="s">
        <v>4569</v>
      </c>
      <c r="J165" s="4675" t="s">
        <v>4570</v>
      </c>
    </row>
    <row r="166" spans="1:10" x14ac:dyDescent="0.25">
      <c r="A166" s="5818">
        <v>25400400</v>
      </c>
      <c r="B166" s="7520"/>
      <c r="C166" s="7520"/>
      <c r="D166" s="7524" t="s">
        <v>2912</v>
      </c>
      <c r="E166" s="7525"/>
      <c r="F166" s="7526"/>
      <c r="G166" s="1161" t="s">
        <v>4567</v>
      </c>
      <c r="H166" s="4673" t="s">
        <v>4568</v>
      </c>
      <c r="I166" s="4674" t="s">
        <v>4569</v>
      </c>
      <c r="J166" s="4675" t="s">
        <v>4570</v>
      </c>
    </row>
    <row r="167" spans="1:10" x14ac:dyDescent="0.25">
      <c r="A167" s="5818">
        <v>25400410</v>
      </c>
      <c r="B167" s="7520"/>
      <c r="C167" s="7520"/>
      <c r="D167" s="7527" t="s">
        <v>2913</v>
      </c>
      <c r="E167" s="7528"/>
      <c r="F167" s="7529"/>
      <c r="G167" s="1369" t="s">
        <v>4567</v>
      </c>
      <c r="H167" s="4676" t="s">
        <v>4568</v>
      </c>
      <c r="I167" s="4677" t="s">
        <v>4569</v>
      </c>
      <c r="J167" s="815" t="s">
        <v>4570</v>
      </c>
    </row>
    <row r="168" spans="1:10" x14ac:dyDescent="0.25">
      <c r="A168" s="5818">
        <v>29101428</v>
      </c>
      <c r="B168" s="7520"/>
      <c r="C168" s="7530" t="s">
        <v>2914</v>
      </c>
      <c r="D168" s="7521" t="s">
        <v>2915</v>
      </c>
      <c r="E168" s="7522"/>
      <c r="F168" s="7523"/>
      <c r="G168" s="392" t="s">
        <v>4567</v>
      </c>
      <c r="H168" s="3774" t="s">
        <v>4568</v>
      </c>
      <c r="I168" s="2656" t="s">
        <v>4569</v>
      </c>
      <c r="J168" s="2657" t="s">
        <v>4570</v>
      </c>
    </row>
    <row r="169" spans="1:10" x14ac:dyDescent="0.25">
      <c r="A169" s="5818">
        <v>25400420</v>
      </c>
      <c r="B169" s="7520"/>
      <c r="C169" s="7530"/>
      <c r="D169" s="7524" t="s">
        <v>2916</v>
      </c>
      <c r="E169" s="7525"/>
      <c r="F169" s="7526"/>
      <c r="G169" s="392" t="s">
        <v>4567</v>
      </c>
      <c r="H169" s="4673" t="s">
        <v>4568</v>
      </c>
      <c r="I169" s="4674" t="s">
        <v>4569</v>
      </c>
      <c r="J169" s="4675" t="s">
        <v>4570</v>
      </c>
    </row>
    <row r="170" spans="1:10" x14ac:dyDescent="0.25">
      <c r="A170" s="5818">
        <v>29101429</v>
      </c>
      <c r="B170" s="7520"/>
      <c r="C170" s="7530"/>
      <c r="D170" s="7527" t="s">
        <v>2917</v>
      </c>
      <c r="E170" s="7528"/>
      <c r="F170" s="7529"/>
      <c r="G170" s="217" t="s">
        <v>4567</v>
      </c>
      <c r="H170" s="4676" t="s">
        <v>4568</v>
      </c>
      <c r="I170" s="4677" t="s">
        <v>4569</v>
      </c>
      <c r="J170" s="815" t="s">
        <v>4570</v>
      </c>
    </row>
    <row r="171" spans="1:10" x14ac:dyDescent="0.25">
      <c r="A171" s="5818">
        <v>25400430</v>
      </c>
      <c r="B171" s="7520" t="s">
        <v>2918</v>
      </c>
      <c r="C171" s="7530" t="s">
        <v>2906</v>
      </c>
      <c r="D171" s="7521" t="s">
        <v>2919</v>
      </c>
      <c r="E171" s="7522"/>
      <c r="F171" s="7523"/>
      <c r="G171" s="1362" t="s">
        <v>4567</v>
      </c>
      <c r="H171" s="3774" t="s">
        <v>4568</v>
      </c>
      <c r="I171" s="2656" t="s">
        <v>4569</v>
      </c>
      <c r="J171" s="2657" t="s">
        <v>4570</v>
      </c>
    </row>
    <row r="172" spans="1:10" x14ac:dyDescent="0.25">
      <c r="A172" s="5818">
        <v>29101430</v>
      </c>
      <c r="B172" s="7520"/>
      <c r="C172" s="7530"/>
      <c r="D172" s="7524" t="s">
        <v>2920</v>
      </c>
      <c r="E172" s="7525"/>
      <c r="F172" s="7526"/>
      <c r="G172" s="392" t="s">
        <v>4567</v>
      </c>
      <c r="H172" s="4673" t="s">
        <v>4568</v>
      </c>
      <c r="I172" s="4674" t="s">
        <v>4569</v>
      </c>
      <c r="J172" s="4675" t="s">
        <v>4570</v>
      </c>
    </row>
    <row r="173" spans="1:10" x14ac:dyDescent="0.25">
      <c r="A173" s="5818">
        <v>29101431</v>
      </c>
      <c r="B173" s="7520"/>
      <c r="C173" s="7530"/>
      <c r="D173" s="7524" t="s">
        <v>2921</v>
      </c>
      <c r="E173" s="7525"/>
      <c r="F173" s="7526"/>
      <c r="G173" s="392" t="s">
        <v>4567</v>
      </c>
      <c r="H173" s="4673" t="s">
        <v>4568</v>
      </c>
      <c r="I173" s="4674" t="s">
        <v>4569</v>
      </c>
      <c r="J173" s="4675" t="s">
        <v>4570</v>
      </c>
    </row>
    <row r="174" spans="1:10" x14ac:dyDescent="0.25">
      <c r="A174" s="5818">
        <v>29101432</v>
      </c>
      <c r="B174" s="7520"/>
      <c r="C174" s="7530"/>
      <c r="D174" s="7536" t="s">
        <v>2922</v>
      </c>
      <c r="E174" s="7537"/>
      <c r="F174" s="7538"/>
      <c r="G174" s="4686" t="s">
        <v>4567</v>
      </c>
      <c r="H174" s="4676" t="s">
        <v>4568</v>
      </c>
      <c r="I174" s="4677" t="s">
        <v>4569</v>
      </c>
      <c r="J174" s="815" t="s">
        <v>4570</v>
      </c>
    </row>
    <row r="175" spans="1:10" x14ac:dyDescent="0.25">
      <c r="A175" s="5818">
        <v>29101433</v>
      </c>
      <c r="B175" s="7520"/>
      <c r="C175" s="7530" t="s">
        <v>2914</v>
      </c>
      <c r="D175" s="7540" t="s">
        <v>2923</v>
      </c>
      <c r="E175" s="7541"/>
      <c r="F175" s="7542"/>
      <c r="G175" s="392" t="s">
        <v>4567</v>
      </c>
      <c r="H175" s="3774" t="s">
        <v>4568</v>
      </c>
      <c r="I175" s="2656" t="s">
        <v>4569</v>
      </c>
      <c r="J175" s="2657" t="s">
        <v>4570</v>
      </c>
    </row>
    <row r="176" spans="1:10" x14ac:dyDescent="0.25">
      <c r="A176" s="5818">
        <v>29101434</v>
      </c>
      <c r="B176" s="7520"/>
      <c r="C176" s="7530"/>
      <c r="D176" s="7524" t="s">
        <v>2924</v>
      </c>
      <c r="E176" s="7525"/>
      <c r="F176" s="7526"/>
      <c r="G176" s="392" t="s">
        <v>4567</v>
      </c>
      <c r="H176" s="4673" t="s">
        <v>4568</v>
      </c>
      <c r="I176" s="4674" t="s">
        <v>4569</v>
      </c>
      <c r="J176" s="4675" t="s">
        <v>4570</v>
      </c>
    </row>
    <row r="177" spans="1:10" x14ac:dyDescent="0.25">
      <c r="A177" s="5818">
        <v>29101435</v>
      </c>
      <c r="B177" s="7520"/>
      <c r="C177" s="7530"/>
      <c r="D177" s="7524" t="s">
        <v>2925</v>
      </c>
      <c r="E177" s="7525"/>
      <c r="F177" s="7526"/>
      <c r="G177" s="392" t="s">
        <v>4567</v>
      </c>
      <c r="H177" s="4673" t="s">
        <v>4568</v>
      </c>
      <c r="I177" s="4674" t="s">
        <v>4569</v>
      </c>
      <c r="J177" s="4675" t="s">
        <v>4570</v>
      </c>
    </row>
    <row r="178" spans="1:10" x14ac:dyDescent="0.25">
      <c r="A178" s="5818">
        <v>25400440</v>
      </c>
      <c r="B178" s="7520"/>
      <c r="C178" s="7530"/>
      <c r="D178" s="7524" t="s">
        <v>2926</v>
      </c>
      <c r="E178" s="7525"/>
      <c r="F178" s="7526"/>
      <c r="G178" s="392" t="s">
        <v>4567</v>
      </c>
      <c r="H178" s="4673" t="s">
        <v>4568</v>
      </c>
      <c r="I178" s="4674" t="s">
        <v>4569</v>
      </c>
      <c r="J178" s="4675" t="s">
        <v>4570</v>
      </c>
    </row>
    <row r="179" spans="1:10" x14ac:dyDescent="0.25">
      <c r="A179" s="5818">
        <v>29101436</v>
      </c>
      <c r="B179" s="7520"/>
      <c r="C179" s="7530"/>
      <c r="D179" s="7524" t="s">
        <v>2927</v>
      </c>
      <c r="E179" s="7525"/>
      <c r="F179" s="7526"/>
      <c r="G179" s="392" t="s">
        <v>4567</v>
      </c>
      <c r="H179" s="4673" t="s">
        <v>4568</v>
      </c>
      <c r="I179" s="4674" t="s">
        <v>4569</v>
      </c>
      <c r="J179" s="4675" t="s">
        <v>4570</v>
      </c>
    </row>
    <row r="180" spans="1:10" x14ac:dyDescent="0.25">
      <c r="A180" s="5818">
        <v>29101437</v>
      </c>
      <c r="B180" s="7520"/>
      <c r="C180" s="7530"/>
      <c r="D180" s="7524" t="s">
        <v>2928</v>
      </c>
      <c r="E180" s="7525"/>
      <c r="F180" s="7526"/>
      <c r="G180" s="392" t="s">
        <v>4567</v>
      </c>
      <c r="H180" s="4673" t="s">
        <v>4568</v>
      </c>
      <c r="I180" s="4674" t="s">
        <v>4569</v>
      </c>
      <c r="J180" s="4675" t="s">
        <v>4570</v>
      </c>
    </row>
    <row r="181" spans="1:10" x14ac:dyDescent="0.25">
      <c r="A181" s="5818">
        <v>29101438</v>
      </c>
      <c r="B181" s="7520"/>
      <c r="C181" s="7530"/>
      <c r="D181" s="7524" t="s">
        <v>2929</v>
      </c>
      <c r="E181" s="7525"/>
      <c r="F181" s="7526"/>
      <c r="G181" s="392" t="s">
        <v>4567</v>
      </c>
      <c r="H181" s="4673" t="s">
        <v>4568</v>
      </c>
      <c r="I181" s="4674" t="s">
        <v>4569</v>
      </c>
      <c r="J181" s="4675" t="s">
        <v>4570</v>
      </c>
    </row>
    <row r="182" spans="1:10" x14ac:dyDescent="0.25">
      <c r="A182" s="5818">
        <v>29101439</v>
      </c>
      <c r="B182" s="7520"/>
      <c r="C182" s="7530"/>
      <c r="D182" s="7524" t="s">
        <v>2930</v>
      </c>
      <c r="E182" s="7525"/>
      <c r="F182" s="7526"/>
      <c r="G182" s="392" t="s">
        <v>4567</v>
      </c>
      <c r="H182" s="4673" t="s">
        <v>4568</v>
      </c>
      <c r="I182" s="4674" t="s">
        <v>4569</v>
      </c>
      <c r="J182" s="4675" t="s">
        <v>4570</v>
      </c>
    </row>
    <row r="183" spans="1:10" x14ac:dyDescent="0.25">
      <c r="A183" s="5818">
        <v>29101440</v>
      </c>
      <c r="B183" s="7520"/>
      <c r="C183" s="7530"/>
      <c r="D183" s="7524" t="s">
        <v>2931</v>
      </c>
      <c r="E183" s="7525"/>
      <c r="F183" s="7526"/>
      <c r="G183" s="392" t="s">
        <v>4567</v>
      </c>
      <c r="H183" s="4673" t="s">
        <v>4568</v>
      </c>
      <c r="I183" s="4674" t="s">
        <v>4569</v>
      </c>
      <c r="J183" s="4675" t="s">
        <v>4570</v>
      </c>
    </row>
    <row r="184" spans="1:10" x14ac:dyDescent="0.25">
      <c r="A184" s="5818">
        <v>29101441</v>
      </c>
      <c r="B184" s="7520"/>
      <c r="C184" s="7530"/>
      <c r="D184" s="7536" t="s">
        <v>2932</v>
      </c>
      <c r="E184" s="7537"/>
      <c r="F184" s="7538"/>
      <c r="G184" s="392" t="s">
        <v>4567</v>
      </c>
      <c r="H184" s="4673" t="s">
        <v>4568</v>
      </c>
      <c r="I184" s="4674" t="s">
        <v>4569</v>
      </c>
      <c r="J184" s="4675" t="s">
        <v>4570</v>
      </c>
    </row>
    <row r="185" spans="1:10" x14ac:dyDescent="0.25">
      <c r="A185" s="5616"/>
      <c r="B185" s="1315"/>
      <c r="C185" s="4687"/>
      <c r="D185" s="4684" t="s">
        <v>77</v>
      </c>
      <c r="E185" s="3210"/>
      <c r="F185" s="4685"/>
      <c r="G185" s="4688">
        <f>+SUM(G160:G184)</f>
        <v>0</v>
      </c>
      <c r="H185" s="4689">
        <f>+SUM(H160:H184)</f>
        <v>0</v>
      </c>
      <c r="I185" s="4690">
        <f>+SUM(I160:I184)</f>
        <v>0</v>
      </c>
      <c r="J185" s="4691">
        <f>+SUM(J160:J184)</f>
        <v>0</v>
      </c>
    </row>
    <row r="186" spans="1:10" x14ac:dyDescent="0.25">
      <c r="B186" s="50" t="s">
        <v>2933</v>
      </c>
      <c r="C186" s="50"/>
      <c r="D186" s="7"/>
      <c r="E186" s="7"/>
      <c r="F186" s="7"/>
      <c r="G186" s="7"/>
      <c r="H186" s="7"/>
      <c r="I186" s="7"/>
      <c r="J186" s="7"/>
    </row>
    <row r="187" spans="1:10" s="6" customFormat="1" ht="18" customHeight="1" x14ac:dyDescent="0.2">
      <c r="B187" s="2474" t="s">
        <v>2934</v>
      </c>
    </row>
    <row r="188" spans="1:10" s="6" customFormat="1" ht="18" customHeight="1" x14ac:dyDescent="0.2">
      <c r="B188" s="7534" t="s">
        <v>2935</v>
      </c>
      <c r="C188" s="7534"/>
      <c r="D188" s="7535"/>
      <c r="E188" s="7535"/>
    </row>
    <row r="189" spans="1:10" ht="15" customHeight="1" x14ac:dyDescent="0.25">
      <c r="B189" s="4692" t="s">
        <v>2936</v>
      </c>
      <c r="C189" s="4693" t="s">
        <v>77</v>
      </c>
      <c r="D189" s="1211" t="s">
        <v>1899</v>
      </c>
      <c r="E189" s="1207" t="s">
        <v>2937</v>
      </c>
    </row>
    <row r="190" spans="1:10" ht="15" customHeight="1" x14ac:dyDescent="0.25">
      <c r="A190" s="5818">
        <v>29101442</v>
      </c>
      <c r="B190" s="1457" t="s">
        <v>2938</v>
      </c>
      <c r="C190" s="1161" t="s">
        <v>4567</v>
      </c>
      <c r="D190" s="3774" t="s">
        <v>4568</v>
      </c>
      <c r="E190" s="2657" t="s">
        <v>4569</v>
      </c>
    </row>
    <row r="191" spans="1:10" ht="15" customHeight="1" x14ac:dyDescent="0.25">
      <c r="A191" s="5818">
        <v>29101443</v>
      </c>
      <c r="B191" s="1458" t="s">
        <v>2939</v>
      </c>
      <c r="C191" s="1161" t="s">
        <v>4567</v>
      </c>
      <c r="D191" s="4673" t="s">
        <v>4568</v>
      </c>
      <c r="E191" s="4675" t="s">
        <v>4569</v>
      </c>
    </row>
    <row r="192" spans="1:10" ht="15" customHeight="1" x14ac:dyDescent="0.25">
      <c r="A192" s="5818">
        <v>29101444</v>
      </c>
      <c r="B192" s="1458" t="s">
        <v>2940</v>
      </c>
      <c r="C192" s="1161" t="s">
        <v>4567</v>
      </c>
      <c r="D192" s="4673" t="s">
        <v>4568</v>
      </c>
      <c r="E192" s="4675" t="s">
        <v>4569</v>
      </c>
    </row>
    <row r="193" spans="1:6" ht="15" customHeight="1" x14ac:dyDescent="0.25">
      <c r="A193" s="5818">
        <v>29101445</v>
      </c>
      <c r="B193" s="1458" t="s">
        <v>2941</v>
      </c>
      <c r="C193" s="1161" t="s">
        <v>4567</v>
      </c>
      <c r="D193" s="4673" t="s">
        <v>4568</v>
      </c>
      <c r="E193" s="4675" t="s">
        <v>4569</v>
      </c>
    </row>
    <row r="194" spans="1:6" ht="15" customHeight="1" x14ac:dyDescent="0.25">
      <c r="A194" s="5818">
        <v>29101446</v>
      </c>
      <c r="B194" s="1458" t="s">
        <v>2942</v>
      </c>
      <c r="C194" s="1161" t="s">
        <v>4567</v>
      </c>
      <c r="D194" s="4673" t="s">
        <v>4568</v>
      </c>
      <c r="E194" s="4675" t="s">
        <v>4569</v>
      </c>
    </row>
    <row r="195" spans="1:6" ht="15" customHeight="1" x14ac:dyDescent="0.25">
      <c r="A195" s="5818">
        <v>29101447</v>
      </c>
      <c r="B195" s="1458" t="s">
        <v>2943</v>
      </c>
      <c r="C195" s="1161" t="s">
        <v>4567</v>
      </c>
      <c r="D195" s="4673" t="s">
        <v>4568</v>
      </c>
      <c r="E195" s="4675" t="s">
        <v>4569</v>
      </c>
    </row>
    <row r="196" spans="1:6" ht="15" customHeight="1" x14ac:dyDescent="0.25">
      <c r="A196" s="5818">
        <v>29101448</v>
      </c>
      <c r="B196" s="1458" t="s">
        <v>2944</v>
      </c>
      <c r="C196" s="1161" t="s">
        <v>4567</v>
      </c>
      <c r="D196" s="4673" t="s">
        <v>4568</v>
      </c>
      <c r="E196" s="4675" t="s">
        <v>4569</v>
      </c>
    </row>
    <row r="197" spans="1:6" ht="15" customHeight="1" x14ac:dyDescent="0.25">
      <c r="A197" s="5818">
        <v>29101449</v>
      </c>
      <c r="B197" s="1458" t="s">
        <v>2945</v>
      </c>
      <c r="C197" s="1161" t="s">
        <v>4567</v>
      </c>
      <c r="D197" s="4673" t="s">
        <v>4568</v>
      </c>
      <c r="E197" s="4675" t="s">
        <v>4569</v>
      </c>
    </row>
    <row r="198" spans="1:6" ht="15" customHeight="1" x14ac:dyDescent="0.25">
      <c r="A198" s="5818">
        <v>29101450</v>
      </c>
      <c r="B198" s="1458" t="s">
        <v>2946</v>
      </c>
      <c r="C198" s="1161" t="s">
        <v>4567</v>
      </c>
      <c r="D198" s="4673" t="s">
        <v>4568</v>
      </c>
      <c r="E198" s="4675" t="s">
        <v>4569</v>
      </c>
    </row>
    <row r="199" spans="1:6" ht="15" customHeight="1" x14ac:dyDescent="0.25">
      <c r="A199" s="5818">
        <v>29101451</v>
      </c>
      <c r="B199" s="4694" t="s">
        <v>2947</v>
      </c>
      <c r="C199" s="1161" t="s">
        <v>4567</v>
      </c>
      <c r="D199" s="4673" t="s">
        <v>4568</v>
      </c>
      <c r="E199" s="4675" t="s">
        <v>4569</v>
      </c>
    </row>
    <row r="200" spans="1:6" ht="15" customHeight="1" x14ac:dyDescent="0.25">
      <c r="A200" s="5616"/>
      <c r="B200" s="4695" t="s">
        <v>77</v>
      </c>
      <c r="C200" s="1069">
        <f>+SUM(C190:C199)</f>
        <v>0</v>
      </c>
      <c r="D200" s="1100">
        <f>+SUM(D190:D199)</f>
        <v>0</v>
      </c>
      <c r="E200" s="1101">
        <f>+SUM(E190:E199)</f>
        <v>0</v>
      </c>
    </row>
    <row r="201" spans="1:6" s="6" customFormat="1" ht="18" customHeight="1" x14ac:dyDescent="0.2">
      <c r="B201" s="2474" t="s">
        <v>2948</v>
      </c>
    </row>
    <row r="202" spans="1:6" ht="15" customHeight="1" x14ac:dyDescent="0.25">
      <c r="B202" s="4692" t="s">
        <v>2949</v>
      </c>
      <c r="C202" s="1211" t="s">
        <v>1899</v>
      </c>
      <c r="D202" s="1438" t="s">
        <v>2937</v>
      </c>
      <c r="E202" s="1207" t="s">
        <v>598</v>
      </c>
    </row>
    <row r="203" spans="1:6" ht="15" customHeight="1" x14ac:dyDescent="0.25">
      <c r="A203" s="5818">
        <v>29101452</v>
      </c>
      <c r="B203" s="4696" t="s">
        <v>2950</v>
      </c>
      <c r="C203" s="4673" t="s">
        <v>4567</v>
      </c>
      <c r="D203" s="4674" t="s">
        <v>4568</v>
      </c>
      <c r="E203" s="4675" t="s">
        <v>4569</v>
      </c>
    </row>
    <row r="204" spans="1:6" ht="15" customHeight="1" x14ac:dyDescent="0.25">
      <c r="A204" s="5818">
        <v>29101453</v>
      </c>
      <c r="B204" s="4697" t="s">
        <v>2951</v>
      </c>
      <c r="C204" s="4673" t="s">
        <v>4567</v>
      </c>
      <c r="D204" s="4674" t="s">
        <v>4568</v>
      </c>
      <c r="E204" s="4675" t="s">
        <v>4569</v>
      </c>
    </row>
    <row r="205" spans="1:6" ht="15" customHeight="1" x14ac:dyDescent="0.25">
      <c r="A205" s="5818">
        <v>29101454</v>
      </c>
      <c r="B205" s="4610" t="s">
        <v>2952</v>
      </c>
      <c r="C205" s="4673" t="s">
        <v>4567</v>
      </c>
      <c r="D205" s="4674" t="s">
        <v>4568</v>
      </c>
      <c r="E205" s="815" t="s">
        <v>4569</v>
      </c>
    </row>
    <row r="206" spans="1:6" ht="15" customHeight="1" x14ac:dyDescent="0.25">
      <c r="A206" s="5616"/>
      <c r="B206" s="4692" t="s">
        <v>77</v>
      </c>
      <c r="C206" s="1100">
        <f>+SUM(C203:C205)</f>
        <v>0</v>
      </c>
      <c r="D206" s="1116">
        <f>+SUM(D203:D205)</f>
        <v>0</v>
      </c>
      <c r="E206" s="1101">
        <f>+SUM(E203:E205)</f>
        <v>0</v>
      </c>
    </row>
    <row r="207" spans="1:6" s="6" customFormat="1" ht="18" customHeight="1" x14ac:dyDescent="0.25">
      <c r="A207"/>
      <c r="B207" s="7534" t="s">
        <v>2953</v>
      </c>
      <c r="C207" s="7534"/>
      <c r="D207" s="7534"/>
      <c r="E207" s="7534"/>
      <c r="F207" s="7534"/>
    </row>
    <row r="208" spans="1:6" s="19" customFormat="1" ht="15" customHeight="1" x14ac:dyDescent="0.25">
      <c r="A208"/>
      <c r="B208" s="4695" t="s">
        <v>2954</v>
      </c>
      <c r="C208" s="4695" t="s">
        <v>2955</v>
      </c>
      <c r="D208" s="1211" t="s">
        <v>1899</v>
      </c>
      <c r="E208" s="1438" t="s">
        <v>2937</v>
      </c>
      <c r="F208" s="1207" t="s">
        <v>598</v>
      </c>
    </row>
    <row r="209" spans="1:6" s="19" customFormat="1" ht="15" customHeight="1" x14ac:dyDescent="0.15">
      <c r="A209" s="5818">
        <v>29101455</v>
      </c>
      <c r="B209" s="7531" t="s">
        <v>2956</v>
      </c>
      <c r="C209" s="1769" t="s">
        <v>2957</v>
      </c>
      <c r="D209" s="4673" t="s">
        <v>4567</v>
      </c>
      <c r="E209" s="4674" t="s">
        <v>4568</v>
      </c>
      <c r="F209" s="4672" t="s">
        <v>4569</v>
      </c>
    </row>
    <row r="210" spans="1:6" s="19" customFormat="1" ht="15" customHeight="1" x14ac:dyDescent="0.15">
      <c r="A210" s="5818">
        <v>29101456</v>
      </c>
      <c r="B210" s="7532"/>
      <c r="C210" s="4698" t="s">
        <v>2958</v>
      </c>
      <c r="D210" s="4673" t="s">
        <v>4567</v>
      </c>
      <c r="E210" s="4674" t="s">
        <v>4568</v>
      </c>
      <c r="F210" s="2657" t="s">
        <v>4569</v>
      </c>
    </row>
    <row r="211" spans="1:6" s="19" customFormat="1" ht="15" customHeight="1" x14ac:dyDescent="0.15">
      <c r="A211" s="5818">
        <v>29101457</v>
      </c>
      <c r="B211" s="7532"/>
      <c r="C211" s="4699" t="s">
        <v>2959</v>
      </c>
      <c r="D211" s="3774" t="s">
        <v>4567</v>
      </c>
      <c r="E211" s="2656" t="s">
        <v>4568</v>
      </c>
      <c r="F211" s="4675" t="s">
        <v>4569</v>
      </c>
    </row>
    <row r="212" spans="1:6" s="19" customFormat="1" ht="15" customHeight="1" x14ac:dyDescent="0.15">
      <c r="A212" s="5818">
        <v>29101458</v>
      </c>
      <c r="B212" s="7533"/>
      <c r="C212" s="4700" t="s">
        <v>2960</v>
      </c>
      <c r="D212" s="4676" t="s">
        <v>4567</v>
      </c>
      <c r="E212" s="4677" t="s">
        <v>4568</v>
      </c>
      <c r="F212" s="815" t="s">
        <v>4569</v>
      </c>
    </row>
    <row r="213" spans="1:6" s="19" customFormat="1" ht="15" customHeight="1" x14ac:dyDescent="0.15">
      <c r="A213" s="5818">
        <v>29101459</v>
      </c>
      <c r="B213" s="4701" t="s">
        <v>2961</v>
      </c>
      <c r="C213" s="4701" t="s">
        <v>2962</v>
      </c>
      <c r="D213" s="4702" t="s">
        <v>4567</v>
      </c>
      <c r="E213" s="4703" t="s">
        <v>4568</v>
      </c>
      <c r="F213" s="3800" t="s">
        <v>4569</v>
      </c>
    </row>
    <row r="214" spans="1:6" s="19" customFormat="1" ht="15" customHeight="1" x14ac:dyDescent="0.15">
      <c r="A214" s="5818">
        <v>29101460</v>
      </c>
      <c r="B214" s="7531" t="s">
        <v>2963</v>
      </c>
      <c r="C214" s="1769" t="s">
        <v>2964</v>
      </c>
      <c r="D214" s="4671" t="s">
        <v>4567</v>
      </c>
      <c r="E214" s="802" t="s">
        <v>4568</v>
      </c>
      <c r="F214" s="4672" t="s">
        <v>4569</v>
      </c>
    </row>
    <row r="215" spans="1:6" s="19" customFormat="1" ht="15" customHeight="1" x14ac:dyDescent="0.15">
      <c r="A215" s="5818">
        <v>29101461</v>
      </c>
      <c r="B215" s="7532"/>
      <c r="C215" s="4699" t="s">
        <v>2965</v>
      </c>
      <c r="D215" s="3774" t="s">
        <v>4567</v>
      </c>
      <c r="E215" s="2656" t="s">
        <v>4568</v>
      </c>
      <c r="F215" s="2657" t="s">
        <v>4569</v>
      </c>
    </row>
    <row r="216" spans="1:6" s="19" customFormat="1" ht="15" customHeight="1" x14ac:dyDescent="0.15">
      <c r="A216" s="5818">
        <v>29101462</v>
      </c>
      <c r="B216" s="7532"/>
      <c r="C216" s="4698" t="s">
        <v>2966</v>
      </c>
      <c r="D216" s="4673" t="s">
        <v>4567</v>
      </c>
      <c r="E216" s="4674" t="s">
        <v>4568</v>
      </c>
      <c r="F216" s="4675" t="s">
        <v>4569</v>
      </c>
    </row>
    <row r="217" spans="1:6" s="19" customFormat="1" ht="15" customHeight="1" x14ac:dyDescent="0.15">
      <c r="A217" s="5818">
        <v>29101463</v>
      </c>
      <c r="B217" s="7532"/>
      <c r="C217" s="4699" t="s">
        <v>2967</v>
      </c>
      <c r="D217" s="3774" t="s">
        <v>4567</v>
      </c>
      <c r="E217" s="2656" t="s">
        <v>4568</v>
      </c>
      <c r="F217" s="2657" t="s">
        <v>4569</v>
      </c>
    </row>
    <row r="218" spans="1:6" s="19" customFormat="1" ht="15" customHeight="1" x14ac:dyDescent="0.15">
      <c r="A218" s="5818">
        <v>29101464</v>
      </c>
      <c r="B218" s="7533"/>
      <c r="C218" s="4700" t="s">
        <v>2968</v>
      </c>
      <c r="D218" s="4676" t="s">
        <v>4567</v>
      </c>
      <c r="E218" s="4677" t="s">
        <v>4568</v>
      </c>
      <c r="F218" s="815" t="s">
        <v>4569</v>
      </c>
    </row>
    <row r="219" spans="1:6" s="19" customFormat="1" ht="15" customHeight="1" x14ac:dyDescent="0.15">
      <c r="A219" s="5818">
        <v>29101465</v>
      </c>
      <c r="B219" s="7531" t="s">
        <v>2969</v>
      </c>
      <c r="C219" s="1769" t="s">
        <v>4372</v>
      </c>
      <c r="D219" s="3774" t="s">
        <v>4567</v>
      </c>
      <c r="E219" s="2656" t="s">
        <v>4568</v>
      </c>
      <c r="F219" s="2657" t="s">
        <v>4569</v>
      </c>
    </row>
    <row r="220" spans="1:6" s="19" customFormat="1" ht="15" customHeight="1" x14ac:dyDescent="0.15">
      <c r="A220" s="5818">
        <v>29101466</v>
      </c>
      <c r="B220" s="7533"/>
      <c r="C220" s="4700" t="s">
        <v>4373</v>
      </c>
      <c r="D220" s="4676" t="s">
        <v>4567</v>
      </c>
      <c r="E220" s="4677" t="s">
        <v>4568</v>
      </c>
      <c r="F220" s="815" t="s">
        <v>4569</v>
      </c>
    </row>
    <row r="221" spans="1:6" s="19" customFormat="1" ht="15" customHeight="1" x14ac:dyDescent="0.15">
      <c r="A221" s="5818">
        <v>29101467</v>
      </c>
      <c r="B221" s="7531" t="s">
        <v>2970</v>
      </c>
      <c r="C221" s="1769" t="s">
        <v>2971</v>
      </c>
      <c r="D221" s="4671" t="s">
        <v>4567</v>
      </c>
      <c r="E221" s="802" t="s">
        <v>4568</v>
      </c>
      <c r="F221" s="4672" t="s">
        <v>4569</v>
      </c>
    </row>
    <row r="222" spans="1:6" s="19" customFormat="1" ht="15" customHeight="1" x14ac:dyDescent="0.15">
      <c r="A222" s="5818">
        <v>29101468</v>
      </c>
      <c r="B222" s="7532"/>
      <c r="C222" s="4698" t="s">
        <v>2972</v>
      </c>
      <c r="D222" s="3774" t="s">
        <v>4567</v>
      </c>
      <c r="E222" s="2656" t="s">
        <v>4568</v>
      </c>
      <c r="F222" s="2657" t="s">
        <v>4569</v>
      </c>
    </row>
    <row r="223" spans="1:6" s="19" customFormat="1" ht="15" customHeight="1" x14ac:dyDescent="0.15">
      <c r="A223" s="5818">
        <v>29101469</v>
      </c>
      <c r="B223" s="7533"/>
      <c r="C223" s="4699" t="s">
        <v>4374</v>
      </c>
      <c r="D223" s="3803" t="s">
        <v>4567</v>
      </c>
      <c r="E223" s="320" t="s">
        <v>4568</v>
      </c>
      <c r="F223" s="3800" t="s">
        <v>4569</v>
      </c>
    </row>
    <row r="224" spans="1:6" s="19" customFormat="1" ht="15" customHeight="1" x14ac:dyDescent="0.15">
      <c r="A224" s="5818">
        <v>29101470</v>
      </c>
      <c r="B224" s="7531" t="s">
        <v>2973</v>
      </c>
      <c r="C224" s="1769" t="s">
        <v>4375</v>
      </c>
      <c r="D224" s="3774" t="s">
        <v>4567</v>
      </c>
      <c r="E224" s="2656" t="s">
        <v>4568</v>
      </c>
      <c r="F224" s="2657" t="s">
        <v>4569</v>
      </c>
    </row>
    <row r="225" spans="1:6" s="19" customFormat="1" ht="15" customHeight="1" x14ac:dyDescent="0.15">
      <c r="A225" s="5818">
        <v>29101471</v>
      </c>
      <c r="B225" s="7533"/>
      <c r="C225" s="4700" t="s">
        <v>4376</v>
      </c>
      <c r="D225" s="4676" t="s">
        <v>4567</v>
      </c>
      <c r="E225" s="4677" t="s">
        <v>4568</v>
      </c>
      <c r="F225" s="815" t="s">
        <v>4569</v>
      </c>
    </row>
    <row r="226" spans="1:6" s="19" customFormat="1" ht="15" customHeight="1" x14ac:dyDescent="0.15">
      <c r="A226" s="5818">
        <v>29101472</v>
      </c>
      <c r="B226" s="7531" t="s">
        <v>2974</v>
      </c>
      <c r="C226" s="1769" t="s">
        <v>4377</v>
      </c>
      <c r="D226" s="3774" t="s">
        <v>4567</v>
      </c>
      <c r="E226" s="2656" t="s">
        <v>4568</v>
      </c>
      <c r="F226" s="2657" t="s">
        <v>4569</v>
      </c>
    </row>
    <row r="227" spans="1:6" s="19" customFormat="1" ht="15" customHeight="1" x14ac:dyDescent="0.15">
      <c r="A227" s="5818">
        <v>29101473</v>
      </c>
      <c r="B227" s="7533"/>
      <c r="C227" s="4700" t="s">
        <v>4378</v>
      </c>
      <c r="D227" s="4676" t="s">
        <v>4567</v>
      </c>
      <c r="E227" s="4677" t="s">
        <v>4568</v>
      </c>
      <c r="F227" s="815" t="s">
        <v>4569</v>
      </c>
    </row>
    <row r="228" spans="1:6" s="19" customFormat="1" ht="15" customHeight="1" x14ac:dyDescent="0.15">
      <c r="A228" s="5818">
        <v>29101474</v>
      </c>
      <c r="B228" s="7531" t="s">
        <v>2975</v>
      </c>
      <c r="C228" s="1769" t="s">
        <v>4379</v>
      </c>
      <c r="D228" s="3774" t="s">
        <v>4567</v>
      </c>
      <c r="E228" s="2656" t="s">
        <v>4568</v>
      </c>
      <c r="F228" s="2657" t="s">
        <v>4569</v>
      </c>
    </row>
    <row r="229" spans="1:6" s="19" customFormat="1" ht="15" customHeight="1" x14ac:dyDescent="0.15">
      <c r="A229" s="5818">
        <v>29101475</v>
      </c>
      <c r="B229" s="7533"/>
      <c r="C229" s="4700" t="s">
        <v>4380</v>
      </c>
      <c r="D229" s="4676" t="s">
        <v>4567</v>
      </c>
      <c r="E229" s="4677" t="s">
        <v>4568</v>
      </c>
      <c r="F229" s="815" t="s">
        <v>4569</v>
      </c>
    </row>
    <row r="230" spans="1:6" s="19" customFormat="1" ht="15" customHeight="1" x14ac:dyDescent="0.15">
      <c r="A230" s="5818">
        <v>29101476</v>
      </c>
      <c r="B230" s="7531" t="s">
        <v>2976</v>
      </c>
      <c r="C230" s="1769" t="s">
        <v>4381</v>
      </c>
      <c r="D230" s="3774" t="s">
        <v>4567</v>
      </c>
      <c r="E230" s="2656" t="s">
        <v>4568</v>
      </c>
      <c r="F230" s="2657" t="s">
        <v>4569</v>
      </c>
    </row>
    <row r="231" spans="1:6" s="19" customFormat="1" ht="15" customHeight="1" x14ac:dyDescent="0.15">
      <c r="A231" s="5818">
        <v>29101477</v>
      </c>
      <c r="B231" s="7533"/>
      <c r="C231" s="1770" t="s">
        <v>4382</v>
      </c>
      <c r="D231" s="4676" t="s">
        <v>4567</v>
      </c>
      <c r="E231" s="4677" t="s">
        <v>4568</v>
      </c>
      <c r="F231" s="815" t="s">
        <v>4569</v>
      </c>
    </row>
    <row r="232" spans="1:6" s="19" customFormat="1" ht="15" customHeight="1" x14ac:dyDescent="0.15">
      <c r="A232" s="5818">
        <v>29101478</v>
      </c>
      <c r="B232" s="7552" t="s">
        <v>2977</v>
      </c>
      <c r="C232" s="7148"/>
      <c r="D232" s="3774" t="s">
        <v>4567</v>
      </c>
      <c r="E232" s="2656" t="s">
        <v>4568</v>
      </c>
      <c r="F232" s="2657" t="s">
        <v>4569</v>
      </c>
    </row>
    <row r="233" spans="1:6" s="19" customFormat="1" ht="15" customHeight="1" x14ac:dyDescent="0.15">
      <c r="A233" s="5818">
        <v>29101479</v>
      </c>
      <c r="B233" s="7554" t="s">
        <v>591</v>
      </c>
      <c r="C233" s="7312"/>
      <c r="D233" s="4673" t="s">
        <v>4567</v>
      </c>
      <c r="E233" s="4674" t="s">
        <v>4568</v>
      </c>
      <c r="F233" s="4675" t="s">
        <v>4569</v>
      </c>
    </row>
    <row r="234" spans="1:6" s="19" customFormat="1" ht="15" customHeight="1" x14ac:dyDescent="0.25">
      <c r="A234"/>
      <c r="B234" s="7374" t="s">
        <v>77</v>
      </c>
      <c r="C234" s="7428"/>
      <c r="D234" s="1100">
        <f>+SUM(D209:D233)</f>
        <v>0</v>
      </c>
      <c r="E234" s="1116">
        <f>+SUM(E209:E233)</f>
        <v>0</v>
      </c>
      <c r="F234" s="1101">
        <f>+SUM(F209:F233)</f>
        <v>0</v>
      </c>
    </row>
    <row r="235" spans="1:6" s="6" customFormat="1" ht="18" customHeight="1" x14ac:dyDescent="0.2">
      <c r="B235" s="7545" t="s">
        <v>2978</v>
      </c>
      <c r="C235" s="7545"/>
      <c r="D235" s="7545"/>
      <c r="E235" s="7545"/>
      <c r="F235" s="7545"/>
    </row>
    <row r="236" spans="1:6" s="19" customFormat="1" ht="21" x14ac:dyDescent="0.15">
      <c r="B236" s="7555" t="s">
        <v>2979</v>
      </c>
      <c r="C236" s="7555"/>
      <c r="D236" s="1211" t="s">
        <v>77</v>
      </c>
      <c r="E236" s="1209" t="s">
        <v>2894</v>
      </c>
      <c r="F236" s="1210" t="s">
        <v>2980</v>
      </c>
    </row>
    <row r="237" spans="1:6" s="19" customFormat="1" ht="15" customHeight="1" x14ac:dyDescent="0.15">
      <c r="A237" s="5818">
        <v>29101480</v>
      </c>
      <c r="B237" s="7556" t="s">
        <v>2981</v>
      </c>
      <c r="C237" s="7556"/>
      <c r="D237" s="1296" t="s">
        <v>4567</v>
      </c>
      <c r="E237" s="4704" t="s">
        <v>4568</v>
      </c>
      <c r="F237" s="4675" t="s">
        <v>4569</v>
      </c>
    </row>
    <row r="238" spans="1:6" s="19" customFormat="1" ht="15" customHeight="1" x14ac:dyDescent="0.15">
      <c r="A238" s="5818">
        <v>29101481</v>
      </c>
      <c r="B238" s="7557" t="s">
        <v>2982</v>
      </c>
      <c r="C238" s="7557"/>
      <c r="D238" s="1296" t="s">
        <v>4567</v>
      </c>
      <c r="E238" s="4704" t="s">
        <v>4568</v>
      </c>
      <c r="F238" s="4675" t="s">
        <v>4569</v>
      </c>
    </row>
    <row r="239" spans="1:6" s="19" customFormat="1" ht="15" customHeight="1" x14ac:dyDescent="0.25">
      <c r="A239" s="5616"/>
      <c r="B239" s="7558" t="s">
        <v>77</v>
      </c>
      <c r="C239" s="7558"/>
      <c r="D239" s="1100">
        <f>+SUM(D237:D238)</f>
        <v>0</v>
      </c>
      <c r="E239" s="1102">
        <f>+SUM(E237:E238)</f>
        <v>0</v>
      </c>
      <c r="F239" s="1101">
        <f>+SUM(F237:F238)</f>
        <v>0</v>
      </c>
    </row>
    <row r="240" spans="1:6" s="6" customFormat="1" ht="18" customHeight="1" x14ac:dyDescent="0.2">
      <c r="B240" s="7545" t="s">
        <v>2983</v>
      </c>
      <c r="C240" s="7545"/>
      <c r="D240" s="7545"/>
      <c r="E240" s="7545"/>
    </row>
    <row r="241" spans="1:5" ht="15" customHeight="1" x14ac:dyDescent="0.25">
      <c r="B241" s="4695" t="s">
        <v>2954</v>
      </c>
      <c r="C241" s="4695" t="s">
        <v>2936</v>
      </c>
      <c r="D241" s="1211" t="s">
        <v>1899</v>
      </c>
      <c r="E241" s="1207" t="s">
        <v>2937</v>
      </c>
    </row>
    <row r="242" spans="1:5" ht="15" customHeight="1" x14ac:dyDescent="0.25">
      <c r="A242" s="5818">
        <v>29101482</v>
      </c>
      <c r="B242" s="7531" t="s">
        <v>2963</v>
      </c>
      <c r="C242" s="1769" t="s">
        <v>2984</v>
      </c>
      <c r="D242" s="4673" t="s">
        <v>4567</v>
      </c>
      <c r="E242" s="4672" t="s">
        <v>4568</v>
      </c>
    </row>
    <row r="243" spans="1:5" ht="15" customHeight="1" x14ac:dyDescent="0.25">
      <c r="A243" s="5818">
        <v>29101483</v>
      </c>
      <c r="B243" s="7532"/>
      <c r="C243" s="4698" t="s">
        <v>2985</v>
      </c>
      <c r="D243" s="4673" t="s">
        <v>4567</v>
      </c>
      <c r="E243" s="4675" t="s">
        <v>4568</v>
      </c>
    </row>
    <row r="244" spans="1:5" ht="15" customHeight="1" x14ac:dyDescent="0.25">
      <c r="A244" s="5818">
        <v>29101484</v>
      </c>
      <c r="B244" s="7532"/>
      <c r="C244" s="4698" t="s">
        <v>2986</v>
      </c>
      <c r="D244" s="4673" t="s">
        <v>4567</v>
      </c>
      <c r="E244" s="4675" t="s">
        <v>4568</v>
      </c>
    </row>
    <row r="245" spans="1:5" ht="15" customHeight="1" x14ac:dyDescent="0.25">
      <c r="A245" s="5818">
        <v>29101485</v>
      </c>
      <c r="B245" s="7532"/>
      <c r="C245" s="4698" t="s">
        <v>2987</v>
      </c>
      <c r="D245" s="4673" t="s">
        <v>4567</v>
      </c>
      <c r="E245" s="4675" t="s">
        <v>4568</v>
      </c>
    </row>
    <row r="246" spans="1:5" ht="15" customHeight="1" x14ac:dyDescent="0.25">
      <c r="A246" s="5818">
        <v>29101486</v>
      </c>
      <c r="B246" s="7532"/>
      <c r="C246" s="4698" t="s">
        <v>2988</v>
      </c>
      <c r="D246" s="4673" t="s">
        <v>4567</v>
      </c>
      <c r="E246" s="4675" t="s">
        <v>4568</v>
      </c>
    </row>
    <row r="247" spans="1:5" ht="15" customHeight="1" x14ac:dyDescent="0.25">
      <c r="A247" s="5818">
        <v>29101487</v>
      </c>
      <c r="B247" s="7532"/>
      <c r="C247" s="4698" t="s">
        <v>2989</v>
      </c>
      <c r="D247" s="4673" t="s">
        <v>4567</v>
      </c>
      <c r="E247" s="4675" t="s">
        <v>4568</v>
      </c>
    </row>
    <row r="248" spans="1:5" ht="15" customHeight="1" x14ac:dyDescent="0.25">
      <c r="A248" s="5818">
        <v>29101488</v>
      </c>
      <c r="B248" s="7532"/>
      <c r="C248" s="4698" t="s">
        <v>2990</v>
      </c>
      <c r="D248" s="4673" t="s">
        <v>4567</v>
      </c>
      <c r="E248" s="4675" t="s">
        <v>4568</v>
      </c>
    </row>
    <row r="249" spans="1:5" ht="15" customHeight="1" x14ac:dyDescent="0.25">
      <c r="A249" s="5818">
        <v>29101489</v>
      </c>
      <c r="B249" s="7532"/>
      <c r="C249" s="4698" t="s">
        <v>2991</v>
      </c>
      <c r="D249" s="4673" t="s">
        <v>4567</v>
      </c>
      <c r="E249" s="4675" t="s">
        <v>4568</v>
      </c>
    </row>
    <row r="250" spans="1:5" ht="15" customHeight="1" x14ac:dyDescent="0.25">
      <c r="A250" s="5818">
        <v>29101490</v>
      </c>
      <c r="B250" s="7532"/>
      <c r="C250" s="4698" t="s">
        <v>2992</v>
      </c>
      <c r="D250" s="4673" t="s">
        <v>4567</v>
      </c>
      <c r="E250" s="4675" t="s">
        <v>4568</v>
      </c>
    </row>
    <row r="251" spans="1:5" ht="15" customHeight="1" x14ac:dyDescent="0.25">
      <c r="A251" s="5818">
        <v>29101491</v>
      </c>
      <c r="B251" s="7532"/>
      <c r="C251" s="4698" t="s">
        <v>2993</v>
      </c>
      <c r="D251" s="4673" t="s">
        <v>4567</v>
      </c>
      <c r="E251" s="4675" t="s">
        <v>4568</v>
      </c>
    </row>
    <row r="252" spans="1:5" ht="15" customHeight="1" x14ac:dyDescent="0.25">
      <c r="A252" s="5818">
        <v>29101492</v>
      </c>
      <c r="B252" s="7532"/>
      <c r="C252" s="4698" t="s">
        <v>2994</v>
      </c>
      <c r="D252" s="4673" t="s">
        <v>4567</v>
      </c>
      <c r="E252" s="4675" t="s">
        <v>4568</v>
      </c>
    </row>
    <row r="253" spans="1:5" ht="15" customHeight="1" x14ac:dyDescent="0.25">
      <c r="A253" s="5818">
        <v>29101493</v>
      </c>
      <c r="B253" s="7532"/>
      <c r="C253" s="4698" t="s">
        <v>2995</v>
      </c>
      <c r="D253" s="4673" t="s">
        <v>4567</v>
      </c>
      <c r="E253" s="4675" t="s">
        <v>4568</v>
      </c>
    </row>
    <row r="254" spans="1:5" ht="15" customHeight="1" x14ac:dyDescent="0.25">
      <c r="A254" s="5818">
        <v>29101494</v>
      </c>
      <c r="B254" s="7532"/>
      <c r="C254" s="1770" t="s">
        <v>2996</v>
      </c>
      <c r="D254" s="4676" t="s">
        <v>4567</v>
      </c>
      <c r="E254" s="815" t="s">
        <v>4568</v>
      </c>
    </row>
    <row r="255" spans="1:5" ht="15" customHeight="1" x14ac:dyDescent="0.25">
      <c r="A255" s="5616"/>
      <c r="B255" s="7533"/>
      <c r="C255" s="4700" t="s">
        <v>2997</v>
      </c>
      <c r="D255" s="4705">
        <f>SUM(D242:D254)</f>
        <v>0</v>
      </c>
      <c r="E255" s="4706">
        <f>SUM(E242:E254)</f>
        <v>0</v>
      </c>
    </row>
    <row r="256" spans="1:5" ht="15" customHeight="1" x14ac:dyDescent="0.25">
      <c r="A256" s="5818">
        <v>29101496</v>
      </c>
      <c r="B256" s="7531" t="s">
        <v>2970</v>
      </c>
      <c r="C256" s="4699" t="s">
        <v>2998</v>
      </c>
      <c r="D256" s="3774" t="s">
        <v>4567</v>
      </c>
      <c r="E256" s="2657" t="s">
        <v>4568</v>
      </c>
    </row>
    <row r="257" spans="1:5" ht="15" customHeight="1" x14ac:dyDescent="0.25">
      <c r="A257" s="5818">
        <v>29101497</v>
      </c>
      <c r="B257" s="7532"/>
      <c r="C257" s="4698" t="s">
        <v>2999</v>
      </c>
      <c r="D257" s="4673" t="s">
        <v>4567</v>
      </c>
      <c r="E257" s="4675" t="s">
        <v>4568</v>
      </c>
    </row>
    <row r="258" spans="1:5" ht="15" customHeight="1" x14ac:dyDescent="0.25">
      <c r="A258" s="5818">
        <v>29101498</v>
      </c>
      <c r="B258" s="7532"/>
      <c r="C258" s="1770" t="s">
        <v>3000</v>
      </c>
      <c r="D258" s="4676" t="s">
        <v>4567</v>
      </c>
      <c r="E258" s="815" t="s">
        <v>4568</v>
      </c>
    </row>
    <row r="259" spans="1:5" ht="15" customHeight="1" x14ac:dyDescent="0.25">
      <c r="A259" s="5616"/>
      <c r="B259" s="7533"/>
      <c r="C259" s="4700" t="s">
        <v>3001</v>
      </c>
      <c r="D259" s="4705">
        <f>SUM(D256:D258)</f>
        <v>0</v>
      </c>
      <c r="E259" s="4706">
        <f>SUM(E256:E258)</f>
        <v>0</v>
      </c>
    </row>
    <row r="260" spans="1:5" ht="15" customHeight="1" x14ac:dyDescent="0.25">
      <c r="A260" s="5818">
        <v>29101500</v>
      </c>
      <c r="B260" s="7531" t="s">
        <v>2974</v>
      </c>
      <c r="C260" s="4699" t="s">
        <v>3002</v>
      </c>
      <c r="D260" s="3774" t="s">
        <v>4567</v>
      </c>
      <c r="E260" s="2657" t="s">
        <v>4568</v>
      </c>
    </row>
    <row r="261" spans="1:5" ht="15" customHeight="1" x14ac:dyDescent="0.25">
      <c r="A261" s="5818">
        <v>29101501</v>
      </c>
      <c r="B261" s="7532"/>
      <c r="C261" s="4698" t="s">
        <v>3003</v>
      </c>
      <c r="D261" s="4673" t="s">
        <v>4567</v>
      </c>
      <c r="E261" s="4675" t="s">
        <v>4568</v>
      </c>
    </row>
    <row r="262" spans="1:5" ht="15" customHeight="1" x14ac:dyDescent="0.25">
      <c r="A262" s="5818">
        <v>29101502</v>
      </c>
      <c r="B262" s="7532"/>
      <c r="C262" s="4698" t="s">
        <v>3004</v>
      </c>
      <c r="D262" s="4673" t="s">
        <v>4567</v>
      </c>
      <c r="E262" s="4675" t="s">
        <v>4568</v>
      </c>
    </row>
    <row r="263" spans="1:5" ht="15" customHeight="1" x14ac:dyDescent="0.25">
      <c r="A263" s="5818">
        <v>29101503</v>
      </c>
      <c r="B263" s="7532"/>
      <c r="C263" s="1770" t="s">
        <v>3005</v>
      </c>
      <c r="D263" s="4676" t="s">
        <v>4567</v>
      </c>
      <c r="E263" s="815" t="s">
        <v>4568</v>
      </c>
    </row>
    <row r="264" spans="1:5" ht="15" customHeight="1" x14ac:dyDescent="0.25">
      <c r="A264" s="5616"/>
      <c r="B264" s="7533"/>
      <c r="C264" s="4700" t="s">
        <v>3006</v>
      </c>
      <c r="D264" s="4705">
        <f>SUM(D260:D263)</f>
        <v>0</v>
      </c>
      <c r="E264" s="4706">
        <f>SUM(E260:E263)</f>
        <v>0</v>
      </c>
    </row>
    <row r="265" spans="1:5" ht="15" customHeight="1" x14ac:dyDescent="0.25">
      <c r="A265" s="5818">
        <v>29101505</v>
      </c>
      <c r="B265" s="7531" t="s">
        <v>2975</v>
      </c>
      <c r="C265" s="4699" t="s">
        <v>3007</v>
      </c>
      <c r="D265" s="3774" t="s">
        <v>4567</v>
      </c>
      <c r="E265" s="2657" t="s">
        <v>4568</v>
      </c>
    </row>
    <row r="266" spans="1:5" ht="15" customHeight="1" x14ac:dyDescent="0.25">
      <c r="A266" s="5818">
        <v>29101506</v>
      </c>
      <c r="B266" s="7532"/>
      <c r="C266" s="4698" t="s">
        <v>3008</v>
      </c>
      <c r="D266" s="4673" t="s">
        <v>4567</v>
      </c>
      <c r="E266" s="4675" t="s">
        <v>4568</v>
      </c>
    </row>
    <row r="267" spans="1:5" ht="15" customHeight="1" x14ac:dyDescent="0.25">
      <c r="A267" s="5818">
        <v>29101507</v>
      </c>
      <c r="B267" s="7532"/>
      <c r="C267" s="1770" t="s">
        <v>3009</v>
      </c>
      <c r="D267" s="4676" t="s">
        <v>4567</v>
      </c>
      <c r="E267" s="815" t="s">
        <v>4568</v>
      </c>
    </row>
    <row r="268" spans="1:5" ht="15" customHeight="1" x14ac:dyDescent="0.25">
      <c r="A268" s="5616"/>
      <c r="B268" s="7549"/>
      <c r="C268" s="4700" t="s">
        <v>3010</v>
      </c>
      <c r="D268" s="4707">
        <f>SUM(D265:D267)</f>
        <v>0</v>
      </c>
      <c r="E268" s="4706">
        <f>SUM(E265:E267)</f>
        <v>0</v>
      </c>
    </row>
    <row r="269" spans="1:5" ht="15" customHeight="1" x14ac:dyDescent="0.25">
      <c r="A269" s="5616"/>
      <c r="B269" s="7374" t="s">
        <v>77</v>
      </c>
      <c r="C269" s="7428"/>
      <c r="D269" s="1100">
        <f>+D255+D259+D264+D268</f>
        <v>0</v>
      </c>
      <c r="E269" s="1101">
        <f>+E255+E259+E264+E268</f>
        <v>0</v>
      </c>
    </row>
    <row r="270" spans="1:5" s="6" customFormat="1" ht="18" customHeight="1" x14ac:dyDescent="0.2">
      <c r="B270" s="7545" t="s">
        <v>3011</v>
      </c>
      <c r="C270" s="7545"/>
      <c r="D270" s="7545"/>
      <c r="E270" s="7545"/>
    </row>
    <row r="271" spans="1:5" x14ac:dyDescent="0.25">
      <c r="B271" s="1779" t="s">
        <v>3012</v>
      </c>
      <c r="C271" s="1211" t="s">
        <v>3013</v>
      </c>
      <c r="D271" s="4708" t="s">
        <v>3014</v>
      </c>
      <c r="E271" s="1210" t="s">
        <v>3015</v>
      </c>
    </row>
    <row r="272" spans="1:5" ht="15" customHeight="1" x14ac:dyDescent="0.25">
      <c r="A272" s="5818">
        <v>29101509</v>
      </c>
      <c r="B272" s="4709" t="s">
        <v>2950</v>
      </c>
      <c r="C272" s="4673" t="s">
        <v>4567</v>
      </c>
      <c r="D272" s="4674" t="s">
        <v>4568</v>
      </c>
      <c r="E272" s="4675" t="s">
        <v>4569</v>
      </c>
    </row>
    <row r="273" spans="1:5" ht="15" customHeight="1" x14ac:dyDescent="0.25">
      <c r="A273" s="5818">
        <v>29101510</v>
      </c>
      <c r="B273" s="4697" t="s">
        <v>2951</v>
      </c>
      <c r="C273" s="4673" t="s">
        <v>4567</v>
      </c>
      <c r="D273" s="4674" t="s">
        <v>4568</v>
      </c>
      <c r="E273" s="4675" t="s">
        <v>4569</v>
      </c>
    </row>
    <row r="274" spans="1:5" ht="15" customHeight="1" x14ac:dyDescent="0.25">
      <c r="A274" s="5818">
        <v>29101511</v>
      </c>
      <c r="B274" s="4610" t="s">
        <v>2952</v>
      </c>
      <c r="C274" s="4673" t="s">
        <v>4567</v>
      </c>
      <c r="D274" s="4674" t="s">
        <v>4568</v>
      </c>
      <c r="E274" s="4675" t="s">
        <v>4569</v>
      </c>
    </row>
    <row r="275" spans="1:5" ht="15" customHeight="1" x14ac:dyDescent="0.25">
      <c r="A275" s="5616"/>
      <c r="B275" s="4692" t="s">
        <v>77</v>
      </c>
      <c r="C275" s="1100">
        <f>+SUM(C272:C274)</f>
        <v>0</v>
      </c>
      <c r="D275" s="1116">
        <f>+SUM(D272:D274)</f>
        <v>0</v>
      </c>
      <c r="E275" s="1101">
        <f>+SUM(E272:E274)</f>
        <v>0</v>
      </c>
    </row>
    <row r="276" spans="1:5" s="6" customFormat="1" ht="18" customHeight="1" x14ac:dyDescent="0.2">
      <c r="B276" s="2474" t="s">
        <v>3016</v>
      </c>
    </row>
    <row r="277" spans="1:5" s="6" customFormat="1" ht="18" customHeight="1" x14ac:dyDescent="0.2">
      <c r="B277" s="7534" t="s">
        <v>3017</v>
      </c>
      <c r="C277" s="7534"/>
      <c r="D277" s="7534"/>
    </row>
    <row r="278" spans="1:5" x14ac:dyDescent="0.25">
      <c r="B278" s="7550" t="s">
        <v>3018</v>
      </c>
      <c r="C278" s="7551"/>
      <c r="D278" s="4695" t="s">
        <v>3019</v>
      </c>
    </row>
    <row r="279" spans="1:5" x14ac:dyDescent="0.25">
      <c r="A279" s="5818">
        <v>29101512</v>
      </c>
      <c r="B279" s="7552" t="s">
        <v>3020</v>
      </c>
      <c r="C279" s="7553"/>
      <c r="D279" s="4710" t="s">
        <v>4567</v>
      </c>
    </row>
    <row r="280" spans="1:5" x14ac:dyDescent="0.25">
      <c r="A280" s="5818">
        <v>29101513</v>
      </c>
      <c r="B280" s="7543" t="s">
        <v>3021</v>
      </c>
      <c r="C280" s="7544"/>
      <c r="D280" s="4710" t="s">
        <v>4567</v>
      </c>
    </row>
    <row r="281" spans="1:5" x14ac:dyDescent="0.25">
      <c r="A281" s="5818">
        <v>29101514</v>
      </c>
      <c r="B281" s="7543" t="s">
        <v>3022</v>
      </c>
      <c r="C281" s="7544"/>
      <c r="D281" s="4710" t="s">
        <v>4567</v>
      </c>
    </row>
    <row r="282" spans="1:5" x14ac:dyDescent="0.25">
      <c r="A282" s="5818">
        <v>29101515</v>
      </c>
      <c r="B282" s="7543" t="s">
        <v>3023</v>
      </c>
      <c r="C282" s="7544"/>
      <c r="D282" s="4710" t="s">
        <v>4567</v>
      </c>
    </row>
    <row r="283" spans="1:5" ht="24.95" customHeight="1" x14ac:dyDescent="0.25">
      <c r="A283" s="5818">
        <v>29101516</v>
      </c>
      <c r="B283" s="7546" t="s">
        <v>3024</v>
      </c>
      <c r="C283" s="7547"/>
      <c r="D283" s="4710" t="s">
        <v>4567</v>
      </c>
    </row>
    <row r="284" spans="1:5" ht="24.95" customHeight="1" x14ac:dyDescent="0.25">
      <c r="A284" s="5818">
        <v>29101517</v>
      </c>
      <c r="B284" s="7546" t="s">
        <v>3025</v>
      </c>
      <c r="C284" s="7547"/>
      <c r="D284" s="4710" t="s">
        <v>4567</v>
      </c>
    </row>
    <row r="285" spans="1:5" ht="24.95" customHeight="1" x14ac:dyDescent="0.25">
      <c r="A285" s="5818">
        <v>29101518</v>
      </c>
      <c r="B285" s="7546" t="s">
        <v>3026</v>
      </c>
      <c r="C285" s="7547"/>
      <c r="D285" s="4710" t="s">
        <v>4567</v>
      </c>
    </row>
    <row r="286" spans="1:5" ht="24.95" customHeight="1" x14ac:dyDescent="0.25">
      <c r="A286" s="5818">
        <v>29101519</v>
      </c>
      <c r="B286" s="7546" t="s">
        <v>3027</v>
      </c>
      <c r="C286" s="7547"/>
      <c r="D286" s="4710" t="s">
        <v>4567</v>
      </c>
    </row>
    <row r="287" spans="1:5" ht="15" customHeight="1" x14ac:dyDescent="0.25">
      <c r="A287" s="5818">
        <v>29101520</v>
      </c>
      <c r="B287" s="7548" t="s">
        <v>3028</v>
      </c>
      <c r="C287" s="6181"/>
      <c r="D287" s="4710" t="s">
        <v>4567</v>
      </c>
    </row>
    <row r="288" spans="1:5" ht="15" customHeight="1" x14ac:dyDescent="0.25">
      <c r="A288" s="5616"/>
      <c r="B288" s="7539" t="s">
        <v>77</v>
      </c>
      <c r="C288" s="7178"/>
      <c r="D288" s="1069">
        <f>+SUM(D279:D287)</f>
        <v>0</v>
      </c>
    </row>
    <row r="289" spans="1:3" s="6" customFormat="1" ht="18" customHeight="1" x14ac:dyDescent="0.2">
      <c r="B289" s="2474" t="s">
        <v>3029</v>
      </c>
    </row>
    <row r="290" spans="1:3" ht="15" customHeight="1" x14ac:dyDescent="0.25">
      <c r="B290" s="4692" t="s">
        <v>3030</v>
      </c>
      <c r="C290" s="4695" t="s">
        <v>3031</v>
      </c>
    </row>
    <row r="291" spans="1:3" ht="15" customHeight="1" x14ac:dyDescent="0.25">
      <c r="A291" s="5818">
        <v>29101521</v>
      </c>
      <c r="B291" s="1457" t="s">
        <v>3032</v>
      </c>
      <c r="C291" s="4710" t="s">
        <v>4567</v>
      </c>
    </row>
    <row r="292" spans="1:3" ht="15" customHeight="1" x14ac:dyDescent="0.25">
      <c r="A292" s="5818">
        <v>29101522</v>
      </c>
      <c r="B292" s="1458" t="s">
        <v>3033</v>
      </c>
      <c r="C292" s="4710" t="s">
        <v>4567</v>
      </c>
    </row>
    <row r="293" spans="1:3" ht="15" customHeight="1" x14ac:dyDescent="0.25">
      <c r="A293" s="5818">
        <v>29101523</v>
      </c>
      <c r="B293" s="1458" t="s">
        <v>3034</v>
      </c>
      <c r="C293" s="4710" t="s">
        <v>4567</v>
      </c>
    </row>
    <row r="294" spans="1:3" ht="15" customHeight="1" x14ac:dyDescent="0.25">
      <c r="A294" s="5818">
        <v>29101524</v>
      </c>
      <c r="B294" s="1458" t="s">
        <v>3035</v>
      </c>
      <c r="C294" s="4710" t="s">
        <v>4567</v>
      </c>
    </row>
    <row r="295" spans="1:3" ht="15" customHeight="1" x14ac:dyDescent="0.25">
      <c r="A295" s="5818">
        <v>29101525</v>
      </c>
      <c r="B295" s="1458" t="s">
        <v>3036</v>
      </c>
      <c r="C295" s="4710" t="s">
        <v>4567</v>
      </c>
    </row>
    <row r="296" spans="1:3" ht="15" customHeight="1" x14ac:dyDescent="0.25">
      <c r="A296" s="5818">
        <v>29101526</v>
      </c>
      <c r="B296" s="4694" t="s">
        <v>3037</v>
      </c>
      <c r="C296" s="4710" t="s">
        <v>4567</v>
      </c>
    </row>
    <row r="297" spans="1:3" ht="15" customHeight="1" x14ac:dyDescent="0.25">
      <c r="A297" s="5616"/>
      <c r="B297" s="4695" t="s">
        <v>77</v>
      </c>
      <c r="C297" s="1069">
        <f>+SUM(C291:C296)</f>
        <v>0</v>
      </c>
    </row>
    <row r="320" spans="2:2" hidden="1" x14ac:dyDescent="0.25">
      <c r="B320" s="4487" t="e">
        <f>SUM(E12:G15,E16:E17,E22:E28,F31:F61,C66,D69:D81,D90:I90,D100:I100,D104:D109,D113:D118,C122:C126,C129:C133,D136:D141,D153:I153,D156:D157,G160:G185,C190:C200,C206:E206,D234:F234,D237:D239,D269:E269,C275:E275,D288,C297)</f>
        <v>#VALUE!</v>
      </c>
    </row>
  </sheetData>
  <mergeCells count="217">
    <mergeCell ref="B230:B231"/>
    <mergeCell ref="B232:C232"/>
    <mergeCell ref="B233:C233"/>
    <mergeCell ref="B234:C234"/>
    <mergeCell ref="B236:C236"/>
    <mergeCell ref="B237:C237"/>
    <mergeCell ref="B235:F235"/>
    <mergeCell ref="B238:C238"/>
    <mergeCell ref="B239:C239"/>
    <mergeCell ref="B285:C285"/>
    <mergeCell ref="B286:C286"/>
    <mergeCell ref="B287:C287"/>
    <mergeCell ref="B242:B255"/>
    <mergeCell ref="B256:B259"/>
    <mergeCell ref="B260:B264"/>
    <mergeCell ref="B265:B268"/>
    <mergeCell ref="B240:E240"/>
    <mergeCell ref="B269:C269"/>
    <mergeCell ref="B278:C278"/>
    <mergeCell ref="B279:C279"/>
    <mergeCell ref="B280:C280"/>
    <mergeCell ref="B288:C288"/>
    <mergeCell ref="C175:C184"/>
    <mergeCell ref="D175:F175"/>
    <mergeCell ref="D176:F176"/>
    <mergeCell ref="D177:F177"/>
    <mergeCell ref="D178:F178"/>
    <mergeCell ref="D179:F179"/>
    <mergeCell ref="D180:F180"/>
    <mergeCell ref="B224:B225"/>
    <mergeCell ref="B226:B227"/>
    <mergeCell ref="B228:B229"/>
    <mergeCell ref="B171:B184"/>
    <mergeCell ref="C171:C174"/>
    <mergeCell ref="D171:F171"/>
    <mergeCell ref="D172:F172"/>
    <mergeCell ref="D173:F173"/>
    <mergeCell ref="D183:F183"/>
    <mergeCell ref="D184:F184"/>
    <mergeCell ref="B281:C281"/>
    <mergeCell ref="B282:C282"/>
    <mergeCell ref="B277:D277"/>
    <mergeCell ref="B270:E270"/>
    <mergeCell ref="B283:C283"/>
    <mergeCell ref="B284:C284"/>
    <mergeCell ref="B214:B218"/>
    <mergeCell ref="B219:B220"/>
    <mergeCell ref="B221:B223"/>
    <mergeCell ref="B209:B212"/>
    <mergeCell ref="B207:F207"/>
    <mergeCell ref="B188:E188"/>
    <mergeCell ref="D174:F174"/>
    <mergeCell ref="D181:F181"/>
    <mergeCell ref="D182:F182"/>
    <mergeCell ref="B152:C152"/>
    <mergeCell ref="B153:C153"/>
    <mergeCell ref="B155:C155"/>
    <mergeCell ref="B156:B157"/>
    <mergeCell ref="B154:D154"/>
    <mergeCell ref="B160:B170"/>
    <mergeCell ref="C160:C167"/>
    <mergeCell ref="D160:F160"/>
    <mergeCell ref="D161:F161"/>
    <mergeCell ref="D162:F162"/>
    <mergeCell ref="D159:F159"/>
    <mergeCell ref="D167:F167"/>
    <mergeCell ref="C168:C170"/>
    <mergeCell ref="D168:F168"/>
    <mergeCell ref="D169:F169"/>
    <mergeCell ref="D170:F170"/>
    <mergeCell ref="D163:F163"/>
    <mergeCell ref="D164:F164"/>
    <mergeCell ref="D165:F165"/>
    <mergeCell ref="D166:F166"/>
    <mergeCell ref="B158:J158"/>
    <mergeCell ref="B151:C151"/>
    <mergeCell ref="B135:C135"/>
    <mergeCell ref="B136:C136"/>
    <mergeCell ref="B137:B139"/>
    <mergeCell ref="B140:C140"/>
    <mergeCell ref="B141:C141"/>
    <mergeCell ref="B145:C146"/>
    <mergeCell ref="B93:C94"/>
    <mergeCell ref="B104:C104"/>
    <mergeCell ref="B105:B107"/>
    <mergeCell ref="B108:C108"/>
    <mergeCell ref="B109:C109"/>
    <mergeCell ref="G145:I145"/>
    <mergeCell ref="B147:C147"/>
    <mergeCell ref="B148:B150"/>
    <mergeCell ref="B95:C95"/>
    <mergeCell ref="B96:C96"/>
    <mergeCell ref="B97:C97"/>
    <mergeCell ref="B98:C98"/>
    <mergeCell ref="B99:C99"/>
    <mergeCell ref="B100:C100"/>
    <mergeCell ref="B127:C127"/>
    <mergeCell ref="B120:C120"/>
    <mergeCell ref="B144:I144"/>
    <mergeCell ref="B111:J111"/>
    <mergeCell ref="B102:J102"/>
    <mergeCell ref="B117:C117"/>
    <mergeCell ref="B118:C118"/>
    <mergeCell ref="B112:C112"/>
    <mergeCell ref="B113:C113"/>
    <mergeCell ref="B114:B116"/>
    <mergeCell ref="B103:C103"/>
    <mergeCell ref="D145:F145"/>
    <mergeCell ref="B82:I82"/>
    <mergeCell ref="B67:D67"/>
    <mergeCell ref="B69:B72"/>
    <mergeCell ref="B73:B77"/>
    <mergeCell ref="E93:E94"/>
    <mergeCell ref="F93:H93"/>
    <mergeCell ref="I93:I94"/>
    <mergeCell ref="B85:C85"/>
    <mergeCell ref="B86:C86"/>
    <mergeCell ref="B78:B80"/>
    <mergeCell ref="B81:C81"/>
    <mergeCell ref="B83:C84"/>
    <mergeCell ref="D83:D84"/>
    <mergeCell ref="E83:E84"/>
    <mergeCell ref="F83:H83"/>
    <mergeCell ref="B92:I92"/>
    <mergeCell ref="B87:C87"/>
    <mergeCell ref="B88:C88"/>
    <mergeCell ref="B89:C89"/>
    <mergeCell ref="B90:C90"/>
    <mergeCell ref="D93:D94"/>
    <mergeCell ref="I83:I84"/>
    <mergeCell ref="B42:B48"/>
    <mergeCell ref="C42:C48"/>
    <mergeCell ref="D42:E42"/>
    <mergeCell ref="D43:D44"/>
    <mergeCell ref="D45:E45"/>
    <mergeCell ref="B8:D8"/>
    <mergeCell ref="D38:E38"/>
    <mergeCell ref="D39:E39"/>
    <mergeCell ref="D40:E40"/>
    <mergeCell ref="D41:E41"/>
    <mergeCell ref="B18:D18"/>
    <mergeCell ref="C34:C35"/>
    <mergeCell ref="D46:E46"/>
    <mergeCell ref="D47:E47"/>
    <mergeCell ref="D48:E48"/>
    <mergeCell ref="D34:E34"/>
    <mergeCell ref="D35:E35"/>
    <mergeCell ref="C36:C37"/>
    <mergeCell ref="D36:E36"/>
    <mergeCell ref="D37:E37"/>
    <mergeCell ref="C38:C41"/>
    <mergeCell ref="B26:C27"/>
    <mergeCell ref="B28:D28"/>
    <mergeCell ref="B29:G29"/>
    <mergeCell ref="B62:E62"/>
    <mergeCell ref="B55:B60"/>
    <mergeCell ref="C55:E55"/>
    <mergeCell ref="C56:E56"/>
    <mergeCell ref="C57:E57"/>
    <mergeCell ref="C58:E58"/>
    <mergeCell ref="C59:E59"/>
    <mergeCell ref="C60:E60"/>
    <mergeCell ref="B49:B52"/>
    <mergeCell ref="C61:E61"/>
    <mergeCell ref="C49:E49"/>
    <mergeCell ref="C50:E50"/>
    <mergeCell ref="C51:E51"/>
    <mergeCell ref="C52:E52"/>
    <mergeCell ref="B53:B54"/>
    <mergeCell ref="C53:E53"/>
    <mergeCell ref="C54:E54"/>
    <mergeCell ref="D30:E30"/>
    <mergeCell ref="B31:B41"/>
    <mergeCell ref="C31:C33"/>
    <mergeCell ref="D31:E31"/>
    <mergeCell ref="D32:E32"/>
    <mergeCell ref="D33:E33"/>
    <mergeCell ref="AB20:AC20"/>
    <mergeCell ref="AD20:AE20"/>
    <mergeCell ref="B22:B25"/>
    <mergeCell ref="C22:C23"/>
    <mergeCell ref="C24:C25"/>
    <mergeCell ref="E19:G20"/>
    <mergeCell ref="H19:AE19"/>
    <mergeCell ref="H20:I20"/>
    <mergeCell ref="V20:W20"/>
    <mergeCell ref="J20:K20"/>
    <mergeCell ref="L20:M20"/>
    <mergeCell ref="N20:O20"/>
    <mergeCell ref="P20:Q20"/>
    <mergeCell ref="R20:S20"/>
    <mergeCell ref="T20:U20"/>
    <mergeCell ref="B15:D15"/>
    <mergeCell ref="B16:D16"/>
    <mergeCell ref="B17:D17"/>
    <mergeCell ref="B19:B21"/>
    <mergeCell ref="C19:D21"/>
    <mergeCell ref="H10:I10"/>
    <mergeCell ref="V10:W10"/>
    <mergeCell ref="X10:Y10"/>
    <mergeCell ref="Z10:AA10"/>
    <mergeCell ref="X20:Y20"/>
    <mergeCell ref="Z20:AA20"/>
    <mergeCell ref="AB10:AC10"/>
    <mergeCell ref="B12:B13"/>
    <mergeCell ref="B14:C14"/>
    <mergeCell ref="J10:K10"/>
    <mergeCell ref="L10:M10"/>
    <mergeCell ref="N10:O10"/>
    <mergeCell ref="P10:Q10"/>
    <mergeCell ref="R10:S10"/>
    <mergeCell ref="B6:W6"/>
    <mergeCell ref="B9:B11"/>
    <mergeCell ref="C9:D11"/>
    <mergeCell ref="E9:G10"/>
    <mergeCell ref="H9:AC9"/>
    <mergeCell ref="T10:U10"/>
  </mergeCells>
  <dataValidations count="5">
    <dataValidation type="whole" allowBlank="1" showInputMessage="1" showErrorMessage="1" sqref="B186" xr:uid="{00000000-0002-0000-1100-000000000000}">
      <formula1>0</formula1>
      <formula2>1E+28</formula2>
    </dataValidation>
    <dataValidation type="whole" operator="greaterThanOrEqual" allowBlank="1" showInputMessage="1" showErrorMessage="1" sqref="D279:D287 C272:E274 H12:AC14 G31:H61 H22:AE27 D69:D81 D85:I89 C64:C65 D95:I99 E113:J118 C122:C126 C129:C133 E136:G141 D265:E267 D156:D157 H160:J184 D190:E199 C203:E205 D209:F233 E237:F238 D242:E254 D256:E258 D260:E263 C291:C296" xr:uid="{00000000-0002-0000-1100-000001000000}">
      <formula1>0</formula1>
    </dataValidation>
    <dataValidation type="whole" allowBlank="1" showInputMessage="1" showErrorMessage="1" sqref="E16:AC17" xr:uid="{815C8ABD-6B3D-48CC-B420-3CE27B587F22}">
      <formula1>0</formula1>
      <formula2>9.99999999999999E+28</formula2>
    </dataValidation>
    <dataValidation type="whole" allowBlank="1" showInputMessage="1" showErrorMessage="1" sqref="E104:J109" xr:uid="{479B3B36-51CC-4C5B-9362-7C6CE92017E6}">
      <formula1>0</formula1>
      <formula2>9.99999999999999E+34</formula2>
    </dataValidation>
    <dataValidation type="whole" allowBlank="1" showInputMessage="1" showErrorMessage="1" sqref="D147:I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21" customWidth="1"/>
    <col min="2" max="2" width="40.42578125" customWidth="1"/>
    <col min="3" max="3" width="32.7109375" customWidth="1"/>
    <col min="4" max="4" width="18.28515625" customWidth="1"/>
    <col min="5" max="10" width="16" customWidth="1"/>
    <col min="11" max="11" width="16.7109375" customWidth="1"/>
    <col min="12" max="12" width="15.28515625" customWidth="1"/>
    <col min="13" max="13" width="14.5703125" customWidth="1"/>
    <col min="14" max="14" width="15.140625" customWidth="1"/>
    <col min="15" max="20" width="14.7109375" customWidth="1"/>
    <col min="68" max="69" width="11.42578125" hidden="1" customWidth="1"/>
    <col min="70" max="74" width="10.7109375" style="2673" hidden="1" customWidth="1"/>
    <col min="75" max="75" width="10.7109375" hidden="1" customWidth="1"/>
    <col min="76" max="79" width="10.7109375" style="1867" hidden="1" customWidth="1"/>
    <col min="80" max="86" width="10.7109375" hidden="1" customWidth="1"/>
    <col min="87" max="87" width="11.42578125" hidden="1" customWidth="1"/>
    <col min="88" max="96" width="0" hidden="1" customWidth="1"/>
  </cols>
  <sheetData>
    <row r="1" spans="1:86" x14ac:dyDescent="0.25">
      <c r="B1" s="50" t="s">
        <v>23</v>
      </c>
      <c r="BR1"/>
      <c r="BS1"/>
      <c r="BT1"/>
      <c r="BU1"/>
      <c r="BV1"/>
      <c r="BX1"/>
      <c r="BY1"/>
      <c r="BZ1"/>
      <c r="CA1"/>
    </row>
    <row r="2" spans="1:86" x14ac:dyDescent="0.25">
      <c r="B2" s="50" t="str">
        <f>CONCATENATE("COMUNA: ",NOMBRE!B2, " (",NOMBRE!C2,NOMBRE!D2,NOMBRE!E2,NOMBRE!F2,NOMBRE!G2,")")</f>
        <v>COMUNA:  ()</v>
      </c>
      <c r="BR2"/>
      <c r="BS2"/>
      <c r="BT2"/>
      <c r="BU2"/>
      <c r="BV2"/>
      <c r="BX2"/>
      <c r="BY2"/>
      <c r="BZ2"/>
      <c r="CA2"/>
    </row>
    <row r="3" spans="1:86" x14ac:dyDescent="0.25">
      <c r="B3" s="50" t="str">
        <f>CONCATENATE("ESTABLECIMIENTO/ESTRATEGIA: ", NOMBRE!B3, " (",NOMBRE!C3,NOMBRE!D3,NOMBRE!E3,NOMBRE!F3,NOMBRE!G3,NOMBRE!H3,")")</f>
        <v>ESTABLECIMIENTO/ESTRATEGIA:  ()</v>
      </c>
      <c r="BR3"/>
      <c r="BS3"/>
      <c r="BT3"/>
      <c r="BU3"/>
      <c r="BV3"/>
      <c r="BX3"/>
      <c r="BY3"/>
      <c r="BZ3"/>
      <c r="CA3"/>
    </row>
    <row r="4" spans="1:86" x14ac:dyDescent="0.25">
      <c r="B4" s="50" t="str">
        <f>CONCATENATE("MES: ",NOMBRE!B6, " (",NOMBRE!C6,NOMBRE!D6,")")</f>
        <v>MES:  ()</v>
      </c>
      <c r="BR4"/>
      <c r="BS4"/>
      <c r="BT4"/>
      <c r="BU4"/>
      <c r="BV4"/>
      <c r="BX4"/>
      <c r="BY4"/>
      <c r="BZ4"/>
      <c r="CA4"/>
    </row>
    <row r="5" spans="1:86" x14ac:dyDescent="0.25">
      <c r="B5" s="50" t="str">
        <f>CONCATENATE("AÑO: ",NOMBRE!B7)</f>
        <v>AÑO: 2025</v>
      </c>
      <c r="BR5"/>
      <c r="BS5"/>
      <c r="BT5"/>
      <c r="BU5"/>
      <c r="BV5"/>
      <c r="BX5"/>
      <c r="BY5"/>
      <c r="BZ5"/>
      <c r="CA5"/>
    </row>
    <row r="6" spans="1:86" ht="18" customHeight="1" x14ac:dyDescent="0.25">
      <c r="B6" s="7591" t="s">
        <v>3038</v>
      </c>
      <c r="C6" s="7591"/>
      <c r="D6" s="7591"/>
      <c r="E6" s="7591"/>
      <c r="F6" s="7591"/>
      <c r="G6" s="7591"/>
      <c r="H6" s="7591"/>
      <c r="I6" s="7591"/>
      <c r="J6" s="7591"/>
      <c r="K6" s="7591"/>
      <c r="L6" s="7591"/>
      <c r="M6" s="7591"/>
      <c r="N6" s="7591"/>
      <c r="O6" s="7591"/>
      <c r="P6" s="7591"/>
      <c r="Q6" s="7591"/>
      <c r="BR6"/>
      <c r="BS6"/>
      <c r="BT6"/>
      <c r="BU6"/>
      <c r="BV6"/>
      <c r="BX6"/>
      <c r="BY6"/>
      <c r="BZ6"/>
      <c r="CA6"/>
    </row>
    <row r="7" spans="1:86" x14ac:dyDescent="0.25">
      <c r="T7" s="167"/>
      <c r="U7" s="167"/>
      <c r="BR7"/>
      <c r="BS7"/>
      <c r="BT7"/>
      <c r="BU7"/>
      <c r="BV7"/>
      <c r="BX7"/>
      <c r="BY7"/>
      <c r="BZ7"/>
      <c r="CA7"/>
    </row>
    <row r="8" spans="1:86" s="25" customFormat="1" ht="18" customHeight="1" x14ac:dyDescent="0.15">
      <c r="B8" s="5976" t="s">
        <v>3039</v>
      </c>
      <c r="C8" s="4"/>
      <c r="D8" s="4"/>
      <c r="E8" s="4"/>
      <c r="F8" s="4"/>
      <c r="G8" s="4"/>
      <c r="H8" s="3"/>
      <c r="I8" s="4"/>
      <c r="J8" s="4"/>
      <c r="K8" s="4"/>
      <c r="L8" s="4"/>
      <c r="M8" s="4"/>
      <c r="N8" s="4"/>
      <c r="O8" s="4"/>
      <c r="P8" s="4"/>
      <c r="Q8" s="4"/>
      <c r="T8" s="167"/>
      <c r="U8" s="167"/>
    </row>
    <row r="9" spans="1:86" s="19" customFormat="1" ht="47.25" customHeight="1" x14ac:dyDescent="0.15">
      <c r="B9" s="7291" t="s">
        <v>651</v>
      </c>
      <c r="C9" s="7298"/>
      <c r="D9" s="1212" t="s">
        <v>77</v>
      </c>
      <c r="E9" s="1108" t="s">
        <v>3040</v>
      </c>
      <c r="F9" s="1213" t="s">
        <v>3041</v>
      </c>
      <c r="G9" s="1213" t="s">
        <v>3042</v>
      </c>
      <c r="H9" s="1214" t="s">
        <v>3043</v>
      </c>
      <c r="I9" s="1215" t="s">
        <v>3044</v>
      </c>
      <c r="J9" s="1215" t="s">
        <v>3045</v>
      </c>
      <c r="K9" s="1110" t="s">
        <v>3046</v>
      </c>
      <c r="L9" s="1214" t="s">
        <v>3047</v>
      </c>
      <c r="M9" s="1216" t="s">
        <v>3048</v>
      </c>
      <c r="N9" s="1217" t="s">
        <v>3049</v>
      </c>
      <c r="O9" s="1213" t="s">
        <v>36</v>
      </c>
      <c r="P9" s="1213" t="s">
        <v>37</v>
      </c>
      <c r="Q9" s="1213" t="s">
        <v>3050</v>
      </c>
      <c r="R9" s="1213" t="s">
        <v>3051</v>
      </c>
      <c r="S9" s="1213" t="s">
        <v>34</v>
      </c>
      <c r="T9" s="1067" t="s">
        <v>2055</v>
      </c>
      <c r="U9" s="167"/>
      <c r="V9" s="167"/>
    </row>
    <row r="10" spans="1:86" s="19" customFormat="1" ht="15" customHeight="1" x14ac:dyDescent="0.15">
      <c r="A10" s="5868">
        <v>26261000</v>
      </c>
      <c r="B10" s="7344" t="s">
        <v>3052</v>
      </c>
      <c r="C10" s="7345"/>
      <c r="D10" s="1218" t="s">
        <v>4567</v>
      </c>
      <c r="E10" s="1219" t="s">
        <v>4568</v>
      </c>
      <c r="F10" s="1219" t="s">
        <v>4569</v>
      </c>
      <c r="G10" s="1219" t="s">
        <v>4570</v>
      </c>
      <c r="H10" s="1219" t="s">
        <v>4571</v>
      </c>
      <c r="I10" s="364" t="s">
        <v>4572</v>
      </c>
      <c r="J10" s="364" t="s">
        <v>4573</v>
      </c>
      <c r="K10" s="1219" t="s">
        <v>4574</v>
      </c>
      <c r="L10" s="1219" t="s">
        <v>4575</v>
      </c>
      <c r="M10" s="1219" t="s">
        <v>4576</v>
      </c>
      <c r="N10" s="1220" t="s">
        <v>4577</v>
      </c>
      <c r="O10" s="948" t="s">
        <v>4578</v>
      </c>
      <c r="P10" s="948" t="s">
        <v>4579</v>
      </c>
      <c r="Q10" s="948" t="s">
        <v>4580</v>
      </c>
      <c r="R10" s="1221" t="s">
        <v>4581</v>
      </c>
      <c r="S10" s="948" t="s">
        <v>4582</v>
      </c>
      <c r="T10" s="941" t="s">
        <v>4583</v>
      </c>
      <c r="U10" s="19" t="e">
        <f>BR10&amp;BT10&amp;BU10&amp;BV10&amp;BX10&amp;BY10</f>
        <v>#VALUE!</v>
      </c>
      <c r="BR10" s="1740" t="e">
        <f>IF((K10+L10+M10)&lt;&gt;D10," * La suma del N° de Primera visita + Segunda visita + Tercera o más visitas de seguimiento debe ser igual al Total.","")</f>
        <v>#VALUE!</v>
      </c>
      <c r="BS10" s="135"/>
      <c r="BT10" s="1740" t="str">
        <f>IF(AND(D10&gt;0,O10="")," * No olvide digitar la variable Pueblos Originarios. Digite Cero si no tiene..",IF(O10&gt;D10," * La variable Pueblos Originarios no puede ser mayor al Total.",""))</f>
        <v xml:space="preserve"> * La variable Pueblos Originarios no puede ser mayor al Total.</v>
      </c>
      <c r="BU10" s="1740" t="str">
        <f>IF(AND(D10&gt;0,P10="")," * No olvide digitar la variable Migrantes. Digite Cero si no tiene.",IF(P10&gt;D10," * La variable Migrantes no puede ser mayor al Total.",""))</f>
        <v xml:space="preserve"> * La variable Migrantes no puede ser mayor al Total.</v>
      </c>
      <c r="BV10" s="1740" t="str">
        <f>IF(AND($D10&gt;0,Q10="")," * No olvide digitar la variable Espacio Amigable/Adolescente. Digite Cero si no tiene.",IF(Q10&gt;$D10," * La variable Espacio Amigable/Adolescente no puede ser mayor al Total.",""))</f>
        <v xml:space="preserve"> * La variable Espacio Amigable/Adolescente no puede ser mayor al Total.</v>
      </c>
      <c r="BW10" s="135"/>
      <c r="BX10" s="1740" t="str">
        <f>IF(AND($D10&gt;0,S10="")," * No olvide digitar la variable Niños, Niñas, Adolescentes y Jóvenes SENAME. Digite Cero si no tiene.",IF(S10&gt;$D10," * La variable Niños, Niñas, Adolescentes y Jóvenes SENAME no puede ser mayor al Total.",""))</f>
        <v xml:space="preserve"> * La variable Niños, Niñas, Adolescentes y Jóvenes SENAME no puede ser mayor al Total.</v>
      </c>
      <c r="BY10" s="1740" t="str">
        <f>IF(AND($D10&gt;0,T10="")," * No olvide digitar la variable Niños, niñas, Adolescentes y Jóvenes Mejor Niñez. Digite Cero si no tiene.",IF(T10&gt;$D10," * La variable Niños, niñas, Adolescentes y Jóvenes Mejor Niñez no puede ser mayor al Total.",""))</f>
        <v xml:space="preserve"> * La variable Niños, niñas, Adolescentes y Jóvenes Mejor Niñez no puede ser mayor al Total.</v>
      </c>
      <c r="CA10" s="84" t="e">
        <f t="shared" ref="CA10:CA35" si="0">IF((K10+L10+M10)&lt;&gt;D10,1,0)</f>
        <v>#VALUE!</v>
      </c>
      <c r="CB10" s="83"/>
      <c r="CC10" s="84">
        <f>IF(AND(D10&gt;0,O10=""),1,IF(O10&gt;D10,1,0))</f>
        <v>1</v>
      </c>
      <c r="CD10" s="84">
        <f>IF(AND(D10&gt;0,P10=""),1,IF(P10&gt;D10,1,0))</f>
        <v>1</v>
      </c>
      <c r="CE10" s="84">
        <f>IF(AND($D10&gt;0,Q10=""),1,IF(Q10&gt;$D10,1,0))</f>
        <v>1</v>
      </c>
      <c r="CF10" s="83"/>
      <c r="CG10" s="84">
        <f>IF(AND($D10&gt;0,S10=""),1,IF(S10&gt;$D10,1,0))</f>
        <v>1</v>
      </c>
      <c r="CH10" s="84">
        <f>IF(AND($D10&gt;0,T10=""),1,IF(T10&gt;$D10,1,0))</f>
        <v>1</v>
      </c>
    </row>
    <row r="11" spans="1:86" s="19" customFormat="1" ht="15" customHeight="1" x14ac:dyDescent="0.15">
      <c r="A11" s="5818">
        <v>26260100</v>
      </c>
      <c r="B11" s="7341" t="s">
        <v>3053</v>
      </c>
      <c r="C11" s="7342"/>
      <c r="D11" s="1218" t="s">
        <v>4567</v>
      </c>
      <c r="E11" s="1219" t="s">
        <v>4568</v>
      </c>
      <c r="F11" s="1219" t="s">
        <v>4569</v>
      </c>
      <c r="G11" s="1219" t="s">
        <v>4570</v>
      </c>
      <c r="H11" s="1219" t="s">
        <v>4571</v>
      </c>
      <c r="I11" s="364" t="s">
        <v>4572</v>
      </c>
      <c r="J11" s="364" t="s">
        <v>4573</v>
      </c>
      <c r="K11" s="1219" t="s">
        <v>4574</v>
      </c>
      <c r="L11" s="1219" t="s">
        <v>4575</v>
      </c>
      <c r="M11" s="1219" t="s">
        <v>4576</v>
      </c>
      <c r="N11" s="1222" t="s">
        <v>4577</v>
      </c>
      <c r="O11" s="948" t="s">
        <v>4578</v>
      </c>
      <c r="P11" s="948" t="s">
        <v>4579</v>
      </c>
      <c r="Q11" s="948" t="s">
        <v>4580</v>
      </c>
      <c r="R11" s="1223" t="s">
        <v>4581</v>
      </c>
      <c r="S11" s="948" t="s">
        <v>4582</v>
      </c>
      <c r="T11" s="941" t="s">
        <v>4583</v>
      </c>
      <c r="U11" s="19" t="e">
        <f t="shared" ref="U11:U22" si="1">BR11&amp;BT11&amp;BU11&amp;BV11&amp;BX11&amp;BY11</f>
        <v>#VALUE!</v>
      </c>
      <c r="BR11" s="1740" t="e">
        <f t="shared" ref="BR11:BR35" si="2">IF((K11+L11+M11)&lt;&gt;D11," * La suma del N° de Primera visita + Segunda visita + Tercera o más visitas de seguimiento debe coincidir con el Total.","")</f>
        <v>#VALUE!</v>
      </c>
      <c r="BS11" s="135"/>
      <c r="BT11" s="1740" t="str">
        <f t="shared" ref="BT11:BT35" si="3">IF(AND(D11&gt;0,O11="")," * No olvide digitar la variable Pueblos Originarios. Digite Cero si no tiene..",IF(O11&gt;D11," * La variable Pueblos Originarios no puede ser mayor al Total.",""))</f>
        <v xml:space="preserve"> * La variable Pueblos Originarios no puede ser mayor al Total.</v>
      </c>
      <c r="BU11" s="1740" t="str">
        <f t="shared" ref="BU11:BU35" si="4">IF(AND(D11&gt;0,P11="")," * No olvide digitar la variable Migrantes. Digite Cero si no tiene.",IF(P11&gt;D11," * La variable Migrantes no puede ser mayor al Total.",""))</f>
        <v xml:space="preserve"> * La variable Migrantes no puede ser mayor al Total.</v>
      </c>
      <c r="BV11" s="1740" t="str">
        <f t="shared" ref="BV11:BV35" si="5">IF(AND($D11&gt;0,Q11="")," * No olvide digitar la variable Espacio Amigable/Adolescente. Digite Cero si no tiene.",IF(Q11&gt;$D11," * La variable Espacio Amigable/Adolescente no puede ser mayor al Total.",""))</f>
        <v xml:space="preserve"> * La variable Espacio Amigable/Adolescente no puede ser mayor al Total.</v>
      </c>
      <c r="BW11" s="135"/>
      <c r="BX11" s="1740" t="str">
        <f t="shared" ref="BX11:BX35" si="6">IF(AND($D11&gt;0,S11="")," * No olvide digitar la variable Niños, Niñas, Adolescentes y Jóvenes SENAME. Digite Cero si no tiene.",IF(S11&gt;$D11," * La variable Niños, Niñas, Adolescentes y Jóvenes SENAME no puede ser mayor al Total.",""))</f>
        <v xml:space="preserve"> * La variable Niños, Niñas, Adolescentes y Jóvenes SENAME no puede ser mayor al Total.</v>
      </c>
      <c r="BY11" s="1740" t="str">
        <f t="shared" ref="BY11:BY35" si="7">IF(AND($D11&gt;0,T11="")," * No olvide digitar la variable Niños, niñas, Adolescentes y Jóvenes Mejor Niñez. Digite Cero si no tiene.",IF(T11&gt;$D11," * La variable Niños, niñas, Adolescentes y Jóvenes Mejor Niñez no puede ser mayor al Total.",""))</f>
        <v xml:space="preserve"> * La variable Niños, niñas, Adolescentes y Jóvenes Mejor Niñez no puede ser mayor al Total.</v>
      </c>
      <c r="CA11" s="84" t="e">
        <f t="shared" si="0"/>
        <v>#VALUE!</v>
      </c>
      <c r="CB11" s="83"/>
      <c r="CC11" s="84">
        <f t="shared" ref="CC11:CC35" si="8">IF(AND(D11&gt;0,O11=""),1,IF(O11&gt;D11,1,0))</f>
        <v>1</v>
      </c>
      <c r="CD11" s="84">
        <f t="shared" ref="CD11:CD35" si="9">IF(AND(D11&gt;0,P11=""),1,IF(P11&gt;D11,1,0))</f>
        <v>1</v>
      </c>
      <c r="CE11" s="84">
        <f t="shared" ref="CE11:CF35" si="10">IF(AND($D11&gt;0,Q11=""),1,IF(Q11&gt;$D11,1,0))</f>
        <v>1</v>
      </c>
      <c r="CF11" s="83"/>
      <c r="CG11" s="84">
        <f t="shared" ref="CG11:CG35" si="11">IF(AND($D11&gt;0,S11=""),1,IF(S11&gt;$D11,1,0))</f>
        <v>1</v>
      </c>
      <c r="CH11" s="84">
        <f t="shared" ref="CH11:CH35" si="12">IF(AND($D11&gt;0,T11=""),1,IF(T11&gt;$D11,1,0))</f>
        <v>1</v>
      </c>
    </row>
    <row r="12" spans="1:86" s="19" customFormat="1" ht="15" customHeight="1" x14ac:dyDescent="0.15">
      <c r="A12" s="5818">
        <v>26273101</v>
      </c>
      <c r="B12" s="7341" t="s">
        <v>3054</v>
      </c>
      <c r="C12" s="7342"/>
      <c r="D12" s="1218" t="s">
        <v>4567</v>
      </c>
      <c r="E12" s="1219" t="s">
        <v>4568</v>
      </c>
      <c r="F12" s="1219" t="s">
        <v>4569</v>
      </c>
      <c r="G12" s="1219" t="s">
        <v>4570</v>
      </c>
      <c r="H12" s="1219" t="s">
        <v>4571</v>
      </c>
      <c r="I12" s="364" t="s">
        <v>4572</v>
      </c>
      <c r="J12" s="364" t="s">
        <v>4573</v>
      </c>
      <c r="K12" s="1219" t="s">
        <v>4574</v>
      </c>
      <c r="L12" s="1219" t="s">
        <v>4575</v>
      </c>
      <c r="M12" s="1219" t="s">
        <v>4576</v>
      </c>
      <c r="N12" s="1222" t="s">
        <v>4577</v>
      </c>
      <c r="O12" s="948" t="s">
        <v>4578</v>
      </c>
      <c r="P12" s="948" t="s">
        <v>4579</v>
      </c>
      <c r="Q12" s="948" t="s">
        <v>4580</v>
      </c>
      <c r="R12" s="1223" t="s">
        <v>4581</v>
      </c>
      <c r="S12" s="948" t="s">
        <v>4582</v>
      </c>
      <c r="T12" s="941" t="s">
        <v>4583</v>
      </c>
      <c r="U12" s="19" t="e">
        <f t="shared" si="1"/>
        <v>#VALUE!</v>
      </c>
      <c r="BR12" s="1740" t="e">
        <f t="shared" si="2"/>
        <v>#VALUE!</v>
      </c>
      <c r="BS12" s="135"/>
      <c r="BT12" s="1740" t="str">
        <f t="shared" si="3"/>
        <v xml:space="preserve"> * La variable Pueblos Originarios no puede ser mayor al Total.</v>
      </c>
      <c r="BU12" s="1740" t="str">
        <f t="shared" si="4"/>
        <v xml:space="preserve"> * La variable Migrantes no puede ser mayor al Total.</v>
      </c>
      <c r="BV12" s="1740" t="str">
        <f t="shared" si="5"/>
        <v xml:space="preserve"> * La variable Espacio Amigable/Adolescente no puede ser mayor al Total.</v>
      </c>
      <c r="BW12" s="135"/>
      <c r="BX12" s="1740" t="str">
        <f t="shared" si="6"/>
        <v xml:space="preserve"> * La variable Niños, Niñas, Adolescentes y Jóvenes SENAME no puede ser mayor al Total.</v>
      </c>
      <c r="BY12" s="1740" t="str">
        <f t="shared" si="7"/>
        <v xml:space="preserve"> * La variable Niños, niñas, Adolescentes y Jóvenes Mejor Niñez no puede ser mayor al Total.</v>
      </c>
      <c r="CA12" s="84" t="e">
        <f t="shared" si="0"/>
        <v>#VALUE!</v>
      </c>
      <c r="CB12" s="83"/>
      <c r="CC12" s="84">
        <f t="shared" si="8"/>
        <v>1</v>
      </c>
      <c r="CD12" s="84">
        <f t="shared" si="9"/>
        <v>1</v>
      </c>
      <c r="CE12" s="84">
        <f t="shared" si="10"/>
        <v>1</v>
      </c>
      <c r="CF12" s="83"/>
      <c r="CG12" s="84">
        <f t="shared" si="11"/>
        <v>1</v>
      </c>
      <c r="CH12" s="84">
        <f t="shared" si="12"/>
        <v>1</v>
      </c>
    </row>
    <row r="13" spans="1:86" s="19" customFormat="1" ht="15" customHeight="1" x14ac:dyDescent="0.15">
      <c r="A13" s="5868">
        <v>26274000</v>
      </c>
      <c r="B13" s="7341" t="s">
        <v>3055</v>
      </c>
      <c r="C13" s="7342"/>
      <c r="D13" s="1218" t="s">
        <v>4567</v>
      </c>
      <c r="E13" s="1219" t="s">
        <v>4568</v>
      </c>
      <c r="F13" s="1219" t="s">
        <v>4569</v>
      </c>
      <c r="G13" s="1219" t="s">
        <v>4570</v>
      </c>
      <c r="H13" s="1219" t="s">
        <v>4571</v>
      </c>
      <c r="I13" s="364" t="s">
        <v>4572</v>
      </c>
      <c r="J13" s="364" t="s">
        <v>4573</v>
      </c>
      <c r="K13" s="1219" t="s">
        <v>4574</v>
      </c>
      <c r="L13" s="1219" t="s">
        <v>4575</v>
      </c>
      <c r="M13" s="1219" t="s">
        <v>4576</v>
      </c>
      <c r="N13" s="1222" t="s">
        <v>4577</v>
      </c>
      <c r="O13" s="948" t="s">
        <v>4578</v>
      </c>
      <c r="P13" s="948" t="s">
        <v>4579</v>
      </c>
      <c r="Q13" s="948" t="s">
        <v>4580</v>
      </c>
      <c r="R13" s="1223" t="s">
        <v>4581</v>
      </c>
      <c r="S13" s="948" t="s">
        <v>4582</v>
      </c>
      <c r="T13" s="941" t="s">
        <v>4583</v>
      </c>
      <c r="U13" s="19" t="e">
        <f t="shared" si="1"/>
        <v>#VALUE!</v>
      </c>
      <c r="BR13" s="1740" t="e">
        <f t="shared" si="2"/>
        <v>#VALUE!</v>
      </c>
      <c r="BS13" s="135"/>
      <c r="BT13" s="1740" t="str">
        <f t="shared" si="3"/>
        <v xml:space="preserve"> * La variable Pueblos Originarios no puede ser mayor al Total.</v>
      </c>
      <c r="BU13" s="1740" t="str">
        <f t="shared" si="4"/>
        <v xml:space="preserve"> * La variable Migrantes no puede ser mayor al Total.</v>
      </c>
      <c r="BV13" s="1740" t="str">
        <f t="shared" si="5"/>
        <v xml:space="preserve"> * La variable Espacio Amigable/Adolescente no puede ser mayor al Total.</v>
      </c>
      <c r="BW13" s="135"/>
      <c r="BX13" s="1740" t="str">
        <f t="shared" si="6"/>
        <v xml:space="preserve"> * La variable Niños, Niñas, Adolescentes y Jóvenes SENAME no puede ser mayor al Total.</v>
      </c>
      <c r="BY13" s="1740" t="str">
        <f t="shared" si="7"/>
        <v xml:space="preserve"> * La variable Niños, niñas, Adolescentes y Jóvenes Mejor Niñez no puede ser mayor al Total.</v>
      </c>
      <c r="CA13" s="84" t="e">
        <f t="shared" si="0"/>
        <v>#VALUE!</v>
      </c>
      <c r="CB13" s="83"/>
      <c r="CC13" s="84">
        <f t="shared" si="8"/>
        <v>1</v>
      </c>
      <c r="CD13" s="84">
        <f t="shared" si="9"/>
        <v>1</v>
      </c>
      <c r="CE13" s="84">
        <f t="shared" si="10"/>
        <v>1</v>
      </c>
      <c r="CF13" s="83"/>
      <c r="CG13" s="84">
        <f t="shared" si="11"/>
        <v>1</v>
      </c>
      <c r="CH13" s="84">
        <f t="shared" si="12"/>
        <v>1</v>
      </c>
    </row>
    <row r="14" spans="1:86" s="19" customFormat="1" ht="15" customHeight="1" x14ac:dyDescent="0.15">
      <c r="A14" s="5868">
        <v>26401010</v>
      </c>
      <c r="B14" s="7341" t="s">
        <v>3056</v>
      </c>
      <c r="C14" s="7342"/>
      <c r="D14" s="1218" t="s">
        <v>4567</v>
      </c>
      <c r="E14" s="1219" t="s">
        <v>4568</v>
      </c>
      <c r="F14" s="1219" t="s">
        <v>4569</v>
      </c>
      <c r="G14" s="1219" t="s">
        <v>4570</v>
      </c>
      <c r="H14" s="1219" t="s">
        <v>4571</v>
      </c>
      <c r="I14" s="364" t="s">
        <v>4572</v>
      </c>
      <c r="J14" s="364" t="s">
        <v>4573</v>
      </c>
      <c r="K14" s="1219" t="s">
        <v>4574</v>
      </c>
      <c r="L14" s="1219" t="s">
        <v>4575</v>
      </c>
      <c r="M14" s="1219" t="s">
        <v>4576</v>
      </c>
      <c r="N14" s="1222" t="s">
        <v>4577</v>
      </c>
      <c r="O14" s="948" t="s">
        <v>4578</v>
      </c>
      <c r="P14" s="948" t="s">
        <v>4579</v>
      </c>
      <c r="Q14" s="948" t="s">
        <v>4580</v>
      </c>
      <c r="R14" s="1223" t="s">
        <v>4581</v>
      </c>
      <c r="S14" s="948" t="s">
        <v>4582</v>
      </c>
      <c r="T14" s="941" t="s">
        <v>4583</v>
      </c>
      <c r="U14" s="19" t="e">
        <f t="shared" si="1"/>
        <v>#VALUE!</v>
      </c>
      <c r="BR14" s="1740" t="e">
        <f t="shared" si="2"/>
        <v>#VALUE!</v>
      </c>
      <c r="BS14" s="135"/>
      <c r="BT14" s="1740" t="str">
        <f t="shared" si="3"/>
        <v xml:space="preserve"> * La variable Pueblos Originarios no puede ser mayor al Total.</v>
      </c>
      <c r="BU14" s="1740" t="str">
        <f t="shared" si="4"/>
        <v xml:space="preserve"> * La variable Migrantes no puede ser mayor al Total.</v>
      </c>
      <c r="BV14" s="1740" t="str">
        <f t="shared" si="5"/>
        <v xml:space="preserve"> * La variable Espacio Amigable/Adolescente no puede ser mayor al Total.</v>
      </c>
      <c r="BW14" s="135"/>
      <c r="BX14" s="1740" t="str">
        <f t="shared" si="6"/>
        <v xml:space="preserve"> * La variable Niños, Niñas, Adolescentes y Jóvenes SENAME no puede ser mayor al Total.</v>
      </c>
      <c r="BY14" s="1740" t="str">
        <f t="shared" si="7"/>
        <v xml:space="preserve"> * La variable Niños, niñas, Adolescentes y Jóvenes Mejor Niñez no puede ser mayor al Total.</v>
      </c>
      <c r="CA14" s="84" t="e">
        <f t="shared" si="0"/>
        <v>#VALUE!</v>
      </c>
      <c r="CB14" s="83"/>
      <c r="CC14" s="84">
        <f t="shared" si="8"/>
        <v>1</v>
      </c>
      <c r="CD14" s="84">
        <f t="shared" si="9"/>
        <v>1</v>
      </c>
      <c r="CE14" s="84">
        <f t="shared" si="10"/>
        <v>1</v>
      </c>
      <c r="CF14" s="83"/>
      <c r="CG14" s="84">
        <f t="shared" si="11"/>
        <v>1</v>
      </c>
      <c r="CH14" s="84">
        <f t="shared" si="12"/>
        <v>1</v>
      </c>
    </row>
    <row r="15" spans="1:86" s="19" customFormat="1" ht="15" customHeight="1" x14ac:dyDescent="0.15">
      <c r="A15" s="5868">
        <v>26401011</v>
      </c>
      <c r="B15" s="7341" t="s">
        <v>3057</v>
      </c>
      <c r="C15" s="7342"/>
      <c r="D15" s="1218" t="s">
        <v>4567</v>
      </c>
      <c r="E15" s="1219" t="s">
        <v>4568</v>
      </c>
      <c r="F15" s="1219" t="s">
        <v>4569</v>
      </c>
      <c r="G15" s="1219" t="s">
        <v>4570</v>
      </c>
      <c r="H15" s="1219" t="s">
        <v>4571</v>
      </c>
      <c r="I15" s="364" t="s">
        <v>4572</v>
      </c>
      <c r="J15" s="364" t="s">
        <v>4573</v>
      </c>
      <c r="K15" s="1219" t="s">
        <v>4574</v>
      </c>
      <c r="L15" s="1219" t="s">
        <v>4575</v>
      </c>
      <c r="M15" s="1219" t="s">
        <v>4576</v>
      </c>
      <c r="N15" s="1222" t="s">
        <v>4577</v>
      </c>
      <c r="O15" s="948" t="s">
        <v>4578</v>
      </c>
      <c r="P15" s="948" t="s">
        <v>4579</v>
      </c>
      <c r="Q15" s="948" t="s">
        <v>4580</v>
      </c>
      <c r="R15" s="1223" t="s">
        <v>4581</v>
      </c>
      <c r="S15" s="948" t="s">
        <v>4582</v>
      </c>
      <c r="T15" s="941" t="s">
        <v>4583</v>
      </c>
      <c r="U15" s="19" t="e">
        <f t="shared" si="1"/>
        <v>#VALUE!</v>
      </c>
      <c r="BR15" s="1740" t="e">
        <f t="shared" si="2"/>
        <v>#VALUE!</v>
      </c>
      <c r="BS15" s="135"/>
      <c r="BT15" s="1740" t="str">
        <f t="shared" si="3"/>
        <v xml:space="preserve"> * La variable Pueblos Originarios no puede ser mayor al Total.</v>
      </c>
      <c r="BU15" s="1740" t="str">
        <f t="shared" si="4"/>
        <v xml:space="preserve"> * La variable Migrantes no puede ser mayor al Total.</v>
      </c>
      <c r="BV15" s="1740" t="str">
        <f t="shared" si="5"/>
        <v xml:space="preserve"> * La variable Espacio Amigable/Adolescente no puede ser mayor al Total.</v>
      </c>
      <c r="BW15" s="135"/>
      <c r="BX15" s="1740" t="str">
        <f t="shared" si="6"/>
        <v xml:space="preserve"> * La variable Niños, Niñas, Adolescentes y Jóvenes SENAME no puede ser mayor al Total.</v>
      </c>
      <c r="BY15" s="1740" t="str">
        <f t="shared" si="7"/>
        <v xml:space="preserve"> * La variable Niños, niñas, Adolescentes y Jóvenes Mejor Niñez no puede ser mayor al Total.</v>
      </c>
      <c r="CA15" s="84" t="e">
        <f t="shared" si="0"/>
        <v>#VALUE!</v>
      </c>
      <c r="CB15" s="83"/>
      <c r="CC15" s="84">
        <f t="shared" si="8"/>
        <v>1</v>
      </c>
      <c r="CD15" s="84">
        <f t="shared" si="9"/>
        <v>1</v>
      </c>
      <c r="CE15" s="84">
        <f t="shared" si="10"/>
        <v>1</v>
      </c>
      <c r="CF15" s="83"/>
      <c r="CG15" s="84">
        <f t="shared" si="11"/>
        <v>1</v>
      </c>
      <c r="CH15" s="84">
        <f t="shared" si="12"/>
        <v>1</v>
      </c>
    </row>
    <row r="16" spans="1:86" s="19" customFormat="1" ht="15" customHeight="1" x14ac:dyDescent="0.15">
      <c r="A16" s="5868">
        <v>26291100</v>
      </c>
      <c r="B16" s="7341" t="s">
        <v>3058</v>
      </c>
      <c r="C16" s="7342"/>
      <c r="D16" s="1218" t="s">
        <v>4567</v>
      </c>
      <c r="E16" s="1219" t="s">
        <v>4568</v>
      </c>
      <c r="F16" s="1219" t="s">
        <v>4569</v>
      </c>
      <c r="G16" s="1219" t="s">
        <v>4570</v>
      </c>
      <c r="H16" s="1219" t="s">
        <v>4571</v>
      </c>
      <c r="I16" s="364" t="s">
        <v>4572</v>
      </c>
      <c r="J16" s="364" t="s">
        <v>4573</v>
      </c>
      <c r="K16" s="1219" t="s">
        <v>4574</v>
      </c>
      <c r="L16" s="1219" t="s">
        <v>4575</v>
      </c>
      <c r="M16" s="1219" t="s">
        <v>4576</v>
      </c>
      <c r="N16" s="1222" t="s">
        <v>4577</v>
      </c>
      <c r="O16" s="948" t="s">
        <v>4578</v>
      </c>
      <c r="P16" s="948" t="s">
        <v>4579</v>
      </c>
      <c r="Q16" s="948" t="s">
        <v>4580</v>
      </c>
      <c r="R16" s="1223" t="s">
        <v>4581</v>
      </c>
      <c r="S16" s="948" t="s">
        <v>4582</v>
      </c>
      <c r="T16" s="941" t="s">
        <v>4583</v>
      </c>
      <c r="U16" s="19" t="e">
        <f t="shared" si="1"/>
        <v>#VALUE!</v>
      </c>
      <c r="BR16" s="1740" t="e">
        <f t="shared" si="2"/>
        <v>#VALUE!</v>
      </c>
      <c r="BS16" s="135"/>
      <c r="BT16" s="1740" t="str">
        <f t="shared" si="3"/>
        <v xml:space="preserve"> * La variable Pueblos Originarios no puede ser mayor al Total.</v>
      </c>
      <c r="BU16" s="1740" t="str">
        <f t="shared" si="4"/>
        <v xml:space="preserve"> * La variable Migrantes no puede ser mayor al Total.</v>
      </c>
      <c r="BV16" s="1740" t="str">
        <f t="shared" si="5"/>
        <v xml:space="preserve"> * La variable Espacio Amigable/Adolescente no puede ser mayor al Total.</v>
      </c>
      <c r="BW16" s="135"/>
      <c r="BX16" s="1740" t="str">
        <f t="shared" si="6"/>
        <v xml:space="preserve"> * La variable Niños, Niñas, Adolescentes y Jóvenes SENAME no puede ser mayor al Total.</v>
      </c>
      <c r="BY16" s="1740" t="str">
        <f t="shared" si="7"/>
        <v xml:space="preserve"> * La variable Niños, niñas, Adolescentes y Jóvenes Mejor Niñez no puede ser mayor al Total.</v>
      </c>
      <c r="CA16" s="84" t="e">
        <f t="shared" si="0"/>
        <v>#VALUE!</v>
      </c>
      <c r="CB16" s="83"/>
      <c r="CC16" s="84">
        <f t="shared" si="8"/>
        <v>1</v>
      </c>
      <c r="CD16" s="84">
        <f t="shared" si="9"/>
        <v>1</v>
      </c>
      <c r="CE16" s="84">
        <f t="shared" si="10"/>
        <v>1</v>
      </c>
      <c r="CF16" s="83"/>
      <c r="CG16" s="84">
        <f t="shared" si="11"/>
        <v>1</v>
      </c>
      <c r="CH16" s="84">
        <f t="shared" si="12"/>
        <v>1</v>
      </c>
    </row>
    <row r="17" spans="1:86" s="19" customFormat="1" ht="15" customHeight="1" x14ac:dyDescent="0.15">
      <c r="A17" s="5868">
        <v>26273102</v>
      </c>
      <c r="B17" s="7341" t="s">
        <v>3059</v>
      </c>
      <c r="C17" s="7342"/>
      <c r="D17" s="1218" t="s">
        <v>4567</v>
      </c>
      <c r="E17" s="1219" t="s">
        <v>4568</v>
      </c>
      <c r="F17" s="1219" t="s">
        <v>4569</v>
      </c>
      <c r="G17" s="1219" t="s">
        <v>4570</v>
      </c>
      <c r="H17" s="1219" t="s">
        <v>4571</v>
      </c>
      <c r="I17" s="364" t="s">
        <v>4572</v>
      </c>
      <c r="J17" s="364" t="s">
        <v>4573</v>
      </c>
      <c r="K17" s="1219" t="s">
        <v>4574</v>
      </c>
      <c r="L17" s="1219" t="s">
        <v>4575</v>
      </c>
      <c r="M17" s="1219" t="s">
        <v>4576</v>
      </c>
      <c r="N17" s="1222" t="s">
        <v>4577</v>
      </c>
      <c r="O17" s="948" t="s">
        <v>4578</v>
      </c>
      <c r="P17" s="948" t="s">
        <v>4579</v>
      </c>
      <c r="Q17" s="948" t="s">
        <v>4580</v>
      </c>
      <c r="R17" s="1223" t="s">
        <v>4581</v>
      </c>
      <c r="S17" s="948" t="s">
        <v>4582</v>
      </c>
      <c r="T17" s="941" t="s">
        <v>4583</v>
      </c>
      <c r="U17" s="19" t="e">
        <f t="shared" si="1"/>
        <v>#VALUE!</v>
      </c>
      <c r="BR17" s="1740" t="e">
        <f t="shared" si="2"/>
        <v>#VALUE!</v>
      </c>
      <c r="BS17" s="135"/>
      <c r="BT17" s="1740" t="str">
        <f t="shared" si="3"/>
        <v xml:space="preserve"> * La variable Pueblos Originarios no puede ser mayor al Total.</v>
      </c>
      <c r="BU17" s="1740" t="str">
        <f t="shared" si="4"/>
        <v xml:space="preserve"> * La variable Migrantes no puede ser mayor al Total.</v>
      </c>
      <c r="BV17" s="1740" t="str">
        <f t="shared" si="5"/>
        <v xml:space="preserve"> * La variable Espacio Amigable/Adolescente no puede ser mayor al Total.</v>
      </c>
      <c r="BW17" s="135"/>
      <c r="BX17" s="1740" t="str">
        <f t="shared" si="6"/>
        <v xml:space="preserve"> * La variable Niños, Niñas, Adolescentes y Jóvenes SENAME no puede ser mayor al Total.</v>
      </c>
      <c r="BY17" s="1740" t="str">
        <f t="shared" si="7"/>
        <v xml:space="preserve"> * La variable Niños, niñas, Adolescentes y Jóvenes Mejor Niñez no puede ser mayor al Total.</v>
      </c>
      <c r="CA17" s="84" t="e">
        <f t="shared" si="0"/>
        <v>#VALUE!</v>
      </c>
      <c r="CB17" s="83"/>
      <c r="CC17" s="84">
        <f t="shared" si="8"/>
        <v>1</v>
      </c>
      <c r="CD17" s="84">
        <f t="shared" si="9"/>
        <v>1</v>
      </c>
      <c r="CE17" s="84">
        <f t="shared" si="10"/>
        <v>1</v>
      </c>
      <c r="CF17" s="83"/>
      <c r="CG17" s="84">
        <f t="shared" si="11"/>
        <v>1</v>
      </c>
      <c r="CH17" s="84">
        <f t="shared" si="12"/>
        <v>1</v>
      </c>
    </row>
    <row r="18" spans="1:86" s="19" customFormat="1" ht="15" customHeight="1" x14ac:dyDescent="0.15">
      <c r="A18" s="5818">
        <v>26274600</v>
      </c>
      <c r="B18" s="7341" t="s">
        <v>3060</v>
      </c>
      <c r="C18" s="7342"/>
      <c r="D18" s="1218" t="s">
        <v>4567</v>
      </c>
      <c r="E18" s="1219" t="s">
        <v>4568</v>
      </c>
      <c r="F18" s="1219" t="s">
        <v>4569</v>
      </c>
      <c r="G18" s="1219" t="s">
        <v>4570</v>
      </c>
      <c r="H18" s="1219" t="s">
        <v>4571</v>
      </c>
      <c r="I18" s="364" t="s">
        <v>4572</v>
      </c>
      <c r="J18" s="364" t="s">
        <v>4573</v>
      </c>
      <c r="K18" s="1219" t="s">
        <v>4574</v>
      </c>
      <c r="L18" s="1219" t="s">
        <v>4575</v>
      </c>
      <c r="M18" s="1219" t="s">
        <v>4576</v>
      </c>
      <c r="N18" s="947" t="s">
        <v>4577</v>
      </c>
      <c r="O18" s="948" t="s">
        <v>4578</v>
      </c>
      <c r="P18" s="948" t="s">
        <v>4579</v>
      </c>
      <c r="Q18" s="948" t="s">
        <v>4580</v>
      </c>
      <c r="R18" s="1223" t="s">
        <v>4581</v>
      </c>
      <c r="S18" s="948" t="s">
        <v>4582</v>
      </c>
      <c r="T18" s="941" t="s">
        <v>4583</v>
      </c>
      <c r="U18" s="19" t="e">
        <f>BR18&amp;BS18&amp;BT18&amp;BU18&amp;BV18&amp;BX18&amp;BY18</f>
        <v>#VALUE!</v>
      </c>
      <c r="BR18" s="1740" t="e">
        <f t="shared" si="2"/>
        <v>#VALUE!</v>
      </c>
      <c r="BS18" s="1740" t="str">
        <f>IF(AND(D18&gt;0,N18="")," * No olvide digitar la variable Programa de Acompañamiento Psicosocial en APS. Si no tiene digite Cero.",IF(N18&gt;D18," * La variable Programa de Acompañamiento Psicosocial en APS no puede ser mayor al Total.",""))</f>
        <v xml:space="preserve"> * La variable Programa de Acompañamiento Psicosocial en APS no puede ser mayor al Total.</v>
      </c>
      <c r="BT18" s="1740" t="str">
        <f t="shared" si="3"/>
        <v xml:space="preserve"> * La variable Pueblos Originarios no puede ser mayor al Total.</v>
      </c>
      <c r="BU18" s="1740" t="str">
        <f t="shared" si="4"/>
        <v xml:space="preserve"> * La variable Migrantes no puede ser mayor al Total.</v>
      </c>
      <c r="BV18" s="1740" t="str">
        <f t="shared" si="5"/>
        <v xml:space="preserve"> * La variable Espacio Amigable/Adolescente no puede ser mayor al Total.</v>
      </c>
      <c r="BW18" s="135"/>
      <c r="BX18" s="1740" t="str">
        <f t="shared" si="6"/>
        <v xml:space="preserve"> * La variable Niños, Niñas, Adolescentes y Jóvenes SENAME no puede ser mayor al Total.</v>
      </c>
      <c r="BY18" s="1740" t="str">
        <f t="shared" si="7"/>
        <v xml:space="preserve"> * La variable Niños, niñas, Adolescentes y Jóvenes Mejor Niñez no puede ser mayor al Total.</v>
      </c>
      <c r="CA18" s="84" t="e">
        <f t="shared" si="0"/>
        <v>#VALUE!</v>
      </c>
      <c r="CB18" s="84">
        <f>IF(AND(D18&gt;0,N18=""),1,IF(N18&gt;D18,1,0))</f>
        <v>1</v>
      </c>
      <c r="CC18" s="84">
        <f t="shared" si="8"/>
        <v>1</v>
      </c>
      <c r="CD18" s="84">
        <f t="shared" si="9"/>
        <v>1</v>
      </c>
      <c r="CE18" s="84">
        <f t="shared" si="10"/>
        <v>1</v>
      </c>
      <c r="CF18" s="83"/>
      <c r="CG18" s="84">
        <f t="shared" si="11"/>
        <v>1</v>
      </c>
      <c r="CH18" s="84">
        <f t="shared" si="12"/>
        <v>1</v>
      </c>
    </row>
    <row r="19" spans="1:86" s="19" customFormat="1" ht="15" customHeight="1" x14ac:dyDescent="0.15">
      <c r="A19" s="5818">
        <v>26262300</v>
      </c>
      <c r="B19" s="7341" t="s">
        <v>3061</v>
      </c>
      <c r="C19" s="7342"/>
      <c r="D19" s="1218" t="s">
        <v>4567</v>
      </c>
      <c r="E19" s="1219" t="s">
        <v>4568</v>
      </c>
      <c r="F19" s="1219" t="s">
        <v>4569</v>
      </c>
      <c r="G19" s="1219" t="s">
        <v>4570</v>
      </c>
      <c r="H19" s="1219" t="s">
        <v>4571</v>
      </c>
      <c r="I19" s="364" t="s">
        <v>4572</v>
      </c>
      <c r="J19" s="364" t="s">
        <v>4573</v>
      </c>
      <c r="K19" s="1219" t="s">
        <v>4574</v>
      </c>
      <c r="L19" s="1219" t="s">
        <v>4575</v>
      </c>
      <c r="M19" s="1219" t="s">
        <v>4576</v>
      </c>
      <c r="N19" s="947" t="s">
        <v>4577</v>
      </c>
      <c r="O19" s="948" t="s">
        <v>4578</v>
      </c>
      <c r="P19" s="948" t="s">
        <v>4579</v>
      </c>
      <c r="Q19" s="948" t="s">
        <v>4580</v>
      </c>
      <c r="R19" s="1223" t="s">
        <v>4581</v>
      </c>
      <c r="S19" s="948" t="s">
        <v>4582</v>
      </c>
      <c r="T19" s="941" t="s">
        <v>4583</v>
      </c>
      <c r="U19" s="19" t="e">
        <f t="shared" ref="U19:U20" si="13">BR19&amp;BS19&amp;BT19&amp;BU19&amp;BV19&amp;BX19&amp;BY19</f>
        <v>#VALUE!</v>
      </c>
      <c r="BR19" s="1740" t="e">
        <f t="shared" si="2"/>
        <v>#VALUE!</v>
      </c>
      <c r="BS19" s="1740" t="str">
        <f>IF(AND(D19&gt;0,N19="")," * No olvide digitar la variable Programa de Acompañamiento Psicosocial en APS. Si no tiene digite Cero.",IF(N19&gt;D19," * La variable Programa de Acompañamiento Psicosocial en APS no puede ser mayor al Total.",""))</f>
        <v xml:space="preserve"> * La variable Programa de Acompañamiento Psicosocial en APS no puede ser mayor al Total.</v>
      </c>
      <c r="BT19" s="1740" t="str">
        <f t="shared" si="3"/>
        <v xml:space="preserve"> * La variable Pueblos Originarios no puede ser mayor al Total.</v>
      </c>
      <c r="BU19" s="1740" t="str">
        <f t="shared" si="4"/>
        <v xml:space="preserve"> * La variable Migrantes no puede ser mayor al Total.</v>
      </c>
      <c r="BV19" s="1740" t="str">
        <f t="shared" si="5"/>
        <v xml:space="preserve"> * La variable Espacio Amigable/Adolescente no puede ser mayor al Total.</v>
      </c>
      <c r="BW19" s="135"/>
      <c r="BX19" s="1740" t="str">
        <f t="shared" si="6"/>
        <v xml:space="preserve"> * La variable Niños, Niñas, Adolescentes y Jóvenes SENAME no puede ser mayor al Total.</v>
      </c>
      <c r="BY19" s="1740" t="str">
        <f t="shared" si="7"/>
        <v xml:space="preserve"> * La variable Niños, niñas, Adolescentes y Jóvenes Mejor Niñez no puede ser mayor al Total.</v>
      </c>
      <c r="CA19" s="84" t="e">
        <f t="shared" si="0"/>
        <v>#VALUE!</v>
      </c>
      <c r="CB19" s="84">
        <f>IF(AND(D19&gt;0,N19=""),1,IF(N19&gt;D19,1,0))</f>
        <v>1</v>
      </c>
      <c r="CC19" s="84">
        <f t="shared" si="8"/>
        <v>1</v>
      </c>
      <c r="CD19" s="84">
        <f t="shared" si="9"/>
        <v>1</v>
      </c>
      <c r="CE19" s="84">
        <f t="shared" si="10"/>
        <v>1</v>
      </c>
      <c r="CF19" s="83"/>
      <c r="CG19" s="84">
        <f t="shared" si="11"/>
        <v>1</v>
      </c>
      <c r="CH19" s="84">
        <f t="shared" si="12"/>
        <v>1</v>
      </c>
    </row>
    <row r="20" spans="1:86" s="19" customFormat="1" ht="15" customHeight="1" x14ac:dyDescent="0.15">
      <c r="A20" s="5868">
        <v>26273103</v>
      </c>
      <c r="B20" s="7341" t="s">
        <v>3062</v>
      </c>
      <c r="C20" s="7342"/>
      <c r="D20" s="1218" t="s">
        <v>4567</v>
      </c>
      <c r="E20" s="1219" t="s">
        <v>4568</v>
      </c>
      <c r="F20" s="1219" t="s">
        <v>4569</v>
      </c>
      <c r="G20" s="1219" t="s">
        <v>4570</v>
      </c>
      <c r="H20" s="1219" t="s">
        <v>4571</v>
      </c>
      <c r="I20" s="364" t="s">
        <v>4572</v>
      </c>
      <c r="J20" s="364" t="s">
        <v>4573</v>
      </c>
      <c r="K20" s="1219" t="s">
        <v>4574</v>
      </c>
      <c r="L20" s="1219" t="s">
        <v>4575</v>
      </c>
      <c r="M20" s="1219" t="s">
        <v>4576</v>
      </c>
      <c r="N20" s="947" t="s">
        <v>4577</v>
      </c>
      <c r="O20" s="948" t="s">
        <v>4578</v>
      </c>
      <c r="P20" s="948" t="s">
        <v>4579</v>
      </c>
      <c r="Q20" s="948" t="s">
        <v>4580</v>
      </c>
      <c r="R20" s="1223" t="s">
        <v>4581</v>
      </c>
      <c r="S20" s="948" t="s">
        <v>4582</v>
      </c>
      <c r="T20" s="941" t="s">
        <v>4583</v>
      </c>
      <c r="U20" s="19" t="e">
        <f t="shared" si="13"/>
        <v>#VALUE!</v>
      </c>
      <c r="BR20" s="1740" t="e">
        <f t="shared" si="2"/>
        <v>#VALUE!</v>
      </c>
      <c r="BS20" s="1740" t="str">
        <f>IF(AND(D20&gt;0,N20="")," * No olvide digitar la variable Programa de Acompañamiento Psicosocial en APS. Si no tiene digite Cero.",IF(N20&gt;D20," * La variable Programa de Acompañamiento Psicosocial en APS no puede ser mayor al Total.",""))</f>
        <v xml:space="preserve"> * La variable Programa de Acompañamiento Psicosocial en APS no puede ser mayor al Total.</v>
      </c>
      <c r="BT20" s="1740" t="str">
        <f t="shared" si="3"/>
        <v xml:space="preserve"> * La variable Pueblos Originarios no puede ser mayor al Total.</v>
      </c>
      <c r="BU20" s="1740" t="str">
        <f t="shared" si="4"/>
        <v xml:space="preserve"> * La variable Migrantes no puede ser mayor al Total.</v>
      </c>
      <c r="BV20" s="1740" t="str">
        <f t="shared" si="5"/>
        <v xml:space="preserve"> * La variable Espacio Amigable/Adolescente no puede ser mayor al Total.</v>
      </c>
      <c r="BW20" s="135"/>
      <c r="BX20" s="1740" t="str">
        <f t="shared" si="6"/>
        <v xml:space="preserve"> * La variable Niños, Niñas, Adolescentes y Jóvenes SENAME no puede ser mayor al Total.</v>
      </c>
      <c r="BY20" s="1740" t="str">
        <f t="shared" si="7"/>
        <v xml:space="preserve"> * La variable Niños, niñas, Adolescentes y Jóvenes Mejor Niñez no puede ser mayor al Total.</v>
      </c>
      <c r="CA20" s="84" t="e">
        <f t="shared" si="0"/>
        <v>#VALUE!</v>
      </c>
      <c r="CB20" s="84">
        <f>IF(AND(D20&gt;0,N20=""),1,IF(N20&gt;D20,1,0))</f>
        <v>1</v>
      </c>
      <c r="CC20" s="84">
        <f t="shared" si="8"/>
        <v>1</v>
      </c>
      <c r="CD20" s="84">
        <f t="shared" si="9"/>
        <v>1</v>
      </c>
      <c r="CE20" s="84">
        <f t="shared" si="10"/>
        <v>1</v>
      </c>
      <c r="CF20" s="83"/>
      <c r="CG20" s="84">
        <f t="shared" si="11"/>
        <v>1</v>
      </c>
      <c r="CH20" s="84">
        <f t="shared" si="12"/>
        <v>1</v>
      </c>
    </row>
    <row r="21" spans="1:86" s="19" customFormat="1" ht="15" customHeight="1" x14ac:dyDescent="0.15">
      <c r="A21" s="5868">
        <v>26273105</v>
      </c>
      <c r="B21" s="7341" t="s">
        <v>3063</v>
      </c>
      <c r="C21" s="7342"/>
      <c r="D21" s="1218" t="s">
        <v>4567</v>
      </c>
      <c r="E21" s="1219" t="s">
        <v>4568</v>
      </c>
      <c r="F21" s="1219" t="s">
        <v>4569</v>
      </c>
      <c r="G21" s="1219" t="s">
        <v>4570</v>
      </c>
      <c r="H21" s="1219" t="s">
        <v>4571</v>
      </c>
      <c r="I21" s="364" t="s">
        <v>4572</v>
      </c>
      <c r="J21" s="364" t="s">
        <v>4573</v>
      </c>
      <c r="K21" s="1219" t="s">
        <v>4574</v>
      </c>
      <c r="L21" s="1219" t="s">
        <v>4575</v>
      </c>
      <c r="M21" s="1219" t="s">
        <v>4576</v>
      </c>
      <c r="N21" s="1222" t="s">
        <v>4577</v>
      </c>
      <c r="O21" s="948" t="s">
        <v>4578</v>
      </c>
      <c r="P21" s="948" t="s">
        <v>4579</v>
      </c>
      <c r="Q21" s="948" t="s">
        <v>4580</v>
      </c>
      <c r="R21" s="1223" t="s">
        <v>4581</v>
      </c>
      <c r="S21" s="948" t="s">
        <v>4582</v>
      </c>
      <c r="T21" s="941" t="s">
        <v>4583</v>
      </c>
      <c r="U21" s="19" t="e">
        <f t="shared" si="1"/>
        <v>#VALUE!</v>
      </c>
      <c r="BR21" s="1740" t="e">
        <f t="shared" si="2"/>
        <v>#VALUE!</v>
      </c>
      <c r="BS21" s="135"/>
      <c r="BT21" s="1740" t="str">
        <f t="shared" si="3"/>
        <v xml:space="preserve"> * La variable Pueblos Originarios no puede ser mayor al Total.</v>
      </c>
      <c r="BU21" s="1740" t="str">
        <f t="shared" si="4"/>
        <v xml:space="preserve"> * La variable Migrantes no puede ser mayor al Total.</v>
      </c>
      <c r="BV21" s="1740" t="str">
        <f t="shared" si="5"/>
        <v xml:space="preserve"> * La variable Espacio Amigable/Adolescente no puede ser mayor al Total.</v>
      </c>
      <c r="BW21" s="135"/>
      <c r="BX21" s="1740" t="str">
        <f t="shared" si="6"/>
        <v xml:space="preserve"> * La variable Niños, Niñas, Adolescentes y Jóvenes SENAME no puede ser mayor al Total.</v>
      </c>
      <c r="BY21" s="1740" t="str">
        <f t="shared" si="7"/>
        <v xml:space="preserve"> * La variable Niños, niñas, Adolescentes y Jóvenes Mejor Niñez no puede ser mayor al Total.</v>
      </c>
      <c r="CA21" s="84" t="e">
        <f t="shared" si="0"/>
        <v>#VALUE!</v>
      </c>
      <c r="CB21" s="83"/>
      <c r="CC21" s="84">
        <f t="shared" si="8"/>
        <v>1</v>
      </c>
      <c r="CD21" s="84">
        <f t="shared" si="9"/>
        <v>1</v>
      </c>
      <c r="CE21" s="84">
        <f t="shared" si="10"/>
        <v>1</v>
      </c>
      <c r="CF21" s="83"/>
      <c r="CG21" s="84">
        <f t="shared" si="11"/>
        <v>1</v>
      </c>
      <c r="CH21" s="84">
        <f t="shared" si="12"/>
        <v>1</v>
      </c>
    </row>
    <row r="22" spans="1:86" s="19" customFormat="1" ht="15" customHeight="1" x14ac:dyDescent="0.15">
      <c r="A22" s="5868">
        <v>26280010</v>
      </c>
      <c r="B22" s="7341" t="s">
        <v>3064</v>
      </c>
      <c r="C22" s="7342"/>
      <c r="D22" s="1218" t="s">
        <v>4567</v>
      </c>
      <c r="E22" s="1219" t="s">
        <v>4568</v>
      </c>
      <c r="F22" s="1219" t="s">
        <v>4569</v>
      </c>
      <c r="G22" s="1219" t="s">
        <v>4570</v>
      </c>
      <c r="H22" s="1219" t="s">
        <v>4571</v>
      </c>
      <c r="I22" s="364" t="s">
        <v>4572</v>
      </c>
      <c r="J22" s="364" t="s">
        <v>4573</v>
      </c>
      <c r="K22" s="1219" t="s">
        <v>4574</v>
      </c>
      <c r="L22" s="1219" t="s">
        <v>4575</v>
      </c>
      <c r="M22" s="1219" t="s">
        <v>4576</v>
      </c>
      <c r="N22" s="1222" t="s">
        <v>4577</v>
      </c>
      <c r="O22" s="948" t="s">
        <v>4578</v>
      </c>
      <c r="P22" s="948" t="s">
        <v>4579</v>
      </c>
      <c r="Q22" s="948" t="s">
        <v>4580</v>
      </c>
      <c r="R22" s="1223" t="s">
        <v>4581</v>
      </c>
      <c r="S22" s="948" t="s">
        <v>4582</v>
      </c>
      <c r="T22" s="941" t="s">
        <v>4583</v>
      </c>
      <c r="U22" s="19" t="e">
        <f t="shared" si="1"/>
        <v>#VALUE!</v>
      </c>
      <c r="BR22" s="1740" t="e">
        <f t="shared" si="2"/>
        <v>#VALUE!</v>
      </c>
      <c r="BS22" s="135"/>
      <c r="BT22" s="1740" t="str">
        <f t="shared" si="3"/>
        <v xml:space="preserve"> * La variable Pueblos Originarios no puede ser mayor al Total.</v>
      </c>
      <c r="BU22" s="1740" t="str">
        <f t="shared" si="4"/>
        <v xml:space="preserve"> * La variable Migrantes no puede ser mayor al Total.</v>
      </c>
      <c r="BV22" s="1740" t="str">
        <f t="shared" si="5"/>
        <v xml:space="preserve"> * La variable Espacio Amigable/Adolescente no puede ser mayor al Total.</v>
      </c>
      <c r="BW22" s="135"/>
      <c r="BX22" s="1740" t="str">
        <f t="shared" si="6"/>
        <v xml:space="preserve"> * La variable Niños, Niñas, Adolescentes y Jóvenes SENAME no puede ser mayor al Total.</v>
      </c>
      <c r="BY22" s="1740" t="str">
        <f t="shared" si="7"/>
        <v xml:space="preserve"> * La variable Niños, niñas, Adolescentes y Jóvenes Mejor Niñez no puede ser mayor al Total.</v>
      </c>
      <c r="CA22" s="84" t="e">
        <f t="shared" si="0"/>
        <v>#VALUE!</v>
      </c>
      <c r="CB22" s="83"/>
      <c r="CC22" s="84">
        <f t="shared" si="8"/>
        <v>1</v>
      </c>
      <c r="CD22" s="84">
        <f t="shared" si="9"/>
        <v>1</v>
      </c>
      <c r="CE22" s="84">
        <f t="shared" si="10"/>
        <v>1</v>
      </c>
      <c r="CF22" s="83"/>
      <c r="CG22" s="84">
        <f t="shared" si="11"/>
        <v>1</v>
      </c>
      <c r="CH22" s="84">
        <f t="shared" si="12"/>
        <v>1</v>
      </c>
    </row>
    <row r="23" spans="1:86" s="19" customFormat="1" ht="15" customHeight="1" x14ac:dyDescent="0.15">
      <c r="A23" s="5868">
        <v>26291150</v>
      </c>
      <c r="B23" s="7341" t="s">
        <v>3065</v>
      </c>
      <c r="C23" s="7342"/>
      <c r="D23" s="1218" t="s">
        <v>4567</v>
      </c>
      <c r="E23" s="1219" t="s">
        <v>4568</v>
      </c>
      <c r="F23" s="1219" t="s">
        <v>4569</v>
      </c>
      <c r="G23" s="1219" t="s">
        <v>4570</v>
      </c>
      <c r="H23" s="1219" t="s">
        <v>4571</v>
      </c>
      <c r="I23" s="364" t="s">
        <v>4572</v>
      </c>
      <c r="J23" s="364" t="s">
        <v>4573</v>
      </c>
      <c r="K23" s="1219" t="s">
        <v>4574</v>
      </c>
      <c r="L23" s="1219" t="s">
        <v>4575</v>
      </c>
      <c r="M23" s="1219" t="s">
        <v>4576</v>
      </c>
      <c r="N23" s="947" t="s">
        <v>4577</v>
      </c>
      <c r="O23" s="948" t="s">
        <v>4578</v>
      </c>
      <c r="P23" s="948" t="s">
        <v>4579</v>
      </c>
      <c r="Q23" s="948" t="s">
        <v>4580</v>
      </c>
      <c r="R23" s="948" t="s">
        <v>4581</v>
      </c>
      <c r="S23" s="948" t="s">
        <v>4582</v>
      </c>
      <c r="T23" s="941" t="s">
        <v>4583</v>
      </c>
      <c r="U23" s="19" t="e">
        <f>BR23&amp;BS23&amp;BT23&amp;BU23&amp;BV23&amp;BW23&amp;BX23&amp;BY23</f>
        <v>#VALUE!</v>
      </c>
      <c r="BR23" s="1740" t="e">
        <f t="shared" si="2"/>
        <v>#VALUE!</v>
      </c>
      <c r="BS23" s="1740" t="str">
        <f>IF(AND(D23&gt;0,N23="")," * No olvide digitar la variable Programa de Acompañamiento Psicosocial en APS. Si no tiene digite Cero.",IF(N23&gt;D23," * La variable Programa de Acompañamiento Psicosocial en APS no puede ser mayor al Total.",""))</f>
        <v xml:space="preserve"> * La variable Programa de Acompañamiento Psicosocial en APS no puede ser mayor al Total.</v>
      </c>
      <c r="BT23" s="1740" t="str">
        <f t="shared" si="3"/>
        <v xml:space="preserve"> * La variable Pueblos Originarios no puede ser mayor al Total.</v>
      </c>
      <c r="BU23" s="1740" t="str">
        <f t="shared" si="4"/>
        <v xml:space="preserve"> * La variable Migrantes no puede ser mayor al Total.</v>
      </c>
      <c r="BV23" s="1740" t="str">
        <f t="shared" si="5"/>
        <v xml:space="preserve"> * La variable Espacio Amigable/Adolescente no puede ser mayor al Total.</v>
      </c>
      <c r="BW23" s="1740" t="str">
        <f>IF(AND($D23&gt;0,R23="")," * No olvide digitar la variable Gestante con 3 o más riesgos. Digite Cero si no tiene.",IF(R23&gt;$D23," * La variable Gestante con 3 o más riesgos no puede ser mayor al Total.",""))</f>
        <v xml:space="preserve"> * La variable Gestante con 3 o más riesgos no puede ser mayor al Total.</v>
      </c>
      <c r="BX23" s="1740" t="str">
        <f t="shared" si="6"/>
        <v xml:space="preserve"> * La variable Niños, Niñas, Adolescentes y Jóvenes SENAME no puede ser mayor al Total.</v>
      </c>
      <c r="BY23" s="1740" t="str">
        <f t="shared" si="7"/>
        <v xml:space="preserve"> * La variable Niños, niñas, Adolescentes y Jóvenes Mejor Niñez no puede ser mayor al Total.</v>
      </c>
      <c r="CA23" s="84" t="e">
        <f t="shared" si="0"/>
        <v>#VALUE!</v>
      </c>
      <c r="CB23" s="84">
        <f>IF(AND(D23&gt;0,N23=""),1,IF(N23&gt;D23,1,0))</f>
        <v>1</v>
      </c>
      <c r="CC23" s="84">
        <f t="shared" si="8"/>
        <v>1</v>
      </c>
      <c r="CD23" s="84">
        <f t="shared" si="9"/>
        <v>1</v>
      </c>
      <c r="CE23" s="84">
        <f t="shared" si="10"/>
        <v>1</v>
      </c>
      <c r="CF23" s="84">
        <f>IF(AND($D23&gt;0,R23=""),1,IF(R23&gt;$D23,1,0))</f>
        <v>1</v>
      </c>
      <c r="CG23" s="84">
        <f t="shared" si="11"/>
        <v>1</v>
      </c>
      <c r="CH23" s="84">
        <f t="shared" si="12"/>
        <v>1</v>
      </c>
    </row>
    <row r="24" spans="1:86" s="19" customFormat="1" ht="15" customHeight="1" x14ac:dyDescent="0.15">
      <c r="A24" s="5868">
        <v>26262400</v>
      </c>
      <c r="B24" s="7341" t="s">
        <v>3066</v>
      </c>
      <c r="C24" s="7342"/>
      <c r="D24" s="1218" t="s">
        <v>4567</v>
      </c>
      <c r="E24" s="1219" t="s">
        <v>4568</v>
      </c>
      <c r="F24" s="1219" t="s">
        <v>4569</v>
      </c>
      <c r="G24" s="1219" t="s">
        <v>4570</v>
      </c>
      <c r="H24" s="1219" t="s">
        <v>4571</v>
      </c>
      <c r="I24" s="364" t="s">
        <v>4572</v>
      </c>
      <c r="J24" s="364" t="s">
        <v>4573</v>
      </c>
      <c r="K24" s="1219" t="s">
        <v>4574</v>
      </c>
      <c r="L24" s="1219" t="s">
        <v>4575</v>
      </c>
      <c r="M24" s="1219" t="s">
        <v>4576</v>
      </c>
      <c r="N24" s="947" t="s">
        <v>4577</v>
      </c>
      <c r="O24" s="948" t="s">
        <v>4578</v>
      </c>
      <c r="P24" s="948" t="s">
        <v>4579</v>
      </c>
      <c r="Q24" s="948" t="s">
        <v>4580</v>
      </c>
      <c r="R24" s="948" t="s">
        <v>4581</v>
      </c>
      <c r="S24" s="948" t="s">
        <v>4582</v>
      </c>
      <c r="T24" s="941" t="s">
        <v>4583</v>
      </c>
      <c r="U24" s="19" t="e">
        <f t="shared" ref="U24:U25" si="14">BR24&amp;BS24&amp;BT24&amp;BU24&amp;BV24&amp;BW24&amp;BX24&amp;BY24</f>
        <v>#VALUE!</v>
      </c>
      <c r="BR24" s="1740" t="e">
        <f t="shared" si="2"/>
        <v>#VALUE!</v>
      </c>
      <c r="BS24" s="1740" t="str">
        <f>IF(AND(D24&gt;0,N24="")," * No olvide digitar la variable Programa de Acompañamiento Psicosocial en APS. Si no tiene digite Cero.",IF(N24&gt;D24," * La variable Programa de Acompañamiento Psicosocial en APS no puede ser mayor al Total.",""))</f>
        <v xml:space="preserve"> * La variable Programa de Acompañamiento Psicosocial en APS no puede ser mayor al Total.</v>
      </c>
      <c r="BT24" s="1740" t="str">
        <f t="shared" si="3"/>
        <v xml:space="preserve"> * La variable Pueblos Originarios no puede ser mayor al Total.</v>
      </c>
      <c r="BU24" s="1740" t="str">
        <f t="shared" si="4"/>
        <v xml:space="preserve"> * La variable Migrantes no puede ser mayor al Total.</v>
      </c>
      <c r="BV24" s="1740" t="str">
        <f t="shared" si="5"/>
        <v xml:space="preserve"> * La variable Espacio Amigable/Adolescente no puede ser mayor al Total.</v>
      </c>
      <c r="BW24" s="1740" t="str">
        <f t="shared" ref="BW24:BW25" si="15">IF(AND($D24&gt;0,R24="")," * No olvide digitar la variable Gestante con 3 o más riesgos. Digite Cero si no tiene.",IF(R24&gt;$D24," * La variable Gestante con 3 o más riesgos no puede ser mayor al Total.",""))</f>
        <v xml:space="preserve"> * La variable Gestante con 3 o más riesgos no puede ser mayor al Total.</v>
      </c>
      <c r="BX24" s="1740" t="str">
        <f t="shared" si="6"/>
        <v xml:space="preserve"> * La variable Niños, Niñas, Adolescentes y Jóvenes SENAME no puede ser mayor al Total.</v>
      </c>
      <c r="BY24" s="1740" t="str">
        <f t="shared" si="7"/>
        <v xml:space="preserve"> * La variable Niños, niñas, Adolescentes y Jóvenes Mejor Niñez no puede ser mayor al Total.</v>
      </c>
      <c r="CA24" s="84" t="e">
        <f t="shared" si="0"/>
        <v>#VALUE!</v>
      </c>
      <c r="CB24" s="84">
        <f>IF(AND(D24&gt;0,N24=""),1,IF(N24&gt;D24,1,0))</f>
        <v>1</v>
      </c>
      <c r="CC24" s="84">
        <f t="shared" si="8"/>
        <v>1</v>
      </c>
      <c r="CD24" s="84">
        <f t="shared" si="9"/>
        <v>1</v>
      </c>
      <c r="CE24" s="84">
        <f t="shared" si="10"/>
        <v>1</v>
      </c>
      <c r="CF24" s="84">
        <f t="shared" si="10"/>
        <v>1</v>
      </c>
      <c r="CG24" s="84">
        <f t="shared" si="11"/>
        <v>1</v>
      </c>
      <c r="CH24" s="84">
        <f t="shared" si="12"/>
        <v>1</v>
      </c>
    </row>
    <row r="25" spans="1:86" s="19" customFormat="1" ht="15" customHeight="1" x14ac:dyDescent="0.15">
      <c r="A25" s="5868">
        <v>26291200</v>
      </c>
      <c r="B25" s="7341" t="s">
        <v>3067</v>
      </c>
      <c r="C25" s="7342"/>
      <c r="D25" s="1218" t="s">
        <v>4567</v>
      </c>
      <c r="E25" s="1219" t="s">
        <v>4568</v>
      </c>
      <c r="F25" s="1219" t="s">
        <v>4569</v>
      </c>
      <c r="G25" s="1219" t="s">
        <v>4570</v>
      </c>
      <c r="H25" s="1219" t="s">
        <v>4571</v>
      </c>
      <c r="I25" s="364" t="s">
        <v>4572</v>
      </c>
      <c r="J25" s="364" t="s">
        <v>4573</v>
      </c>
      <c r="K25" s="1219" t="s">
        <v>4574</v>
      </c>
      <c r="L25" s="1219" t="s">
        <v>4575</v>
      </c>
      <c r="M25" s="1219" t="s">
        <v>4576</v>
      </c>
      <c r="N25" s="947" t="s">
        <v>4577</v>
      </c>
      <c r="O25" s="948" t="s">
        <v>4578</v>
      </c>
      <c r="P25" s="948" t="s">
        <v>4579</v>
      </c>
      <c r="Q25" s="948" t="s">
        <v>4580</v>
      </c>
      <c r="R25" s="948" t="s">
        <v>4581</v>
      </c>
      <c r="S25" s="948" t="s">
        <v>4582</v>
      </c>
      <c r="T25" s="941" t="s">
        <v>4583</v>
      </c>
      <c r="U25" s="19" t="e">
        <f t="shared" si="14"/>
        <v>#VALUE!</v>
      </c>
      <c r="BR25" s="1740" t="e">
        <f t="shared" si="2"/>
        <v>#VALUE!</v>
      </c>
      <c r="BS25" s="1740" t="str">
        <f>IF(AND(D25&gt;0,N25="")," * No olvide digitar la variable Programa de Acompañamiento Psicosocial en APS. Si no tiene digite Cero.",IF(N25&gt;D25," * La variable Programa de Acompañamiento Psicosocial en APS no puede ser mayor al Total.",""))</f>
        <v xml:space="preserve"> * La variable Programa de Acompañamiento Psicosocial en APS no puede ser mayor al Total.</v>
      </c>
      <c r="BT25" s="1740" t="str">
        <f t="shared" si="3"/>
        <v xml:space="preserve"> * La variable Pueblos Originarios no puede ser mayor al Total.</v>
      </c>
      <c r="BU25" s="1740" t="str">
        <f t="shared" si="4"/>
        <v xml:space="preserve"> * La variable Migrantes no puede ser mayor al Total.</v>
      </c>
      <c r="BV25" s="1740" t="str">
        <f t="shared" si="5"/>
        <v xml:space="preserve"> * La variable Espacio Amigable/Adolescente no puede ser mayor al Total.</v>
      </c>
      <c r="BW25" s="1740" t="str">
        <f t="shared" si="15"/>
        <v xml:space="preserve"> * La variable Gestante con 3 o más riesgos no puede ser mayor al Total.</v>
      </c>
      <c r="BX25" s="1740" t="str">
        <f t="shared" si="6"/>
        <v xml:space="preserve"> * La variable Niños, Niñas, Adolescentes y Jóvenes SENAME no puede ser mayor al Total.</v>
      </c>
      <c r="BY25" s="1740" t="str">
        <f t="shared" si="7"/>
        <v xml:space="preserve"> * La variable Niños, niñas, Adolescentes y Jóvenes Mejor Niñez no puede ser mayor al Total.</v>
      </c>
      <c r="CA25" s="84" t="e">
        <f t="shared" si="0"/>
        <v>#VALUE!</v>
      </c>
      <c r="CB25" s="84">
        <f>IF(AND(D25&gt;0,N25=""),1,IF(N25&gt;D25,1,0))</f>
        <v>1</v>
      </c>
      <c r="CC25" s="84">
        <f t="shared" si="8"/>
        <v>1</v>
      </c>
      <c r="CD25" s="84">
        <f t="shared" si="9"/>
        <v>1</v>
      </c>
      <c r="CE25" s="84">
        <f t="shared" si="10"/>
        <v>1</v>
      </c>
      <c r="CF25" s="84">
        <f t="shared" si="10"/>
        <v>1</v>
      </c>
      <c r="CG25" s="84">
        <f t="shared" si="11"/>
        <v>1</v>
      </c>
      <c r="CH25" s="84">
        <f t="shared" si="12"/>
        <v>1</v>
      </c>
    </row>
    <row r="26" spans="1:86" s="19" customFormat="1" ht="15" customHeight="1" x14ac:dyDescent="0.15">
      <c r="A26" s="5868">
        <v>26291250</v>
      </c>
      <c r="B26" s="7341" t="s">
        <v>3068</v>
      </c>
      <c r="C26" s="7342"/>
      <c r="D26" s="1218" t="s">
        <v>4567</v>
      </c>
      <c r="E26" s="1219" t="s">
        <v>4568</v>
      </c>
      <c r="F26" s="1219" t="s">
        <v>4569</v>
      </c>
      <c r="G26" s="1219" t="s">
        <v>4570</v>
      </c>
      <c r="H26" s="1219" t="s">
        <v>4571</v>
      </c>
      <c r="I26" s="364" t="s">
        <v>4572</v>
      </c>
      <c r="J26" s="364" t="s">
        <v>4573</v>
      </c>
      <c r="K26" s="1219" t="s">
        <v>4574</v>
      </c>
      <c r="L26" s="1219" t="s">
        <v>4575</v>
      </c>
      <c r="M26" s="1219" t="s">
        <v>4576</v>
      </c>
      <c r="N26" s="1222" t="s">
        <v>4577</v>
      </c>
      <c r="O26" s="948" t="s">
        <v>4578</v>
      </c>
      <c r="P26" s="948" t="s">
        <v>4579</v>
      </c>
      <c r="Q26" s="948" t="s">
        <v>4580</v>
      </c>
      <c r="R26" s="1224" t="s">
        <v>4581</v>
      </c>
      <c r="S26" s="948" t="s">
        <v>4582</v>
      </c>
      <c r="T26" s="941" t="s">
        <v>4583</v>
      </c>
      <c r="U26" s="19" t="e">
        <f t="shared" ref="U26:U27" si="16">BR26&amp;BT26&amp;BU26&amp;BV26&amp;BX26&amp;BY26</f>
        <v>#VALUE!</v>
      </c>
      <c r="BR26" s="1740" t="e">
        <f>IF((K26+L26+M26)&lt;&gt;D26," * La suma del N° de Primera visita + Segunda visita + Tercera o más visitas de seguimiento debe coincidir con el Total.","")</f>
        <v>#VALUE!</v>
      </c>
      <c r="BS26" s="135"/>
      <c r="BT26" s="1740" t="str">
        <f t="shared" si="3"/>
        <v xml:space="preserve"> * La variable Pueblos Originarios no puede ser mayor al Total.</v>
      </c>
      <c r="BU26" s="1740" t="str">
        <f t="shared" si="4"/>
        <v xml:space="preserve"> * La variable Migrantes no puede ser mayor al Total.</v>
      </c>
      <c r="BV26" s="1740" t="str">
        <f t="shared" si="5"/>
        <v xml:space="preserve"> * La variable Espacio Amigable/Adolescente no puede ser mayor al Total.</v>
      </c>
      <c r="BW26" s="135"/>
      <c r="BX26" s="1740" t="str">
        <f t="shared" si="6"/>
        <v xml:space="preserve"> * La variable Niños, Niñas, Adolescentes y Jóvenes SENAME no puede ser mayor al Total.</v>
      </c>
      <c r="BY26" s="1740" t="str">
        <f t="shared" si="7"/>
        <v xml:space="preserve"> * La variable Niños, niñas, Adolescentes y Jóvenes Mejor Niñez no puede ser mayor al Total.</v>
      </c>
      <c r="CA26" s="84" t="e">
        <f t="shared" si="0"/>
        <v>#VALUE!</v>
      </c>
      <c r="CB26" s="83"/>
      <c r="CC26" s="84">
        <f t="shared" si="8"/>
        <v>1</v>
      </c>
      <c r="CD26" s="84">
        <f t="shared" si="9"/>
        <v>1</v>
      </c>
      <c r="CE26" s="84">
        <f t="shared" si="10"/>
        <v>1</v>
      </c>
      <c r="CF26" s="83"/>
      <c r="CG26" s="84">
        <f t="shared" si="11"/>
        <v>1</v>
      </c>
      <c r="CH26" s="84">
        <f t="shared" si="12"/>
        <v>1</v>
      </c>
    </row>
    <row r="27" spans="1:86" s="19" customFormat="1" ht="15" customHeight="1" x14ac:dyDescent="0.15">
      <c r="A27" s="5868">
        <v>26291300</v>
      </c>
      <c r="B27" s="7341" t="s">
        <v>3069</v>
      </c>
      <c r="C27" s="7342"/>
      <c r="D27" s="1218" t="s">
        <v>4567</v>
      </c>
      <c r="E27" s="1219" t="s">
        <v>4568</v>
      </c>
      <c r="F27" s="1219" t="s">
        <v>4569</v>
      </c>
      <c r="G27" s="1219" t="s">
        <v>4570</v>
      </c>
      <c r="H27" s="1219" t="s">
        <v>4571</v>
      </c>
      <c r="I27" s="364" t="s">
        <v>4572</v>
      </c>
      <c r="J27" s="364" t="s">
        <v>4573</v>
      </c>
      <c r="K27" s="1219" t="s">
        <v>4574</v>
      </c>
      <c r="L27" s="1219" t="s">
        <v>4575</v>
      </c>
      <c r="M27" s="1219" t="s">
        <v>4576</v>
      </c>
      <c r="N27" s="1222" t="s">
        <v>4577</v>
      </c>
      <c r="O27" s="948" t="s">
        <v>4578</v>
      </c>
      <c r="P27" s="948" t="s">
        <v>4579</v>
      </c>
      <c r="Q27" s="948" t="s">
        <v>4580</v>
      </c>
      <c r="R27" s="1224" t="s">
        <v>4581</v>
      </c>
      <c r="S27" s="948" t="s">
        <v>4582</v>
      </c>
      <c r="T27" s="941" t="s">
        <v>4583</v>
      </c>
      <c r="U27" s="19" t="e">
        <f t="shared" si="16"/>
        <v>#VALUE!</v>
      </c>
      <c r="BR27" s="1740" t="e">
        <f t="shared" si="2"/>
        <v>#VALUE!</v>
      </c>
      <c r="BS27" s="135"/>
      <c r="BT27" s="1740" t="str">
        <f t="shared" si="3"/>
        <v xml:space="preserve"> * La variable Pueblos Originarios no puede ser mayor al Total.</v>
      </c>
      <c r="BU27" s="1740" t="str">
        <f t="shared" si="4"/>
        <v xml:space="preserve"> * La variable Migrantes no puede ser mayor al Total.</v>
      </c>
      <c r="BV27" s="1740" t="str">
        <f t="shared" si="5"/>
        <v xml:space="preserve"> * La variable Espacio Amigable/Adolescente no puede ser mayor al Total.</v>
      </c>
      <c r="BW27" s="135"/>
      <c r="BX27" s="1740" t="str">
        <f t="shared" si="6"/>
        <v xml:space="preserve"> * La variable Niños, Niñas, Adolescentes y Jóvenes SENAME no puede ser mayor al Total.</v>
      </c>
      <c r="BY27" s="1740" t="str">
        <f t="shared" si="7"/>
        <v xml:space="preserve"> * La variable Niños, niñas, Adolescentes y Jóvenes Mejor Niñez no puede ser mayor al Total.</v>
      </c>
      <c r="CA27" s="84" t="e">
        <f t="shared" si="0"/>
        <v>#VALUE!</v>
      </c>
      <c r="CB27" s="83"/>
      <c r="CC27" s="84">
        <f t="shared" si="8"/>
        <v>1</v>
      </c>
      <c r="CD27" s="84">
        <f t="shared" si="9"/>
        <v>1</v>
      </c>
      <c r="CE27" s="84">
        <f t="shared" si="10"/>
        <v>1</v>
      </c>
      <c r="CF27" s="83"/>
      <c r="CG27" s="84">
        <f t="shared" si="11"/>
        <v>1</v>
      </c>
      <c r="CH27" s="84">
        <f t="shared" si="12"/>
        <v>1</v>
      </c>
    </row>
    <row r="28" spans="1:86" s="19" customFormat="1" ht="15" customHeight="1" x14ac:dyDescent="0.15">
      <c r="A28" s="5868">
        <v>26280020</v>
      </c>
      <c r="B28" s="7341" t="s">
        <v>3070</v>
      </c>
      <c r="C28" s="7342"/>
      <c r="D28" s="1218" t="s">
        <v>4567</v>
      </c>
      <c r="E28" s="1219" t="s">
        <v>4568</v>
      </c>
      <c r="F28" s="1219" t="s">
        <v>4569</v>
      </c>
      <c r="G28" s="1219" t="s">
        <v>4570</v>
      </c>
      <c r="H28" s="1219" t="s">
        <v>4571</v>
      </c>
      <c r="I28" s="364" t="s">
        <v>4572</v>
      </c>
      <c r="J28" s="364" t="s">
        <v>4573</v>
      </c>
      <c r="K28" s="1219" t="s">
        <v>4574</v>
      </c>
      <c r="L28" s="1219" t="s">
        <v>4575</v>
      </c>
      <c r="M28" s="1219" t="s">
        <v>4576</v>
      </c>
      <c r="N28" s="1222" t="s">
        <v>4577</v>
      </c>
      <c r="O28" s="948" t="s">
        <v>4578</v>
      </c>
      <c r="P28" s="948" t="s">
        <v>4579</v>
      </c>
      <c r="Q28" s="948" t="s">
        <v>4580</v>
      </c>
      <c r="R28" s="1224" t="s">
        <v>4581</v>
      </c>
      <c r="S28" s="948" t="s">
        <v>4582</v>
      </c>
      <c r="T28" s="941" t="s">
        <v>4583</v>
      </c>
      <c r="U28" s="19" t="e">
        <f>BR28&amp;BT28&amp;BU28&amp;BV28&amp;BX28&amp;BY28</f>
        <v>#VALUE!</v>
      </c>
      <c r="BR28" s="1740" t="e">
        <f t="shared" si="2"/>
        <v>#VALUE!</v>
      </c>
      <c r="BS28" s="135"/>
      <c r="BT28" s="1740" t="str">
        <f t="shared" si="3"/>
        <v xml:space="preserve"> * La variable Pueblos Originarios no puede ser mayor al Total.</v>
      </c>
      <c r="BU28" s="1740" t="str">
        <f t="shared" si="4"/>
        <v xml:space="preserve"> * La variable Migrantes no puede ser mayor al Total.</v>
      </c>
      <c r="BV28" s="1740" t="str">
        <f t="shared" si="5"/>
        <v xml:space="preserve"> * La variable Espacio Amigable/Adolescente no puede ser mayor al Total.</v>
      </c>
      <c r="BW28" s="135"/>
      <c r="BX28" s="1740" t="str">
        <f t="shared" si="6"/>
        <v xml:space="preserve"> * La variable Niños, Niñas, Adolescentes y Jóvenes SENAME no puede ser mayor al Total.</v>
      </c>
      <c r="BY28" s="1740" t="str">
        <f t="shared" si="7"/>
        <v xml:space="preserve"> * La variable Niños, niñas, Adolescentes y Jóvenes Mejor Niñez no puede ser mayor al Total.</v>
      </c>
      <c r="CA28" s="84" t="e">
        <f t="shared" si="0"/>
        <v>#VALUE!</v>
      </c>
      <c r="CB28" s="83"/>
      <c r="CC28" s="84">
        <f t="shared" si="8"/>
        <v>1</v>
      </c>
      <c r="CD28" s="84">
        <f t="shared" si="9"/>
        <v>1</v>
      </c>
      <c r="CE28" s="84">
        <f t="shared" si="10"/>
        <v>1</v>
      </c>
      <c r="CF28" s="83"/>
      <c r="CG28" s="84">
        <f t="shared" si="11"/>
        <v>1</v>
      </c>
      <c r="CH28" s="84">
        <f t="shared" si="12"/>
        <v>1</v>
      </c>
    </row>
    <row r="29" spans="1:86" s="19" customFormat="1" ht="15" customHeight="1" x14ac:dyDescent="0.15">
      <c r="A29" s="5868">
        <v>26273107</v>
      </c>
      <c r="B29" s="7341" t="s">
        <v>3071</v>
      </c>
      <c r="C29" s="7342"/>
      <c r="D29" s="1218" t="s">
        <v>4567</v>
      </c>
      <c r="E29" s="1219" t="s">
        <v>4568</v>
      </c>
      <c r="F29" s="1219" t="s">
        <v>4569</v>
      </c>
      <c r="G29" s="1219" t="s">
        <v>4570</v>
      </c>
      <c r="H29" s="1219" t="s">
        <v>4571</v>
      </c>
      <c r="I29" s="364" t="s">
        <v>4572</v>
      </c>
      <c r="J29" s="364" t="s">
        <v>4573</v>
      </c>
      <c r="K29" s="1219" t="s">
        <v>4574</v>
      </c>
      <c r="L29" s="1219" t="s">
        <v>4575</v>
      </c>
      <c r="M29" s="1219" t="s">
        <v>4576</v>
      </c>
      <c r="N29" s="947" t="s">
        <v>4577</v>
      </c>
      <c r="O29" s="948" t="s">
        <v>4578</v>
      </c>
      <c r="P29" s="948" t="s">
        <v>4579</v>
      </c>
      <c r="Q29" s="948" t="s">
        <v>4580</v>
      </c>
      <c r="R29" s="1224" t="s">
        <v>4581</v>
      </c>
      <c r="S29" s="948" t="s">
        <v>4582</v>
      </c>
      <c r="T29" s="941" t="s">
        <v>4583</v>
      </c>
      <c r="U29" s="19" t="e">
        <f>BR29&amp;BS29&amp;BT29&amp;BU29&amp;BV29&amp;BX29&amp;BY29</f>
        <v>#VALUE!</v>
      </c>
      <c r="BR29" s="1740" t="e">
        <f t="shared" si="2"/>
        <v>#VALUE!</v>
      </c>
      <c r="BS29" s="1740" t="str">
        <f t="shared" ref="BS29:BS35" si="17">IF(AND(D29&gt;0,N29="")," * No olvide digitar la variable Programa de Acompañamiento Psicosocial en APS. Si no tiene digite Cero.",IF(N29&gt;D29," * La variable Programa de Acompañamiento Psicosocial en APS no puede ser mayor al Total.",""))</f>
        <v xml:space="preserve"> * La variable Programa de Acompañamiento Psicosocial en APS no puede ser mayor al Total.</v>
      </c>
      <c r="BT29" s="1740" t="str">
        <f t="shared" si="3"/>
        <v xml:space="preserve"> * La variable Pueblos Originarios no puede ser mayor al Total.</v>
      </c>
      <c r="BU29" s="1740" t="str">
        <f t="shared" si="4"/>
        <v xml:space="preserve"> * La variable Migrantes no puede ser mayor al Total.</v>
      </c>
      <c r="BV29" s="1740" t="str">
        <f t="shared" si="5"/>
        <v xml:space="preserve"> * La variable Espacio Amigable/Adolescente no puede ser mayor al Total.</v>
      </c>
      <c r="BW29" s="135"/>
      <c r="BX29" s="1740" t="str">
        <f t="shared" si="6"/>
        <v xml:space="preserve"> * La variable Niños, Niñas, Adolescentes y Jóvenes SENAME no puede ser mayor al Total.</v>
      </c>
      <c r="BY29" s="1740" t="str">
        <f t="shared" si="7"/>
        <v xml:space="preserve"> * La variable Niños, niñas, Adolescentes y Jóvenes Mejor Niñez no puede ser mayor al Total.</v>
      </c>
      <c r="CA29" s="84" t="e">
        <f t="shared" si="0"/>
        <v>#VALUE!</v>
      </c>
      <c r="CB29" s="84">
        <f t="shared" ref="CB29:CB35" si="18">IF(AND(D29&gt;0,N29=""),1,IF(N29&gt;D29,1,0))</f>
        <v>1</v>
      </c>
      <c r="CC29" s="84">
        <f t="shared" si="8"/>
        <v>1</v>
      </c>
      <c r="CD29" s="84">
        <f t="shared" si="9"/>
        <v>1</v>
      </c>
      <c r="CE29" s="84">
        <f t="shared" si="10"/>
        <v>1</v>
      </c>
      <c r="CF29" s="83"/>
      <c r="CG29" s="84">
        <f t="shared" si="11"/>
        <v>1</v>
      </c>
      <c r="CH29" s="84">
        <f t="shared" si="12"/>
        <v>1</v>
      </c>
    </row>
    <row r="30" spans="1:86" s="19" customFormat="1" ht="15" customHeight="1" x14ac:dyDescent="0.15">
      <c r="A30" s="5868">
        <v>26274601</v>
      </c>
      <c r="B30" s="7341" t="s">
        <v>3072</v>
      </c>
      <c r="C30" s="7342"/>
      <c r="D30" s="1218" t="s">
        <v>4567</v>
      </c>
      <c r="E30" s="1219" t="s">
        <v>4568</v>
      </c>
      <c r="F30" s="1219" t="s">
        <v>4569</v>
      </c>
      <c r="G30" s="1219" t="s">
        <v>4570</v>
      </c>
      <c r="H30" s="1219" t="s">
        <v>4571</v>
      </c>
      <c r="I30" s="364" t="s">
        <v>4572</v>
      </c>
      <c r="J30" s="364" t="s">
        <v>4573</v>
      </c>
      <c r="K30" s="1219" t="s">
        <v>4574</v>
      </c>
      <c r="L30" s="1219" t="s">
        <v>4575</v>
      </c>
      <c r="M30" s="1219" t="s">
        <v>4576</v>
      </c>
      <c r="N30" s="947" t="s">
        <v>4577</v>
      </c>
      <c r="O30" s="948" t="s">
        <v>4578</v>
      </c>
      <c r="P30" s="948" t="s">
        <v>4579</v>
      </c>
      <c r="Q30" s="948" t="s">
        <v>4580</v>
      </c>
      <c r="R30" s="1224" t="s">
        <v>4581</v>
      </c>
      <c r="S30" s="948" t="s">
        <v>4582</v>
      </c>
      <c r="T30" s="941" t="s">
        <v>4583</v>
      </c>
      <c r="U30" s="19" t="e">
        <f t="shared" ref="U30:U35" si="19">BR30&amp;BS30&amp;BT30&amp;BU30&amp;BV30&amp;BX30&amp;BY30</f>
        <v>#VALUE!</v>
      </c>
      <c r="BR30" s="1740" t="e">
        <f t="shared" si="2"/>
        <v>#VALUE!</v>
      </c>
      <c r="BS30" s="1740" t="str">
        <f t="shared" si="17"/>
        <v xml:space="preserve"> * La variable Programa de Acompañamiento Psicosocial en APS no puede ser mayor al Total.</v>
      </c>
      <c r="BT30" s="1740" t="str">
        <f t="shared" si="3"/>
        <v xml:space="preserve"> * La variable Pueblos Originarios no puede ser mayor al Total.</v>
      </c>
      <c r="BU30" s="1740" t="str">
        <f t="shared" si="4"/>
        <v xml:space="preserve"> * La variable Migrantes no puede ser mayor al Total.</v>
      </c>
      <c r="BV30" s="1740" t="str">
        <f t="shared" si="5"/>
        <v xml:space="preserve"> * La variable Espacio Amigable/Adolescente no puede ser mayor al Total.</v>
      </c>
      <c r="BW30" s="135"/>
      <c r="BX30" s="1740" t="str">
        <f t="shared" si="6"/>
        <v xml:space="preserve"> * La variable Niños, Niñas, Adolescentes y Jóvenes SENAME no puede ser mayor al Total.</v>
      </c>
      <c r="BY30" s="1740" t="str">
        <f t="shared" si="7"/>
        <v xml:space="preserve"> * La variable Niños, niñas, Adolescentes y Jóvenes Mejor Niñez no puede ser mayor al Total.</v>
      </c>
      <c r="CA30" s="84" t="e">
        <f t="shared" si="0"/>
        <v>#VALUE!</v>
      </c>
      <c r="CB30" s="84">
        <f t="shared" si="18"/>
        <v>1</v>
      </c>
      <c r="CC30" s="84">
        <f t="shared" si="8"/>
        <v>1</v>
      </c>
      <c r="CD30" s="84">
        <f t="shared" si="9"/>
        <v>1</v>
      </c>
      <c r="CE30" s="84">
        <f t="shared" si="10"/>
        <v>1</v>
      </c>
      <c r="CF30" s="83"/>
      <c r="CG30" s="84">
        <f t="shared" si="11"/>
        <v>1</v>
      </c>
      <c r="CH30" s="84">
        <f t="shared" si="12"/>
        <v>1</v>
      </c>
    </row>
    <row r="31" spans="1:86" s="19" customFormat="1" ht="15" customHeight="1" x14ac:dyDescent="0.15">
      <c r="A31" s="5826">
        <v>26300110</v>
      </c>
      <c r="B31" s="7470" t="s">
        <v>3073</v>
      </c>
      <c r="C31" s="7471"/>
      <c r="D31" s="1218" t="s">
        <v>4567</v>
      </c>
      <c r="E31" s="1219" t="s">
        <v>4568</v>
      </c>
      <c r="F31" s="1219" t="s">
        <v>4569</v>
      </c>
      <c r="G31" s="1219" t="s">
        <v>4570</v>
      </c>
      <c r="H31" s="1219" t="s">
        <v>4571</v>
      </c>
      <c r="I31" s="364" t="s">
        <v>4572</v>
      </c>
      <c r="J31" s="364" t="s">
        <v>4573</v>
      </c>
      <c r="K31" s="1219" t="s">
        <v>4574</v>
      </c>
      <c r="L31" s="1219" t="s">
        <v>4575</v>
      </c>
      <c r="M31" s="1219" t="s">
        <v>4576</v>
      </c>
      <c r="N31" s="947" t="s">
        <v>4577</v>
      </c>
      <c r="O31" s="948" t="s">
        <v>4578</v>
      </c>
      <c r="P31" s="948" t="s">
        <v>4579</v>
      </c>
      <c r="Q31" s="948" t="s">
        <v>4580</v>
      </c>
      <c r="R31" s="1224" t="s">
        <v>4581</v>
      </c>
      <c r="S31" s="948" t="s">
        <v>4582</v>
      </c>
      <c r="T31" s="941" t="s">
        <v>4583</v>
      </c>
      <c r="U31" s="19" t="e">
        <f t="shared" si="19"/>
        <v>#VALUE!</v>
      </c>
      <c r="BR31" s="1740" t="e">
        <f t="shared" si="2"/>
        <v>#VALUE!</v>
      </c>
      <c r="BS31" s="1740" t="str">
        <f t="shared" si="17"/>
        <v xml:space="preserve"> * La variable Programa de Acompañamiento Psicosocial en APS no puede ser mayor al Total.</v>
      </c>
      <c r="BT31" s="1740" t="str">
        <f t="shared" si="3"/>
        <v xml:space="preserve"> * La variable Pueblos Originarios no puede ser mayor al Total.</v>
      </c>
      <c r="BU31" s="1740" t="str">
        <f t="shared" si="4"/>
        <v xml:space="preserve"> * La variable Migrantes no puede ser mayor al Total.</v>
      </c>
      <c r="BV31" s="1740" t="str">
        <f t="shared" si="5"/>
        <v xml:space="preserve"> * La variable Espacio Amigable/Adolescente no puede ser mayor al Total.</v>
      </c>
      <c r="BW31" s="135"/>
      <c r="BX31" s="1740" t="str">
        <f t="shared" si="6"/>
        <v xml:space="preserve"> * La variable Niños, Niñas, Adolescentes y Jóvenes SENAME no puede ser mayor al Total.</v>
      </c>
      <c r="BY31" s="1740" t="str">
        <f t="shared" si="7"/>
        <v xml:space="preserve"> * La variable Niños, niñas, Adolescentes y Jóvenes Mejor Niñez no puede ser mayor al Total.</v>
      </c>
      <c r="CA31" s="84" t="e">
        <f t="shared" si="0"/>
        <v>#VALUE!</v>
      </c>
      <c r="CB31" s="84">
        <f t="shared" si="18"/>
        <v>1</v>
      </c>
      <c r="CC31" s="84">
        <f t="shared" si="8"/>
        <v>1</v>
      </c>
      <c r="CD31" s="84">
        <f t="shared" si="9"/>
        <v>1</v>
      </c>
      <c r="CE31" s="84">
        <f t="shared" si="10"/>
        <v>1</v>
      </c>
      <c r="CF31" s="83"/>
      <c r="CG31" s="84">
        <f t="shared" si="11"/>
        <v>1</v>
      </c>
      <c r="CH31" s="84">
        <f t="shared" si="12"/>
        <v>1</v>
      </c>
    </row>
    <row r="32" spans="1:86" s="19" customFormat="1" ht="15" customHeight="1" x14ac:dyDescent="0.15">
      <c r="A32" s="5826">
        <v>29101527</v>
      </c>
      <c r="B32" s="7470" t="s">
        <v>3074</v>
      </c>
      <c r="C32" s="7471"/>
      <c r="D32" s="1218" t="s">
        <v>4567</v>
      </c>
      <c r="E32" s="1219" t="s">
        <v>4568</v>
      </c>
      <c r="F32" s="1219" t="s">
        <v>4569</v>
      </c>
      <c r="G32" s="1219" t="s">
        <v>4570</v>
      </c>
      <c r="H32" s="1219" t="s">
        <v>4571</v>
      </c>
      <c r="I32" s="364" t="s">
        <v>4572</v>
      </c>
      <c r="J32" s="364" t="s">
        <v>4573</v>
      </c>
      <c r="K32" s="1219" t="s">
        <v>4574</v>
      </c>
      <c r="L32" s="1219" t="s">
        <v>4575</v>
      </c>
      <c r="M32" s="1219" t="s">
        <v>4576</v>
      </c>
      <c r="N32" s="1222" t="s">
        <v>4577</v>
      </c>
      <c r="O32" s="948" t="s">
        <v>4578</v>
      </c>
      <c r="P32" s="948" t="s">
        <v>4579</v>
      </c>
      <c r="Q32" s="948" t="s">
        <v>4580</v>
      </c>
      <c r="R32" s="1224" t="s">
        <v>4581</v>
      </c>
      <c r="S32" s="948" t="s">
        <v>4582</v>
      </c>
      <c r="T32" s="941" t="s">
        <v>4583</v>
      </c>
      <c r="U32" s="19" t="e">
        <f t="shared" si="19"/>
        <v>#VALUE!</v>
      </c>
      <c r="BR32" s="1740" t="e">
        <f t="shared" si="2"/>
        <v>#VALUE!</v>
      </c>
      <c r="BS32" s="1740" t="str">
        <f t="shared" si="17"/>
        <v xml:space="preserve"> * La variable Programa de Acompañamiento Psicosocial en APS no puede ser mayor al Total.</v>
      </c>
      <c r="BT32" s="1740" t="str">
        <f t="shared" si="3"/>
        <v xml:space="preserve"> * La variable Pueblos Originarios no puede ser mayor al Total.</v>
      </c>
      <c r="BU32" s="1740" t="str">
        <f t="shared" si="4"/>
        <v xml:space="preserve"> * La variable Migrantes no puede ser mayor al Total.</v>
      </c>
      <c r="BV32" s="1740" t="str">
        <f t="shared" si="5"/>
        <v xml:space="preserve"> * La variable Espacio Amigable/Adolescente no puede ser mayor al Total.</v>
      </c>
      <c r="BW32" s="135"/>
      <c r="BX32" s="1740" t="str">
        <f t="shared" si="6"/>
        <v xml:space="preserve"> * La variable Niños, Niñas, Adolescentes y Jóvenes SENAME no puede ser mayor al Total.</v>
      </c>
      <c r="BY32" s="1740" t="str">
        <f t="shared" si="7"/>
        <v xml:space="preserve"> * La variable Niños, niñas, Adolescentes y Jóvenes Mejor Niñez no puede ser mayor al Total.</v>
      </c>
      <c r="CA32" s="84" t="e">
        <f t="shared" si="0"/>
        <v>#VALUE!</v>
      </c>
      <c r="CB32" s="84">
        <f t="shared" si="18"/>
        <v>1</v>
      </c>
      <c r="CC32" s="84">
        <f t="shared" si="8"/>
        <v>1</v>
      </c>
      <c r="CD32" s="84">
        <f t="shared" si="9"/>
        <v>1</v>
      </c>
      <c r="CE32" s="84">
        <f t="shared" si="10"/>
        <v>1</v>
      </c>
      <c r="CF32" s="83"/>
      <c r="CG32" s="84">
        <f t="shared" si="11"/>
        <v>1</v>
      </c>
      <c r="CH32" s="84">
        <f t="shared" si="12"/>
        <v>1</v>
      </c>
    </row>
    <row r="33" spans="1:86" s="19" customFormat="1" ht="15" customHeight="1" x14ac:dyDescent="0.15">
      <c r="A33" s="5826">
        <v>29101528</v>
      </c>
      <c r="B33" s="7470" t="s">
        <v>3075</v>
      </c>
      <c r="C33" s="7471"/>
      <c r="D33" s="1218" t="s">
        <v>4567</v>
      </c>
      <c r="E33" s="1219" t="s">
        <v>4568</v>
      </c>
      <c r="F33" s="1219" t="s">
        <v>4569</v>
      </c>
      <c r="G33" s="1219" t="s">
        <v>4570</v>
      </c>
      <c r="H33" s="1219" t="s">
        <v>4571</v>
      </c>
      <c r="I33" s="364" t="s">
        <v>4572</v>
      </c>
      <c r="J33" s="364" t="s">
        <v>4573</v>
      </c>
      <c r="K33" s="1219" t="s">
        <v>4574</v>
      </c>
      <c r="L33" s="1219" t="s">
        <v>4575</v>
      </c>
      <c r="M33" s="1219" t="s">
        <v>4576</v>
      </c>
      <c r="N33" s="1222" t="s">
        <v>4577</v>
      </c>
      <c r="O33" s="948" t="s">
        <v>4578</v>
      </c>
      <c r="P33" s="948" t="s">
        <v>4579</v>
      </c>
      <c r="Q33" s="948" t="s">
        <v>4580</v>
      </c>
      <c r="R33" s="1224" t="s">
        <v>4581</v>
      </c>
      <c r="S33" s="948" t="s">
        <v>4582</v>
      </c>
      <c r="T33" s="941" t="s">
        <v>4583</v>
      </c>
      <c r="U33" s="19" t="e">
        <f>BR33&amp;BS33&amp;BT33&amp;BU33&amp;BV33&amp;BX33&amp;BY33</f>
        <v>#VALUE!</v>
      </c>
      <c r="BR33" s="1740" t="e">
        <f t="shared" si="2"/>
        <v>#VALUE!</v>
      </c>
      <c r="BS33" s="1740" t="str">
        <f t="shared" si="17"/>
        <v xml:space="preserve"> * La variable Programa de Acompañamiento Psicosocial en APS no puede ser mayor al Total.</v>
      </c>
      <c r="BT33" s="1740" t="str">
        <f t="shared" si="3"/>
        <v xml:space="preserve"> * La variable Pueblos Originarios no puede ser mayor al Total.</v>
      </c>
      <c r="BU33" s="1740" t="str">
        <f t="shared" si="4"/>
        <v xml:space="preserve"> * La variable Migrantes no puede ser mayor al Total.</v>
      </c>
      <c r="BV33" s="1740" t="str">
        <f t="shared" si="5"/>
        <v xml:space="preserve"> * La variable Espacio Amigable/Adolescente no puede ser mayor al Total.</v>
      </c>
      <c r="BW33" s="135"/>
      <c r="BX33" s="1740" t="str">
        <f t="shared" si="6"/>
        <v xml:space="preserve"> * La variable Niños, Niñas, Adolescentes y Jóvenes SENAME no puede ser mayor al Total.</v>
      </c>
      <c r="BY33" s="1740" t="str">
        <f t="shared" si="7"/>
        <v xml:space="preserve"> * La variable Niños, niñas, Adolescentes y Jóvenes Mejor Niñez no puede ser mayor al Total.</v>
      </c>
      <c r="CA33" s="84" t="e">
        <f t="shared" si="0"/>
        <v>#VALUE!</v>
      </c>
      <c r="CB33" s="84">
        <f t="shared" si="18"/>
        <v>1</v>
      </c>
      <c r="CC33" s="84">
        <f t="shared" si="8"/>
        <v>1</v>
      </c>
      <c r="CD33" s="84">
        <f t="shared" si="9"/>
        <v>1</v>
      </c>
      <c r="CE33" s="84">
        <f t="shared" si="10"/>
        <v>1</v>
      </c>
      <c r="CF33" s="83"/>
      <c r="CG33" s="84">
        <f t="shared" si="11"/>
        <v>1</v>
      </c>
      <c r="CH33" s="84">
        <f t="shared" si="12"/>
        <v>1</v>
      </c>
    </row>
    <row r="34" spans="1:86" s="19" customFormat="1" ht="15" customHeight="1" x14ac:dyDescent="0.15">
      <c r="A34" s="5826">
        <v>29101529</v>
      </c>
      <c r="B34" s="7470" t="s">
        <v>3076</v>
      </c>
      <c r="C34" s="7471"/>
      <c r="D34" s="365" t="s">
        <v>4567</v>
      </c>
      <c r="E34" s="1219" t="s">
        <v>4568</v>
      </c>
      <c r="F34" s="1219" t="s">
        <v>4569</v>
      </c>
      <c r="G34" s="1219" t="s">
        <v>4570</v>
      </c>
      <c r="H34" s="1219" t="s">
        <v>4571</v>
      </c>
      <c r="I34" s="364" t="s">
        <v>4572</v>
      </c>
      <c r="J34" s="364" t="s">
        <v>4573</v>
      </c>
      <c r="K34" s="1219" t="s">
        <v>4574</v>
      </c>
      <c r="L34" s="1219" t="s">
        <v>4575</v>
      </c>
      <c r="M34" s="1219" t="s">
        <v>4576</v>
      </c>
      <c r="N34" s="947" t="s">
        <v>4577</v>
      </c>
      <c r="O34" s="1014" t="s">
        <v>4578</v>
      </c>
      <c r="P34" s="1014" t="s">
        <v>4579</v>
      </c>
      <c r="Q34" s="1014" t="s">
        <v>4580</v>
      </c>
      <c r="R34" s="1224" t="s">
        <v>4581</v>
      </c>
      <c r="S34" s="1014" t="s">
        <v>4582</v>
      </c>
      <c r="T34" s="142" t="s">
        <v>4583</v>
      </c>
      <c r="U34" s="19" t="e">
        <f t="shared" si="19"/>
        <v>#VALUE!</v>
      </c>
      <c r="BR34" s="1740" t="e">
        <f t="shared" si="2"/>
        <v>#VALUE!</v>
      </c>
      <c r="BS34" s="1740" t="str">
        <f t="shared" si="17"/>
        <v xml:space="preserve"> * La variable Programa de Acompañamiento Psicosocial en APS no puede ser mayor al Total.</v>
      </c>
      <c r="BT34" s="1740" t="str">
        <f t="shared" si="3"/>
        <v xml:space="preserve"> * La variable Pueblos Originarios no puede ser mayor al Total.</v>
      </c>
      <c r="BU34" s="1740" t="str">
        <f t="shared" si="4"/>
        <v xml:space="preserve"> * La variable Migrantes no puede ser mayor al Total.</v>
      </c>
      <c r="BV34" s="1740" t="str">
        <f t="shared" si="5"/>
        <v xml:space="preserve"> * La variable Espacio Amigable/Adolescente no puede ser mayor al Total.</v>
      </c>
      <c r="BW34" s="135"/>
      <c r="BX34" s="1740" t="str">
        <f t="shared" si="6"/>
        <v xml:space="preserve"> * La variable Niños, Niñas, Adolescentes y Jóvenes SENAME no puede ser mayor al Total.</v>
      </c>
      <c r="BY34" s="1740" t="str">
        <f t="shared" si="7"/>
        <v xml:space="preserve"> * La variable Niños, niñas, Adolescentes y Jóvenes Mejor Niñez no puede ser mayor al Total.</v>
      </c>
      <c r="CA34" s="84" t="e">
        <f t="shared" si="0"/>
        <v>#VALUE!</v>
      </c>
      <c r="CB34" s="84">
        <f t="shared" si="18"/>
        <v>1</v>
      </c>
      <c r="CC34" s="84">
        <f t="shared" si="8"/>
        <v>1</v>
      </c>
      <c r="CD34" s="84">
        <f t="shared" si="9"/>
        <v>1</v>
      </c>
      <c r="CE34" s="84">
        <f t="shared" si="10"/>
        <v>1</v>
      </c>
      <c r="CF34" s="83"/>
      <c r="CG34" s="84">
        <f t="shared" si="11"/>
        <v>1</v>
      </c>
      <c r="CH34" s="84">
        <f t="shared" si="12"/>
        <v>1</v>
      </c>
    </row>
    <row r="35" spans="1:86" s="19" customFormat="1" ht="15" customHeight="1" x14ac:dyDescent="0.15">
      <c r="A35" s="5826">
        <v>29101530</v>
      </c>
      <c r="B35" s="7477" t="s">
        <v>3077</v>
      </c>
      <c r="C35" s="7478"/>
      <c r="D35" s="1225" t="s">
        <v>4567</v>
      </c>
      <c r="E35" s="1219" t="s">
        <v>4568</v>
      </c>
      <c r="F35" s="1219" t="s">
        <v>4569</v>
      </c>
      <c r="G35" s="1219" t="s">
        <v>4570</v>
      </c>
      <c r="H35" s="1219" t="s">
        <v>4571</v>
      </c>
      <c r="I35" s="256" t="s">
        <v>4572</v>
      </c>
      <c r="J35" s="256" t="s">
        <v>4573</v>
      </c>
      <c r="K35" s="1219" t="s">
        <v>4574</v>
      </c>
      <c r="L35" s="1219" t="s">
        <v>4575</v>
      </c>
      <c r="M35" s="1219" t="s">
        <v>4576</v>
      </c>
      <c r="N35" s="1005" t="s">
        <v>4577</v>
      </c>
      <c r="O35" s="1006" t="s">
        <v>4578</v>
      </c>
      <c r="P35" s="1006" t="s">
        <v>4579</v>
      </c>
      <c r="Q35" s="1006" t="s">
        <v>4580</v>
      </c>
      <c r="R35" s="1226" t="s">
        <v>4581</v>
      </c>
      <c r="S35" s="1006" t="s">
        <v>4582</v>
      </c>
      <c r="T35" s="854" t="s">
        <v>4583</v>
      </c>
      <c r="U35" s="19" t="e">
        <f t="shared" si="19"/>
        <v>#VALUE!</v>
      </c>
      <c r="BR35" s="1740" t="e">
        <f t="shared" si="2"/>
        <v>#VALUE!</v>
      </c>
      <c r="BS35" s="1740" t="str">
        <f t="shared" si="17"/>
        <v xml:space="preserve"> * La variable Programa de Acompañamiento Psicosocial en APS no puede ser mayor al Total.</v>
      </c>
      <c r="BT35" s="1740" t="str">
        <f t="shared" si="3"/>
        <v xml:space="preserve"> * La variable Pueblos Originarios no puede ser mayor al Total.</v>
      </c>
      <c r="BU35" s="1740" t="str">
        <f t="shared" si="4"/>
        <v xml:space="preserve"> * La variable Migrantes no puede ser mayor al Total.</v>
      </c>
      <c r="BV35" s="1740" t="str">
        <f t="shared" si="5"/>
        <v xml:space="preserve"> * La variable Espacio Amigable/Adolescente no puede ser mayor al Total.</v>
      </c>
      <c r="BW35" s="135"/>
      <c r="BX35" s="1740" t="str">
        <f t="shared" si="6"/>
        <v xml:space="preserve"> * La variable Niños, Niñas, Adolescentes y Jóvenes SENAME no puede ser mayor al Total.</v>
      </c>
      <c r="BY35" s="1740" t="str">
        <f t="shared" si="7"/>
        <v xml:space="preserve"> * La variable Niños, niñas, Adolescentes y Jóvenes Mejor Niñez no puede ser mayor al Total.</v>
      </c>
      <c r="CA35" s="84" t="e">
        <f t="shared" si="0"/>
        <v>#VALUE!</v>
      </c>
      <c r="CB35" s="84">
        <f t="shared" si="18"/>
        <v>1</v>
      </c>
      <c r="CC35" s="84">
        <f t="shared" si="8"/>
        <v>1</v>
      </c>
      <c r="CD35" s="84">
        <f t="shared" si="9"/>
        <v>1</v>
      </c>
      <c r="CE35" s="84">
        <f t="shared" si="10"/>
        <v>1</v>
      </c>
      <c r="CF35" s="83"/>
      <c r="CG35" s="84">
        <f t="shared" si="11"/>
        <v>1</v>
      </c>
      <c r="CH35" s="84">
        <f t="shared" si="12"/>
        <v>1</v>
      </c>
    </row>
    <row r="36" spans="1:86" s="25" customFormat="1" ht="18" customHeight="1" x14ac:dyDescent="0.15">
      <c r="B36" s="7323" t="s">
        <v>3078</v>
      </c>
      <c r="C36" s="7323"/>
      <c r="D36" s="7323"/>
      <c r="E36" s="7323"/>
      <c r="F36" s="7323"/>
      <c r="G36" s="7323"/>
      <c r="H36" s="7323"/>
      <c r="I36" s="7323"/>
      <c r="J36" s="7323"/>
      <c r="K36" s="7323"/>
      <c r="L36" s="7323"/>
      <c r="M36" s="7323"/>
      <c r="N36" s="7323"/>
      <c r="O36" s="7323"/>
    </row>
    <row r="37" spans="1:86" s="19" customFormat="1" ht="63" x14ac:dyDescent="0.15">
      <c r="B37" s="6813" t="s">
        <v>651</v>
      </c>
      <c r="C37" s="7590"/>
      <c r="D37" s="4713" t="s">
        <v>3079</v>
      </c>
      <c r="E37" s="1803" t="s">
        <v>4383</v>
      </c>
      <c r="F37" s="1630" t="s">
        <v>4384</v>
      </c>
      <c r="G37" s="1804" t="s">
        <v>4385</v>
      </c>
      <c r="H37" s="1805" t="s">
        <v>4386</v>
      </c>
      <c r="I37" s="1630" t="s">
        <v>4387</v>
      </c>
      <c r="J37" s="1630" t="s">
        <v>3080</v>
      </c>
      <c r="K37" s="1630" t="s">
        <v>4388</v>
      </c>
      <c r="L37" s="1806" t="s">
        <v>37</v>
      </c>
      <c r="M37" s="1630" t="s">
        <v>322</v>
      </c>
      <c r="N37" s="1630" t="s">
        <v>3105</v>
      </c>
      <c r="O37" s="1807" t="s">
        <v>3081</v>
      </c>
    </row>
    <row r="38" spans="1:86" s="19" customFormat="1" ht="30" customHeight="1" x14ac:dyDescent="0.15">
      <c r="A38" s="5869">
        <v>26411010</v>
      </c>
      <c r="B38" s="7582" t="s">
        <v>4389</v>
      </c>
      <c r="C38" s="1720" t="s">
        <v>3082</v>
      </c>
      <c r="D38" s="1808" t="s">
        <v>4567</v>
      </c>
      <c r="E38" s="1809" t="s">
        <v>4568</v>
      </c>
      <c r="F38" s="1730" t="s">
        <v>4569</v>
      </c>
      <c r="G38" s="1810" t="s">
        <v>4570</v>
      </c>
      <c r="H38" s="1809" t="s">
        <v>4571</v>
      </c>
      <c r="I38" s="1730" t="s">
        <v>4572</v>
      </c>
      <c r="J38" s="1730" t="s">
        <v>4573</v>
      </c>
      <c r="K38" s="1730" t="s">
        <v>4574</v>
      </c>
      <c r="L38" s="1729" t="s">
        <v>4575</v>
      </c>
      <c r="M38" s="1730" t="s">
        <v>4576</v>
      </c>
      <c r="N38" s="1730" t="s">
        <v>4577</v>
      </c>
      <c r="O38" s="1731" t="s">
        <v>4578</v>
      </c>
      <c r="P38" s="19" t="str">
        <f>BR38&amp;BS38&amp;BT38&amp;BU38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38" s="1740" t="str">
        <f>IF(AND(SUM($D38:$G38)&gt;0,L38="")," * No olvide digitar la variable Migrantes. Digite Cero si no tiene.",IF(L38&gt;SUM($D38:$G38)," * La variable Migrantes no puede ser mayor a la suma de las variables de Visitas.",""))</f>
        <v xml:space="preserve"> * La variable Migrantes no puede ser mayor a la suma de las variables de Visitas.</v>
      </c>
      <c r="BS38" s="1740" t="str">
        <f>IF(AND(SUM($D38:$G38)&gt;0,M38="")," * No olvide digitar la variable Pueblos originarios. Digite Cero si no tiene.",IF(M38&gt;SUM($D38:$G38)," * La variable Pueblos originarios no puede ser mayor a la suma de las variables de Visitas.",""))</f>
        <v xml:space="preserve"> * La variable Pueblos originarios no puede ser mayor a la suma de las variables de Visitas.</v>
      </c>
      <c r="BT38" s="1740" t="str">
        <f>IF(AND(SUM($D38:$G38)&gt;0,N38="")," * No olvide digitar la variable Población en ECICEP. Digite Cero si no tiene.",IF(N38&gt;SUM($D38:$G38)," * La variable Población en ECICEP no puede ser mayor a la suma de las variables de Visitas.",""))</f>
        <v xml:space="preserve"> * La variable Población en ECICEP no puede ser mayor a la suma de las variables de Visitas.</v>
      </c>
      <c r="BU38" s="1740" t="str">
        <f>IF(AND(SUM($D38:$G38)&gt;0,O38="")," * No olvide digitar la variable Población ELEAM o institucionalizada. Digite Cero si no tiene.",IF(O38&gt;SUM($D38:$G38),"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38" s="84">
        <f>IF(AND(SUM($D38:$G38)&gt;0,L38=""),1,IF(L38&gt;SUM($D38:$G38),1,0))</f>
        <v>1</v>
      </c>
      <c r="CB38" s="84">
        <f>IF(AND(SUM($D38:$G38)&gt;0,M38=""),1,IF(M38&gt;SUM($D38:$G38),1,0))</f>
        <v>1</v>
      </c>
      <c r="CC38" s="84">
        <f>IF(AND(SUM($D38:$G38)&gt;0,N38=""),1,IF(N38&gt;SUM($D38:$G38),1,0))</f>
        <v>1</v>
      </c>
      <c r="CD38" s="84">
        <f>IF(AND(SUM($D38:$G38)&gt;0,O38=""),1,IF(O38&gt;SUM($D38:$G38),1,0))</f>
        <v>1</v>
      </c>
    </row>
    <row r="39" spans="1:86" s="19" customFormat="1" ht="42" x14ac:dyDescent="0.15">
      <c r="A39" s="5869">
        <v>26411011</v>
      </c>
      <c r="B39" s="6023"/>
      <c r="C39" s="4714" t="s">
        <v>3083</v>
      </c>
      <c r="D39" s="1811" t="s">
        <v>4567</v>
      </c>
      <c r="E39" s="1812" t="s">
        <v>4568</v>
      </c>
      <c r="F39" s="1219" t="s">
        <v>4569</v>
      </c>
      <c r="G39" s="1228" t="s">
        <v>4570</v>
      </c>
      <c r="H39" s="1812" t="s">
        <v>4571</v>
      </c>
      <c r="I39" s="1229" t="s">
        <v>4572</v>
      </c>
      <c r="J39" s="1229" t="s">
        <v>4573</v>
      </c>
      <c r="K39" s="1229" t="s">
        <v>4574</v>
      </c>
      <c r="L39" s="1230" t="s">
        <v>4575</v>
      </c>
      <c r="M39" s="1219" t="s">
        <v>4576</v>
      </c>
      <c r="N39" s="1219" t="s">
        <v>4577</v>
      </c>
      <c r="O39" s="1231" t="s">
        <v>4578</v>
      </c>
      <c r="P39" s="19" t="str">
        <f t="shared" ref="P39:P46" si="20">BR39&amp;BS39&amp;BT39&amp;BU39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39" s="1740" t="str">
        <f t="shared" ref="BR39:BR40" si="21">IF(AND(SUM($D39:$G39)&gt;0,L39="")," * No olvide digitar la variable Migrantes. Digite Cero si no tiene.",IF(L39&gt;SUM($D39:$G39)," * La variable Migrantes no puede ser mayor a la suma de las variables de Visitas.",""))</f>
        <v xml:space="preserve"> * La variable Migrantes no puede ser mayor a la suma de las variables de Visitas.</v>
      </c>
      <c r="BS39" s="1740" t="str">
        <f t="shared" ref="BS39:BS40" si="22">IF(AND(SUM($D39:$G39)&gt;0,M39="")," * No olvide digitar la variable Pueblos originarios. Digite Cero si no tiene.",IF(M39&gt;SUM($D39:$G39)," * La variable Pueblos originarios no puede ser mayor a la suma de las variables de Visitas.",""))</f>
        <v xml:space="preserve"> * La variable Pueblos originarios no puede ser mayor a la suma de las variables de Visitas.</v>
      </c>
      <c r="BT39" s="1740" t="str">
        <f t="shared" ref="BT39:BT40" si="23">IF(AND(SUM($D39:$G39)&gt;0,N39="")," * No olvide digitar la variable Población en ECICEP. Digite Cero si no tiene.",IF(N39&gt;SUM($D39:$G39)," * La variable Población en ECICEP no puede ser mayor a la suma de las variables de Visitas.",""))</f>
        <v xml:space="preserve"> * La variable Población en ECICEP no puede ser mayor a la suma de las variables de Visitas.</v>
      </c>
      <c r="BU39" s="1740" t="str">
        <f t="shared" ref="BU39:BU40" si="24">IF(AND(SUM($D39:$G39)&gt;0,O39="")," * No olvide digitar la variable Población ELEAM o institucionalizada. Digite Cero si no tiene.",IF(O39&gt;SUM($D39:$G39),"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39" s="84">
        <f t="shared" ref="CA39:CA40" si="25">IF(AND(SUM($D39:$G39)&gt;0,L39=""),1,IF(L39&gt;SUM($D39:$G39),1,0))</f>
        <v>1</v>
      </c>
      <c r="CB39" s="84">
        <f t="shared" ref="CB39:CB40" si="26">IF(AND(SUM($D39:$G39)&gt;0,M39=""),1,IF(M39&gt;SUM($D39:$G39),1,0))</f>
        <v>1</v>
      </c>
      <c r="CC39" s="84">
        <f t="shared" ref="CC39:CC40" si="27">IF(AND(SUM($D39:$G39)&gt;0,N39=""),1,IF(N39&gt;SUM($D39:$G39),1,0))</f>
        <v>1</v>
      </c>
      <c r="CD39" s="84">
        <f t="shared" ref="CD39:CD40" si="28">IF(AND(SUM($D39:$G39)&gt;0,O39=""),1,IF(O39&gt;SUM($D39:$G39),1,0))</f>
        <v>1</v>
      </c>
    </row>
    <row r="40" spans="1:86" s="19" customFormat="1" ht="42" x14ac:dyDescent="0.15">
      <c r="A40" s="5869">
        <v>26411012</v>
      </c>
      <c r="B40" s="6808"/>
      <c r="C40" s="4715" t="s">
        <v>3084</v>
      </c>
      <c r="D40" s="1813" t="s">
        <v>4567</v>
      </c>
      <c r="E40" s="1814" t="s">
        <v>4568</v>
      </c>
      <c r="F40" s="257" t="s">
        <v>4569</v>
      </c>
      <c r="G40" s="258" t="s">
        <v>4570</v>
      </c>
      <c r="H40" s="1814" t="s">
        <v>4571</v>
      </c>
      <c r="I40" s="1232" t="s">
        <v>4572</v>
      </c>
      <c r="J40" s="1232" t="s">
        <v>4573</v>
      </c>
      <c r="K40" s="1232" t="s">
        <v>4574</v>
      </c>
      <c r="L40" s="1233" t="s">
        <v>4575</v>
      </c>
      <c r="M40" s="257" t="s">
        <v>4576</v>
      </c>
      <c r="N40" s="257" t="s">
        <v>4577</v>
      </c>
      <c r="O40" s="1739" t="s">
        <v>4578</v>
      </c>
      <c r="P40" s="19" t="str">
        <f t="shared" si="20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40" s="1740" t="str">
        <f t="shared" si="21"/>
        <v xml:space="preserve"> * La variable Migrantes no puede ser mayor a la suma de las variables de Visitas.</v>
      </c>
      <c r="BS40" s="1740" t="str">
        <f t="shared" si="22"/>
        <v xml:space="preserve"> * La variable Pueblos originarios no puede ser mayor a la suma de las variables de Visitas.</v>
      </c>
      <c r="BT40" s="1740" t="str">
        <f t="shared" si="23"/>
        <v xml:space="preserve"> * La variable Población en ECICEP no puede ser mayor a la suma de las variables de Visitas.</v>
      </c>
      <c r="BU40" s="1740" t="str">
        <f t="shared" si="24"/>
        <v xml:space="preserve"> * La variable Población ELEAM o institucionalizada no puede ser mayor a la suma de las variables de Visitas.</v>
      </c>
      <c r="CA40" s="84">
        <f t="shared" si="25"/>
        <v>1</v>
      </c>
      <c r="CB40" s="84">
        <f t="shared" si="26"/>
        <v>1</v>
      </c>
      <c r="CC40" s="84">
        <f t="shared" si="27"/>
        <v>1</v>
      </c>
      <c r="CD40" s="84">
        <f t="shared" si="28"/>
        <v>1</v>
      </c>
    </row>
    <row r="41" spans="1:86" s="19" customFormat="1" ht="15" customHeight="1" x14ac:dyDescent="0.15">
      <c r="A41" s="5870"/>
      <c r="B41" s="7587" t="s">
        <v>77</v>
      </c>
      <c r="C41" s="7588"/>
      <c r="D41" s="1815">
        <f>SUM(D38:D40)</f>
        <v>0</v>
      </c>
      <c r="E41" s="1816">
        <f t="shared" ref="E41:O41" si="29">SUM(E38:E40)</f>
        <v>0</v>
      </c>
      <c r="F41" s="1817">
        <f t="shared" si="29"/>
        <v>0</v>
      </c>
      <c r="G41" s="1818">
        <f t="shared" si="29"/>
        <v>0</v>
      </c>
      <c r="H41" s="1816">
        <f t="shared" si="29"/>
        <v>0</v>
      </c>
      <c r="I41" s="1817">
        <f t="shared" si="29"/>
        <v>0</v>
      </c>
      <c r="J41" s="1817">
        <f t="shared" si="29"/>
        <v>0</v>
      </c>
      <c r="K41" s="1819">
        <f t="shared" si="29"/>
        <v>0</v>
      </c>
      <c r="L41" s="1820">
        <f t="shared" si="29"/>
        <v>0</v>
      </c>
      <c r="M41" s="1821">
        <f t="shared" si="29"/>
        <v>0</v>
      </c>
      <c r="N41" s="1821">
        <f t="shared" si="29"/>
        <v>0</v>
      </c>
      <c r="O41" s="1822">
        <f t="shared" si="29"/>
        <v>0</v>
      </c>
    </row>
    <row r="42" spans="1:86" s="19" customFormat="1" ht="15" customHeight="1" x14ac:dyDescent="0.15">
      <c r="A42" s="5869">
        <v>26411013</v>
      </c>
      <c r="B42" s="7582" t="s">
        <v>3085</v>
      </c>
      <c r="C42" s="4716" t="s">
        <v>2349</v>
      </c>
      <c r="D42" s="1823" t="s">
        <v>4567</v>
      </c>
      <c r="E42" s="1823" t="s">
        <v>4568</v>
      </c>
      <c r="F42" s="1234" t="s">
        <v>4569</v>
      </c>
      <c r="G42" s="190" t="s">
        <v>4570</v>
      </c>
      <c r="H42" s="191" t="s">
        <v>4571</v>
      </c>
      <c r="I42" s="216" t="s">
        <v>4572</v>
      </c>
      <c r="J42" s="1234" t="s">
        <v>4573</v>
      </c>
      <c r="K42" s="216" t="s">
        <v>4574</v>
      </c>
      <c r="L42" s="366" t="s">
        <v>4575</v>
      </c>
      <c r="M42" s="216" t="s">
        <v>4576</v>
      </c>
      <c r="N42" s="216" t="s">
        <v>4577</v>
      </c>
      <c r="O42" s="1824" t="s">
        <v>4578</v>
      </c>
      <c r="P42" s="19" t="str">
        <f>BR42&amp;BS42&amp;BT42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2" s="1740" t="str">
        <f>IF(AND(SUM($D42:$G42)&gt;0,L42="")," * No olvide digitar la variable Migrantes. Digite Cero si no tiene.",IF(L42&gt;SUM($D42:$G42)," * La variable Migrantes no puede ser mayor a la suma de las variables de Visitas.",""))</f>
        <v xml:space="preserve"> * La variable Migrantes no puede ser mayor a la suma de las variables de Visitas.</v>
      </c>
      <c r="BS42" s="1740" t="str">
        <f>IF(AND(SUM($D42:$G42)&gt;0,M42="")," * No olvide digitar la variable Pueblos originarios. Digite Cero si no tiene.",IF(M42&gt;SUM($D42:$G42)," * La variable Pueblos originarios no puede ser mayor a la suma de las variables de Visitas.",""))</f>
        <v xml:space="preserve"> * La variable Pueblos originarios no puede ser mayor a la suma de las variables de Visitas.</v>
      </c>
      <c r="BT42" s="1740" t="str">
        <f>IF(AND(SUM($D42:$G42)&gt;0,N42="")," * No olvide digitar la variable Población en ECICEP. Digite Cero si no tiene.",IF(N42&gt;SUM($D42:$G42)," * La variable Población en ECICEP no puede ser mayor a la suma de las variables de Visitas.",""))</f>
        <v xml:space="preserve"> * La variable Población en ECICEP no puede ser mayor a la suma de las variables de Visitas.</v>
      </c>
      <c r="BU42" s="135"/>
      <c r="CA42" s="84">
        <f>IF(AND(SUM($D42:$G42)&gt;0,L42=""),1,IF(L42&gt;SUM($D42:$G42),1,0))</f>
        <v>1</v>
      </c>
      <c r="CB42" s="84">
        <f t="shared" ref="CB42:CC42" si="30">IF(AND(SUM($D42:$G42)&gt;0,M42=""),1,IF(M42&gt;SUM($D42:$G42),1,0))</f>
        <v>1</v>
      </c>
      <c r="CC42" s="84">
        <f t="shared" si="30"/>
        <v>1</v>
      </c>
      <c r="CD42" s="83"/>
    </row>
    <row r="43" spans="1:86" s="19" customFormat="1" ht="15" customHeight="1" x14ac:dyDescent="0.15">
      <c r="A43" s="5869">
        <v>26411014</v>
      </c>
      <c r="B43" s="6023"/>
      <c r="C43" s="4717" t="s">
        <v>3086</v>
      </c>
      <c r="D43" s="4718" t="s">
        <v>4567</v>
      </c>
      <c r="E43" s="1235" t="s">
        <v>4568</v>
      </c>
      <c r="F43" s="1219" t="s">
        <v>4569</v>
      </c>
      <c r="G43" s="1228" t="s">
        <v>4570</v>
      </c>
      <c r="H43" s="1236" t="s">
        <v>4571</v>
      </c>
      <c r="I43" s="1219" t="s">
        <v>4572</v>
      </c>
      <c r="J43" s="1219" t="s">
        <v>4573</v>
      </c>
      <c r="K43" s="1237" t="s">
        <v>4574</v>
      </c>
      <c r="L43" s="1238" t="s">
        <v>4575</v>
      </c>
      <c r="M43" s="1219" t="s">
        <v>4576</v>
      </c>
      <c r="N43" s="1219" t="s">
        <v>4577</v>
      </c>
      <c r="O43" s="1239" t="s">
        <v>4578</v>
      </c>
      <c r="P43" s="19" t="str">
        <f t="shared" ref="P43:P45" si="31">BR43&amp;BS43&amp;BT43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3" s="1740" t="str">
        <f t="shared" ref="BR43:BR46" si="32">IF(AND(SUM($D43:$G43)&gt;0,L43="")," * No olvide digitar la variable Migrantes. Digite Cero si no tiene.",IF(L43&gt;SUM($D43:$G43)," * La variable Migrantes no puede ser mayor a la suma de las variables de Visitas.",""))</f>
        <v xml:space="preserve"> * La variable Migrantes no puede ser mayor a la suma de las variables de Visitas.</v>
      </c>
      <c r="BS43" s="1740" t="str">
        <f t="shared" ref="BS43:BS46" si="33">IF(AND(SUM($D43:$G43)&gt;0,M43="")," * No olvide digitar la variable Pueblos originarios. Digite Cero si no tiene.",IF(M43&gt;SUM($D43:$G43)," * La variable Pueblos originarios no puede ser mayor a la suma de las variables de Visitas.",""))</f>
        <v xml:space="preserve"> * La variable Pueblos originarios no puede ser mayor a la suma de las variables de Visitas.</v>
      </c>
      <c r="BT43" s="1740" t="str">
        <f t="shared" ref="BT43:BT46" si="34">IF(AND(SUM($D43:$G43)&gt;0,N43="")," * No olvide digitar la variable Población en ECICEP. Digite Cero si no tiene.",IF(N43&gt;SUM($D43:$G43)," * La variable Población en ECICEP no puede ser mayor a la suma de las variables de Visitas.",""))</f>
        <v xml:space="preserve"> * La variable Población en ECICEP no puede ser mayor a la suma de las variables de Visitas.</v>
      </c>
      <c r="BU43" s="135"/>
      <c r="CA43" s="84">
        <f t="shared" ref="CA43:CA46" si="35">IF(AND(SUM($D43:$G43)&gt;0,L43=""),1,IF(L43&gt;SUM($D43:$G43),1,0))</f>
        <v>1</v>
      </c>
      <c r="CB43" s="84">
        <f t="shared" ref="CB43:CB46" si="36">IF(AND(SUM($D43:$G43)&gt;0,M43=""),1,IF(M43&gt;SUM($D43:$G43),1,0))</f>
        <v>1</v>
      </c>
      <c r="CC43" s="84">
        <f t="shared" ref="CC43:CC46" si="37">IF(AND(SUM($D43:$G43)&gt;0,N43=""),1,IF(N43&gt;SUM($D43:$G43),1,0))</f>
        <v>1</v>
      </c>
      <c r="CD43" s="83"/>
    </row>
    <row r="44" spans="1:86" s="19" customFormat="1" ht="15" customHeight="1" x14ac:dyDescent="0.15">
      <c r="A44" s="5869">
        <v>26411015</v>
      </c>
      <c r="B44" s="6023"/>
      <c r="C44" s="4719" t="s">
        <v>44</v>
      </c>
      <c r="D44" s="1811" t="s">
        <v>4567</v>
      </c>
      <c r="E44" s="1235" t="s">
        <v>4568</v>
      </c>
      <c r="F44" s="216" t="s">
        <v>4569</v>
      </c>
      <c r="G44" s="1240" t="s">
        <v>4570</v>
      </c>
      <c r="H44" s="1236" t="s">
        <v>4571</v>
      </c>
      <c r="I44" s="1219" t="s">
        <v>4572</v>
      </c>
      <c r="J44" s="216" t="s">
        <v>4573</v>
      </c>
      <c r="K44" s="1241" t="s">
        <v>4574</v>
      </c>
      <c r="L44" s="241" t="s">
        <v>4575</v>
      </c>
      <c r="M44" s="1219" t="s">
        <v>4576</v>
      </c>
      <c r="N44" s="216" t="s">
        <v>4577</v>
      </c>
      <c r="O44" s="1239" t="s">
        <v>4578</v>
      </c>
      <c r="P44" s="19" t="str">
        <f t="shared" si="31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4" s="1740" t="str">
        <f t="shared" si="32"/>
        <v xml:space="preserve"> * La variable Migrantes no puede ser mayor a la suma de las variables de Visitas.</v>
      </c>
      <c r="BS44" s="1740" t="str">
        <f t="shared" si="33"/>
        <v xml:space="preserve"> * La variable Pueblos originarios no puede ser mayor a la suma de las variables de Visitas.</v>
      </c>
      <c r="BT44" s="1740" t="str">
        <f t="shared" si="34"/>
        <v xml:space="preserve"> * La variable Población en ECICEP no puede ser mayor a la suma de las variables de Visitas.</v>
      </c>
      <c r="BU44" s="135"/>
      <c r="CA44" s="84">
        <f t="shared" si="35"/>
        <v>1</v>
      </c>
      <c r="CB44" s="84">
        <f t="shared" si="36"/>
        <v>1</v>
      </c>
      <c r="CC44" s="84">
        <f t="shared" si="37"/>
        <v>1</v>
      </c>
      <c r="CD44" s="83"/>
    </row>
    <row r="45" spans="1:86" s="19" customFormat="1" ht="15" customHeight="1" x14ac:dyDescent="0.15">
      <c r="A45" s="5869">
        <v>26411016</v>
      </c>
      <c r="B45" s="6023"/>
      <c r="C45" s="2825" t="s">
        <v>3087</v>
      </c>
      <c r="D45" s="1823" t="s">
        <v>4567</v>
      </c>
      <c r="E45" s="1235" t="s">
        <v>4568</v>
      </c>
      <c r="F45" s="1219" t="s">
        <v>4569</v>
      </c>
      <c r="G45" s="1228" t="s">
        <v>4570</v>
      </c>
      <c r="H45" s="1812" t="s">
        <v>4571</v>
      </c>
      <c r="I45" s="1219" t="s">
        <v>4572</v>
      </c>
      <c r="J45" s="1219" t="s">
        <v>4573</v>
      </c>
      <c r="K45" s="1241" t="s">
        <v>4574</v>
      </c>
      <c r="L45" s="1238" t="s">
        <v>4575</v>
      </c>
      <c r="M45" s="1219" t="s">
        <v>4576</v>
      </c>
      <c r="N45" s="1219" t="s">
        <v>4577</v>
      </c>
      <c r="O45" s="1824" t="s">
        <v>4578</v>
      </c>
      <c r="P45" s="19" t="str">
        <f t="shared" si="31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5" s="1740" t="str">
        <f t="shared" si="32"/>
        <v xml:space="preserve"> * La variable Migrantes no puede ser mayor a la suma de las variables de Visitas.</v>
      </c>
      <c r="BS45" s="1740" t="str">
        <f t="shared" si="33"/>
        <v xml:space="preserve"> * La variable Pueblos originarios no puede ser mayor a la suma de las variables de Visitas.</v>
      </c>
      <c r="BT45" s="1740" t="str">
        <f t="shared" si="34"/>
        <v xml:space="preserve"> * La variable Población en ECICEP no puede ser mayor a la suma de las variables de Visitas.</v>
      </c>
      <c r="BU45" s="135"/>
      <c r="CA45" s="84">
        <f t="shared" si="35"/>
        <v>1</v>
      </c>
      <c r="CB45" s="84">
        <f t="shared" si="36"/>
        <v>1</v>
      </c>
      <c r="CC45" s="84">
        <f t="shared" si="37"/>
        <v>1</v>
      </c>
      <c r="CD45" s="83"/>
    </row>
    <row r="46" spans="1:86" s="19" customFormat="1" ht="15" customHeight="1" x14ac:dyDescent="0.15">
      <c r="A46" s="5869">
        <v>26411017</v>
      </c>
      <c r="B46" s="6023"/>
      <c r="C46" s="3079" t="s">
        <v>664</v>
      </c>
      <c r="D46" s="4720" t="s">
        <v>4567</v>
      </c>
      <c r="E46" s="1242" t="s">
        <v>4568</v>
      </c>
      <c r="F46" s="257" t="s">
        <v>4569</v>
      </c>
      <c r="G46" s="258" t="s">
        <v>4570</v>
      </c>
      <c r="H46" s="1825" t="s">
        <v>4571</v>
      </c>
      <c r="I46" s="257" t="s">
        <v>4572</v>
      </c>
      <c r="J46" s="257" t="s">
        <v>4573</v>
      </c>
      <c r="K46" s="259" t="s">
        <v>4574</v>
      </c>
      <c r="L46" s="260" t="s">
        <v>4575</v>
      </c>
      <c r="M46" s="257" t="s">
        <v>4576</v>
      </c>
      <c r="N46" s="1232" t="s">
        <v>4577</v>
      </c>
      <c r="O46" s="387" t="s">
        <v>4578</v>
      </c>
      <c r="P46" s="19" t="str">
        <f t="shared" si="20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46" s="1740" t="str">
        <f t="shared" si="32"/>
        <v xml:space="preserve"> * La variable Migrantes no puede ser mayor a la suma de las variables de Visitas.</v>
      </c>
      <c r="BS46" s="1740" t="str">
        <f t="shared" si="33"/>
        <v xml:space="preserve"> * La variable Pueblos originarios no puede ser mayor a la suma de las variables de Visitas.</v>
      </c>
      <c r="BT46" s="1740" t="str">
        <f t="shared" si="34"/>
        <v xml:space="preserve"> * La variable Población en ECICEP no puede ser mayor a la suma de las variables de Visitas.</v>
      </c>
      <c r="BU46" s="1740" t="str">
        <f>IF(AND(SUM($D46:$G46)&gt;0,O46="")," * No olvide digitar la variable Población ELEAM o institucionalizada. Digite Cero si no tiene.",IF(O46&gt;SUM($D46:$G46),"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46" s="84">
        <f t="shared" si="35"/>
        <v>1</v>
      </c>
      <c r="CB46" s="84">
        <f t="shared" si="36"/>
        <v>1</v>
      </c>
      <c r="CC46" s="84">
        <f t="shared" si="37"/>
        <v>1</v>
      </c>
      <c r="CD46" s="84">
        <f>IF(AND(SUM($D46:$G46)&gt;0,O46=""),1,IF(O46&gt;SUM($D46:$G46),1,0))</f>
        <v>1</v>
      </c>
    </row>
    <row r="47" spans="1:86" s="19" customFormat="1" ht="15" customHeight="1" x14ac:dyDescent="0.15">
      <c r="A47" s="5870"/>
      <c r="B47" s="7587" t="s">
        <v>77</v>
      </c>
      <c r="C47" s="7588"/>
      <c r="D47" s="1826">
        <f>SUM(D42:D46)</f>
        <v>0</v>
      </c>
      <c r="E47" s="1827">
        <f>SUM(E42:E46)</f>
        <v>0</v>
      </c>
      <c r="F47" s="1828">
        <f t="shared" ref="F47:O47" si="38">SUM(F42:F46)</f>
        <v>0</v>
      </c>
      <c r="G47" s="1829">
        <f t="shared" si="38"/>
        <v>0</v>
      </c>
      <c r="H47" s="1827">
        <f t="shared" si="38"/>
        <v>0</v>
      </c>
      <c r="I47" s="1828">
        <f t="shared" si="38"/>
        <v>0</v>
      </c>
      <c r="J47" s="1828">
        <f t="shared" si="38"/>
        <v>0</v>
      </c>
      <c r="K47" s="1830">
        <f t="shared" si="38"/>
        <v>0</v>
      </c>
      <c r="L47" s="1831">
        <f t="shared" si="38"/>
        <v>0</v>
      </c>
      <c r="M47" s="261">
        <f t="shared" si="38"/>
        <v>0</v>
      </c>
      <c r="N47" s="261">
        <f t="shared" si="38"/>
        <v>0</v>
      </c>
      <c r="O47" s="1832">
        <f t="shared" si="38"/>
        <v>0</v>
      </c>
    </row>
    <row r="48" spans="1:86" s="25" customFormat="1" ht="18" customHeight="1" x14ac:dyDescent="0.15">
      <c r="B48" s="1245" t="s">
        <v>3088</v>
      </c>
    </row>
    <row r="49" spans="1:83" s="19" customFormat="1" ht="52.5" x14ac:dyDescent="0.15">
      <c r="B49" s="7291" t="s">
        <v>651</v>
      </c>
      <c r="C49" s="7244"/>
      <c r="D49" s="919" t="s">
        <v>77</v>
      </c>
      <c r="E49" s="919" t="s">
        <v>3040</v>
      </c>
      <c r="F49" s="918" t="s">
        <v>3089</v>
      </c>
      <c r="G49" s="1213" t="s">
        <v>3090</v>
      </c>
      <c r="H49" s="1076" t="s">
        <v>3043</v>
      </c>
      <c r="I49" s="1246" t="s">
        <v>3044</v>
      </c>
      <c r="J49" s="1247" t="s">
        <v>3045</v>
      </c>
      <c r="K49" s="1067" t="s">
        <v>36</v>
      </c>
      <c r="L49" s="1067" t="s">
        <v>37</v>
      </c>
      <c r="M49" s="1067" t="s">
        <v>3091</v>
      </c>
      <c r="N49" s="1067" t="s">
        <v>3092</v>
      </c>
    </row>
    <row r="50" spans="1:83" s="19" customFormat="1" ht="15" customHeight="1" x14ac:dyDescent="0.15">
      <c r="A50" s="5818">
        <v>26260600</v>
      </c>
      <c r="B50" s="7344" t="s">
        <v>654</v>
      </c>
      <c r="C50" s="7345"/>
      <c r="D50" s="1248" t="s">
        <v>4567</v>
      </c>
      <c r="E50" s="1081" t="s">
        <v>4568</v>
      </c>
      <c r="F50" s="750" t="s">
        <v>4569</v>
      </c>
      <c r="G50" s="750" t="s">
        <v>4570</v>
      </c>
      <c r="H50" s="1249" t="s">
        <v>4571</v>
      </c>
      <c r="I50" s="1250" t="s">
        <v>4572</v>
      </c>
      <c r="J50" s="1251" t="s">
        <v>4573</v>
      </c>
      <c r="K50" s="1090" t="s">
        <v>4574</v>
      </c>
      <c r="L50" s="1090" t="s">
        <v>4575</v>
      </c>
      <c r="M50" s="1090" t="s">
        <v>4576</v>
      </c>
      <c r="N50" s="1090" t="s">
        <v>4577</v>
      </c>
      <c r="O50" s="19" t="str">
        <f>BR50&amp;BS50&amp;BT50&amp;BU50&amp;BV50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0" s="1740" t="str">
        <f>IF(AND(D50&gt;0,K50="")," * No olvide digitar la variable Pueblos Originarios. Digite Cero si no tiene.",IF(K50&gt;D50," * La variable Pueblos Originarios No puede ser mayor al Total.",""))</f>
        <v xml:space="preserve"> * La variable Pueblos Originarios No puede ser mayor al Total.</v>
      </c>
      <c r="BS50" s="1740" t="str">
        <f>IF(AND(D50&gt;0,L50="")," * No olvide digitar la variable Migrantes. Digite Cero si no tiene.",IF(L50&gt;D50," * La variable Migrantes No puede ser mayor al Total.",""))</f>
        <v xml:space="preserve"> * La variable Migrantes No puede ser mayor al Total.</v>
      </c>
      <c r="BT50" s="1740" t="str">
        <f>IF(AND(D50&gt;0,M50="")," * No olvide digitar la variable Niños, niñas, adolescentes y jóvenes SENAME. Digite Cero si no tiene.",IF(M50&gt;D50," * La variable Niños, niñas, adolescentes y jóvenes SENAME No puede ser mayor al Total.",""))</f>
        <v xml:space="preserve"> * La variable Niños, niñas, adolescentes y jóvenes SENAME No puede ser mayor al Total.</v>
      </c>
      <c r="BU50" s="1740" t="str">
        <f>IF(AND(D50&gt;0,N50="")," * No olvide digitar la variable Niños, niñas, adolescentes y jóvenes Mejor Niñez. Digite Cero si no tiene.",IF(N50&gt;D50," * La variable Niños, niñas, adolescentes y jóvenes Mejor Niñez No puede ser mayor al Total.",""))</f>
        <v xml:space="preserve"> * La variable Niños, niñas, adolescentes y jóvenes Mejor Niñez No puede ser mayor al Total.</v>
      </c>
      <c r="CA50" s="84">
        <f t="shared" ref="CA50:CA58" si="39">IF(AND(D50&gt;0,K50=""),1,IF(K50&gt;D50,1,0))</f>
        <v>1</v>
      </c>
      <c r="CB50" s="84">
        <f t="shared" ref="CB50:CB58" si="40">IF(AND(D50&gt;0,L50=""),1,IF(L50&gt;D50,1,0))</f>
        <v>1</v>
      </c>
      <c r="CC50" s="84">
        <f t="shared" ref="CC50:CC58" si="41">IF(AND(D50&gt;0,M50=""),1,IF(M50&gt;D50,1,0))</f>
        <v>1</v>
      </c>
      <c r="CD50" s="84">
        <f t="shared" ref="CD50:CD58" si="42">IF(AND(D50&gt;0,N50=""),1,IF(N50&gt;D50,1,0))</f>
        <v>1</v>
      </c>
    </row>
    <row r="51" spans="1:83" s="19" customFormat="1" ht="15" customHeight="1" x14ac:dyDescent="0.15">
      <c r="A51" s="5818">
        <v>26261800</v>
      </c>
      <c r="B51" s="7341" t="s">
        <v>3093</v>
      </c>
      <c r="C51" s="7342"/>
      <c r="D51" s="1252" t="s">
        <v>4567</v>
      </c>
      <c r="E51" s="1089" t="s">
        <v>4568</v>
      </c>
      <c r="F51" s="1253" t="s">
        <v>4569</v>
      </c>
      <c r="G51" s="1253" t="s">
        <v>4570</v>
      </c>
      <c r="H51" s="1254" t="s">
        <v>4571</v>
      </c>
      <c r="I51" s="1250" t="s">
        <v>4572</v>
      </c>
      <c r="J51" s="1251" t="s">
        <v>4573</v>
      </c>
      <c r="K51" s="1090" t="s">
        <v>4574</v>
      </c>
      <c r="L51" s="1090" t="s">
        <v>4575</v>
      </c>
      <c r="M51" s="1090" t="s">
        <v>4576</v>
      </c>
      <c r="N51" s="1090" t="s">
        <v>4577</v>
      </c>
      <c r="O51" s="19" t="str">
        <f t="shared" ref="O51:O58" si="43">BR51&amp;BS51&amp;BT51&amp;BU51&amp;BV51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1" s="1740" t="str">
        <f t="shared" ref="BR51:BR58" si="44">IF(AND(D51&gt;0,K51="")," * No olvide digitar la variable Pueblos Originarios. Digite Cero si no tiene.",IF(K51&gt;D51," * La variable Pueblos Originarios No puede ser mayor al Total.",""))</f>
        <v xml:space="preserve"> * La variable Pueblos Originarios No puede ser mayor al Total.</v>
      </c>
      <c r="BS51" s="1740" t="str">
        <f t="shared" ref="BS51:BS58" si="45">IF(AND(D51&gt;0,L51="")," * No olvide digitar la variable Migrantes. Digite Cero si no tiene.",IF(L51&gt;D51," * La variable Migrantes No puede ser mayor al Total.",""))</f>
        <v xml:space="preserve"> * La variable Migrantes No puede ser mayor al Total.</v>
      </c>
      <c r="BT51" s="1740" t="str">
        <f t="shared" ref="BT51:BT58" si="46">IF(AND(D51&gt;0,M51="")," * No olvide digitar la variable Niños, niñas, adolescentes y jóvenes SENAME. Digite Cero si no tiene.",IF(M51&gt;D51," * La variable Niños, niñas, adolescentes y jóvenes SENAME No puede ser mayor al Total.",""))</f>
        <v xml:space="preserve"> * La variable Niños, niñas, adolescentes y jóvenes SENAME No puede ser mayor al Total.</v>
      </c>
      <c r="BU51" s="1740" t="str">
        <f t="shared" ref="BU51:BU58" si="47">IF(AND(D51&gt;0,N51="")," * No olvide digitar la variable Niños, niñas, adolescentes y jóvenes Mejor Niñez. Digite Cero si no tiene.",IF(N51&gt;D51," * La variable Niños, niñas, adolescentes y jóvenes Mejor Niñez No puede ser mayor al Total.",""))</f>
        <v xml:space="preserve"> * La variable Niños, niñas, adolescentes y jóvenes Mejor Niñez No puede ser mayor al Total.</v>
      </c>
      <c r="CA51" s="84">
        <f t="shared" si="39"/>
        <v>1</v>
      </c>
      <c r="CB51" s="84">
        <f t="shared" si="40"/>
        <v>1</v>
      </c>
      <c r="CC51" s="84">
        <f t="shared" si="41"/>
        <v>1</v>
      </c>
      <c r="CD51" s="84">
        <f t="shared" si="42"/>
        <v>1</v>
      </c>
    </row>
    <row r="52" spans="1:83" s="19" customFormat="1" ht="15" customHeight="1" x14ac:dyDescent="0.15">
      <c r="A52" s="5818">
        <v>26261900</v>
      </c>
      <c r="B52" s="7341" t="s">
        <v>3094</v>
      </c>
      <c r="C52" s="7342"/>
      <c r="D52" s="1218" t="s">
        <v>4567</v>
      </c>
      <c r="E52" s="1089" t="s">
        <v>4568</v>
      </c>
      <c r="F52" s="1253" t="s">
        <v>4569</v>
      </c>
      <c r="G52" s="1253" t="s">
        <v>4570</v>
      </c>
      <c r="H52" s="1254" t="s">
        <v>4571</v>
      </c>
      <c r="I52" s="1250" t="s">
        <v>4572</v>
      </c>
      <c r="J52" s="1251" t="s">
        <v>4573</v>
      </c>
      <c r="K52" s="1090" t="s">
        <v>4574</v>
      </c>
      <c r="L52" s="1090" t="s">
        <v>4575</v>
      </c>
      <c r="M52" s="1090" t="s">
        <v>4576</v>
      </c>
      <c r="N52" s="1090" t="s">
        <v>4577</v>
      </c>
      <c r="O52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2" s="1740" t="str">
        <f t="shared" si="44"/>
        <v xml:space="preserve"> * La variable Pueblos Originarios No puede ser mayor al Total.</v>
      </c>
      <c r="BS52" s="1740" t="str">
        <f t="shared" si="45"/>
        <v xml:space="preserve"> * La variable Migrantes No puede ser mayor al Total.</v>
      </c>
      <c r="BT52" s="1740" t="str">
        <f t="shared" si="46"/>
        <v xml:space="preserve"> * La variable Niños, niñas, adolescentes y jóvenes SENAME No puede ser mayor al Total.</v>
      </c>
      <c r="BU52" s="1740" t="str">
        <f t="shared" si="47"/>
        <v xml:space="preserve"> * La variable Niños, niñas, adolescentes y jóvenes Mejor Niñez No puede ser mayor al Total.</v>
      </c>
      <c r="CA52" s="84">
        <f t="shared" si="39"/>
        <v>1</v>
      </c>
      <c r="CB52" s="84">
        <f t="shared" si="40"/>
        <v>1</v>
      </c>
      <c r="CC52" s="84">
        <f t="shared" si="41"/>
        <v>1</v>
      </c>
      <c r="CD52" s="84">
        <f t="shared" si="42"/>
        <v>1</v>
      </c>
    </row>
    <row r="53" spans="1:83" s="19" customFormat="1" ht="15" customHeight="1" x14ac:dyDescent="0.15">
      <c r="A53" s="5868">
        <v>26273109</v>
      </c>
      <c r="B53" s="7589" t="s">
        <v>657</v>
      </c>
      <c r="C53" s="6917"/>
      <c r="D53" s="1218" t="s">
        <v>4567</v>
      </c>
      <c r="E53" s="1089" t="s">
        <v>4568</v>
      </c>
      <c r="F53" s="580" t="s">
        <v>4569</v>
      </c>
      <c r="G53" s="1253" t="s">
        <v>4570</v>
      </c>
      <c r="H53" s="284" t="s">
        <v>4571</v>
      </c>
      <c r="I53" s="1255" t="s">
        <v>4572</v>
      </c>
      <c r="J53" s="1256" t="s">
        <v>4573</v>
      </c>
      <c r="K53" s="387" t="s">
        <v>4574</v>
      </c>
      <c r="L53" s="387" t="s">
        <v>4575</v>
      </c>
      <c r="M53" s="387" t="s">
        <v>4576</v>
      </c>
      <c r="N53" s="387" t="s">
        <v>4577</v>
      </c>
      <c r="O53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3" s="1740" t="str">
        <f t="shared" si="44"/>
        <v xml:space="preserve"> * La variable Pueblos Originarios No puede ser mayor al Total.</v>
      </c>
      <c r="BS53" s="1740" t="str">
        <f t="shared" si="45"/>
        <v xml:space="preserve"> * La variable Migrantes No puede ser mayor al Total.</v>
      </c>
      <c r="BT53" s="1740" t="str">
        <f t="shared" si="46"/>
        <v xml:space="preserve"> * La variable Niños, niñas, adolescentes y jóvenes SENAME No puede ser mayor al Total.</v>
      </c>
      <c r="BU53" s="1740" t="str">
        <f t="shared" si="47"/>
        <v xml:space="preserve"> * La variable Niños, niñas, adolescentes y jóvenes Mejor Niñez No puede ser mayor al Total.</v>
      </c>
      <c r="CA53" s="84">
        <f t="shared" si="39"/>
        <v>1</v>
      </c>
      <c r="CB53" s="84">
        <f t="shared" si="40"/>
        <v>1</v>
      </c>
      <c r="CC53" s="84">
        <f t="shared" si="41"/>
        <v>1</v>
      </c>
      <c r="CD53" s="84">
        <f t="shared" si="42"/>
        <v>1</v>
      </c>
    </row>
    <row r="54" spans="1:83" s="19" customFormat="1" ht="15" customHeight="1" x14ac:dyDescent="0.15">
      <c r="A54" s="5868">
        <v>26275400</v>
      </c>
      <c r="B54" s="7328" t="s">
        <v>3095</v>
      </c>
      <c r="C54" s="985" t="s">
        <v>3096</v>
      </c>
      <c r="D54" s="1257" t="s">
        <v>4567</v>
      </c>
      <c r="E54" s="1081" t="s">
        <v>4568</v>
      </c>
      <c r="F54" s="750" t="s">
        <v>4569</v>
      </c>
      <c r="G54" s="750" t="s">
        <v>4570</v>
      </c>
      <c r="H54" s="1249" t="s">
        <v>4571</v>
      </c>
      <c r="I54" s="369" t="s">
        <v>4572</v>
      </c>
      <c r="J54" s="370" t="s">
        <v>4573</v>
      </c>
      <c r="K54" s="107" t="s">
        <v>4574</v>
      </c>
      <c r="L54" s="107" t="s">
        <v>4575</v>
      </c>
      <c r="M54" s="107" t="s">
        <v>4576</v>
      </c>
      <c r="N54" s="107" t="s">
        <v>4577</v>
      </c>
      <c r="O54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4" s="1740" t="str">
        <f t="shared" si="44"/>
        <v xml:space="preserve"> * La variable Pueblos Originarios No puede ser mayor al Total.</v>
      </c>
      <c r="BS54" s="1740" t="str">
        <f t="shared" si="45"/>
        <v xml:space="preserve"> * La variable Migrantes No puede ser mayor al Total.</v>
      </c>
      <c r="BT54" s="1740" t="str">
        <f t="shared" si="46"/>
        <v xml:space="preserve"> * La variable Niños, niñas, adolescentes y jóvenes SENAME No puede ser mayor al Total.</v>
      </c>
      <c r="BU54" s="1740" t="str">
        <f t="shared" si="47"/>
        <v xml:space="preserve"> * La variable Niños, niñas, adolescentes y jóvenes Mejor Niñez No puede ser mayor al Total.</v>
      </c>
      <c r="CA54" s="84">
        <f t="shared" si="39"/>
        <v>1</v>
      </c>
      <c r="CB54" s="84">
        <f t="shared" si="40"/>
        <v>1</v>
      </c>
      <c r="CC54" s="84">
        <f t="shared" si="41"/>
        <v>1</v>
      </c>
      <c r="CD54" s="84">
        <f t="shared" si="42"/>
        <v>1</v>
      </c>
    </row>
    <row r="55" spans="1:83" s="19" customFormat="1" ht="15" customHeight="1" x14ac:dyDescent="0.15">
      <c r="A55" s="5868">
        <v>26275500</v>
      </c>
      <c r="B55" s="6112"/>
      <c r="C55" s="990" t="s">
        <v>3097</v>
      </c>
      <c r="D55" s="1218" t="s">
        <v>4567</v>
      </c>
      <c r="E55" s="1089" t="s">
        <v>4568</v>
      </c>
      <c r="F55" s="1253" t="s">
        <v>4569</v>
      </c>
      <c r="G55" s="1253" t="s">
        <v>4570</v>
      </c>
      <c r="H55" s="1254" t="s">
        <v>4571</v>
      </c>
      <c r="I55" s="369" t="s">
        <v>4572</v>
      </c>
      <c r="J55" s="370" t="s">
        <v>4573</v>
      </c>
      <c r="K55" s="107" t="s">
        <v>4574</v>
      </c>
      <c r="L55" s="107" t="s">
        <v>4575</v>
      </c>
      <c r="M55" s="107" t="s">
        <v>4576</v>
      </c>
      <c r="N55" s="107" t="s">
        <v>4577</v>
      </c>
      <c r="O55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5" s="1740" t="str">
        <f t="shared" si="44"/>
        <v xml:space="preserve"> * La variable Pueblos Originarios No puede ser mayor al Total.</v>
      </c>
      <c r="BS55" s="1740" t="str">
        <f t="shared" si="45"/>
        <v xml:space="preserve"> * La variable Migrantes No puede ser mayor al Total.</v>
      </c>
      <c r="BT55" s="1740" t="str">
        <f t="shared" si="46"/>
        <v xml:space="preserve"> * La variable Niños, niñas, adolescentes y jóvenes SENAME No puede ser mayor al Total.</v>
      </c>
      <c r="BU55" s="1740" t="str">
        <f t="shared" si="47"/>
        <v xml:space="preserve"> * La variable Niños, niñas, adolescentes y jóvenes Mejor Niñez No puede ser mayor al Total.</v>
      </c>
      <c r="CA55" s="84">
        <f t="shared" si="39"/>
        <v>1</v>
      </c>
      <c r="CB55" s="84">
        <f t="shared" si="40"/>
        <v>1</v>
      </c>
      <c r="CC55" s="84">
        <f t="shared" si="41"/>
        <v>1</v>
      </c>
      <c r="CD55" s="84">
        <f t="shared" si="42"/>
        <v>1</v>
      </c>
    </row>
    <row r="56" spans="1:83" s="19" customFormat="1" ht="15" customHeight="1" x14ac:dyDescent="0.15">
      <c r="A56" s="5868">
        <v>26275600</v>
      </c>
      <c r="B56" s="7464"/>
      <c r="C56" s="1003" t="s">
        <v>3098</v>
      </c>
      <c r="D56" s="1225" t="s">
        <v>4567</v>
      </c>
      <c r="E56" s="1114" t="s">
        <v>4568</v>
      </c>
      <c r="F56" s="1258" t="s">
        <v>4569</v>
      </c>
      <c r="G56" s="1258" t="s">
        <v>4570</v>
      </c>
      <c r="H56" s="724" t="s">
        <v>4571</v>
      </c>
      <c r="I56" s="1250" t="s">
        <v>4572</v>
      </c>
      <c r="J56" s="1251" t="s">
        <v>4573</v>
      </c>
      <c r="K56" s="1090" t="s">
        <v>4574</v>
      </c>
      <c r="L56" s="1090" t="s">
        <v>4575</v>
      </c>
      <c r="M56" s="1090" t="s">
        <v>4576</v>
      </c>
      <c r="N56" s="1090" t="s">
        <v>4577</v>
      </c>
      <c r="O56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6" s="1740" t="str">
        <f t="shared" si="44"/>
        <v xml:space="preserve"> * La variable Pueblos Originarios No puede ser mayor al Total.</v>
      </c>
      <c r="BS56" s="1740" t="str">
        <f t="shared" si="45"/>
        <v xml:space="preserve"> * La variable Migrantes No puede ser mayor al Total.</v>
      </c>
      <c r="BT56" s="1740" t="str">
        <f t="shared" si="46"/>
        <v xml:space="preserve"> * La variable Niños, niñas, adolescentes y jóvenes SENAME No puede ser mayor al Total.</v>
      </c>
      <c r="BU56" s="1740" t="str">
        <f t="shared" si="47"/>
        <v xml:space="preserve"> * La variable Niños, niñas, adolescentes y jóvenes Mejor Niñez No puede ser mayor al Total.</v>
      </c>
      <c r="CA56" s="84">
        <f t="shared" si="39"/>
        <v>1</v>
      </c>
      <c r="CB56" s="84">
        <f t="shared" si="40"/>
        <v>1</v>
      </c>
      <c r="CC56" s="84">
        <f t="shared" si="41"/>
        <v>1</v>
      </c>
      <c r="CD56" s="84">
        <f t="shared" si="42"/>
        <v>1</v>
      </c>
    </row>
    <row r="57" spans="1:83" s="19" customFormat="1" ht="15" customHeight="1" x14ac:dyDescent="0.15">
      <c r="A57" s="5868">
        <v>26273110</v>
      </c>
      <c r="B57" s="7344" t="s">
        <v>3099</v>
      </c>
      <c r="C57" s="7345"/>
      <c r="D57" s="1257" t="s">
        <v>4567</v>
      </c>
      <c r="E57" s="1081" t="s">
        <v>4568</v>
      </c>
      <c r="F57" s="750" t="s">
        <v>4569</v>
      </c>
      <c r="G57" s="750" t="s">
        <v>4570</v>
      </c>
      <c r="H57" s="1259" t="s">
        <v>4571</v>
      </c>
      <c r="I57" s="1260" t="s">
        <v>4572</v>
      </c>
      <c r="J57" s="1261" t="s">
        <v>4573</v>
      </c>
      <c r="K57" s="1082" t="s">
        <v>4574</v>
      </c>
      <c r="L57" s="1082" t="s">
        <v>4575</v>
      </c>
      <c r="M57" s="1082" t="s">
        <v>4576</v>
      </c>
      <c r="N57" s="1082" t="s">
        <v>4577</v>
      </c>
      <c r="O57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7" s="1740" t="str">
        <f t="shared" si="44"/>
        <v xml:space="preserve"> * La variable Pueblos Originarios No puede ser mayor al Total.</v>
      </c>
      <c r="BS57" s="1740" t="str">
        <f t="shared" si="45"/>
        <v xml:space="preserve"> * La variable Migrantes No puede ser mayor al Total.</v>
      </c>
      <c r="BT57" s="1740" t="str">
        <f t="shared" si="46"/>
        <v xml:space="preserve"> * La variable Niños, niñas, adolescentes y jóvenes SENAME No puede ser mayor al Total.</v>
      </c>
      <c r="BU57" s="1740" t="str">
        <f t="shared" si="47"/>
        <v xml:space="preserve"> * La variable Niños, niñas, adolescentes y jóvenes Mejor Niñez No puede ser mayor al Total.</v>
      </c>
      <c r="CA57" s="84">
        <f t="shared" si="39"/>
        <v>1</v>
      </c>
      <c r="CB57" s="84">
        <f t="shared" si="40"/>
        <v>1</v>
      </c>
      <c r="CC57" s="84">
        <f t="shared" si="41"/>
        <v>1</v>
      </c>
      <c r="CD57" s="84">
        <f t="shared" si="42"/>
        <v>1</v>
      </c>
    </row>
    <row r="58" spans="1:83" s="19" customFormat="1" ht="15" customHeight="1" x14ac:dyDescent="0.15">
      <c r="A58" s="5818">
        <v>26262100</v>
      </c>
      <c r="B58" s="7476" t="s">
        <v>902</v>
      </c>
      <c r="C58" s="7478"/>
      <c r="D58" s="1225" t="s">
        <v>4567</v>
      </c>
      <c r="E58" s="1114" t="s">
        <v>4568</v>
      </c>
      <c r="F58" s="1258" t="s">
        <v>4569</v>
      </c>
      <c r="G58" s="1258" t="s">
        <v>4570</v>
      </c>
      <c r="H58" s="391" t="s">
        <v>4571</v>
      </c>
      <c r="I58" s="1255" t="s">
        <v>4572</v>
      </c>
      <c r="J58" s="1256" t="s">
        <v>4573</v>
      </c>
      <c r="K58" s="387" t="s">
        <v>4574</v>
      </c>
      <c r="L58" s="387" t="s">
        <v>4575</v>
      </c>
      <c r="M58" s="387" t="s">
        <v>4576</v>
      </c>
      <c r="N58" s="387" t="s">
        <v>4577</v>
      </c>
      <c r="O58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8" s="1740" t="str">
        <f t="shared" si="44"/>
        <v xml:space="preserve"> * La variable Pueblos Originarios No puede ser mayor al Total.</v>
      </c>
      <c r="BS58" s="1740" t="str">
        <f t="shared" si="45"/>
        <v xml:space="preserve"> * La variable Migrantes No puede ser mayor al Total.</v>
      </c>
      <c r="BT58" s="1740" t="str">
        <f t="shared" si="46"/>
        <v xml:space="preserve"> * La variable Niños, niñas, adolescentes y jóvenes SENAME No puede ser mayor al Total.</v>
      </c>
      <c r="BU58" s="1740" t="str">
        <f t="shared" si="47"/>
        <v xml:space="preserve"> * La variable Niños, niñas, adolescentes y jóvenes Mejor Niñez No puede ser mayor al Total.</v>
      </c>
      <c r="CA58" s="84">
        <f t="shared" si="39"/>
        <v>1</v>
      </c>
      <c r="CB58" s="84">
        <f t="shared" si="40"/>
        <v>1</v>
      </c>
      <c r="CC58" s="84">
        <f t="shared" si="41"/>
        <v>1</v>
      </c>
      <c r="CD58" s="84">
        <f t="shared" si="42"/>
        <v>1</v>
      </c>
    </row>
    <row r="59" spans="1:83" s="19" customFormat="1" ht="15" customHeight="1" x14ac:dyDescent="0.2">
      <c r="A59" s="5871"/>
      <c r="B59" s="7292" t="s">
        <v>77</v>
      </c>
      <c r="C59" s="7294"/>
      <c r="D59" s="973" t="e">
        <f>SUM(D54:D58)+D50</f>
        <v>#VALUE!</v>
      </c>
      <c r="E59" s="5550" t="e">
        <f t="shared" ref="E59:N59" si="48">SUM(E54:E58)+E50</f>
        <v>#VALUE!</v>
      </c>
      <c r="F59" s="1817" t="e">
        <f t="shared" si="48"/>
        <v>#VALUE!</v>
      </c>
      <c r="G59" s="1817" t="e">
        <f t="shared" si="48"/>
        <v>#VALUE!</v>
      </c>
      <c r="H59" s="1817" t="e">
        <f t="shared" si="48"/>
        <v>#VALUE!</v>
      </c>
      <c r="I59" s="5549" t="e">
        <f t="shared" si="48"/>
        <v>#VALUE!</v>
      </c>
      <c r="J59" s="1816" t="e">
        <f t="shared" si="48"/>
        <v>#VALUE!</v>
      </c>
      <c r="K59" s="5549" t="e">
        <f t="shared" si="48"/>
        <v>#VALUE!</v>
      </c>
      <c r="L59" s="973" t="e">
        <f t="shared" si="48"/>
        <v>#VALUE!</v>
      </c>
      <c r="M59" s="973" t="e">
        <f t="shared" si="48"/>
        <v>#VALUE!</v>
      </c>
      <c r="N59" s="973" t="e">
        <f t="shared" si="48"/>
        <v>#VALUE!</v>
      </c>
    </row>
    <row r="60" spans="1:83" s="87" customFormat="1" ht="15" customHeight="1" x14ac:dyDescent="0.15">
      <c r="B60" s="87" t="s">
        <v>3100</v>
      </c>
    </row>
    <row r="61" spans="1:83" s="25" customFormat="1" ht="18" customHeight="1" x14ac:dyDescent="0.15">
      <c r="B61" s="3" t="s">
        <v>3101</v>
      </c>
    </row>
    <row r="62" spans="1:83" s="25" customFormat="1" ht="18" customHeight="1" x14ac:dyDescent="0.15">
      <c r="A62" s="19"/>
      <c r="B62" s="7584" t="s">
        <v>3102</v>
      </c>
      <c r="C62" s="6576"/>
      <c r="D62" s="7594" t="s">
        <v>4323</v>
      </c>
      <c r="E62" s="7594"/>
      <c r="F62" s="7594"/>
      <c r="G62" s="7594"/>
      <c r="H62" s="7594"/>
      <c r="I62" s="7594"/>
      <c r="J62" s="7594"/>
      <c r="K62" s="7594"/>
      <c r="L62" s="7594"/>
      <c r="M62" s="7594"/>
      <c r="N62" s="7594"/>
      <c r="O62" s="7594"/>
      <c r="P62" s="7594"/>
      <c r="Q62" s="7595"/>
      <c r="R62" s="7596" t="s">
        <v>36</v>
      </c>
      <c r="S62" s="7592" t="s">
        <v>37</v>
      </c>
      <c r="T62" s="7592" t="s">
        <v>3105</v>
      </c>
      <c r="U62" s="7592" t="s">
        <v>3106</v>
      </c>
      <c r="V62" s="7593" t="s">
        <v>3107</v>
      </c>
    </row>
    <row r="63" spans="1:83" s="19" customFormat="1" ht="24" customHeight="1" x14ac:dyDescent="0.15">
      <c r="B63" s="7585"/>
      <c r="C63" s="7586"/>
      <c r="D63" s="1807" t="s">
        <v>4322</v>
      </c>
      <c r="E63" s="1723" t="s">
        <v>77</v>
      </c>
      <c r="F63" s="1803" t="s">
        <v>64</v>
      </c>
      <c r="G63" s="1630" t="s">
        <v>3103</v>
      </c>
      <c r="H63" s="1630" t="s">
        <v>3104</v>
      </c>
      <c r="I63" s="1630" t="s">
        <v>1074</v>
      </c>
      <c r="J63" s="1630" t="s">
        <v>1406</v>
      </c>
      <c r="K63" s="1630" t="s">
        <v>1037</v>
      </c>
      <c r="L63" s="1630" t="s">
        <v>504</v>
      </c>
      <c r="M63" s="1630" t="s">
        <v>1034</v>
      </c>
      <c r="N63" s="1630" t="s">
        <v>105</v>
      </c>
      <c r="O63" s="1630" t="s">
        <v>1035</v>
      </c>
      <c r="P63" s="1630" t="s">
        <v>99</v>
      </c>
      <c r="Q63" s="1724" t="s">
        <v>1161</v>
      </c>
      <c r="R63" s="6035"/>
      <c r="S63" s="6086"/>
      <c r="T63" s="6086"/>
      <c r="U63" s="6086"/>
      <c r="V63" s="6067"/>
    </row>
    <row r="64" spans="1:83" s="19" customFormat="1" ht="15" customHeight="1" x14ac:dyDescent="0.15">
      <c r="A64" s="5868">
        <v>26280030</v>
      </c>
      <c r="B64" s="7580" t="s">
        <v>3108</v>
      </c>
      <c r="C64" s="7581"/>
      <c r="D64" s="1833" t="s">
        <v>4567</v>
      </c>
      <c r="E64" s="1725" t="s">
        <v>4568</v>
      </c>
      <c r="F64" s="1726" t="s">
        <v>4569</v>
      </c>
      <c r="G64" s="1727" t="s">
        <v>4570</v>
      </c>
      <c r="H64" s="1727" t="s">
        <v>4571</v>
      </c>
      <c r="I64" s="1727" t="s">
        <v>4572</v>
      </c>
      <c r="J64" s="1727" t="s">
        <v>4573</v>
      </c>
      <c r="K64" s="1727" t="s">
        <v>4574</v>
      </c>
      <c r="L64" s="1727" t="s">
        <v>4575</v>
      </c>
      <c r="M64" s="1727" t="s">
        <v>4576</v>
      </c>
      <c r="N64" s="1727" t="s">
        <v>4577</v>
      </c>
      <c r="O64" s="1727" t="s">
        <v>4578</v>
      </c>
      <c r="P64" s="1727" t="s">
        <v>4579</v>
      </c>
      <c r="Q64" s="1728" t="s">
        <v>4580</v>
      </c>
      <c r="R64" s="1729" t="s">
        <v>4581</v>
      </c>
      <c r="S64" s="1730" t="s">
        <v>4582</v>
      </c>
      <c r="T64" s="1730" t="s">
        <v>4583</v>
      </c>
      <c r="U64" s="1730" t="s">
        <v>4584</v>
      </c>
      <c r="V64" s="1731" t="s">
        <v>4585</v>
      </c>
      <c r="W64" s="19" t="str">
        <f>BR64&amp;BS64&amp;BT64&amp;BU64&amp;BV64</f>
        <v xml:space="preserve"> * La variable Pueblos originarios No puede ser mayor al Total. * La variable Migrantes No puede ser mayor al Total. * La variable Población en ECICEP No puede ser mayor al Total. * La variable Población ELEAM o Institucionalizada No puede ser mayor al Total. * La variable Atención nutricional a personas con NED No puede ser mayor al Total.</v>
      </c>
      <c r="BR64" s="1740" t="str">
        <f>IF(AND($E64&gt;0,R64="")," * No olvide digitar la variable Pueblos originarios. Digite Cero si no tiene.",IF(R64&gt;$E64," * La variable Pueblos originarios No puede ser mayor al Total.",""))</f>
        <v xml:space="preserve"> * La variable Pueblos originarios No puede ser mayor al Total.</v>
      </c>
      <c r="BS64" s="1740" t="str">
        <f>IF(AND($E64&gt;0,S64="")," * No olvide digitar la variable Migrantes. Digite Cero si no tiene.",IF(S64&gt;$E64," * La variable Migrantes No puede ser mayor al Total.",""))</f>
        <v xml:space="preserve"> * La variable Migrantes No puede ser mayor al Total.</v>
      </c>
      <c r="BT64" s="1740" t="str">
        <f>IF(AND($E64&gt;0,T64="")," * No olvide digitar la variable Población en ECICEP. Digite Cero si no tiene.",IF(T64&gt;$E64," * La variable Población en ECICEP No puede ser mayor al Total.",""))</f>
        <v xml:space="preserve"> * La variable Población en ECICEP No puede ser mayor al Total.</v>
      </c>
      <c r="BU64" s="1740" t="str">
        <f>IF(AND($E64&gt;0,U64="")," * No olvide digitar la variable Población ELEAM o Institucionalizada. Digite Cero si no tiene.",IF(U64&gt;$E64," * La variable Población ELEAM o Institucionalizada No puede ser mayor al Total.",""))</f>
        <v xml:space="preserve"> * La variable Población ELEAM o Institucionalizada No puede ser mayor al Total.</v>
      </c>
      <c r="BV64" s="1740" t="str">
        <f>IF(AND($E64&gt;0,V64="")," * No olvide digitar la variable Atención nutricional a personas con NED. Digite Cero si no tiene.",IF(V64&gt;$E64," * La variable Atención nutricional a personas con NED No puede ser mayor al Total.",""))</f>
        <v xml:space="preserve"> * La variable Atención nutricional a personas con NED No puede ser mayor al Total.</v>
      </c>
      <c r="CA64" s="84">
        <f>IF(AND($E64&gt;0,R64=""),1,IF(R64&gt;$E64,1,0))</f>
        <v>1</v>
      </c>
      <c r="CB64" s="84">
        <f>IF(AND($E64&gt;0,S64=""),1,IF(S64&gt;$E64,1,0))</f>
        <v>1</v>
      </c>
      <c r="CC64" s="84">
        <f>IF(AND($E64&gt;0,T64=""),1,IF(T64&gt;$E64,1,0))</f>
        <v>1</v>
      </c>
      <c r="CD64" s="84">
        <f>IF(AND($E64&gt;0,U64=""),1,IF(U64&gt;$E64,1,0))</f>
        <v>1</v>
      </c>
      <c r="CE64" s="84">
        <f>IF(AND($E64&gt;0,V64=""),1,IF(V64&gt;$E64,1,0))</f>
        <v>1</v>
      </c>
    </row>
    <row r="65" spans="1:83" s="19" customFormat="1" ht="15" customHeight="1" x14ac:dyDescent="0.15">
      <c r="A65" s="5868">
        <v>26280040</v>
      </c>
      <c r="B65" s="7583" t="s">
        <v>3109</v>
      </c>
      <c r="C65" s="6917"/>
      <c r="D65" s="1834" t="s">
        <v>4567</v>
      </c>
      <c r="E65" s="1732" t="s">
        <v>4568</v>
      </c>
      <c r="F65" s="1733" t="s">
        <v>4569</v>
      </c>
      <c r="G65" s="1258" t="s">
        <v>4570</v>
      </c>
      <c r="H65" s="1258" t="s">
        <v>4571</v>
      </c>
      <c r="I65" s="1258" t="s">
        <v>4572</v>
      </c>
      <c r="J65" s="1258" t="s">
        <v>4573</v>
      </c>
      <c r="K65" s="1258" t="s">
        <v>4574</v>
      </c>
      <c r="L65" s="1258" t="s">
        <v>4575</v>
      </c>
      <c r="M65" s="1258" t="s">
        <v>4576</v>
      </c>
      <c r="N65" s="1258" t="s">
        <v>4577</v>
      </c>
      <c r="O65" s="1258" t="s">
        <v>4578</v>
      </c>
      <c r="P65" s="1258" t="s">
        <v>4579</v>
      </c>
      <c r="Q65" s="391" t="s">
        <v>4580</v>
      </c>
      <c r="R65" s="1233" t="s">
        <v>4581</v>
      </c>
      <c r="S65" s="1232" t="s">
        <v>4582</v>
      </c>
      <c r="T65" s="1232" t="s">
        <v>4583</v>
      </c>
      <c r="U65" s="1232" t="s">
        <v>4584</v>
      </c>
      <c r="V65" s="1262" t="s">
        <v>4585</v>
      </c>
      <c r="W65" s="19" t="str">
        <f>BR65&amp;BS65</f>
        <v xml:space="preserve"> * La variable Pueblos originarios No puede ser mayor al Total. * La variable Migrantes No puede ser mayor al Total.</v>
      </c>
      <c r="BR65" s="1740" t="str">
        <f>IF(AND(E65&gt;0,R65="")," * No olvide digitar la variable Pueblos originarios. Digite Cero si no tiene.",IF(R65&gt;E65," * La variable Pueblos originarios No puede ser mayor al Total.",""))</f>
        <v xml:space="preserve"> * La variable Pueblos originarios No puede ser mayor al Total.</v>
      </c>
      <c r="BS65" s="1740" t="str">
        <f>IF(AND(E65&gt;0,S65="")," * No olvide digitar la variable Migrantes. Digite Cero si no tiene.",IF(S65&gt;E65," * La variable Migrantes No puede ser mayor al Total.",""))</f>
        <v xml:space="preserve"> * La variable Migrantes No puede ser mayor al Total.</v>
      </c>
      <c r="BT65" s="1740" t="str">
        <f t="shared" ref="BT65:BT69" si="49">IF(AND($E65&gt;0,T65="")," * No olvide digitar la variable Población en ECICEP. Digite Cero si no tiene.",IF(T65&gt;$E65," * La variable Población en ECICEP No puede ser mayor al Total.",""))</f>
        <v xml:space="preserve"> * La variable Población en ECICEP No puede ser mayor al Total.</v>
      </c>
      <c r="BU65" s="1740" t="str">
        <f t="shared" ref="BU65:BU69" si="50">IF(AND($E65&gt;0,U65="")," * No olvide digitar la variable Población ELEAM o Institucionalizada. Digite Cero si no tiene.",IF(U65&gt;$E65," * La variable Población ELEAM o Institucionalizada No puede ser mayor al Total.",""))</f>
        <v xml:space="preserve"> * La variable Población ELEAM o Institucionalizada No puede ser mayor al Total.</v>
      </c>
      <c r="BV65" s="1740" t="str">
        <f t="shared" ref="BV65:BV69" si="51">IF(AND($E65&gt;0,V65="")," * No olvide digitar la variable Atención nutricional a personas con NED. Digite Cero si no tiene.",IF(V65&gt;$E65," * La variable Atención nutricional a personas con NED No puede ser mayor al Total.",""))</f>
        <v xml:space="preserve"> * La variable Atención nutricional a personas con NED No puede ser mayor al Total.</v>
      </c>
      <c r="CA65" s="84">
        <f>IF(AND(E65&gt;0,R65=""),1,IF(R65&gt;E65,1,0))</f>
        <v>1</v>
      </c>
      <c r="CB65" s="84">
        <f>IF(AND(E65&gt;0,S65=""),1,IF(S65&gt;E65,1,0))</f>
        <v>1</v>
      </c>
      <c r="CC65" s="84">
        <f t="shared" ref="CC65:CE69" si="52">IF(AND($E65&gt;0,T65=""),1,IF(T65&gt;$E65,1,0))</f>
        <v>1</v>
      </c>
      <c r="CD65" s="84">
        <f t="shared" si="52"/>
        <v>1</v>
      </c>
      <c r="CE65" s="84">
        <f t="shared" si="52"/>
        <v>1</v>
      </c>
    </row>
    <row r="66" spans="1:83" s="19" customFormat="1" ht="15" customHeight="1" x14ac:dyDescent="0.15">
      <c r="A66" s="5868">
        <v>26275700</v>
      </c>
      <c r="B66" s="7582" t="s">
        <v>3110</v>
      </c>
      <c r="C66" s="1720" t="s">
        <v>3111</v>
      </c>
      <c r="D66" s="1833" t="s">
        <v>4567</v>
      </c>
      <c r="E66" s="1725" t="s">
        <v>4568</v>
      </c>
      <c r="F66" s="290" t="s">
        <v>4569</v>
      </c>
      <c r="G66" s="531" t="s">
        <v>4570</v>
      </c>
      <c r="H66" s="531" t="s">
        <v>4571</v>
      </c>
      <c r="I66" s="531" t="s">
        <v>4572</v>
      </c>
      <c r="J66" s="531" t="s">
        <v>4573</v>
      </c>
      <c r="K66" s="531" t="s">
        <v>4574</v>
      </c>
      <c r="L66" s="531" t="s">
        <v>4575</v>
      </c>
      <c r="M66" s="531" t="s">
        <v>4576</v>
      </c>
      <c r="N66" s="531" t="s">
        <v>4577</v>
      </c>
      <c r="O66" s="531" t="s">
        <v>4578</v>
      </c>
      <c r="P66" s="531" t="s">
        <v>4579</v>
      </c>
      <c r="Q66" s="1734" t="s">
        <v>4580</v>
      </c>
      <c r="R66" s="366" t="s">
        <v>4581</v>
      </c>
      <c r="S66" s="1234" t="s">
        <v>4582</v>
      </c>
      <c r="T66" s="1234" t="s">
        <v>4583</v>
      </c>
      <c r="U66" s="1234" t="s">
        <v>4584</v>
      </c>
      <c r="V66" s="1735" t="s">
        <v>4585</v>
      </c>
      <c r="W66" s="19" t="str">
        <f>BR66&amp;BS66</f>
        <v xml:space="preserve"> * La variable Pueblos originarios No puede ser mayor al Total. * La variable Migrantes No puede ser mayor al Total.</v>
      </c>
      <c r="BR66" s="1740" t="str">
        <f>IF(AND(E66&gt;0,R66="")," * No olvide digitar la variable Pueblos originarios. Digite Cero si no tiene.",IF(R66&gt;E66," * La variable Pueblos originarios No puede ser mayor al Total.",""))</f>
        <v xml:space="preserve"> * La variable Pueblos originarios No puede ser mayor al Total.</v>
      </c>
      <c r="BS66" s="1740" t="str">
        <f>IF(AND(E66&gt;0,S66="")," * No olvide digitar la variable Migrantes. Digite Cero si no tiene.",IF(S66&gt;E66," * La variable Migrantes No puede ser mayor al Total.",""))</f>
        <v xml:space="preserve"> * La variable Migrantes No puede ser mayor al Total.</v>
      </c>
      <c r="BT66" s="1740" t="str">
        <f t="shared" si="49"/>
        <v xml:space="preserve"> * La variable Población en ECICEP No puede ser mayor al Total.</v>
      </c>
      <c r="BU66" s="1740" t="str">
        <f t="shared" si="50"/>
        <v xml:space="preserve"> * La variable Población ELEAM o Institucionalizada No puede ser mayor al Total.</v>
      </c>
      <c r="BV66" s="1740" t="str">
        <f t="shared" si="51"/>
        <v xml:space="preserve"> * La variable Atención nutricional a personas con NED No puede ser mayor al Total.</v>
      </c>
      <c r="CA66" s="84">
        <f>IF(AND(E66&gt;0,R66=""),1,IF(R66&gt;E66,1,0))</f>
        <v>1</v>
      </c>
      <c r="CB66" s="84">
        <f>IF(AND(E66&gt;0,S66=""),1,IF(S66&gt;E66,1,0))</f>
        <v>1</v>
      </c>
      <c r="CC66" s="84">
        <f t="shared" si="52"/>
        <v>1</v>
      </c>
      <c r="CD66" s="84">
        <f t="shared" si="52"/>
        <v>1</v>
      </c>
      <c r="CE66" s="84">
        <f t="shared" si="52"/>
        <v>1</v>
      </c>
    </row>
    <row r="67" spans="1:83" s="19" customFormat="1" ht="15" customHeight="1" x14ac:dyDescent="0.15">
      <c r="A67" s="5868">
        <v>26275800</v>
      </c>
      <c r="B67" s="6023"/>
      <c r="C67" s="1721" t="s">
        <v>3112</v>
      </c>
      <c r="D67" s="1835" t="s">
        <v>4567</v>
      </c>
      <c r="E67" s="1736" t="s">
        <v>4568</v>
      </c>
      <c r="F67" s="1114" t="s">
        <v>4569</v>
      </c>
      <c r="G67" s="1258" t="s">
        <v>4570</v>
      </c>
      <c r="H67" s="1258" t="s">
        <v>4571</v>
      </c>
      <c r="I67" s="1258" t="s">
        <v>4572</v>
      </c>
      <c r="J67" s="1258" t="s">
        <v>4573</v>
      </c>
      <c r="K67" s="1258" t="s">
        <v>4574</v>
      </c>
      <c r="L67" s="1258" t="s">
        <v>4575</v>
      </c>
      <c r="M67" s="1258" t="s">
        <v>4576</v>
      </c>
      <c r="N67" s="1258" t="s">
        <v>4577</v>
      </c>
      <c r="O67" s="1258" t="s">
        <v>4578</v>
      </c>
      <c r="P67" s="1258" t="s">
        <v>4579</v>
      </c>
      <c r="Q67" s="391" t="s">
        <v>4580</v>
      </c>
      <c r="R67" s="1233" t="s">
        <v>4581</v>
      </c>
      <c r="S67" s="1232" t="s">
        <v>4582</v>
      </c>
      <c r="T67" s="1232" t="s">
        <v>4583</v>
      </c>
      <c r="U67" s="1232" t="s">
        <v>4584</v>
      </c>
      <c r="V67" s="1262" t="s">
        <v>4585</v>
      </c>
      <c r="W67" s="19" t="str">
        <f>BR67&amp;BS67</f>
        <v xml:space="preserve"> * La variable Pueblos originarios No puede ser mayor al Total. * La variable Migrantes No puede ser mayor al Total.</v>
      </c>
      <c r="BR67" s="1740" t="str">
        <f>IF(AND(E67&gt;0,R67="")," * No olvide digitar la variable Pueblos originarios. Digite Cero si no tiene.",IF(R67&gt;E67," * La variable Pueblos originarios No puede ser mayor al Total.",""))</f>
        <v xml:space="preserve"> * La variable Pueblos originarios No puede ser mayor al Total.</v>
      </c>
      <c r="BS67" s="1740" t="str">
        <f>IF(AND(E67&gt;0,S67="")," * No olvide digitar la variable Migrantes. Digite Cero si no tiene.",IF(S67&gt;E67," * La variable Migrantes No puede ser mayor al Total.",""))</f>
        <v xml:space="preserve"> * La variable Migrantes No puede ser mayor al Total.</v>
      </c>
      <c r="BT67" s="1740" t="str">
        <f t="shared" si="49"/>
        <v xml:space="preserve"> * La variable Población en ECICEP No puede ser mayor al Total.</v>
      </c>
      <c r="BU67" s="1740" t="str">
        <f t="shared" si="50"/>
        <v xml:space="preserve"> * La variable Población ELEAM o Institucionalizada No puede ser mayor al Total.</v>
      </c>
      <c r="BV67" s="1740" t="str">
        <f t="shared" si="51"/>
        <v xml:space="preserve"> * La variable Atención nutricional a personas con NED No puede ser mayor al Total.</v>
      </c>
      <c r="CA67" s="84">
        <f>IF(AND(E67&gt;0,R67=""),1,IF(R67&gt;E67,1,0))</f>
        <v>1</v>
      </c>
      <c r="CB67" s="84">
        <f>IF(AND(E67&gt;0,S67=""),1,IF(S67&gt;E67,1,0))</f>
        <v>1</v>
      </c>
      <c r="CC67" s="84">
        <f t="shared" si="52"/>
        <v>1</v>
      </c>
      <c r="CD67" s="84">
        <f t="shared" si="52"/>
        <v>1</v>
      </c>
      <c r="CE67" s="84">
        <f t="shared" si="52"/>
        <v>1</v>
      </c>
    </row>
    <row r="68" spans="1:83" s="19" customFormat="1" ht="15" customHeight="1" x14ac:dyDescent="0.15">
      <c r="A68" s="5868">
        <v>29101537</v>
      </c>
      <c r="B68" s="6023"/>
      <c r="C68" s="318" t="s">
        <v>3113</v>
      </c>
      <c r="D68" s="1836" t="s">
        <v>4567</v>
      </c>
      <c r="E68" s="1882" t="s">
        <v>4568</v>
      </c>
      <c r="F68" s="290" t="s">
        <v>4569</v>
      </c>
      <c r="G68" s="531" t="s">
        <v>4570</v>
      </c>
      <c r="H68" s="531" t="s">
        <v>4571</v>
      </c>
      <c r="I68" s="531" t="s">
        <v>4572</v>
      </c>
      <c r="J68" s="531" t="s">
        <v>4573</v>
      </c>
      <c r="K68" s="531" t="s">
        <v>4574</v>
      </c>
      <c r="L68" s="531" t="s">
        <v>4575</v>
      </c>
      <c r="M68" s="531" t="s">
        <v>4576</v>
      </c>
      <c r="N68" s="531" t="s">
        <v>4577</v>
      </c>
      <c r="O68" s="531" t="s">
        <v>4578</v>
      </c>
      <c r="P68" s="531" t="s">
        <v>4579</v>
      </c>
      <c r="Q68" s="1734" t="s">
        <v>4580</v>
      </c>
      <c r="R68" s="366" t="s">
        <v>4581</v>
      </c>
      <c r="S68" s="1234" t="s">
        <v>4582</v>
      </c>
      <c r="T68" s="1234" t="s">
        <v>4583</v>
      </c>
      <c r="U68" s="1234" t="s">
        <v>4584</v>
      </c>
      <c r="V68" s="1735" t="s">
        <v>4585</v>
      </c>
      <c r="W68" s="19" t="str">
        <f>BR68&amp;BS68</f>
        <v xml:space="preserve"> * La variable Pueblos originarios No puede ser mayor al Total. * La variable Migrantes No puede ser mayor al Total.</v>
      </c>
      <c r="BR68" s="1740" t="str">
        <f>IF(AND(E68&gt;0,R68="")," * No olvide digitar la variable Pueblos originarios. Digite Cero si no tiene.",IF(R68&gt;E68," * La variable Pueblos originarios No puede ser mayor al Total.",""))</f>
        <v xml:space="preserve"> * La variable Pueblos originarios No puede ser mayor al Total.</v>
      </c>
      <c r="BS68" s="1740" t="str">
        <f>IF(AND(E68&gt;0,S68="")," * No olvide digitar la variable Migrantes. Digite Cero si no tiene.",IF(S68&gt;E68," * La variable Migrantes No puede ser mayor al Total.",""))</f>
        <v xml:space="preserve"> * La variable Migrantes No puede ser mayor al Total.</v>
      </c>
      <c r="BT68" s="1740" t="str">
        <f t="shared" si="49"/>
        <v xml:space="preserve"> * La variable Población en ECICEP No puede ser mayor al Total.</v>
      </c>
      <c r="BU68" s="1740" t="str">
        <f t="shared" si="50"/>
        <v xml:space="preserve"> * La variable Población ELEAM o Institucionalizada No puede ser mayor al Total.</v>
      </c>
      <c r="BV68" s="1740" t="str">
        <f t="shared" si="51"/>
        <v xml:space="preserve"> * La variable Atención nutricional a personas con NED No puede ser mayor al Total.</v>
      </c>
      <c r="CA68" s="84">
        <f>IF(AND(E68&gt;0,R68=""),1,IF(R68&gt;E68,1,0))</f>
        <v>1</v>
      </c>
      <c r="CB68" s="84">
        <f>IF(AND(E68&gt;0,S68=""),1,IF(S68&gt;E68,1,0))</f>
        <v>1</v>
      </c>
      <c r="CC68" s="84">
        <f t="shared" si="52"/>
        <v>1</v>
      </c>
      <c r="CD68" s="84">
        <f t="shared" si="52"/>
        <v>1</v>
      </c>
      <c r="CE68" s="84">
        <f t="shared" si="52"/>
        <v>1</v>
      </c>
    </row>
    <row r="69" spans="1:83" s="19" customFormat="1" ht="15" customHeight="1" x14ac:dyDescent="0.15">
      <c r="A69" s="5868">
        <v>29101543</v>
      </c>
      <c r="B69" s="6808"/>
      <c r="C69" s="1722" t="s">
        <v>3114</v>
      </c>
      <c r="D69" s="1837" t="s">
        <v>4567</v>
      </c>
      <c r="E69" s="1732" t="s">
        <v>4568</v>
      </c>
      <c r="F69" s="1737" t="s">
        <v>4569</v>
      </c>
      <c r="G69" s="262" t="s">
        <v>4570</v>
      </c>
      <c r="H69" s="262" t="s">
        <v>4571</v>
      </c>
      <c r="I69" s="262" t="s">
        <v>4572</v>
      </c>
      <c r="J69" s="262" t="s">
        <v>4573</v>
      </c>
      <c r="K69" s="262" t="s">
        <v>4574</v>
      </c>
      <c r="L69" s="262" t="s">
        <v>4575</v>
      </c>
      <c r="M69" s="262" t="s">
        <v>4576</v>
      </c>
      <c r="N69" s="262" t="s">
        <v>4577</v>
      </c>
      <c r="O69" s="262" t="s">
        <v>4578</v>
      </c>
      <c r="P69" s="262" t="s">
        <v>4579</v>
      </c>
      <c r="Q69" s="1738" t="s">
        <v>4580</v>
      </c>
      <c r="R69" s="260" t="s">
        <v>4581</v>
      </c>
      <c r="S69" s="257" t="s">
        <v>4582</v>
      </c>
      <c r="T69" s="257" t="s">
        <v>4583</v>
      </c>
      <c r="U69" s="257" t="s">
        <v>4584</v>
      </c>
      <c r="V69" s="1739" t="s">
        <v>4585</v>
      </c>
      <c r="W69" s="19" t="str">
        <f>BR69&amp;BS69</f>
        <v xml:space="preserve"> * La variable Pueblos originarios No puede ser mayor al Total. * La variable Migrantes No puede ser mayor al Total.</v>
      </c>
      <c r="BR69" s="1740" t="str">
        <f>IF(AND(E69&gt;0,R69="")," * No olvide digitar la variable Pueblos originarios. Digite Cero si no tiene.",IF(R69&gt;E69," * La variable Pueblos originarios No puede ser mayor al Total.",""))</f>
        <v xml:space="preserve"> * La variable Pueblos originarios No puede ser mayor al Total.</v>
      </c>
      <c r="BS69" s="1740" t="str">
        <f>IF(AND(E69&gt;0,S69="")," * No olvide digitar la variable Migrantes. Digite Cero si no tiene.",IF(S69&gt;E69," * La variable Migrantes No puede ser mayor al Total.",""))</f>
        <v xml:space="preserve"> * La variable Migrantes No puede ser mayor al Total.</v>
      </c>
      <c r="BT69" s="1740" t="str">
        <f t="shared" si="49"/>
        <v xml:space="preserve"> * La variable Población en ECICEP No puede ser mayor al Total.</v>
      </c>
      <c r="BU69" s="1740" t="str">
        <f t="shared" si="50"/>
        <v xml:space="preserve"> * La variable Población ELEAM o Institucionalizada No puede ser mayor al Total.</v>
      </c>
      <c r="BV69" s="1740" t="str">
        <f t="shared" si="51"/>
        <v xml:space="preserve"> * La variable Atención nutricional a personas con NED No puede ser mayor al Total.</v>
      </c>
      <c r="CA69" s="84">
        <f>IF(AND(E69&gt;0,R69=""),1,IF(R69&gt;E69,1,0))</f>
        <v>1</v>
      </c>
      <c r="CB69" s="84">
        <f>IF(AND(E69&gt;0,S69=""),1,IF(S69&gt;E69,1,0))</f>
        <v>1</v>
      </c>
      <c r="CC69" s="84">
        <f t="shared" si="52"/>
        <v>1</v>
      </c>
      <c r="CD69" s="84">
        <f t="shared" si="52"/>
        <v>1</v>
      </c>
      <c r="CE69" s="84">
        <f t="shared" si="52"/>
        <v>1</v>
      </c>
    </row>
    <row r="70" spans="1:83" s="25" customFormat="1" ht="18" customHeight="1" x14ac:dyDescent="0.15">
      <c r="A70" s="19"/>
      <c r="B70" s="897" t="s">
        <v>3115</v>
      </c>
    </row>
    <row r="71" spans="1:83" s="19" customFormat="1" ht="15" customHeight="1" x14ac:dyDescent="0.15">
      <c r="B71" s="7299" t="s">
        <v>29</v>
      </c>
      <c r="C71" s="7290"/>
      <c r="D71" s="7340" t="s">
        <v>1155</v>
      </c>
      <c r="E71" s="7340"/>
      <c r="F71" s="7340"/>
      <c r="G71" s="7340"/>
      <c r="H71" s="7578"/>
      <c r="I71" s="6491" t="s">
        <v>3116</v>
      </c>
      <c r="J71" s="7222"/>
    </row>
    <row r="72" spans="1:83" s="19" customFormat="1" ht="15" customHeight="1" x14ac:dyDescent="0.15">
      <c r="B72" s="6399"/>
      <c r="C72" s="6331"/>
      <c r="D72" s="7299" t="s">
        <v>77</v>
      </c>
      <c r="E72" s="7291" t="s">
        <v>1158</v>
      </c>
      <c r="F72" s="7298"/>
      <c r="G72" s="7244"/>
      <c r="H72" s="7397" t="s">
        <v>1156</v>
      </c>
      <c r="I72" s="6749"/>
      <c r="J72" s="7222"/>
    </row>
    <row r="73" spans="1:83" s="19" customFormat="1" ht="21" x14ac:dyDescent="0.15">
      <c r="B73" s="7579"/>
      <c r="C73" s="6913"/>
      <c r="D73" s="7579"/>
      <c r="E73" s="1109" t="s">
        <v>3117</v>
      </c>
      <c r="F73" s="1213" t="s">
        <v>1160</v>
      </c>
      <c r="G73" s="1227" t="s">
        <v>1161</v>
      </c>
      <c r="H73" s="7398"/>
      <c r="I73" s="1067" t="s">
        <v>1162</v>
      </c>
      <c r="J73" s="1212" t="s">
        <v>1156</v>
      </c>
    </row>
    <row r="74" spans="1:83" s="19" customFormat="1" ht="15" customHeight="1" x14ac:dyDescent="0.15">
      <c r="A74" s="5818">
        <v>26280050</v>
      </c>
      <c r="B74" s="7449" t="s">
        <v>3118</v>
      </c>
      <c r="C74" s="7451"/>
      <c r="D74" s="5877" t="s">
        <v>4567</v>
      </c>
      <c r="E74" s="1861" t="s">
        <v>4568</v>
      </c>
      <c r="F74" s="5878" t="s">
        <v>4569</v>
      </c>
      <c r="G74" s="5879" t="s">
        <v>4570</v>
      </c>
      <c r="H74" s="5440" t="s">
        <v>4571</v>
      </c>
      <c r="I74" s="5351" t="s">
        <v>4572</v>
      </c>
      <c r="J74" s="5401" t="s">
        <v>4573</v>
      </c>
    </row>
    <row r="75" spans="1:83" s="19" customFormat="1" ht="15" customHeight="1" x14ac:dyDescent="0.15">
      <c r="A75" s="5818">
        <v>26280060</v>
      </c>
      <c r="B75" s="7573" t="s">
        <v>475</v>
      </c>
      <c r="C75" s="7574"/>
      <c r="D75" s="1252" t="s">
        <v>4567</v>
      </c>
      <c r="E75" s="940" t="s">
        <v>4568</v>
      </c>
      <c r="F75" s="1939" t="s">
        <v>4569</v>
      </c>
      <c r="G75" s="3905" t="s">
        <v>4570</v>
      </c>
      <c r="H75" s="1017" t="s">
        <v>4571</v>
      </c>
      <c r="I75" s="1155" t="s">
        <v>4572</v>
      </c>
      <c r="J75" s="5880" t="s">
        <v>4573</v>
      </c>
    </row>
    <row r="76" spans="1:83" s="19" customFormat="1" ht="15" customHeight="1" x14ac:dyDescent="0.15">
      <c r="A76" s="5818">
        <v>26280070</v>
      </c>
      <c r="B76" s="7573" t="s">
        <v>326</v>
      </c>
      <c r="C76" s="7574"/>
      <c r="D76" s="1252" t="s">
        <v>4567</v>
      </c>
      <c r="E76" s="940" t="s">
        <v>4568</v>
      </c>
      <c r="F76" s="1939" t="s">
        <v>4569</v>
      </c>
      <c r="G76" s="3905" t="s">
        <v>4570</v>
      </c>
      <c r="H76" s="1017" t="s">
        <v>4571</v>
      </c>
      <c r="I76" s="1155" t="s">
        <v>4572</v>
      </c>
      <c r="J76" s="5880" t="s">
        <v>4573</v>
      </c>
    </row>
    <row r="77" spans="1:83" s="19" customFormat="1" ht="15" customHeight="1" x14ac:dyDescent="0.15">
      <c r="A77" s="5818">
        <v>29101544</v>
      </c>
      <c r="B77" s="7577" t="s">
        <v>3086</v>
      </c>
      <c r="C77" s="7574"/>
      <c r="D77" s="1252" t="s">
        <v>4567</v>
      </c>
      <c r="E77" s="940" t="s">
        <v>4568</v>
      </c>
      <c r="F77" s="1939" t="s">
        <v>4569</v>
      </c>
      <c r="G77" s="3905" t="s">
        <v>4570</v>
      </c>
      <c r="H77" s="1017" t="s">
        <v>4571</v>
      </c>
      <c r="I77" s="1155" t="s">
        <v>4572</v>
      </c>
      <c r="J77" s="5880" t="s">
        <v>4573</v>
      </c>
    </row>
    <row r="78" spans="1:83" s="19" customFormat="1" ht="15" customHeight="1" x14ac:dyDescent="0.15">
      <c r="A78" s="5818">
        <v>29101545</v>
      </c>
      <c r="B78" s="7577" t="s">
        <v>44</v>
      </c>
      <c r="C78" s="7574"/>
      <c r="D78" s="1252" t="s">
        <v>4567</v>
      </c>
      <c r="E78" s="940" t="s">
        <v>4568</v>
      </c>
      <c r="F78" s="1939" t="s">
        <v>4569</v>
      </c>
      <c r="G78" s="3905" t="s">
        <v>4570</v>
      </c>
      <c r="H78" s="1017" t="s">
        <v>4571</v>
      </c>
      <c r="I78" s="1155" t="s">
        <v>4572</v>
      </c>
      <c r="J78" s="5880" t="s">
        <v>4573</v>
      </c>
    </row>
    <row r="79" spans="1:83" s="19" customFormat="1" ht="15" customHeight="1" x14ac:dyDescent="0.15">
      <c r="A79" s="5818">
        <v>29101546</v>
      </c>
      <c r="B79" s="7573" t="s">
        <v>45</v>
      </c>
      <c r="C79" s="7574"/>
      <c r="D79" s="1252" t="s">
        <v>4567</v>
      </c>
      <c r="E79" s="940" t="s">
        <v>4568</v>
      </c>
      <c r="F79" s="1939" t="s">
        <v>4569</v>
      </c>
      <c r="G79" s="3905" t="s">
        <v>4570</v>
      </c>
      <c r="H79" s="1017" t="s">
        <v>4571</v>
      </c>
      <c r="I79" s="1155" t="s">
        <v>4572</v>
      </c>
      <c r="J79" s="5880" t="s">
        <v>4573</v>
      </c>
    </row>
    <row r="80" spans="1:83" s="19" customFormat="1" ht="15" customHeight="1" x14ac:dyDescent="0.15">
      <c r="A80" s="5818">
        <v>26280090</v>
      </c>
      <c r="B80" s="7573" t="s">
        <v>327</v>
      </c>
      <c r="C80" s="7574"/>
      <c r="D80" s="1252" t="s">
        <v>4567</v>
      </c>
      <c r="E80" s="940" t="s">
        <v>4568</v>
      </c>
      <c r="F80" s="1939" t="s">
        <v>4569</v>
      </c>
      <c r="G80" s="3905" t="s">
        <v>4570</v>
      </c>
      <c r="H80" s="1017" t="s">
        <v>4571</v>
      </c>
      <c r="I80" s="1155" t="s">
        <v>4572</v>
      </c>
      <c r="J80" s="5880" t="s">
        <v>4573</v>
      </c>
    </row>
    <row r="81" spans="1:79" s="19" customFormat="1" ht="15" customHeight="1" x14ac:dyDescent="0.15">
      <c r="A81" s="5818">
        <v>26280100</v>
      </c>
      <c r="B81" s="7452" t="s">
        <v>664</v>
      </c>
      <c r="C81" s="6325"/>
      <c r="D81" s="5881" t="s">
        <v>4567</v>
      </c>
      <c r="E81" s="964" t="s">
        <v>4568</v>
      </c>
      <c r="F81" s="1006" t="s">
        <v>4569</v>
      </c>
      <c r="G81" s="5632" t="s">
        <v>4570</v>
      </c>
      <c r="H81" s="5631" t="s">
        <v>4571</v>
      </c>
      <c r="I81" s="1157" t="s">
        <v>4572</v>
      </c>
      <c r="J81" s="5882" t="s">
        <v>4573</v>
      </c>
    </row>
    <row r="82" spans="1:79" s="19" customFormat="1" ht="15" customHeight="1" x14ac:dyDescent="0.15">
      <c r="A82" s="25"/>
      <c r="B82" s="50" t="s">
        <v>3119</v>
      </c>
    </row>
    <row r="83" spans="1:79" s="25" customFormat="1" ht="18" customHeight="1" x14ac:dyDescent="0.15">
      <c r="A83" s="19"/>
      <c r="B83" s="3" t="s">
        <v>3120</v>
      </c>
    </row>
    <row r="84" spans="1:79" s="19" customFormat="1" ht="15" customHeight="1" x14ac:dyDescent="0.15">
      <c r="B84" s="7575" t="s">
        <v>3121</v>
      </c>
      <c r="C84" s="7575" t="s">
        <v>3122</v>
      </c>
      <c r="D84" s="7291" t="s">
        <v>1960</v>
      </c>
      <c r="E84" s="7298"/>
      <c r="F84" s="7298"/>
      <c r="G84" s="7298"/>
      <c r="H84" s="7244"/>
    </row>
    <row r="85" spans="1:79" s="19" customFormat="1" ht="15" customHeight="1" x14ac:dyDescent="0.15">
      <c r="B85" s="7576"/>
      <c r="C85" s="7576"/>
      <c r="D85" s="1109" t="s">
        <v>343</v>
      </c>
      <c r="E85" s="1110" t="s">
        <v>326</v>
      </c>
      <c r="F85" s="1213" t="s">
        <v>94</v>
      </c>
      <c r="G85" s="1213" t="s">
        <v>44</v>
      </c>
      <c r="H85" s="1227" t="s">
        <v>45</v>
      </c>
    </row>
    <row r="86" spans="1:79" s="19" customFormat="1" ht="15" customHeight="1" x14ac:dyDescent="0.15">
      <c r="A86" s="5824">
        <v>26280200</v>
      </c>
      <c r="B86" s="1270" t="s">
        <v>3123</v>
      </c>
      <c r="C86" s="1271" t="s">
        <v>4567</v>
      </c>
      <c r="D86" s="929" t="s">
        <v>4568</v>
      </c>
      <c r="E86" s="931" t="s">
        <v>4569</v>
      </c>
      <c r="F86" s="931" t="s">
        <v>4570</v>
      </c>
      <c r="G86" s="931" t="s">
        <v>4571</v>
      </c>
      <c r="H86" s="930" t="s">
        <v>4572</v>
      </c>
    </row>
    <row r="87" spans="1:79" s="19" customFormat="1" ht="15" customHeight="1" x14ac:dyDescent="0.15">
      <c r="A87" s="5824">
        <v>26280210</v>
      </c>
      <c r="B87" s="1272" t="s">
        <v>3097</v>
      </c>
      <c r="C87" s="1273" t="s">
        <v>4567</v>
      </c>
      <c r="D87" s="964" t="s">
        <v>4568</v>
      </c>
      <c r="E87" s="966" t="s">
        <v>4569</v>
      </c>
      <c r="F87" s="966" t="s">
        <v>4570</v>
      </c>
      <c r="G87" s="966" t="s">
        <v>4571</v>
      </c>
      <c r="H87" s="854" t="s">
        <v>4572</v>
      </c>
    </row>
    <row r="88" spans="1:79" s="6" customFormat="1" ht="18" customHeight="1" x14ac:dyDescent="0.2">
      <c r="A88" s="5609"/>
      <c r="B88" s="3" t="s">
        <v>3124</v>
      </c>
    </row>
    <row r="89" spans="1:79" s="19" customFormat="1" ht="21" x14ac:dyDescent="0.15">
      <c r="B89" s="1269" t="s">
        <v>285</v>
      </c>
      <c r="C89" s="1107" t="s">
        <v>3125</v>
      </c>
      <c r="D89" s="1107" t="s">
        <v>3126</v>
      </c>
    </row>
    <row r="90" spans="1:79" s="19" customFormat="1" ht="15" customHeight="1" x14ac:dyDescent="0.15">
      <c r="A90" s="5824">
        <v>26300160</v>
      </c>
      <c r="B90" s="1274" t="s">
        <v>3123</v>
      </c>
      <c r="C90" s="1275" t="s">
        <v>4567</v>
      </c>
      <c r="D90" s="1275" t="s">
        <v>4568</v>
      </c>
    </row>
    <row r="91" spans="1:79" s="25" customFormat="1" ht="18" customHeight="1" x14ac:dyDescent="0.15">
      <c r="A91" s="19"/>
      <c r="B91" s="3" t="s">
        <v>3127</v>
      </c>
    </row>
    <row r="92" spans="1:79" s="19" customFormat="1" ht="15" customHeight="1" x14ac:dyDescent="0.15">
      <c r="B92" s="7564" t="s">
        <v>1093</v>
      </c>
      <c r="C92" s="7564" t="s">
        <v>77</v>
      </c>
      <c r="D92" s="7565" t="s">
        <v>3128</v>
      </c>
      <c r="E92" s="7566"/>
      <c r="F92" s="7566"/>
      <c r="G92" s="7566"/>
      <c r="H92" s="7566"/>
      <c r="I92" s="7566"/>
      <c r="J92" s="7566"/>
      <c r="K92" s="7566"/>
      <c r="L92" s="7566"/>
      <c r="M92" s="7566"/>
      <c r="N92" s="7566"/>
      <c r="O92" s="7566"/>
      <c r="P92" s="7566"/>
      <c r="Q92" s="7566"/>
      <c r="R92" s="7566"/>
      <c r="S92" s="7566"/>
      <c r="T92" s="7566"/>
      <c r="U92" s="7567" t="s">
        <v>2409</v>
      </c>
      <c r="V92" s="7568"/>
    </row>
    <row r="93" spans="1:79" s="19" customFormat="1" ht="15" customHeight="1" x14ac:dyDescent="0.15">
      <c r="B93" s="7564"/>
      <c r="C93" s="7564"/>
      <c r="D93" s="7571" t="s">
        <v>29</v>
      </c>
      <c r="E93" s="7572"/>
      <c r="F93" s="7572"/>
      <c r="G93" s="7572"/>
      <c r="H93" s="7572"/>
      <c r="I93" s="7572"/>
      <c r="J93" s="7572"/>
      <c r="K93" s="7572"/>
      <c r="L93" s="7572"/>
      <c r="M93" s="7572"/>
      <c r="N93" s="7572"/>
      <c r="O93" s="7572"/>
      <c r="P93" s="7572"/>
      <c r="Q93" s="7572"/>
      <c r="R93" s="7572"/>
      <c r="S93" s="7572"/>
      <c r="T93" s="7572"/>
      <c r="U93" s="7569"/>
      <c r="V93" s="7570"/>
    </row>
    <row r="94" spans="1:79" s="19" customFormat="1" ht="24.95" customHeight="1" x14ac:dyDescent="0.15">
      <c r="B94" s="7564"/>
      <c r="C94" s="7564"/>
      <c r="D94" s="1109" t="s">
        <v>343</v>
      </c>
      <c r="E94" s="1213" t="s">
        <v>326</v>
      </c>
      <c r="F94" s="1213" t="s">
        <v>94</v>
      </c>
      <c r="G94" s="1213" t="s">
        <v>44</v>
      </c>
      <c r="H94" s="1213" t="s">
        <v>45</v>
      </c>
      <c r="I94" s="1213" t="s">
        <v>46</v>
      </c>
      <c r="J94" s="1213" t="s">
        <v>47</v>
      </c>
      <c r="K94" s="1213" t="s">
        <v>48</v>
      </c>
      <c r="L94" s="1213" t="s">
        <v>49</v>
      </c>
      <c r="M94" s="1213" t="s">
        <v>50</v>
      </c>
      <c r="N94" s="1213" t="s">
        <v>51</v>
      </c>
      <c r="O94" s="1213" t="s">
        <v>52</v>
      </c>
      <c r="P94" s="982" t="s">
        <v>53</v>
      </c>
      <c r="Q94" s="1213" t="s">
        <v>54</v>
      </c>
      <c r="R94" s="1213" t="s">
        <v>55</v>
      </c>
      <c r="S94" s="1213" t="s">
        <v>56</v>
      </c>
      <c r="T94" s="1227" t="s">
        <v>57</v>
      </c>
      <c r="U94" s="1277" t="s">
        <v>58</v>
      </c>
      <c r="V94" s="1278" t="s">
        <v>59</v>
      </c>
    </row>
    <row r="95" spans="1:79" s="19" customFormat="1" ht="21" customHeight="1" x14ac:dyDescent="0.15">
      <c r="A95" s="5824">
        <v>29101547</v>
      </c>
      <c r="B95" s="1279" t="s">
        <v>3129</v>
      </c>
      <c r="C95" s="373" t="s">
        <v>4567</v>
      </c>
      <c r="D95" s="929" t="s">
        <v>4568</v>
      </c>
      <c r="E95" s="935" t="s">
        <v>4569</v>
      </c>
      <c r="F95" s="935" t="s">
        <v>4570</v>
      </c>
      <c r="G95" s="935" t="s">
        <v>4571</v>
      </c>
      <c r="H95" s="935" t="s">
        <v>4572</v>
      </c>
      <c r="I95" s="935" t="s">
        <v>4573</v>
      </c>
      <c r="J95" s="935" t="s">
        <v>4574</v>
      </c>
      <c r="K95" s="935" t="s">
        <v>4575</v>
      </c>
      <c r="L95" s="935" t="s">
        <v>4576</v>
      </c>
      <c r="M95" s="935" t="s">
        <v>4577</v>
      </c>
      <c r="N95" s="935" t="s">
        <v>4578</v>
      </c>
      <c r="O95" s="935" t="s">
        <v>4579</v>
      </c>
      <c r="P95" s="935" t="s">
        <v>4580</v>
      </c>
      <c r="Q95" s="935" t="s">
        <v>4581</v>
      </c>
      <c r="R95" s="935" t="s">
        <v>4582</v>
      </c>
      <c r="S95" s="935" t="s">
        <v>4583</v>
      </c>
      <c r="T95" s="867" t="s">
        <v>4584</v>
      </c>
      <c r="U95" s="929" t="s">
        <v>4585</v>
      </c>
      <c r="V95" s="930" t="s">
        <v>4586</v>
      </c>
      <c r="W95" s="19" t="e">
        <f>BR95&amp;BS95</f>
        <v>#VALUE!</v>
      </c>
      <c r="BR95" s="1740" t="e">
        <f>IF((U95+V95)&lt;&gt;C95," * El total de Consultas por Sexo debe ser igual al Total de Consultas por grupo de Edad","")</f>
        <v>#VALUE!</v>
      </c>
      <c r="CA95" s="84" t="e">
        <f t="shared" ref="CA95:CA109" si="53">IF((U95+V95)&lt;&gt;C95,1,0)</f>
        <v>#VALUE!</v>
      </c>
    </row>
    <row r="96" spans="1:79" s="19" customFormat="1" ht="15" customHeight="1" x14ac:dyDescent="0.15">
      <c r="A96" s="5824">
        <v>29101548</v>
      </c>
      <c r="B96" s="1267" t="s">
        <v>1209</v>
      </c>
      <c r="C96" s="373" t="s">
        <v>4567</v>
      </c>
      <c r="D96" s="940" t="s">
        <v>4568</v>
      </c>
      <c r="E96" s="948" t="s">
        <v>4569</v>
      </c>
      <c r="F96" s="948" t="s">
        <v>4570</v>
      </c>
      <c r="G96" s="948" t="s">
        <v>4571</v>
      </c>
      <c r="H96" s="948" t="s">
        <v>4572</v>
      </c>
      <c r="I96" s="948" t="s">
        <v>4573</v>
      </c>
      <c r="J96" s="948" t="s">
        <v>4574</v>
      </c>
      <c r="K96" s="948" t="s">
        <v>4575</v>
      </c>
      <c r="L96" s="948" t="s">
        <v>4576</v>
      </c>
      <c r="M96" s="948" t="s">
        <v>4577</v>
      </c>
      <c r="N96" s="948" t="s">
        <v>4578</v>
      </c>
      <c r="O96" s="948" t="s">
        <v>4579</v>
      </c>
      <c r="P96" s="948" t="s">
        <v>4580</v>
      </c>
      <c r="Q96" s="948" t="s">
        <v>4581</v>
      </c>
      <c r="R96" s="948" t="s">
        <v>4582</v>
      </c>
      <c r="S96" s="948" t="s">
        <v>4583</v>
      </c>
      <c r="T96" s="942" t="s">
        <v>4584</v>
      </c>
      <c r="U96" s="940" t="s">
        <v>4585</v>
      </c>
      <c r="V96" s="941" t="s">
        <v>4586</v>
      </c>
      <c r="W96" s="19" t="e">
        <f t="shared" ref="W96:W109" si="54">BR96&amp;BS96</f>
        <v>#VALUE!</v>
      </c>
      <c r="BR96" s="1740" t="e">
        <f t="shared" ref="BR96:BR109" si="55">IF((U96+V96)&lt;&gt;C96," * El total de Consultas por Sexo debe ser igual al Total de Consultas por grupo de Edad","")</f>
        <v>#VALUE!</v>
      </c>
      <c r="CA96" s="84" t="e">
        <f t="shared" si="53"/>
        <v>#VALUE!</v>
      </c>
    </row>
    <row r="97" spans="1:79" s="19" customFormat="1" ht="15" customHeight="1" x14ac:dyDescent="0.15">
      <c r="A97" s="5824">
        <v>29101549</v>
      </c>
      <c r="B97" s="1267" t="s">
        <v>3130</v>
      </c>
      <c r="C97" s="373" t="s">
        <v>4567</v>
      </c>
      <c r="D97" s="940" t="s">
        <v>4568</v>
      </c>
      <c r="E97" s="948" t="s">
        <v>4569</v>
      </c>
      <c r="F97" s="948" t="s">
        <v>4570</v>
      </c>
      <c r="G97" s="948" t="s">
        <v>4571</v>
      </c>
      <c r="H97" s="948" t="s">
        <v>4572</v>
      </c>
      <c r="I97" s="948" t="s">
        <v>4573</v>
      </c>
      <c r="J97" s="948" t="s">
        <v>4574</v>
      </c>
      <c r="K97" s="948" t="s">
        <v>4575</v>
      </c>
      <c r="L97" s="948" t="s">
        <v>4576</v>
      </c>
      <c r="M97" s="948" t="s">
        <v>4577</v>
      </c>
      <c r="N97" s="948" t="s">
        <v>4578</v>
      </c>
      <c r="O97" s="948" t="s">
        <v>4579</v>
      </c>
      <c r="P97" s="948" t="s">
        <v>4580</v>
      </c>
      <c r="Q97" s="948" t="s">
        <v>4581</v>
      </c>
      <c r="R97" s="948" t="s">
        <v>4582</v>
      </c>
      <c r="S97" s="948" t="s">
        <v>4583</v>
      </c>
      <c r="T97" s="942" t="s">
        <v>4584</v>
      </c>
      <c r="U97" s="940" t="s">
        <v>4585</v>
      </c>
      <c r="V97" s="941" t="s">
        <v>4586</v>
      </c>
      <c r="W97" s="19" t="e">
        <f t="shared" si="54"/>
        <v>#VALUE!</v>
      </c>
      <c r="BR97" s="1740" t="e">
        <f t="shared" si="55"/>
        <v>#VALUE!</v>
      </c>
      <c r="CA97" s="84" t="e">
        <f t="shared" si="53"/>
        <v>#VALUE!</v>
      </c>
    </row>
    <row r="98" spans="1:79" s="19" customFormat="1" ht="21" x14ac:dyDescent="0.15">
      <c r="A98" s="5824">
        <v>29101550</v>
      </c>
      <c r="B98" s="1279" t="s">
        <v>3131</v>
      </c>
      <c r="C98" s="373" t="s">
        <v>4567</v>
      </c>
      <c r="D98" s="940" t="s">
        <v>4568</v>
      </c>
      <c r="E98" s="948" t="s">
        <v>4569</v>
      </c>
      <c r="F98" s="948" t="s">
        <v>4570</v>
      </c>
      <c r="G98" s="948" t="s">
        <v>4571</v>
      </c>
      <c r="H98" s="948" t="s">
        <v>4572</v>
      </c>
      <c r="I98" s="948" t="s">
        <v>4573</v>
      </c>
      <c r="J98" s="948" t="s">
        <v>4574</v>
      </c>
      <c r="K98" s="948" t="s">
        <v>4575</v>
      </c>
      <c r="L98" s="948" t="s">
        <v>4576</v>
      </c>
      <c r="M98" s="948" t="s">
        <v>4577</v>
      </c>
      <c r="N98" s="948" t="s">
        <v>4578</v>
      </c>
      <c r="O98" s="948" t="s">
        <v>4579</v>
      </c>
      <c r="P98" s="948" t="s">
        <v>4580</v>
      </c>
      <c r="Q98" s="948" t="s">
        <v>4581</v>
      </c>
      <c r="R98" s="948" t="s">
        <v>4582</v>
      </c>
      <c r="S98" s="948" t="s">
        <v>4583</v>
      </c>
      <c r="T98" s="942" t="s">
        <v>4584</v>
      </c>
      <c r="U98" s="940" t="s">
        <v>4585</v>
      </c>
      <c r="V98" s="941" t="s">
        <v>4586</v>
      </c>
      <c r="W98" s="19" t="e">
        <f t="shared" si="54"/>
        <v>#VALUE!</v>
      </c>
      <c r="BR98" s="1740" t="e">
        <f t="shared" si="55"/>
        <v>#VALUE!</v>
      </c>
      <c r="CA98" s="84" t="e">
        <f t="shared" si="53"/>
        <v>#VALUE!</v>
      </c>
    </row>
    <row r="99" spans="1:79" s="19" customFormat="1" ht="15" customHeight="1" x14ac:dyDescent="0.15">
      <c r="A99" s="5824">
        <v>29101551</v>
      </c>
      <c r="B99" s="1267" t="s">
        <v>3132</v>
      </c>
      <c r="C99" s="373" t="s">
        <v>4567</v>
      </c>
      <c r="D99" s="940" t="s">
        <v>4568</v>
      </c>
      <c r="E99" s="948" t="s">
        <v>4569</v>
      </c>
      <c r="F99" s="948" t="s">
        <v>4570</v>
      </c>
      <c r="G99" s="948" t="s">
        <v>4571</v>
      </c>
      <c r="H99" s="948" t="s">
        <v>4572</v>
      </c>
      <c r="I99" s="948" t="s">
        <v>4573</v>
      </c>
      <c r="J99" s="948" t="s">
        <v>4574</v>
      </c>
      <c r="K99" s="948" t="s">
        <v>4575</v>
      </c>
      <c r="L99" s="948" t="s">
        <v>4576</v>
      </c>
      <c r="M99" s="948" t="s">
        <v>4577</v>
      </c>
      <c r="N99" s="948" t="s">
        <v>4578</v>
      </c>
      <c r="O99" s="948" t="s">
        <v>4579</v>
      </c>
      <c r="P99" s="948" t="s">
        <v>4580</v>
      </c>
      <c r="Q99" s="948" t="s">
        <v>4581</v>
      </c>
      <c r="R99" s="948" t="s">
        <v>4582</v>
      </c>
      <c r="S99" s="948" t="s">
        <v>4583</v>
      </c>
      <c r="T99" s="942" t="s">
        <v>4584</v>
      </c>
      <c r="U99" s="940" t="s">
        <v>4585</v>
      </c>
      <c r="V99" s="941" t="s">
        <v>4586</v>
      </c>
      <c r="W99" s="19" t="e">
        <f t="shared" si="54"/>
        <v>#VALUE!</v>
      </c>
      <c r="BR99" s="1740" t="e">
        <f t="shared" si="55"/>
        <v>#VALUE!</v>
      </c>
      <c r="CA99" s="84" t="e">
        <f t="shared" si="53"/>
        <v>#VALUE!</v>
      </c>
    </row>
    <row r="100" spans="1:79" s="19" customFormat="1" ht="15" customHeight="1" x14ac:dyDescent="0.15">
      <c r="A100" s="5824">
        <v>29101552</v>
      </c>
      <c r="B100" s="1267" t="s">
        <v>3133</v>
      </c>
      <c r="C100" s="373" t="s">
        <v>4567</v>
      </c>
      <c r="D100" s="940" t="s">
        <v>4568</v>
      </c>
      <c r="E100" s="948" t="s">
        <v>4569</v>
      </c>
      <c r="F100" s="948" t="s">
        <v>4570</v>
      </c>
      <c r="G100" s="948" t="s">
        <v>4571</v>
      </c>
      <c r="H100" s="948" t="s">
        <v>4572</v>
      </c>
      <c r="I100" s="948" t="s">
        <v>4573</v>
      </c>
      <c r="J100" s="948" t="s">
        <v>4574</v>
      </c>
      <c r="K100" s="948" t="s">
        <v>4575</v>
      </c>
      <c r="L100" s="948" t="s">
        <v>4576</v>
      </c>
      <c r="M100" s="948" t="s">
        <v>4577</v>
      </c>
      <c r="N100" s="948" t="s">
        <v>4578</v>
      </c>
      <c r="O100" s="948" t="s">
        <v>4579</v>
      </c>
      <c r="P100" s="948" t="s">
        <v>4580</v>
      </c>
      <c r="Q100" s="948" t="s">
        <v>4581</v>
      </c>
      <c r="R100" s="948" t="s">
        <v>4582</v>
      </c>
      <c r="S100" s="948" t="s">
        <v>4583</v>
      </c>
      <c r="T100" s="942" t="s">
        <v>4584</v>
      </c>
      <c r="U100" s="940" t="s">
        <v>4585</v>
      </c>
      <c r="V100" s="941" t="s">
        <v>4586</v>
      </c>
      <c r="W100" s="19" t="e">
        <f t="shared" si="54"/>
        <v>#VALUE!</v>
      </c>
      <c r="BR100" s="1740" t="e">
        <f t="shared" si="55"/>
        <v>#VALUE!</v>
      </c>
      <c r="CA100" s="84" t="e">
        <f t="shared" si="53"/>
        <v>#VALUE!</v>
      </c>
    </row>
    <row r="101" spans="1:79" s="19" customFormat="1" ht="15" customHeight="1" x14ac:dyDescent="0.15">
      <c r="A101" s="5824">
        <v>29101553</v>
      </c>
      <c r="B101" s="1267" t="s">
        <v>3134</v>
      </c>
      <c r="C101" s="373" t="s">
        <v>4567</v>
      </c>
      <c r="D101" s="940" t="s">
        <v>4568</v>
      </c>
      <c r="E101" s="948" t="s">
        <v>4569</v>
      </c>
      <c r="F101" s="948" t="s">
        <v>4570</v>
      </c>
      <c r="G101" s="948" t="s">
        <v>4571</v>
      </c>
      <c r="H101" s="948" t="s">
        <v>4572</v>
      </c>
      <c r="I101" s="948" t="s">
        <v>4573</v>
      </c>
      <c r="J101" s="948" t="s">
        <v>4574</v>
      </c>
      <c r="K101" s="948" t="s">
        <v>4575</v>
      </c>
      <c r="L101" s="948" t="s">
        <v>4576</v>
      </c>
      <c r="M101" s="948" t="s">
        <v>4577</v>
      </c>
      <c r="N101" s="948" t="s">
        <v>4578</v>
      </c>
      <c r="O101" s="948" t="s">
        <v>4579</v>
      </c>
      <c r="P101" s="948" t="s">
        <v>4580</v>
      </c>
      <c r="Q101" s="948" t="s">
        <v>4581</v>
      </c>
      <c r="R101" s="948" t="s">
        <v>4582</v>
      </c>
      <c r="S101" s="948" t="s">
        <v>4583</v>
      </c>
      <c r="T101" s="942" t="s">
        <v>4584</v>
      </c>
      <c r="U101" s="940" t="s">
        <v>4585</v>
      </c>
      <c r="V101" s="941" t="s">
        <v>4586</v>
      </c>
      <c r="W101" s="19" t="e">
        <f t="shared" si="54"/>
        <v>#VALUE!</v>
      </c>
      <c r="BR101" s="1740" t="e">
        <f t="shared" si="55"/>
        <v>#VALUE!</v>
      </c>
      <c r="CA101" s="84" t="e">
        <f t="shared" si="53"/>
        <v>#VALUE!</v>
      </c>
    </row>
    <row r="102" spans="1:79" s="19" customFormat="1" ht="15" customHeight="1" x14ac:dyDescent="0.15">
      <c r="A102" s="5824">
        <v>29101554</v>
      </c>
      <c r="B102" s="1267" t="s">
        <v>3135</v>
      </c>
      <c r="C102" s="373" t="s">
        <v>4567</v>
      </c>
      <c r="D102" s="940" t="s">
        <v>4568</v>
      </c>
      <c r="E102" s="948" t="s">
        <v>4569</v>
      </c>
      <c r="F102" s="948" t="s">
        <v>4570</v>
      </c>
      <c r="G102" s="948" t="s">
        <v>4571</v>
      </c>
      <c r="H102" s="948" t="s">
        <v>4572</v>
      </c>
      <c r="I102" s="948" t="s">
        <v>4573</v>
      </c>
      <c r="J102" s="948" t="s">
        <v>4574</v>
      </c>
      <c r="K102" s="948" t="s">
        <v>4575</v>
      </c>
      <c r="L102" s="948" t="s">
        <v>4576</v>
      </c>
      <c r="M102" s="948" t="s">
        <v>4577</v>
      </c>
      <c r="N102" s="948" t="s">
        <v>4578</v>
      </c>
      <c r="O102" s="948" t="s">
        <v>4579</v>
      </c>
      <c r="P102" s="948" t="s">
        <v>4580</v>
      </c>
      <c r="Q102" s="948" t="s">
        <v>4581</v>
      </c>
      <c r="R102" s="948" t="s">
        <v>4582</v>
      </c>
      <c r="S102" s="948" t="s">
        <v>4583</v>
      </c>
      <c r="T102" s="942" t="s">
        <v>4584</v>
      </c>
      <c r="U102" s="940" t="s">
        <v>4585</v>
      </c>
      <c r="V102" s="941" t="s">
        <v>4586</v>
      </c>
      <c r="W102" s="19" t="e">
        <f t="shared" si="54"/>
        <v>#VALUE!</v>
      </c>
      <c r="BR102" s="1740" t="e">
        <f t="shared" si="55"/>
        <v>#VALUE!</v>
      </c>
      <c r="CA102" s="84" t="e">
        <f t="shared" si="53"/>
        <v>#VALUE!</v>
      </c>
    </row>
    <row r="103" spans="1:79" s="19" customFormat="1" ht="15" customHeight="1" x14ac:dyDescent="0.15">
      <c r="A103" s="5824">
        <v>29101555</v>
      </c>
      <c r="B103" s="1267" t="s">
        <v>1240</v>
      </c>
      <c r="C103" s="373" t="s">
        <v>4567</v>
      </c>
      <c r="D103" s="940" t="s">
        <v>4568</v>
      </c>
      <c r="E103" s="948" t="s">
        <v>4569</v>
      </c>
      <c r="F103" s="948" t="s">
        <v>4570</v>
      </c>
      <c r="G103" s="948" t="s">
        <v>4571</v>
      </c>
      <c r="H103" s="948" t="s">
        <v>4572</v>
      </c>
      <c r="I103" s="948" t="s">
        <v>4573</v>
      </c>
      <c r="J103" s="948" t="s">
        <v>4574</v>
      </c>
      <c r="K103" s="948" t="s">
        <v>4575</v>
      </c>
      <c r="L103" s="948" t="s">
        <v>4576</v>
      </c>
      <c r="M103" s="948" t="s">
        <v>4577</v>
      </c>
      <c r="N103" s="948" t="s">
        <v>4578</v>
      </c>
      <c r="O103" s="948" t="s">
        <v>4579</v>
      </c>
      <c r="P103" s="948" t="s">
        <v>4580</v>
      </c>
      <c r="Q103" s="948" t="s">
        <v>4581</v>
      </c>
      <c r="R103" s="948" t="s">
        <v>4582</v>
      </c>
      <c r="S103" s="948" t="s">
        <v>4583</v>
      </c>
      <c r="T103" s="942" t="s">
        <v>4584</v>
      </c>
      <c r="U103" s="940" t="s">
        <v>4585</v>
      </c>
      <c r="V103" s="941" t="s">
        <v>4586</v>
      </c>
      <c r="W103" s="19" t="e">
        <f t="shared" si="54"/>
        <v>#VALUE!</v>
      </c>
      <c r="BR103" s="1740" t="e">
        <f t="shared" si="55"/>
        <v>#VALUE!</v>
      </c>
      <c r="CA103" s="84" t="e">
        <f t="shared" si="53"/>
        <v>#VALUE!</v>
      </c>
    </row>
    <row r="104" spans="1:79" s="19" customFormat="1" ht="15" customHeight="1" x14ac:dyDescent="0.15">
      <c r="A104" s="5824">
        <v>29101556</v>
      </c>
      <c r="B104" s="1267" t="s">
        <v>3136</v>
      </c>
      <c r="C104" s="373" t="s">
        <v>4567</v>
      </c>
      <c r="D104" s="940" t="s">
        <v>4568</v>
      </c>
      <c r="E104" s="948" t="s">
        <v>4569</v>
      </c>
      <c r="F104" s="948" t="s">
        <v>4570</v>
      </c>
      <c r="G104" s="948" t="s">
        <v>4571</v>
      </c>
      <c r="H104" s="948" t="s">
        <v>4572</v>
      </c>
      <c r="I104" s="948" t="s">
        <v>4573</v>
      </c>
      <c r="J104" s="948" t="s">
        <v>4574</v>
      </c>
      <c r="K104" s="948" t="s">
        <v>4575</v>
      </c>
      <c r="L104" s="948" t="s">
        <v>4576</v>
      </c>
      <c r="M104" s="948" t="s">
        <v>4577</v>
      </c>
      <c r="N104" s="948" t="s">
        <v>4578</v>
      </c>
      <c r="O104" s="948" t="s">
        <v>4579</v>
      </c>
      <c r="P104" s="948" t="s">
        <v>4580</v>
      </c>
      <c r="Q104" s="948" t="s">
        <v>4581</v>
      </c>
      <c r="R104" s="948" t="s">
        <v>4582</v>
      </c>
      <c r="S104" s="948" t="s">
        <v>4583</v>
      </c>
      <c r="T104" s="942" t="s">
        <v>4584</v>
      </c>
      <c r="U104" s="940" t="s">
        <v>4585</v>
      </c>
      <c r="V104" s="941" t="s">
        <v>4586</v>
      </c>
      <c r="W104" s="19" t="e">
        <f t="shared" si="54"/>
        <v>#VALUE!</v>
      </c>
      <c r="BR104" s="1740" t="e">
        <f t="shared" si="55"/>
        <v>#VALUE!</v>
      </c>
      <c r="CA104" s="84" t="e">
        <f t="shared" si="53"/>
        <v>#VALUE!</v>
      </c>
    </row>
    <row r="105" spans="1:79" s="19" customFormat="1" ht="15" customHeight="1" x14ac:dyDescent="0.15">
      <c r="A105" s="5824">
        <v>29101557</v>
      </c>
      <c r="B105" s="1267" t="s">
        <v>1237</v>
      </c>
      <c r="C105" s="373" t="s">
        <v>4567</v>
      </c>
      <c r="D105" s="940" t="s">
        <v>4568</v>
      </c>
      <c r="E105" s="948" t="s">
        <v>4569</v>
      </c>
      <c r="F105" s="948" t="s">
        <v>4570</v>
      </c>
      <c r="G105" s="948" t="s">
        <v>4571</v>
      </c>
      <c r="H105" s="948" t="s">
        <v>4572</v>
      </c>
      <c r="I105" s="948" t="s">
        <v>4573</v>
      </c>
      <c r="J105" s="948" t="s">
        <v>4574</v>
      </c>
      <c r="K105" s="948" t="s">
        <v>4575</v>
      </c>
      <c r="L105" s="948" t="s">
        <v>4576</v>
      </c>
      <c r="M105" s="948" t="s">
        <v>4577</v>
      </c>
      <c r="N105" s="948" t="s">
        <v>4578</v>
      </c>
      <c r="O105" s="948" t="s">
        <v>4579</v>
      </c>
      <c r="P105" s="948" t="s">
        <v>4580</v>
      </c>
      <c r="Q105" s="948" t="s">
        <v>4581</v>
      </c>
      <c r="R105" s="948" t="s">
        <v>4582</v>
      </c>
      <c r="S105" s="948" t="s">
        <v>4583</v>
      </c>
      <c r="T105" s="942" t="s">
        <v>4584</v>
      </c>
      <c r="U105" s="940" t="s">
        <v>4585</v>
      </c>
      <c r="V105" s="941" t="s">
        <v>4586</v>
      </c>
      <c r="W105" s="19" t="e">
        <f t="shared" si="54"/>
        <v>#VALUE!</v>
      </c>
      <c r="BR105" s="1740" t="e">
        <f t="shared" si="55"/>
        <v>#VALUE!</v>
      </c>
      <c r="CA105" s="84" t="e">
        <f t="shared" si="53"/>
        <v>#VALUE!</v>
      </c>
    </row>
    <row r="106" spans="1:79" s="19" customFormat="1" ht="15" customHeight="1" x14ac:dyDescent="0.15">
      <c r="A106" s="5824">
        <v>29101558</v>
      </c>
      <c r="B106" s="1267" t="s">
        <v>1238</v>
      </c>
      <c r="C106" s="373" t="s">
        <v>4567</v>
      </c>
      <c r="D106" s="940" t="s">
        <v>4568</v>
      </c>
      <c r="E106" s="948" t="s">
        <v>4569</v>
      </c>
      <c r="F106" s="948" t="s">
        <v>4570</v>
      </c>
      <c r="G106" s="948" t="s">
        <v>4571</v>
      </c>
      <c r="H106" s="948" t="s">
        <v>4572</v>
      </c>
      <c r="I106" s="948" t="s">
        <v>4573</v>
      </c>
      <c r="J106" s="948" t="s">
        <v>4574</v>
      </c>
      <c r="K106" s="948" t="s">
        <v>4575</v>
      </c>
      <c r="L106" s="948" t="s">
        <v>4576</v>
      </c>
      <c r="M106" s="948" t="s">
        <v>4577</v>
      </c>
      <c r="N106" s="948" t="s">
        <v>4578</v>
      </c>
      <c r="O106" s="948" t="s">
        <v>4579</v>
      </c>
      <c r="P106" s="948" t="s">
        <v>4580</v>
      </c>
      <c r="Q106" s="948" t="s">
        <v>4581</v>
      </c>
      <c r="R106" s="948" t="s">
        <v>4582</v>
      </c>
      <c r="S106" s="948" t="s">
        <v>4583</v>
      </c>
      <c r="T106" s="942" t="s">
        <v>4584</v>
      </c>
      <c r="U106" s="940" t="s">
        <v>4585</v>
      </c>
      <c r="V106" s="941" t="s">
        <v>4586</v>
      </c>
      <c r="W106" s="19" t="e">
        <f t="shared" si="54"/>
        <v>#VALUE!</v>
      </c>
      <c r="BR106" s="1740" t="e">
        <f t="shared" si="55"/>
        <v>#VALUE!</v>
      </c>
      <c r="CA106" s="84" t="e">
        <f t="shared" si="53"/>
        <v>#VALUE!</v>
      </c>
    </row>
    <row r="107" spans="1:79" s="19" customFormat="1" ht="15" customHeight="1" x14ac:dyDescent="0.15">
      <c r="A107" s="5824">
        <v>29101559</v>
      </c>
      <c r="B107" s="1267" t="s">
        <v>1427</v>
      </c>
      <c r="C107" s="373" t="s">
        <v>4567</v>
      </c>
      <c r="D107" s="940" t="s">
        <v>4568</v>
      </c>
      <c r="E107" s="948" t="s">
        <v>4569</v>
      </c>
      <c r="F107" s="948" t="s">
        <v>4570</v>
      </c>
      <c r="G107" s="948" t="s">
        <v>4571</v>
      </c>
      <c r="H107" s="948" t="s">
        <v>4572</v>
      </c>
      <c r="I107" s="948" t="s">
        <v>4573</v>
      </c>
      <c r="J107" s="948" t="s">
        <v>4574</v>
      </c>
      <c r="K107" s="948" t="s">
        <v>4575</v>
      </c>
      <c r="L107" s="948" t="s">
        <v>4576</v>
      </c>
      <c r="M107" s="948" t="s">
        <v>4577</v>
      </c>
      <c r="N107" s="948" t="s">
        <v>4578</v>
      </c>
      <c r="O107" s="948" t="s">
        <v>4579</v>
      </c>
      <c r="P107" s="948" t="s">
        <v>4580</v>
      </c>
      <c r="Q107" s="948" t="s">
        <v>4581</v>
      </c>
      <c r="R107" s="948" t="s">
        <v>4582</v>
      </c>
      <c r="S107" s="948" t="s">
        <v>4583</v>
      </c>
      <c r="T107" s="942" t="s">
        <v>4584</v>
      </c>
      <c r="U107" s="940" t="s">
        <v>4585</v>
      </c>
      <c r="V107" s="941" t="s">
        <v>4586</v>
      </c>
      <c r="W107" s="19" t="e">
        <f t="shared" si="54"/>
        <v>#VALUE!</v>
      </c>
      <c r="BR107" s="1740" t="e">
        <f t="shared" si="55"/>
        <v>#VALUE!</v>
      </c>
      <c r="CA107" s="84" t="e">
        <f t="shared" si="53"/>
        <v>#VALUE!</v>
      </c>
    </row>
    <row r="108" spans="1:79" s="19" customFormat="1" ht="15" customHeight="1" x14ac:dyDescent="0.15">
      <c r="A108" s="5824">
        <v>29101560</v>
      </c>
      <c r="B108" s="1267" t="s">
        <v>2393</v>
      </c>
      <c r="C108" s="373" t="s">
        <v>4567</v>
      </c>
      <c r="D108" s="940" t="s">
        <v>4568</v>
      </c>
      <c r="E108" s="948" t="s">
        <v>4569</v>
      </c>
      <c r="F108" s="948" t="s">
        <v>4570</v>
      </c>
      <c r="G108" s="948" t="s">
        <v>4571</v>
      </c>
      <c r="H108" s="948" t="s">
        <v>4572</v>
      </c>
      <c r="I108" s="948" t="s">
        <v>4573</v>
      </c>
      <c r="J108" s="948" t="s">
        <v>4574</v>
      </c>
      <c r="K108" s="948" t="s">
        <v>4575</v>
      </c>
      <c r="L108" s="948" t="s">
        <v>4576</v>
      </c>
      <c r="M108" s="948" t="s">
        <v>4577</v>
      </c>
      <c r="N108" s="948" t="s">
        <v>4578</v>
      </c>
      <c r="O108" s="948" t="s">
        <v>4579</v>
      </c>
      <c r="P108" s="948" t="s">
        <v>4580</v>
      </c>
      <c r="Q108" s="948" t="s">
        <v>4581</v>
      </c>
      <c r="R108" s="948" t="s">
        <v>4582</v>
      </c>
      <c r="S108" s="948" t="s">
        <v>4583</v>
      </c>
      <c r="T108" s="942" t="s">
        <v>4584</v>
      </c>
      <c r="U108" s="940" t="s">
        <v>4585</v>
      </c>
      <c r="V108" s="941" t="s">
        <v>4586</v>
      </c>
      <c r="W108" s="19" t="e">
        <f t="shared" si="54"/>
        <v>#VALUE!</v>
      </c>
      <c r="BR108" s="1740" t="e">
        <f t="shared" si="55"/>
        <v>#VALUE!</v>
      </c>
      <c r="CA108" s="84" t="e">
        <f t="shared" si="53"/>
        <v>#VALUE!</v>
      </c>
    </row>
    <row r="109" spans="1:79" s="19" customFormat="1" ht="15" customHeight="1" x14ac:dyDescent="0.15">
      <c r="A109" s="5824">
        <v>29101561</v>
      </c>
      <c r="B109" s="1267" t="s">
        <v>3137</v>
      </c>
      <c r="C109" s="373" t="s">
        <v>4567</v>
      </c>
      <c r="D109" s="964" t="s">
        <v>4568</v>
      </c>
      <c r="E109" s="1006" t="s">
        <v>4569</v>
      </c>
      <c r="F109" s="1006" t="s">
        <v>4570</v>
      </c>
      <c r="G109" s="1006" t="s">
        <v>4571</v>
      </c>
      <c r="H109" s="1006" t="s">
        <v>4572</v>
      </c>
      <c r="I109" s="1006" t="s">
        <v>4573</v>
      </c>
      <c r="J109" s="1006" t="s">
        <v>4574</v>
      </c>
      <c r="K109" s="1006" t="s">
        <v>4575</v>
      </c>
      <c r="L109" s="1006" t="s">
        <v>4576</v>
      </c>
      <c r="M109" s="1006" t="s">
        <v>4577</v>
      </c>
      <c r="N109" s="1006" t="s">
        <v>4578</v>
      </c>
      <c r="O109" s="1006" t="s">
        <v>4579</v>
      </c>
      <c r="P109" s="1006" t="s">
        <v>4580</v>
      </c>
      <c r="Q109" s="1006" t="s">
        <v>4581</v>
      </c>
      <c r="R109" s="1006" t="s">
        <v>4582</v>
      </c>
      <c r="S109" s="1006" t="s">
        <v>4583</v>
      </c>
      <c r="T109" s="965" t="s">
        <v>4584</v>
      </c>
      <c r="U109" s="964" t="s">
        <v>4585</v>
      </c>
      <c r="V109" s="854" t="s">
        <v>4586</v>
      </c>
      <c r="W109" s="19" t="e">
        <f t="shared" si="54"/>
        <v>#VALUE!</v>
      </c>
      <c r="BR109" s="1740" t="e">
        <f t="shared" si="55"/>
        <v>#VALUE!</v>
      </c>
      <c r="CA109" s="84" t="e">
        <f t="shared" si="53"/>
        <v>#VALUE!</v>
      </c>
    </row>
    <row r="110" spans="1:79" s="19" customFormat="1" ht="15" customHeight="1" x14ac:dyDescent="0.2">
      <c r="A110" s="5861"/>
      <c r="B110" s="1276" t="s">
        <v>77</v>
      </c>
      <c r="C110" s="1280">
        <f>SUM(D110:T110)</f>
        <v>0</v>
      </c>
      <c r="D110" s="1281">
        <f>SUM(D95:D109)</f>
        <v>0</v>
      </c>
      <c r="E110" s="1282">
        <f t="shared" ref="E110:V110" si="56">SUM(E95:E109)</f>
        <v>0</v>
      </c>
      <c r="F110" s="1282">
        <f t="shared" si="56"/>
        <v>0</v>
      </c>
      <c r="G110" s="1282">
        <f t="shared" si="56"/>
        <v>0</v>
      </c>
      <c r="H110" s="1282">
        <f t="shared" si="56"/>
        <v>0</v>
      </c>
      <c r="I110" s="1283">
        <f t="shared" si="56"/>
        <v>0</v>
      </c>
      <c r="J110" s="1282">
        <f t="shared" si="56"/>
        <v>0</v>
      </c>
      <c r="K110" s="1282">
        <f t="shared" si="56"/>
        <v>0</v>
      </c>
      <c r="L110" s="1282">
        <f t="shared" si="56"/>
        <v>0</v>
      </c>
      <c r="M110" s="1282">
        <f t="shared" si="56"/>
        <v>0</v>
      </c>
      <c r="N110" s="1282">
        <f t="shared" si="56"/>
        <v>0</v>
      </c>
      <c r="O110" s="1282">
        <f t="shared" si="56"/>
        <v>0</v>
      </c>
      <c r="P110" s="1282">
        <f t="shared" si="56"/>
        <v>0</v>
      </c>
      <c r="Q110" s="1282">
        <f t="shared" si="56"/>
        <v>0</v>
      </c>
      <c r="R110" s="1282">
        <f t="shared" si="56"/>
        <v>0</v>
      </c>
      <c r="S110" s="1282">
        <f t="shared" si="56"/>
        <v>0</v>
      </c>
      <c r="T110" s="1284">
        <f t="shared" si="56"/>
        <v>0</v>
      </c>
      <c r="U110" s="1281">
        <f t="shared" si="56"/>
        <v>0</v>
      </c>
      <c r="V110" s="1284">
        <f t="shared" si="56"/>
        <v>0</v>
      </c>
    </row>
    <row r="111" spans="1:79" s="25" customFormat="1" ht="18" customHeight="1" x14ac:dyDescent="0.15">
      <c r="A111" s="5872"/>
      <c r="B111" s="1245" t="s">
        <v>3138</v>
      </c>
    </row>
    <row r="112" spans="1:79" s="19" customFormat="1" ht="15" customHeight="1" x14ac:dyDescent="0.15">
      <c r="A112" s="5872"/>
      <c r="B112" s="6491" t="s">
        <v>3139</v>
      </c>
      <c r="C112" s="7559" t="s">
        <v>4427</v>
      </c>
      <c r="D112" s="7289" t="s">
        <v>302</v>
      </c>
      <c r="E112" s="6510"/>
      <c r="F112" s="7237"/>
      <c r="G112" s="7291" t="s">
        <v>101</v>
      </c>
      <c r="H112" s="7298"/>
      <c r="I112" s="7298"/>
      <c r="J112" s="7298"/>
      <c r="K112" s="7298"/>
      <c r="L112" s="7298"/>
      <c r="M112" s="7298"/>
      <c r="N112" s="7298"/>
      <c r="O112" s="7298"/>
      <c r="P112" s="7298"/>
      <c r="Q112" s="7298"/>
      <c r="R112" s="7298"/>
      <c r="S112" s="7298"/>
      <c r="T112" s="7298"/>
      <c r="U112" s="40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167"/>
    </row>
    <row r="113" spans="1:79" s="19" customFormat="1" ht="15" customHeight="1" x14ac:dyDescent="0.15">
      <c r="A113" s="5872"/>
      <c r="B113" s="6954"/>
      <c r="C113" s="7560"/>
      <c r="D113" s="7448"/>
      <c r="E113" s="6735"/>
      <c r="F113" s="6955"/>
      <c r="G113" s="7222" t="s">
        <v>3140</v>
      </c>
      <c r="H113" s="7222"/>
      <c r="I113" s="7257" t="s">
        <v>3141</v>
      </c>
      <c r="J113" s="7346"/>
      <c r="K113" s="7257" t="s">
        <v>438</v>
      </c>
      <c r="L113" s="7346"/>
      <c r="M113" s="7562" t="s">
        <v>4425</v>
      </c>
      <c r="N113" s="7563"/>
      <c r="O113" s="7257" t="s">
        <v>53</v>
      </c>
      <c r="P113" s="7346"/>
      <c r="Q113" s="7257" t="s">
        <v>460</v>
      </c>
      <c r="R113" s="7346"/>
      <c r="S113" s="7257" t="s">
        <v>57</v>
      </c>
      <c r="T113" s="7346"/>
    </row>
    <row r="114" spans="1:79" s="19" customFormat="1" ht="15" customHeight="1" x14ac:dyDescent="0.15">
      <c r="A114" s="5862"/>
      <c r="B114" s="6749"/>
      <c r="C114" s="7561"/>
      <c r="D114" s="1109" t="s">
        <v>79</v>
      </c>
      <c r="E114" s="1110" t="s">
        <v>58</v>
      </c>
      <c r="F114" s="1067" t="s">
        <v>59</v>
      </c>
      <c r="G114" s="1109" t="s">
        <v>58</v>
      </c>
      <c r="H114" s="1067" t="s">
        <v>59</v>
      </c>
      <c r="I114" s="1109" t="s">
        <v>58</v>
      </c>
      <c r="J114" s="1067" t="s">
        <v>59</v>
      </c>
      <c r="K114" s="1109" t="s">
        <v>58</v>
      </c>
      <c r="L114" s="1067" t="s">
        <v>59</v>
      </c>
      <c r="M114" s="1109" t="s">
        <v>58</v>
      </c>
      <c r="N114" s="1067" t="s">
        <v>59</v>
      </c>
      <c r="O114" s="1109" t="s">
        <v>58</v>
      </c>
      <c r="P114" s="1067" t="s">
        <v>59</v>
      </c>
      <c r="Q114" s="1109" t="s">
        <v>58</v>
      </c>
      <c r="R114" s="1067" t="s">
        <v>59</v>
      </c>
      <c r="S114" s="1109" t="s">
        <v>58</v>
      </c>
      <c r="T114" s="1067" t="s">
        <v>59</v>
      </c>
    </row>
    <row r="115" spans="1:79" s="19" customFormat="1" ht="15" customHeight="1" x14ac:dyDescent="0.15">
      <c r="A115" s="5825">
        <v>26411018</v>
      </c>
      <c r="B115" s="1142" t="s">
        <v>3142</v>
      </c>
      <c r="C115" s="5883" t="s">
        <v>4567</v>
      </c>
      <c r="D115" s="5884" t="s">
        <v>4568</v>
      </c>
      <c r="E115" s="5885" t="s">
        <v>4569</v>
      </c>
      <c r="F115" s="5886" t="s">
        <v>4570</v>
      </c>
      <c r="G115" s="5887" t="s">
        <v>4571</v>
      </c>
      <c r="H115" s="5888" t="s">
        <v>4572</v>
      </c>
      <c r="I115" s="5887" t="s">
        <v>4573</v>
      </c>
      <c r="J115" s="5888" t="s">
        <v>4574</v>
      </c>
      <c r="K115" s="5887" t="s">
        <v>4575</v>
      </c>
      <c r="L115" s="5889" t="s">
        <v>4576</v>
      </c>
      <c r="M115" s="5887" t="s">
        <v>4577</v>
      </c>
      <c r="N115" s="5889" t="s">
        <v>4578</v>
      </c>
      <c r="O115" s="5887" t="s">
        <v>4579</v>
      </c>
      <c r="P115" s="5889" t="s">
        <v>4580</v>
      </c>
      <c r="Q115" s="5887" t="s">
        <v>4581</v>
      </c>
      <c r="R115" s="5889" t="s">
        <v>4582</v>
      </c>
      <c r="S115" s="5887" t="s">
        <v>4583</v>
      </c>
      <c r="T115" s="5889" t="s">
        <v>4584</v>
      </c>
    </row>
    <row r="116" spans="1:79" s="19" customFormat="1" ht="15" customHeight="1" x14ac:dyDescent="0.15">
      <c r="A116" s="5825">
        <v>26411019</v>
      </c>
      <c r="B116" s="949" t="s">
        <v>3143</v>
      </c>
      <c r="C116" s="5890" t="s">
        <v>4567</v>
      </c>
      <c r="D116" s="5891" t="s">
        <v>4568</v>
      </c>
      <c r="E116" s="5892" t="s">
        <v>4569</v>
      </c>
      <c r="F116" s="5893" t="s">
        <v>4570</v>
      </c>
      <c r="G116" s="5894" t="s">
        <v>4571</v>
      </c>
      <c r="H116" s="5895" t="s">
        <v>4572</v>
      </c>
      <c r="I116" s="5890" t="s">
        <v>4573</v>
      </c>
      <c r="J116" s="5896" t="s">
        <v>4574</v>
      </c>
      <c r="K116" s="5890" t="s">
        <v>4575</v>
      </c>
      <c r="L116" s="5895" t="s">
        <v>4576</v>
      </c>
      <c r="M116" s="5890" t="s">
        <v>4577</v>
      </c>
      <c r="N116" s="5895" t="s">
        <v>4578</v>
      </c>
      <c r="O116" s="5890" t="s">
        <v>4579</v>
      </c>
      <c r="P116" s="5895" t="s">
        <v>4580</v>
      </c>
      <c r="Q116" s="5890" t="s">
        <v>4581</v>
      </c>
      <c r="R116" s="5895" t="s">
        <v>4582</v>
      </c>
      <c r="S116" s="5890" t="s">
        <v>4583</v>
      </c>
      <c r="T116" s="5895" t="s">
        <v>4584</v>
      </c>
    </row>
    <row r="117" spans="1:79" s="19" customFormat="1" ht="15" customHeight="1" x14ac:dyDescent="0.15">
      <c r="A117" s="5825">
        <v>26411020</v>
      </c>
      <c r="B117" s="990" t="s">
        <v>3144</v>
      </c>
      <c r="C117" s="5897" t="s">
        <v>4567</v>
      </c>
      <c r="D117" s="5898" t="s">
        <v>4568</v>
      </c>
      <c r="E117" s="5892" t="s">
        <v>4569</v>
      </c>
      <c r="F117" s="5899" t="s">
        <v>4570</v>
      </c>
      <c r="G117" s="5890" t="s">
        <v>4571</v>
      </c>
      <c r="H117" s="5900" t="s">
        <v>4572</v>
      </c>
      <c r="I117" s="5901" t="s">
        <v>4573</v>
      </c>
      <c r="J117" s="5895" t="s">
        <v>4574</v>
      </c>
      <c r="K117" s="5902" t="s">
        <v>4575</v>
      </c>
      <c r="L117" s="5897" t="s">
        <v>4576</v>
      </c>
      <c r="M117" s="5901" t="s">
        <v>4577</v>
      </c>
      <c r="N117" s="5895" t="s">
        <v>4578</v>
      </c>
      <c r="O117" s="5901" t="s">
        <v>4579</v>
      </c>
      <c r="P117" s="5895" t="s">
        <v>4580</v>
      </c>
      <c r="Q117" s="5901" t="s">
        <v>4581</v>
      </c>
      <c r="R117" s="5895" t="s">
        <v>4582</v>
      </c>
      <c r="S117" s="5890" t="s">
        <v>4583</v>
      </c>
      <c r="T117" s="5897" t="s">
        <v>4584</v>
      </c>
    </row>
    <row r="118" spans="1:79" s="19" customFormat="1" ht="15" customHeight="1" x14ac:dyDescent="0.15">
      <c r="A118" s="5825">
        <v>26411021</v>
      </c>
      <c r="B118" s="205" t="s">
        <v>3145</v>
      </c>
      <c r="C118" s="5903" t="s">
        <v>4567</v>
      </c>
      <c r="D118" s="5891" t="s">
        <v>4568</v>
      </c>
      <c r="E118" s="5892" t="s">
        <v>4569</v>
      </c>
      <c r="F118" s="5893" t="s">
        <v>4570</v>
      </c>
      <c r="G118" s="5904" t="s">
        <v>4571</v>
      </c>
      <c r="H118" s="5895" t="s">
        <v>4572</v>
      </c>
      <c r="I118" s="5905" t="s">
        <v>4573</v>
      </c>
      <c r="J118" s="5900" t="s">
        <v>4574</v>
      </c>
      <c r="K118" s="5906" t="s">
        <v>4575</v>
      </c>
      <c r="L118" s="5903" t="s">
        <v>4576</v>
      </c>
      <c r="M118" s="5907" t="s">
        <v>4577</v>
      </c>
      <c r="N118" s="5895" t="s">
        <v>4578</v>
      </c>
      <c r="O118" s="5908" t="s">
        <v>4579</v>
      </c>
      <c r="P118" s="5903" t="s">
        <v>4580</v>
      </c>
      <c r="Q118" s="5909" t="s">
        <v>4581</v>
      </c>
      <c r="R118" s="5900" t="s">
        <v>4582</v>
      </c>
      <c r="S118" s="5909" t="s">
        <v>4583</v>
      </c>
      <c r="T118" s="5900" t="s">
        <v>4584</v>
      </c>
    </row>
    <row r="119" spans="1:79" s="19" customFormat="1" ht="15" customHeight="1" x14ac:dyDescent="0.15">
      <c r="A119" s="5825">
        <v>26411022</v>
      </c>
      <c r="B119" s="1003" t="s">
        <v>3146</v>
      </c>
      <c r="C119" s="5910" t="s">
        <v>4567</v>
      </c>
      <c r="D119" s="5911" t="s">
        <v>4568</v>
      </c>
      <c r="E119" s="5912" t="s">
        <v>4569</v>
      </c>
      <c r="F119" s="5913" t="s">
        <v>4570</v>
      </c>
      <c r="G119" s="5914" t="s">
        <v>4571</v>
      </c>
      <c r="H119" s="5913" t="s">
        <v>4572</v>
      </c>
      <c r="I119" s="5915" t="s">
        <v>4573</v>
      </c>
      <c r="J119" s="5916" t="s">
        <v>4574</v>
      </c>
      <c r="K119" s="5917" t="s">
        <v>4575</v>
      </c>
      <c r="L119" s="5916" t="s">
        <v>4576</v>
      </c>
      <c r="M119" s="5917" t="s">
        <v>4577</v>
      </c>
      <c r="N119" s="5913" t="s">
        <v>4578</v>
      </c>
      <c r="O119" s="5918" t="s">
        <v>4579</v>
      </c>
      <c r="P119" s="5916" t="s">
        <v>4580</v>
      </c>
      <c r="Q119" s="5917" t="s">
        <v>4581</v>
      </c>
      <c r="R119" s="5919" t="s">
        <v>4582</v>
      </c>
      <c r="S119" s="5917" t="s">
        <v>4583</v>
      </c>
      <c r="T119" s="5913" t="s">
        <v>4584</v>
      </c>
    </row>
    <row r="120" spans="1:79" s="19" customFormat="1" ht="15" customHeight="1" x14ac:dyDescent="0.15">
      <c r="A120" s="5873"/>
      <c r="B120" s="1099" t="s">
        <v>77</v>
      </c>
      <c r="C120" s="1101">
        <f>SUM(C115:C119)</f>
        <v>0</v>
      </c>
      <c r="D120" s="973">
        <f>SUM(D115:D119)</f>
        <v>0</v>
      </c>
      <c r="E120" s="1023">
        <f>SUM(E115:E119)</f>
        <v>0</v>
      </c>
      <c r="F120" s="975">
        <f t="shared" ref="F120:T120" si="57">SUM(F115:F119)</f>
        <v>0</v>
      </c>
      <c r="G120" s="1022">
        <f t="shared" si="57"/>
        <v>0</v>
      </c>
      <c r="H120" s="975">
        <f t="shared" si="57"/>
        <v>0</v>
      </c>
      <c r="I120" s="1022">
        <f t="shared" si="57"/>
        <v>0</v>
      </c>
      <c r="J120" s="975">
        <f t="shared" si="57"/>
        <v>0</v>
      </c>
      <c r="K120" s="973">
        <f t="shared" si="57"/>
        <v>0</v>
      </c>
      <c r="L120" s="976">
        <f t="shared" si="57"/>
        <v>0</v>
      </c>
      <c r="M120" s="1022">
        <f t="shared" si="57"/>
        <v>0</v>
      </c>
      <c r="N120" s="975">
        <f t="shared" si="57"/>
        <v>0</v>
      </c>
      <c r="O120" s="1022">
        <f t="shared" si="57"/>
        <v>0</v>
      </c>
      <c r="P120" s="975">
        <f t="shared" si="57"/>
        <v>0</v>
      </c>
      <c r="Q120" s="1022">
        <f t="shared" si="57"/>
        <v>0</v>
      </c>
      <c r="R120" s="975">
        <f t="shared" si="57"/>
        <v>0</v>
      </c>
      <c r="S120" s="1022">
        <f t="shared" si="57"/>
        <v>0</v>
      </c>
      <c r="T120" s="977">
        <f t="shared" si="57"/>
        <v>0</v>
      </c>
      <c r="U120" s="4721"/>
    </row>
    <row r="121" spans="1:79" x14ac:dyDescent="0.25">
      <c r="BR121"/>
      <c r="BS121"/>
      <c r="BT121"/>
      <c r="BU121"/>
      <c r="BV121"/>
      <c r="BX121"/>
      <c r="BY121"/>
      <c r="BZ121"/>
      <c r="CA121"/>
    </row>
    <row r="122" spans="1:79" x14ac:dyDescent="0.25">
      <c r="A122" t="s">
        <v>4777</v>
      </c>
      <c r="BR122"/>
      <c r="BS122"/>
      <c r="BT122"/>
      <c r="BU122"/>
      <c r="BV122"/>
      <c r="BX122"/>
      <c r="BY122"/>
      <c r="BZ122"/>
      <c r="CA122"/>
    </row>
    <row r="123" spans="1:79" x14ac:dyDescent="0.25">
      <c r="A123" s="5874">
        <v>29101531</v>
      </c>
      <c r="BR123"/>
      <c r="BS123"/>
      <c r="BT123"/>
      <c r="BU123"/>
      <c r="BV123"/>
      <c r="BX123"/>
      <c r="BY123"/>
      <c r="BZ123"/>
      <c r="CA123"/>
    </row>
    <row r="124" spans="1:79" x14ac:dyDescent="0.25">
      <c r="A124" s="5875">
        <v>26273106</v>
      </c>
      <c r="BR124"/>
      <c r="BS124"/>
      <c r="BT124"/>
      <c r="BU124"/>
      <c r="BV124"/>
      <c r="BX124"/>
      <c r="BY124"/>
      <c r="BZ124"/>
      <c r="CA124"/>
    </row>
    <row r="125" spans="1:79" x14ac:dyDescent="0.25">
      <c r="A125" s="5875">
        <v>26261400</v>
      </c>
      <c r="BR125"/>
      <c r="BS125"/>
      <c r="BT125"/>
      <c r="BU125"/>
      <c r="BV125"/>
      <c r="BX125"/>
      <c r="BY125"/>
      <c r="BZ125"/>
      <c r="CA125"/>
    </row>
    <row r="126" spans="1:79" x14ac:dyDescent="0.25">
      <c r="A126" s="5875">
        <v>26300100</v>
      </c>
      <c r="BR126"/>
      <c r="BS126"/>
      <c r="BT126"/>
      <c r="BU126"/>
      <c r="BV126"/>
      <c r="BX126"/>
      <c r="BY126"/>
      <c r="BZ126"/>
      <c r="CA126"/>
    </row>
    <row r="127" spans="1:79" x14ac:dyDescent="0.25">
      <c r="A127" s="5875">
        <v>29101536</v>
      </c>
      <c r="BR127"/>
      <c r="BS127"/>
      <c r="BT127"/>
      <c r="BU127"/>
      <c r="BV127"/>
      <c r="BX127"/>
      <c r="BY127"/>
      <c r="BZ127"/>
      <c r="CA127"/>
    </row>
    <row r="128" spans="1:79" x14ac:dyDescent="0.25">
      <c r="A128" s="5875">
        <v>29101538</v>
      </c>
      <c r="BR128"/>
      <c r="BS128"/>
      <c r="BT128"/>
      <c r="BU128"/>
      <c r="BV128"/>
      <c r="BX128"/>
      <c r="BY128"/>
      <c r="BZ128"/>
      <c r="CA128"/>
    </row>
    <row r="129" spans="1:79" x14ac:dyDescent="0.25">
      <c r="A129" s="5875">
        <v>29101539</v>
      </c>
      <c r="BR129"/>
      <c r="BS129"/>
      <c r="BT129"/>
      <c r="BU129"/>
      <c r="BV129"/>
      <c r="BX129"/>
      <c r="BY129"/>
      <c r="BZ129"/>
      <c r="CA129"/>
    </row>
    <row r="130" spans="1:79" x14ac:dyDescent="0.25">
      <c r="A130" s="5875">
        <v>29101540</v>
      </c>
      <c r="BR130"/>
      <c r="BS130"/>
      <c r="BT130"/>
      <c r="BU130"/>
      <c r="BV130"/>
      <c r="BX130"/>
      <c r="BY130"/>
      <c r="BZ130"/>
      <c r="CA130"/>
    </row>
    <row r="131" spans="1:79" x14ac:dyDescent="0.25">
      <c r="A131" s="5875">
        <v>29101541</v>
      </c>
      <c r="BR131"/>
      <c r="BS131"/>
      <c r="BT131"/>
      <c r="BU131"/>
      <c r="BV131"/>
      <c r="BX131"/>
      <c r="BY131"/>
      <c r="BZ131"/>
      <c r="CA131"/>
    </row>
    <row r="132" spans="1:79" x14ac:dyDescent="0.25">
      <c r="A132" s="5875">
        <v>26291350</v>
      </c>
      <c r="BR132"/>
      <c r="BS132"/>
      <c r="BT132"/>
      <c r="BU132"/>
      <c r="BV132"/>
      <c r="BX132"/>
      <c r="BY132"/>
      <c r="BZ132"/>
      <c r="CA132"/>
    </row>
    <row r="133" spans="1:79" x14ac:dyDescent="0.25">
      <c r="A133" s="5875">
        <v>29101542</v>
      </c>
      <c r="BR133"/>
      <c r="BS133"/>
      <c r="BT133"/>
      <c r="BU133"/>
      <c r="BV133"/>
      <c r="BX133"/>
      <c r="BY133"/>
      <c r="BZ133"/>
      <c r="CA133"/>
    </row>
    <row r="134" spans="1:79" x14ac:dyDescent="0.25">
      <c r="A134" t="s">
        <v>4566</v>
      </c>
      <c r="BR134"/>
      <c r="BS134"/>
      <c r="BT134"/>
      <c r="BU134"/>
      <c r="BV134"/>
      <c r="BX134"/>
      <c r="BY134"/>
      <c r="BZ134"/>
      <c r="CA134"/>
    </row>
    <row r="135" spans="1:79" x14ac:dyDescent="0.25">
      <c r="A135" s="5876">
        <v>26411010</v>
      </c>
      <c r="BR135"/>
      <c r="BS135"/>
      <c r="BT135"/>
      <c r="BU135"/>
      <c r="BV135"/>
      <c r="BX135"/>
      <c r="BY135"/>
      <c r="BZ135"/>
      <c r="CA135"/>
    </row>
    <row r="136" spans="1:79" x14ac:dyDescent="0.25">
      <c r="A136" s="5876">
        <v>26411011</v>
      </c>
      <c r="BR136"/>
      <c r="BS136"/>
      <c r="BT136"/>
      <c r="BU136"/>
      <c r="BV136"/>
      <c r="BX136"/>
      <c r="BY136"/>
      <c r="BZ136"/>
      <c r="CA136"/>
    </row>
    <row r="137" spans="1:79" x14ac:dyDescent="0.25">
      <c r="A137" s="5876">
        <v>26411012</v>
      </c>
      <c r="BR137"/>
      <c r="BS137"/>
      <c r="BT137"/>
      <c r="BU137"/>
      <c r="BV137"/>
      <c r="BX137"/>
      <c r="BY137"/>
      <c r="BZ137"/>
      <c r="CA137"/>
    </row>
    <row r="138" spans="1:79" x14ac:dyDescent="0.25">
      <c r="A138" s="5876">
        <v>26411013</v>
      </c>
      <c r="BR138"/>
      <c r="BS138"/>
      <c r="BT138"/>
      <c r="BU138"/>
      <c r="BV138"/>
      <c r="BX138"/>
      <c r="BY138"/>
      <c r="BZ138"/>
      <c r="CA138"/>
    </row>
    <row r="139" spans="1:79" hidden="1" x14ac:dyDescent="0.25">
      <c r="A139" s="5876">
        <v>26411014</v>
      </c>
      <c r="B139" s="4487" t="e">
        <f>SUM(D10:D35,E38:K47,#REF!,D50:D59,E64:E69,D74:D81,C86:C87,C90:D90,C95:C110)</f>
        <v>#REF!</v>
      </c>
      <c r="C139" s="4488" t="e">
        <f>SUM(BX10:CB109)</f>
        <v>#VALUE!</v>
      </c>
      <c r="BR139"/>
      <c r="BS139"/>
      <c r="BT139"/>
      <c r="BU139"/>
      <c r="BV139"/>
      <c r="BX139"/>
      <c r="BY139"/>
      <c r="BZ139"/>
      <c r="CA139"/>
    </row>
    <row r="140" spans="1:79" x14ac:dyDescent="0.25">
      <c r="A140" s="5876">
        <v>26411015</v>
      </c>
      <c r="BR140"/>
      <c r="BS140"/>
      <c r="BT140"/>
      <c r="BU140"/>
      <c r="BV140"/>
      <c r="BX140"/>
      <c r="BY140"/>
      <c r="BZ140"/>
      <c r="CA140"/>
    </row>
    <row r="141" spans="1:79" x14ac:dyDescent="0.25">
      <c r="A141" s="5876">
        <v>26411016</v>
      </c>
      <c r="BR141"/>
      <c r="BS141"/>
      <c r="BT141"/>
      <c r="BU141"/>
      <c r="BV141"/>
      <c r="BX141"/>
      <c r="BY141"/>
      <c r="BZ141"/>
      <c r="CA141"/>
    </row>
    <row r="142" spans="1:79" x14ac:dyDescent="0.25">
      <c r="A142" s="5876">
        <v>26411017</v>
      </c>
      <c r="BR142"/>
      <c r="BS142"/>
      <c r="BT142"/>
      <c r="BU142"/>
      <c r="BV142"/>
      <c r="BX142"/>
      <c r="BY142"/>
      <c r="BZ142"/>
      <c r="CA142"/>
    </row>
    <row r="143" spans="1:79" x14ac:dyDescent="0.25">
      <c r="A143" s="5617">
        <v>26411018</v>
      </c>
      <c r="BR143"/>
      <c r="BS143"/>
      <c r="BT143"/>
      <c r="BU143"/>
      <c r="BV143"/>
      <c r="BX143"/>
      <c r="BY143"/>
      <c r="BZ143"/>
      <c r="CA143"/>
    </row>
    <row r="144" spans="1:79" x14ac:dyDescent="0.25">
      <c r="A144" s="5617">
        <v>26411019</v>
      </c>
      <c r="BR144"/>
      <c r="BS144"/>
      <c r="BT144"/>
      <c r="BU144"/>
      <c r="BV144"/>
      <c r="BX144"/>
      <c r="BY144"/>
      <c r="BZ144"/>
      <c r="CA144"/>
    </row>
    <row r="145" spans="1:79" x14ac:dyDescent="0.25">
      <c r="A145" s="5617">
        <v>26411020</v>
      </c>
      <c r="BR145"/>
      <c r="BS145"/>
      <c r="BT145"/>
      <c r="BU145"/>
      <c r="BV145"/>
      <c r="BX145"/>
      <c r="BY145"/>
      <c r="BZ145"/>
      <c r="CA145"/>
    </row>
    <row r="146" spans="1:79" x14ac:dyDescent="0.25">
      <c r="A146" s="5617">
        <v>26411021</v>
      </c>
      <c r="BR146"/>
      <c r="BS146"/>
      <c r="BT146"/>
      <c r="BU146"/>
      <c r="BV146"/>
      <c r="BX146"/>
      <c r="BY146"/>
      <c r="BZ146"/>
      <c r="CA146"/>
    </row>
    <row r="147" spans="1:79" x14ac:dyDescent="0.25">
      <c r="A147" s="5617">
        <v>26411022</v>
      </c>
      <c r="BR147"/>
      <c r="BS147"/>
      <c r="BT147"/>
      <c r="BU147"/>
      <c r="BV147"/>
      <c r="BX147"/>
      <c r="BY147"/>
      <c r="BZ147"/>
      <c r="CA147"/>
    </row>
    <row r="148" spans="1:79" x14ac:dyDescent="0.25">
      <c r="BR148"/>
      <c r="BS148"/>
      <c r="BT148"/>
      <c r="BU148"/>
      <c r="BV148"/>
      <c r="BX148"/>
      <c r="BY148"/>
      <c r="BZ148"/>
      <c r="CA148"/>
    </row>
    <row r="149" spans="1:79" x14ac:dyDescent="0.25">
      <c r="BR149"/>
      <c r="BS149"/>
      <c r="BT149"/>
      <c r="BU149"/>
      <c r="BV149"/>
      <c r="BX149"/>
      <c r="BY149"/>
      <c r="BZ149"/>
      <c r="CA149"/>
    </row>
    <row r="150" spans="1:79" hidden="1" x14ac:dyDescent="0.25">
      <c r="B150" s="105">
        <f>SUM(D10:D35,D38:K40,D42:K46,D50:D58,D64:E69,D74:D81,C86:C87,C95:C109,C90:D90,C115:D119)</f>
        <v>0</v>
      </c>
      <c r="C150" s="105" t="e">
        <f>SUM(CA10:CH109)</f>
        <v>#VALUE!</v>
      </c>
      <c r="BR150"/>
      <c r="BS150"/>
      <c r="BT150"/>
      <c r="BU150"/>
      <c r="BV150"/>
      <c r="BX150"/>
      <c r="BY150"/>
      <c r="BZ150"/>
      <c r="CA150"/>
    </row>
    <row r="151" spans="1:79" x14ac:dyDescent="0.25">
      <c r="BR151"/>
      <c r="BS151"/>
      <c r="BT151"/>
      <c r="BU151"/>
      <c r="BV151"/>
      <c r="BX151"/>
      <c r="BY151"/>
      <c r="BZ151"/>
      <c r="CA151"/>
    </row>
    <row r="152" spans="1:79" x14ac:dyDescent="0.25">
      <c r="BR152"/>
      <c r="BS152"/>
      <c r="BT152"/>
      <c r="BU152"/>
      <c r="BV152"/>
      <c r="BX152"/>
      <c r="BY152"/>
      <c r="BZ152"/>
      <c r="CA152"/>
    </row>
    <row r="153" spans="1:79" x14ac:dyDescent="0.25">
      <c r="BR153"/>
      <c r="BS153"/>
      <c r="BT153"/>
      <c r="BU153"/>
      <c r="BV153"/>
      <c r="BX153"/>
      <c r="BY153"/>
      <c r="BZ153"/>
      <c r="CA153"/>
    </row>
    <row r="154" spans="1:79" x14ac:dyDescent="0.25">
      <c r="BR154"/>
      <c r="BS154"/>
      <c r="BT154"/>
      <c r="BU154"/>
      <c r="BV154"/>
      <c r="BX154"/>
      <c r="BY154"/>
      <c r="BZ154"/>
      <c r="CA154"/>
    </row>
    <row r="155" spans="1:79" x14ac:dyDescent="0.25">
      <c r="BR155"/>
      <c r="BS155"/>
      <c r="BT155"/>
      <c r="BU155"/>
      <c r="BV155"/>
      <c r="BX155"/>
      <c r="BY155"/>
      <c r="BZ155"/>
      <c r="CA155"/>
    </row>
    <row r="156" spans="1:79" x14ac:dyDescent="0.25">
      <c r="BR156"/>
      <c r="BS156"/>
      <c r="BT156"/>
      <c r="BU156"/>
      <c r="BV156"/>
      <c r="BX156"/>
      <c r="BY156"/>
      <c r="BZ156"/>
      <c r="CA156"/>
    </row>
    <row r="157" spans="1:79" x14ac:dyDescent="0.25">
      <c r="BR157"/>
      <c r="BS157"/>
      <c r="BT157"/>
      <c r="BU157"/>
      <c r="BV157"/>
      <c r="BX157"/>
      <c r="BY157"/>
      <c r="BZ157"/>
      <c r="CA157"/>
    </row>
    <row r="158" spans="1:79" x14ac:dyDescent="0.25">
      <c r="BR158"/>
      <c r="BS158"/>
      <c r="BT158"/>
      <c r="BU158"/>
      <c r="BV158"/>
      <c r="BX158"/>
      <c r="BY158"/>
      <c r="BZ158"/>
      <c r="CA158"/>
    </row>
    <row r="159" spans="1:79" x14ac:dyDescent="0.25">
      <c r="BR159"/>
      <c r="BS159"/>
      <c r="BT159"/>
      <c r="BU159"/>
      <c r="BV159"/>
      <c r="BX159"/>
      <c r="BY159"/>
      <c r="BZ159"/>
      <c r="CA159"/>
    </row>
    <row r="160" spans="1:79" x14ac:dyDescent="0.25">
      <c r="BR160"/>
      <c r="BS160"/>
      <c r="BT160"/>
      <c r="BU160"/>
      <c r="BV160"/>
      <c r="BX160"/>
      <c r="BY160"/>
      <c r="BZ160"/>
      <c r="CA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mergeCells count="86">
    <mergeCell ref="U62:U63"/>
    <mergeCell ref="V62:V63"/>
    <mergeCell ref="D62:Q62"/>
    <mergeCell ref="R62:R63"/>
    <mergeCell ref="S62:S63"/>
    <mergeCell ref="T62:T63"/>
    <mergeCell ref="B13:C13"/>
    <mergeCell ref="B6:Q6"/>
    <mergeCell ref="B9:C9"/>
    <mergeCell ref="B10:C10"/>
    <mergeCell ref="B11:C11"/>
    <mergeCell ref="B12:C12"/>
    <mergeCell ref="B25:C25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8:B40"/>
    <mergeCell ref="B41:C41"/>
    <mergeCell ref="B42:B46"/>
    <mergeCell ref="B37:C37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O36"/>
    <mergeCell ref="B47:C47"/>
    <mergeCell ref="B49:C49"/>
    <mergeCell ref="B50:C50"/>
    <mergeCell ref="B54:B56"/>
    <mergeCell ref="B57:C57"/>
    <mergeCell ref="B51:C51"/>
    <mergeCell ref="B52:C52"/>
    <mergeCell ref="B53:C53"/>
    <mergeCell ref="B58:C58"/>
    <mergeCell ref="B64:C64"/>
    <mergeCell ref="B66:B69"/>
    <mergeCell ref="B71:C73"/>
    <mergeCell ref="B59:C59"/>
    <mergeCell ref="B65:C65"/>
    <mergeCell ref="B62:C63"/>
    <mergeCell ref="D71:H71"/>
    <mergeCell ref="I71:J72"/>
    <mergeCell ref="D72:D73"/>
    <mergeCell ref="E72:G72"/>
    <mergeCell ref="H72:H73"/>
    <mergeCell ref="B74:C74"/>
    <mergeCell ref="B75:C75"/>
    <mergeCell ref="B76:C76"/>
    <mergeCell ref="B77:C77"/>
    <mergeCell ref="B78:C78"/>
    <mergeCell ref="B79:C79"/>
    <mergeCell ref="B80:C80"/>
    <mergeCell ref="B81:C81"/>
    <mergeCell ref="B84:B85"/>
    <mergeCell ref="C84:C85"/>
    <mergeCell ref="D84:H84"/>
    <mergeCell ref="B92:B94"/>
    <mergeCell ref="C92:C94"/>
    <mergeCell ref="D92:T92"/>
    <mergeCell ref="U92:V93"/>
    <mergeCell ref="D93:T93"/>
    <mergeCell ref="B112:B114"/>
    <mergeCell ref="C112:C114"/>
    <mergeCell ref="D112:F113"/>
    <mergeCell ref="G112:T112"/>
    <mergeCell ref="G113:H113"/>
    <mergeCell ref="I113:J113"/>
    <mergeCell ref="K113:L113"/>
    <mergeCell ref="M113:N113"/>
    <mergeCell ref="O113:P113"/>
    <mergeCell ref="Q113:R113"/>
    <mergeCell ref="S113:T113"/>
  </mergeCells>
  <dataValidations count="5">
    <dataValidation type="whole" operator="greaterThanOrEqual" allowBlank="1" showInputMessage="1" showErrorMessage="1" sqref="D119 D86:H87 C90:D90 D95:V109 G115:T118 D64:D69 D47:O47 D38:O41 F64:V69 C115:C119 E74:J81" xr:uid="{AA31D66D-7850-4DAC-A7C5-6B593C87F529}">
      <formula1>0</formula1>
    </dataValidation>
    <dataValidation type="whole" allowBlank="1" showInputMessage="1" showErrorMessage="1" sqref="E50:N58" xr:uid="{E595536B-B74B-414D-9E0A-3C0A7CB4A283}">
      <formula1>0</formula1>
      <formula2>9.99999999999999E+36</formula2>
    </dataValidation>
    <dataValidation type="whole" allowBlank="1" showInputMessage="1" showErrorMessage="1" sqref="D42:O46" xr:uid="{68AA58B9-844A-4F8C-B533-E470D8BDAF69}">
      <formula1>0</formula1>
      <formula2>9.99999999999999E+30</formula2>
    </dataValidation>
    <dataValidation type="whole" allowBlank="1" showInputMessage="1" showErrorMessage="1" sqref="E10:T35" xr:uid="{DCACFD11-4AEA-4E30-AE4D-39B316677DD4}">
      <formula1>0</formula1>
      <formula2>9.99999999999999E+34</formula2>
    </dataValidation>
    <dataValidation type="whole" operator="equal" allowBlank="1" showInputMessage="1" showErrorMessage="1" sqref="E119:T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21.5703125" customWidth="1"/>
    <col min="2" max="2" width="46.42578125" customWidth="1"/>
    <col min="3" max="3" width="22.85546875" customWidth="1"/>
    <col min="4" max="4" width="28.42578125" customWidth="1"/>
    <col min="5" max="5" width="17.42578125" customWidth="1"/>
    <col min="6" max="7" width="14.140625" customWidth="1"/>
    <col min="8" max="8" width="14.7109375" customWidth="1"/>
    <col min="9" max="9" width="14.140625" customWidth="1"/>
    <col min="10" max="10" width="13.5703125" customWidth="1"/>
    <col min="11" max="14" width="14.7109375" customWidth="1"/>
    <col min="27" max="27" width="10" customWidth="1"/>
    <col min="30" max="30" width="10.28515625" customWidth="1"/>
    <col min="76" max="77" width="11.42578125" customWidth="1"/>
    <col min="78" max="98" width="11.42578125" hidden="1" customWidth="1"/>
    <col min="99" max="99" width="11.42578125" customWidth="1"/>
  </cols>
  <sheetData>
    <row r="1" spans="1:97" x14ac:dyDescent="0.25">
      <c r="B1" s="50" t="s">
        <v>23</v>
      </c>
    </row>
    <row r="2" spans="1:97" x14ac:dyDescent="0.25">
      <c r="B2" s="50" t="str">
        <f>CONCATENATE("COMUNA: ",NOMBRE!B2, " (",NOMBRE!C2,NOMBRE!D2,NOMBRE!E2,NOMBRE!F2,NOMBRE!G2,")")</f>
        <v>COMUNA:  ()</v>
      </c>
    </row>
    <row r="3" spans="1:97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B4" s="50" t="str">
        <f>CONCATENATE("MES: ",NOMBRE!B6, " (",NOMBRE!C6,NOMBRE!D6,")")</f>
        <v>MES:  ()</v>
      </c>
    </row>
    <row r="5" spans="1:97" x14ac:dyDescent="0.25">
      <c r="B5" s="50" t="str">
        <f>CONCATENATE("AÑO: ",NOMBRE!B7)</f>
        <v>AÑO: 2025</v>
      </c>
    </row>
    <row r="6" spans="1:97" ht="18" customHeight="1" x14ac:dyDescent="0.25">
      <c r="B6" s="6383" t="s">
        <v>3147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  <c r="R6" s="6383"/>
      <c r="S6" s="6383"/>
      <c r="T6" s="6383"/>
      <c r="U6" s="6383"/>
      <c r="V6" s="6383"/>
      <c r="W6" s="6383"/>
      <c r="X6" s="6383"/>
      <c r="Y6" s="6383"/>
    </row>
    <row r="8" spans="1:97" s="6" customFormat="1" ht="18" customHeight="1" x14ac:dyDescent="0.2">
      <c r="B8" s="5975" t="s">
        <v>3148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2151"/>
      <c r="AF8" s="2151"/>
      <c r="AG8" s="2151"/>
    </row>
    <row r="9" spans="1:97" s="19" customFormat="1" ht="30" customHeight="1" x14ac:dyDescent="0.15">
      <c r="B9" s="7299" t="s">
        <v>3149</v>
      </c>
      <c r="C9" s="6491"/>
      <c r="D9" s="7290"/>
      <c r="E9" s="7256" t="s">
        <v>77</v>
      </c>
      <c r="F9" s="7257" t="s">
        <v>3150</v>
      </c>
      <c r="G9" s="7258"/>
      <c r="H9" s="7258"/>
      <c r="I9" s="7258"/>
      <c r="J9" s="7346"/>
      <c r="K9" s="7291" t="s">
        <v>29</v>
      </c>
      <c r="L9" s="7298"/>
      <c r="M9" s="7298"/>
      <c r="N9" s="7298"/>
      <c r="O9" s="7298"/>
      <c r="P9" s="7298"/>
      <c r="Q9" s="7298"/>
      <c r="R9" s="7298"/>
      <c r="S9" s="7298"/>
      <c r="T9" s="7298"/>
      <c r="U9" s="7298"/>
      <c r="V9" s="7298"/>
      <c r="W9" s="7298"/>
      <c r="X9" s="7298"/>
      <c r="Y9" s="7339"/>
      <c r="Z9" s="7298" t="s">
        <v>453</v>
      </c>
      <c r="AA9" s="7298"/>
      <c r="AB9" s="7339"/>
      <c r="AC9" s="7306" t="s">
        <v>3151</v>
      </c>
      <c r="AD9" s="7305" t="s">
        <v>36</v>
      </c>
      <c r="AE9" s="7305" t="s">
        <v>37</v>
      </c>
      <c r="AF9" s="7410" t="s">
        <v>33</v>
      </c>
      <c r="AG9" s="7258" t="s">
        <v>457</v>
      </c>
      <c r="AH9" s="7346"/>
      <c r="AI9" s="7380" t="s">
        <v>1575</v>
      </c>
      <c r="AJ9" s="7665" t="s">
        <v>1576</v>
      </c>
    </row>
    <row r="10" spans="1:97" s="19" customFormat="1" ht="30" customHeight="1" x14ac:dyDescent="0.15">
      <c r="B10" s="7579"/>
      <c r="C10" s="6749"/>
      <c r="D10" s="6913"/>
      <c r="E10" s="7609"/>
      <c r="F10" s="4490" t="s">
        <v>474</v>
      </c>
      <c r="G10" s="918" t="s">
        <v>3152</v>
      </c>
      <c r="H10" s="918" t="s">
        <v>3153</v>
      </c>
      <c r="I10" s="1213" t="s">
        <v>3154</v>
      </c>
      <c r="J10" s="1227" t="s">
        <v>3155</v>
      </c>
      <c r="K10" s="1109" t="s">
        <v>94</v>
      </c>
      <c r="L10" s="1213" t="s">
        <v>44</v>
      </c>
      <c r="M10" s="1213" t="s">
        <v>45</v>
      </c>
      <c r="N10" s="1213" t="s">
        <v>46</v>
      </c>
      <c r="O10" s="1213" t="s">
        <v>47</v>
      </c>
      <c r="P10" s="1213" t="s">
        <v>48</v>
      </c>
      <c r="Q10" s="1213" t="s">
        <v>49</v>
      </c>
      <c r="R10" s="1213" t="s">
        <v>50</v>
      </c>
      <c r="S10" s="1213" t="s">
        <v>51</v>
      </c>
      <c r="T10" s="1213" t="s">
        <v>52</v>
      </c>
      <c r="U10" s="1213" t="s">
        <v>53</v>
      </c>
      <c r="V10" s="1213" t="s">
        <v>54</v>
      </c>
      <c r="W10" s="1213" t="s">
        <v>55</v>
      </c>
      <c r="X10" s="1213" t="s">
        <v>56</v>
      </c>
      <c r="Y10" s="1216" t="s">
        <v>57</v>
      </c>
      <c r="Z10" s="1110" t="s">
        <v>1007</v>
      </c>
      <c r="AA10" s="1076" t="s">
        <v>3156</v>
      </c>
      <c r="AB10" s="1216" t="s">
        <v>3157</v>
      </c>
      <c r="AC10" s="6035"/>
      <c r="AD10" s="6086"/>
      <c r="AE10" s="6086"/>
      <c r="AF10" s="6067"/>
      <c r="AG10" s="1109" t="s">
        <v>462</v>
      </c>
      <c r="AH10" s="1768" t="s">
        <v>463</v>
      </c>
      <c r="AI10" s="7381"/>
      <c r="AJ10" s="7666"/>
    </row>
    <row r="11" spans="1:97" s="19" customFormat="1" ht="15" customHeight="1" x14ac:dyDescent="0.25">
      <c r="A11" s="5818">
        <v>27280100</v>
      </c>
      <c r="B11" s="7358" t="s">
        <v>3158</v>
      </c>
      <c r="C11" s="7600" t="s">
        <v>3159</v>
      </c>
      <c r="D11" s="7601"/>
      <c r="E11" s="1077" t="s">
        <v>4567</v>
      </c>
      <c r="F11" s="4508" t="s">
        <v>4568</v>
      </c>
      <c r="G11" s="4509" t="s">
        <v>4569</v>
      </c>
      <c r="H11" s="4509" t="s">
        <v>4570</v>
      </c>
      <c r="I11" s="4722" t="s">
        <v>4571</v>
      </c>
      <c r="J11" s="4723" t="s">
        <v>4572</v>
      </c>
      <c r="K11" s="4722" t="s">
        <v>4573</v>
      </c>
      <c r="L11" s="4724" t="s">
        <v>4574</v>
      </c>
      <c r="M11" s="4724" t="s">
        <v>4575</v>
      </c>
      <c r="N11" s="4725" t="s">
        <v>4576</v>
      </c>
      <c r="O11" s="4725" t="s">
        <v>4577</v>
      </c>
      <c r="P11" s="4725" t="s">
        <v>4578</v>
      </c>
      <c r="Q11" s="4725" t="s">
        <v>4579</v>
      </c>
      <c r="R11" s="4725" t="s">
        <v>4580</v>
      </c>
      <c r="S11" s="4725" t="s">
        <v>4581</v>
      </c>
      <c r="T11" s="4725" t="s">
        <v>4582</v>
      </c>
      <c r="U11" s="4725" t="s">
        <v>4583</v>
      </c>
      <c r="V11" s="4725" t="s">
        <v>4584</v>
      </c>
      <c r="W11" s="4725" t="s">
        <v>4585</v>
      </c>
      <c r="X11" s="4725" t="s">
        <v>4586</v>
      </c>
      <c r="Y11" s="4725" t="s">
        <v>4587</v>
      </c>
      <c r="Z11" s="4726" t="s">
        <v>4588</v>
      </c>
      <c r="AA11" s="4724" t="s">
        <v>4589</v>
      </c>
      <c r="AB11" s="4727" t="s">
        <v>4590</v>
      </c>
      <c r="AC11" s="4728" t="s">
        <v>4591</v>
      </c>
      <c r="AD11" s="750" t="s">
        <v>4592</v>
      </c>
      <c r="AE11" s="750" t="s">
        <v>4593</v>
      </c>
      <c r="AF11" s="748" t="s">
        <v>4594</v>
      </c>
      <c r="AG11" s="1081" t="s">
        <v>4595</v>
      </c>
      <c r="AH11" s="1082" t="s">
        <v>4596</v>
      </c>
      <c r="AI11" s="1082" t="s">
        <v>4597</v>
      </c>
      <c r="AJ11" s="1082" t="s">
        <v>4598</v>
      </c>
      <c r="AK11" t="e">
        <f>CC11&amp;CD11&amp;CE11&amp;CF11&amp;CG11&amp;CH11&amp;CI11</f>
        <v>#VALUE!</v>
      </c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 s="1868"/>
      <c r="CD11" s="1865" t="str">
        <f t="shared" ref="CD11:CD52" si="0">IF(AND($E11&lt;&gt;0,AD11=""),"* No olvide ingresar la variable "&amp;AD$9&amp;""&amp;" (Digite CERO si no tiene).  ",IF(AD11&gt;$E11,"* La variable Pueblos Originarios no puede superar el Total. ",""))</f>
        <v xml:space="preserve">* La variable Pueblos Originarios no puede superar el Total. </v>
      </c>
      <c r="CE11" s="1865" t="str">
        <f t="shared" ref="CE11:CE52" si="1">IF(AND($E11&lt;&gt;0,AE11=""),"* No olvide ingresar la variable "&amp;AE$9&amp;""&amp;" (Digite CERO si no tiene).  ",IF(AE11&gt;$E11,"* La variable Migrantes no puede superar el Total. ",""))</f>
        <v xml:space="preserve">* La variable Migrantes no puede superar el Total. </v>
      </c>
      <c r="CF11" s="1865" t="str">
        <f t="shared" ref="CF11:CF22" si="2">IF(AND($E11&lt;&gt;0,AF11=""),"* No olvide ingresar la variable "&amp;AF$9&amp;""&amp;" (Digite CERO si no tiene).  ",IF(AF11&gt;$E11,"* La variable Espacios Amigables/ Adolescentes no puede superar el Total. ",""))</f>
        <v xml:space="preserve">* La variable Espacios Amigables/ Adolescentes no puede superar el Total. </v>
      </c>
      <c r="CG11" s="1865" t="e">
        <f t="shared" ref="CG11:CG52" si="3">IF(AND(E11&gt;0,OR(AG11="",AH11="",))," * No olvide digitar la variable TRANS Masculino/Femenino (Digite CERO si no tiene). ",IF(AG11+AH11&gt;$E11,"* La suma de TRANS Masculino + Femenino no puede superar el Total. ",""))</f>
        <v>#VALUE!</v>
      </c>
      <c r="CH11" s="1865" t="str">
        <f>IF(AND(E11&gt;0,AI11=""),"* No olvide digitar la variable Niños, niñas, adolescentes y jóvenes SENAME (Digite CERO si no tiene). ",IF(AI11&gt;$E11,"* La suma de Niños, niñas, adolescentes y jóvenes SENAME no puede superar el Total. ",""))</f>
        <v xml:space="preserve">* La suma de Niños, niñas, adolescentes y jóvenes SENAME no puede superar el Total. </v>
      </c>
      <c r="CI11" s="1865" t="str">
        <f>IF(AND(E11&gt;0,AJ11=""),"* No olvide digitar la variable Niños, niñas, adolescentes y jóvenes Mejor Niñez (Digite CERO si no tiene). ",IF(AJ11&gt;$E11,"* La suma de Niños, niñas, adolescentes y jóvenes Mejor Niñez no puede superar el Total. ",""))</f>
        <v xml:space="preserve">* La suma de Niños, niñas, adolescentes y jóvenes Mejor Niñez no puede superar el Total. </v>
      </c>
      <c r="CL11" s="1937"/>
      <c r="CM11" s="1868"/>
      <c r="CN11" s="1867">
        <f t="shared" ref="CN11:CN22" si="4">IF(AND($E11&lt;&gt;0,AD11=""),1,IF(AD11&gt;$E11,1,0))</f>
        <v>1</v>
      </c>
      <c r="CO11" s="1867">
        <f t="shared" ref="CO11:CO22" si="5">IF(AND($E11&lt;&gt;0,AE11=""),1,IF(AE11&gt;$E11,1,0))</f>
        <v>1</v>
      </c>
      <c r="CP11" s="1867">
        <f t="shared" ref="CP11:CP22" si="6">IF(AND($E11&lt;&gt;0,AF11=""),1,IF(AF11&gt;$E11,1,0))</f>
        <v>1</v>
      </c>
      <c r="CQ11" s="1867" t="e">
        <f t="shared" ref="CQ11:CQ52" si="7">IF(AND(E11&gt;0,OR(AG11="",AH11="",)),1,IF(AG11+AH11&gt;$E11,1,0))</f>
        <v>#VALUE!</v>
      </c>
      <c r="CR11" s="3922">
        <f>IF(AND(E11&gt;0,AI11=""),1,IF(AI11&gt;$E11,1,0))</f>
        <v>1</v>
      </c>
      <c r="CS11" s="3922">
        <f>IF(AND(E11&gt;0,AJ11=""),1,IF(AJ11&gt;$E11,1,0))</f>
        <v>1</v>
      </c>
    </row>
    <row r="12" spans="1:97" s="19" customFormat="1" ht="21" x14ac:dyDescent="0.25">
      <c r="A12" s="5818">
        <v>27280315</v>
      </c>
      <c r="B12" s="7431"/>
      <c r="C12" s="7358" t="s">
        <v>3160</v>
      </c>
      <c r="D12" s="4635" t="s">
        <v>3161</v>
      </c>
      <c r="E12" s="1159" t="s">
        <v>4567</v>
      </c>
      <c r="F12" s="1081" t="s">
        <v>4568</v>
      </c>
      <c r="G12" s="750" t="s">
        <v>4569</v>
      </c>
      <c r="H12" s="750" t="s">
        <v>4570</v>
      </c>
      <c r="I12" s="750" t="s">
        <v>4571</v>
      </c>
      <c r="J12" s="748" t="s">
        <v>4572</v>
      </c>
      <c r="K12" s="750" t="s">
        <v>4573</v>
      </c>
      <c r="L12" s="750" t="s">
        <v>4574</v>
      </c>
      <c r="M12" s="750" t="s">
        <v>4575</v>
      </c>
      <c r="N12" s="750" t="s">
        <v>4576</v>
      </c>
      <c r="O12" s="750" t="s">
        <v>4577</v>
      </c>
      <c r="P12" s="750" t="s">
        <v>4578</v>
      </c>
      <c r="Q12" s="750" t="s">
        <v>4579</v>
      </c>
      <c r="R12" s="750" t="s">
        <v>4580</v>
      </c>
      <c r="S12" s="750" t="s">
        <v>4581</v>
      </c>
      <c r="T12" s="750" t="s">
        <v>4582</v>
      </c>
      <c r="U12" s="750" t="s">
        <v>4583</v>
      </c>
      <c r="V12" s="750" t="s">
        <v>4584</v>
      </c>
      <c r="W12" s="750" t="s">
        <v>4585</v>
      </c>
      <c r="X12" s="750" t="s">
        <v>4586</v>
      </c>
      <c r="Y12" s="736" t="s">
        <v>4587</v>
      </c>
      <c r="Z12" s="4729" t="s">
        <v>4588</v>
      </c>
      <c r="AA12" s="3645" t="s">
        <v>4589</v>
      </c>
      <c r="AB12" s="4598" t="s">
        <v>4590</v>
      </c>
      <c r="AC12" s="1294" t="s">
        <v>4591</v>
      </c>
      <c r="AD12" s="750" t="s">
        <v>4592</v>
      </c>
      <c r="AE12" s="750" t="s">
        <v>4593</v>
      </c>
      <c r="AF12" s="748" t="s">
        <v>4594</v>
      </c>
      <c r="AG12" s="1081" t="s">
        <v>4595</v>
      </c>
      <c r="AH12" s="1082" t="s">
        <v>4596</v>
      </c>
      <c r="AI12" s="1082" t="s">
        <v>4597</v>
      </c>
      <c r="AJ12" s="1082" t="s">
        <v>4598</v>
      </c>
      <c r="AK12" t="e">
        <f t="shared" ref="AK12:AK52" si="8">CC12&amp;CD12&amp;CE12&amp;CF12&amp;CG12&amp;CH12&amp;CI12</f>
        <v>#VALUE!</v>
      </c>
      <c r="CC12" s="1865" t="str">
        <f t="shared" ref="CC12:CC50" si="9">IF(AND($E12&lt;&gt;0,AC12=""),"* No olvide ingresar la columna "&amp;AC$9&amp;""&amp;" (Digite CERO si no tiene).  ",IF(AC12&gt;$E12,"* El Número de Familias en Riesgo no puede superar el Total. ",""))</f>
        <v xml:space="preserve">* El Número de Familias en Riesgo no puede superar el Total. </v>
      </c>
      <c r="CD12" s="1865" t="str">
        <f t="shared" si="0"/>
        <v xml:space="preserve">* La variable Pueblos Originarios no puede superar el Total. </v>
      </c>
      <c r="CE12" s="1865" t="str">
        <f t="shared" si="1"/>
        <v xml:space="preserve">* La variable Migrantes no puede superar el Total. </v>
      </c>
      <c r="CF12" s="1865" t="str">
        <f t="shared" si="2"/>
        <v xml:space="preserve">* La variable Espacios Amigables/ Adolescentes no puede superar el Total. </v>
      </c>
      <c r="CG12" s="1865" t="e">
        <f t="shared" si="3"/>
        <v>#VALUE!</v>
      </c>
      <c r="CH12" s="1865" t="str">
        <f t="shared" ref="CH12:CH52" si="10">IF(AND(E12&gt;0,AJ12=""),"* No olvide digitar la variable Niños, niñas, adolescentes y jóvenes SENAME (Digite CERO si no tiene). ",IF(AJ12&gt;$E12,"* La suma de Niños, niñas, adolescentes y jóvenes SENAME no puede superar el Total. ",""))</f>
        <v xml:space="preserve">* La suma de Niños, niñas, adolescentes y jóvenes SENAME no puede superar el Total. </v>
      </c>
      <c r="CI12" s="1865" t="str">
        <f t="shared" ref="CI12:CI52" si="11">IF(AND(E12&gt;0,AJ12=""),"* No olvide digitar la variable Niños, niñas, adolescentes y jóvenes Mejor Niñez (Digite CERO si no tiene). ",IF(AJ12&gt;$E12,"* La suma de Niños, niñas, adolescentes y jóvenes Mejor Niñez no puede superar el Total. ",""))</f>
        <v xml:space="preserve">* La suma de Niños, niñas, adolescentes y jóvenes Mejor Niñez no puede superar el Total. </v>
      </c>
      <c r="CL12" s="1937"/>
      <c r="CM12" s="1867">
        <f t="shared" ref="CM12:CM50" si="12">IF(AND($E12&lt;&gt;0,AC12=""),1,IF(AC12&gt;$E12,1,0))</f>
        <v>1</v>
      </c>
      <c r="CN12" s="1867">
        <f t="shared" si="4"/>
        <v>1</v>
      </c>
      <c r="CO12" s="1867">
        <f t="shared" si="5"/>
        <v>1</v>
      </c>
      <c r="CP12" s="1867">
        <f t="shared" si="6"/>
        <v>1</v>
      </c>
      <c r="CQ12" s="1867" t="e">
        <f t="shared" si="7"/>
        <v>#VALUE!</v>
      </c>
      <c r="CR12" s="3922">
        <f t="shared" ref="CR12:CR52" si="13">IF(AND(E12&gt;0,AJ12=""),1,IF(AJ12&gt;$E12,1,0))</f>
        <v>1</v>
      </c>
      <c r="CS12" s="3922">
        <f t="shared" ref="CS12:CS52" si="14">IF(AND(E12&gt;0,AJ12=""),1,IF(AJ12&gt;$E12,1,0))</f>
        <v>1</v>
      </c>
    </row>
    <row r="13" spans="1:97" s="19" customFormat="1" ht="15" customHeight="1" x14ac:dyDescent="0.25">
      <c r="A13" s="5818">
        <v>27280325</v>
      </c>
      <c r="B13" s="7431"/>
      <c r="C13" s="7431"/>
      <c r="D13" s="1778" t="s">
        <v>3162</v>
      </c>
      <c r="E13" s="1162" t="s">
        <v>4567</v>
      </c>
      <c r="F13" s="290" t="s">
        <v>4568</v>
      </c>
      <c r="G13" s="531" t="s">
        <v>4569</v>
      </c>
      <c r="H13" s="531" t="s">
        <v>4570</v>
      </c>
      <c r="I13" s="531" t="s">
        <v>4571</v>
      </c>
      <c r="J13" s="622" t="s">
        <v>4572</v>
      </c>
      <c r="K13" s="531" t="s">
        <v>4573</v>
      </c>
      <c r="L13" s="531" t="s">
        <v>4574</v>
      </c>
      <c r="M13" s="531" t="s">
        <v>4575</v>
      </c>
      <c r="N13" s="531" t="s">
        <v>4576</v>
      </c>
      <c r="O13" s="531" t="s">
        <v>4577</v>
      </c>
      <c r="P13" s="531" t="s">
        <v>4578</v>
      </c>
      <c r="Q13" s="531" t="s">
        <v>4579</v>
      </c>
      <c r="R13" s="531" t="s">
        <v>4580</v>
      </c>
      <c r="S13" s="531" t="s">
        <v>4581</v>
      </c>
      <c r="T13" s="531" t="s">
        <v>4582</v>
      </c>
      <c r="U13" s="531" t="s">
        <v>4583</v>
      </c>
      <c r="V13" s="531" t="s">
        <v>4584</v>
      </c>
      <c r="W13" s="531" t="s">
        <v>4585</v>
      </c>
      <c r="X13" s="531" t="s">
        <v>4586</v>
      </c>
      <c r="Y13" s="1095" t="s">
        <v>4587</v>
      </c>
      <c r="Z13" s="4730" t="s">
        <v>4588</v>
      </c>
      <c r="AA13" s="4557" t="s">
        <v>4589</v>
      </c>
      <c r="AB13" s="4731" t="s">
        <v>4590</v>
      </c>
      <c r="AC13" s="296" t="s">
        <v>4591</v>
      </c>
      <c r="AD13" s="531" t="s">
        <v>4592</v>
      </c>
      <c r="AE13" s="531" t="s">
        <v>4593</v>
      </c>
      <c r="AF13" s="622" t="s">
        <v>4594</v>
      </c>
      <c r="AG13" s="290" t="s">
        <v>4595</v>
      </c>
      <c r="AH13" s="107" t="s">
        <v>4596</v>
      </c>
      <c r="AI13" s="107" t="s">
        <v>4597</v>
      </c>
      <c r="AJ13" s="107" t="s">
        <v>4598</v>
      </c>
      <c r="AK13" t="e">
        <f t="shared" si="8"/>
        <v>#VALUE!</v>
      </c>
      <c r="CC13" s="1865" t="str">
        <f t="shared" si="9"/>
        <v xml:space="preserve">* El Número de Familias en Riesgo no puede superar el Total. </v>
      </c>
      <c r="CD13" s="1865" t="str">
        <f t="shared" si="0"/>
        <v xml:space="preserve">* La variable Pueblos Originarios no puede superar el Total. </v>
      </c>
      <c r="CE13" s="1865" t="str">
        <f t="shared" si="1"/>
        <v xml:space="preserve">* La variable Migrantes no puede superar el Total. </v>
      </c>
      <c r="CF13" s="1865" t="str">
        <f t="shared" si="2"/>
        <v xml:space="preserve">* La variable Espacios Amigables/ Adolescentes no puede superar el Total. </v>
      </c>
      <c r="CG13" s="1865" t="e">
        <f t="shared" si="3"/>
        <v>#VALUE!</v>
      </c>
      <c r="CH13" s="1865" t="str">
        <f t="shared" si="10"/>
        <v xml:space="preserve">* La suma de Niños, niñas, adolescentes y jóvenes SENAME no puede superar el Total. </v>
      </c>
      <c r="CI13" s="1865" t="str">
        <f t="shared" si="11"/>
        <v xml:space="preserve">* La suma de Niños, niñas, adolescentes y jóvenes Mejor Niñez no puede superar el Total. </v>
      </c>
      <c r="CL13" s="1937"/>
      <c r="CM13" s="1867">
        <f t="shared" si="12"/>
        <v>1</v>
      </c>
      <c r="CN13" s="1867">
        <f t="shared" si="4"/>
        <v>1</v>
      </c>
      <c r="CO13" s="1867">
        <f t="shared" si="5"/>
        <v>1</v>
      </c>
      <c r="CP13" s="1867">
        <f t="shared" si="6"/>
        <v>1</v>
      </c>
      <c r="CQ13" s="1867" t="e">
        <f t="shared" si="7"/>
        <v>#VALUE!</v>
      </c>
      <c r="CR13" s="3922">
        <f t="shared" si="13"/>
        <v>1</v>
      </c>
      <c r="CS13" s="3922">
        <f t="shared" si="14"/>
        <v>1</v>
      </c>
    </row>
    <row r="14" spans="1:97" s="19" customFormat="1" ht="15" customHeight="1" x14ac:dyDescent="0.25">
      <c r="A14" s="5818">
        <v>27280335</v>
      </c>
      <c r="B14" s="7431"/>
      <c r="C14" s="7431"/>
      <c r="D14" s="1435" t="s">
        <v>3163</v>
      </c>
      <c r="E14" s="1162" t="s">
        <v>4567</v>
      </c>
      <c r="F14" s="1089" t="s">
        <v>4568</v>
      </c>
      <c r="G14" s="1253" t="s">
        <v>4569</v>
      </c>
      <c r="H14" s="1253" t="s">
        <v>4570</v>
      </c>
      <c r="I14" s="1253" t="s">
        <v>4571</v>
      </c>
      <c r="J14" s="1093" t="s">
        <v>4572</v>
      </c>
      <c r="K14" s="1253" t="s">
        <v>4573</v>
      </c>
      <c r="L14" s="1253" t="s">
        <v>4574</v>
      </c>
      <c r="M14" s="1253" t="s">
        <v>4575</v>
      </c>
      <c r="N14" s="1253" t="s">
        <v>4576</v>
      </c>
      <c r="O14" s="1253" t="s">
        <v>4577</v>
      </c>
      <c r="P14" s="1253" t="s">
        <v>4578</v>
      </c>
      <c r="Q14" s="1253" t="s">
        <v>4579</v>
      </c>
      <c r="R14" s="1253" t="s">
        <v>4580</v>
      </c>
      <c r="S14" s="1253" t="s">
        <v>4581</v>
      </c>
      <c r="T14" s="1253" t="s">
        <v>4582</v>
      </c>
      <c r="U14" s="1253" t="s">
        <v>4583</v>
      </c>
      <c r="V14" s="1253" t="s">
        <v>4584</v>
      </c>
      <c r="W14" s="1253" t="s">
        <v>4585</v>
      </c>
      <c r="X14" s="1253" t="s">
        <v>4586</v>
      </c>
      <c r="Y14" s="1095" t="s">
        <v>4587</v>
      </c>
      <c r="Z14" s="4732" t="s">
        <v>4588</v>
      </c>
      <c r="AA14" s="4557" t="s">
        <v>4589</v>
      </c>
      <c r="AB14" s="4731" t="s">
        <v>4590</v>
      </c>
      <c r="AC14" s="1299" t="s">
        <v>4591</v>
      </c>
      <c r="AD14" s="1253" t="s">
        <v>4592</v>
      </c>
      <c r="AE14" s="1253" t="s">
        <v>4593</v>
      </c>
      <c r="AF14" s="1093" t="s">
        <v>4594</v>
      </c>
      <c r="AG14" s="1089" t="s">
        <v>4595</v>
      </c>
      <c r="AH14" s="1090" t="s">
        <v>4596</v>
      </c>
      <c r="AI14" s="1090" t="s">
        <v>4597</v>
      </c>
      <c r="AJ14" s="1090" t="s">
        <v>4598</v>
      </c>
      <c r="AK14" t="e">
        <f t="shared" si="8"/>
        <v>#VALUE!</v>
      </c>
      <c r="CC14" s="1865" t="str">
        <f t="shared" si="9"/>
        <v xml:space="preserve">* El Número de Familias en Riesgo no puede superar el Total. </v>
      </c>
      <c r="CD14" s="1865" t="str">
        <f t="shared" si="0"/>
        <v xml:space="preserve">* La variable Pueblos Originarios no puede superar el Total. </v>
      </c>
      <c r="CE14" s="1865" t="str">
        <f t="shared" si="1"/>
        <v xml:space="preserve">* La variable Migrantes no puede superar el Total. </v>
      </c>
      <c r="CF14" s="1865" t="str">
        <f t="shared" si="2"/>
        <v xml:space="preserve">* La variable Espacios Amigables/ Adolescentes no puede superar el Total. </v>
      </c>
      <c r="CG14" s="1865" t="e">
        <f t="shared" si="3"/>
        <v>#VALUE!</v>
      </c>
      <c r="CH14" s="1865" t="str">
        <f t="shared" si="10"/>
        <v xml:space="preserve">* La suma de Niños, niñas, adolescentes y jóvenes SENAME no puede superar el Total. </v>
      </c>
      <c r="CI14" s="1865" t="str">
        <f t="shared" si="11"/>
        <v xml:space="preserve">* La suma de Niños, niñas, adolescentes y jóvenes Mejor Niñez no puede superar el Total. </v>
      </c>
      <c r="CL14" s="1937"/>
      <c r="CM14" s="1867">
        <f t="shared" si="12"/>
        <v>1</v>
      </c>
      <c r="CN14" s="1867">
        <f t="shared" si="4"/>
        <v>1</v>
      </c>
      <c r="CO14" s="1867">
        <f t="shared" si="5"/>
        <v>1</v>
      </c>
      <c r="CP14" s="1867">
        <f t="shared" si="6"/>
        <v>1</v>
      </c>
      <c r="CQ14" s="1867" t="e">
        <f t="shared" si="7"/>
        <v>#VALUE!</v>
      </c>
      <c r="CR14" s="3922">
        <f t="shared" si="13"/>
        <v>1</v>
      </c>
      <c r="CS14" s="3922">
        <f t="shared" si="14"/>
        <v>1</v>
      </c>
    </row>
    <row r="15" spans="1:97" s="19" customFormat="1" ht="15" customHeight="1" x14ac:dyDescent="0.25">
      <c r="A15" s="5818">
        <v>27500100</v>
      </c>
      <c r="B15" s="7431"/>
      <c r="C15" s="7463"/>
      <c r="D15" s="4619" t="s">
        <v>3164</v>
      </c>
      <c r="E15" s="4733" t="s">
        <v>4567</v>
      </c>
      <c r="F15" s="1264" t="s">
        <v>4568</v>
      </c>
      <c r="G15" s="262" t="s">
        <v>4569</v>
      </c>
      <c r="H15" s="262" t="s">
        <v>4570</v>
      </c>
      <c r="I15" s="262" t="s">
        <v>4571</v>
      </c>
      <c r="J15" s="310" t="s">
        <v>4572</v>
      </c>
      <c r="K15" s="262" t="s">
        <v>4573</v>
      </c>
      <c r="L15" s="262" t="s">
        <v>4574</v>
      </c>
      <c r="M15" s="262" t="s">
        <v>4575</v>
      </c>
      <c r="N15" s="262" t="s">
        <v>4576</v>
      </c>
      <c r="O15" s="262" t="s">
        <v>4577</v>
      </c>
      <c r="P15" s="262" t="s">
        <v>4578</v>
      </c>
      <c r="Q15" s="262" t="s">
        <v>4579</v>
      </c>
      <c r="R15" s="262" t="s">
        <v>4580</v>
      </c>
      <c r="S15" s="262" t="s">
        <v>4581</v>
      </c>
      <c r="T15" s="262" t="s">
        <v>4582</v>
      </c>
      <c r="U15" s="262" t="s">
        <v>4583</v>
      </c>
      <c r="V15" s="262" t="s">
        <v>4584</v>
      </c>
      <c r="W15" s="262" t="s">
        <v>4585</v>
      </c>
      <c r="X15" s="262" t="s">
        <v>4586</v>
      </c>
      <c r="Y15" s="297" t="s">
        <v>4587</v>
      </c>
      <c r="Z15" s="4734" t="s">
        <v>4588</v>
      </c>
      <c r="AA15" s="293" t="s">
        <v>4589</v>
      </c>
      <c r="AB15" s="294" t="s">
        <v>4590</v>
      </c>
      <c r="AC15" s="266" t="s">
        <v>4591</v>
      </c>
      <c r="AD15" s="262" t="s">
        <v>4592</v>
      </c>
      <c r="AE15" s="262" t="s">
        <v>4593</v>
      </c>
      <c r="AF15" s="310" t="s">
        <v>4594</v>
      </c>
      <c r="AG15" s="1264" t="s">
        <v>4595</v>
      </c>
      <c r="AH15" s="1447" t="s">
        <v>4596</v>
      </c>
      <c r="AI15" s="1447" t="s">
        <v>4597</v>
      </c>
      <c r="AJ15" s="1447" t="s">
        <v>4598</v>
      </c>
      <c r="AK15" t="e">
        <f t="shared" si="8"/>
        <v>#VALUE!</v>
      </c>
      <c r="CC15" s="1865" t="str">
        <f t="shared" si="9"/>
        <v xml:space="preserve">* El Número de Familias en Riesgo no puede superar el Total. </v>
      </c>
      <c r="CD15" s="1865" t="str">
        <f t="shared" si="0"/>
        <v xml:space="preserve">* La variable Pueblos Originarios no puede superar el Total. </v>
      </c>
      <c r="CE15" s="1865" t="str">
        <f t="shared" si="1"/>
        <v xml:space="preserve">* La variable Migrantes no puede superar el Total. </v>
      </c>
      <c r="CF15" s="1865" t="str">
        <f t="shared" si="2"/>
        <v xml:space="preserve">* La variable Espacios Amigables/ Adolescentes no puede superar el Total. </v>
      </c>
      <c r="CG15" s="1865" t="e">
        <f t="shared" si="3"/>
        <v>#VALUE!</v>
      </c>
      <c r="CH15" s="1865" t="str">
        <f t="shared" si="10"/>
        <v xml:space="preserve">* La suma de Niños, niñas, adolescentes y jóvenes SENAME no puede superar el Total. </v>
      </c>
      <c r="CI15" s="1865" t="str">
        <f t="shared" si="11"/>
        <v xml:space="preserve">* La suma de Niños, niñas, adolescentes y jóvenes Mejor Niñez no puede superar el Total. </v>
      </c>
      <c r="CL15" s="1937"/>
      <c r="CM15" s="1867">
        <f t="shared" si="12"/>
        <v>1</v>
      </c>
      <c r="CN15" s="1867">
        <f t="shared" si="4"/>
        <v>1</v>
      </c>
      <c r="CO15" s="1867">
        <f t="shared" si="5"/>
        <v>1</v>
      </c>
      <c r="CP15" s="1867">
        <f t="shared" si="6"/>
        <v>1</v>
      </c>
      <c r="CQ15" s="1867" t="e">
        <f t="shared" si="7"/>
        <v>#VALUE!</v>
      </c>
      <c r="CR15" s="3922">
        <f t="shared" si="13"/>
        <v>1</v>
      </c>
      <c r="CS15" s="3922">
        <f t="shared" si="14"/>
        <v>1</v>
      </c>
    </row>
    <row r="16" spans="1:97" s="19" customFormat="1" ht="15" customHeight="1" x14ac:dyDescent="0.25">
      <c r="A16" s="5818">
        <v>27280400</v>
      </c>
      <c r="B16" s="7431"/>
      <c r="C16" s="6909" t="s">
        <v>3165</v>
      </c>
      <c r="D16" s="6910"/>
      <c r="E16" s="295" t="s">
        <v>4567</v>
      </c>
      <c r="F16" s="290" t="s">
        <v>4568</v>
      </c>
      <c r="G16" s="531" t="s">
        <v>4569</v>
      </c>
      <c r="H16" s="531" t="s">
        <v>4570</v>
      </c>
      <c r="I16" s="531" t="s">
        <v>4571</v>
      </c>
      <c r="J16" s="107" t="s">
        <v>4572</v>
      </c>
      <c r="K16" s="22" t="s">
        <v>4573</v>
      </c>
      <c r="L16" s="531" t="s">
        <v>4574</v>
      </c>
      <c r="M16" s="531" t="s">
        <v>4575</v>
      </c>
      <c r="N16" s="714" t="s">
        <v>4576</v>
      </c>
      <c r="O16" s="714" t="s">
        <v>4577</v>
      </c>
      <c r="P16" s="714" t="s">
        <v>4578</v>
      </c>
      <c r="Q16" s="714" t="s">
        <v>4579</v>
      </c>
      <c r="R16" s="714" t="s">
        <v>4580</v>
      </c>
      <c r="S16" s="714" t="s">
        <v>4581</v>
      </c>
      <c r="T16" s="714" t="s">
        <v>4582</v>
      </c>
      <c r="U16" s="714" t="s">
        <v>4583</v>
      </c>
      <c r="V16" s="714" t="s">
        <v>4584</v>
      </c>
      <c r="W16" s="714" t="s">
        <v>4585</v>
      </c>
      <c r="X16" s="714" t="s">
        <v>4586</v>
      </c>
      <c r="Y16" s="714" t="s">
        <v>4587</v>
      </c>
      <c r="Z16" s="4579" t="s">
        <v>4588</v>
      </c>
      <c r="AA16" s="532" t="s">
        <v>4589</v>
      </c>
      <c r="AB16" s="533" t="s">
        <v>4590</v>
      </c>
      <c r="AC16" s="296" t="s">
        <v>4591</v>
      </c>
      <c r="AD16" s="531" t="s">
        <v>4592</v>
      </c>
      <c r="AE16" s="531" t="s">
        <v>4593</v>
      </c>
      <c r="AF16" s="622" t="s">
        <v>4594</v>
      </c>
      <c r="AG16" s="290" t="s">
        <v>4595</v>
      </c>
      <c r="AH16" s="107" t="s">
        <v>4596</v>
      </c>
      <c r="AI16" s="107" t="s">
        <v>4597</v>
      </c>
      <c r="AJ16" s="107" t="s">
        <v>4598</v>
      </c>
      <c r="AK16" t="e">
        <f t="shared" si="8"/>
        <v>#VALUE!</v>
      </c>
      <c r="CC16" s="1865" t="str">
        <f t="shared" si="9"/>
        <v xml:space="preserve">* El Número de Familias en Riesgo no puede superar el Total. </v>
      </c>
      <c r="CD16" s="1865" t="str">
        <f t="shared" si="0"/>
        <v xml:space="preserve">* La variable Pueblos Originarios no puede superar el Total. </v>
      </c>
      <c r="CE16" s="1865" t="str">
        <f t="shared" si="1"/>
        <v xml:space="preserve">* La variable Migrantes no puede superar el Total. </v>
      </c>
      <c r="CF16" s="1865" t="str">
        <f t="shared" si="2"/>
        <v xml:space="preserve">* La variable Espacios Amigables/ Adolescentes no puede superar el Total. </v>
      </c>
      <c r="CG16" s="1865" t="e">
        <f t="shared" si="3"/>
        <v>#VALUE!</v>
      </c>
      <c r="CH16" s="1865" t="str">
        <f t="shared" si="10"/>
        <v xml:space="preserve">* La suma de Niños, niñas, adolescentes y jóvenes SENAME no puede superar el Total. </v>
      </c>
      <c r="CI16" s="1865" t="str">
        <f t="shared" si="11"/>
        <v xml:space="preserve">* La suma de Niños, niñas, adolescentes y jóvenes Mejor Niñez no puede superar el Total. </v>
      </c>
      <c r="CL16" s="1937"/>
      <c r="CM16" s="1867">
        <f t="shared" si="12"/>
        <v>1</v>
      </c>
      <c r="CN16" s="1867">
        <f t="shared" si="4"/>
        <v>1</v>
      </c>
      <c r="CO16" s="1867">
        <f t="shared" si="5"/>
        <v>1</v>
      </c>
      <c r="CP16" s="1867">
        <f t="shared" si="6"/>
        <v>1</v>
      </c>
      <c r="CQ16" s="1867" t="e">
        <f t="shared" si="7"/>
        <v>#VALUE!</v>
      </c>
      <c r="CR16" s="3922">
        <f t="shared" si="13"/>
        <v>1</v>
      </c>
      <c r="CS16" s="3922">
        <f t="shared" si="14"/>
        <v>1</v>
      </c>
    </row>
    <row r="17" spans="1:97" s="19" customFormat="1" ht="15" customHeight="1" x14ac:dyDescent="0.25">
      <c r="A17" s="5818">
        <v>27280500</v>
      </c>
      <c r="B17" s="7431"/>
      <c r="C17" s="7363" t="s">
        <v>3166</v>
      </c>
      <c r="D17" s="7364"/>
      <c r="E17" s="1162" t="s">
        <v>4567</v>
      </c>
      <c r="F17" s="1089" t="s">
        <v>4568</v>
      </c>
      <c r="G17" s="1253" t="s">
        <v>4569</v>
      </c>
      <c r="H17" s="1253" t="s">
        <v>4570</v>
      </c>
      <c r="I17" s="1253" t="s">
        <v>4571</v>
      </c>
      <c r="J17" s="1090" t="s">
        <v>4572</v>
      </c>
      <c r="K17" s="1091" t="s">
        <v>4573</v>
      </c>
      <c r="L17" s="1253" t="s">
        <v>4574</v>
      </c>
      <c r="M17" s="1253" t="s">
        <v>4575</v>
      </c>
      <c r="N17" s="1092" t="s">
        <v>4576</v>
      </c>
      <c r="O17" s="1092" t="s">
        <v>4577</v>
      </c>
      <c r="P17" s="1092" t="s">
        <v>4578</v>
      </c>
      <c r="Q17" s="1092" t="s">
        <v>4579</v>
      </c>
      <c r="R17" s="1092" t="s">
        <v>4580</v>
      </c>
      <c r="S17" s="1092" t="s">
        <v>4581</v>
      </c>
      <c r="T17" s="1092" t="s">
        <v>4582</v>
      </c>
      <c r="U17" s="1092" t="s">
        <v>4583</v>
      </c>
      <c r="V17" s="1092" t="s">
        <v>4584</v>
      </c>
      <c r="W17" s="1092" t="s">
        <v>4585</v>
      </c>
      <c r="X17" s="1092" t="s">
        <v>4586</v>
      </c>
      <c r="Y17" s="1092" t="s">
        <v>4587</v>
      </c>
      <c r="Z17" s="3748" t="s">
        <v>4588</v>
      </c>
      <c r="AA17" s="4557" t="s">
        <v>4589</v>
      </c>
      <c r="AB17" s="4731" t="s">
        <v>4590</v>
      </c>
      <c r="AC17" s="1299" t="s">
        <v>4591</v>
      </c>
      <c r="AD17" s="1253" t="s">
        <v>4592</v>
      </c>
      <c r="AE17" s="1253" t="s">
        <v>4593</v>
      </c>
      <c r="AF17" s="1093" t="s">
        <v>4594</v>
      </c>
      <c r="AG17" s="1089" t="s">
        <v>4595</v>
      </c>
      <c r="AH17" s="1090" t="s">
        <v>4596</v>
      </c>
      <c r="AI17" s="1090" t="s">
        <v>4597</v>
      </c>
      <c r="AJ17" s="1090" t="s">
        <v>4598</v>
      </c>
      <c r="AK17" t="e">
        <f t="shared" si="8"/>
        <v>#VALUE!</v>
      </c>
      <c r="CC17" s="1865" t="str">
        <f t="shared" si="9"/>
        <v xml:space="preserve">* El Número de Familias en Riesgo no puede superar el Total. </v>
      </c>
      <c r="CD17" s="1865" t="str">
        <f t="shared" si="0"/>
        <v xml:space="preserve">* La variable Pueblos Originarios no puede superar el Total. </v>
      </c>
      <c r="CE17" s="1865" t="str">
        <f t="shared" si="1"/>
        <v xml:space="preserve">* La variable Migrantes no puede superar el Total. </v>
      </c>
      <c r="CF17" s="1865" t="str">
        <f t="shared" si="2"/>
        <v xml:space="preserve">* La variable Espacios Amigables/ Adolescentes no puede superar el Total. </v>
      </c>
      <c r="CG17" s="1865" t="e">
        <f t="shared" si="3"/>
        <v>#VALUE!</v>
      </c>
      <c r="CH17" s="1865" t="str">
        <f t="shared" si="10"/>
        <v xml:space="preserve">* La suma de Niños, niñas, adolescentes y jóvenes SENAME no puede superar el Total. </v>
      </c>
      <c r="CI17" s="1865" t="str">
        <f t="shared" si="11"/>
        <v xml:space="preserve">* La suma de Niños, niñas, adolescentes y jóvenes Mejor Niñez no puede superar el Total. </v>
      </c>
      <c r="CL17" s="1937"/>
      <c r="CM17" s="1867">
        <f t="shared" si="12"/>
        <v>1</v>
      </c>
      <c r="CN17" s="1867">
        <f t="shared" si="4"/>
        <v>1</v>
      </c>
      <c r="CO17" s="1867">
        <f t="shared" si="5"/>
        <v>1</v>
      </c>
      <c r="CP17" s="1867">
        <f t="shared" si="6"/>
        <v>1</v>
      </c>
      <c r="CQ17" s="1867" t="e">
        <f t="shared" si="7"/>
        <v>#VALUE!</v>
      </c>
      <c r="CR17" s="3922">
        <f t="shared" si="13"/>
        <v>1</v>
      </c>
      <c r="CS17" s="3922">
        <f t="shared" si="14"/>
        <v>1</v>
      </c>
    </row>
    <row r="18" spans="1:97" s="19" customFormat="1" ht="15" customHeight="1" x14ac:dyDescent="0.25">
      <c r="A18" s="5818">
        <v>27280600</v>
      </c>
      <c r="B18" s="7431"/>
      <c r="C18" s="7363" t="s">
        <v>3167</v>
      </c>
      <c r="D18" s="7364"/>
      <c r="E18" s="1162" t="s">
        <v>4567</v>
      </c>
      <c r="F18" s="1089" t="s">
        <v>4568</v>
      </c>
      <c r="G18" s="1253" t="s">
        <v>4569</v>
      </c>
      <c r="H18" s="1253" t="s">
        <v>4570</v>
      </c>
      <c r="I18" s="1253" t="s">
        <v>4571</v>
      </c>
      <c r="J18" s="1090" t="s">
        <v>4572</v>
      </c>
      <c r="K18" s="1091" t="s">
        <v>4573</v>
      </c>
      <c r="L18" s="1253" t="s">
        <v>4574</v>
      </c>
      <c r="M18" s="1253" t="s">
        <v>4575</v>
      </c>
      <c r="N18" s="1092" t="s">
        <v>4576</v>
      </c>
      <c r="O18" s="1092" t="s">
        <v>4577</v>
      </c>
      <c r="P18" s="1092" t="s">
        <v>4578</v>
      </c>
      <c r="Q18" s="1092" t="s">
        <v>4579</v>
      </c>
      <c r="R18" s="1092" t="s">
        <v>4580</v>
      </c>
      <c r="S18" s="1092" t="s">
        <v>4581</v>
      </c>
      <c r="T18" s="1092" t="s">
        <v>4582</v>
      </c>
      <c r="U18" s="1092" t="s">
        <v>4583</v>
      </c>
      <c r="V18" s="1092" t="s">
        <v>4584</v>
      </c>
      <c r="W18" s="1092" t="s">
        <v>4585</v>
      </c>
      <c r="X18" s="1092" t="s">
        <v>4586</v>
      </c>
      <c r="Y18" s="1092" t="s">
        <v>4587</v>
      </c>
      <c r="Z18" s="3748" t="s">
        <v>4588</v>
      </c>
      <c r="AA18" s="4557" t="s">
        <v>4589</v>
      </c>
      <c r="AB18" s="4731" t="s">
        <v>4590</v>
      </c>
      <c r="AC18" s="1299" t="s">
        <v>4591</v>
      </c>
      <c r="AD18" s="1253" t="s">
        <v>4592</v>
      </c>
      <c r="AE18" s="1253" t="s">
        <v>4593</v>
      </c>
      <c r="AF18" s="1093" t="s">
        <v>4594</v>
      </c>
      <c r="AG18" s="1089" t="s">
        <v>4595</v>
      </c>
      <c r="AH18" s="1090" t="s">
        <v>4596</v>
      </c>
      <c r="AI18" s="1090" t="s">
        <v>4597</v>
      </c>
      <c r="AJ18" s="1090" t="s">
        <v>4598</v>
      </c>
      <c r="AK18" t="e">
        <f t="shared" si="8"/>
        <v>#VALUE!</v>
      </c>
      <c r="CC18" s="1865" t="str">
        <f t="shared" si="9"/>
        <v xml:space="preserve">* El Número de Familias en Riesgo no puede superar el Total. </v>
      </c>
      <c r="CD18" s="1865" t="str">
        <f t="shared" si="0"/>
        <v xml:space="preserve">* La variable Pueblos Originarios no puede superar el Total. </v>
      </c>
      <c r="CE18" s="1865" t="str">
        <f t="shared" si="1"/>
        <v xml:space="preserve">* La variable Migrantes no puede superar el Total. </v>
      </c>
      <c r="CF18" s="1865" t="str">
        <f t="shared" si="2"/>
        <v xml:space="preserve">* La variable Espacios Amigables/ Adolescentes no puede superar el Total. </v>
      </c>
      <c r="CG18" s="1865" t="e">
        <f t="shared" si="3"/>
        <v>#VALUE!</v>
      </c>
      <c r="CH18" s="1865" t="str">
        <f t="shared" si="10"/>
        <v xml:space="preserve">* La suma de Niños, niñas, adolescentes y jóvenes SENAME no puede superar el Total. </v>
      </c>
      <c r="CI18" s="1865" t="str">
        <f t="shared" si="11"/>
        <v xml:space="preserve">* La suma de Niños, niñas, adolescentes y jóvenes Mejor Niñez no puede superar el Total. </v>
      </c>
      <c r="CL18" s="1937"/>
      <c r="CM18" s="1867">
        <f t="shared" si="12"/>
        <v>1</v>
      </c>
      <c r="CN18" s="1867">
        <f t="shared" si="4"/>
        <v>1</v>
      </c>
      <c r="CO18" s="1867">
        <f t="shared" si="5"/>
        <v>1</v>
      </c>
      <c r="CP18" s="1867">
        <f t="shared" si="6"/>
        <v>1</v>
      </c>
      <c r="CQ18" s="1867" t="e">
        <f t="shared" si="7"/>
        <v>#VALUE!</v>
      </c>
      <c r="CR18" s="3922">
        <f t="shared" si="13"/>
        <v>1</v>
      </c>
      <c r="CS18" s="3922">
        <f t="shared" si="14"/>
        <v>1</v>
      </c>
    </row>
    <row r="19" spans="1:97" s="19" customFormat="1" ht="15" customHeight="1" x14ac:dyDescent="0.25">
      <c r="A19" s="5818">
        <v>27280700</v>
      </c>
      <c r="B19" s="7431"/>
      <c r="C19" s="7602" t="s">
        <v>3168</v>
      </c>
      <c r="D19" s="7603"/>
      <c r="E19" s="1163" t="s">
        <v>4567</v>
      </c>
      <c r="F19" s="1114" t="s">
        <v>4568</v>
      </c>
      <c r="G19" s="1258" t="s">
        <v>4569</v>
      </c>
      <c r="H19" s="1258" t="s">
        <v>4570</v>
      </c>
      <c r="I19" s="1258" t="s">
        <v>4571</v>
      </c>
      <c r="J19" s="387" t="s">
        <v>4572</v>
      </c>
      <c r="K19" s="1127" t="s">
        <v>4573</v>
      </c>
      <c r="L19" s="1258" t="s">
        <v>4574</v>
      </c>
      <c r="M19" s="1258" t="s">
        <v>4575</v>
      </c>
      <c r="N19" s="1128" t="s">
        <v>4576</v>
      </c>
      <c r="O19" s="1128" t="s">
        <v>4577</v>
      </c>
      <c r="P19" s="1128" t="s">
        <v>4578</v>
      </c>
      <c r="Q19" s="1128" t="s">
        <v>4579</v>
      </c>
      <c r="R19" s="1128" t="s">
        <v>4580</v>
      </c>
      <c r="S19" s="1128" t="s">
        <v>4581</v>
      </c>
      <c r="T19" s="1128" t="s">
        <v>4582</v>
      </c>
      <c r="U19" s="1128" t="s">
        <v>4583</v>
      </c>
      <c r="V19" s="1128" t="s">
        <v>4584</v>
      </c>
      <c r="W19" s="1128" t="s">
        <v>4585</v>
      </c>
      <c r="X19" s="1128" t="s">
        <v>4586</v>
      </c>
      <c r="Y19" s="1128" t="s">
        <v>4587</v>
      </c>
      <c r="Z19" s="1303" t="s">
        <v>4588</v>
      </c>
      <c r="AA19" s="1258" t="s">
        <v>4589</v>
      </c>
      <c r="AB19" s="1324" t="s">
        <v>4590</v>
      </c>
      <c r="AC19" s="1303" t="s">
        <v>4591</v>
      </c>
      <c r="AD19" s="1258" t="s">
        <v>4592</v>
      </c>
      <c r="AE19" s="1258" t="s">
        <v>4593</v>
      </c>
      <c r="AF19" s="1115" t="s">
        <v>4594</v>
      </c>
      <c r="AG19" s="1114" t="s">
        <v>4595</v>
      </c>
      <c r="AH19" s="387" t="s">
        <v>4596</v>
      </c>
      <c r="AI19" s="387" t="s">
        <v>4597</v>
      </c>
      <c r="AJ19" s="387" t="s">
        <v>4598</v>
      </c>
      <c r="AK19" t="e">
        <f t="shared" si="8"/>
        <v>#VALUE!</v>
      </c>
      <c r="CC19" s="1865" t="str">
        <f t="shared" si="9"/>
        <v xml:space="preserve">* El Número de Familias en Riesgo no puede superar el Total. </v>
      </c>
      <c r="CD19" s="1865" t="str">
        <f t="shared" si="0"/>
        <v xml:space="preserve">* La variable Pueblos Originarios no puede superar el Total. </v>
      </c>
      <c r="CE19" s="1865" t="str">
        <f t="shared" si="1"/>
        <v xml:space="preserve">* La variable Migrantes no puede superar el Total. </v>
      </c>
      <c r="CF19" s="1865" t="str">
        <f t="shared" si="2"/>
        <v xml:space="preserve">* La variable Espacios Amigables/ Adolescentes no puede superar el Total. </v>
      </c>
      <c r="CG19" s="1865" t="e">
        <f t="shared" si="3"/>
        <v>#VALUE!</v>
      </c>
      <c r="CH19" s="1865" t="str">
        <f t="shared" si="10"/>
        <v xml:space="preserve">* La suma de Niños, niñas, adolescentes y jóvenes SENAME no puede superar el Total. </v>
      </c>
      <c r="CI19" s="1865" t="str">
        <f t="shared" si="11"/>
        <v xml:space="preserve">* La suma de Niños, niñas, adolescentes y jóvenes Mejor Niñez no puede superar el Total. </v>
      </c>
      <c r="CL19" s="1937"/>
      <c r="CM19" s="1867">
        <f t="shared" si="12"/>
        <v>1</v>
      </c>
      <c r="CN19" s="1867">
        <f t="shared" si="4"/>
        <v>1</v>
      </c>
      <c r="CO19" s="1867">
        <f t="shared" si="5"/>
        <v>1</v>
      </c>
      <c r="CP19" s="1867">
        <f t="shared" si="6"/>
        <v>1</v>
      </c>
      <c r="CQ19" s="1867" t="e">
        <f t="shared" si="7"/>
        <v>#VALUE!</v>
      </c>
      <c r="CR19" s="3922">
        <f t="shared" si="13"/>
        <v>1</v>
      </c>
      <c r="CS19" s="3922">
        <f t="shared" si="14"/>
        <v>1</v>
      </c>
    </row>
    <row r="20" spans="1:97" s="19" customFormat="1" ht="15" customHeight="1" x14ac:dyDescent="0.25">
      <c r="A20" s="5818">
        <v>27500270</v>
      </c>
      <c r="B20" s="7431"/>
      <c r="C20" s="7328" t="s">
        <v>3169</v>
      </c>
      <c r="D20" s="1418" t="s">
        <v>59</v>
      </c>
      <c r="E20" s="1159" t="s">
        <v>4567</v>
      </c>
      <c r="F20" s="2633" t="s">
        <v>4568</v>
      </c>
      <c r="G20" s="2639" t="s">
        <v>4569</v>
      </c>
      <c r="H20" s="2639" t="s">
        <v>4570</v>
      </c>
      <c r="I20" s="2639" t="s">
        <v>4571</v>
      </c>
      <c r="J20" s="2634" t="s">
        <v>4572</v>
      </c>
      <c r="K20" s="1083" t="s">
        <v>4573</v>
      </c>
      <c r="L20" s="750" t="s">
        <v>4574</v>
      </c>
      <c r="M20" s="750" t="s">
        <v>4575</v>
      </c>
      <c r="N20" s="1084" t="s">
        <v>4576</v>
      </c>
      <c r="O20" s="1084" t="s">
        <v>4577</v>
      </c>
      <c r="P20" s="1084" t="s">
        <v>4578</v>
      </c>
      <c r="Q20" s="1084" t="s">
        <v>4579</v>
      </c>
      <c r="R20" s="1084" t="s">
        <v>4580</v>
      </c>
      <c r="S20" s="1084" t="s">
        <v>4581</v>
      </c>
      <c r="T20" s="1084" t="s">
        <v>4582</v>
      </c>
      <c r="U20" s="1084" t="s">
        <v>4583</v>
      </c>
      <c r="V20" s="1084" t="s">
        <v>4584</v>
      </c>
      <c r="W20" s="1084" t="s">
        <v>4585</v>
      </c>
      <c r="X20" s="1084" t="s">
        <v>4586</v>
      </c>
      <c r="Y20" s="1084" t="s">
        <v>4587</v>
      </c>
      <c r="Z20" s="1294" t="s">
        <v>4588</v>
      </c>
      <c r="AA20" s="750" t="s">
        <v>4589</v>
      </c>
      <c r="AB20" s="736" t="s">
        <v>4590</v>
      </c>
      <c r="AC20" s="1294" t="s">
        <v>4591</v>
      </c>
      <c r="AD20" s="750" t="s">
        <v>4592</v>
      </c>
      <c r="AE20" s="750" t="s">
        <v>4593</v>
      </c>
      <c r="AF20" s="748" t="s">
        <v>4594</v>
      </c>
      <c r="AG20" s="1081" t="s">
        <v>4595</v>
      </c>
      <c r="AH20" s="1082" t="s">
        <v>4596</v>
      </c>
      <c r="AI20" s="1082" t="s">
        <v>4597</v>
      </c>
      <c r="AJ20" s="1082" t="s">
        <v>4598</v>
      </c>
      <c r="AK20" t="e">
        <f t="shared" si="8"/>
        <v>#VALUE!</v>
      </c>
      <c r="CC20" s="1865" t="str">
        <f t="shared" si="9"/>
        <v xml:space="preserve">* El Número de Familias en Riesgo no puede superar el Total. </v>
      </c>
      <c r="CD20" s="1865" t="str">
        <f t="shared" si="0"/>
        <v xml:space="preserve">* La variable Pueblos Originarios no puede superar el Total. </v>
      </c>
      <c r="CE20" s="1865" t="str">
        <f t="shared" si="1"/>
        <v xml:space="preserve">* La variable Migrantes no puede superar el Total. </v>
      </c>
      <c r="CF20" s="1865" t="str">
        <f t="shared" si="2"/>
        <v xml:space="preserve">* La variable Espacios Amigables/ Adolescentes no puede superar el Total. </v>
      </c>
      <c r="CG20" s="1865" t="e">
        <f t="shared" si="3"/>
        <v>#VALUE!</v>
      </c>
      <c r="CH20" s="1865" t="str">
        <f t="shared" si="10"/>
        <v xml:space="preserve">* La suma de Niños, niñas, adolescentes y jóvenes SENAME no puede superar el Total. </v>
      </c>
      <c r="CI20" s="1865" t="str">
        <f t="shared" si="11"/>
        <v xml:space="preserve">* La suma de Niños, niñas, adolescentes y jóvenes Mejor Niñez no puede superar el Total. </v>
      </c>
      <c r="CL20" s="1937"/>
      <c r="CM20" s="1867">
        <f t="shared" si="12"/>
        <v>1</v>
      </c>
      <c r="CN20" s="1867">
        <f t="shared" si="4"/>
        <v>1</v>
      </c>
      <c r="CO20" s="1867">
        <f t="shared" si="5"/>
        <v>1</v>
      </c>
      <c r="CP20" s="1867">
        <f t="shared" si="6"/>
        <v>1</v>
      </c>
      <c r="CQ20" s="1867" t="e">
        <f t="shared" si="7"/>
        <v>#VALUE!</v>
      </c>
      <c r="CR20" s="3922">
        <f t="shared" si="13"/>
        <v>1</v>
      </c>
      <c r="CS20" s="3922">
        <f t="shared" si="14"/>
        <v>1</v>
      </c>
    </row>
    <row r="21" spans="1:97" s="19" customFormat="1" ht="15" customHeight="1" x14ac:dyDescent="0.25">
      <c r="A21" s="5818">
        <v>27500280</v>
      </c>
      <c r="B21" s="7431"/>
      <c r="C21" s="7464"/>
      <c r="D21" s="1785" t="s">
        <v>58</v>
      </c>
      <c r="E21" s="1163" t="s">
        <v>4567</v>
      </c>
      <c r="F21" s="2633" t="s">
        <v>4568</v>
      </c>
      <c r="G21" s="2639" t="s">
        <v>4569</v>
      </c>
      <c r="H21" s="2639" t="s">
        <v>4570</v>
      </c>
      <c r="I21" s="2639" t="s">
        <v>4571</v>
      </c>
      <c r="J21" s="2634" t="s">
        <v>4572</v>
      </c>
      <c r="K21" s="1127" t="s">
        <v>4573</v>
      </c>
      <c r="L21" s="1258" t="s">
        <v>4574</v>
      </c>
      <c r="M21" s="1258" t="s">
        <v>4575</v>
      </c>
      <c r="N21" s="1128" t="s">
        <v>4576</v>
      </c>
      <c r="O21" s="1128" t="s">
        <v>4577</v>
      </c>
      <c r="P21" s="1128" t="s">
        <v>4578</v>
      </c>
      <c r="Q21" s="1128" t="s">
        <v>4579</v>
      </c>
      <c r="R21" s="1128" t="s">
        <v>4580</v>
      </c>
      <c r="S21" s="1128" t="s">
        <v>4581</v>
      </c>
      <c r="T21" s="1128" t="s">
        <v>4582</v>
      </c>
      <c r="U21" s="1128" t="s">
        <v>4583</v>
      </c>
      <c r="V21" s="1128" t="s">
        <v>4584</v>
      </c>
      <c r="W21" s="1128" t="s">
        <v>4585</v>
      </c>
      <c r="X21" s="1128" t="s">
        <v>4586</v>
      </c>
      <c r="Y21" s="1128" t="s">
        <v>4587</v>
      </c>
      <c r="Z21" s="1303" t="s">
        <v>4588</v>
      </c>
      <c r="AA21" s="1258" t="s">
        <v>4589</v>
      </c>
      <c r="AB21" s="1324" t="s">
        <v>4590</v>
      </c>
      <c r="AC21" s="1303" t="s">
        <v>4591</v>
      </c>
      <c r="AD21" s="1258" t="s">
        <v>4592</v>
      </c>
      <c r="AE21" s="1258" t="s">
        <v>4593</v>
      </c>
      <c r="AF21" s="1115" t="s">
        <v>4594</v>
      </c>
      <c r="AG21" s="1114" t="s">
        <v>4595</v>
      </c>
      <c r="AH21" s="387" t="s">
        <v>4596</v>
      </c>
      <c r="AI21" s="387" t="s">
        <v>4597</v>
      </c>
      <c r="AJ21" s="387" t="s">
        <v>4598</v>
      </c>
      <c r="AK21" t="e">
        <f t="shared" si="8"/>
        <v>#VALUE!</v>
      </c>
      <c r="CC21" s="1865" t="str">
        <f t="shared" si="9"/>
        <v xml:space="preserve">* El Número de Familias en Riesgo no puede superar el Total. </v>
      </c>
      <c r="CD21" s="1865" t="str">
        <f t="shared" si="0"/>
        <v xml:space="preserve">* La variable Pueblos Originarios no puede superar el Total. </v>
      </c>
      <c r="CE21" s="1865" t="str">
        <f t="shared" si="1"/>
        <v xml:space="preserve">* La variable Migrantes no puede superar el Total. </v>
      </c>
      <c r="CF21" s="1865" t="str">
        <f t="shared" si="2"/>
        <v xml:space="preserve">* La variable Espacios Amigables/ Adolescentes no puede superar el Total. </v>
      </c>
      <c r="CG21" s="1865" t="e">
        <f t="shared" si="3"/>
        <v>#VALUE!</v>
      </c>
      <c r="CH21" s="1865" t="str">
        <f t="shared" si="10"/>
        <v xml:space="preserve">* La suma de Niños, niñas, adolescentes y jóvenes SENAME no puede superar el Total. </v>
      </c>
      <c r="CI21" s="1865" t="str">
        <f t="shared" si="11"/>
        <v xml:space="preserve">* La suma de Niños, niñas, adolescentes y jóvenes Mejor Niñez no puede superar el Total. </v>
      </c>
      <c r="CL21" s="1937"/>
      <c r="CM21" s="1867">
        <f t="shared" si="12"/>
        <v>1</v>
      </c>
      <c r="CN21" s="1867">
        <f t="shared" si="4"/>
        <v>1</v>
      </c>
      <c r="CO21" s="1867">
        <f t="shared" si="5"/>
        <v>1</v>
      </c>
      <c r="CP21" s="1867">
        <f t="shared" si="6"/>
        <v>1</v>
      </c>
      <c r="CQ21" s="1867" t="e">
        <f t="shared" si="7"/>
        <v>#VALUE!</v>
      </c>
      <c r="CR21" s="3922">
        <f t="shared" si="13"/>
        <v>1</v>
      </c>
      <c r="CS21" s="3922">
        <f t="shared" si="14"/>
        <v>1</v>
      </c>
    </row>
    <row r="22" spans="1:97" s="19" customFormat="1" ht="15" customHeight="1" x14ac:dyDescent="0.25">
      <c r="A22" s="5818">
        <v>27500250</v>
      </c>
      <c r="B22" s="7431"/>
      <c r="C22" s="6909" t="s">
        <v>3170</v>
      </c>
      <c r="D22" s="6910"/>
      <c r="E22" s="295" t="s">
        <v>4567</v>
      </c>
      <c r="F22" s="2633" t="s">
        <v>4568</v>
      </c>
      <c r="G22" s="2639" t="s">
        <v>4569</v>
      </c>
      <c r="H22" s="2639" t="s">
        <v>4570</v>
      </c>
      <c r="I22" s="2639" t="s">
        <v>4571</v>
      </c>
      <c r="J22" s="2634" t="s">
        <v>4572</v>
      </c>
      <c r="K22" s="3660" t="s">
        <v>4573</v>
      </c>
      <c r="L22" s="3694" t="s">
        <v>4574</v>
      </c>
      <c r="M22" s="3694" t="s">
        <v>4575</v>
      </c>
      <c r="N22" s="3694" t="s">
        <v>4576</v>
      </c>
      <c r="O22" s="3694" t="s">
        <v>4577</v>
      </c>
      <c r="P22" s="3694" t="s">
        <v>4578</v>
      </c>
      <c r="Q22" s="1084" t="s">
        <v>4579</v>
      </c>
      <c r="R22" s="714" t="s">
        <v>4580</v>
      </c>
      <c r="S22" s="714" t="s">
        <v>4581</v>
      </c>
      <c r="T22" s="714" t="s">
        <v>4582</v>
      </c>
      <c r="U22" s="714" t="s">
        <v>4583</v>
      </c>
      <c r="V22" s="3694" t="s">
        <v>4584</v>
      </c>
      <c r="W22" s="3694" t="s">
        <v>4585</v>
      </c>
      <c r="X22" s="3694" t="s">
        <v>4586</v>
      </c>
      <c r="Y22" s="4736" t="s">
        <v>4587</v>
      </c>
      <c r="Z22" s="4579" t="s">
        <v>4588</v>
      </c>
      <c r="AA22" s="532" t="s">
        <v>4589</v>
      </c>
      <c r="AB22" s="533" t="s">
        <v>4590</v>
      </c>
      <c r="AC22" s="296" t="s">
        <v>4591</v>
      </c>
      <c r="AD22" s="531" t="s">
        <v>4592</v>
      </c>
      <c r="AE22" s="531" t="s">
        <v>4593</v>
      </c>
      <c r="AF22" s="622" t="s">
        <v>4594</v>
      </c>
      <c r="AG22" s="290" t="s">
        <v>4595</v>
      </c>
      <c r="AH22" s="107" t="s">
        <v>4596</v>
      </c>
      <c r="AI22" s="107" t="s">
        <v>4597</v>
      </c>
      <c r="AJ22" s="107" t="s">
        <v>4598</v>
      </c>
      <c r="AK22" t="e">
        <f t="shared" si="8"/>
        <v>#VALUE!</v>
      </c>
      <c r="CC22" s="1865" t="str">
        <f t="shared" si="9"/>
        <v xml:space="preserve">* El Número de Familias en Riesgo no puede superar el Total. </v>
      </c>
      <c r="CD22" s="1865" t="str">
        <f t="shared" si="0"/>
        <v xml:space="preserve">* La variable Pueblos Originarios no puede superar el Total. </v>
      </c>
      <c r="CE22" s="1865" t="str">
        <f t="shared" si="1"/>
        <v xml:space="preserve">* La variable Migrantes no puede superar el Total. </v>
      </c>
      <c r="CF22" s="1865" t="str">
        <f t="shared" si="2"/>
        <v xml:space="preserve">* La variable Espacios Amigables/ Adolescentes no puede superar el Total. </v>
      </c>
      <c r="CG22" s="1865" t="e">
        <f t="shared" si="3"/>
        <v>#VALUE!</v>
      </c>
      <c r="CH22" s="1865" t="str">
        <f t="shared" si="10"/>
        <v xml:space="preserve">* La suma de Niños, niñas, adolescentes y jóvenes SENAME no puede superar el Total. </v>
      </c>
      <c r="CI22" s="1865" t="str">
        <f t="shared" si="11"/>
        <v xml:space="preserve">* La suma de Niños, niñas, adolescentes y jóvenes Mejor Niñez no puede superar el Total. </v>
      </c>
      <c r="CL22" s="1937"/>
      <c r="CM22" s="1867">
        <f t="shared" si="12"/>
        <v>1</v>
      </c>
      <c r="CN22" s="1867">
        <f t="shared" si="4"/>
        <v>1</v>
      </c>
      <c r="CO22" s="1867">
        <f t="shared" si="5"/>
        <v>1</v>
      </c>
      <c r="CP22" s="1867">
        <f t="shared" si="6"/>
        <v>1</v>
      </c>
      <c r="CQ22" s="1867" t="e">
        <f t="shared" si="7"/>
        <v>#VALUE!</v>
      </c>
      <c r="CR22" s="3922">
        <f t="shared" si="13"/>
        <v>1</v>
      </c>
      <c r="CS22" s="3922">
        <f t="shared" si="14"/>
        <v>1</v>
      </c>
    </row>
    <row r="23" spans="1:97" s="19" customFormat="1" ht="24.75" customHeight="1" x14ac:dyDescent="0.25">
      <c r="A23" s="5818">
        <v>27500110</v>
      </c>
      <c r="B23" s="7431"/>
      <c r="C23" s="6359" t="s">
        <v>3171</v>
      </c>
      <c r="D23" s="6643"/>
      <c r="E23" s="193" t="s">
        <v>4567</v>
      </c>
      <c r="F23" s="2633" t="s">
        <v>4568</v>
      </c>
      <c r="G23" s="2639" t="s">
        <v>4569</v>
      </c>
      <c r="H23" s="2639" t="s">
        <v>4570</v>
      </c>
      <c r="I23" s="2639" t="s">
        <v>4571</v>
      </c>
      <c r="J23" s="2634" t="s">
        <v>4572</v>
      </c>
      <c r="K23" s="481" t="s">
        <v>4573</v>
      </c>
      <c r="L23" s="580" t="s">
        <v>4574</v>
      </c>
      <c r="M23" s="580" t="s">
        <v>4575</v>
      </c>
      <c r="N23" s="580" t="s">
        <v>4576</v>
      </c>
      <c r="O23" s="580" t="s">
        <v>4577</v>
      </c>
      <c r="P23" s="580" t="s">
        <v>4578</v>
      </c>
      <c r="Q23" s="580" t="s">
        <v>4579</v>
      </c>
      <c r="R23" s="580" t="s">
        <v>4580</v>
      </c>
      <c r="S23" s="580" t="s">
        <v>4581</v>
      </c>
      <c r="T23" s="580" t="s">
        <v>4582</v>
      </c>
      <c r="U23" s="3733" t="s">
        <v>4583</v>
      </c>
      <c r="V23" s="3733" t="s">
        <v>4584</v>
      </c>
      <c r="W23" s="3733" t="s">
        <v>4585</v>
      </c>
      <c r="X23" s="3733" t="s">
        <v>4586</v>
      </c>
      <c r="Y23" s="3733" t="s">
        <v>4587</v>
      </c>
      <c r="Z23" s="376" t="s">
        <v>4588</v>
      </c>
      <c r="AA23" s="580" t="s">
        <v>4589</v>
      </c>
      <c r="AB23" s="383" t="s">
        <v>4590</v>
      </c>
      <c r="AC23" s="376" t="s">
        <v>4591</v>
      </c>
      <c r="AD23" s="580" t="s">
        <v>4592</v>
      </c>
      <c r="AE23" s="580" t="s">
        <v>4593</v>
      </c>
      <c r="AF23" s="3726" t="s">
        <v>4594</v>
      </c>
      <c r="AG23" s="192" t="s">
        <v>4595</v>
      </c>
      <c r="AH23" s="2" t="s">
        <v>4596</v>
      </c>
      <c r="AI23" s="2" t="s">
        <v>4597</v>
      </c>
      <c r="AJ23" s="2" t="s">
        <v>4598</v>
      </c>
      <c r="AK23" t="e">
        <f t="shared" si="8"/>
        <v>#VALUE!</v>
      </c>
      <c r="CC23" s="1865" t="str">
        <f t="shared" si="9"/>
        <v xml:space="preserve">* El Número de Familias en Riesgo no puede superar el Total. </v>
      </c>
      <c r="CD23" s="1865" t="str">
        <f t="shared" si="0"/>
        <v xml:space="preserve">* La variable Pueblos Originarios no puede superar el Total. </v>
      </c>
      <c r="CE23" s="1865" t="str">
        <f t="shared" si="1"/>
        <v xml:space="preserve">* La variable Migrantes no puede superar el Total. </v>
      </c>
      <c r="CF23" s="1866"/>
      <c r="CG23" s="1865" t="e">
        <f t="shared" si="3"/>
        <v>#VALUE!</v>
      </c>
      <c r="CH23" s="1865" t="str">
        <f t="shared" si="10"/>
        <v xml:space="preserve">* La suma de Niños, niñas, adolescentes y jóvenes SENAME no puede superar el Total. </v>
      </c>
      <c r="CI23" s="1865" t="str">
        <f t="shared" si="11"/>
        <v xml:space="preserve">* La suma de Niños, niñas, adolescentes y jóvenes Mejor Niñez no puede superar el Total. </v>
      </c>
      <c r="CL23" s="1937"/>
      <c r="CM23" s="1867">
        <f t="shared" si="12"/>
        <v>1</v>
      </c>
      <c r="CN23" s="1867">
        <f t="shared" ref="CN23:CN52" si="15">IF(AND($E23&lt;&gt;0,AD23=""),1,IF(AD23&gt;$E23,1,0))</f>
        <v>1</v>
      </c>
      <c r="CO23" s="1867">
        <f t="shared" ref="CO23:CO52" si="16">IF(AND($E23&lt;&gt;0,AE23=""),1,IF(AE23&gt;$E23,1,0))</f>
        <v>1</v>
      </c>
      <c r="CP23" s="1868"/>
      <c r="CQ23" s="1867" t="e">
        <f t="shared" si="7"/>
        <v>#VALUE!</v>
      </c>
      <c r="CR23" s="3922">
        <f t="shared" si="13"/>
        <v>1</v>
      </c>
      <c r="CS23" s="3922">
        <f t="shared" si="14"/>
        <v>1</v>
      </c>
    </row>
    <row r="24" spans="1:97" s="19" customFormat="1" ht="15" customHeight="1" x14ac:dyDescent="0.25">
      <c r="A24" s="5823">
        <v>27601010</v>
      </c>
      <c r="B24" s="7431"/>
      <c r="C24" s="7256" t="s">
        <v>3172</v>
      </c>
      <c r="D24" s="1202" t="s">
        <v>3173</v>
      </c>
      <c r="E24" s="1077" t="s">
        <v>4567</v>
      </c>
      <c r="F24" s="1441" t="s">
        <v>4568</v>
      </c>
      <c r="G24" s="3368" t="s">
        <v>4569</v>
      </c>
      <c r="H24" s="3368" t="s">
        <v>4570</v>
      </c>
      <c r="I24" s="3368" t="s">
        <v>4571</v>
      </c>
      <c r="J24" s="1442" t="s">
        <v>4572</v>
      </c>
      <c r="K24" s="1083" t="s">
        <v>4573</v>
      </c>
      <c r="L24" s="4509" t="s">
        <v>4574</v>
      </c>
      <c r="M24" s="4509" t="s">
        <v>4575</v>
      </c>
      <c r="N24" s="4509" t="s">
        <v>4576</v>
      </c>
      <c r="O24" s="4509" t="s">
        <v>4577</v>
      </c>
      <c r="P24" s="4509" t="s">
        <v>4578</v>
      </c>
      <c r="Q24" s="4509" t="s">
        <v>4579</v>
      </c>
      <c r="R24" s="4509" t="s">
        <v>4580</v>
      </c>
      <c r="S24" s="4509" t="s">
        <v>4581</v>
      </c>
      <c r="T24" s="4509" t="s">
        <v>4582</v>
      </c>
      <c r="U24" s="4737" t="s">
        <v>4583</v>
      </c>
      <c r="V24" s="4737" t="s">
        <v>4584</v>
      </c>
      <c r="W24" s="4737" t="s">
        <v>4585</v>
      </c>
      <c r="X24" s="4737" t="s">
        <v>4586</v>
      </c>
      <c r="Y24" s="4737" t="s">
        <v>4587</v>
      </c>
      <c r="Z24" s="1294" t="s">
        <v>4588</v>
      </c>
      <c r="AA24" s="750" t="s">
        <v>4589</v>
      </c>
      <c r="AB24" s="4511" t="s">
        <v>4590</v>
      </c>
      <c r="AC24" s="1294" t="s">
        <v>4591</v>
      </c>
      <c r="AD24" s="750" t="s">
        <v>4592</v>
      </c>
      <c r="AE24" s="750" t="s">
        <v>4593</v>
      </c>
      <c r="AF24" s="3670" t="s">
        <v>4594</v>
      </c>
      <c r="AG24" s="1081" t="s">
        <v>4595</v>
      </c>
      <c r="AH24" s="1082" t="s">
        <v>4596</v>
      </c>
      <c r="AI24" s="1082" t="s">
        <v>4597</v>
      </c>
      <c r="AJ24" s="1082" t="s">
        <v>4598</v>
      </c>
      <c r="AK24" t="e">
        <f t="shared" si="8"/>
        <v>#VALUE!</v>
      </c>
      <c r="CC24" s="1865" t="str">
        <f t="shared" si="9"/>
        <v xml:space="preserve">* El Número de Familias en Riesgo no puede superar el Total. </v>
      </c>
      <c r="CD24" s="1865" t="str">
        <f t="shared" si="0"/>
        <v xml:space="preserve">* La variable Pueblos Originarios no puede superar el Total. </v>
      </c>
      <c r="CE24" s="1865" t="str">
        <f t="shared" si="1"/>
        <v xml:space="preserve">* La variable Migrantes no puede superar el Total. </v>
      </c>
      <c r="CF24" s="1866"/>
      <c r="CG24" s="1865" t="e">
        <f t="shared" si="3"/>
        <v>#VALUE!</v>
      </c>
      <c r="CH24" s="1865" t="str">
        <f t="shared" si="10"/>
        <v xml:space="preserve">* La suma de Niños, niñas, adolescentes y jóvenes SENAME no puede superar el Total. </v>
      </c>
      <c r="CI24" s="1865" t="str">
        <f t="shared" si="11"/>
        <v xml:space="preserve">* La suma de Niños, niñas, adolescentes y jóvenes Mejor Niñez no puede superar el Total. </v>
      </c>
      <c r="CL24" s="1937"/>
      <c r="CM24" s="1867">
        <f t="shared" si="12"/>
        <v>1</v>
      </c>
      <c r="CN24" s="1867">
        <f t="shared" si="15"/>
        <v>1</v>
      </c>
      <c r="CO24" s="1867">
        <f t="shared" si="16"/>
        <v>1</v>
      </c>
      <c r="CP24" s="1868"/>
      <c r="CQ24" s="1867" t="e">
        <f t="shared" si="7"/>
        <v>#VALUE!</v>
      </c>
      <c r="CR24" s="3922">
        <f t="shared" si="13"/>
        <v>1</v>
      </c>
      <c r="CS24" s="3922">
        <f t="shared" si="14"/>
        <v>1</v>
      </c>
    </row>
    <row r="25" spans="1:97" s="19" customFormat="1" ht="15" customHeight="1" x14ac:dyDescent="0.25">
      <c r="A25" s="5823">
        <v>27601011</v>
      </c>
      <c r="B25" s="7431"/>
      <c r="C25" s="7609"/>
      <c r="D25" s="1003" t="s">
        <v>2638</v>
      </c>
      <c r="E25" s="1163" t="s">
        <v>4567</v>
      </c>
      <c r="F25" s="4738" t="s">
        <v>4568</v>
      </c>
      <c r="G25" s="4739" t="s">
        <v>4569</v>
      </c>
      <c r="H25" s="4739" t="s">
        <v>4570</v>
      </c>
      <c r="I25" s="4739" t="s">
        <v>4571</v>
      </c>
      <c r="J25" s="621" t="s">
        <v>4572</v>
      </c>
      <c r="K25" s="1127" t="s">
        <v>4573</v>
      </c>
      <c r="L25" s="1258" t="s">
        <v>4574</v>
      </c>
      <c r="M25" s="1258" t="s">
        <v>4575</v>
      </c>
      <c r="N25" s="1258" t="s">
        <v>4576</v>
      </c>
      <c r="O25" s="1258" t="s">
        <v>4577</v>
      </c>
      <c r="P25" s="1258" t="s">
        <v>4578</v>
      </c>
      <c r="Q25" s="1258" t="s">
        <v>4579</v>
      </c>
      <c r="R25" s="1258" t="s">
        <v>4580</v>
      </c>
      <c r="S25" s="1258" t="s">
        <v>4581</v>
      </c>
      <c r="T25" s="1258" t="s">
        <v>4582</v>
      </c>
      <c r="U25" s="4740" t="s">
        <v>4583</v>
      </c>
      <c r="V25" s="4740" t="s">
        <v>4584</v>
      </c>
      <c r="W25" s="4740" t="s">
        <v>4585</v>
      </c>
      <c r="X25" s="4740" t="s">
        <v>4586</v>
      </c>
      <c r="Y25" s="4740" t="s">
        <v>4587</v>
      </c>
      <c r="Z25" s="3749" t="s">
        <v>4588</v>
      </c>
      <c r="AA25" s="4556" t="s">
        <v>4589</v>
      </c>
      <c r="AB25" s="1324" t="s">
        <v>4590</v>
      </c>
      <c r="AC25" s="1303" t="s">
        <v>4591</v>
      </c>
      <c r="AD25" s="1258" t="s">
        <v>4592</v>
      </c>
      <c r="AE25" s="1258" t="s">
        <v>4593</v>
      </c>
      <c r="AF25" s="4741" t="s">
        <v>4594</v>
      </c>
      <c r="AG25" s="1114" t="s">
        <v>4595</v>
      </c>
      <c r="AH25" s="387" t="s">
        <v>4596</v>
      </c>
      <c r="AI25" s="387" t="s">
        <v>4597</v>
      </c>
      <c r="AJ25" s="387" t="s">
        <v>4598</v>
      </c>
      <c r="AK25" t="e">
        <f t="shared" si="8"/>
        <v>#VALUE!</v>
      </c>
      <c r="CC25" s="1865" t="str">
        <f t="shared" si="9"/>
        <v xml:space="preserve">* El Número de Familias en Riesgo no puede superar el Total. </v>
      </c>
      <c r="CD25" s="1865" t="str">
        <f t="shared" si="0"/>
        <v xml:space="preserve">* La variable Pueblos Originarios no puede superar el Total. </v>
      </c>
      <c r="CE25" s="1865" t="str">
        <f t="shared" si="1"/>
        <v xml:space="preserve">* La variable Migrantes no puede superar el Total. </v>
      </c>
      <c r="CF25" s="1866"/>
      <c r="CG25" s="1865" t="e">
        <f t="shared" si="3"/>
        <v>#VALUE!</v>
      </c>
      <c r="CH25" s="1865" t="str">
        <f t="shared" si="10"/>
        <v xml:space="preserve">* La suma de Niños, niñas, adolescentes y jóvenes SENAME no puede superar el Total. </v>
      </c>
      <c r="CI25" s="1865" t="str">
        <f t="shared" si="11"/>
        <v xml:space="preserve">* La suma de Niños, niñas, adolescentes y jóvenes Mejor Niñez no puede superar el Total. </v>
      </c>
      <c r="CL25" s="1937"/>
      <c r="CM25" s="1867">
        <f t="shared" si="12"/>
        <v>1</v>
      </c>
      <c r="CN25" s="1867">
        <f t="shared" si="15"/>
        <v>1</v>
      </c>
      <c r="CO25" s="1867">
        <f t="shared" si="16"/>
        <v>1</v>
      </c>
      <c r="CP25" s="1868"/>
      <c r="CQ25" s="1867" t="e">
        <f t="shared" si="7"/>
        <v>#VALUE!</v>
      </c>
      <c r="CR25" s="3922">
        <f t="shared" si="13"/>
        <v>1</v>
      </c>
      <c r="CS25" s="3922">
        <f t="shared" si="14"/>
        <v>1</v>
      </c>
    </row>
    <row r="26" spans="1:97" s="19" customFormat="1" ht="15" customHeight="1" x14ac:dyDescent="0.25">
      <c r="A26" s="5818">
        <v>27300918</v>
      </c>
      <c r="B26" s="7431"/>
      <c r="C26" s="6229" t="s">
        <v>3174</v>
      </c>
      <c r="D26" s="6230"/>
      <c r="E26" s="195" t="s">
        <v>4567</v>
      </c>
      <c r="F26" s="4742" t="s">
        <v>4568</v>
      </c>
      <c r="G26" s="3369" t="s">
        <v>4569</v>
      </c>
      <c r="H26" s="3369" t="s">
        <v>4570</v>
      </c>
      <c r="I26" s="262" t="s">
        <v>4571</v>
      </c>
      <c r="J26" s="1447" t="s">
        <v>4572</v>
      </c>
      <c r="K26" s="3249" t="s">
        <v>4573</v>
      </c>
      <c r="L26" s="262" t="s">
        <v>4574</v>
      </c>
      <c r="M26" s="262" t="s">
        <v>4575</v>
      </c>
      <c r="N26" s="262" t="s">
        <v>4576</v>
      </c>
      <c r="O26" s="262" t="s">
        <v>4577</v>
      </c>
      <c r="P26" s="262" t="s">
        <v>4578</v>
      </c>
      <c r="Q26" s="262" t="s">
        <v>4579</v>
      </c>
      <c r="R26" s="262" t="s">
        <v>4580</v>
      </c>
      <c r="S26" s="262" t="s">
        <v>4581</v>
      </c>
      <c r="T26" s="262" t="s">
        <v>4582</v>
      </c>
      <c r="U26" s="262" t="s">
        <v>4583</v>
      </c>
      <c r="V26" s="262" t="s">
        <v>4584</v>
      </c>
      <c r="W26" s="262" t="s">
        <v>4585</v>
      </c>
      <c r="X26" s="262" t="s">
        <v>4586</v>
      </c>
      <c r="Y26" s="262" t="s">
        <v>4587</v>
      </c>
      <c r="Z26" s="266" t="s">
        <v>4588</v>
      </c>
      <c r="AA26" s="262" t="s">
        <v>4589</v>
      </c>
      <c r="AB26" s="297" t="s">
        <v>4590</v>
      </c>
      <c r="AC26" s="266" t="s">
        <v>4591</v>
      </c>
      <c r="AD26" s="262" t="s">
        <v>4592</v>
      </c>
      <c r="AE26" s="262" t="s">
        <v>4593</v>
      </c>
      <c r="AF26" s="310" t="s">
        <v>4594</v>
      </c>
      <c r="AG26" s="1264" t="s">
        <v>4595</v>
      </c>
      <c r="AH26" s="1447" t="s">
        <v>4596</v>
      </c>
      <c r="AI26" s="1447" t="s">
        <v>4597</v>
      </c>
      <c r="AJ26" s="1447" t="s">
        <v>4598</v>
      </c>
      <c r="AK26" t="e">
        <f t="shared" si="8"/>
        <v>#VALUE!</v>
      </c>
      <c r="CC26" s="1865" t="str">
        <f t="shared" si="9"/>
        <v xml:space="preserve">* El Número de Familias en Riesgo no puede superar el Total. </v>
      </c>
      <c r="CD26" s="1865" t="str">
        <f t="shared" si="0"/>
        <v xml:space="preserve">* La variable Pueblos Originarios no puede superar el Total. </v>
      </c>
      <c r="CE26" s="1865" t="str">
        <f t="shared" si="1"/>
        <v xml:space="preserve">* La variable Migrantes no puede superar el Total. </v>
      </c>
      <c r="CF26" s="1865" t="str">
        <f>IF(AND($E26&lt;&gt;0,AF26=""),"* No olvide ingresar la variable "&amp;AF$9&amp;""&amp;" (Digite CERO si no tiene).  ",IF(AF26&gt;$E26,"* La variable Espacios Amigables/ Adolescentes no puede superar el Total. ",""))</f>
        <v xml:space="preserve">* La variable Espacios Amigables/ Adolescentes no puede superar el Total. </v>
      </c>
      <c r="CG26" s="1865" t="e">
        <f t="shared" si="3"/>
        <v>#VALUE!</v>
      </c>
      <c r="CH26" s="1865" t="str">
        <f t="shared" si="10"/>
        <v xml:space="preserve">* La suma de Niños, niñas, adolescentes y jóvenes SENAME no puede superar el Total. </v>
      </c>
      <c r="CI26" s="1865" t="str">
        <f t="shared" si="11"/>
        <v xml:space="preserve">* La suma de Niños, niñas, adolescentes y jóvenes Mejor Niñez no puede superar el Total. </v>
      </c>
      <c r="CL26" s="1937"/>
      <c r="CM26" s="1867">
        <f t="shared" si="12"/>
        <v>1</v>
      </c>
      <c r="CN26" s="1867">
        <f t="shared" si="15"/>
        <v>1</v>
      </c>
      <c r="CO26" s="1867">
        <f t="shared" si="16"/>
        <v>1</v>
      </c>
      <c r="CP26" s="1867">
        <f>IF(AND($E26&lt;&gt;0,AF26=""),1,IF(AF26&gt;$E26,1,0))</f>
        <v>1</v>
      </c>
      <c r="CQ26" s="1867" t="e">
        <f t="shared" si="7"/>
        <v>#VALUE!</v>
      </c>
      <c r="CR26" s="3922">
        <f t="shared" si="13"/>
        <v>1</v>
      </c>
      <c r="CS26" s="3922">
        <f t="shared" si="14"/>
        <v>1</v>
      </c>
    </row>
    <row r="27" spans="1:97" s="19" customFormat="1" ht="15" customHeight="1" x14ac:dyDescent="0.25">
      <c r="A27" s="5818">
        <v>27300902</v>
      </c>
      <c r="B27" s="7431"/>
      <c r="C27" s="7328" t="s">
        <v>3175</v>
      </c>
      <c r="D27" s="4743" t="s">
        <v>3176</v>
      </c>
      <c r="E27" s="1077" t="s">
        <v>4567</v>
      </c>
      <c r="F27" s="290" t="s">
        <v>4568</v>
      </c>
      <c r="G27" s="3694" t="s">
        <v>4569</v>
      </c>
      <c r="H27" s="3694" t="s">
        <v>4570</v>
      </c>
      <c r="I27" s="287" t="s">
        <v>4571</v>
      </c>
      <c r="J27" s="3665" t="s">
        <v>4572</v>
      </c>
      <c r="K27" s="3660" t="s">
        <v>4573</v>
      </c>
      <c r="L27" s="3694" t="s">
        <v>4574</v>
      </c>
      <c r="M27" s="3694" t="s">
        <v>4575</v>
      </c>
      <c r="N27" s="3694" t="s">
        <v>4576</v>
      </c>
      <c r="O27" s="3694" t="s">
        <v>4577</v>
      </c>
      <c r="P27" s="3694" t="s">
        <v>4578</v>
      </c>
      <c r="Q27" s="3694" t="s">
        <v>4579</v>
      </c>
      <c r="R27" s="3694" t="s">
        <v>4580</v>
      </c>
      <c r="S27" s="3694" t="s">
        <v>4581</v>
      </c>
      <c r="T27" s="3694" t="s">
        <v>4582</v>
      </c>
      <c r="U27" s="3694" t="s">
        <v>4583</v>
      </c>
      <c r="V27" s="3694" t="s">
        <v>4584</v>
      </c>
      <c r="W27" s="3694" t="s">
        <v>4585</v>
      </c>
      <c r="X27" s="3694" t="s">
        <v>4586</v>
      </c>
      <c r="Y27" s="4736" t="s">
        <v>4587</v>
      </c>
      <c r="Z27" s="4585" t="s">
        <v>4588</v>
      </c>
      <c r="AA27" s="287" t="s">
        <v>4589</v>
      </c>
      <c r="AB27" s="4744" t="s">
        <v>4590</v>
      </c>
      <c r="AC27" s="1294" t="s">
        <v>4591</v>
      </c>
      <c r="AD27" s="750" t="s">
        <v>4592</v>
      </c>
      <c r="AE27" s="750" t="s">
        <v>4593</v>
      </c>
      <c r="AF27" s="4745" t="s">
        <v>4594</v>
      </c>
      <c r="AG27" s="1081" t="s">
        <v>4595</v>
      </c>
      <c r="AH27" s="1082" t="s">
        <v>4596</v>
      </c>
      <c r="AI27" s="1082" t="s">
        <v>4597</v>
      </c>
      <c r="AJ27" s="1082" t="s">
        <v>4598</v>
      </c>
      <c r="AK27" t="e">
        <f t="shared" si="8"/>
        <v>#VALUE!</v>
      </c>
      <c r="CC27" s="1865" t="str">
        <f t="shared" si="9"/>
        <v xml:space="preserve">* El Número de Familias en Riesgo no puede superar el Total. </v>
      </c>
      <c r="CD27" s="1865" t="str">
        <f t="shared" si="0"/>
        <v xml:space="preserve">* La variable Pueblos Originarios no puede superar el Total. </v>
      </c>
      <c r="CE27" s="1865" t="str">
        <f t="shared" si="1"/>
        <v xml:space="preserve">* La variable Migrantes no puede superar el Total. </v>
      </c>
      <c r="CF27" s="1866"/>
      <c r="CG27" s="1865" t="e">
        <f t="shared" si="3"/>
        <v>#VALUE!</v>
      </c>
      <c r="CH27" s="1865" t="str">
        <f t="shared" si="10"/>
        <v xml:space="preserve">* La suma de Niños, niñas, adolescentes y jóvenes SENAME no puede superar el Total. </v>
      </c>
      <c r="CI27" s="1865" t="str">
        <f t="shared" si="11"/>
        <v xml:space="preserve">* La suma de Niños, niñas, adolescentes y jóvenes Mejor Niñez no puede superar el Total. </v>
      </c>
      <c r="CL27" s="1937"/>
      <c r="CM27" s="1867">
        <f t="shared" si="12"/>
        <v>1</v>
      </c>
      <c r="CN27" s="1867">
        <f t="shared" si="15"/>
        <v>1</v>
      </c>
      <c r="CO27" s="1867">
        <f t="shared" si="16"/>
        <v>1</v>
      </c>
      <c r="CP27" s="1868"/>
      <c r="CQ27" s="1867" t="e">
        <f t="shared" si="7"/>
        <v>#VALUE!</v>
      </c>
      <c r="CR27" s="3922">
        <f t="shared" si="13"/>
        <v>1</v>
      </c>
      <c r="CS27" s="3922">
        <f t="shared" si="14"/>
        <v>1</v>
      </c>
    </row>
    <row r="28" spans="1:97" s="19" customFormat="1" ht="15" customHeight="1" x14ac:dyDescent="0.25">
      <c r="A28" s="5818">
        <v>27300903</v>
      </c>
      <c r="B28" s="7431"/>
      <c r="C28" s="6112"/>
      <c r="D28" s="4735" t="s">
        <v>3177</v>
      </c>
      <c r="E28" s="193" t="s">
        <v>4567</v>
      </c>
      <c r="F28" s="1089" t="s">
        <v>4568</v>
      </c>
      <c r="G28" s="3694" t="s">
        <v>4569</v>
      </c>
      <c r="H28" s="3694" t="s">
        <v>4570</v>
      </c>
      <c r="I28" s="2639" t="s">
        <v>4571</v>
      </c>
      <c r="J28" s="2638" t="s">
        <v>4572</v>
      </c>
      <c r="K28" s="4746" t="s">
        <v>4573</v>
      </c>
      <c r="L28" s="3064" t="s">
        <v>4574</v>
      </c>
      <c r="M28" s="3064" t="s">
        <v>4575</v>
      </c>
      <c r="N28" s="3064" t="s">
        <v>4576</v>
      </c>
      <c r="O28" s="3064" t="s">
        <v>4577</v>
      </c>
      <c r="P28" s="3064" t="s">
        <v>4578</v>
      </c>
      <c r="Q28" s="3064" t="s">
        <v>4579</v>
      </c>
      <c r="R28" s="3064" t="s">
        <v>4580</v>
      </c>
      <c r="S28" s="3064" t="s">
        <v>4581</v>
      </c>
      <c r="T28" s="3064" t="s">
        <v>4582</v>
      </c>
      <c r="U28" s="3064" t="s">
        <v>4583</v>
      </c>
      <c r="V28" s="3064" t="s">
        <v>4584</v>
      </c>
      <c r="W28" s="3064" t="s">
        <v>4585</v>
      </c>
      <c r="X28" s="3064" t="s">
        <v>4586</v>
      </c>
      <c r="Y28" s="3733" t="s">
        <v>4587</v>
      </c>
      <c r="Z28" s="4747" t="s">
        <v>4588</v>
      </c>
      <c r="AA28" s="2639" t="s">
        <v>4589</v>
      </c>
      <c r="AB28" s="4748" t="s">
        <v>4590</v>
      </c>
      <c r="AC28" s="1299" t="s">
        <v>4591</v>
      </c>
      <c r="AD28" s="1253" t="s">
        <v>4592</v>
      </c>
      <c r="AE28" s="1253" t="s">
        <v>4593</v>
      </c>
      <c r="AF28" s="1093" t="s">
        <v>4594</v>
      </c>
      <c r="AG28" s="1089" t="s">
        <v>4595</v>
      </c>
      <c r="AH28" s="1090" t="s">
        <v>4596</v>
      </c>
      <c r="AI28" s="1090" t="s">
        <v>4597</v>
      </c>
      <c r="AJ28" s="1090" t="s">
        <v>4598</v>
      </c>
      <c r="AK28" t="e">
        <f t="shared" si="8"/>
        <v>#VALUE!</v>
      </c>
      <c r="CC28" s="1865" t="str">
        <f t="shared" si="9"/>
        <v xml:space="preserve">* El Número de Familias en Riesgo no puede superar el Total. </v>
      </c>
      <c r="CD28" s="1865" t="str">
        <f t="shared" si="0"/>
        <v xml:space="preserve">* La variable Pueblos Originarios no puede superar el Total. </v>
      </c>
      <c r="CE28" s="1865" t="str">
        <f t="shared" si="1"/>
        <v xml:space="preserve">* La variable Migrantes no puede superar el Total. </v>
      </c>
      <c r="CF28" s="1865" t="str">
        <f t="shared" ref="CF28:CF52" si="17">IF(AND($E28&lt;&gt;0,AF28=""),"* No olvide ingresar la variable "&amp;AF$9&amp;""&amp;" (Digite CERO si no tiene).  ",IF(AF28&gt;$E28,"* La variable Espacios Amigables/ Adolescentes no puede superar el Total. ",""))</f>
        <v xml:space="preserve">* La variable Espacios Amigables/ Adolescentes no puede superar el Total. </v>
      </c>
      <c r="CG28" s="1865" t="e">
        <f t="shared" si="3"/>
        <v>#VALUE!</v>
      </c>
      <c r="CH28" s="1865" t="str">
        <f t="shared" si="10"/>
        <v xml:space="preserve">* La suma de Niños, niñas, adolescentes y jóvenes SENAME no puede superar el Total. </v>
      </c>
      <c r="CI28" s="1865" t="str">
        <f t="shared" si="11"/>
        <v xml:space="preserve">* La suma de Niños, niñas, adolescentes y jóvenes Mejor Niñez no puede superar el Total. </v>
      </c>
      <c r="CL28" s="1937"/>
      <c r="CM28" s="1867">
        <f t="shared" si="12"/>
        <v>1</v>
      </c>
      <c r="CN28" s="1867">
        <f t="shared" si="15"/>
        <v>1</v>
      </c>
      <c r="CO28" s="1867">
        <f t="shared" si="16"/>
        <v>1</v>
      </c>
      <c r="CP28" s="1867">
        <f t="shared" ref="CP28:CP52" si="18">IF(AND($E28&lt;&gt;0,AF28=""),1,IF(AF28&gt;$E28,1,0))</f>
        <v>1</v>
      </c>
      <c r="CQ28" s="1867" t="e">
        <f t="shared" si="7"/>
        <v>#VALUE!</v>
      </c>
      <c r="CR28" s="3922">
        <f t="shared" si="13"/>
        <v>1</v>
      </c>
      <c r="CS28" s="3922">
        <f t="shared" si="14"/>
        <v>1</v>
      </c>
    </row>
    <row r="29" spans="1:97" s="19" customFormat="1" ht="15" customHeight="1" x14ac:dyDescent="0.25">
      <c r="A29" s="5818">
        <v>27300904</v>
      </c>
      <c r="B29" s="7431"/>
      <c r="C29" s="7464"/>
      <c r="D29" s="416" t="s">
        <v>591</v>
      </c>
      <c r="E29" s="1163" t="s">
        <v>4567</v>
      </c>
      <c r="F29" s="1114" t="s">
        <v>4568</v>
      </c>
      <c r="G29" s="3249" t="s">
        <v>4569</v>
      </c>
      <c r="H29" s="3249" t="s">
        <v>4570</v>
      </c>
      <c r="I29" s="4749" t="s">
        <v>4571</v>
      </c>
      <c r="J29" s="4750" t="s">
        <v>4572</v>
      </c>
      <c r="K29" s="4749" t="s">
        <v>4573</v>
      </c>
      <c r="L29" s="4739" t="s">
        <v>4574</v>
      </c>
      <c r="M29" s="4739" t="s">
        <v>4575</v>
      </c>
      <c r="N29" s="4739" t="s">
        <v>4576</v>
      </c>
      <c r="O29" s="4739" t="s">
        <v>4577</v>
      </c>
      <c r="P29" s="4739" t="s">
        <v>4578</v>
      </c>
      <c r="Q29" s="4739" t="s">
        <v>4579</v>
      </c>
      <c r="R29" s="4739" t="s">
        <v>4580</v>
      </c>
      <c r="S29" s="4739" t="s">
        <v>4581</v>
      </c>
      <c r="T29" s="4739" t="s">
        <v>4582</v>
      </c>
      <c r="U29" s="4739" t="s">
        <v>4583</v>
      </c>
      <c r="V29" s="4739" t="s">
        <v>4584</v>
      </c>
      <c r="W29" s="4739" t="s">
        <v>4585</v>
      </c>
      <c r="X29" s="4739" t="s">
        <v>4586</v>
      </c>
      <c r="Y29" s="4740" t="s">
        <v>4587</v>
      </c>
      <c r="Z29" s="3749" t="s">
        <v>4588</v>
      </c>
      <c r="AA29" s="4739" t="s">
        <v>4589</v>
      </c>
      <c r="AB29" s="4751" t="s">
        <v>4590</v>
      </c>
      <c r="AC29" s="266" t="s">
        <v>4591</v>
      </c>
      <c r="AD29" s="262" t="s">
        <v>4592</v>
      </c>
      <c r="AE29" s="262" t="s">
        <v>4593</v>
      </c>
      <c r="AF29" s="310" t="s">
        <v>4594</v>
      </c>
      <c r="AG29" s="1264" t="s">
        <v>4595</v>
      </c>
      <c r="AH29" s="1447" t="s">
        <v>4596</v>
      </c>
      <c r="AI29" s="1447" t="s">
        <v>4597</v>
      </c>
      <c r="AJ29" s="1447" t="s">
        <v>4598</v>
      </c>
      <c r="AK29" t="e">
        <f t="shared" si="8"/>
        <v>#VALUE!</v>
      </c>
      <c r="CC29" s="1865" t="str">
        <f t="shared" si="9"/>
        <v xml:space="preserve">* El Número de Familias en Riesgo no puede superar el Total. </v>
      </c>
      <c r="CD29" s="1865" t="str">
        <f t="shared" si="0"/>
        <v xml:space="preserve">* La variable Pueblos Originarios no puede superar el Total. </v>
      </c>
      <c r="CE29" s="1865" t="str">
        <f t="shared" si="1"/>
        <v xml:space="preserve">* La variable Migrantes no puede superar el Total. </v>
      </c>
      <c r="CF29" s="1865" t="str">
        <f t="shared" si="17"/>
        <v xml:space="preserve">* La variable Espacios Amigables/ Adolescentes no puede superar el Total. </v>
      </c>
      <c r="CG29" s="1865" t="e">
        <f t="shared" si="3"/>
        <v>#VALUE!</v>
      </c>
      <c r="CH29" s="1865" t="str">
        <f t="shared" si="10"/>
        <v xml:space="preserve">* La suma de Niños, niñas, adolescentes y jóvenes SENAME no puede superar el Total. </v>
      </c>
      <c r="CI29" s="1865" t="str">
        <f t="shared" si="11"/>
        <v xml:space="preserve">* La suma de Niños, niñas, adolescentes y jóvenes Mejor Niñez no puede superar el Total. </v>
      </c>
      <c r="CL29" s="1937"/>
      <c r="CM29" s="1867">
        <f t="shared" si="12"/>
        <v>1</v>
      </c>
      <c r="CN29" s="1867">
        <f t="shared" si="15"/>
        <v>1</v>
      </c>
      <c r="CO29" s="1867">
        <f t="shared" si="16"/>
        <v>1</v>
      </c>
      <c r="CP29" s="1867">
        <f t="shared" si="18"/>
        <v>1</v>
      </c>
      <c r="CQ29" s="1867" t="e">
        <f t="shared" si="7"/>
        <v>#VALUE!</v>
      </c>
      <c r="CR29" s="3922">
        <f t="shared" si="13"/>
        <v>1</v>
      </c>
      <c r="CS29" s="3922">
        <f t="shared" si="14"/>
        <v>1</v>
      </c>
    </row>
    <row r="30" spans="1:97" s="19" customFormat="1" ht="15" customHeight="1" x14ac:dyDescent="0.25">
      <c r="A30" s="5818">
        <v>27300700</v>
      </c>
      <c r="B30" s="7431"/>
      <c r="C30" s="7328" t="s">
        <v>3178</v>
      </c>
      <c r="D30" s="4635" t="s">
        <v>3179</v>
      </c>
      <c r="E30" s="1159" t="s">
        <v>4567</v>
      </c>
      <c r="F30" s="1081" t="s">
        <v>4568</v>
      </c>
      <c r="G30" s="750" t="s">
        <v>4569</v>
      </c>
      <c r="H30" s="750" t="s">
        <v>4570</v>
      </c>
      <c r="I30" s="750" t="s">
        <v>4571</v>
      </c>
      <c r="J30" s="1442" t="s">
        <v>4572</v>
      </c>
      <c r="K30" s="4612" t="s">
        <v>4573</v>
      </c>
      <c r="L30" s="3368" t="s">
        <v>4574</v>
      </c>
      <c r="M30" s="3368" t="s">
        <v>4575</v>
      </c>
      <c r="N30" s="4737" t="s">
        <v>4576</v>
      </c>
      <c r="O30" s="4737" t="s">
        <v>4577</v>
      </c>
      <c r="P30" s="4737" t="s">
        <v>4578</v>
      </c>
      <c r="Q30" s="4737" t="s">
        <v>4579</v>
      </c>
      <c r="R30" s="4737" t="s">
        <v>4580</v>
      </c>
      <c r="S30" s="4737" t="s">
        <v>4581</v>
      </c>
      <c r="T30" s="4737" t="s">
        <v>4582</v>
      </c>
      <c r="U30" s="4737" t="s">
        <v>4583</v>
      </c>
      <c r="V30" s="4737" t="s">
        <v>4584</v>
      </c>
      <c r="W30" s="4737" t="s">
        <v>4585</v>
      </c>
      <c r="X30" s="4737" t="s">
        <v>4586</v>
      </c>
      <c r="Y30" s="4737" t="s">
        <v>4587</v>
      </c>
      <c r="Z30" s="4752" t="s">
        <v>4588</v>
      </c>
      <c r="AA30" s="4724" t="s">
        <v>4589</v>
      </c>
      <c r="AB30" s="4727" t="s">
        <v>4590</v>
      </c>
      <c r="AC30" s="1294" t="s">
        <v>4591</v>
      </c>
      <c r="AD30" s="750" t="s">
        <v>4592</v>
      </c>
      <c r="AE30" s="750" t="s">
        <v>4593</v>
      </c>
      <c r="AF30" s="748" t="s">
        <v>4594</v>
      </c>
      <c r="AG30" s="1081" t="s">
        <v>4595</v>
      </c>
      <c r="AH30" s="1082" t="s">
        <v>4596</v>
      </c>
      <c r="AI30" s="1082" t="s">
        <v>4597</v>
      </c>
      <c r="AJ30" s="1082" t="s">
        <v>4598</v>
      </c>
      <c r="AK30" t="e">
        <f t="shared" si="8"/>
        <v>#VALUE!</v>
      </c>
      <c r="CC30" s="1865" t="str">
        <f t="shared" si="9"/>
        <v xml:space="preserve">* El Número de Familias en Riesgo no puede superar el Total. </v>
      </c>
      <c r="CD30" s="1865" t="str">
        <f t="shared" si="0"/>
        <v xml:space="preserve">* La variable Pueblos Originarios no puede superar el Total. </v>
      </c>
      <c r="CE30" s="1865" t="str">
        <f t="shared" si="1"/>
        <v xml:space="preserve">* La variable Migrantes no puede superar el Total. </v>
      </c>
      <c r="CF30" s="1865" t="str">
        <f t="shared" si="17"/>
        <v xml:space="preserve">* La variable Espacios Amigables/ Adolescentes no puede superar el Total. </v>
      </c>
      <c r="CG30" s="1865" t="e">
        <f t="shared" si="3"/>
        <v>#VALUE!</v>
      </c>
      <c r="CH30" s="1865" t="str">
        <f t="shared" si="10"/>
        <v xml:space="preserve">* La suma de Niños, niñas, adolescentes y jóvenes SENAME no puede superar el Total. </v>
      </c>
      <c r="CI30" s="1865" t="str">
        <f t="shared" si="11"/>
        <v xml:space="preserve">* La suma de Niños, niñas, adolescentes y jóvenes Mejor Niñez no puede superar el Total. </v>
      </c>
      <c r="CL30" s="1937"/>
      <c r="CM30" s="1867">
        <f t="shared" si="12"/>
        <v>1</v>
      </c>
      <c r="CN30" s="1867">
        <f t="shared" si="15"/>
        <v>1</v>
      </c>
      <c r="CO30" s="1867">
        <f t="shared" si="16"/>
        <v>1</v>
      </c>
      <c r="CP30" s="1867">
        <f t="shared" si="18"/>
        <v>1</v>
      </c>
      <c r="CQ30" s="1867" t="e">
        <f t="shared" si="7"/>
        <v>#VALUE!</v>
      </c>
      <c r="CR30" s="3922">
        <f t="shared" si="13"/>
        <v>1</v>
      </c>
      <c r="CS30" s="3922">
        <f t="shared" si="14"/>
        <v>1</v>
      </c>
    </row>
    <row r="31" spans="1:97" s="19" customFormat="1" ht="15" customHeight="1" x14ac:dyDescent="0.25">
      <c r="A31" s="5818">
        <v>27400100</v>
      </c>
      <c r="B31" s="7431"/>
      <c r="C31" s="6112"/>
      <c r="D31" s="4714" t="s">
        <v>3180</v>
      </c>
      <c r="E31" s="1162" t="s">
        <v>4567</v>
      </c>
      <c r="F31" s="313" t="s">
        <v>4568</v>
      </c>
      <c r="G31" s="532" t="s">
        <v>4569</v>
      </c>
      <c r="H31" s="532" t="s">
        <v>4570</v>
      </c>
      <c r="I31" s="532" t="s">
        <v>4571</v>
      </c>
      <c r="J31" s="1090" t="s">
        <v>4572</v>
      </c>
      <c r="K31" s="1091" t="s">
        <v>4573</v>
      </c>
      <c r="L31" s="3064" t="s">
        <v>4574</v>
      </c>
      <c r="M31" s="3064" t="s">
        <v>4575</v>
      </c>
      <c r="N31" s="4753" t="s">
        <v>4576</v>
      </c>
      <c r="O31" s="4753" t="s">
        <v>4577</v>
      </c>
      <c r="P31" s="4753" t="s">
        <v>4578</v>
      </c>
      <c r="Q31" s="4753" t="s">
        <v>4579</v>
      </c>
      <c r="R31" s="4753" t="s">
        <v>4580</v>
      </c>
      <c r="S31" s="4753" t="s">
        <v>4581</v>
      </c>
      <c r="T31" s="4753" t="s">
        <v>4582</v>
      </c>
      <c r="U31" s="4753" t="s">
        <v>4583</v>
      </c>
      <c r="V31" s="4753" t="s">
        <v>4584</v>
      </c>
      <c r="W31" s="4753" t="s">
        <v>4585</v>
      </c>
      <c r="X31" s="4753" t="s">
        <v>4586</v>
      </c>
      <c r="Y31" s="4753" t="s">
        <v>4587</v>
      </c>
      <c r="Z31" s="4747" t="s">
        <v>4588</v>
      </c>
      <c r="AA31" s="2639" t="s">
        <v>4589</v>
      </c>
      <c r="AB31" s="4748" t="s">
        <v>4590</v>
      </c>
      <c r="AC31" s="1299" t="s">
        <v>4591</v>
      </c>
      <c r="AD31" s="1253" t="s">
        <v>4592</v>
      </c>
      <c r="AE31" s="1253" t="s">
        <v>4593</v>
      </c>
      <c r="AF31" s="1093" t="s">
        <v>4594</v>
      </c>
      <c r="AG31" s="1089" t="s">
        <v>4595</v>
      </c>
      <c r="AH31" s="1090" t="s">
        <v>4596</v>
      </c>
      <c r="AI31" s="1090" t="s">
        <v>4597</v>
      </c>
      <c r="AJ31" s="1090" t="s">
        <v>4598</v>
      </c>
      <c r="AK31" t="e">
        <f t="shared" si="8"/>
        <v>#VALUE!</v>
      </c>
      <c r="CC31" s="1865" t="str">
        <f t="shared" si="9"/>
        <v xml:space="preserve">* El Número de Familias en Riesgo no puede superar el Total. </v>
      </c>
      <c r="CD31" s="1865" t="str">
        <f t="shared" si="0"/>
        <v xml:space="preserve">* La variable Pueblos Originarios no puede superar el Total. </v>
      </c>
      <c r="CE31" s="1865" t="str">
        <f t="shared" si="1"/>
        <v xml:space="preserve">* La variable Migrantes no puede superar el Total. </v>
      </c>
      <c r="CF31" s="1865" t="str">
        <f t="shared" si="17"/>
        <v xml:space="preserve">* La variable Espacios Amigables/ Adolescentes no puede superar el Total. </v>
      </c>
      <c r="CG31" s="1865" t="e">
        <f t="shared" si="3"/>
        <v>#VALUE!</v>
      </c>
      <c r="CH31" s="1865" t="str">
        <f t="shared" si="10"/>
        <v xml:space="preserve">* La suma de Niños, niñas, adolescentes y jóvenes SENAME no puede superar el Total. </v>
      </c>
      <c r="CI31" s="1865" t="str">
        <f t="shared" si="11"/>
        <v xml:space="preserve">* La suma de Niños, niñas, adolescentes y jóvenes Mejor Niñez no puede superar el Total. </v>
      </c>
      <c r="CL31" s="1937"/>
      <c r="CM31" s="1867">
        <f t="shared" si="12"/>
        <v>1</v>
      </c>
      <c r="CN31" s="1867">
        <f t="shared" si="15"/>
        <v>1</v>
      </c>
      <c r="CO31" s="1867">
        <f t="shared" si="16"/>
        <v>1</v>
      </c>
      <c r="CP31" s="1867">
        <f t="shared" si="18"/>
        <v>1</v>
      </c>
      <c r="CQ31" s="1867" t="e">
        <f t="shared" si="7"/>
        <v>#VALUE!</v>
      </c>
      <c r="CR31" s="3922">
        <f t="shared" si="13"/>
        <v>1</v>
      </c>
      <c r="CS31" s="3922">
        <f t="shared" si="14"/>
        <v>1</v>
      </c>
    </row>
    <row r="32" spans="1:97" s="19" customFormat="1" ht="15" customHeight="1" x14ac:dyDescent="0.25">
      <c r="A32" s="5818">
        <v>27400150</v>
      </c>
      <c r="B32" s="7431"/>
      <c r="C32" s="7464"/>
      <c r="D32" s="416" t="s">
        <v>591</v>
      </c>
      <c r="E32" s="1163" t="s">
        <v>4567</v>
      </c>
      <c r="F32" s="1264" t="s">
        <v>4568</v>
      </c>
      <c r="G32" s="262" t="s">
        <v>4569</v>
      </c>
      <c r="H32" s="262" t="s">
        <v>4570</v>
      </c>
      <c r="I32" s="262" t="s">
        <v>4571</v>
      </c>
      <c r="J32" s="387" t="s">
        <v>4572</v>
      </c>
      <c r="K32" s="4749" t="s">
        <v>4573</v>
      </c>
      <c r="L32" s="4739" t="s">
        <v>4574</v>
      </c>
      <c r="M32" s="4739" t="s">
        <v>4575</v>
      </c>
      <c r="N32" s="4740" t="s">
        <v>4576</v>
      </c>
      <c r="O32" s="4740" t="s">
        <v>4577</v>
      </c>
      <c r="P32" s="4740" t="s">
        <v>4578</v>
      </c>
      <c r="Q32" s="4740" t="s">
        <v>4579</v>
      </c>
      <c r="R32" s="4740" t="s">
        <v>4580</v>
      </c>
      <c r="S32" s="4740" t="s">
        <v>4581</v>
      </c>
      <c r="T32" s="4740" t="s">
        <v>4582</v>
      </c>
      <c r="U32" s="4740" t="s">
        <v>4583</v>
      </c>
      <c r="V32" s="4740" t="s">
        <v>4584</v>
      </c>
      <c r="W32" s="4740" t="s">
        <v>4585</v>
      </c>
      <c r="X32" s="4740" t="s">
        <v>4586</v>
      </c>
      <c r="Y32" s="4740" t="s">
        <v>4587</v>
      </c>
      <c r="Z32" s="3749" t="s">
        <v>4588</v>
      </c>
      <c r="AA32" s="4739" t="s">
        <v>4589</v>
      </c>
      <c r="AB32" s="4751" t="s">
        <v>4590</v>
      </c>
      <c r="AC32" s="1303" t="s">
        <v>4591</v>
      </c>
      <c r="AD32" s="1258" t="s">
        <v>4592</v>
      </c>
      <c r="AE32" s="1258" t="s">
        <v>4593</v>
      </c>
      <c r="AF32" s="1115" t="s">
        <v>4594</v>
      </c>
      <c r="AG32" s="1114" t="s">
        <v>4595</v>
      </c>
      <c r="AH32" s="387" t="s">
        <v>4596</v>
      </c>
      <c r="AI32" s="387" t="s">
        <v>4597</v>
      </c>
      <c r="AJ32" s="387" t="s">
        <v>4598</v>
      </c>
      <c r="AK32" t="e">
        <f t="shared" si="8"/>
        <v>#VALUE!</v>
      </c>
      <c r="CC32" s="1865" t="str">
        <f t="shared" si="9"/>
        <v xml:space="preserve">* El Número de Familias en Riesgo no puede superar el Total. </v>
      </c>
      <c r="CD32" s="1865" t="str">
        <f t="shared" si="0"/>
        <v xml:space="preserve">* La variable Pueblos Originarios no puede superar el Total. </v>
      </c>
      <c r="CE32" s="1865" t="str">
        <f t="shared" si="1"/>
        <v xml:space="preserve">* La variable Migrantes no puede superar el Total. </v>
      </c>
      <c r="CF32" s="1865" t="str">
        <f t="shared" si="17"/>
        <v xml:space="preserve">* La variable Espacios Amigables/ Adolescentes no puede superar el Total. </v>
      </c>
      <c r="CG32" s="1865" t="e">
        <f t="shared" si="3"/>
        <v>#VALUE!</v>
      </c>
      <c r="CH32" s="1865" t="str">
        <f t="shared" si="10"/>
        <v xml:space="preserve">* La suma de Niños, niñas, adolescentes y jóvenes SENAME no puede superar el Total. </v>
      </c>
      <c r="CI32" s="1865" t="str">
        <f t="shared" si="11"/>
        <v xml:space="preserve">* La suma de Niños, niñas, adolescentes y jóvenes Mejor Niñez no puede superar el Total. </v>
      </c>
      <c r="CL32" s="1937"/>
      <c r="CM32" s="1867">
        <f t="shared" si="12"/>
        <v>1</v>
      </c>
      <c r="CN32" s="1867">
        <f t="shared" si="15"/>
        <v>1</v>
      </c>
      <c r="CO32" s="1867">
        <f t="shared" si="16"/>
        <v>1</v>
      </c>
      <c r="CP32" s="1867">
        <f t="shared" si="18"/>
        <v>1</v>
      </c>
      <c r="CQ32" s="1867" t="e">
        <f t="shared" si="7"/>
        <v>#VALUE!</v>
      </c>
      <c r="CR32" s="3922">
        <f t="shared" si="13"/>
        <v>1</v>
      </c>
      <c r="CS32" s="3922">
        <f t="shared" si="14"/>
        <v>1</v>
      </c>
    </row>
    <row r="33" spans="1:97" s="19" customFormat="1" ht="15" customHeight="1" x14ac:dyDescent="0.25">
      <c r="A33" s="5818">
        <v>27290700</v>
      </c>
      <c r="B33" s="7431"/>
      <c r="C33" s="7619" t="s">
        <v>3181</v>
      </c>
      <c r="D33" s="7620"/>
      <c r="E33" s="1069" t="s">
        <v>4567</v>
      </c>
      <c r="F33" s="1070" t="s">
        <v>4568</v>
      </c>
      <c r="G33" s="4562" t="s">
        <v>4569</v>
      </c>
      <c r="H33" s="4562" t="s">
        <v>4570</v>
      </c>
      <c r="I33" s="4562" t="s">
        <v>4571</v>
      </c>
      <c r="J33" s="1071" t="s">
        <v>4572</v>
      </c>
      <c r="K33" s="1072" t="s">
        <v>4573</v>
      </c>
      <c r="L33" s="4562" t="s">
        <v>4574</v>
      </c>
      <c r="M33" s="4562" t="s">
        <v>4575</v>
      </c>
      <c r="N33" s="1073" t="s">
        <v>4576</v>
      </c>
      <c r="O33" s="1073" t="s">
        <v>4577</v>
      </c>
      <c r="P33" s="1073" t="s">
        <v>4578</v>
      </c>
      <c r="Q33" s="1073" t="s">
        <v>4579</v>
      </c>
      <c r="R33" s="1073" t="s">
        <v>4580</v>
      </c>
      <c r="S33" s="1073" t="s">
        <v>4581</v>
      </c>
      <c r="T33" s="1073" t="s">
        <v>4582</v>
      </c>
      <c r="U33" s="1073" t="s">
        <v>4583</v>
      </c>
      <c r="V33" s="1073" t="s">
        <v>4584</v>
      </c>
      <c r="W33" s="1073" t="s">
        <v>4585</v>
      </c>
      <c r="X33" s="1073" t="s">
        <v>4586</v>
      </c>
      <c r="Y33" s="1073" t="s">
        <v>4587</v>
      </c>
      <c r="Z33" s="4754" t="s">
        <v>4588</v>
      </c>
      <c r="AA33" s="4562" t="s">
        <v>4589</v>
      </c>
      <c r="AB33" s="1075" t="s">
        <v>4590</v>
      </c>
      <c r="AC33" s="4754" t="s">
        <v>4591</v>
      </c>
      <c r="AD33" s="4562" t="s">
        <v>4592</v>
      </c>
      <c r="AE33" s="4562" t="s">
        <v>4593</v>
      </c>
      <c r="AF33" s="1074" t="s">
        <v>4594</v>
      </c>
      <c r="AG33" s="1070" t="s">
        <v>4595</v>
      </c>
      <c r="AH33" s="1071" t="s">
        <v>4596</v>
      </c>
      <c r="AI33" s="1071" t="s">
        <v>4597</v>
      </c>
      <c r="AJ33" s="1071" t="s">
        <v>4598</v>
      </c>
      <c r="AK33" t="e">
        <f t="shared" si="8"/>
        <v>#VALUE!</v>
      </c>
      <c r="CC33" s="1865" t="str">
        <f t="shared" si="9"/>
        <v xml:space="preserve">* El Número de Familias en Riesgo no puede superar el Total. </v>
      </c>
      <c r="CD33" s="1865" t="str">
        <f t="shared" si="0"/>
        <v xml:space="preserve">* La variable Pueblos Originarios no puede superar el Total. </v>
      </c>
      <c r="CE33" s="1865" t="str">
        <f t="shared" si="1"/>
        <v xml:space="preserve">* La variable Migrantes no puede superar el Total. </v>
      </c>
      <c r="CF33" s="1865" t="str">
        <f t="shared" si="17"/>
        <v xml:space="preserve">* La variable Espacios Amigables/ Adolescentes no puede superar el Total. </v>
      </c>
      <c r="CG33" s="1865" t="e">
        <f t="shared" si="3"/>
        <v>#VALUE!</v>
      </c>
      <c r="CH33" s="1865" t="str">
        <f t="shared" si="10"/>
        <v xml:space="preserve">* La suma de Niños, niñas, adolescentes y jóvenes SENAME no puede superar el Total. </v>
      </c>
      <c r="CI33" s="1865" t="str">
        <f t="shared" si="11"/>
        <v xml:space="preserve">* La suma de Niños, niñas, adolescentes y jóvenes Mejor Niñez no puede superar el Total. </v>
      </c>
      <c r="CL33" s="1937"/>
      <c r="CM33" s="1867">
        <f t="shared" si="12"/>
        <v>1</v>
      </c>
      <c r="CN33" s="1867">
        <f t="shared" si="15"/>
        <v>1</v>
      </c>
      <c r="CO33" s="1867">
        <f t="shared" si="16"/>
        <v>1</v>
      </c>
      <c r="CP33" s="1867">
        <f t="shared" si="18"/>
        <v>1</v>
      </c>
      <c r="CQ33" s="1867" t="e">
        <f t="shared" si="7"/>
        <v>#VALUE!</v>
      </c>
      <c r="CR33" s="3922">
        <f t="shared" si="13"/>
        <v>1</v>
      </c>
      <c r="CS33" s="3922">
        <f t="shared" si="14"/>
        <v>1</v>
      </c>
    </row>
    <row r="34" spans="1:97" s="19" customFormat="1" ht="15" customHeight="1" x14ac:dyDescent="0.25">
      <c r="A34" s="5818">
        <v>27300919</v>
      </c>
      <c r="B34" s="7431"/>
      <c r="C34" s="7464" t="s">
        <v>3182</v>
      </c>
      <c r="D34" s="1784" t="s">
        <v>3183</v>
      </c>
      <c r="E34" s="295" t="s">
        <v>4567</v>
      </c>
      <c r="F34" s="290" t="s">
        <v>4568</v>
      </c>
      <c r="G34" s="531" t="s">
        <v>4569</v>
      </c>
      <c r="H34" s="531" t="s">
        <v>4570</v>
      </c>
      <c r="I34" s="531" t="s">
        <v>4571</v>
      </c>
      <c r="J34" s="107" t="s">
        <v>4572</v>
      </c>
      <c r="K34" s="22" t="s">
        <v>4573</v>
      </c>
      <c r="L34" s="531" t="s">
        <v>4574</v>
      </c>
      <c r="M34" s="531" t="s">
        <v>4575</v>
      </c>
      <c r="N34" s="714" t="s">
        <v>4576</v>
      </c>
      <c r="O34" s="714" t="s">
        <v>4577</v>
      </c>
      <c r="P34" s="714" t="s">
        <v>4578</v>
      </c>
      <c r="Q34" s="714" t="s">
        <v>4579</v>
      </c>
      <c r="R34" s="714" t="s">
        <v>4580</v>
      </c>
      <c r="S34" s="714" t="s">
        <v>4581</v>
      </c>
      <c r="T34" s="714" t="s">
        <v>4582</v>
      </c>
      <c r="U34" s="714" t="s">
        <v>4583</v>
      </c>
      <c r="V34" s="714" t="s">
        <v>4584</v>
      </c>
      <c r="W34" s="714" t="s">
        <v>4585</v>
      </c>
      <c r="X34" s="714" t="s">
        <v>4586</v>
      </c>
      <c r="Y34" s="714" t="s">
        <v>4587</v>
      </c>
      <c r="Z34" s="296" t="s">
        <v>4588</v>
      </c>
      <c r="AA34" s="531" t="s">
        <v>4589</v>
      </c>
      <c r="AB34" s="430" t="s">
        <v>4590</v>
      </c>
      <c r="AC34" s="296" t="s">
        <v>4591</v>
      </c>
      <c r="AD34" s="531" t="s">
        <v>4592</v>
      </c>
      <c r="AE34" s="531" t="s">
        <v>4593</v>
      </c>
      <c r="AF34" s="622" t="s">
        <v>4594</v>
      </c>
      <c r="AG34" s="290" t="s">
        <v>4595</v>
      </c>
      <c r="AH34" s="107" t="s">
        <v>4596</v>
      </c>
      <c r="AI34" s="107" t="s">
        <v>4597</v>
      </c>
      <c r="AJ34" s="107" t="s">
        <v>4598</v>
      </c>
      <c r="AK34" t="e">
        <f t="shared" si="8"/>
        <v>#VALUE!</v>
      </c>
      <c r="CC34" s="1865" t="str">
        <f t="shared" si="9"/>
        <v xml:space="preserve">* El Número de Familias en Riesgo no puede superar el Total. </v>
      </c>
      <c r="CD34" s="1865" t="str">
        <f t="shared" si="0"/>
        <v xml:space="preserve">* La variable Pueblos Originarios no puede superar el Total. </v>
      </c>
      <c r="CE34" s="1865" t="str">
        <f t="shared" si="1"/>
        <v xml:space="preserve">* La variable Migrantes no puede superar el Total. </v>
      </c>
      <c r="CF34" s="1865" t="str">
        <f t="shared" si="17"/>
        <v xml:space="preserve">* La variable Espacios Amigables/ Adolescentes no puede superar el Total. </v>
      </c>
      <c r="CG34" s="1865" t="e">
        <f t="shared" si="3"/>
        <v>#VALUE!</v>
      </c>
      <c r="CH34" s="1865" t="str">
        <f t="shared" si="10"/>
        <v xml:space="preserve">* La suma de Niños, niñas, adolescentes y jóvenes SENAME no puede superar el Total. </v>
      </c>
      <c r="CI34" s="1865" t="str">
        <f t="shared" si="11"/>
        <v xml:space="preserve">* La suma de Niños, niñas, adolescentes y jóvenes Mejor Niñez no puede superar el Total. </v>
      </c>
      <c r="CL34" s="1937"/>
      <c r="CM34" s="1867">
        <f t="shared" si="12"/>
        <v>1</v>
      </c>
      <c r="CN34" s="1867">
        <f t="shared" si="15"/>
        <v>1</v>
      </c>
      <c r="CO34" s="1867">
        <f t="shared" si="16"/>
        <v>1</v>
      </c>
      <c r="CP34" s="1867">
        <f t="shared" si="18"/>
        <v>1</v>
      </c>
      <c r="CQ34" s="1867" t="e">
        <f t="shared" si="7"/>
        <v>#VALUE!</v>
      </c>
      <c r="CR34" s="3922">
        <f t="shared" si="13"/>
        <v>1</v>
      </c>
      <c r="CS34" s="3922">
        <f t="shared" si="14"/>
        <v>1</v>
      </c>
    </row>
    <row r="35" spans="1:97" s="19" customFormat="1" ht="15" customHeight="1" x14ac:dyDescent="0.25">
      <c r="A35" s="5818">
        <v>27300920</v>
      </c>
      <c r="B35" s="7431"/>
      <c r="C35" s="7621"/>
      <c r="D35" s="4619" t="s">
        <v>3184</v>
      </c>
      <c r="E35" s="1162" t="s">
        <v>4567</v>
      </c>
      <c r="F35" s="1089" t="s">
        <v>4568</v>
      </c>
      <c r="G35" s="1253" t="s">
        <v>4569</v>
      </c>
      <c r="H35" s="1253" t="s">
        <v>4570</v>
      </c>
      <c r="I35" s="1253" t="s">
        <v>4571</v>
      </c>
      <c r="J35" s="1090" t="s">
        <v>4572</v>
      </c>
      <c r="K35" s="1091" t="s">
        <v>4573</v>
      </c>
      <c r="L35" s="1253" t="s">
        <v>4574</v>
      </c>
      <c r="M35" s="1253" t="s">
        <v>4575</v>
      </c>
      <c r="N35" s="1092" t="s">
        <v>4576</v>
      </c>
      <c r="O35" s="1092" t="s">
        <v>4577</v>
      </c>
      <c r="P35" s="1092" t="s">
        <v>4578</v>
      </c>
      <c r="Q35" s="1092" t="s">
        <v>4579</v>
      </c>
      <c r="R35" s="1092" t="s">
        <v>4580</v>
      </c>
      <c r="S35" s="1092" t="s">
        <v>4581</v>
      </c>
      <c r="T35" s="1092" t="s">
        <v>4582</v>
      </c>
      <c r="U35" s="1092" t="s">
        <v>4583</v>
      </c>
      <c r="V35" s="1092" t="s">
        <v>4584</v>
      </c>
      <c r="W35" s="1092" t="s">
        <v>4585</v>
      </c>
      <c r="X35" s="1092" t="s">
        <v>4586</v>
      </c>
      <c r="Y35" s="1092" t="s">
        <v>4587</v>
      </c>
      <c r="Z35" s="1299" t="s">
        <v>4588</v>
      </c>
      <c r="AA35" s="1253" t="s">
        <v>4589</v>
      </c>
      <c r="AB35" s="1095" t="s">
        <v>4590</v>
      </c>
      <c r="AC35" s="1299" t="s">
        <v>4591</v>
      </c>
      <c r="AD35" s="1253" t="s">
        <v>4592</v>
      </c>
      <c r="AE35" s="1253" t="s">
        <v>4593</v>
      </c>
      <c r="AF35" s="1093" t="s">
        <v>4594</v>
      </c>
      <c r="AG35" s="1089" t="s">
        <v>4595</v>
      </c>
      <c r="AH35" s="1090" t="s">
        <v>4596</v>
      </c>
      <c r="AI35" s="1090" t="s">
        <v>4597</v>
      </c>
      <c r="AJ35" s="1090" t="s">
        <v>4598</v>
      </c>
      <c r="AK35" t="e">
        <f t="shared" si="8"/>
        <v>#VALUE!</v>
      </c>
      <c r="CC35" s="1865" t="str">
        <f t="shared" si="9"/>
        <v xml:space="preserve">* El Número de Familias en Riesgo no puede superar el Total. </v>
      </c>
      <c r="CD35" s="1865" t="str">
        <f t="shared" si="0"/>
        <v xml:space="preserve">* La variable Pueblos Originarios no puede superar el Total. </v>
      </c>
      <c r="CE35" s="1865" t="str">
        <f t="shared" si="1"/>
        <v xml:space="preserve">* La variable Migrantes no puede superar el Total. </v>
      </c>
      <c r="CF35" s="1865" t="str">
        <f t="shared" si="17"/>
        <v xml:space="preserve">* La variable Espacios Amigables/ Adolescentes no puede superar el Total. </v>
      </c>
      <c r="CG35" s="1865" t="e">
        <f t="shared" si="3"/>
        <v>#VALUE!</v>
      </c>
      <c r="CH35" s="1865" t="str">
        <f t="shared" si="10"/>
        <v xml:space="preserve">* La suma de Niños, niñas, adolescentes y jóvenes SENAME no puede superar el Total. </v>
      </c>
      <c r="CI35" s="1865" t="str">
        <f t="shared" si="11"/>
        <v xml:space="preserve">* La suma de Niños, niñas, adolescentes y jóvenes Mejor Niñez no puede superar el Total. </v>
      </c>
      <c r="CL35" s="1937"/>
      <c r="CM35" s="1867">
        <f t="shared" si="12"/>
        <v>1</v>
      </c>
      <c r="CN35" s="1867">
        <f t="shared" si="15"/>
        <v>1</v>
      </c>
      <c r="CO35" s="1867">
        <f t="shared" si="16"/>
        <v>1</v>
      </c>
      <c r="CP35" s="1867">
        <f t="shared" si="18"/>
        <v>1</v>
      </c>
      <c r="CQ35" s="1867" t="e">
        <f t="shared" si="7"/>
        <v>#VALUE!</v>
      </c>
      <c r="CR35" s="3922">
        <f t="shared" si="13"/>
        <v>1</v>
      </c>
      <c r="CS35" s="3922">
        <f t="shared" si="14"/>
        <v>1</v>
      </c>
    </row>
    <row r="36" spans="1:97" s="19" customFormat="1" ht="15" customHeight="1" x14ac:dyDescent="0.25">
      <c r="A36" s="5818">
        <v>27300921</v>
      </c>
      <c r="B36" s="7431"/>
      <c r="C36" s="7313" t="s">
        <v>3185</v>
      </c>
      <c r="D36" s="7313"/>
      <c r="E36" s="1162" t="s">
        <v>4567</v>
      </c>
      <c r="F36" s="1089" t="s">
        <v>4568</v>
      </c>
      <c r="G36" s="1253" t="s">
        <v>4569</v>
      </c>
      <c r="H36" s="1253" t="s">
        <v>4570</v>
      </c>
      <c r="I36" s="1253" t="s">
        <v>4571</v>
      </c>
      <c r="J36" s="1090" t="s">
        <v>4572</v>
      </c>
      <c r="K36" s="1091" t="s">
        <v>4573</v>
      </c>
      <c r="L36" s="1253" t="s">
        <v>4574</v>
      </c>
      <c r="M36" s="1253" t="s">
        <v>4575</v>
      </c>
      <c r="N36" s="1092" t="s">
        <v>4576</v>
      </c>
      <c r="O36" s="1092" t="s">
        <v>4577</v>
      </c>
      <c r="P36" s="1092" t="s">
        <v>4578</v>
      </c>
      <c r="Q36" s="1092" t="s">
        <v>4579</v>
      </c>
      <c r="R36" s="1092" t="s">
        <v>4580</v>
      </c>
      <c r="S36" s="1092" t="s">
        <v>4581</v>
      </c>
      <c r="T36" s="1092" t="s">
        <v>4582</v>
      </c>
      <c r="U36" s="1092" t="s">
        <v>4583</v>
      </c>
      <c r="V36" s="1092" t="s">
        <v>4584</v>
      </c>
      <c r="W36" s="1092" t="s">
        <v>4585</v>
      </c>
      <c r="X36" s="1092" t="s">
        <v>4586</v>
      </c>
      <c r="Y36" s="1092" t="s">
        <v>4587</v>
      </c>
      <c r="Z36" s="1299" t="s">
        <v>4588</v>
      </c>
      <c r="AA36" s="1253" t="s">
        <v>4589</v>
      </c>
      <c r="AB36" s="1095" t="s">
        <v>4590</v>
      </c>
      <c r="AC36" s="1299" t="s">
        <v>4591</v>
      </c>
      <c r="AD36" s="1253" t="s">
        <v>4592</v>
      </c>
      <c r="AE36" s="1253" t="s">
        <v>4593</v>
      </c>
      <c r="AF36" s="1093" t="s">
        <v>4594</v>
      </c>
      <c r="AG36" s="1089" t="s">
        <v>4595</v>
      </c>
      <c r="AH36" s="1090" t="s">
        <v>4596</v>
      </c>
      <c r="AI36" s="1090" t="s">
        <v>4597</v>
      </c>
      <c r="AJ36" s="1090" t="s">
        <v>4598</v>
      </c>
      <c r="AK36" t="e">
        <f t="shared" si="8"/>
        <v>#VALUE!</v>
      </c>
      <c r="CC36" s="1865" t="str">
        <f t="shared" si="9"/>
        <v xml:space="preserve">* El Número de Familias en Riesgo no puede superar el Total. </v>
      </c>
      <c r="CD36" s="1865" t="str">
        <f t="shared" si="0"/>
        <v xml:space="preserve">* La variable Pueblos Originarios no puede superar el Total. </v>
      </c>
      <c r="CE36" s="1865" t="str">
        <f t="shared" si="1"/>
        <v xml:space="preserve">* La variable Migrantes no puede superar el Total. </v>
      </c>
      <c r="CF36" s="1865" t="str">
        <f t="shared" si="17"/>
        <v xml:space="preserve">* La variable Espacios Amigables/ Adolescentes no puede superar el Total. </v>
      </c>
      <c r="CG36" s="1865" t="e">
        <f t="shared" si="3"/>
        <v>#VALUE!</v>
      </c>
      <c r="CH36" s="1865" t="str">
        <f t="shared" si="10"/>
        <v xml:space="preserve">* La suma de Niños, niñas, adolescentes y jóvenes SENAME no puede superar el Total. </v>
      </c>
      <c r="CI36" s="1865" t="str">
        <f t="shared" si="11"/>
        <v xml:space="preserve">* La suma de Niños, niñas, adolescentes y jóvenes Mejor Niñez no puede superar el Total. </v>
      </c>
      <c r="CL36" s="1937"/>
      <c r="CM36" s="1867">
        <f t="shared" si="12"/>
        <v>1</v>
      </c>
      <c r="CN36" s="1867">
        <f t="shared" si="15"/>
        <v>1</v>
      </c>
      <c r="CO36" s="1867">
        <f t="shared" si="16"/>
        <v>1</v>
      </c>
      <c r="CP36" s="1867">
        <f t="shared" si="18"/>
        <v>1</v>
      </c>
      <c r="CQ36" s="1867" t="e">
        <f t="shared" si="7"/>
        <v>#VALUE!</v>
      </c>
      <c r="CR36" s="3922">
        <f t="shared" si="13"/>
        <v>1</v>
      </c>
      <c r="CS36" s="3922">
        <f t="shared" si="14"/>
        <v>1</v>
      </c>
    </row>
    <row r="37" spans="1:97" s="19" customFormat="1" ht="15" customHeight="1" x14ac:dyDescent="0.25">
      <c r="A37" s="5818">
        <v>27290301</v>
      </c>
      <c r="B37" s="7431"/>
      <c r="C37" s="6909" t="s">
        <v>3186</v>
      </c>
      <c r="D37" s="6910"/>
      <c r="E37" s="1162" t="s">
        <v>4567</v>
      </c>
      <c r="F37" s="1089" t="s">
        <v>4568</v>
      </c>
      <c r="G37" s="1253" t="s">
        <v>4569</v>
      </c>
      <c r="H37" s="1253" t="s">
        <v>4570</v>
      </c>
      <c r="I37" s="1253" t="s">
        <v>4571</v>
      </c>
      <c r="J37" s="1090" t="s">
        <v>4572</v>
      </c>
      <c r="K37" s="1091" t="s">
        <v>4573</v>
      </c>
      <c r="L37" s="1253" t="s">
        <v>4574</v>
      </c>
      <c r="M37" s="1253" t="s">
        <v>4575</v>
      </c>
      <c r="N37" s="1092" t="s">
        <v>4576</v>
      </c>
      <c r="O37" s="1092" t="s">
        <v>4577</v>
      </c>
      <c r="P37" s="1092" t="s">
        <v>4578</v>
      </c>
      <c r="Q37" s="1092" t="s">
        <v>4579</v>
      </c>
      <c r="R37" s="1092" t="s">
        <v>4580</v>
      </c>
      <c r="S37" s="1092" t="s">
        <v>4581</v>
      </c>
      <c r="T37" s="1092" t="s">
        <v>4582</v>
      </c>
      <c r="U37" s="1092" t="s">
        <v>4583</v>
      </c>
      <c r="V37" s="1092" t="s">
        <v>4584</v>
      </c>
      <c r="W37" s="1092" t="s">
        <v>4585</v>
      </c>
      <c r="X37" s="1092" t="s">
        <v>4586</v>
      </c>
      <c r="Y37" s="1092" t="s">
        <v>4587</v>
      </c>
      <c r="Z37" s="1299" t="s">
        <v>4588</v>
      </c>
      <c r="AA37" s="1253" t="s">
        <v>4589</v>
      </c>
      <c r="AB37" s="1095" t="s">
        <v>4590</v>
      </c>
      <c r="AC37" s="1299" t="s">
        <v>4591</v>
      </c>
      <c r="AD37" s="1253" t="s">
        <v>4592</v>
      </c>
      <c r="AE37" s="1253" t="s">
        <v>4593</v>
      </c>
      <c r="AF37" s="1093" t="s">
        <v>4594</v>
      </c>
      <c r="AG37" s="1089" t="s">
        <v>4595</v>
      </c>
      <c r="AH37" s="1090" t="s">
        <v>4596</v>
      </c>
      <c r="AI37" s="1090" t="s">
        <v>4597</v>
      </c>
      <c r="AJ37" s="1090" t="s">
        <v>4598</v>
      </c>
      <c r="AK37" t="e">
        <f t="shared" si="8"/>
        <v>#VALUE!</v>
      </c>
      <c r="CC37" s="1865" t="str">
        <f t="shared" si="9"/>
        <v xml:space="preserve">* El Número de Familias en Riesgo no puede superar el Total. </v>
      </c>
      <c r="CD37" s="1865" t="str">
        <f t="shared" si="0"/>
        <v xml:space="preserve">* La variable Pueblos Originarios no puede superar el Total. </v>
      </c>
      <c r="CE37" s="1865" t="str">
        <f t="shared" si="1"/>
        <v xml:space="preserve">* La variable Migrantes no puede superar el Total. </v>
      </c>
      <c r="CF37" s="1865" t="str">
        <f t="shared" si="17"/>
        <v xml:space="preserve">* La variable Espacios Amigables/ Adolescentes no puede superar el Total. </v>
      </c>
      <c r="CG37" s="1865" t="e">
        <f t="shared" si="3"/>
        <v>#VALUE!</v>
      </c>
      <c r="CH37" s="1865" t="str">
        <f t="shared" si="10"/>
        <v xml:space="preserve">* La suma de Niños, niñas, adolescentes y jóvenes SENAME no puede superar el Total. </v>
      </c>
      <c r="CI37" s="1865" t="str">
        <f t="shared" si="11"/>
        <v xml:space="preserve">* La suma de Niños, niñas, adolescentes y jóvenes Mejor Niñez no puede superar el Total. </v>
      </c>
      <c r="CL37" s="1937"/>
      <c r="CM37" s="1867">
        <f t="shared" si="12"/>
        <v>1</v>
      </c>
      <c r="CN37" s="1867">
        <f t="shared" si="15"/>
        <v>1</v>
      </c>
      <c r="CO37" s="1867">
        <f t="shared" si="16"/>
        <v>1</v>
      </c>
      <c r="CP37" s="1867">
        <f t="shared" si="18"/>
        <v>1</v>
      </c>
      <c r="CQ37" s="1867" t="e">
        <f t="shared" si="7"/>
        <v>#VALUE!</v>
      </c>
      <c r="CR37" s="3922">
        <f t="shared" si="13"/>
        <v>1</v>
      </c>
      <c r="CS37" s="3922">
        <f t="shared" si="14"/>
        <v>1</v>
      </c>
    </row>
    <row r="38" spans="1:97" s="19" customFormat="1" ht="15" customHeight="1" x14ac:dyDescent="0.25">
      <c r="A38" s="5818">
        <v>27400010</v>
      </c>
      <c r="B38" s="7431"/>
      <c r="C38" s="7341" t="s">
        <v>3187</v>
      </c>
      <c r="D38" s="7342"/>
      <c r="E38" s="195" t="s">
        <v>4567</v>
      </c>
      <c r="F38" s="3069" t="s">
        <v>4568</v>
      </c>
      <c r="G38" s="3064" t="s">
        <v>4569</v>
      </c>
      <c r="H38" s="3064" t="s">
        <v>4570</v>
      </c>
      <c r="I38" s="3064" t="s">
        <v>4571</v>
      </c>
      <c r="J38" s="1239" t="s">
        <v>4572</v>
      </c>
      <c r="K38" s="1091" t="s">
        <v>4573</v>
      </c>
      <c r="L38" s="1253" t="s">
        <v>4574</v>
      </c>
      <c r="M38" s="1253" t="s">
        <v>4575</v>
      </c>
      <c r="N38" s="1092" t="s">
        <v>4576</v>
      </c>
      <c r="O38" s="1092" t="s">
        <v>4577</v>
      </c>
      <c r="P38" s="1092" t="s">
        <v>4578</v>
      </c>
      <c r="Q38" s="1092" t="s">
        <v>4579</v>
      </c>
      <c r="R38" s="1092" t="s">
        <v>4580</v>
      </c>
      <c r="S38" s="1092" t="s">
        <v>4581</v>
      </c>
      <c r="T38" s="1092" t="s">
        <v>4582</v>
      </c>
      <c r="U38" s="4753" t="s">
        <v>4583</v>
      </c>
      <c r="V38" s="4753" t="s">
        <v>4584</v>
      </c>
      <c r="W38" s="4753" t="s">
        <v>4585</v>
      </c>
      <c r="X38" s="4753" t="s">
        <v>4586</v>
      </c>
      <c r="Y38" s="4753" t="s">
        <v>4587</v>
      </c>
      <c r="Z38" s="1299" t="s">
        <v>4588</v>
      </c>
      <c r="AA38" s="1253" t="s">
        <v>4589</v>
      </c>
      <c r="AB38" s="1095" t="s">
        <v>4590</v>
      </c>
      <c r="AC38" s="1299" t="s">
        <v>4591</v>
      </c>
      <c r="AD38" s="1253" t="s">
        <v>4592</v>
      </c>
      <c r="AE38" s="1253" t="s">
        <v>4593</v>
      </c>
      <c r="AF38" s="1093" t="s">
        <v>4594</v>
      </c>
      <c r="AG38" s="1089" t="s">
        <v>4595</v>
      </c>
      <c r="AH38" s="1090" t="s">
        <v>4596</v>
      </c>
      <c r="AI38" s="1090" t="s">
        <v>4597</v>
      </c>
      <c r="AJ38" s="1090" t="s">
        <v>4598</v>
      </c>
      <c r="AK38" t="e">
        <f t="shared" si="8"/>
        <v>#VALUE!</v>
      </c>
      <c r="CC38" s="1865" t="str">
        <f t="shared" si="9"/>
        <v xml:space="preserve">* El Número de Familias en Riesgo no puede superar el Total. </v>
      </c>
      <c r="CD38" s="1865" t="str">
        <f t="shared" si="0"/>
        <v xml:space="preserve">* La variable Pueblos Originarios no puede superar el Total. </v>
      </c>
      <c r="CE38" s="1865" t="str">
        <f t="shared" si="1"/>
        <v xml:space="preserve">* La variable Migrantes no puede superar el Total. </v>
      </c>
      <c r="CF38" s="1865" t="str">
        <f t="shared" si="17"/>
        <v xml:space="preserve">* La variable Espacios Amigables/ Adolescentes no puede superar el Total. </v>
      </c>
      <c r="CG38" s="1865" t="e">
        <f t="shared" si="3"/>
        <v>#VALUE!</v>
      </c>
      <c r="CH38" s="1865" t="str">
        <f t="shared" si="10"/>
        <v xml:space="preserve">* La suma de Niños, niñas, adolescentes y jóvenes SENAME no puede superar el Total. </v>
      </c>
      <c r="CI38" s="1865" t="str">
        <f t="shared" si="11"/>
        <v xml:space="preserve">* La suma de Niños, niñas, adolescentes y jóvenes Mejor Niñez no puede superar el Total. </v>
      </c>
      <c r="CL38" s="1937"/>
      <c r="CM38" s="1867">
        <f t="shared" si="12"/>
        <v>1</v>
      </c>
      <c r="CN38" s="1867">
        <f t="shared" si="15"/>
        <v>1</v>
      </c>
      <c r="CO38" s="1867">
        <f t="shared" si="16"/>
        <v>1</v>
      </c>
      <c r="CP38" s="1867">
        <f t="shared" si="18"/>
        <v>1</v>
      </c>
      <c r="CQ38" s="1867" t="e">
        <f t="shared" si="7"/>
        <v>#VALUE!</v>
      </c>
      <c r="CR38" s="3922">
        <f t="shared" si="13"/>
        <v>1</v>
      </c>
      <c r="CS38" s="3922">
        <f t="shared" si="14"/>
        <v>1</v>
      </c>
    </row>
    <row r="39" spans="1:97" s="19" customFormat="1" ht="15" customHeight="1" x14ac:dyDescent="0.25">
      <c r="A39" s="5818">
        <v>27281000</v>
      </c>
      <c r="B39" s="7431"/>
      <c r="C39" s="7602" t="s">
        <v>3188</v>
      </c>
      <c r="D39" s="7603"/>
      <c r="E39" s="193" t="s">
        <v>4567</v>
      </c>
      <c r="F39" s="192" t="s">
        <v>4568</v>
      </c>
      <c r="G39" s="580" t="s">
        <v>4569</v>
      </c>
      <c r="H39" s="580" t="s">
        <v>4570</v>
      </c>
      <c r="I39" s="580" t="s">
        <v>4571</v>
      </c>
      <c r="J39" s="2" t="s">
        <v>4572</v>
      </c>
      <c r="K39" s="481" t="s">
        <v>4573</v>
      </c>
      <c r="L39" s="580" t="s">
        <v>4574</v>
      </c>
      <c r="M39" s="580" t="s">
        <v>4575</v>
      </c>
      <c r="N39" s="1098" t="s">
        <v>4576</v>
      </c>
      <c r="O39" s="1098" t="s">
        <v>4577</v>
      </c>
      <c r="P39" s="1098" t="s">
        <v>4578</v>
      </c>
      <c r="Q39" s="1098" t="s">
        <v>4579</v>
      </c>
      <c r="R39" s="1098" t="s">
        <v>4580</v>
      </c>
      <c r="S39" s="1098" t="s">
        <v>4581</v>
      </c>
      <c r="T39" s="1098" t="s">
        <v>4582</v>
      </c>
      <c r="U39" s="1098" t="s">
        <v>4583</v>
      </c>
      <c r="V39" s="1098" t="s">
        <v>4584</v>
      </c>
      <c r="W39" s="1098" t="s">
        <v>4585</v>
      </c>
      <c r="X39" s="1098" t="s">
        <v>4586</v>
      </c>
      <c r="Y39" s="1098" t="s">
        <v>4587</v>
      </c>
      <c r="Z39" s="376" t="s">
        <v>4588</v>
      </c>
      <c r="AA39" s="580" t="s">
        <v>4589</v>
      </c>
      <c r="AB39" s="383" t="s">
        <v>4590</v>
      </c>
      <c r="AC39" s="376" t="s">
        <v>4591</v>
      </c>
      <c r="AD39" s="580" t="s">
        <v>4592</v>
      </c>
      <c r="AE39" s="580" t="s">
        <v>4593</v>
      </c>
      <c r="AF39" s="382" t="s">
        <v>4594</v>
      </c>
      <c r="AG39" s="192" t="s">
        <v>4595</v>
      </c>
      <c r="AH39" s="2" t="s">
        <v>4596</v>
      </c>
      <c r="AI39" s="2" t="s">
        <v>4597</v>
      </c>
      <c r="AJ39" s="2" t="s">
        <v>4598</v>
      </c>
      <c r="AK39" t="e">
        <f t="shared" si="8"/>
        <v>#VALUE!</v>
      </c>
      <c r="CC39" s="1865" t="str">
        <f t="shared" si="9"/>
        <v xml:space="preserve">* El Número de Familias en Riesgo no puede superar el Total. </v>
      </c>
      <c r="CD39" s="1865" t="str">
        <f t="shared" si="0"/>
        <v xml:space="preserve">* La variable Pueblos Originarios no puede superar el Total. </v>
      </c>
      <c r="CE39" s="1865" t="str">
        <f t="shared" si="1"/>
        <v xml:space="preserve">* La variable Migrantes no puede superar el Total. </v>
      </c>
      <c r="CF39" s="1865" t="str">
        <f t="shared" si="17"/>
        <v xml:space="preserve">* La variable Espacios Amigables/ Adolescentes no puede superar el Total. </v>
      </c>
      <c r="CG39" s="1865" t="e">
        <f t="shared" si="3"/>
        <v>#VALUE!</v>
      </c>
      <c r="CH39" s="1865" t="str">
        <f t="shared" si="10"/>
        <v xml:space="preserve">* La suma de Niños, niñas, adolescentes y jóvenes SENAME no puede superar el Total. </v>
      </c>
      <c r="CI39" s="1865" t="str">
        <f t="shared" si="11"/>
        <v xml:space="preserve">* La suma de Niños, niñas, adolescentes y jóvenes Mejor Niñez no puede superar el Total. </v>
      </c>
      <c r="CL39" s="1937"/>
      <c r="CM39" s="1867">
        <f t="shared" si="12"/>
        <v>1</v>
      </c>
      <c r="CN39" s="1867">
        <f t="shared" si="15"/>
        <v>1</v>
      </c>
      <c r="CO39" s="1867">
        <f t="shared" si="16"/>
        <v>1</v>
      </c>
      <c r="CP39" s="1867">
        <f t="shared" si="18"/>
        <v>1</v>
      </c>
      <c r="CQ39" s="1867" t="e">
        <f t="shared" si="7"/>
        <v>#VALUE!</v>
      </c>
      <c r="CR39" s="3922">
        <f t="shared" si="13"/>
        <v>1</v>
      </c>
      <c r="CS39" s="3922">
        <f t="shared" si="14"/>
        <v>1</v>
      </c>
    </row>
    <row r="40" spans="1:97" s="19" customFormat="1" ht="15" customHeight="1" x14ac:dyDescent="0.25">
      <c r="A40" s="5818">
        <v>27281100</v>
      </c>
      <c r="B40" s="7431"/>
      <c r="C40" s="7328" t="s">
        <v>3189</v>
      </c>
      <c r="D40" s="4755" t="s">
        <v>3190</v>
      </c>
      <c r="E40" s="1159" t="s">
        <v>4567</v>
      </c>
      <c r="F40" s="1441" t="s">
        <v>4568</v>
      </c>
      <c r="G40" s="3368" t="s">
        <v>4569</v>
      </c>
      <c r="H40" s="3368" t="s">
        <v>4570</v>
      </c>
      <c r="I40" s="3368" t="s">
        <v>4571</v>
      </c>
      <c r="J40" s="1442" t="s">
        <v>4572</v>
      </c>
      <c r="K40" s="4612" t="s">
        <v>4573</v>
      </c>
      <c r="L40" s="3368" t="s">
        <v>4574</v>
      </c>
      <c r="M40" s="3368" t="s">
        <v>4575</v>
      </c>
      <c r="N40" s="3368" t="s">
        <v>4576</v>
      </c>
      <c r="O40" s="3368" t="s">
        <v>4577</v>
      </c>
      <c r="P40" s="3368" t="s">
        <v>4578</v>
      </c>
      <c r="Q40" s="3368" t="s">
        <v>4579</v>
      </c>
      <c r="R40" s="3368" t="s">
        <v>4580</v>
      </c>
      <c r="S40" s="3368" t="s">
        <v>4581</v>
      </c>
      <c r="T40" s="3368" t="s">
        <v>4582</v>
      </c>
      <c r="U40" s="3368" t="s">
        <v>4583</v>
      </c>
      <c r="V40" s="1084" t="s">
        <v>4584</v>
      </c>
      <c r="W40" s="1084" t="s">
        <v>4585</v>
      </c>
      <c r="X40" s="1084" t="s">
        <v>4586</v>
      </c>
      <c r="Y40" s="1084" t="s">
        <v>4587</v>
      </c>
      <c r="Z40" s="4575" t="s">
        <v>4588</v>
      </c>
      <c r="AA40" s="3368" t="s">
        <v>4589</v>
      </c>
      <c r="AB40" s="820" t="s">
        <v>4590</v>
      </c>
      <c r="AC40" s="1299" t="s">
        <v>4591</v>
      </c>
      <c r="AD40" s="1253" t="s">
        <v>4592</v>
      </c>
      <c r="AE40" s="1253" t="s">
        <v>4593</v>
      </c>
      <c r="AF40" s="1093" t="s">
        <v>4594</v>
      </c>
      <c r="AG40" s="1089" t="s">
        <v>4595</v>
      </c>
      <c r="AH40" s="1090" t="s">
        <v>4596</v>
      </c>
      <c r="AI40" s="1090" t="s">
        <v>4597</v>
      </c>
      <c r="AJ40" s="1090" t="s">
        <v>4598</v>
      </c>
      <c r="AK40" t="e">
        <f t="shared" si="8"/>
        <v>#VALUE!</v>
      </c>
      <c r="CC40" s="1865" t="str">
        <f t="shared" si="9"/>
        <v xml:space="preserve">* El Número de Familias en Riesgo no puede superar el Total. </v>
      </c>
      <c r="CD40" s="1865" t="str">
        <f t="shared" si="0"/>
        <v xml:space="preserve">* La variable Pueblos Originarios no puede superar el Total. </v>
      </c>
      <c r="CE40" s="1865" t="str">
        <f t="shared" si="1"/>
        <v xml:space="preserve">* La variable Migrantes no puede superar el Total. </v>
      </c>
      <c r="CF40" s="1865" t="str">
        <f t="shared" si="17"/>
        <v xml:space="preserve">* La variable Espacios Amigables/ Adolescentes no puede superar el Total. </v>
      </c>
      <c r="CG40" s="1865" t="e">
        <f t="shared" si="3"/>
        <v>#VALUE!</v>
      </c>
      <c r="CH40" s="1865" t="str">
        <f t="shared" si="10"/>
        <v xml:space="preserve">* La suma de Niños, niñas, adolescentes y jóvenes SENAME no puede superar el Total. </v>
      </c>
      <c r="CI40" s="1865" t="str">
        <f t="shared" si="11"/>
        <v xml:space="preserve">* La suma de Niños, niñas, adolescentes y jóvenes Mejor Niñez no puede superar el Total. </v>
      </c>
      <c r="CL40" s="1937"/>
      <c r="CM40" s="1867">
        <f t="shared" si="12"/>
        <v>1</v>
      </c>
      <c r="CN40" s="1867">
        <f t="shared" si="15"/>
        <v>1</v>
      </c>
      <c r="CO40" s="1867">
        <f t="shared" si="16"/>
        <v>1</v>
      </c>
      <c r="CP40" s="1867">
        <f t="shared" si="18"/>
        <v>1</v>
      </c>
      <c r="CQ40" s="1867" t="e">
        <f t="shared" si="7"/>
        <v>#VALUE!</v>
      </c>
      <c r="CR40" s="3922">
        <f t="shared" si="13"/>
        <v>1</v>
      </c>
      <c r="CS40" s="3922">
        <f t="shared" si="14"/>
        <v>1</v>
      </c>
    </row>
    <row r="41" spans="1:97" s="19" customFormat="1" ht="15" customHeight="1" x14ac:dyDescent="0.25">
      <c r="A41" s="5818">
        <v>27281200</v>
      </c>
      <c r="B41" s="7431"/>
      <c r="C41" s="6112"/>
      <c r="D41" s="4756" t="s">
        <v>3191</v>
      </c>
      <c r="E41" s="1162" t="s">
        <v>4567</v>
      </c>
      <c r="F41" s="3069" t="s">
        <v>4568</v>
      </c>
      <c r="G41" s="3064" t="s">
        <v>4569</v>
      </c>
      <c r="H41" s="3064" t="s">
        <v>4570</v>
      </c>
      <c r="I41" s="3064" t="s">
        <v>4571</v>
      </c>
      <c r="J41" s="1239" t="s">
        <v>4572</v>
      </c>
      <c r="K41" s="4746" t="s">
        <v>4573</v>
      </c>
      <c r="L41" s="3064" t="s">
        <v>4574</v>
      </c>
      <c r="M41" s="3064" t="s">
        <v>4575</v>
      </c>
      <c r="N41" s="3064" t="s">
        <v>4576</v>
      </c>
      <c r="O41" s="3064" t="s">
        <v>4577</v>
      </c>
      <c r="P41" s="3064" t="s">
        <v>4578</v>
      </c>
      <c r="Q41" s="3064" t="s">
        <v>4579</v>
      </c>
      <c r="R41" s="3064" t="s">
        <v>4580</v>
      </c>
      <c r="S41" s="3064" t="s">
        <v>4581</v>
      </c>
      <c r="T41" s="3064" t="s">
        <v>4582</v>
      </c>
      <c r="U41" s="3064" t="s">
        <v>4583</v>
      </c>
      <c r="V41" s="1092" t="s">
        <v>4584</v>
      </c>
      <c r="W41" s="1092" t="s">
        <v>4585</v>
      </c>
      <c r="X41" s="1092" t="s">
        <v>4586</v>
      </c>
      <c r="Y41" s="1092" t="s">
        <v>4587</v>
      </c>
      <c r="Z41" s="3748" t="s">
        <v>4588</v>
      </c>
      <c r="AA41" s="3064" t="s">
        <v>4589</v>
      </c>
      <c r="AB41" s="3065" t="s">
        <v>4590</v>
      </c>
      <c r="AC41" s="1299" t="s">
        <v>4591</v>
      </c>
      <c r="AD41" s="1253" t="s">
        <v>4592</v>
      </c>
      <c r="AE41" s="1253" t="s">
        <v>4593</v>
      </c>
      <c r="AF41" s="1093" t="s">
        <v>4594</v>
      </c>
      <c r="AG41" s="1089" t="s">
        <v>4595</v>
      </c>
      <c r="AH41" s="1090" t="s">
        <v>4596</v>
      </c>
      <c r="AI41" s="1090" t="s">
        <v>4597</v>
      </c>
      <c r="AJ41" s="1090" t="s">
        <v>4598</v>
      </c>
      <c r="AK41" t="e">
        <f t="shared" si="8"/>
        <v>#VALUE!</v>
      </c>
      <c r="CC41" s="1865" t="str">
        <f t="shared" si="9"/>
        <v xml:space="preserve">* El Número de Familias en Riesgo no puede superar el Total. </v>
      </c>
      <c r="CD41" s="1865" t="str">
        <f t="shared" si="0"/>
        <v xml:space="preserve">* La variable Pueblos Originarios no puede superar el Total. </v>
      </c>
      <c r="CE41" s="1865" t="str">
        <f t="shared" si="1"/>
        <v xml:space="preserve">* La variable Migrantes no puede superar el Total. </v>
      </c>
      <c r="CF41" s="1865" t="str">
        <f t="shared" si="17"/>
        <v xml:space="preserve">* La variable Espacios Amigables/ Adolescentes no puede superar el Total. </v>
      </c>
      <c r="CG41" s="1865" t="e">
        <f t="shared" si="3"/>
        <v>#VALUE!</v>
      </c>
      <c r="CH41" s="1865" t="str">
        <f t="shared" si="10"/>
        <v xml:space="preserve">* La suma de Niños, niñas, adolescentes y jóvenes SENAME no puede superar el Total. </v>
      </c>
      <c r="CI41" s="1865" t="str">
        <f t="shared" si="11"/>
        <v xml:space="preserve">* La suma de Niños, niñas, adolescentes y jóvenes Mejor Niñez no puede superar el Total. </v>
      </c>
      <c r="CL41" s="1937"/>
      <c r="CM41" s="1867">
        <f t="shared" si="12"/>
        <v>1</v>
      </c>
      <c r="CN41" s="1867">
        <f t="shared" si="15"/>
        <v>1</v>
      </c>
      <c r="CO41" s="1867">
        <f t="shared" si="16"/>
        <v>1</v>
      </c>
      <c r="CP41" s="1867">
        <f t="shared" si="18"/>
        <v>1</v>
      </c>
      <c r="CQ41" s="1867" t="e">
        <f t="shared" si="7"/>
        <v>#VALUE!</v>
      </c>
      <c r="CR41" s="3922">
        <f t="shared" si="13"/>
        <v>1</v>
      </c>
      <c r="CS41" s="3922">
        <f t="shared" si="14"/>
        <v>1</v>
      </c>
    </row>
    <row r="42" spans="1:97" s="19" customFormat="1" ht="15" customHeight="1" x14ac:dyDescent="0.25">
      <c r="A42" s="5818">
        <v>27281300</v>
      </c>
      <c r="B42" s="7431"/>
      <c r="C42" s="6112"/>
      <c r="D42" s="1401" t="s">
        <v>3192</v>
      </c>
      <c r="E42" s="1162" t="s">
        <v>4567</v>
      </c>
      <c r="F42" s="3069" t="s">
        <v>4568</v>
      </c>
      <c r="G42" s="3064" t="s">
        <v>4569</v>
      </c>
      <c r="H42" s="3064" t="s">
        <v>4570</v>
      </c>
      <c r="I42" s="3064" t="s">
        <v>4571</v>
      </c>
      <c r="J42" s="1239" t="s">
        <v>4572</v>
      </c>
      <c r="K42" s="4746" t="s">
        <v>4573</v>
      </c>
      <c r="L42" s="3064" t="s">
        <v>4574</v>
      </c>
      <c r="M42" s="3064" t="s">
        <v>4575</v>
      </c>
      <c r="N42" s="3064" t="s">
        <v>4576</v>
      </c>
      <c r="O42" s="3064" t="s">
        <v>4577</v>
      </c>
      <c r="P42" s="3064" t="s">
        <v>4578</v>
      </c>
      <c r="Q42" s="3064" t="s">
        <v>4579</v>
      </c>
      <c r="R42" s="3064" t="s">
        <v>4580</v>
      </c>
      <c r="S42" s="3064" t="s">
        <v>4581</v>
      </c>
      <c r="T42" s="3064" t="s">
        <v>4582</v>
      </c>
      <c r="U42" s="3064" t="s">
        <v>4583</v>
      </c>
      <c r="V42" s="1092" t="s">
        <v>4584</v>
      </c>
      <c r="W42" s="1092" t="s">
        <v>4585</v>
      </c>
      <c r="X42" s="1092" t="s">
        <v>4586</v>
      </c>
      <c r="Y42" s="1092" t="s">
        <v>4587</v>
      </c>
      <c r="Z42" s="3748" t="s">
        <v>4588</v>
      </c>
      <c r="AA42" s="3064" t="s">
        <v>4589</v>
      </c>
      <c r="AB42" s="3065" t="s">
        <v>4590</v>
      </c>
      <c r="AC42" s="1299" t="s">
        <v>4591</v>
      </c>
      <c r="AD42" s="1253" t="s">
        <v>4592</v>
      </c>
      <c r="AE42" s="1253" t="s">
        <v>4593</v>
      </c>
      <c r="AF42" s="1093" t="s">
        <v>4594</v>
      </c>
      <c r="AG42" s="1089" t="s">
        <v>4595</v>
      </c>
      <c r="AH42" s="1090" t="s">
        <v>4596</v>
      </c>
      <c r="AI42" s="1090" t="s">
        <v>4597</v>
      </c>
      <c r="AJ42" s="1090" t="s">
        <v>4598</v>
      </c>
      <c r="AK42" t="e">
        <f t="shared" si="8"/>
        <v>#VALUE!</v>
      </c>
      <c r="CC42" s="1865" t="str">
        <f t="shared" si="9"/>
        <v xml:space="preserve">* El Número de Familias en Riesgo no puede superar el Total. </v>
      </c>
      <c r="CD42" s="1865" t="str">
        <f t="shared" si="0"/>
        <v xml:space="preserve">* La variable Pueblos Originarios no puede superar el Total. </v>
      </c>
      <c r="CE42" s="1865" t="str">
        <f t="shared" si="1"/>
        <v xml:space="preserve">* La variable Migrantes no puede superar el Total. </v>
      </c>
      <c r="CF42" s="1865" t="str">
        <f t="shared" si="17"/>
        <v xml:space="preserve">* La variable Espacios Amigables/ Adolescentes no puede superar el Total. </v>
      </c>
      <c r="CG42" s="1865" t="e">
        <f t="shared" si="3"/>
        <v>#VALUE!</v>
      </c>
      <c r="CH42" s="1865" t="str">
        <f t="shared" si="10"/>
        <v xml:space="preserve">* La suma de Niños, niñas, adolescentes y jóvenes SENAME no puede superar el Total. </v>
      </c>
      <c r="CI42" s="1865" t="str">
        <f t="shared" si="11"/>
        <v xml:space="preserve">* La suma de Niños, niñas, adolescentes y jóvenes Mejor Niñez no puede superar el Total. </v>
      </c>
      <c r="CL42" s="1937"/>
      <c r="CM42" s="1867">
        <f t="shared" si="12"/>
        <v>1</v>
      </c>
      <c r="CN42" s="1867">
        <f t="shared" si="15"/>
        <v>1</v>
      </c>
      <c r="CO42" s="1867">
        <f t="shared" si="16"/>
        <v>1</v>
      </c>
      <c r="CP42" s="1867">
        <f t="shared" si="18"/>
        <v>1</v>
      </c>
      <c r="CQ42" s="1867" t="e">
        <f t="shared" si="7"/>
        <v>#VALUE!</v>
      </c>
      <c r="CR42" s="3922">
        <f t="shared" si="13"/>
        <v>1</v>
      </c>
      <c r="CS42" s="3922">
        <f t="shared" si="14"/>
        <v>1</v>
      </c>
    </row>
    <row r="43" spans="1:97" s="19" customFormat="1" ht="15" customHeight="1" x14ac:dyDescent="0.25">
      <c r="A43" s="5818">
        <v>29101562</v>
      </c>
      <c r="B43" s="7431"/>
      <c r="C43" s="6112"/>
      <c r="D43" s="4757" t="s">
        <v>3193</v>
      </c>
      <c r="E43" s="1162" t="s">
        <v>4567</v>
      </c>
      <c r="F43" s="3069" t="s">
        <v>4568</v>
      </c>
      <c r="G43" s="3064" t="s">
        <v>4569</v>
      </c>
      <c r="H43" s="3064" t="s">
        <v>4570</v>
      </c>
      <c r="I43" s="3064" t="s">
        <v>4571</v>
      </c>
      <c r="J43" s="1239" t="s">
        <v>4572</v>
      </c>
      <c r="K43" s="4746" t="s">
        <v>4573</v>
      </c>
      <c r="L43" s="3064" t="s">
        <v>4574</v>
      </c>
      <c r="M43" s="3064" t="s">
        <v>4575</v>
      </c>
      <c r="N43" s="4753" t="s">
        <v>4576</v>
      </c>
      <c r="O43" s="4753" t="s">
        <v>4577</v>
      </c>
      <c r="P43" s="4753" t="s">
        <v>4578</v>
      </c>
      <c r="Q43" s="4753" t="s">
        <v>4579</v>
      </c>
      <c r="R43" s="4753" t="s">
        <v>4580</v>
      </c>
      <c r="S43" s="4753" t="s">
        <v>4581</v>
      </c>
      <c r="T43" s="4753" t="s">
        <v>4582</v>
      </c>
      <c r="U43" s="4753" t="s">
        <v>4583</v>
      </c>
      <c r="V43" s="1092" t="s">
        <v>4584</v>
      </c>
      <c r="W43" s="1092" t="s">
        <v>4585</v>
      </c>
      <c r="X43" s="1092" t="s">
        <v>4586</v>
      </c>
      <c r="Y43" s="1092" t="s">
        <v>4587</v>
      </c>
      <c r="Z43" s="3748" t="s">
        <v>4588</v>
      </c>
      <c r="AA43" s="3064" t="s">
        <v>4589</v>
      </c>
      <c r="AB43" s="3065" t="s">
        <v>4590</v>
      </c>
      <c r="AC43" s="1299" t="s">
        <v>4591</v>
      </c>
      <c r="AD43" s="1253" t="s">
        <v>4592</v>
      </c>
      <c r="AE43" s="1253" t="s">
        <v>4593</v>
      </c>
      <c r="AF43" s="1093" t="s">
        <v>4594</v>
      </c>
      <c r="AG43" s="1089" t="s">
        <v>4595</v>
      </c>
      <c r="AH43" s="1090" t="s">
        <v>4596</v>
      </c>
      <c r="AI43" s="1090" t="s">
        <v>4597</v>
      </c>
      <c r="AJ43" s="1090" t="s">
        <v>4598</v>
      </c>
      <c r="AK43" t="e">
        <f t="shared" si="8"/>
        <v>#VALUE!</v>
      </c>
      <c r="CC43" s="1865" t="str">
        <f t="shared" si="9"/>
        <v xml:space="preserve">* El Número de Familias en Riesgo no puede superar el Total. </v>
      </c>
      <c r="CD43" s="1865" t="str">
        <f t="shared" si="0"/>
        <v xml:space="preserve">* La variable Pueblos Originarios no puede superar el Total. </v>
      </c>
      <c r="CE43" s="1865" t="str">
        <f t="shared" si="1"/>
        <v xml:space="preserve">* La variable Migrantes no puede superar el Total. </v>
      </c>
      <c r="CF43" s="1865" t="str">
        <f t="shared" si="17"/>
        <v xml:space="preserve">* La variable Espacios Amigables/ Adolescentes no puede superar el Total. </v>
      </c>
      <c r="CG43" s="1865" t="e">
        <f t="shared" si="3"/>
        <v>#VALUE!</v>
      </c>
      <c r="CH43" s="1865" t="str">
        <f t="shared" si="10"/>
        <v xml:space="preserve">* La suma de Niños, niñas, adolescentes y jóvenes SENAME no puede superar el Total. </v>
      </c>
      <c r="CI43" s="1865" t="str">
        <f t="shared" si="11"/>
        <v xml:space="preserve">* La suma de Niños, niñas, adolescentes y jóvenes Mejor Niñez no puede superar el Total. </v>
      </c>
      <c r="CL43" s="1937"/>
      <c r="CM43" s="1867">
        <f t="shared" si="12"/>
        <v>1</v>
      </c>
      <c r="CN43" s="1867">
        <f t="shared" si="15"/>
        <v>1</v>
      </c>
      <c r="CO43" s="1867">
        <f t="shared" si="16"/>
        <v>1</v>
      </c>
      <c r="CP43" s="1867">
        <f t="shared" si="18"/>
        <v>1</v>
      </c>
      <c r="CQ43" s="1867" t="e">
        <f t="shared" si="7"/>
        <v>#VALUE!</v>
      </c>
      <c r="CR43" s="3922">
        <f t="shared" si="13"/>
        <v>1</v>
      </c>
      <c r="CS43" s="3922">
        <f t="shared" si="14"/>
        <v>1</v>
      </c>
    </row>
    <row r="44" spans="1:97" s="19" customFormat="1" ht="15" customHeight="1" x14ac:dyDescent="0.25">
      <c r="A44" s="5818">
        <v>29101563</v>
      </c>
      <c r="B44" s="7431"/>
      <c r="C44" s="6112"/>
      <c r="D44" s="4758" t="s">
        <v>3194</v>
      </c>
      <c r="E44" s="193" t="s">
        <v>4567</v>
      </c>
      <c r="F44" s="109" t="s">
        <v>4568</v>
      </c>
      <c r="G44" s="287" t="s">
        <v>4569</v>
      </c>
      <c r="H44" s="287" t="s">
        <v>4570</v>
      </c>
      <c r="I44" s="287" t="s">
        <v>4571</v>
      </c>
      <c r="J44" s="72" t="s">
        <v>4572</v>
      </c>
      <c r="K44" s="4759" t="s">
        <v>4573</v>
      </c>
      <c r="L44" s="287" t="s">
        <v>4574</v>
      </c>
      <c r="M44" s="287" t="s">
        <v>4575</v>
      </c>
      <c r="N44" s="4736" t="s">
        <v>4576</v>
      </c>
      <c r="O44" s="4736" t="s">
        <v>4577</v>
      </c>
      <c r="P44" s="4736" t="s">
        <v>4578</v>
      </c>
      <c r="Q44" s="4736" t="s">
        <v>4579</v>
      </c>
      <c r="R44" s="4736" t="s">
        <v>4580</v>
      </c>
      <c r="S44" s="4736" t="s">
        <v>4581</v>
      </c>
      <c r="T44" s="4736" t="s">
        <v>4582</v>
      </c>
      <c r="U44" s="4736" t="s">
        <v>4583</v>
      </c>
      <c r="V44" s="3099" t="s">
        <v>4584</v>
      </c>
      <c r="W44" s="3099" t="s">
        <v>4585</v>
      </c>
      <c r="X44" s="3099" t="s">
        <v>4586</v>
      </c>
      <c r="Y44" s="3099" t="s">
        <v>4587</v>
      </c>
      <c r="Z44" s="4585" t="s">
        <v>4588</v>
      </c>
      <c r="AA44" s="287" t="s">
        <v>4589</v>
      </c>
      <c r="AB44" s="4744" t="s">
        <v>4590</v>
      </c>
      <c r="AC44" s="74" t="s">
        <v>4591</v>
      </c>
      <c r="AD44" s="242" t="s">
        <v>4592</v>
      </c>
      <c r="AE44" s="242" t="s">
        <v>4593</v>
      </c>
      <c r="AF44" s="95" t="s">
        <v>4594</v>
      </c>
      <c r="AG44" s="47" t="s">
        <v>4595</v>
      </c>
      <c r="AH44" s="42" t="s">
        <v>4596</v>
      </c>
      <c r="AI44" s="42" t="s">
        <v>4597</v>
      </c>
      <c r="AJ44" s="42" t="s">
        <v>4598</v>
      </c>
      <c r="AK44" t="e">
        <f t="shared" si="8"/>
        <v>#VALUE!</v>
      </c>
      <c r="CC44" s="1865" t="str">
        <f t="shared" si="9"/>
        <v xml:space="preserve">* El Número de Familias en Riesgo no puede superar el Total. </v>
      </c>
      <c r="CD44" s="1865" t="str">
        <f t="shared" si="0"/>
        <v xml:space="preserve">* La variable Pueblos Originarios no puede superar el Total. </v>
      </c>
      <c r="CE44" s="1865" t="str">
        <f t="shared" si="1"/>
        <v xml:space="preserve">* La variable Migrantes no puede superar el Total. </v>
      </c>
      <c r="CF44" s="1865" t="str">
        <f t="shared" si="17"/>
        <v xml:space="preserve">* La variable Espacios Amigables/ Adolescentes no puede superar el Total. </v>
      </c>
      <c r="CG44" s="1865" t="e">
        <f t="shared" si="3"/>
        <v>#VALUE!</v>
      </c>
      <c r="CH44" s="1865" t="str">
        <f t="shared" si="10"/>
        <v xml:space="preserve">* La suma de Niños, niñas, adolescentes y jóvenes SENAME no puede superar el Total. </v>
      </c>
      <c r="CI44" s="1865" t="str">
        <f t="shared" si="11"/>
        <v xml:space="preserve">* La suma de Niños, niñas, adolescentes y jóvenes Mejor Niñez no puede superar el Total. </v>
      </c>
      <c r="CL44" s="1937"/>
      <c r="CM44" s="1867">
        <f t="shared" si="12"/>
        <v>1</v>
      </c>
      <c r="CN44" s="1867">
        <f t="shared" si="15"/>
        <v>1</v>
      </c>
      <c r="CO44" s="1867">
        <f t="shared" si="16"/>
        <v>1</v>
      </c>
      <c r="CP44" s="1867">
        <f t="shared" si="18"/>
        <v>1</v>
      </c>
      <c r="CQ44" s="1867" t="e">
        <f t="shared" si="7"/>
        <v>#VALUE!</v>
      </c>
      <c r="CR44" s="3922">
        <f t="shared" si="13"/>
        <v>1</v>
      </c>
      <c r="CS44" s="3922">
        <f t="shared" si="14"/>
        <v>1</v>
      </c>
    </row>
    <row r="45" spans="1:97" s="19" customFormat="1" ht="15" customHeight="1" x14ac:dyDescent="0.25">
      <c r="A45" s="5818">
        <v>27300906</v>
      </c>
      <c r="B45" s="7431"/>
      <c r="C45" s="7610" t="s">
        <v>3195</v>
      </c>
      <c r="D45" s="7611"/>
      <c r="E45" s="1159" t="s">
        <v>4567</v>
      </c>
      <c r="F45" s="1081" t="s">
        <v>4568</v>
      </c>
      <c r="G45" s="750" t="s">
        <v>4569</v>
      </c>
      <c r="H45" s="750" t="s">
        <v>4570</v>
      </c>
      <c r="I45" s="750" t="s">
        <v>4571</v>
      </c>
      <c r="J45" s="1082" t="s">
        <v>4572</v>
      </c>
      <c r="K45" s="1083" t="s">
        <v>4573</v>
      </c>
      <c r="L45" s="750" t="s">
        <v>4574</v>
      </c>
      <c r="M45" s="750" t="s">
        <v>4575</v>
      </c>
      <c r="N45" s="1084" t="s">
        <v>4576</v>
      </c>
      <c r="O45" s="1084" t="s">
        <v>4577</v>
      </c>
      <c r="P45" s="1084" t="s">
        <v>4578</v>
      </c>
      <c r="Q45" s="1084" t="s">
        <v>4579</v>
      </c>
      <c r="R45" s="1084" t="s">
        <v>4580</v>
      </c>
      <c r="S45" s="1084" t="s">
        <v>4581</v>
      </c>
      <c r="T45" s="1084" t="s">
        <v>4582</v>
      </c>
      <c r="U45" s="1084" t="s">
        <v>4583</v>
      </c>
      <c r="V45" s="1084" t="s">
        <v>4584</v>
      </c>
      <c r="W45" s="1084" t="s">
        <v>4585</v>
      </c>
      <c r="X45" s="1084" t="s">
        <v>4586</v>
      </c>
      <c r="Y45" s="1084" t="s">
        <v>4587</v>
      </c>
      <c r="Z45" s="4575" t="s">
        <v>4588</v>
      </c>
      <c r="AA45" s="3368" t="s">
        <v>4589</v>
      </c>
      <c r="AB45" s="820" t="s">
        <v>4590</v>
      </c>
      <c r="AC45" s="1294" t="s">
        <v>4591</v>
      </c>
      <c r="AD45" s="750" t="s">
        <v>4592</v>
      </c>
      <c r="AE45" s="750" t="s">
        <v>4593</v>
      </c>
      <c r="AF45" s="748" t="s">
        <v>4594</v>
      </c>
      <c r="AG45" s="1081" t="s">
        <v>4595</v>
      </c>
      <c r="AH45" s="1082" t="s">
        <v>4596</v>
      </c>
      <c r="AI45" s="1082" t="s">
        <v>4597</v>
      </c>
      <c r="AJ45" s="1082" t="s">
        <v>4598</v>
      </c>
      <c r="AK45" t="e">
        <f t="shared" si="8"/>
        <v>#VALUE!</v>
      </c>
      <c r="CC45" s="1865" t="str">
        <f t="shared" si="9"/>
        <v xml:space="preserve">* El Número de Familias en Riesgo no puede superar el Total. </v>
      </c>
      <c r="CD45" s="1865" t="str">
        <f t="shared" si="0"/>
        <v xml:space="preserve">* La variable Pueblos Originarios no puede superar el Total. </v>
      </c>
      <c r="CE45" s="1865" t="str">
        <f t="shared" si="1"/>
        <v xml:space="preserve">* La variable Migrantes no puede superar el Total. </v>
      </c>
      <c r="CF45" s="1865" t="str">
        <f t="shared" si="17"/>
        <v xml:space="preserve">* La variable Espacios Amigables/ Adolescentes no puede superar el Total. </v>
      </c>
      <c r="CG45" s="1865" t="e">
        <f t="shared" si="3"/>
        <v>#VALUE!</v>
      </c>
      <c r="CH45" s="1865" t="str">
        <f t="shared" si="10"/>
        <v xml:space="preserve">* La suma de Niños, niñas, adolescentes y jóvenes SENAME no puede superar el Total. </v>
      </c>
      <c r="CI45" s="1865" t="str">
        <f t="shared" si="11"/>
        <v xml:space="preserve">* La suma de Niños, niñas, adolescentes y jóvenes Mejor Niñez no puede superar el Total. </v>
      </c>
      <c r="CL45" s="1937"/>
      <c r="CM45" s="1867">
        <f t="shared" si="12"/>
        <v>1</v>
      </c>
      <c r="CN45" s="1867">
        <f t="shared" si="15"/>
        <v>1</v>
      </c>
      <c r="CO45" s="1867">
        <f t="shared" si="16"/>
        <v>1</v>
      </c>
      <c r="CP45" s="1867">
        <f t="shared" si="18"/>
        <v>1</v>
      </c>
      <c r="CQ45" s="1867" t="e">
        <f t="shared" si="7"/>
        <v>#VALUE!</v>
      </c>
      <c r="CR45" s="3922">
        <f t="shared" si="13"/>
        <v>1</v>
      </c>
      <c r="CS45" s="3922">
        <f t="shared" si="14"/>
        <v>1</v>
      </c>
    </row>
    <row r="46" spans="1:97" s="19" customFormat="1" ht="15" customHeight="1" x14ac:dyDescent="0.25">
      <c r="A46" s="5818">
        <v>27500120</v>
      </c>
      <c r="B46" s="7431"/>
      <c r="C46" s="7598" t="s">
        <v>3196</v>
      </c>
      <c r="D46" s="7599"/>
      <c r="E46" s="4733" t="s">
        <v>4567</v>
      </c>
      <c r="F46" s="1264" t="s">
        <v>4568</v>
      </c>
      <c r="G46" s="262" t="s">
        <v>4569</v>
      </c>
      <c r="H46" s="262" t="s">
        <v>4570</v>
      </c>
      <c r="I46" s="262" t="s">
        <v>4571</v>
      </c>
      <c r="J46" s="1447" t="s">
        <v>4572</v>
      </c>
      <c r="K46" s="3249" t="s">
        <v>4573</v>
      </c>
      <c r="L46" s="262" t="s">
        <v>4574</v>
      </c>
      <c r="M46" s="262" t="s">
        <v>4575</v>
      </c>
      <c r="N46" s="315" t="s">
        <v>4576</v>
      </c>
      <c r="O46" s="315" t="s">
        <v>4577</v>
      </c>
      <c r="P46" s="315" t="s">
        <v>4578</v>
      </c>
      <c r="Q46" s="315" t="s">
        <v>4579</v>
      </c>
      <c r="R46" s="315" t="s">
        <v>4580</v>
      </c>
      <c r="S46" s="315" t="s">
        <v>4581</v>
      </c>
      <c r="T46" s="315" t="s">
        <v>4582</v>
      </c>
      <c r="U46" s="315" t="s">
        <v>4583</v>
      </c>
      <c r="V46" s="315" t="s">
        <v>4584</v>
      </c>
      <c r="W46" s="315" t="s">
        <v>4585</v>
      </c>
      <c r="X46" s="315" t="s">
        <v>4586</v>
      </c>
      <c r="Y46" s="315" t="s">
        <v>4587</v>
      </c>
      <c r="Z46" s="4589" t="s">
        <v>4588</v>
      </c>
      <c r="AA46" s="3369" t="s">
        <v>4589</v>
      </c>
      <c r="AB46" s="4751" t="s">
        <v>4590</v>
      </c>
      <c r="AC46" s="1303" t="s">
        <v>4591</v>
      </c>
      <c r="AD46" s="1258" t="s">
        <v>4592</v>
      </c>
      <c r="AE46" s="1258" t="s">
        <v>4593</v>
      </c>
      <c r="AF46" s="1115" t="s">
        <v>4594</v>
      </c>
      <c r="AG46" s="1114" t="s">
        <v>4595</v>
      </c>
      <c r="AH46" s="387" t="s">
        <v>4596</v>
      </c>
      <c r="AI46" s="387" t="s">
        <v>4597</v>
      </c>
      <c r="AJ46" s="387" t="s">
        <v>4598</v>
      </c>
      <c r="AK46" t="e">
        <f t="shared" si="8"/>
        <v>#VALUE!</v>
      </c>
      <c r="CC46" s="1865" t="str">
        <f t="shared" si="9"/>
        <v xml:space="preserve">* El Número de Familias en Riesgo no puede superar el Total. </v>
      </c>
      <c r="CD46" s="1865" t="str">
        <f t="shared" si="0"/>
        <v xml:space="preserve">* La variable Pueblos Originarios no puede superar el Total. </v>
      </c>
      <c r="CE46" s="1865" t="str">
        <f t="shared" si="1"/>
        <v xml:space="preserve">* La variable Migrantes no puede superar el Total. </v>
      </c>
      <c r="CF46" s="1865" t="str">
        <f t="shared" si="17"/>
        <v xml:space="preserve">* La variable Espacios Amigables/ Adolescentes no puede superar el Total. </v>
      </c>
      <c r="CG46" s="1865" t="e">
        <f t="shared" si="3"/>
        <v>#VALUE!</v>
      </c>
      <c r="CH46" s="1865" t="str">
        <f t="shared" si="10"/>
        <v xml:space="preserve">* La suma de Niños, niñas, adolescentes y jóvenes SENAME no puede superar el Total. </v>
      </c>
      <c r="CI46" s="1865" t="str">
        <f t="shared" si="11"/>
        <v xml:space="preserve">* La suma de Niños, niñas, adolescentes y jóvenes Mejor Niñez no puede superar el Total. </v>
      </c>
      <c r="CM46" s="1867">
        <f t="shared" si="12"/>
        <v>1</v>
      </c>
      <c r="CN46" s="1867">
        <f t="shared" si="15"/>
        <v>1</v>
      </c>
      <c r="CO46" s="1867">
        <f t="shared" si="16"/>
        <v>1</v>
      </c>
      <c r="CP46" s="1867">
        <f t="shared" si="18"/>
        <v>1</v>
      </c>
      <c r="CQ46" s="1867" t="e">
        <f t="shared" si="7"/>
        <v>#VALUE!</v>
      </c>
      <c r="CR46" s="3922">
        <f t="shared" si="13"/>
        <v>1</v>
      </c>
      <c r="CS46" s="3922">
        <f t="shared" si="14"/>
        <v>1</v>
      </c>
    </row>
    <row r="47" spans="1:97" s="19" customFormat="1" ht="15" customHeight="1" x14ac:dyDescent="0.25">
      <c r="A47" s="5823">
        <v>27601012</v>
      </c>
      <c r="B47" s="7431"/>
      <c r="C47" s="7615" t="s">
        <v>3197</v>
      </c>
      <c r="D47" s="4760" t="s">
        <v>3198</v>
      </c>
      <c r="E47" s="1162" t="s">
        <v>4567</v>
      </c>
      <c r="F47" s="1441" t="s">
        <v>4568</v>
      </c>
      <c r="G47" s="3368" t="s">
        <v>4569</v>
      </c>
      <c r="H47" s="3368" t="s">
        <v>4570</v>
      </c>
      <c r="I47" s="3368" t="s">
        <v>4571</v>
      </c>
      <c r="J47" s="819" t="s">
        <v>4572</v>
      </c>
      <c r="K47" s="3368" t="s">
        <v>4573</v>
      </c>
      <c r="L47" s="1253" t="s">
        <v>4574</v>
      </c>
      <c r="M47" s="1253" t="s">
        <v>4575</v>
      </c>
      <c r="N47" s="1092" t="s">
        <v>4576</v>
      </c>
      <c r="O47" s="1092" t="s">
        <v>4577</v>
      </c>
      <c r="P47" s="1092" t="s">
        <v>4578</v>
      </c>
      <c r="Q47" s="1092" t="s">
        <v>4579</v>
      </c>
      <c r="R47" s="1092" t="s">
        <v>4580</v>
      </c>
      <c r="S47" s="1092" t="s">
        <v>4581</v>
      </c>
      <c r="T47" s="1092" t="s">
        <v>4582</v>
      </c>
      <c r="U47" s="1092" t="s">
        <v>4583</v>
      </c>
      <c r="V47" s="1092" t="s">
        <v>4584</v>
      </c>
      <c r="W47" s="1092" t="s">
        <v>4585</v>
      </c>
      <c r="X47" s="1092" t="s">
        <v>4586</v>
      </c>
      <c r="Y47" s="1092" t="s">
        <v>4587</v>
      </c>
      <c r="Z47" s="4575" t="s">
        <v>4588</v>
      </c>
      <c r="AA47" s="3368" t="s">
        <v>4589</v>
      </c>
      <c r="AB47" s="820" t="s">
        <v>4590</v>
      </c>
      <c r="AC47" s="1294" t="s">
        <v>4591</v>
      </c>
      <c r="AD47" s="750" t="s">
        <v>4592</v>
      </c>
      <c r="AE47" s="750" t="s">
        <v>4593</v>
      </c>
      <c r="AF47" s="748" t="s">
        <v>4594</v>
      </c>
      <c r="AG47" s="1081" t="s">
        <v>4595</v>
      </c>
      <c r="AH47" s="1082" t="s">
        <v>4596</v>
      </c>
      <c r="AI47" s="1082" t="s">
        <v>4597</v>
      </c>
      <c r="AJ47" s="1082" t="s">
        <v>4598</v>
      </c>
      <c r="AK47" t="e">
        <f t="shared" si="8"/>
        <v>#VALUE!</v>
      </c>
      <c r="CC47" s="1865" t="str">
        <f t="shared" si="9"/>
        <v xml:space="preserve">* El Número de Familias en Riesgo no puede superar el Total. </v>
      </c>
      <c r="CD47" s="1865" t="str">
        <f t="shared" si="0"/>
        <v xml:space="preserve">* La variable Pueblos Originarios no puede superar el Total. </v>
      </c>
      <c r="CE47" s="1865" t="str">
        <f t="shared" si="1"/>
        <v xml:space="preserve">* La variable Migrantes no puede superar el Total. </v>
      </c>
      <c r="CF47" s="1865" t="str">
        <f t="shared" si="17"/>
        <v xml:space="preserve">* La variable Espacios Amigables/ Adolescentes no puede superar el Total. </v>
      </c>
      <c r="CG47" s="1865" t="e">
        <f t="shared" si="3"/>
        <v>#VALUE!</v>
      </c>
      <c r="CH47" s="1865" t="str">
        <f t="shared" si="10"/>
        <v xml:space="preserve">* La suma de Niños, niñas, adolescentes y jóvenes SENAME no puede superar el Total. </v>
      </c>
      <c r="CI47" s="1865" t="str">
        <f t="shared" si="11"/>
        <v xml:space="preserve">* La suma de Niños, niñas, adolescentes y jóvenes Mejor Niñez no puede superar el Total. </v>
      </c>
      <c r="CM47" s="1867">
        <f t="shared" si="12"/>
        <v>1</v>
      </c>
      <c r="CN47" s="1867">
        <f t="shared" si="15"/>
        <v>1</v>
      </c>
      <c r="CO47" s="1867">
        <f t="shared" si="16"/>
        <v>1</v>
      </c>
      <c r="CP47" s="1867">
        <f t="shared" si="18"/>
        <v>1</v>
      </c>
      <c r="CQ47" s="1867" t="e">
        <f t="shared" si="7"/>
        <v>#VALUE!</v>
      </c>
      <c r="CR47" s="3922">
        <f t="shared" si="13"/>
        <v>1</v>
      </c>
      <c r="CS47" s="3922">
        <f t="shared" si="14"/>
        <v>1</v>
      </c>
    </row>
    <row r="48" spans="1:97" s="19" customFormat="1" ht="15" customHeight="1" x14ac:dyDescent="0.25">
      <c r="A48" s="5823">
        <v>27601013</v>
      </c>
      <c r="B48" s="7431"/>
      <c r="C48" s="7616"/>
      <c r="D48" s="4761" t="s">
        <v>3199</v>
      </c>
      <c r="E48" s="1162" t="s">
        <v>4567</v>
      </c>
      <c r="F48" s="3069" t="s">
        <v>4568</v>
      </c>
      <c r="G48" s="3064" t="s">
        <v>4569</v>
      </c>
      <c r="H48" s="3064" t="s">
        <v>4570</v>
      </c>
      <c r="I48" s="3064" t="s">
        <v>4571</v>
      </c>
      <c r="J48" s="1452" t="s">
        <v>4572</v>
      </c>
      <c r="K48" s="3064" t="s">
        <v>4573</v>
      </c>
      <c r="L48" s="1253" t="s">
        <v>4574</v>
      </c>
      <c r="M48" s="1253" t="s">
        <v>4575</v>
      </c>
      <c r="N48" s="1092" t="s">
        <v>4576</v>
      </c>
      <c r="O48" s="1092" t="s">
        <v>4577</v>
      </c>
      <c r="P48" s="1092" t="s">
        <v>4578</v>
      </c>
      <c r="Q48" s="1092" t="s">
        <v>4579</v>
      </c>
      <c r="R48" s="1092" t="s">
        <v>4580</v>
      </c>
      <c r="S48" s="1092" t="s">
        <v>4581</v>
      </c>
      <c r="T48" s="1098" t="s">
        <v>4582</v>
      </c>
      <c r="U48" s="1092" t="s">
        <v>4583</v>
      </c>
      <c r="V48" s="1092" t="s">
        <v>4584</v>
      </c>
      <c r="W48" s="1092" t="s">
        <v>4585</v>
      </c>
      <c r="X48" s="1092" t="s">
        <v>4586</v>
      </c>
      <c r="Y48" s="1092" t="s">
        <v>4587</v>
      </c>
      <c r="Z48" s="3748" t="s">
        <v>4588</v>
      </c>
      <c r="AA48" s="3064" t="s">
        <v>4589</v>
      </c>
      <c r="AB48" s="3065" t="s">
        <v>4590</v>
      </c>
      <c r="AC48" s="1299" t="s">
        <v>4591</v>
      </c>
      <c r="AD48" s="1253" t="s">
        <v>4592</v>
      </c>
      <c r="AE48" s="1253" t="s">
        <v>4593</v>
      </c>
      <c r="AF48" s="1093" t="s">
        <v>4594</v>
      </c>
      <c r="AG48" s="1089" t="s">
        <v>4595</v>
      </c>
      <c r="AH48" s="1090" t="s">
        <v>4596</v>
      </c>
      <c r="AI48" s="1090" t="s">
        <v>4597</v>
      </c>
      <c r="AJ48" s="1090" t="s">
        <v>4598</v>
      </c>
      <c r="AK48" t="e">
        <f t="shared" si="8"/>
        <v>#VALUE!</v>
      </c>
      <c r="CC48" s="1865" t="str">
        <f t="shared" si="9"/>
        <v xml:space="preserve">* El Número de Familias en Riesgo no puede superar el Total. </v>
      </c>
      <c r="CD48" s="1865" t="str">
        <f t="shared" si="0"/>
        <v xml:space="preserve">* La variable Pueblos Originarios no puede superar el Total. </v>
      </c>
      <c r="CE48" s="1865" t="str">
        <f t="shared" si="1"/>
        <v xml:space="preserve">* La variable Migrantes no puede superar el Total. </v>
      </c>
      <c r="CF48" s="1865" t="str">
        <f t="shared" si="17"/>
        <v xml:space="preserve">* La variable Espacios Amigables/ Adolescentes no puede superar el Total. </v>
      </c>
      <c r="CG48" s="1865" t="e">
        <f t="shared" si="3"/>
        <v>#VALUE!</v>
      </c>
      <c r="CH48" s="1865" t="str">
        <f t="shared" si="10"/>
        <v xml:space="preserve">* La suma de Niños, niñas, adolescentes y jóvenes SENAME no puede superar el Total. </v>
      </c>
      <c r="CI48" s="1865" t="str">
        <f t="shared" si="11"/>
        <v xml:space="preserve">* La suma de Niños, niñas, adolescentes y jóvenes Mejor Niñez no puede superar el Total. </v>
      </c>
      <c r="CM48" s="1867">
        <f t="shared" si="12"/>
        <v>1</v>
      </c>
      <c r="CN48" s="1867">
        <f t="shared" si="15"/>
        <v>1</v>
      </c>
      <c r="CO48" s="1867">
        <f t="shared" si="16"/>
        <v>1</v>
      </c>
      <c r="CP48" s="1867">
        <f t="shared" si="18"/>
        <v>1</v>
      </c>
      <c r="CQ48" s="1867" t="e">
        <f t="shared" si="7"/>
        <v>#VALUE!</v>
      </c>
      <c r="CR48" s="3922">
        <f t="shared" si="13"/>
        <v>1</v>
      </c>
      <c r="CS48" s="3922">
        <f t="shared" si="14"/>
        <v>1</v>
      </c>
    </row>
    <row r="49" spans="1:97" s="19" customFormat="1" ht="30.75" customHeight="1" x14ac:dyDescent="0.25">
      <c r="A49" s="5823">
        <v>27601014</v>
      </c>
      <c r="B49" s="7431"/>
      <c r="C49" s="7616"/>
      <c r="D49" s="4762" t="s">
        <v>3200</v>
      </c>
      <c r="E49" s="1162" t="s">
        <v>4567</v>
      </c>
      <c r="F49" s="3069" t="s">
        <v>4568</v>
      </c>
      <c r="G49" s="3064" t="s">
        <v>4569</v>
      </c>
      <c r="H49" s="3064" t="s">
        <v>4570</v>
      </c>
      <c r="I49" s="3064" t="s">
        <v>4571</v>
      </c>
      <c r="J49" s="1452" t="s">
        <v>4572</v>
      </c>
      <c r="K49" s="3064" t="s">
        <v>4573</v>
      </c>
      <c r="L49" s="1253" t="s">
        <v>4574</v>
      </c>
      <c r="M49" s="1253" t="s">
        <v>4575</v>
      </c>
      <c r="N49" s="1092" t="s">
        <v>4576</v>
      </c>
      <c r="O49" s="1092" t="s">
        <v>4577</v>
      </c>
      <c r="P49" s="1092" t="s">
        <v>4578</v>
      </c>
      <c r="Q49" s="1092" t="s">
        <v>4579</v>
      </c>
      <c r="R49" s="1092" t="s">
        <v>4580</v>
      </c>
      <c r="S49" s="1092" t="s">
        <v>4581</v>
      </c>
      <c r="T49" s="1092" t="s">
        <v>4582</v>
      </c>
      <c r="U49" s="1092" t="s">
        <v>4583</v>
      </c>
      <c r="V49" s="1092" t="s">
        <v>4584</v>
      </c>
      <c r="W49" s="1092" t="s">
        <v>4585</v>
      </c>
      <c r="X49" s="1092" t="s">
        <v>4586</v>
      </c>
      <c r="Y49" s="1095" t="s">
        <v>4587</v>
      </c>
      <c r="Z49" s="4732" t="s">
        <v>4588</v>
      </c>
      <c r="AA49" s="3064" t="s">
        <v>4589</v>
      </c>
      <c r="AB49" s="3065" t="s">
        <v>4590</v>
      </c>
      <c r="AC49" s="1299" t="s">
        <v>4591</v>
      </c>
      <c r="AD49" s="1253" t="s">
        <v>4592</v>
      </c>
      <c r="AE49" s="1253" t="s">
        <v>4593</v>
      </c>
      <c r="AF49" s="1093" t="s">
        <v>4594</v>
      </c>
      <c r="AG49" s="1089" t="s">
        <v>4595</v>
      </c>
      <c r="AH49" s="1090" t="s">
        <v>4596</v>
      </c>
      <c r="AI49" s="1090" t="s">
        <v>4597</v>
      </c>
      <c r="AJ49" s="1090" t="s">
        <v>4598</v>
      </c>
      <c r="AK49" t="e">
        <f t="shared" si="8"/>
        <v>#VALUE!</v>
      </c>
      <c r="CC49" s="1865" t="str">
        <f t="shared" si="9"/>
        <v xml:space="preserve">* El Número de Familias en Riesgo no puede superar el Total. </v>
      </c>
      <c r="CD49" s="1865" t="str">
        <f t="shared" si="0"/>
        <v xml:space="preserve">* La variable Pueblos Originarios no puede superar el Total. </v>
      </c>
      <c r="CE49" s="1865" t="str">
        <f t="shared" si="1"/>
        <v xml:space="preserve">* La variable Migrantes no puede superar el Total. </v>
      </c>
      <c r="CF49" s="1865" t="str">
        <f t="shared" si="17"/>
        <v xml:space="preserve">* La variable Espacios Amigables/ Adolescentes no puede superar el Total. </v>
      </c>
      <c r="CG49" s="1865" t="e">
        <f t="shared" si="3"/>
        <v>#VALUE!</v>
      </c>
      <c r="CH49" s="1865" t="str">
        <f t="shared" si="10"/>
        <v xml:space="preserve">* La suma de Niños, niñas, adolescentes y jóvenes SENAME no puede superar el Total. </v>
      </c>
      <c r="CI49" s="1865" t="str">
        <f t="shared" si="11"/>
        <v xml:space="preserve">* La suma de Niños, niñas, adolescentes y jóvenes Mejor Niñez no puede superar el Total. </v>
      </c>
      <c r="CM49" s="1867">
        <f t="shared" si="12"/>
        <v>1</v>
      </c>
      <c r="CN49" s="1867">
        <f t="shared" si="15"/>
        <v>1</v>
      </c>
      <c r="CO49" s="1867">
        <f t="shared" si="16"/>
        <v>1</v>
      </c>
      <c r="CP49" s="1867">
        <f t="shared" si="18"/>
        <v>1</v>
      </c>
      <c r="CQ49" s="1867" t="e">
        <f t="shared" si="7"/>
        <v>#VALUE!</v>
      </c>
      <c r="CR49" s="3922">
        <f t="shared" si="13"/>
        <v>1</v>
      </c>
      <c r="CS49" s="3922">
        <f t="shared" si="14"/>
        <v>1</v>
      </c>
    </row>
    <row r="50" spans="1:97" s="19" customFormat="1" ht="15" customHeight="1" x14ac:dyDescent="0.25">
      <c r="A50" s="5823">
        <v>27601015</v>
      </c>
      <c r="B50" s="7431"/>
      <c r="C50" s="7616"/>
      <c r="D50" s="4763" t="s">
        <v>3201</v>
      </c>
      <c r="E50" s="1162" t="s">
        <v>4567</v>
      </c>
      <c r="F50" s="4738" t="s">
        <v>4568</v>
      </c>
      <c r="G50" s="4739" t="s">
        <v>4569</v>
      </c>
      <c r="H50" s="4739" t="s">
        <v>4570</v>
      </c>
      <c r="I50" s="4739" t="s">
        <v>4571</v>
      </c>
      <c r="J50" s="621" t="s">
        <v>4572</v>
      </c>
      <c r="K50" s="4738" t="s">
        <v>4573</v>
      </c>
      <c r="L50" s="1258" t="s">
        <v>4574</v>
      </c>
      <c r="M50" s="1258" t="s">
        <v>4575</v>
      </c>
      <c r="N50" s="1128" t="s">
        <v>4576</v>
      </c>
      <c r="O50" s="1128" t="s">
        <v>4577</v>
      </c>
      <c r="P50" s="1128" t="s">
        <v>4578</v>
      </c>
      <c r="Q50" s="1128" t="s">
        <v>4579</v>
      </c>
      <c r="R50" s="1128" t="s">
        <v>4580</v>
      </c>
      <c r="S50" s="1128" t="s">
        <v>4581</v>
      </c>
      <c r="T50" s="1128" t="s">
        <v>4582</v>
      </c>
      <c r="U50" s="1128" t="s">
        <v>4583</v>
      </c>
      <c r="V50" s="1128" t="s">
        <v>4584</v>
      </c>
      <c r="W50" s="1128" t="s">
        <v>4585</v>
      </c>
      <c r="X50" s="1128" t="s">
        <v>4586</v>
      </c>
      <c r="Y50" s="1324" t="s">
        <v>4587</v>
      </c>
      <c r="Z50" s="4589" t="s">
        <v>4588</v>
      </c>
      <c r="AA50" s="4739" t="s">
        <v>4589</v>
      </c>
      <c r="AB50" s="4751" t="s">
        <v>4590</v>
      </c>
      <c r="AC50" s="1303" t="s">
        <v>4591</v>
      </c>
      <c r="AD50" s="1258" t="s">
        <v>4592</v>
      </c>
      <c r="AE50" s="1258" t="s">
        <v>4593</v>
      </c>
      <c r="AF50" s="1115" t="s">
        <v>4594</v>
      </c>
      <c r="AG50" s="1114" t="s">
        <v>4595</v>
      </c>
      <c r="AH50" s="387" t="s">
        <v>4596</v>
      </c>
      <c r="AI50" s="387" t="s">
        <v>4597</v>
      </c>
      <c r="AJ50" s="387" t="s">
        <v>4598</v>
      </c>
      <c r="AK50" t="e">
        <f t="shared" si="8"/>
        <v>#VALUE!</v>
      </c>
      <c r="CC50" s="1865" t="str">
        <f t="shared" si="9"/>
        <v xml:space="preserve">* El Número de Familias en Riesgo no puede superar el Total. </v>
      </c>
      <c r="CD50" s="1865" t="str">
        <f t="shared" si="0"/>
        <v xml:space="preserve">* La variable Pueblos Originarios no puede superar el Total. </v>
      </c>
      <c r="CE50" s="1865" t="str">
        <f t="shared" si="1"/>
        <v xml:space="preserve">* La variable Migrantes no puede superar el Total. </v>
      </c>
      <c r="CF50" s="1865" t="str">
        <f t="shared" si="17"/>
        <v xml:space="preserve">* La variable Espacios Amigables/ Adolescentes no puede superar el Total. </v>
      </c>
      <c r="CG50" s="1865" t="e">
        <f t="shared" si="3"/>
        <v>#VALUE!</v>
      </c>
      <c r="CH50" s="1865" t="str">
        <f t="shared" si="10"/>
        <v xml:space="preserve">* La suma de Niños, niñas, adolescentes y jóvenes SENAME no puede superar el Total. </v>
      </c>
      <c r="CI50" s="1865" t="str">
        <f t="shared" si="11"/>
        <v xml:space="preserve">* La suma de Niños, niñas, adolescentes y jóvenes Mejor Niñez no puede superar el Total. </v>
      </c>
      <c r="CM50" s="1867">
        <f t="shared" si="12"/>
        <v>1</v>
      </c>
      <c r="CN50" s="1867">
        <f t="shared" si="15"/>
        <v>1</v>
      </c>
      <c r="CO50" s="1867">
        <f t="shared" si="16"/>
        <v>1</v>
      </c>
      <c r="CP50" s="1867">
        <f t="shared" si="18"/>
        <v>1</v>
      </c>
      <c r="CQ50" s="1867" t="e">
        <f t="shared" si="7"/>
        <v>#VALUE!</v>
      </c>
      <c r="CR50" s="3922">
        <f t="shared" si="13"/>
        <v>1</v>
      </c>
      <c r="CS50" s="3922">
        <f t="shared" si="14"/>
        <v>1</v>
      </c>
    </row>
    <row r="51" spans="1:97" s="19" customFormat="1" ht="15" customHeight="1" x14ac:dyDescent="0.25">
      <c r="A51" s="5823">
        <v>27601016</v>
      </c>
      <c r="B51" s="7431"/>
      <c r="C51" s="7615" t="s">
        <v>3202</v>
      </c>
      <c r="D51" s="1418" t="s">
        <v>59</v>
      </c>
      <c r="E51" s="1159" t="s">
        <v>4567</v>
      </c>
      <c r="F51" s="1081" t="s">
        <v>4568</v>
      </c>
      <c r="G51" s="750" t="s">
        <v>4569</v>
      </c>
      <c r="H51" s="750" t="s">
        <v>4570</v>
      </c>
      <c r="I51" s="750" t="s">
        <v>4571</v>
      </c>
      <c r="J51" s="1082" t="s">
        <v>4572</v>
      </c>
      <c r="K51" s="1081" t="s">
        <v>4573</v>
      </c>
      <c r="L51" s="750" t="s">
        <v>4574</v>
      </c>
      <c r="M51" s="750" t="s">
        <v>4575</v>
      </c>
      <c r="N51" s="1084" t="s">
        <v>4576</v>
      </c>
      <c r="O51" s="1084" t="s">
        <v>4577</v>
      </c>
      <c r="P51" s="1084" t="s">
        <v>4578</v>
      </c>
      <c r="Q51" s="1084" t="s">
        <v>4579</v>
      </c>
      <c r="R51" s="1084" t="s">
        <v>4580</v>
      </c>
      <c r="S51" s="1084" t="s">
        <v>4581</v>
      </c>
      <c r="T51" s="1084" t="s">
        <v>4582</v>
      </c>
      <c r="U51" s="1084" t="s">
        <v>4583</v>
      </c>
      <c r="V51" s="1084" t="s">
        <v>4584</v>
      </c>
      <c r="W51" s="1084" t="s">
        <v>4585</v>
      </c>
      <c r="X51" s="1084" t="s">
        <v>4586</v>
      </c>
      <c r="Y51" s="736" t="s">
        <v>4587</v>
      </c>
      <c r="Z51" s="1299" t="s">
        <v>4588</v>
      </c>
      <c r="AA51" s="1253" t="s">
        <v>4589</v>
      </c>
      <c r="AB51" s="1095" t="s">
        <v>4590</v>
      </c>
      <c r="AC51" s="4764" t="s">
        <v>4591</v>
      </c>
      <c r="AD51" s="750" t="s">
        <v>4592</v>
      </c>
      <c r="AE51" s="750" t="s">
        <v>4593</v>
      </c>
      <c r="AF51" s="748" t="s">
        <v>4594</v>
      </c>
      <c r="AG51" s="1081" t="s">
        <v>4595</v>
      </c>
      <c r="AH51" s="1082" t="s">
        <v>4596</v>
      </c>
      <c r="AI51" s="1082" t="s">
        <v>4597</v>
      </c>
      <c r="AJ51" s="1082" t="s">
        <v>4598</v>
      </c>
      <c r="AK51" t="e">
        <f t="shared" si="8"/>
        <v>#VALUE!</v>
      </c>
      <c r="CC51" s="1866"/>
      <c r="CD51" s="1865" t="str">
        <f t="shared" si="0"/>
        <v xml:space="preserve">* La variable Pueblos Originarios no puede superar el Total. </v>
      </c>
      <c r="CE51" s="1865" t="str">
        <f t="shared" si="1"/>
        <v xml:space="preserve">* La variable Migrantes no puede superar el Total. </v>
      </c>
      <c r="CF51" s="1865" t="str">
        <f t="shared" si="17"/>
        <v xml:space="preserve">* La variable Espacios Amigables/ Adolescentes no puede superar el Total. </v>
      </c>
      <c r="CG51" s="1865" t="e">
        <f t="shared" si="3"/>
        <v>#VALUE!</v>
      </c>
      <c r="CH51" s="1865" t="str">
        <f t="shared" si="10"/>
        <v xml:space="preserve">* La suma de Niños, niñas, adolescentes y jóvenes SENAME no puede superar el Total. </v>
      </c>
      <c r="CI51" s="1865" t="str">
        <f t="shared" si="11"/>
        <v xml:space="preserve">* La suma de Niños, niñas, adolescentes y jóvenes Mejor Niñez no puede superar el Total. </v>
      </c>
      <c r="CM51" s="1868"/>
      <c r="CN51" s="1867">
        <f t="shared" si="15"/>
        <v>1</v>
      </c>
      <c r="CO51" s="1867">
        <f t="shared" si="16"/>
        <v>1</v>
      </c>
      <c r="CP51" s="1867">
        <f t="shared" si="18"/>
        <v>1</v>
      </c>
      <c r="CQ51" s="1867" t="e">
        <f t="shared" si="7"/>
        <v>#VALUE!</v>
      </c>
      <c r="CR51" s="3922">
        <f t="shared" si="13"/>
        <v>1</v>
      </c>
      <c r="CS51" s="3922">
        <f t="shared" si="14"/>
        <v>1</v>
      </c>
    </row>
    <row r="52" spans="1:97" s="19" customFormat="1" ht="15" customHeight="1" x14ac:dyDescent="0.25">
      <c r="A52" s="5823">
        <v>27601017</v>
      </c>
      <c r="B52" s="7431"/>
      <c r="C52" s="7667"/>
      <c r="D52" s="1785" t="s">
        <v>58</v>
      </c>
      <c r="E52" s="4733" t="s">
        <v>4567</v>
      </c>
      <c r="F52" s="4517" t="s">
        <v>4568</v>
      </c>
      <c r="G52" s="242" t="s">
        <v>4569</v>
      </c>
      <c r="H52" s="242" t="s">
        <v>4570</v>
      </c>
      <c r="I52" s="242" t="s">
        <v>4571</v>
      </c>
      <c r="J52" s="1447" t="s">
        <v>4572</v>
      </c>
      <c r="K52" s="4517" t="s">
        <v>4573</v>
      </c>
      <c r="L52" s="242" t="s">
        <v>4574</v>
      </c>
      <c r="M52" s="242" t="s">
        <v>4575</v>
      </c>
      <c r="N52" s="3099" t="s">
        <v>4576</v>
      </c>
      <c r="O52" s="3099" t="s">
        <v>4577</v>
      </c>
      <c r="P52" s="3099" t="s">
        <v>4578</v>
      </c>
      <c r="Q52" s="3099" t="s">
        <v>4579</v>
      </c>
      <c r="R52" s="3099" t="s">
        <v>4580</v>
      </c>
      <c r="S52" s="3099" t="s">
        <v>4581</v>
      </c>
      <c r="T52" s="3099" t="s">
        <v>4582</v>
      </c>
      <c r="U52" s="3099" t="s">
        <v>4583</v>
      </c>
      <c r="V52" s="3099" t="s">
        <v>4584</v>
      </c>
      <c r="W52" s="3099" t="s">
        <v>4585</v>
      </c>
      <c r="X52" s="3099" t="s">
        <v>4586</v>
      </c>
      <c r="Y52" s="3099" t="s">
        <v>4587</v>
      </c>
      <c r="Z52" s="376" t="s">
        <v>4588</v>
      </c>
      <c r="AA52" s="580" t="s">
        <v>4589</v>
      </c>
      <c r="AB52" s="383" t="s">
        <v>4590</v>
      </c>
      <c r="AC52" s="312" t="s">
        <v>4591</v>
      </c>
      <c r="AD52" s="1258" t="s">
        <v>4592</v>
      </c>
      <c r="AE52" s="242" t="s">
        <v>4593</v>
      </c>
      <c r="AF52" s="95" t="s">
        <v>4594</v>
      </c>
      <c r="AG52" s="47" t="s">
        <v>4595</v>
      </c>
      <c r="AH52" s="42" t="s">
        <v>4596</v>
      </c>
      <c r="AI52" s="42" t="s">
        <v>4597</v>
      </c>
      <c r="AJ52" s="42" t="s">
        <v>4598</v>
      </c>
      <c r="AK52" t="e">
        <f t="shared" si="8"/>
        <v>#VALUE!</v>
      </c>
      <c r="CC52" s="1866"/>
      <c r="CD52" s="1865" t="str">
        <f t="shared" si="0"/>
        <v xml:space="preserve">* La variable Pueblos Originarios no puede superar el Total. </v>
      </c>
      <c r="CE52" s="1865" t="str">
        <f t="shared" si="1"/>
        <v xml:space="preserve">* La variable Migrantes no puede superar el Total. </v>
      </c>
      <c r="CF52" s="1865" t="str">
        <f t="shared" si="17"/>
        <v xml:space="preserve">* La variable Espacios Amigables/ Adolescentes no puede superar el Total. </v>
      </c>
      <c r="CG52" s="1865" t="e">
        <f t="shared" si="3"/>
        <v>#VALUE!</v>
      </c>
      <c r="CH52" s="1865" t="str">
        <f t="shared" si="10"/>
        <v xml:space="preserve">* La suma de Niños, niñas, adolescentes y jóvenes SENAME no puede superar el Total. </v>
      </c>
      <c r="CI52" s="1865" t="str">
        <f t="shared" si="11"/>
        <v xml:space="preserve">* La suma de Niños, niñas, adolescentes y jóvenes Mejor Niñez no puede superar el Total. </v>
      </c>
      <c r="CM52" s="1868"/>
      <c r="CN52" s="1867">
        <f t="shared" si="15"/>
        <v>1</v>
      </c>
      <c r="CO52" s="1867">
        <f t="shared" si="16"/>
        <v>1</v>
      </c>
      <c r="CP52" s="1867">
        <f t="shared" si="18"/>
        <v>1</v>
      </c>
      <c r="CQ52" s="1867" t="e">
        <f t="shared" si="7"/>
        <v>#VALUE!</v>
      </c>
      <c r="CR52" s="3922">
        <f t="shared" si="13"/>
        <v>1</v>
      </c>
      <c r="CS52" s="3922">
        <f t="shared" si="14"/>
        <v>1</v>
      </c>
    </row>
    <row r="53" spans="1:97" s="19" customFormat="1" ht="15" customHeight="1" x14ac:dyDescent="0.15">
      <c r="A53" s="5870"/>
      <c r="B53" s="7463"/>
      <c r="C53" s="7292" t="s">
        <v>77</v>
      </c>
      <c r="D53" s="7294"/>
      <c r="E53" s="1069">
        <f>SUM(F53:Y53)</f>
        <v>0</v>
      </c>
      <c r="F53" s="1100">
        <f>SUM(F11:F52)</f>
        <v>0</v>
      </c>
      <c r="G53" s="1116">
        <f t="shared" ref="G53:AJ53" si="19">SUM(G11:G52)</f>
        <v>0</v>
      </c>
      <c r="H53" s="1116">
        <f t="shared" si="19"/>
        <v>0</v>
      </c>
      <c r="I53" s="1116">
        <f t="shared" si="19"/>
        <v>0</v>
      </c>
      <c r="J53" s="1101">
        <f>SUM(J11:J52)</f>
        <v>0</v>
      </c>
      <c r="K53" s="1102">
        <f t="shared" si="19"/>
        <v>0</v>
      </c>
      <c r="L53" s="1116">
        <f t="shared" si="19"/>
        <v>0</v>
      </c>
      <c r="M53" s="1116">
        <f t="shared" si="19"/>
        <v>0</v>
      </c>
      <c r="N53" s="1103">
        <f t="shared" si="19"/>
        <v>0</v>
      </c>
      <c r="O53" s="1103">
        <f t="shared" si="19"/>
        <v>0</v>
      </c>
      <c r="P53" s="1103">
        <f t="shared" si="19"/>
        <v>0</v>
      </c>
      <c r="Q53" s="1103">
        <f t="shared" si="19"/>
        <v>0</v>
      </c>
      <c r="R53" s="1103">
        <f t="shared" si="19"/>
        <v>0</v>
      </c>
      <c r="S53" s="1103">
        <f t="shared" si="19"/>
        <v>0</v>
      </c>
      <c r="T53" s="1103">
        <f t="shared" si="19"/>
        <v>0</v>
      </c>
      <c r="U53" s="1103">
        <f t="shared" si="19"/>
        <v>0</v>
      </c>
      <c r="V53" s="1103">
        <f t="shared" si="19"/>
        <v>0</v>
      </c>
      <c r="W53" s="1103">
        <f t="shared" si="19"/>
        <v>0</v>
      </c>
      <c r="X53" s="1103">
        <f t="shared" si="19"/>
        <v>0</v>
      </c>
      <c r="Y53" s="1103">
        <f t="shared" si="19"/>
        <v>0</v>
      </c>
      <c r="Z53" s="4765">
        <f t="shared" si="19"/>
        <v>0</v>
      </c>
      <c r="AA53" s="1116">
        <f t="shared" si="19"/>
        <v>0</v>
      </c>
      <c r="AB53" s="1106">
        <f t="shared" si="19"/>
        <v>0</v>
      </c>
      <c r="AC53" s="4765">
        <f t="shared" si="19"/>
        <v>0</v>
      </c>
      <c r="AD53" s="300">
        <f>SUM(AD11:AD52)</f>
        <v>0</v>
      </c>
      <c r="AE53" s="1116">
        <f t="shared" si="19"/>
        <v>0</v>
      </c>
      <c r="AF53" s="1104">
        <f t="shared" si="19"/>
        <v>0</v>
      </c>
      <c r="AG53" s="1100">
        <f t="shared" si="19"/>
        <v>0</v>
      </c>
      <c r="AH53" s="1101">
        <f>SUM(AH11:AH52)</f>
        <v>0</v>
      </c>
      <c r="AI53" s="1101">
        <f t="shared" ref="AI53" si="20">SUM(AI11:AI52)</f>
        <v>0</v>
      </c>
      <c r="AJ53" s="1101">
        <f t="shared" si="19"/>
        <v>0</v>
      </c>
    </row>
    <row r="54" spans="1:97" s="6" customFormat="1" ht="18" customHeight="1" x14ac:dyDescent="0.2">
      <c r="B54" s="903" t="s">
        <v>3203</v>
      </c>
      <c r="C54" s="903"/>
      <c r="D54" s="903"/>
      <c r="E54" s="903"/>
      <c r="F54" s="903"/>
      <c r="G54" s="903"/>
      <c r="H54" s="4766"/>
      <c r="I54" s="4766"/>
      <c r="J54" s="8"/>
    </row>
    <row r="55" spans="1:97" ht="42" x14ac:dyDescent="0.25">
      <c r="A55" s="5613"/>
      <c r="B55" s="7257" t="s">
        <v>3149</v>
      </c>
      <c r="C55" s="7258"/>
      <c r="D55" s="7346"/>
      <c r="E55" s="1212" t="s">
        <v>77</v>
      </c>
      <c r="F55" s="4490" t="s">
        <v>3204</v>
      </c>
      <c r="G55" s="1213" t="s">
        <v>3205</v>
      </c>
      <c r="H55" s="1213" t="s">
        <v>3206</v>
      </c>
      <c r="I55" s="1216" t="s">
        <v>194</v>
      </c>
      <c r="J55" s="1246" t="s">
        <v>3207</v>
      </c>
    </row>
    <row r="56" spans="1:97" ht="15" customHeight="1" x14ac:dyDescent="0.25">
      <c r="A56" s="5824">
        <v>27281500</v>
      </c>
      <c r="B56" s="7290" t="s">
        <v>3158</v>
      </c>
      <c r="C56" s="7600" t="s">
        <v>3159</v>
      </c>
      <c r="D56" s="7601"/>
      <c r="E56" s="1077" t="s">
        <v>4567</v>
      </c>
      <c r="F56" s="4508" t="s">
        <v>4568</v>
      </c>
      <c r="G56" s="4509" t="s">
        <v>4569</v>
      </c>
      <c r="H56" s="4509" t="s">
        <v>4570</v>
      </c>
      <c r="I56" s="4767" t="s">
        <v>4571</v>
      </c>
      <c r="J56" s="4768" t="s">
        <v>4572</v>
      </c>
      <c r="K56" s="1936" t="str">
        <f>CB56</f>
        <v xml:space="preserve">* La variable Facilitador/a Intercultural Pueblos Originarios  no puede superar el Total. </v>
      </c>
      <c r="CB56" s="1865" t="str">
        <f t="shared" ref="CB56:CB97" si="21">IF(AND($E56&lt;&gt;0,J56=""),"* No olvide ingresar la columna "&amp;J$55&amp;""&amp;" (Digite CERO si no tiene).  ",IF(J56&gt;$E56,"* La variable "&amp;J$55&amp;""&amp;" no puede superar el Total. ",""))</f>
        <v xml:space="preserve">* La variable Facilitador/a Intercultural Pueblos Originarios  no puede superar el Total. </v>
      </c>
      <c r="CL56" s="3922">
        <f t="shared" ref="CL56:CL97" si="22">IF(AND($E56&lt;&gt;0,J56=""),1,IF(J56&gt;$E56,1,0))</f>
        <v>1</v>
      </c>
    </row>
    <row r="57" spans="1:97" ht="21" x14ac:dyDescent="0.25">
      <c r="A57" s="5824" t="s">
        <v>6033</v>
      </c>
      <c r="B57" s="6331"/>
      <c r="C57" s="7358" t="s">
        <v>3160</v>
      </c>
      <c r="D57" s="4635" t="s">
        <v>3161</v>
      </c>
      <c r="E57" s="1077" t="s">
        <v>4567</v>
      </c>
      <c r="F57" s="1081" t="s">
        <v>4568</v>
      </c>
      <c r="G57" s="750" t="s">
        <v>4569</v>
      </c>
      <c r="H57" s="750" t="s">
        <v>4570</v>
      </c>
      <c r="I57" s="1084" t="s">
        <v>4571</v>
      </c>
      <c r="J57" s="1260" t="s">
        <v>4572</v>
      </c>
      <c r="K57" s="1936" t="str">
        <f>CB57</f>
        <v xml:space="preserve">* La variable Facilitador/a Intercultural Pueblos Originarios  no puede superar el Total. </v>
      </c>
      <c r="CB57" s="1865" t="str">
        <f t="shared" si="21"/>
        <v xml:space="preserve">* La variable Facilitador/a Intercultural Pueblos Originarios  no puede superar el Total. </v>
      </c>
      <c r="CL57" s="3922">
        <f t="shared" si="22"/>
        <v>1</v>
      </c>
    </row>
    <row r="58" spans="1:97" x14ac:dyDescent="0.25">
      <c r="A58" s="5824" t="s">
        <v>6034</v>
      </c>
      <c r="B58" s="6331"/>
      <c r="C58" s="7431"/>
      <c r="D58" s="1778" t="s">
        <v>3162</v>
      </c>
      <c r="E58" s="193" t="s">
        <v>4567</v>
      </c>
      <c r="F58" s="1089" t="s">
        <v>4568</v>
      </c>
      <c r="G58" s="1253" t="s">
        <v>4569</v>
      </c>
      <c r="H58" s="1253" t="s">
        <v>4570</v>
      </c>
      <c r="I58" s="1092" t="s">
        <v>4571</v>
      </c>
      <c r="J58" s="1250" t="s">
        <v>4572</v>
      </c>
      <c r="K58" s="1936" t="str">
        <f>CB58</f>
        <v xml:space="preserve">* La variable Facilitador/a Intercultural Pueblos Originarios  no puede superar el Total. </v>
      </c>
      <c r="CB58" s="1865" t="str">
        <f t="shared" si="21"/>
        <v xml:space="preserve">* La variable Facilitador/a Intercultural Pueblos Originarios  no puede superar el Total. </v>
      </c>
      <c r="CL58" s="3922">
        <f t="shared" si="22"/>
        <v>1</v>
      </c>
    </row>
    <row r="59" spans="1:97" x14ac:dyDescent="0.25">
      <c r="A59" s="5824" t="s">
        <v>6035</v>
      </c>
      <c r="B59" s="6331"/>
      <c r="C59" s="7431"/>
      <c r="D59" s="1435" t="s">
        <v>3163</v>
      </c>
      <c r="E59" s="1162" t="s">
        <v>4567</v>
      </c>
      <c r="F59" s="1089" t="s">
        <v>4568</v>
      </c>
      <c r="G59" s="1253" t="s">
        <v>4569</v>
      </c>
      <c r="H59" s="1253" t="s">
        <v>4570</v>
      </c>
      <c r="I59" s="1092" t="s">
        <v>4571</v>
      </c>
      <c r="J59" s="1250" t="s">
        <v>4572</v>
      </c>
      <c r="K59" s="1936" t="str">
        <f t="shared" ref="K59:K96" si="23">CB59</f>
        <v xml:space="preserve">* La variable Facilitador/a Intercultural Pueblos Originarios  no puede superar el Total. </v>
      </c>
      <c r="CB59" s="1865" t="str">
        <f t="shared" si="21"/>
        <v xml:space="preserve">* La variable Facilitador/a Intercultural Pueblos Originarios  no puede superar el Total. </v>
      </c>
      <c r="CL59" s="3922">
        <f t="shared" si="22"/>
        <v>1</v>
      </c>
    </row>
    <row r="60" spans="1:97" x14ac:dyDescent="0.25">
      <c r="A60" s="5824">
        <v>27500130</v>
      </c>
      <c r="B60" s="6331"/>
      <c r="C60" s="7463"/>
      <c r="D60" s="4619" t="s">
        <v>3164</v>
      </c>
      <c r="E60" s="4733" t="s">
        <v>4567</v>
      </c>
      <c r="F60" s="1264" t="s">
        <v>4568</v>
      </c>
      <c r="G60" s="262" t="s">
        <v>4569</v>
      </c>
      <c r="H60" s="262" t="s">
        <v>4570</v>
      </c>
      <c r="I60" s="315" t="s">
        <v>4571</v>
      </c>
      <c r="J60" s="4769" t="s">
        <v>4572</v>
      </c>
      <c r="K60" s="1936" t="str">
        <f t="shared" si="23"/>
        <v xml:space="preserve">* La variable Facilitador/a Intercultural Pueblos Originarios  no puede superar el Total. </v>
      </c>
      <c r="CB60" s="1865" t="str">
        <f t="shared" si="21"/>
        <v xml:space="preserve">* La variable Facilitador/a Intercultural Pueblos Originarios  no puede superar el Total. </v>
      </c>
      <c r="CL60" s="3922">
        <f t="shared" si="22"/>
        <v>1</v>
      </c>
    </row>
    <row r="61" spans="1:97" x14ac:dyDescent="0.25">
      <c r="A61" s="5824">
        <v>27281700</v>
      </c>
      <c r="B61" s="6331"/>
      <c r="C61" s="6909" t="s">
        <v>3165</v>
      </c>
      <c r="D61" s="6910"/>
      <c r="E61" s="195" t="s">
        <v>4567</v>
      </c>
      <c r="F61" s="290" t="s">
        <v>4568</v>
      </c>
      <c r="G61" s="531" t="s">
        <v>4569</v>
      </c>
      <c r="H61" s="531" t="s">
        <v>4570</v>
      </c>
      <c r="I61" s="714" t="s">
        <v>4571</v>
      </c>
      <c r="J61" s="369" t="s">
        <v>4572</v>
      </c>
      <c r="K61" s="1936" t="str">
        <f t="shared" si="23"/>
        <v xml:space="preserve">* La variable Facilitador/a Intercultural Pueblos Originarios  no puede superar el Total. </v>
      </c>
      <c r="CB61" s="1865" t="str">
        <f t="shared" si="21"/>
        <v xml:space="preserve">* La variable Facilitador/a Intercultural Pueblos Originarios  no puede superar el Total. </v>
      </c>
      <c r="CL61" s="3922">
        <f t="shared" si="22"/>
        <v>1</v>
      </c>
    </row>
    <row r="62" spans="1:97" x14ac:dyDescent="0.25">
      <c r="A62" s="5824">
        <v>27281900</v>
      </c>
      <c r="B62" s="6331"/>
      <c r="C62" s="7363" t="s">
        <v>3166</v>
      </c>
      <c r="D62" s="7364"/>
      <c r="E62" s="193" t="s">
        <v>4567</v>
      </c>
      <c r="F62" s="1089" t="s">
        <v>4568</v>
      </c>
      <c r="G62" s="1253" t="s">
        <v>4569</v>
      </c>
      <c r="H62" s="1253" t="s">
        <v>4570</v>
      </c>
      <c r="I62" s="1092" t="s">
        <v>4571</v>
      </c>
      <c r="J62" s="1250" t="s">
        <v>4572</v>
      </c>
      <c r="K62" s="1936" t="str">
        <f t="shared" si="23"/>
        <v xml:space="preserve">* La variable Facilitador/a Intercultural Pueblos Originarios  no puede superar el Total. </v>
      </c>
      <c r="CB62" s="1865" t="str">
        <f t="shared" si="21"/>
        <v xml:space="preserve">* La variable Facilitador/a Intercultural Pueblos Originarios  no puede superar el Total. </v>
      </c>
      <c r="CL62" s="3922">
        <f t="shared" si="22"/>
        <v>1</v>
      </c>
    </row>
    <row r="63" spans="1:97" x14ac:dyDescent="0.25">
      <c r="A63" s="5824">
        <v>27282000</v>
      </c>
      <c r="B63" s="6331"/>
      <c r="C63" s="7363" t="s">
        <v>3167</v>
      </c>
      <c r="D63" s="7364"/>
      <c r="E63" s="193" t="s">
        <v>4567</v>
      </c>
      <c r="F63" s="1089" t="s">
        <v>4568</v>
      </c>
      <c r="G63" s="1253" t="s">
        <v>4569</v>
      </c>
      <c r="H63" s="1253" t="s">
        <v>4570</v>
      </c>
      <c r="I63" s="1092" t="s">
        <v>4571</v>
      </c>
      <c r="J63" s="1250" t="s">
        <v>4572</v>
      </c>
      <c r="K63" s="1936" t="str">
        <f t="shared" si="23"/>
        <v xml:space="preserve">* La variable Facilitador/a Intercultural Pueblos Originarios  no puede superar el Total. </v>
      </c>
      <c r="CB63" s="1865" t="str">
        <f t="shared" si="21"/>
        <v xml:space="preserve">* La variable Facilitador/a Intercultural Pueblos Originarios  no puede superar el Total. </v>
      </c>
      <c r="CL63" s="3922">
        <f t="shared" si="22"/>
        <v>1</v>
      </c>
    </row>
    <row r="64" spans="1:97" x14ac:dyDescent="0.25">
      <c r="A64" s="5824">
        <v>27282100</v>
      </c>
      <c r="B64" s="6331"/>
      <c r="C64" s="7602" t="s">
        <v>3168</v>
      </c>
      <c r="D64" s="7603"/>
      <c r="E64" s="193" t="s">
        <v>4567</v>
      </c>
      <c r="F64" s="192" t="s">
        <v>4568</v>
      </c>
      <c r="G64" s="580" t="s">
        <v>4569</v>
      </c>
      <c r="H64" s="580" t="s">
        <v>4570</v>
      </c>
      <c r="I64" s="1098" t="s">
        <v>4571</v>
      </c>
      <c r="J64" s="4770" t="s">
        <v>4572</v>
      </c>
      <c r="K64" s="1936" t="str">
        <f t="shared" si="23"/>
        <v xml:space="preserve">* La variable Facilitador/a Intercultural Pueblos Originarios  no puede superar el Total. </v>
      </c>
      <c r="CB64" s="1865" t="str">
        <f t="shared" si="21"/>
        <v xml:space="preserve">* La variable Facilitador/a Intercultural Pueblos Originarios  no puede superar el Total. </v>
      </c>
      <c r="CL64" s="3922">
        <f t="shared" si="22"/>
        <v>1</v>
      </c>
    </row>
    <row r="65" spans="1:90" ht="21" customHeight="1" x14ac:dyDescent="0.25">
      <c r="A65" s="5825">
        <v>27601018</v>
      </c>
      <c r="B65" s="6331"/>
      <c r="C65" s="6054" t="s">
        <v>3208</v>
      </c>
      <c r="D65" s="4771" t="s">
        <v>461</v>
      </c>
      <c r="E65" s="4772" t="s">
        <v>4567</v>
      </c>
      <c r="F65" s="1726" t="s">
        <v>4568</v>
      </c>
      <c r="G65" s="750" t="s">
        <v>4569</v>
      </c>
      <c r="H65" s="750" t="s">
        <v>4570</v>
      </c>
      <c r="I65" s="4773" t="s">
        <v>4571</v>
      </c>
      <c r="J65" s="4774" t="s">
        <v>4572</v>
      </c>
      <c r="K65" s="1936" t="str">
        <f t="shared" si="23"/>
        <v xml:space="preserve">* La variable Facilitador/a Intercultural Pueblos Originarios  no puede superar el Total. </v>
      </c>
      <c r="CB65" s="1865" t="str">
        <f t="shared" si="21"/>
        <v xml:space="preserve">* La variable Facilitador/a Intercultural Pueblos Originarios  no puede superar el Total. </v>
      </c>
      <c r="CL65" s="3922">
        <f t="shared" si="22"/>
        <v>1</v>
      </c>
    </row>
    <row r="66" spans="1:90" x14ac:dyDescent="0.25">
      <c r="A66" s="5825">
        <v>27601019</v>
      </c>
      <c r="B66" s="7614"/>
      <c r="C66" s="6808"/>
      <c r="D66" s="4775" t="s">
        <v>59</v>
      </c>
      <c r="E66" s="2829" t="s">
        <v>4567</v>
      </c>
      <c r="F66" s="1114" t="s">
        <v>4568</v>
      </c>
      <c r="G66" s="1258" t="s">
        <v>4569</v>
      </c>
      <c r="H66" s="1258" t="s">
        <v>4570</v>
      </c>
      <c r="I66" s="1128" t="s">
        <v>4571</v>
      </c>
      <c r="J66" s="1255" t="s">
        <v>4572</v>
      </c>
      <c r="K66" s="1936"/>
      <c r="CB66" s="1865" t="str">
        <f t="shared" si="21"/>
        <v xml:space="preserve">* La variable Facilitador/a Intercultural Pueblos Originarios  no puede superar el Total. </v>
      </c>
      <c r="CL66" s="3922">
        <f t="shared" si="22"/>
        <v>1</v>
      </c>
    </row>
    <row r="67" spans="1:90" x14ac:dyDescent="0.25">
      <c r="A67" s="5824">
        <v>27500260</v>
      </c>
      <c r="B67" s="6331"/>
      <c r="C67" s="6909" t="s">
        <v>3170</v>
      </c>
      <c r="D67" s="7622"/>
      <c r="E67" s="352" t="s">
        <v>4567</v>
      </c>
      <c r="F67" s="4776" t="s">
        <v>4568</v>
      </c>
      <c r="G67" s="242" t="s">
        <v>4569</v>
      </c>
      <c r="H67" s="242" t="s">
        <v>4570</v>
      </c>
      <c r="I67" s="3099" t="s">
        <v>4571</v>
      </c>
      <c r="J67" s="4777" t="s">
        <v>4572</v>
      </c>
      <c r="K67" s="1936" t="str">
        <f t="shared" si="23"/>
        <v xml:space="preserve">* La variable Facilitador/a Intercultural Pueblos Originarios  no puede superar el Total. </v>
      </c>
      <c r="CB67" s="1865" t="str">
        <f t="shared" si="21"/>
        <v xml:space="preserve">* La variable Facilitador/a Intercultural Pueblos Originarios  no puede superar el Total. </v>
      </c>
      <c r="CL67" s="3922">
        <f t="shared" si="22"/>
        <v>1</v>
      </c>
    </row>
    <row r="68" spans="1:90" ht="21" customHeight="1" x14ac:dyDescent="0.25">
      <c r="A68" s="5824">
        <v>27500140</v>
      </c>
      <c r="B68" s="6331"/>
      <c r="C68" s="7020" t="s">
        <v>3171</v>
      </c>
      <c r="D68" s="7021"/>
      <c r="E68" s="193" t="s">
        <v>4567</v>
      </c>
      <c r="F68" s="192" t="s">
        <v>4568</v>
      </c>
      <c r="G68" s="580" t="s">
        <v>4569</v>
      </c>
      <c r="H68" s="580" t="s">
        <v>4570</v>
      </c>
      <c r="I68" s="1098" t="s">
        <v>4571</v>
      </c>
      <c r="J68" s="4770" t="s">
        <v>4572</v>
      </c>
      <c r="K68" s="1936" t="str">
        <f t="shared" si="23"/>
        <v xml:space="preserve">* La variable Facilitador/a Intercultural Pueblos Originarios  no puede superar el Total. </v>
      </c>
      <c r="CB68" s="1865" t="str">
        <f t="shared" si="21"/>
        <v xml:space="preserve">* La variable Facilitador/a Intercultural Pueblos Originarios  no puede superar el Total. </v>
      </c>
      <c r="CL68" s="3922">
        <f t="shared" si="22"/>
        <v>1</v>
      </c>
    </row>
    <row r="69" spans="1:90" ht="21" customHeight="1" x14ac:dyDescent="0.25">
      <c r="A69" s="5825">
        <v>27601020</v>
      </c>
      <c r="B69" s="6331"/>
      <c r="C69" s="7222" t="s">
        <v>3172</v>
      </c>
      <c r="D69" s="4778" t="s">
        <v>3173</v>
      </c>
      <c r="E69" s="4779" t="s">
        <v>4567</v>
      </c>
      <c r="F69" s="1726" t="s">
        <v>4568</v>
      </c>
      <c r="G69" s="750" t="s">
        <v>4569</v>
      </c>
      <c r="H69" s="750" t="s">
        <v>4570</v>
      </c>
      <c r="I69" s="4773" t="s">
        <v>4571</v>
      </c>
      <c r="J69" s="4774" t="s">
        <v>4572</v>
      </c>
      <c r="K69" s="1936" t="str">
        <f t="shared" si="23"/>
        <v xml:space="preserve">* La variable Facilitador/a Intercultural Pueblos Originarios  no puede superar el Total. </v>
      </c>
      <c r="CB69" s="1865" t="str">
        <f t="shared" si="21"/>
        <v xml:space="preserve">* La variable Facilitador/a Intercultural Pueblos Originarios  no puede superar el Total. </v>
      </c>
      <c r="CL69" s="3922">
        <f t="shared" si="22"/>
        <v>1</v>
      </c>
    </row>
    <row r="70" spans="1:90" ht="15" customHeight="1" x14ac:dyDescent="0.25">
      <c r="A70" s="5825">
        <v>27601021</v>
      </c>
      <c r="B70" s="6331"/>
      <c r="C70" s="7222"/>
      <c r="D70" s="1721" t="s">
        <v>2638</v>
      </c>
      <c r="E70" s="2829" t="s">
        <v>4567</v>
      </c>
      <c r="F70" s="1114" t="s">
        <v>4568</v>
      </c>
      <c r="G70" s="1258" t="s">
        <v>4569</v>
      </c>
      <c r="H70" s="1258" t="s">
        <v>4570</v>
      </c>
      <c r="I70" s="1128" t="s">
        <v>4571</v>
      </c>
      <c r="J70" s="1255" t="s">
        <v>4572</v>
      </c>
      <c r="K70" s="1936" t="str">
        <f t="shared" si="23"/>
        <v xml:space="preserve">* La variable Facilitador/a Intercultural Pueblos Originarios  no puede superar el Total. </v>
      </c>
      <c r="CB70" s="1865" t="str">
        <f t="shared" si="21"/>
        <v xml:space="preserve">* La variable Facilitador/a Intercultural Pueblos Originarios  no puede superar el Total. </v>
      </c>
      <c r="CL70" s="3922">
        <f t="shared" si="22"/>
        <v>1</v>
      </c>
    </row>
    <row r="71" spans="1:90" x14ac:dyDescent="0.25">
      <c r="A71" s="5824">
        <v>27300922</v>
      </c>
      <c r="B71" s="6331"/>
      <c r="C71" s="6229" t="s">
        <v>3174</v>
      </c>
      <c r="D71" s="7623"/>
      <c r="E71" s="352" t="s">
        <v>4567</v>
      </c>
      <c r="F71" s="4776" t="s">
        <v>4568</v>
      </c>
      <c r="G71" s="242" t="s">
        <v>4569</v>
      </c>
      <c r="H71" s="242" t="s">
        <v>4570</v>
      </c>
      <c r="I71" s="3099" t="s">
        <v>4571</v>
      </c>
      <c r="J71" s="4777" t="s">
        <v>4572</v>
      </c>
      <c r="K71" s="1936" t="str">
        <f t="shared" si="23"/>
        <v xml:space="preserve">* La variable Facilitador/a Intercultural Pueblos Originarios  no puede superar el Total. </v>
      </c>
      <c r="CB71" s="1865" t="str">
        <f t="shared" si="21"/>
        <v xml:space="preserve">* La variable Facilitador/a Intercultural Pueblos Originarios  no puede superar el Total. </v>
      </c>
      <c r="CL71" s="3922">
        <f t="shared" si="22"/>
        <v>1</v>
      </c>
    </row>
    <row r="72" spans="1:90" ht="15" customHeight="1" x14ac:dyDescent="0.25">
      <c r="A72" s="5824">
        <v>27300908</v>
      </c>
      <c r="B72" s="6331"/>
      <c r="C72" s="7328" t="s">
        <v>3175</v>
      </c>
      <c r="D72" s="4743" t="s">
        <v>3176</v>
      </c>
      <c r="E72" s="1159" t="s">
        <v>4567</v>
      </c>
      <c r="F72" s="1083" t="s">
        <v>4568</v>
      </c>
      <c r="G72" s="750" t="s">
        <v>4569</v>
      </c>
      <c r="H72" s="750" t="s">
        <v>4570</v>
      </c>
      <c r="I72" s="1084" t="s">
        <v>4571</v>
      </c>
      <c r="J72" s="1260" t="s">
        <v>4572</v>
      </c>
      <c r="K72" s="1936" t="str">
        <f t="shared" si="23"/>
        <v xml:space="preserve">* La variable Facilitador/a Intercultural Pueblos Originarios  no puede superar el Total. </v>
      </c>
      <c r="CB72" s="1865" t="str">
        <f t="shared" si="21"/>
        <v xml:space="preserve">* La variable Facilitador/a Intercultural Pueblos Originarios  no puede superar el Total. </v>
      </c>
      <c r="CL72" s="3922">
        <f t="shared" si="22"/>
        <v>1</v>
      </c>
    </row>
    <row r="73" spans="1:90" ht="15" customHeight="1" x14ac:dyDescent="0.25">
      <c r="A73" s="5824">
        <v>27300909</v>
      </c>
      <c r="B73" s="6331"/>
      <c r="C73" s="6112"/>
      <c r="D73" s="4735" t="s">
        <v>3177</v>
      </c>
      <c r="E73" s="1162" t="s">
        <v>4567</v>
      </c>
      <c r="F73" s="1091" t="s">
        <v>4568</v>
      </c>
      <c r="G73" s="1253" t="s">
        <v>4569</v>
      </c>
      <c r="H73" s="1253" t="s">
        <v>4570</v>
      </c>
      <c r="I73" s="1092" t="s">
        <v>4571</v>
      </c>
      <c r="J73" s="1250" t="s">
        <v>4572</v>
      </c>
      <c r="K73" s="1936" t="str">
        <f t="shared" si="23"/>
        <v xml:space="preserve">* La variable Facilitador/a Intercultural Pueblos Originarios  no puede superar el Total. </v>
      </c>
      <c r="CB73" s="1865" t="str">
        <f t="shared" si="21"/>
        <v xml:space="preserve">* La variable Facilitador/a Intercultural Pueblos Originarios  no puede superar el Total. </v>
      </c>
      <c r="CL73" s="3922">
        <f t="shared" si="22"/>
        <v>1</v>
      </c>
    </row>
    <row r="74" spans="1:90" x14ac:dyDescent="0.25">
      <c r="A74" s="5824">
        <v>27300910</v>
      </c>
      <c r="B74" s="6331"/>
      <c r="C74" s="7464"/>
      <c r="D74" s="416" t="s">
        <v>591</v>
      </c>
      <c r="E74" s="1163" t="s">
        <v>4567</v>
      </c>
      <c r="F74" s="1127" t="s">
        <v>4568</v>
      </c>
      <c r="G74" s="1258" t="s">
        <v>4569</v>
      </c>
      <c r="H74" s="1258" t="s">
        <v>4570</v>
      </c>
      <c r="I74" s="1128" t="s">
        <v>4571</v>
      </c>
      <c r="J74" s="1255" t="s">
        <v>4572</v>
      </c>
      <c r="K74" s="1936" t="str">
        <f t="shared" si="23"/>
        <v xml:space="preserve">* La variable Facilitador/a Intercultural Pueblos Originarios  no puede superar el Total. </v>
      </c>
      <c r="CB74" s="1865" t="str">
        <f t="shared" si="21"/>
        <v xml:space="preserve">* La variable Facilitador/a Intercultural Pueblos Originarios  no puede superar el Total. </v>
      </c>
      <c r="CL74" s="3922">
        <f t="shared" si="22"/>
        <v>1</v>
      </c>
    </row>
    <row r="75" spans="1:90" x14ac:dyDescent="0.25">
      <c r="A75" s="5824">
        <v>27300900</v>
      </c>
      <c r="B75" s="6331"/>
      <c r="C75" s="7328" t="s">
        <v>3178</v>
      </c>
      <c r="D75" s="4635" t="s">
        <v>3179</v>
      </c>
      <c r="E75" s="1077" t="s">
        <v>4567</v>
      </c>
      <c r="F75" s="1081" t="s">
        <v>4568</v>
      </c>
      <c r="G75" s="750" t="s">
        <v>4569</v>
      </c>
      <c r="H75" s="750" t="s">
        <v>4570</v>
      </c>
      <c r="I75" s="1084" t="s">
        <v>4571</v>
      </c>
      <c r="J75" s="1260" t="s">
        <v>4572</v>
      </c>
      <c r="K75" s="1936" t="str">
        <f t="shared" si="23"/>
        <v xml:space="preserve">* La variable Facilitador/a Intercultural Pueblos Originarios  no puede superar el Total. </v>
      </c>
      <c r="CB75" s="1865" t="str">
        <f t="shared" si="21"/>
        <v xml:space="preserve">* La variable Facilitador/a Intercultural Pueblos Originarios  no puede superar el Total. </v>
      </c>
      <c r="CL75" s="3922">
        <f t="shared" si="22"/>
        <v>1</v>
      </c>
    </row>
    <row r="76" spans="1:90" ht="15" customHeight="1" x14ac:dyDescent="0.25">
      <c r="A76" s="5824">
        <v>27400200</v>
      </c>
      <c r="B76" s="6331"/>
      <c r="C76" s="6112"/>
      <c r="D76" s="4714" t="s">
        <v>3180</v>
      </c>
      <c r="E76" s="193" t="s">
        <v>4567</v>
      </c>
      <c r="F76" s="1089" t="s">
        <v>4568</v>
      </c>
      <c r="G76" s="1253" t="s">
        <v>4569</v>
      </c>
      <c r="H76" s="1253" t="s">
        <v>4570</v>
      </c>
      <c r="I76" s="1092" t="s">
        <v>4571</v>
      </c>
      <c r="J76" s="1250" t="s">
        <v>4572</v>
      </c>
      <c r="K76" s="1936" t="str">
        <f t="shared" si="23"/>
        <v xml:space="preserve">* La variable Facilitador/a Intercultural Pueblos Originarios  no puede superar el Total. </v>
      </c>
      <c r="CB76" s="1865" t="str">
        <f t="shared" si="21"/>
        <v xml:space="preserve">* La variable Facilitador/a Intercultural Pueblos Originarios  no puede superar el Total. </v>
      </c>
      <c r="CL76" s="3922">
        <f t="shared" si="22"/>
        <v>1</v>
      </c>
    </row>
    <row r="77" spans="1:90" x14ac:dyDescent="0.25">
      <c r="A77" s="5824">
        <v>27400250</v>
      </c>
      <c r="B77" s="6331"/>
      <c r="C77" s="7464"/>
      <c r="D77" s="416" t="s">
        <v>591</v>
      </c>
      <c r="E77" s="1163" t="s">
        <v>4567</v>
      </c>
      <c r="F77" s="1114" t="s">
        <v>4568</v>
      </c>
      <c r="G77" s="1258" t="s">
        <v>4569</v>
      </c>
      <c r="H77" s="1258" t="s">
        <v>4570</v>
      </c>
      <c r="I77" s="1128" t="s">
        <v>4571</v>
      </c>
      <c r="J77" s="1255" t="s">
        <v>4572</v>
      </c>
      <c r="K77" s="1936" t="str">
        <f t="shared" si="23"/>
        <v xml:space="preserve">* La variable Facilitador/a Intercultural Pueblos Originarios  no puede superar el Total. </v>
      </c>
      <c r="CB77" s="1865" t="str">
        <f t="shared" si="21"/>
        <v xml:space="preserve">* La variable Facilitador/a Intercultural Pueblos Originarios  no puede superar el Total. </v>
      </c>
      <c r="CL77" s="3922">
        <f t="shared" si="22"/>
        <v>1</v>
      </c>
    </row>
    <row r="78" spans="1:90" x14ac:dyDescent="0.25">
      <c r="A78" s="5824">
        <v>27300200</v>
      </c>
      <c r="B78" s="6331"/>
      <c r="C78" s="7619" t="s">
        <v>3181</v>
      </c>
      <c r="D78" s="7620"/>
      <c r="E78" s="1069" t="s">
        <v>4567</v>
      </c>
      <c r="F78" s="1070" t="s">
        <v>4568</v>
      </c>
      <c r="G78" s="4562" t="s">
        <v>4569</v>
      </c>
      <c r="H78" s="4562" t="s">
        <v>4570</v>
      </c>
      <c r="I78" s="1073" t="s">
        <v>4571</v>
      </c>
      <c r="J78" s="4780" t="s">
        <v>4572</v>
      </c>
      <c r="K78" s="1936" t="str">
        <f t="shared" si="23"/>
        <v xml:space="preserve">* La variable Facilitador/a Intercultural Pueblos Originarios  no puede superar el Total. </v>
      </c>
      <c r="CB78" s="1865" t="str">
        <f t="shared" si="21"/>
        <v xml:space="preserve">* La variable Facilitador/a Intercultural Pueblos Originarios  no puede superar el Total. </v>
      </c>
      <c r="CL78" s="3922">
        <f t="shared" si="22"/>
        <v>1</v>
      </c>
    </row>
    <row r="79" spans="1:90" ht="15" customHeight="1" x14ac:dyDescent="0.25">
      <c r="A79" s="5824">
        <v>27300923</v>
      </c>
      <c r="B79" s="6331"/>
      <c r="C79" s="7464" t="s">
        <v>3182</v>
      </c>
      <c r="D79" s="1784" t="s">
        <v>3183</v>
      </c>
      <c r="E79" s="195" t="s">
        <v>4567</v>
      </c>
      <c r="F79" s="290" t="s">
        <v>4568</v>
      </c>
      <c r="G79" s="531" t="s">
        <v>4569</v>
      </c>
      <c r="H79" s="531" t="s">
        <v>4570</v>
      </c>
      <c r="I79" s="714" t="s">
        <v>4571</v>
      </c>
      <c r="J79" s="369" t="s">
        <v>4572</v>
      </c>
      <c r="K79" s="1936" t="str">
        <f t="shared" si="23"/>
        <v xml:space="preserve">* La variable Facilitador/a Intercultural Pueblos Originarios  no puede superar el Total. </v>
      </c>
      <c r="CB79" s="1865" t="str">
        <f t="shared" si="21"/>
        <v xml:space="preserve">* La variable Facilitador/a Intercultural Pueblos Originarios  no puede superar el Total. </v>
      </c>
      <c r="CL79" s="3922">
        <f t="shared" si="22"/>
        <v>1</v>
      </c>
    </row>
    <row r="80" spans="1:90" x14ac:dyDescent="0.25">
      <c r="A80" s="5824">
        <v>27300924</v>
      </c>
      <c r="B80" s="6331"/>
      <c r="C80" s="7621"/>
      <c r="D80" s="4619" t="s">
        <v>3184</v>
      </c>
      <c r="E80" s="193" t="s">
        <v>4567</v>
      </c>
      <c r="F80" s="1089" t="s">
        <v>4568</v>
      </c>
      <c r="G80" s="1253" t="s">
        <v>4569</v>
      </c>
      <c r="H80" s="1253" t="s">
        <v>4570</v>
      </c>
      <c r="I80" s="1092" t="s">
        <v>4571</v>
      </c>
      <c r="J80" s="1250" t="s">
        <v>4572</v>
      </c>
      <c r="K80" s="1936" t="str">
        <f t="shared" si="23"/>
        <v xml:space="preserve">* La variable Facilitador/a Intercultural Pueblos Originarios  no puede superar el Total. </v>
      </c>
      <c r="CB80" s="1865" t="str">
        <f t="shared" si="21"/>
        <v xml:space="preserve">* La variable Facilitador/a Intercultural Pueblos Originarios  no puede superar el Total. </v>
      </c>
      <c r="CL80" s="3922">
        <f t="shared" si="22"/>
        <v>1</v>
      </c>
    </row>
    <row r="81" spans="1:90" ht="15" customHeight="1" x14ac:dyDescent="0.25">
      <c r="A81" s="5824">
        <v>27300925</v>
      </c>
      <c r="B81" s="6331"/>
      <c r="C81" s="7313" t="s">
        <v>3185</v>
      </c>
      <c r="D81" s="7313"/>
      <c r="E81" s="193" t="s">
        <v>4567</v>
      </c>
      <c r="F81" s="1089" t="s">
        <v>4568</v>
      </c>
      <c r="G81" s="1253" t="s">
        <v>4569</v>
      </c>
      <c r="H81" s="1253" t="s">
        <v>4570</v>
      </c>
      <c r="I81" s="1092" t="s">
        <v>4571</v>
      </c>
      <c r="J81" s="1250" t="s">
        <v>4572</v>
      </c>
      <c r="K81" s="1936" t="str">
        <f t="shared" si="23"/>
        <v xml:space="preserve">* La variable Facilitador/a Intercultural Pueblos Originarios  no puede superar el Total. </v>
      </c>
      <c r="CB81" s="1865" t="str">
        <f t="shared" si="21"/>
        <v xml:space="preserve">* La variable Facilitador/a Intercultural Pueblos Originarios  no puede superar el Total. </v>
      </c>
      <c r="CL81" s="3922">
        <f t="shared" si="22"/>
        <v>1</v>
      </c>
    </row>
    <row r="82" spans="1:90" x14ac:dyDescent="0.25">
      <c r="A82" s="5824">
        <v>27290302</v>
      </c>
      <c r="B82" s="6331"/>
      <c r="C82" s="6909" t="s">
        <v>3186</v>
      </c>
      <c r="D82" s="6910"/>
      <c r="E82" s="193" t="s">
        <v>4567</v>
      </c>
      <c r="F82" s="1089" t="s">
        <v>4568</v>
      </c>
      <c r="G82" s="1253" t="s">
        <v>4569</v>
      </c>
      <c r="H82" s="1253" t="s">
        <v>4570</v>
      </c>
      <c r="I82" s="1092" t="s">
        <v>4571</v>
      </c>
      <c r="J82" s="1250" t="s">
        <v>4572</v>
      </c>
      <c r="K82" s="1936" t="str">
        <f t="shared" si="23"/>
        <v xml:space="preserve">* La variable Facilitador/a Intercultural Pueblos Originarios  no puede superar el Total. </v>
      </c>
      <c r="CB82" s="1865" t="str">
        <f t="shared" si="21"/>
        <v xml:space="preserve">* La variable Facilitador/a Intercultural Pueblos Originarios  no puede superar el Total. </v>
      </c>
      <c r="CL82" s="3922">
        <f t="shared" si="22"/>
        <v>1</v>
      </c>
    </row>
    <row r="83" spans="1:90" ht="15" customHeight="1" x14ac:dyDescent="0.25">
      <c r="A83" s="5824">
        <v>27400020</v>
      </c>
      <c r="B83" s="6331"/>
      <c r="C83" s="7341" t="s">
        <v>3187</v>
      </c>
      <c r="D83" s="7342"/>
      <c r="E83" s="193" t="s">
        <v>4567</v>
      </c>
      <c r="F83" s="192" t="s">
        <v>4568</v>
      </c>
      <c r="G83" s="580" t="s">
        <v>4569</v>
      </c>
      <c r="H83" s="580" t="s">
        <v>4570</v>
      </c>
      <c r="I83" s="1098" t="s">
        <v>4571</v>
      </c>
      <c r="J83" s="4770" t="s">
        <v>4572</v>
      </c>
      <c r="K83" s="1936" t="str">
        <f t="shared" si="23"/>
        <v xml:space="preserve">* La variable Facilitador/a Intercultural Pueblos Originarios  no puede superar el Total. </v>
      </c>
      <c r="CB83" s="1865" t="str">
        <f t="shared" si="21"/>
        <v xml:space="preserve">* La variable Facilitador/a Intercultural Pueblos Originarios  no puede superar el Total. </v>
      </c>
      <c r="CL83" s="3922">
        <f t="shared" si="22"/>
        <v>1</v>
      </c>
    </row>
    <row r="84" spans="1:90" x14ac:dyDescent="0.25">
      <c r="A84" s="5824">
        <v>27282400</v>
      </c>
      <c r="B84" s="6331"/>
      <c r="C84" s="7602" t="s">
        <v>3188</v>
      </c>
      <c r="D84" s="7603"/>
      <c r="E84" s="193" t="s">
        <v>4567</v>
      </c>
      <c r="F84" s="192" t="s">
        <v>4568</v>
      </c>
      <c r="G84" s="580" t="s">
        <v>4569</v>
      </c>
      <c r="H84" s="580" t="s">
        <v>4570</v>
      </c>
      <c r="I84" s="1098" t="s">
        <v>4571</v>
      </c>
      <c r="J84" s="4770" t="s">
        <v>4572</v>
      </c>
      <c r="K84" s="1936" t="str">
        <f t="shared" si="23"/>
        <v xml:space="preserve">* La variable Facilitador/a Intercultural Pueblos Originarios  no puede superar el Total. </v>
      </c>
      <c r="CB84" s="1865" t="str">
        <f t="shared" si="21"/>
        <v xml:space="preserve">* La variable Facilitador/a Intercultural Pueblos Originarios  no puede superar el Total. </v>
      </c>
      <c r="CL84" s="3922">
        <f t="shared" si="22"/>
        <v>1</v>
      </c>
    </row>
    <row r="85" spans="1:90" ht="15" customHeight="1" x14ac:dyDescent="0.25">
      <c r="A85" s="5824">
        <v>27282500</v>
      </c>
      <c r="B85" s="6331"/>
      <c r="C85" s="7328" t="s">
        <v>3189</v>
      </c>
      <c r="D85" s="4755" t="s">
        <v>3190</v>
      </c>
      <c r="E85" s="1077" t="s">
        <v>4567</v>
      </c>
      <c r="F85" s="1081" t="s">
        <v>4568</v>
      </c>
      <c r="G85" s="750" t="s">
        <v>4569</v>
      </c>
      <c r="H85" s="750" t="s">
        <v>4570</v>
      </c>
      <c r="I85" s="1084" t="s">
        <v>4571</v>
      </c>
      <c r="J85" s="1260" t="s">
        <v>4572</v>
      </c>
      <c r="K85" s="1936" t="str">
        <f t="shared" si="23"/>
        <v xml:space="preserve">* La variable Facilitador/a Intercultural Pueblos Originarios  no puede superar el Total. </v>
      </c>
      <c r="CB85" s="1865" t="str">
        <f t="shared" si="21"/>
        <v xml:space="preserve">* La variable Facilitador/a Intercultural Pueblos Originarios  no puede superar el Total. </v>
      </c>
      <c r="CL85" s="3922">
        <f t="shared" si="22"/>
        <v>1</v>
      </c>
    </row>
    <row r="86" spans="1:90" x14ac:dyDescent="0.25">
      <c r="A86" s="5824">
        <v>27282600</v>
      </c>
      <c r="B86" s="6331"/>
      <c r="C86" s="6112"/>
      <c r="D86" s="4756" t="s">
        <v>3191</v>
      </c>
      <c r="E86" s="193" t="s">
        <v>4567</v>
      </c>
      <c r="F86" s="1089" t="s">
        <v>4568</v>
      </c>
      <c r="G86" s="1253" t="s">
        <v>4569</v>
      </c>
      <c r="H86" s="1253" t="s">
        <v>4570</v>
      </c>
      <c r="I86" s="1092" t="s">
        <v>4571</v>
      </c>
      <c r="J86" s="1250" t="s">
        <v>4572</v>
      </c>
      <c r="K86" s="1936" t="str">
        <f t="shared" si="23"/>
        <v xml:space="preserve">* La variable Facilitador/a Intercultural Pueblos Originarios  no puede superar el Total. </v>
      </c>
      <c r="CB86" s="1865" t="str">
        <f t="shared" si="21"/>
        <v xml:space="preserve">* La variable Facilitador/a Intercultural Pueblos Originarios  no puede superar el Total. </v>
      </c>
      <c r="CL86" s="3922">
        <f t="shared" si="22"/>
        <v>1</v>
      </c>
    </row>
    <row r="87" spans="1:90" ht="15" customHeight="1" x14ac:dyDescent="0.25">
      <c r="A87" s="5824">
        <v>27290303</v>
      </c>
      <c r="B87" s="6331"/>
      <c r="C87" s="6112"/>
      <c r="D87" s="1401" t="s">
        <v>3192</v>
      </c>
      <c r="E87" s="193" t="s">
        <v>4567</v>
      </c>
      <c r="F87" s="192" t="s">
        <v>4568</v>
      </c>
      <c r="G87" s="580" t="s">
        <v>4569</v>
      </c>
      <c r="H87" s="580" t="s">
        <v>4570</v>
      </c>
      <c r="I87" s="1098" t="s">
        <v>4571</v>
      </c>
      <c r="J87" s="4770" t="s">
        <v>4572</v>
      </c>
      <c r="K87" s="1936" t="str">
        <f t="shared" si="23"/>
        <v xml:space="preserve">* La variable Facilitador/a Intercultural Pueblos Originarios  no puede superar el Total. </v>
      </c>
      <c r="CB87" s="1865" t="str">
        <f t="shared" si="21"/>
        <v xml:space="preserve">* La variable Facilitador/a Intercultural Pueblos Originarios  no puede superar el Total. </v>
      </c>
      <c r="CL87" s="3922">
        <f t="shared" si="22"/>
        <v>1</v>
      </c>
    </row>
    <row r="88" spans="1:90" x14ac:dyDescent="0.25">
      <c r="A88" s="5824">
        <v>29101564</v>
      </c>
      <c r="B88" s="6331"/>
      <c r="C88" s="6112"/>
      <c r="D88" s="4757" t="s">
        <v>3193</v>
      </c>
      <c r="E88" s="193" t="s">
        <v>4567</v>
      </c>
      <c r="F88" s="192" t="s">
        <v>4568</v>
      </c>
      <c r="G88" s="580" t="s">
        <v>4569</v>
      </c>
      <c r="H88" s="580" t="s">
        <v>4570</v>
      </c>
      <c r="I88" s="1098" t="s">
        <v>4571</v>
      </c>
      <c r="J88" s="4770" t="s">
        <v>4572</v>
      </c>
      <c r="K88" s="1936" t="str">
        <f t="shared" si="23"/>
        <v xml:space="preserve">* La variable Facilitador/a Intercultural Pueblos Originarios  no puede superar el Total. </v>
      </c>
      <c r="CB88" s="1865" t="str">
        <f t="shared" si="21"/>
        <v xml:space="preserve">* La variable Facilitador/a Intercultural Pueblos Originarios  no puede superar el Total. </v>
      </c>
      <c r="CL88" s="3922">
        <f t="shared" si="22"/>
        <v>1</v>
      </c>
    </row>
    <row r="89" spans="1:90" ht="15" customHeight="1" x14ac:dyDescent="0.25">
      <c r="A89" s="5824">
        <v>29101565</v>
      </c>
      <c r="B89" s="6331"/>
      <c r="C89" s="7464"/>
      <c r="D89" s="4781" t="s">
        <v>3194</v>
      </c>
      <c r="E89" s="193" t="s">
        <v>4567</v>
      </c>
      <c r="F89" s="192" t="s">
        <v>4568</v>
      </c>
      <c r="G89" s="580" t="s">
        <v>4569</v>
      </c>
      <c r="H89" s="580" t="s">
        <v>4570</v>
      </c>
      <c r="I89" s="1098" t="s">
        <v>4571</v>
      </c>
      <c r="J89" s="4770" t="s">
        <v>4572</v>
      </c>
      <c r="K89" s="1936" t="str">
        <f t="shared" si="23"/>
        <v xml:space="preserve">* La variable Facilitador/a Intercultural Pueblos Originarios  no puede superar el Total. </v>
      </c>
      <c r="CB89" s="1865" t="str">
        <f t="shared" si="21"/>
        <v xml:space="preserve">* La variable Facilitador/a Intercultural Pueblos Originarios  no puede superar el Total. </v>
      </c>
      <c r="CL89" s="3922">
        <f t="shared" si="22"/>
        <v>1</v>
      </c>
    </row>
    <row r="90" spans="1:90" ht="15" customHeight="1" x14ac:dyDescent="0.25">
      <c r="A90" s="5824">
        <v>27300912</v>
      </c>
      <c r="B90" s="6331"/>
      <c r="C90" s="7610" t="s">
        <v>3195</v>
      </c>
      <c r="D90" s="7611"/>
      <c r="E90" s="1159" t="s">
        <v>4567</v>
      </c>
      <c r="F90" s="1081" t="s">
        <v>4568</v>
      </c>
      <c r="G90" s="750" t="s">
        <v>4569</v>
      </c>
      <c r="H90" s="750" t="s">
        <v>4570</v>
      </c>
      <c r="I90" s="4347" t="s">
        <v>4571</v>
      </c>
      <c r="J90" s="1260" t="s">
        <v>4572</v>
      </c>
      <c r="K90" s="1936" t="str">
        <f t="shared" si="23"/>
        <v xml:space="preserve">* La variable Facilitador/a Intercultural Pueblos Originarios  no puede superar el Total. </v>
      </c>
      <c r="CB90" s="1865" t="str">
        <f t="shared" si="21"/>
        <v xml:space="preserve">* La variable Facilitador/a Intercultural Pueblos Originarios  no puede superar el Total. </v>
      </c>
      <c r="CL90" s="3922">
        <f t="shared" si="22"/>
        <v>1</v>
      </c>
    </row>
    <row r="91" spans="1:90" ht="15.75" customHeight="1" x14ac:dyDescent="0.25">
      <c r="A91" s="5824">
        <v>27500150</v>
      </c>
      <c r="B91" s="6331"/>
      <c r="C91" s="7598" t="s">
        <v>3196</v>
      </c>
      <c r="D91" s="7599"/>
      <c r="E91" s="4733" t="s">
        <v>4567</v>
      </c>
      <c r="F91" s="1264" t="s">
        <v>4568</v>
      </c>
      <c r="G91" s="262" t="s">
        <v>4569</v>
      </c>
      <c r="H91" s="262" t="s">
        <v>4570</v>
      </c>
      <c r="I91" s="3219" t="s">
        <v>4571</v>
      </c>
      <c r="J91" s="4769" t="s">
        <v>4572</v>
      </c>
      <c r="K91" s="1936" t="str">
        <f t="shared" si="23"/>
        <v xml:space="preserve">* La variable Facilitador/a Intercultural Pueblos Originarios  no puede superar el Total. </v>
      </c>
      <c r="CB91" s="1865" t="str">
        <f t="shared" si="21"/>
        <v xml:space="preserve">* La variable Facilitador/a Intercultural Pueblos Originarios  no puede superar el Total. </v>
      </c>
      <c r="CL91" s="3922">
        <f t="shared" si="22"/>
        <v>1</v>
      </c>
    </row>
    <row r="92" spans="1:90" x14ac:dyDescent="0.25">
      <c r="A92" s="5825">
        <v>27601022</v>
      </c>
      <c r="B92" s="6331"/>
      <c r="C92" s="7615" t="s">
        <v>3197</v>
      </c>
      <c r="D92" s="4760" t="s">
        <v>3198</v>
      </c>
      <c r="E92" s="1159" t="s">
        <v>4567</v>
      </c>
      <c r="F92" s="1726" t="s">
        <v>4568</v>
      </c>
      <c r="G92" s="750" t="s">
        <v>4569</v>
      </c>
      <c r="H92" s="750" t="s">
        <v>4570</v>
      </c>
      <c r="I92" s="4782" t="s">
        <v>4571</v>
      </c>
      <c r="J92" s="4774" t="s">
        <v>4572</v>
      </c>
      <c r="K92" s="1936" t="str">
        <f t="shared" si="23"/>
        <v xml:space="preserve">* La variable Facilitador/a Intercultural Pueblos Originarios  no puede superar el Total. </v>
      </c>
      <c r="CB92" s="1865" t="str">
        <f t="shared" si="21"/>
        <v xml:space="preserve">* La variable Facilitador/a Intercultural Pueblos Originarios  no puede superar el Total. </v>
      </c>
      <c r="CL92" s="3922">
        <f t="shared" si="22"/>
        <v>1</v>
      </c>
    </row>
    <row r="93" spans="1:90" ht="22.5" x14ac:dyDescent="0.25">
      <c r="A93" s="5825">
        <v>27601023</v>
      </c>
      <c r="B93" s="6331"/>
      <c r="C93" s="7616"/>
      <c r="D93" s="4761" t="s">
        <v>3199</v>
      </c>
      <c r="E93" s="1162" t="s">
        <v>4567</v>
      </c>
      <c r="F93" s="1089" t="s">
        <v>4568</v>
      </c>
      <c r="G93" s="1253" t="s">
        <v>4569</v>
      </c>
      <c r="H93" s="1253" t="s">
        <v>4570</v>
      </c>
      <c r="I93" s="1311" t="s">
        <v>4571</v>
      </c>
      <c r="J93" s="1250" t="s">
        <v>4572</v>
      </c>
      <c r="K93" s="1936" t="str">
        <f t="shared" si="23"/>
        <v xml:space="preserve">* La variable Facilitador/a Intercultural Pueblos Originarios  no puede superar el Total. </v>
      </c>
      <c r="CB93" s="1865" t="str">
        <f t="shared" si="21"/>
        <v xml:space="preserve">* La variable Facilitador/a Intercultural Pueblos Originarios  no puede superar el Total. </v>
      </c>
      <c r="CL93" s="3922">
        <f t="shared" si="22"/>
        <v>1</v>
      </c>
    </row>
    <row r="94" spans="1:90" ht="21" x14ac:dyDescent="0.25">
      <c r="A94" s="5825">
        <v>27601024</v>
      </c>
      <c r="B94" s="6331"/>
      <c r="C94" s="7616"/>
      <c r="D94" s="4762" t="s">
        <v>3200</v>
      </c>
      <c r="E94" s="1162" t="s">
        <v>4567</v>
      </c>
      <c r="F94" s="1089" t="s">
        <v>4568</v>
      </c>
      <c r="G94" s="1253" t="s">
        <v>4569</v>
      </c>
      <c r="H94" s="1253" t="s">
        <v>4570</v>
      </c>
      <c r="I94" s="1311" t="s">
        <v>4571</v>
      </c>
      <c r="J94" s="1250" t="s">
        <v>4572</v>
      </c>
      <c r="K94" s="1936" t="str">
        <f t="shared" si="23"/>
        <v xml:space="preserve">* La variable Facilitador/a Intercultural Pueblos Originarios  no puede superar el Total. </v>
      </c>
      <c r="CB94" s="1865" t="str">
        <f t="shared" si="21"/>
        <v xml:space="preserve">* La variable Facilitador/a Intercultural Pueblos Originarios  no puede superar el Total. </v>
      </c>
      <c r="CL94" s="3922">
        <f t="shared" si="22"/>
        <v>1</v>
      </c>
    </row>
    <row r="95" spans="1:90" x14ac:dyDescent="0.25">
      <c r="A95" s="5825">
        <v>27601025</v>
      </c>
      <c r="B95" s="6331"/>
      <c r="C95" s="7616"/>
      <c r="D95" s="4763" t="s">
        <v>3201</v>
      </c>
      <c r="E95" s="193" t="s">
        <v>4567</v>
      </c>
      <c r="F95" s="1264" t="s">
        <v>4568</v>
      </c>
      <c r="G95" s="262" t="s">
        <v>4569</v>
      </c>
      <c r="H95" s="262" t="s">
        <v>4570</v>
      </c>
      <c r="I95" s="3219" t="s">
        <v>4571</v>
      </c>
      <c r="J95" s="4769" t="s">
        <v>4572</v>
      </c>
      <c r="K95" s="1936" t="str">
        <f t="shared" si="23"/>
        <v xml:space="preserve">* La variable Facilitador/a Intercultural Pueblos Originarios  no puede superar el Total. </v>
      </c>
      <c r="CB95" s="1865" t="str">
        <f t="shared" si="21"/>
        <v xml:space="preserve">* La variable Facilitador/a Intercultural Pueblos Originarios  no puede superar el Total. </v>
      </c>
      <c r="CL95" s="3922">
        <f t="shared" si="22"/>
        <v>1</v>
      </c>
    </row>
    <row r="96" spans="1:90" ht="15" customHeight="1" x14ac:dyDescent="0.25">
      <c r="A96" s="5825">
        <v>27601026</v>
      </c>
      <c r="B96" s="6331"/>
      <c r="C96" s="7607" t="s">
        <v>3202</v>
      </c>
      <c r="D96" s="4771" t="s">
        <v>461</v>
      </c>
      <c r="E96" s="4779" t="s">
        <v>4567</v>
      </c>
      <c r="F96" s="1726" t="s">
        <v>4568</v>
      </c>
      <c r="G96" s="3001" t="s">
        <v>4569</v>
      </c>
      <c r="H96" s="3001" t="s">
        <v>4570</v>
      </c>
      <c r="I96" s="4782" t="s">
        <v>4571</v>
      </c>
      <c r="J96" s="4774" t="s">
        <v>4572</v>
      </c>
      <c r="K96" s="1936" t="str">
        <f t="shared" si="23"/>
        <v xml:space="preserve">* La variable Facilitador/a Intercultural Pueblos Originarios  no puede superar el Total. </v>
      </c>
      <c r="CB96" s="1865" t="str">
        <f t="shared" si="21"/>
        <v xml:space="preserve">* La variable Facilitador/a Intercultural Pueblos Originarios  no puede superar el Total. </v>
      </c>
      <c r="CL96" s="3922">
        <f t="shared" si="22"/>
        <v>1</v>
      </c>
    </row>
    <row r="97" spans="1:90" x14ac:dyDescent="0.25">
      <c r="A97" s="5825">
        <v>27601027</v>
      </c>
      <c r="B97" s="7614"/>
      <c r="C97" s="7608"/>
      <c r="D97" s="4775" t="s">
        <v>59</v>
      </c>
      <c r="E97" s="2829" t="s">
        <v>4567</v>
      </c>
      <c r="F97" s="1114" t="s">
        <v>4568</v>
      </c>
      <c r="G97" s="1127" t="s">
        <v>4569</v>
      </c>
      <c r="H97" s="1127" t="s">
        <v>4570</v>
      </c>
      <c r="I97" s="557" t="s">
        <v>4571</v>
      </c>
      <c r="J97" s="1255" t="s">
        <v>4572</v>
      </c>
      <c r="K97" s="1936"/>
      <c r="CB97" s="1865" t="str">
        <f t="shared" si="21"/>
        <v xml:space="preserve">* La variable Facilitador/a Intercultural Pueblos Originarios  no puede superar el Total. </v>
      </c>
      <c r="CL97" s="3922">
        <f t="shared" si="22"/>
        <v>1</v>
      </c>
    </row>
    <row r="98" spans="1:90" x14ac:dyDescent="0.25">
      <c r="A98" s="5548"/>
      <c r="B98" s="6913"/>
      <c r="C98" s="7617" t="s">
        <v>77</v>
      </c>
      <c r="D98" s="7618"/>
      <c r="E98" s="1069">
        <f>SUM(F98:I98)</f>
        <v>0</v>
      </c>
      <c r="F98" s="1100">
        <f>SUM(F56:F97)</f>
        <v>0</v>
      </c>
      <c r="G98" s="1100">
        <f t="shared" ref="G98:J98" si="24">SUM(G56:G97)</f>
        <v>0</v>
      </c>
      <c r="H98" s="1100">
        <f t="shared" si="24"/>
        <v>0</v>
      </c>
      <c r="I98" s="1100">
        <f t="shared" si="24"/>
        <v>0</v>
      </c>
      <c r="J98" s="1100">
        <f t="shared" si="24"/>
        <v>0</v>
      </c>
      <c r="CB98" s="1936"/>
      <c r="CL98" s="1936"/>
    </row>
    <row r="99" spans="1:90" s="6" customFormat="1" ht="18" customHeight="1" x14ac:dyDescent="0.2">
      <c r="A99" s="5603"/>
      <c r="B99" s="903" t="s">
        <v>3209</v>
      </c>
      <c r="C99" s="903"/>
      <c r="D99" s="903"/>
      <c r="E99" s="903"/>
      <c r="F99" s="4783"/>
      <c r="G99" s="4783"/>
      <c r="H99" s="4783"/>
      <c r="I99" s="4783"/>
      <c r="J99" s="4783"/>
      <c r="K99" s="4783"/>
      <c r="L99" s="1"/>
      <c r="M99" s="1"/>
      <c r="N99" s="1"/>
      <c r="O99" s="8"/>
      <c r="P99" s="8"/>
      <c r="Q99" s="8"/>
      <c r="R99" s="8"/>
      <c r="S99" s="8"/>
      <c r="T99" s="8"/>
      <c r="U99" s="8"/>
      <c r="V99" s="8"/>
      <c r="W99" s="8"/>
      <c r="X99" s="8"/>
    </row>
    <row r="100" spans="1:90" ht="15" customHeight="1" x14ac:dyDescent="0.25">
      <c r="A100" s="5548"/>
      <c r="B100" s="7257" t="s">
        <v>2519</v>
      </c>
      <c r="C100" s="7258"/>
      <c r="D100" s="7346"/>
      <c r="E100" s="1212" t="s">
        <v>3210</v>
      </c>
      <c r="F100" s="7612"/>
      <c r="G100" s="7612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7"/>
      <c r="T100" s="7"/>
      <c r="U100" s="7"/>
      <c r="V100" s="7"/>
      <c r="W100" s="7"/>
      <c r="X100" s="7"/>
    </row>
    <row r="101" spans="1:90" ht="15" customHeight="1" x14ac:dyDescent="0.25">
      <c r="A101" s="5818">
        <v>27300300</v>
      </c>
      <c r="B101" s="7604" t="s">
        <v>2514</v>
      </c>
      <c r="C101" s="7605"/>
      <c r="D101" s="7606"/>
      <c r="E101" s="4785" t="s">
        <v>4567</v>
      </c>
      <c r="F101" s="7612"/>
      <c r="G101" s="7612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7"/>
      <c r="T101" s="7"/>
      <c r="U101" s="7"/>
      <c r="V101" s="7"/>
      <c r="W101" s="7"/>
      <c r="X101" s="7"/>
    </row>
    <row r="102" spans="1:90" ht="15" customHeight="1" x14ac:dyDescent="0.25">
      <c r="A102" s="5818">
        <v>27300400</v>
      </c>
      <c r="B102" s="7573" t="s">
        <v>3211</v>
      </c>
      <c r="C102" s="7613"/>
      <c r="D102" s="7574"/>
      <c r="E102" s="4785" t="s">
        <v>4567</v>
      </c>
      <c r="F102" s="7612"/>
      <c r="G102" s="7612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7"/>
      <c r="T102" s="7"/>
      <c r="U102" s="7"/>
      <c r="V102" s="7"/>
      <c r="W102" s="7"/>
      <c r="X102" s="7"/>
    </row>
    <row r="103" spans="1:90" ht="15" customHeight="1" x14ac:dyDescent="0.25">
      <c r="A103" s="5818">
        <v>27300600</v>
      </c>
      <c r="B103" s="7452" t="s">
        <v>3212</v>
      </c>
      <c r="C103" s="6324"/>
      <c r="D103" s="6325"/>
      <c r="E103" s="4786" t="s">
        <v>4567</v>
      </c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7"/>
      <c r="T103" s="7"/>
      <c r="U103" s="7"/>
      <c r="V103" s="7"/>
      <c r="W103" s="7"/>
      <c r="X103" s="7"/>
    </row>
    <row r="104" spans="1:90" ht="18" customHeight="1" x14ac:dyDescent="0.25">
      <c r="B104" s="4595" t="s">
        <v>3213</v>
      </c>
      <c r="C104" s="4787"/>
      <c r="D104" s="4788"/>
      <c r="E104" s="2150"/>
      <c r="F104" s="4789"/>
      <c r="G104" s="2150"/>
      <c r="H104" s="2150"/>
      <c r="I104" s="2150"/>
      <c r="J104" s="2150"/>
      <c r="K104" s="2150"/>
      <c r="L104" s="2150"/>
      <c r="M104" s="2150"/>
      <c r="N104" s="2150"/>
      <c r="O104" s="2150"/>
      <c r="P104" s="2150"/>
      <c r="Q104" s="2150"/>
      <c r="R104" s="2150"/>
      <c r="S104" s="2150"/>
      <c r="T104" s="2150"/>
      <c r="U104" s="2150"/>
      <c r="V104" s="2150"/>
      <c r="W104" s="2150"/>
      <c r="X104" s="2150"/>
    </row>
    <row r="105" spans="1:90" x14ac:dyDescent="0.25">
      <c r="A105" s="5638"/>
      <c r="B105" s="6491" t="s">
        <v>3214</v>
      </c>
      <c r="C105" s="6491"/>
      <c r="D105" s="7290"/>
      <c r="E105" s="6333" t="s">
        <v>3215</v>
      </c>
      <c r="F105" s="7222" t="s">
        <v>3216</v>
      </c>
      <c r="G105" s="7222"/>
      <c r="H105" s="7626"/>
      <c r="I105" s="7627" t="s">
        <v>3217</v>
      </c>
      <c r="J105" s="2150"/>
      <c r="K105" s="2150"/>
      <c r="L105" s="2150"/>
      <c r="M105" s="2150"/>
      <c r="N105" s="2150"/>
      <c r="O105" s="2150"/>
      <c r="P105" s="2150"/>
      <c r="Q105" s="2150"/>
      <c r="R105" s="2150"/>
      <c r="S105" s="2150"/>
      <c r="T105" s="2150"/>
      <c r="U105" s="2150"/>
      <c r="V105" s="2150"/>
      <c r="W105" s="2150"/>
      <c r="X105" s="2150"/>
    </row>
    <row r="106" spans="1:90" ht="31.5" x14ac:dyDescent="0.25">
      <c r="A106" s="5638"/>
      <c r="B106" s="6749"/>
      <c r="C106" s="6749"/>
      <c r="D106" s="6913"/>
      <c r="E106" s="6119"/>
      <c r="F106" s="1165" t="s">
        <v>3218</v>
      </c>
      <c r="G106" s="4790" t="s">
        <v>3219</v>
      </c>
      <c r="H106" s="4791" t="s">
        <v>1324</v>
      </c>
      <c r="I106" s="7628"/>
      <c r="J106" s="2150"/>
      <c r="K106" s="2150"/>
      <c r="L106" s="2150"/>
      <c r="M106" s="2150"/>
      <c r="N106" s="2150"/>
      <c r="O106" s="2150"/>
      <c r="P106" s="2150"/>
      <c r="Q106" s="2150"/>
      <c r="R106" s="2150"/>
      <c r="S106" s="2150"/>
      <c r="T106" s="2150"/>
      <c r="U106" s="2150"/>
      <c r="V106" s="2150"/>
      <c r="W106" s="2150"/>
      <c r="X106" s="2150"/>
    </row>
    <row r="107" spans="1:90" ht="15" customHeight="1" x14ac:dyDescent="0.25">
      <c r="A107" s="5818">
        <v>27300913</v>
      </c>
      <c r="B107" s="7344" t="s">
        <v>3220</v>
      </c>
      <c r="C107" s="7624"/>
      <c r="D107" s="7345"/>
      <c r="E107" s="4792" t="s">
        <v>4567</v>
      </c>
      <c r="F107" s="1494" t="s">
        <v>4568</v>
      </c>
      <c r="G107" s="1469" t="s">
        <v>4569</v>
      </c>
      <c r="H107" s="1472" t="s">
        <v>4570</v>
      </c>
      <c r="I107" s="4793" t="s">
        <v>4571</v>
      </c>
      <c r="J107" s="4794"/>
      <c r="K107" s="2150"/>
      <c r="L107" s="2150"/>
      <c r="M107" s="2150"/>
      <c r="N107" s="2150"/>
      <c r="O107" s="2150"/>
      <c r="P107" s="2150"/>
      <c r="Q107" s="2150"/>
      <c r="R107" s="2150"/>
      <c r="S107" s="2150"/>
      <c r="T107" s="2150"/>
      <c r="U107" s="2150"/>
      <c r="V107" s="2150"/>
      <c r="W107" s="2150"/>
      <c r="X107" s="2150"/>
      <c r="CB107" s="1936"/>
      <c r="CC107" s="1936"/>
      <c r="CD107" s="19"/>
      <c r="CE107" s="19"/>
      <c r="CF107" s="19"/>
      <c r="CG107" s="19"/>
      <c r="CH107" s="19"/>
      <c r="CI107" s="19"/>
      <c r="CJ107" s="19"/>
      <c r="CK107" s="19"/>
    </row>
    <row r="108" spans="1:90" ht="15" customHeight="1" x14ac:dyDescent="0.25">
      <c r="A108" s="5818">
        <v>27300914</v>
      </c>
      <c r="B108" s="7341" t="s">
        <v>3221</v>
      </c>
      <c r="C108" s="7625"/>
      <c r="D108" s="7342"/>
      <c r="E108" s="1677" t="s">
        <v>4567</v>
      </c>
      <c r="F108" s="1466" t="s">
        <v>4568</v>
      </c>
      <c r="G108" s="1467" t="s">
        <v>4569</v>
      </c>
      <c r="H108" s="1477" t="s">
        <v>4570</v>
      </c>
      <c r="I108" s="4795" t="s">
        <v>4571</v>
      </c>
      <c r="J108" s="4794"/>
      <c r="K108" s="2150"/>
      <c r="L108" s="2150"/>
      <c r="M108" s="2150"/>
      <c r="N108" s="2150"/>
      <c r="O108" s="2150"/>
      <c r="P108" s="2150"/>
      <c r="Q108" s="2150"/>
      <c r="R108" s="2150"/>
      <c r="S108" s="2150"/>
      <c r="T108" s="2150"/>
      <c r="U108" s="2150"/>
      <c r="V108" s="2150"/>
      <c r="W108" s="2150"/>
      <c r="X108" s="2150"/>
      <c r="CB108" s="1936"/>
    </row>
    <row r="109" spans="1:90" ht="15" customHeight="1" x14ac:dyDescent="0.25">
      <c r="A109" s="5818">
        <v>27300915</v>
      </c>
      <c r="B109" s="7343" t="s">
        <v>3222</v>
      </c>
      <c r="C109" s="7629"/>
      <c r="D109" s="6838"/>
      <c r="E109" s="4796" t="s">
        <v>4567</v>
      </c>
      <c r="F109" s="1510" t="s">
        <v>4568</v>
      </c>
      <c r="G109" s="1511" t="s">
        <v>4569</v>
      </c>
      <c r="H109" s="4797" t="s">
        <v>4570</v>
      </c>
      <c r="I109" s="4798" t="s">
        <v>4571</v>
      </c>
      <c r="J109" s="4794"/>
      <c r="K109" s="2150"/>
      <c r="L109" s="2150"/>
      <c r="M109" s="2150"/>
      <c r="N109" s="2150"/>
      <c r="O109" s="2150"/>
      <c r="P109" s="2150"/>
      <c r="Q109" s="2150"/>
      <c r="R109" s="2150"/>
      <c r="S109" s="2150"/>
      <c r="T109" s="2150"/>
      <c r="U109" s="2150"/>
      <c r="V109" s="2150"/>
      <c r="W109" s="2150"/>
      <c r="X109" s="2150"/>
      <c r="CB109" s="1936"/>
    </row>
    <row r="110" spans="1:90" ht="15" customHeight="1" x14ac:dyDescent="0.25">
      <c r="A110" s="5616"/>
      <c r="B110" s="1558" t="s">
        <v>3223</v>
      </c>
      <c r="C110" s="4799"/>
      <c r="D110" s="4799"/>
      <c r="E110" s="4799"/>
      <c r="F110" s="4799"/>
      <c r="G110" s="4799"/>
      <c r="H110" s="4800"/>
      <c r="I110" s="4801"/>
      <c r="J110" s="4794"/>
      <c r="K110" s="2150"/>
      <c r="L110" s="2150"/>
      <c r="M110" s="2150"/>
      <c r="N110" s="2150"/>
      <c r="O110" s="2150"/>
      <c r="P110" s="2150"/>
      <c r="Q110" s="2150"/>
      <c r="R110" s="2150"/>
      <c r="S110" s="2150"/>
      <c r="T110" s="2150"/>
      <c r="U110" s="2150"/>
      <c r="V110" s="2150"/>
      <c r="W110" s="2150"/>
      <c r="X110" s="2150"/>
      <c r="CB110" s="1936"/>
    </row>
    <row r="111" spans="1:90" ht="15" customHeight="1" x14ac:dyDescent="0.25">
      <c r="A111" s="5823">
        <v>27601028</v>
      </c>
      <c r="B111" s="7630" t="s">
        <v>3224</v>
      </c>
      <c r="C111" s="7631"/>
      <c r="D111" s="7632"/>
      <c r="E111" s="4802" t="s">
        <v>4567</v>
      </c>
      <c r="F111" s="1494" t="s">
        <v>4568</v>
      </c>
      <c r="G111" s="1469" t="s">
        <v>4569</v>
      </c>
      <c r="H111" s="4803" t="s">
        <v>4570</v>
      </c>
      <c r="I111" s="4793" t="s">
        <v>4571</v>
      </c>
      <c r="J111" s="4794"/>
      <c r="K111" s="2150"/>
      <c r="L111" s="2150"/>
      <c r="M111" s="2150"/>
      <c r="N111" s="2150"/>
      <c r="O111" s="2150"/>
      <c r="P111" s="2150"/>
      <c r="Q111" s="2150"/>
      <c r="R111" s="2150"/>
      <c r="S111" s="2150"/>
      <c r="T111" s="2150"/>
      <c r="U111" s="2150"/>
      <c r="V111" s="2150"/>
      <c r="W111" s="2150"/>
      <c r="X111" s="2150"/>
      <c r="CB111" s="1865"/>
      <c r="CL111" s="1867"/>
    </row>
    <row r="112" spans="1:90" ht="15" customHeight="1" x14ac:dyDescent="0.25">
      <c r="A112" s="5823">
        <v>27601029</v>
      </c>
      <c r="B112" s="7516" t="s">
        <v>2167</v>
      </c>
      <c r="C112" s="7633"/>
      <c r="D112" s="7517"/>
      <c r="E112" s="1680" t="s">
        <v>4567</v>
      </c>
      <c r="F112" s="1510" t="s">
        <v>4568</v>
      </c>
      <c r="G112" s="1511" t="s">
        <v>4569</v>
      </c>
      <c r="H112" s="4797" t="s">
        <v>4570</v>
      </c>
      <c r="I112" s="4804" t="s">
        <v>4571</v>
      </c>
      <c r="J112" s="4794"/>
      <c r="K112" s="2150"/>
      <c r="L112" s="2150"/>
      <c r="M112" s="2150"/>
      <c r="N112" s="2150"/>
      <c r="O112" s="2150"/>
      <c r="P112" s="2150"/>
      <c r="Q112" s="2150"/>
      <c r="R112" s="2150"/>
      <c r="S112" s="2150"/>
      <c r="T112" s="2150"/>
      <c r="U112" s="2150"/>
      <c r="V112" s="2150"/>
      <c r="W112" s="2150"/>
      <c r="X112" s="2150"/>
      <c r="CB112" s="1865"/>
      <c r="CL112" s="1867"/>
    </row>
    <row r="113" spans="1:92" ht="18" customHeight="1" x14ac:dyDescent="0.25">
      <c r="A113" s="19"/>
      <c r="B113" s="4595" t="s">
        <v>3225</v>
      </c>
      <c r="C113" s="4787"/>
      <c r="D113" s="4788"/>
      <c r="E113" s="2150"/>
      <c r="F113" s="4789"/>
      <c r="G113" s="2150"/>
      <c r="H113" s="2150"/>
      <c r="I113" s="2150"/>
      <c r="J113" s="2150"/>
      <c r="K113" s="2150"/>
      <c r="L113" s="2150"/>
      <c r="M113" s="2150"/>
      <c r="N113" s="2150"/>
      <c r="O113" s="2150"/>
      <c r="P113" s="2150"/>
      <c r="Q113" s="2150"/>
      <c r="R113" s="2150"/>
      <c r="S113" s="2150"/>
      <c r="T113" s="2150"/>
      <c r="U113" s="2150"/>
      <c r="V113" s="2150"/>
      <c r="W113" s="2150"/>
      <c r="X113" s="2150"/>
    </row>
    <row r="114" spans="1:92" s="19" customFormat="1" ht="15" customHeight="1" x14ac:dyDescent="0.15">
      <c r="A114" s="100"/>
      <c r="B114" s="7299" t="s">
        <v>3226</v>
      </c>
      <c r="C114" s="6491"/>
      <c r="D114" s="7290"/>
      <c r="E114" s="7222" t="s">
        <v>3215</v>
      </c>
      <c r="F114" s="7346" t="s">
        <v>3217</v>
      </c>
      <c r="G114" s="7257" t="s">
        <v>3227</v>
      </c>
      <c r="H114" s="7346"/>
      <c r="I114" s="7295" t="s">
        <v>29</v>
      </c>
      <c r="J114" s="7296"/>
      <c r="K114" s="7296"/>
      <c r="L114" s="7296"/>
      <c r="M114" s="7296"/>
      <c r="N114" s="7296"/>
      <c r="O114" s="7296"/>
      <c r="P114" s="7296"/>
      <c r="Q114" s="7296"/>
      <c r="R114" s="7296"/>
      <c r="S114" s="7296"/>
      <c r="T114" s="7296"/>
      <c r="U114" s="7296"/>
      <c r="V114" s="7304"/>
      <c r="W114" s="7634" t="s">
        <v>453</v>
      </c>
      <c r="X114" s="7290" t="s">
        <v>67</v>
      </c>
    </row>
    <row r="115" spans="1:92" s="19" customFormat="1" ht="23.25" customHeight="1" x14ac:dyDescent="0.15">
      <c r="A115" s="100"/>
      <c r="B115" s="7579"/>
      <c r="C115" s="6749"/>
      <c r="D115" s="6913"/>
      <c r="E115" s="7222"/>
      <c r="F115" s="7346"/>
      <c r="G115" s="1109" t="s">
        <v>3228</v>
      </c>
      <c r="H115" s="1227" t="s">
        <v>3152</v>
      </c>
      <c r="I115" s="1110" t="s">
        <v>3229</v>
      </c>
      <c r="J115" s="1213" t="s">
        <v>325</v>
      </c>
      <c r="K115" s="982" t="s">
        <v>326</v>
      </c>
      <c r="L115" s="982" t="s">
        <v>94</v>
      </c>
      <c r="M115" s="982" t="s">
        <v>44</v>
      </c>
      <c r="N115" s="982" t="s">
        <v>45</v>
      </c>
      <c r="O115" s="982" t="s">
        <v>46</v>
      </c>
      <c r="P115" s="982" t="s">
        <v>47</v>
      </c>
      <c r="Q115" s="982" t="s">
        <v>48</v>
      </c>
      <c r="R115" s="982" t="s">
        <v>49</v>
      </c>
      <c r="S115" s="982" t="s">
        <v>50</v>
      </c>
      <c r="T115" s="982" t="s">
        <v>51</v>
      </c>
      <c r="U115" s="982" t="s">
        <v>52</v>
      </c>
      <c r="V115" s="4805" t="s">
        <v>53</v>
      </c>
      <c r="W115" s="7635"/>
      <c r="X115" s="6913"/>
    </row>
    <row r="116" spans="1:92" s="19" customFormat="1" ht="15" customHeight="1" x14ac:dyDescent="0.15">
      <c r="A116" s="5818">
        <v>27300916</v>
      </c>
      <c r="B116" s="7361" t="s">
        <v>3230</v>
      </c>
      <c r="C116" s="7636"/>
      <c r="D116" s="7362"/>
      <c r="E116" s="1471" t="s">
        <v>4567</v>
      </c>
      <c r="F116" s="4806" t="s">
        <v>4568</v>
      </c>
      <c r="G116" s="1494" t="s">
        <v>4569</v>
      </c>
      <c r="H116" s="1473" t="s">
        <v>4570</v>
      </c>
      <c r="I116" s="1468" t="s">
        <v>4571</v>
      </c>
      <c r="J116" s="1469" t="s">
        <v>4572</v>
      </c>
      <c r="K116" s="1469" t="s">
        <v>4573</v>
      </c>
      <c r="L116" s="1469" t="s">
        <v>4574</v>
      </c>
      <c r="M116" s="1469" t="s">
        <v>4575</v>
      </c>
      <c r="N116" s="1469" t="s">
        <v>4576</v>
      </c>
      <c r="O116" s="1469" t="s">
        <v>4577</v>
      </c>
      <c r="P116" s="1469" t="s">
        <v>4578</v>
      </c>
      <c r="Q116" s="1469" t="s">
        <v>4579</v>
      </c>
      <c r="R116" s="1469" t="s">
        <v>4580</v>
      </c>
      <c r="S116" s="1469" t="s">
        <v>4581</v>
      </c>
      <c r="T116" s="1469" t="s">
        <v>4582</v>
      </c>
      <c r="U116" s="1469" t="s">
        <v>4583</v>
      </c>
      <c r="V116" s="1500" t="s">
        <v>4584</v>
      </c>
      <c r="W116" s="1620" t="s">
        <v>4585</v>
      </c>
      <c r="X116" s="1473" t="s">
        <v>4586</v>
      </c>
      <c r="Y116" s="19" t="e">
        <f>CB116&amp;CC116&amp;CD116</f>
        <v>#VALUE!</v>
      </c>
      <c r="CB116" s="135" t="str">
        <f>IF(AND(F116&gt;0,W116="")," * No olvide digitar la variable Gestantes. Digite CERO si no tiene.","")</f>
        <v/>
      </c>
      <c r="CC116" s="135" t="str">
        <f>IF(AND(F116&gt;0,X116="")," * No olvide digitar la variable Post Parto. Digite CERO si no tiene.","")</f>
        <v/>
      </c>
      <c r="CD116" s="135" t="e">
        <f>IF((W116+X116)&gt;F116," * La suma de Gestantes + Post Parto debe ser menor o igual al Nº de Participantes.","")</f>
        <v>#VALUE!</v>
      </c>
      <c r="CL116" s="84">
        <f>IF(AND(F116&gt;0,W116=""),1,0)</f>
        <v>0</v>
      </c>
      <c r="CM116" s="84">
        <f>IF(AND(F116&gt;0,X116=""),1,0)</f>
        <v>0</v>
      </c>
      <c r="CN116" s="84" t="e">
        <f>IF((W116+X116)&gt;F116,1,0)</f>
        <v>#VALUE!</v>
      </c>
    </row>
    <row r="117" spans="1:92" s="19" customFormat="1" ht="15" customHeight="1" x14ac:dyDescent="0.15">
      <c r="A117" s="5818">
        <v>27500160</v>
      </c>
      <c r="B117" s="7341" t="s">
        <v>3231</v>
      </c>
      <c r="C117" s="7625"/>
      <c r="D117" s="7342"/>
      <c r="E117" s="1476" t="s">
        <v>4567</v>
      </c>
      <c r="F117" s="4543" t="s">
        <v>4568</v>
      </c>
      <c r="G117" s="1466" t="s">
        <v>4569</v>
      </c>
      <c r="H117" s="1478" t="s">
        <v>4570</v>
      </c>
      <c r="I117" s="1474" t="s">
        <v>4571</v>
      </c>
      <c r="J117" s="1467" t="s">
        <v>4572</v>
      </c>
      <c r="K117" s="1467" t="s">
        <v>4573</v>
      </c>
      <c r="L117" s="1467" t="s">
        <v>4574</v>
      </c>
      <c r="M117" s="1467" t="s">
        <v>4575</v>
      </c>
      <c r="N117" s="1467" t="s">
        <v>4576</v>
      </c>
      <c r="O117" s="1467" t="s">
        <v>4577</v>
      </c>
      <c r="P117" s="1467" t="s">
        <v>4578</v>
      </c>
      <c r="Q117" s="1467" t="s">
        <v>4579</v>
      </c>
      <c r="R117" s="1467" t="s">
        <v>4580</v>
      </c>
      <c r="S117" s="1467" t="s">
        <v>4581</v>
      </c>
      <c r="T117" s="1467" t="s">
        <v>4582</v>
      </c>
      <c r="U117" s="1467" t="s">
        <v>4583</v>
      </c>
      <c r="V117" s="1509" t="s">
        <v>4584</v>
      </c>
      <c r="W117" s="1540" t="s">
        <v>4585</v>
      </c>
      <c r="X117" s="1478" t="s">
        <v>4586</v>
      </c>
      <c r="Y117" s="19" t="e">
        <f t="shared" ref="Y117:Y118" si="25">CB117&amp;CC117&amp;CD117</f>
        <v>#VALUE!</v>
      </c>
      <c r="CB117" s="135" t="str">
        <f>IF(AND(F117&gt;0,W117="")," * No olvide digitar la variable Gestantes. Digite CERO si no tiene.","")</f>
        <v/>
      </c>
      <c r="CC117" s="135" t="str">
        <f>IF(AND(F117&gt;0,X117="")," * No olvide digitar la variable Post Parto. Digite CERO si no tiene.","")</f>
        <v/>
      </c>
      <c r="CD117" s="135" t="e">
        <f>IF((W117+X117)&gt;F117," * La suma de Gestantes + Post Parto debe ser menor o igual al Nº de Participantes.","")</f>
        <v>#VALUE!</v>
      </c>
      <c r="CL117" s="84">
        <f>IF(AND(F117&gt;0,W117=""),1,0)</f>
        <v>0</v>
      </c>
      <c r="CM117" s="84">
        <f>IF(AND(F117&gt;0,X117=""),1,0)</f>
        <v>0</v>
      </c>
      <c r="CN117" s="84" t="e">
        <f>IF((W117+X117)&gt;F117,1,0)</f>
        <v>#VALUE!</v>
      </c>
    </row>
    <row r="118" spans="1:92" s="19" customFormat="1" ht="15" customHeight="1" x14ac:dyDescent="0.15">
      <c r="A118" s="5818">
        <v>27500170</v>
      </c>
      <c r="B118" s="7589" t="s">
        <v>3232</v>
      </c>
      <c r="C118" s="7006"/>
      <c r="D118" s="6917"/>
      <c r="E118" s="1681" t="s">
        <v>4567</v>
      </c>
      <c r="F118" s="4807" t="s">
        <v>4568</v>
      </c>
      <c r="G118" s="1510" t="s">
        <v>4569</v>
      </c>
      <c r="H118" s="410" t="s">
        <v>4570</v>
      </c>
      <c r="I118" s="1545" t="s">
        <v>4571</v>
      </c>
      <c r="J118" s="1511" t="s">
        <v>4572</v>
      </c>
      <c r="K118" s="1511" t="s">
        <v>4573</v>
      </c>
      <c r="L118" s="1511" t="s">
        <v>4574</v>
      </c>
      <c r="M118" s="1511" t="s">
        <v>4575</v>
      </c>
      <c r="N118" s="1511" t="s">
        <v>4576</v>
      </c>
      <c r="O118" s="1511" t="s">
        <v>4577</v>
      </c>
      <c r="P118" s="1511" t="s">
        <v>4578</v>
      </c>
      <c r="Q118" s="1511" t="s">
        <v>4579</v>
      </c>
      <c r="R118" s="1511" t="s">
        <v>4580</v>
      </c>
      <c r="S118" s="1511" t="s">
        <v>4581</v>
      </c>
      <c r="T118" s="1511" t="s">
        <v>4582</v>
      </c>
      <c r="U118" s="1511" t="s">
        <v>4583</v>
      </c>
      <c r="V118" s="1544" t="s">
        <v>4584</v>
      </c>
      <c r="W118" s="1543" t="s">
        <v>4585</v>
      </c>
      <c r="X118" s="410" t="s">
        <v>4586</v>
      </c>
      <c r="Y118" s="19" t="e">
        <f t="shared" si="25"/>
        <v>#VALUE!</v>
      </c>
      <c r="CB118" s="135" t="str">
        <f>IF(AND(F118&gt;0,W118="")," * No olvide digitar la variable Gestantes. Digite CERO si no tiene.","")</f>
        <v/>
      </c>
      <c r="CC118" s="135" t="str">
        <f>IF(AND(F118&gt;0,X118="")," * No olvide digitar la variable Post Parto. Digite CERO si no tiene.","")</f>
        <v/>
      </c>
      <c r="CD118" s="135" t="e">
        <f>IF((W118+X118)&gt;F118," * La suma de Gestantes + Post Parto debe ser menor o igual al Nº de Participantes.","")</f>
        <v>#VALUE!</v>
      </c>
      <c r="CL118" s="84">
        <f>IF(AND(F118&gt;0,W118=""),1,0)</f>
        <v>0</v>
      </c>
      <c r="CM118" s="84">
        <f>IF(AND(F118&gt;0,X118=""),1,0)</f>
        <v>0</v>
      </c>
      <c r="CN118" s="84" t="e">
        <f>IF((W118+X118)&gt;F118,1,0)</f>
        <v>#VALUE!</v>
      </c>
    </row>
    <row r="119" spans="1:92" ht="18" customHeight="1" x14ac:dyDescent="0.25">
      <c r="A119" s="19"/>
      <c r="B119" s="4595" t="s">
        <v>3233</v>
      </c>
      <c r="C119" s="4788"/>
      <c r="D119" s="4788"/>
      <c r="E119" s="4808"/>
      <c r="F119" s="2150"/>
      <c r="G119" s="2150"/>
      <c r="H119" s="2150"/>
      <c r="I119" s="4"/>
      <c r="J119" s="2150"/>
      <c r="K119" s="2150"/>
      <c r="L119" s="2150"/>
      <c r="M119" s="2150"/>
      <c r="N119" s="2150"/>
    </row>
    <row r="120" spans="1:92" s="19" customFormat="1" ht="15" customHeight="1" x14ac:dyDescent="0.15">
      <c r="A120" s="5955"/>
      <c r="B120" s="6491" t="s">
        <v>3234</v>
      </c>
      <c r="C120" s="6491"/>
      <c r="D120" s="7290"/>
      <c r="E120" s="7222" t="s">
        <v>3235</v>
      </c>
      <c r="F120" s="7291" t="s">
        <v>29</v>
      </c>
      <c r="G120" s="7298"/>
      <c r="H120" s="7298"/>
      <c r="I120" s="7298"/>
      <c r="J120" s="7298"/>
      <c r="K120" s="7339"/>
      <c r="L120" s="7298" t="s">
        <v>2409</v>
      </c>
      <c r="M120" s="7244"/>
    </row>
    <row r="121" spans="1:92" s="19" customFormat="1" ht="15" customHeight="1" x14ac:dyDescent="0.15">
      <c r="A121" s="5955"/>
      <c r="B121" s="6749"/>
      <c r="C121" s="6749"/>
      <c r="D121" s="6913"/>
      <c r="E121" s="7222"/>
      <c r="F121" s="1109" t="s">
        <v>303</v>
      </c>
      <c r="G121" s="1110" t="s">
        <v>304</v>
      </c>
      <c r="H121" s="1213" t="s">
        <v>305</v>
      </c>
      <c r="I121" s="1213" t="s">
        <v>306</v>
      </c>
      <c r="J121" s="1076" t="s">
        <v>307</v>
      </c>
      <c r="K121" s="1216" t="s">
        <v>368</v>
      </c>
      <c r="L121" s="1110" t="s">
        <v>58</v>
      </c>
      <c r="M121" s="1067" t="s">
        <v>59</v>
      </c>
    </row>
    <row r="122" spans="1:92" s="19" customFormat="1" ht="15" customHeight="1" x14ac:dyDescent="0.25">
      <c r="A122" s="5824">
        <v>27300926</v>
      </c>
      <c r="B122" s="7360" t="s">
        <v>3236</v>
      </c>
      <c r="C122" s="7597"/>
      <c r="D122" s="1418" t="s">
        <v>3237</v>
      </c>
      <c r="E122" s="1087" t="s">
        <v>4567</v>
      </c>
      <c r="F122" s="1081" t="s">
        <v>4568</v>
      </c>
      <c r="G122" s="1083" t="s">
        <v>4569</v>
      </c>
      <c r="H122" s="750" t="s">
        <v>4570</v>
      </c>
      <c r="I122" s="750" t="s">
        <v>4571</v>
      </c>
      <c r="J122" s="750" t="s">
        <v>4572</v>
      </c>
      <c r="K122" s="1259" t="s">
        <v>4573</v>
      </c>
      <c r="L122" s="1083" t="s">
        <v>4574</v>
      </c>
      <c r="M122" s="1082" t="s">
        <v>4575</v>
      </c>
      <c r="N122" s="4794" t="e">
        <f>CB122&amp;CC122</f>
        <v>#VALUE!</v>
      </c>
      <c r="CB122" s="1865" t="e">
        <f t="shared" ref="CB122:CB130" si="26">IF((L122+M122)&lt;&gt;E122," * El Nº de intervenciones NO DEBE ser distinto a la suma por Sexo.","")</f>
        <v>#VALUE!</v>
      </c>
      <c r="CC122" s="1936"/>
      <c r="CL122" s="1867" t="e">
        <f t="shared" ref="CL122:CL130" si="27">IF((L122+M122)&lt;&gt;E122,1,0)</f>
        <v>#VALUE!</v>
      </c>
    </row>
    <row r="123" spans="1:92" s="19" customFormat="1" ht="15" customHeight="1" x14ac:dyDescent="0.25">
      <c r="A123" s="5824">
        <v>27300927</v>
      </c>
      <c r="B123" s="6359"/>
      <c r="C123" s="6643"/>
      <c r="D123" s="1420" t="s">
        <v>3238</v>
      </c>
      <c r="E123" s="1087" t="s">
        <v>4567</v>
      </c>
      <c r="F123" s="1089" t="s">
        <v>4568</v>
      </c>
      <c r="G123" s="1091" t="s">
        <v>4569</v>
      </c>
      <c r="H123" s="1253" t="s">
        <v>4570</v>
      </c>
      <c r="I123" s="1253" t="s">
        <v>4571</v>
      </c>
      <c r="J123" s="1253" t="s">
        <v>4572</v>
      </c>
      <c r="K123" s="1295" t="s">
        <v>4573</v>
      </c>
      <c r="L123" s="1091" t="s">
        <v>4574</v>
      </c>
      <c r="M123" s="1090" t="s">
        <v>4575</v>
      </c>
      <c r="N123" s="4794" t="e">
        <f t="shared" ref="N123:N130" si="28">CB123&amp;CC123</f>
        <v>#VALUE!</v>
      </c>
      <c r="CB123" s="1865" t="e">
        <f t="shared" si="26"/>
        <v>#VALUE!</v>
      </c>
      <c r="CC123" s="1936"/>
      <c r="CL123" s="1867" t="e">
        <f t="shared" si="27"/>
        <v>#VALUE!</v>
      </c>
    </row>
    <row r="124" spans="1:92" s="19" customFormat="1" ht="15" customHeight="1" x14ac:dyDescent="0.25">
      <c r="A124" s="5818">
        <v>27300928</v>
      </c>
      <c r="B124" s="7493"/>
      <c r="C124" s="7007"/>
      <c r="D124" s="1420" t="s">
        <v>3239</v>
      </c>
      <c r="E124" s="1163" t="s">
        <v>4567</v>
      </c>
      <c r="F124" s="1114" t="s">
        <v>4568</v>
      </c>
      <c r="G124" s="1127" t="s">
        <v>4569</v>
      </c>
      <c r="H124" s="1258" t="s">
        <v>4570</v>
      </c>
      <c r="I124" s="1258" t="s">
        <v>4571</v>
      </c>
      <c r="J124" s="1258" t="s">
        <v>4572</v>
      </c>
      <c r="K124" s="391" t="s">
        <v>4573</v>
      </c>
      <c r="L124" s="1127" t="s">
        <v>4574</v>
      </c>
      <c r="M124" s="387" t="s">
        <v>4575</v>
      </c>
      <c r="N124" s="4794" t="e">
        <f t="shared" si="28"/>
        <v>#VALUE!</v>
      </c>
      <c r="CB124" s="1865" t="e">
        <f t="shared" si="26"/>
        <v>#VALUE!</v>
      </c>
      <c r="CC124" s="1936"/>
      <c r="CL124" s="1867" t="e">
        <f t="shared" si="27"/>
        <v>#VALUE!</v>
      </c>
    </row>
    <row r="125" spans="1:92" s="19" customFormat="1" ht="15" customHeight="1" x14ac:dyDescent="0.25">
      <c r="A125" s="5818">
        <v>27300929</v>
      </c>
      <c r="B125" s="7360" t="s">
        <v>3240</v>
      </c>
      <c r="C125" s="7597"/>
      <c r="D125" s="1418" t="s">
        <v>3237</v>
      </c>
      <c r="E125" s="250" t="s">
        <v>4567</v>
      </c>
      <c r="F125" s="290" t="s">
        <v>4568</v>
      </c>
      <c r="G125" s="22" t="s">
        <v>4569</v>
      </c>
      <c r="H125" s="531" t="s">
        <v>4570</v>
      </c>
      <c r="I125" s="531" t="s">
        <v>4571</v>
      </c>
      <c r="J125" s="531" t="s">
        <v>4572</v>
      </c>
      <c r="K125" s="61" t="s">
        <v>4573</v>
      </c>
      <c r="L125" s="22" t="s">
        <v>4574</v>
      </c>
      <c r="M125" s="107" t="s">
        <v>4575</v>
      </c>
      <c r="N125" s="4794" t="e">
        <f t="shared" si="28"/>
        <v>#VALUE!</v>
      </c>
      <c r="CB125" s="1865" t="e">
        <f t="shared" si="26"/>
        <v>#VALUE!</v>
      </c>
      <c r="CC125" s="1936"/>
      <c r="CL125" s="1867" t="e">
        <f t="shared" si="27"/>
        <v>#VALUE!</v>
      </c>
    </row>
    <row r="126" spans="1:92" s="19" customFormat="1" ht="15" customHeight="1" x14ac:dyDescent="0.25">
      <c r="A126" s="5818">
        <v>27300930</v>
      </c>
      <c r="B126" s="6359"/>
      <c r="C126" s="6643"/>
      <c r="D126" s="1420" t="s">
        <v>3238</v>
      </c>
      <c r="E126" s="1087" t="s">
        <v>4567</v>
      </c>
      <c r="F126" s="192" t="s">
        <v>4568</v>
      </c>
      <c r="G126" s="481" t="s">
        <v>4569</v>
      </c>
      <c r="H126" s="580" t="s">
        <v>4570</v>
      </c>
      <c r="I126" s="580" t="s">
        <v>4571</v>
      </c>
      <c r="J126" s="580" t="s">
        <v>4572</v>
      </c>
      <c r="K126" s="375" t="s">
        <v>4573</v>
      </c>
      <c r="L126" s="481" t="s">
        <v>4574</v>
      </c>
      <c r="M126" s="2" t="s">
        <v>4575</v>
      </c>
      <c r="N126" s="4794" t="e">
        <f t="shared" si="28"/>
        <v>#VALUE!</v>
      </c>
      <c r="CB126" s="1865" t="e">
        <f t="shared" si="26"/>
        <v>#VALUE!</v>
      </c>
      <c r="CC126" s="1936"/>
      <c r="CL126" s="1867" t="e">
        <f t="shared" si="27"/>
        <v>#VALUE!</v>
      </c>
    </row>
    <row r="127" spans="1:92" s="19" customFormat="1" ht="15" customHeight="1" x14ac:dyDescent="0.25">
      <c r="A127" s="5818">
        <v>27300931</v>
      </c>
      <c r="B127" s="7493"/>
      <c r="C127" s="7007"/>
      <c r="D127" s="1420" t="s">
        <v>3239</v>
      </c>
      <c r="E127" s="1163" t="s">
        <v>4567</v>
      </c>
      <c r="F127" s="192" t="s">
        <v>4568</v>
      </c>
      <c r="G127" s="481" t="s">
        <v>4569</v>
      </c>
      <c r="H127" s="580" t="s">
        <v>4570</v>
      </c>
      <c r="I127" s="580" t="s">
        <v>4571</v>
      </c>
      <c r="J127" s="580" t="s">
        <v>4572</v>
      </c>
      <c r="K127" s="375" t="s">
        <v>4573</v>
      </c>
      <c r="L127" s="481" t="s">
        <v>4574</v>
      </c>
      <c r="M127" s="2" t="s">
        <v>4575</v>
      </c>
      <c r="N127" s="4794" t="e">
        <f t="shared" si="28"/>
        <v>#VALUE!</v>
      </c>
      <c r="CB127" s="1865" t="e">
        <f t="shared" si="26"/>
        <v>#VALUE!</v>
      </c>
      <c r="CC127" s="1936"/>
      <c r="CL127" s="1867" t="e">
        <f t="shared" si="27"/>
        <v>#VALUE!</v>
      </c>
    </row>
    <row r="128" spans="1:92" s="19" customFormat="1" ht="15" customHeight="1" x14ac:dyDescent="0.25">
      <c r="A128" s="5818">
        <v>27300932</v>
      </c>
      <c r="B128" s="7360" t="s">
        <v>3241</v>
      </c>
      <c r="C128" s="7597"/>
      <c r="D128" s="1418" t="s">
        <v>3237</v>
      </c>
      <c r="E128" s="250" t="s">
        <v>4567</v>
      </c>
      <c r="F128" s="1081" t="s">
        <v>4568</v>
      </c>
      <c r="G128" s="1083" t="s">
        <v>4569</v>
      </c>
      <c r="H128" s="750" t="s">
        <v>4570</v>
      </c>
      <c r="I128" s="750" t="s">
        <v>4571</v>
      </c>
      <c r="J128" s="750" t="s">
        <v>4572</v>
      </c>
      <c r="K128" s="1259" t="s">
        <v>4573</v>
      </c>
      <c r="L128" s="1083" t="s">
        <v>4574</v>
      </c>
      <c r="M128" s="1082" t="s">
        <v>4575</v>
      </c>
      <c r="N128" s="4794" t="e">
        <f t="shared" si="28"/>
        <v>#VALUE!</v>
      </c>
      <c r="CB128" s="1865" t="e">
        <f t="shared" si="26"/>
        <v>#VALUE!</v>
      </c>
      <c r="CC128" s="1936"/>
      <c r="CL128" s="1867" t="e">
        <f t="shared" si="27"/>
        <v>#VALUE!</v>
      </c>
    </row>
    <row r="129" spans="1:90" s="19" customFormat="1" ht="15" customHeight="1" x14ac:dyDescent="0.25">
      <c r="A129" s="5818">
        <v>27300933</v>
      </c>
      <c r="B129" s="6359"/>
      <c r="C129" s="6643"/>
      <c r="D129" s="1420" t="s">
        <v>3238</v>
      </c>
      <c r="E129" s="1087" t="s">
        <v>4567</v>
      </c>
      <c r="F129" s="1089" t="s">
        <v>4568</v>
      </c>
      <c r="G129" s="1091" t="s">
        <v>4569</v>
      </c>
      <c r="H129" s="1253" t="s">
        <v>4570</v>
      </c>
      <c r="I129" s="1253" t="s">
        <v>4571</v>
      </c>
      <c r="J129" s="1253" t="s">
        <v>4572</v>
      </c>
      <c r="K129" s="1295" t="s">
        <v>4573</v>
      </c>
      <c r="L129" s="1091" t="s">
        <v>4574</v>
      </c>
      <c r="M129" s="1090" t="s">
        <v>4575</v>
      </c>
      <c r="N129" s="4794" t="e">
        <f t="shared" si="28"/>
        <v>#VALUE!</v>
      </c>
      <c r="CB129" s="1865" t="e">
        <f t="shared" si="26"/>
        <v>#VALUE!</v>
      </c>
      <c r="CC129" s="1936"/>
      <c r="CL129" s="1867" t="e">
        <f t="shared" si="27"/>
        <v>#VALUE!</v>
      </c>
    </row>
    <row r="130" spans="1:90" s="19" customFormat="1" ht="15" customHeight="1" x14ac:dyDescent="0.25">
      <c r="A130" s="5818">
        <v>27300934</v>
      </c>
      <c r="B130" s="7493"/>
      <c r="C130" s="7007"/>
      <c r="D130" s="1420" t="s">
        <v>3239</v>
      </c>
      <c r="E130" s="1163" t="s">
        <v>4567</v>
      </c>
      <c r="F130" s="1114" t="s">
        <v>4568</v>
      </c>
      <c r="G130" s="1127" t="s">
        <v>4569</v>
      </c>
      <c r="H130" s="1258" t="s">
        <v>4570</v>
      </c>
      <c r="I130" s="1258" t="s">
        <v>4571</v>
      </c>
      <c r="J130" s="1258" t="s">
        <v>4572</v>
      </c>
      <c r="K130" s="391" t="s">
        <v>4573</v>
      </c>
      <c r="L130" s="1127" t="s">
        <v>4574</v>
      </c>
      <c r="M130" s="387" t="s">
        <v>4575</v>
      </c>
      <c r="N130" s="4794" t="e">
        <f t="shared" si="28"/>
        <v>#VALUE!</v>
      </c>
      <c r="CB130" s="1865" t="e">
        <f t="shared" si="26"/>
        <v>#VALUE!</v>
      </c>
      <c r="CC130" s="1936"/>
      <c r="CL130" s="1867" t="e">
        <f t="shared" si="27"/>
        <v>#VALUE!</v>
      </c>
    </row>
    <row r="131" spans="1:90" ht="18" customHeight="1" x14ac:dyDescent="0.25">
      <c r="A131" s="5548"/>
      <c r="B131" s="4595" t="s">
        <v>3242</v>
      </c>
      <c r="C131" s="4787"/>
      <c r="D131" s="4787"/>
      <c r="E131" s="4787"/>
      <c r="F131" s="4809"/>
      <c r="G131" s="4809"/>
      <c r="H131" s="2150"/>
      <c r="I131" s="2150"/>
      <c r="J131" s="2150"/>
      <c r="K131" s="2150"/>
      <c r="L131" s="2150"/>
      <c r="M131" s="2150"/>
    </row>
    <row r="132" spans="1:90" ht="24" customHeight="1" x14ac:dyDescent="0.25">
      <c r="B132" s="4565" t="s">
        <v>285</v>
      </c>
      <c r="C132" s="1247" t="s">
        <v>3243</v>
      </c>
      <c r="D132" s="1768" t="s">
        <v>3244</v>
      </c>
      <c r="E132" s="4606" t="s">
        <v>3210</v>
      </c>
      <c r="F132" s="2150"/>
      <c r="G132" s="2150"/>
      <c r="H132" s="2150"/>
      <c r="I132" s="2150"/>
      <c r="J132" s="2150"/>
      <c r="K132" s="2150"/>
      <c r="L132" s="2150"/>
      <c r="M132" s="2150"/>
    </row>
    <row r="133" spans="1:90" ht="15" customHeight="1" x14ac:dyDescent="0.25">
      <c r="A133" s="5818">
        <v>27500180</v>
      </c>
      <c r="B133" s="4611" t="s">
        <v>3245</v>
      </c>
      <c r="C133" s="4810" t="s">
        <v>4567</v>
      </c>
      <c r="D133" s="1072" t="s">
        <v>4568</v>
      </c>
      <c r="E133" s="4811" t="s">
        <v>4569</v>
      </c>
      <c r="F133" s="4812"/>
      <c r="G133" s="2150"/>
      <c r="H133" s="2150"/>
      <c r="I133" s="2150"/>
      <c r="J133" s="2150"/>
      <c r="K133" s="2150"/>
      <c r="L133" s="2150"/>
      <c r="M133" s="2150"/>
    </row>
    <row r="134" spans="1:90" ht="18" customHeight="1" x14ac:dyDescent="0.25">
      <c r="A134" s="19"/>
      <c r="B134" s="4595" t="s">
        <v>3246</v>
      </c>
      <c r="C134" s="4787"/>
      <c r="D134" s="4787"/>
      <c r="E134" s="4787"/>
      <c r="F134" s="4813"/>
      <c r="G134" s="4813"/>
      <c r="H134" s="4813"/>
      <c r="I134" s="4813"/>
      <c r="J134" s="4813"/>
      <c r="K134" s="2150"/>
      <c r="L134" s="2150"/>
      <c r="M134" s="2150"/>
    </row>
    <row r="135" spans="1:90" s="19" customFormat="1" ht="15" customHeight="1" x14ac:dyDescent="0.15">
      <c r="A135" s="100"/>
      <c r="B135" s="7387" t="s">
        <v>285</v>
      </c>
      <c r="C135" s="7257" t="s">
        <v>3247</v>
      </c>
      <c r="D135" s="7258"/>
      <c r="E135" s="7258"/>
      <c r="F135" s="7258"/>
      <c r="G135" s="7258"/>
      <c r="H135" s="7258"/>
      <c r="I135" s="7258"/>
      <c r="J135" s="7346"/>
      <c r="K135" s="7"/>
      <c r="L135" s="7"/>
      <c r="M135" s="7"/>
    </row>
    <row r="136" spans="1:90" s="19" customFormat="1" ht="42.75" customHeight="1" x14ac:dyDescent="0.15">
      <c r="A136" s="100"/>
      <c r="B136" s="7388"/>
      <c r="C136" s="1108" t="s">
        <v>3248</v>
      </c>
      <c r="D136" s="1109" t="s">
        <v>3249</v>
      </c>
      <c r="E136" s="1213" t="s">
        <v>3250</v>
      </c>
      <c r="F136" s="1213" t="s">
        <v>3251</v>
      </c>
      <c r="G136" s="1213" t="s">
        <v>3252</v>
      </c>
      <c r="H136" s="1213" t="s">
        <v>3253</v>
      </c>
      <c r="I136" s="1213" t="s">
        <v>3254</v>
      </c>
      <c r="J136" s="1067" t="s">
        <v>3255</v>
      </c>
      <c r="K136" s="7"/>
      <c r="L136" s="7"/>
      <c r="M136" s="7"/>
    </row>
    <row r="137" spans="1:90" s="19" customFormat="1" ht="31.5" x14ac:dyDescent="0.15">
      <c r="A137" s="5818">
        <v>27500190</v>
      </c>
      <c r="B137" s="985" t="s">
        <v>4390</v>
      </c>
      <c r="C137" s="4814" t="s">
        <v>4567</v>
      </c>
      <c r="D137" s="1081" t="s">
        <v>4568</v>
      </c>
      <c r="E137" s="750" t="s">
        <v>4569</v>
      </c>
      <c r="F137" s="750" t="s">
        <v>4570</v>
      </c>
      <c r="G137" s="750" t="s">
        <v>4571</v>
      </c>
      <c r="H137" s="750" t="s">
        <v>4572</v>
      </c>
      <c r="I137" s="750" t="s">
        <v>4573</v>
      </c>
      <c r="J137" s="1082" t="s">
        <v>4574</v>
      </c>
      <c r="K137" s="7"/>
      <c r="L137" s="7"/>
      <c r="M137" s="7"/>
    </row>
    <row r="138" spans="1:90" s="19" customFormat="1" ht="21" x14ac:dyDescent="0.15">
      <c r="A138" s="5818">
        <v>27500200</v>
      </c>
      <c r="B138" s="990" t="s">
        <v>4391</v>
      </c>
      <c r="C138" s="4669" t="s">
        <v>4567</v>
      </c>
      <c r="D138" s="1089" t="s">
        <v>4568</v>
      </c>
      <c r="E138" s="1253" t="s">
        <v>4569</v>
      </c>
      <c r="F138" s="1253" t="s">
        <v>4570</v>
      </c>
      <c r="G138" s="1253" t="s">
        <v>4571</v>
      </c>
      <c r="H138" s="1253" t="s">
        <v>4572</v>
      </c>
      <c r="I138" s="1253" t="s">
        <v>4573</v>
      </c>
      <c r="J138" s="1090" t="s">
        <v>4574</v>
      </c>
      <c r="K138" s="7"/>
      <c r="L138" s="7"/>
      <c r="M138" s="7"/>
    </row>
    <row r="139" spans="1:90" s="19" customFormat="1" ht="15" customHeight="1" x14ac:dyDescent="0.15">
      <c r="A139" s="5823">
        <v>27601030</v>
      </c>
      <c r="B139" s="4815" t="s">
        <v>3256</v>
      </c>
      <c r="C139" s="4816" t="s">
        <v>4567</v>
      </c>
      <c r="D139" s="1264" t="s">
        <v>4568</v>
      </c>
      <c r="E139" s="262" t="s">
        <v>4569</v>
      </c>
      <c r="F139" s="262" t="s">
        <v>4570</v>
      </c>
      <c r="G139" s="262" t="s">
        <v>4571</v>
      </c>
      <c r="H139" s="262" t="s">
        <v>4572</v>
      </c>
      <c r="I139" s="262" t="s">
        <v>4573</v>
      </c>
      <c r="J139" s="1447" t="s">
        <v>4574</v>
      </c>
      <c r="K139" s="7"/>
      <c r="L139" s="7"/>
      <c r="M139" s="7"/>
    </row>
    <row r="140" spans="1:90" ht="18" customHeight="1" x14ac:dyDescent="0.25">
      <c r="A140" s="19"/>
      <c r="B140" s="4595" t="s">
        <v>3257</v>
      </c>
      <c r="C140" s="2150"/>
      <c r="D140" s="2150"/>
      <c r="E140" s="2150"/>
      <c r="F140" s="2150"/>
      <c r="G140" s="2150"/>
      <c r="H140" s="2150"/>
      <c r="I140" s="2150"/>
      <c r="J140" s="2150"/>
      <c r="K140" s="2150"/>
      <c r="L140" s="2150"/>
      <c r="M140" s="2150"/>
      <c r="N140" s="2150"/>
    </row>
    <row r="141" spans="1:90" s="19" customFormat="1" ht="15" customHeight="1" x14ac:dyDescent="0.15">
      <c r="A141" s="100"/>
      <c r="B141" s="7387" t="s">
        <v>285</v>
      </c>
      <c r="C141" s="7256" t="s">
        <v>3258</v>
      </c>
      <c r="D141" s="7334" t="s">
        <v>3259</v>
      </c>
      <c r="E141" s="7406"/>
      <c r="F141" s="7406"/>
      <c r="G141" s="7406"/>
      <c r="H141" s="7406"/>
      <c r="I141" s="7406"/>
      <c r="J141" s="7406"/>
      <c r="K141" s="7406"/>
      <c r="L141" s="7406"/>
      <c r="M141" s="7406"/>
      <c r="N141" s="7335"/>
    </row>
    <row r="142" spans="1:90" s="19" customFormat="1" ht="31.5" x14ac:dyDescent="0.15">
      <c r="A142" s="100"/>
      <c r="B142" s="7388"/>
      <c r="C142" s="7609"/>
      <c r="D142" s="1109" t="s">
        <v>3260</v>
      </c>
      <c r="E142" s="1213" t="s">
        <v>3261</v>
      </c>
      <c r="F142" s="1213" t="s">
        <v>3262</v>
      </c>
      <c r="G142" s="1213" t="s">
        <v>3263</v>
      </c>
      <c r="H142" s="1213" t="s">
        <v>3264</v>
      </c>
      <c r="I142" s="1213" t="s">
        <v>3265</v>
      </c>
      <c r="J142" s="1213" t="s">
        <v>3266</v>
      </c>
      <c r="K142" s="1213" t="s">
        <v>3267</v>
      </c>
      <c r="L142" s="1213" t="s">
        <v>3268</v>
      </c>
      <c r="M142" s="1213" t="s">
        <v>3269</v>
      </c>
      <c r="N142" s="1067" t="s">
        <v>3270</v>
      </c>
    </row>
    <row r="143" spans="1:90" s="19" customFormat="1" ht="21" x14ac:dyDescent="0.15">
      <c r="A143" s="5818">
        <v>27500210</v>
      </c>
      <c r="B143" s="985" t="s">
        <v>3271</v>
      </c>
      <c r="C143" s="4814" t="s">
        <v>4567</v>
      </c>
      <c r="D143" s="1081" t="s">
        <v>4568</v>
      </c>
      <c r="E143" s="750" t="s">
        <v>4569</v>
      </c>
      <c r="F143" s="750" t="s">
        <v>4570</v>
      </c>
      <c r="G143" s="750" t="s">
        <v>4571</v>
      </c>
      <c r="H143" s="750" t="s">
        <v>4572</v>
      </c>
      <c r="I143" s="750" t="s">
        <v>4573</v>
      </c>
      <c r="J143" s="750" t="s">
        <v>4574</v>
      </c>
      <c r="K143" s="750" t="s">
        <v>4575</v>
      </c>
      <c r="L143" s="750" t="s">
        <v>4576</v>
      </c>
      <c r="M143" s="750" t="s">
        <v>4577</v>
      </c>
      <c r="N143" s="1082" t="s">
        <v>4578</v>
      </c>
    </row>
    <row r="144" spans="1:90" s="19" customFormat="1" ht="42" x14ac:dyDescent="0.15">
      <c r="A144" s="5818">
        <v>27500220</v>
      </c>
      <c r="B144" s="4586" t="s">
        <v>3272</v>
      </c>
      <c r="C144" s="4816" t="s">
        <v>4567</v>
      </c>
      <c r="D144" s="1264" t="s">
        <v>4568</v>
      </c>
      <c r="E144" s="262" t="s">
        <v>4569</v>
      </c>
      <c r="F144" s="262" t="s">
        <v>4570</v>
      </c>
      <c r="G144" s="262" t="s">
        <v>4571</v>
      </c>
      <c r="H144" s="262" t="s">
        <v>4572</v>
      </c>
      <c r="I144" s="262" t="s">
        <v>4573</v>
      </c>
      <c r="J144" s="262" t="s">
        <v>4574</v>
      </c>
      <c r="K144" s="262" t="s">
        <v>4575</v>
      </c>
      <c r="L144" s="262" t="s">
        <v>4576</v>
      </c>
      <c r="M144" s="262" t="s">
        <v>4577</v>
      </c>
      <c r="N144" s="1447" t="s">
        <v>4578</v>
      </c>
    </row>
    <row r="145" spans="1:93" ht="18" customHeight="1" x14ac:dyDescent="0.25">
      <c r="A145" s="19"/>
      <c r="B145" s="4595" t="s">
        <v>3273</v>
      </c>
      <c r="C145" s="2157"/>
      <c r="D145" s="2150"/>
      <c r="E145" s="2150"/>
      <c r="F145" s="2150"/>
      <c r="G145" s="2150"/>
      <c r="H145" s="2150"/>
      <c r="I145" s="2150"/>
      <c r="J145" s="2150"/>
      <c r="K145" s="2150"/>
      <c r="L145" s="2150"/>
      <c r="M145" s="2150"/>
      <c r="N145" s="2150"/>
      <c r="O145" s="2150"/>
      <c r="P145" s="2150"/>
      <c r="Q145" s="2150"/>
    </row>
    <row r="146" spans="1:93" s="19" customFormat="1" ht="15" customHeight="1" x14ac:dyDescent="0.15">
      <c r="A146" s="100"/>
      <c r="B146" s="7387" t="s">
        <v>285</v>
      </c>
      <c r="C146" s="7640" t="s">
        <v>3274</v>
      </c>
      <c r="D146" s="7642" t="s">
        <v>29</v>
      </c>
      <c r="E146" s="7375"/>
      <c r="F146" s="7375"/>
      <c r="G146" s="7376"/>
      <c r="H146" s="7306" t="s">
        <v>36</v>
      </c>
      <c r="I146" s="7237" t="s">
        <v>37</v>
      </c>
      <c r="J146" s="7"/>
      <c r="K146" s="7"/>
      <c r="L146" s="7"/>
      <c r="M146" s="7"/>
      <c r="N146" s="7"/>
      <c r="O146" s="7"/>
      <c r="P146" s="7"/>
      <c r="Q146" s="7"/>
    </row>
    <row r="147" spans="1:93" s="19" customFormat="1" ht="30" customHeight="1" x14ac:dyDescent="0.15">
      <c r="A147" s="100"/>
      <c r="B147" s="7388"/>
      <c r="C147" s="7641"/>
      <c r="D147" s="1217" t="s">
        <v>604</v>
      </c>
      <c r="E147" s="1213" t="s">
        <v>605</v>
      </c>
      <c r="F147" s="1213" t="s">
        <v>606</v>
      </c>
      <c r="G147" s="1216" t="s">
        <v>607</v>
      </c>
      <c r="H147" s="6035"/>
      <c r="I147" s="6955"/>
      <c r="J147" s="7"/>
      <c r="K147" s="7"/>
      <c r="L147" s="7"/>
      <c r="M147" s="7"/>
      <c r="N147" s="7"/>
      <c r="O147" s="7"/>
      <c r="P147" s="7"/>
      <c r="Q147" s="7"/>
    </row>
    <row r="148" spans="1:93" s="19" customFormat="1" ht="21" x14ac:dyDescent="0.25">
      <c r="A148" s="5818">
        <v>27500240</v>
      </c>
      <c r="B148" s="985" t="s">
        <v>3275</v>
      </c>
      <c r="C148" s="1261" t="s">
        <v>4567</v>
      </c>
      <c r="D148" s="1294" t="s">
        <v>4568</v>
      </c>
      <c r="E148" s="750" t="s">
        <v>4569</v>
      </c>
      <c r="F148" s="750" t="s">
        <v>4570</v>
      </c>
      <c r="G148" s="736" t="s">
        <v>4571</v>
      </c>
      <c r="H148" s="1083" t="s">
        <v>4572</v>
      </c>
      <c r="I148" s="748" t="s">
        <v>4573</v>
      </c>
      <c r="J148" s="4794" t="e">
        <f>CB148&amp;CC148</f>
        <v>#VALUE!</v>
      </c>
      <c r="K148" s="2150"/>
      <c r="L148" s="2150"/>
      <c r="M148" s="2150"/>
      <c r="N148" s="2150"/>
      <c r="O148" s="2150"/>
      <c r="P148" s="2150"/>
      <c r="Q148" s="2150"/>
      <c r="R148" s="2150"/>
      <c r="S148" s="2150"/>
      <c r="T148" s="2150"/>
      <c r="U148" s="2150"/>
      <c r="V148" s="2150"/>
      <c r="W148" s="2150"/>
      <c r="X148" s="2150"/>
      <c r="Y148" s="2150"/>
      <c r="Z148" s="2150"/>
      <c r="AA148" s="2150"/>
      <c r="AB148" s="2150"/>
      <c r="AC148" s="2150"/>
      <c r="AD148" s="2150"/>
      <c r="AE148" s="2150"/>
      <c r="AF148" s="2150"/>
      <c r="AG148" s="2150"/>
      <c r="AH148" s="2150"/>
      <c r="AI148" s="2150"/>
      <c r="AJ148" s="2150"/>
      <c r="AK148" s="2150"/>
      <c r="AL148" s="2150"/>
      <c r="AM148" s="2150"/>
      <c r="AN148" s="2150"/>
      <c r="AO148" s="2150"/>
      <c r="AP148" s="2150"/>
      <c r="AQ148" s="2150"/>
      <c r="AR148" s="2150"/>
      <c r="AS148" s="2150"/>
      <c r="AT148" s="2150"/>
      <c r="AU148" s="2150"/>
      <c r="AV148" s="2150"/>
      <c r="AW148" s="2150"/>
      <c r="AX148" s="2150"/>
      <c r="AY148" s="2150"/>
      <c r="AZ148" s="2150"/>
      <c r="BA148" s="2150"/>
      <c r="BB148" s="2150"/>
      <c r="BC148" s="2150"/>
      <c r="BD148" s="2150"/>
      <c r="BE148" s="2150"/>
      <c r="BF148" s="2150"/>
      <c r="BG148" s="2150"/>
      <c r="BH148" s="2150"/>
      <c r="BI148" s="2150"/>
      <c r="BJ148" s="2150"/>
      <c r="BK148" s="2150"/>
      <c r="BL148" s="2150"/>
      <c r="BM148" s="2150"/>
      <c r="BN148" s="2150"/>
      <c r="BO148" s="2150"/>
      <c r="BP148" s="2150"/>
      <c r="BQ148" s="2150"/>
      <c r="BR148" s="2150"/>
      <c r="BS148" s="2150"/>
      <c r="BT148" s="2150"/>
      <c r="BU148" s="2150"/>
      <c r="BV148" s="2150"/>
      <c r="BW148" s="2150"/>
      <c r="BX148" s="2150"/>
      <c r="BY148" s="2150"/>
      <c r="BZ148" s="4083"/>
      <c r="CA148" s="4083"/>
      <c r="CB148" s="135" t="e">
        <f>IF(AND(D148+E148+F148+G148&gt;0,H148="")," * No olvide digitar la variable Pueblos Originarios. Digite Cero si no tiene.",IF(H148&gt;D148+E148+F148+G148," * La variable Pueblos Originarios No puede ser mayor a la suma de Rangos Etarios.",""))</f>
        <v>#VALUE!</v>
      </c>
      <c r="CC148" s="135" t="e">
        <f>IF(AND(E148+D148+F148+G148&gt;0,I148="")," * No olvide digitar la variable Migrantes. Digite Cero si no tiene.",IF(I148&gt;D148+E148+F148+G148," * La variable Migrantes No puede ser mayor a la suma de Rangos Etarios.",""))</f>
        <v>#VALUE!</v>
      </c>
      <c r="CD148" s="1936"/>
      <c r="CE148" s="1936"/>
      <c r="CF148" s="1936"/>
      <c r="CG148" s="1936"/>
      <c r="CL148" s="3906">
        <f>IF(AND(H148="",SUM(D148:G148)&lt;&gt;0),1,0)</f>
        <v>0</v>
      </c>
      <c r="CM148" s="3906">
        <f>IF(AND(I148="",SUM(D148:G148)&lt;&gt;0),1,0)</f>
        <v>0</v>
      </c>
      <c r="CN148" s="3906">
        <f>IF(SUM(D148:G148)&lt;H148,1,0)</f>
        <v>1</v>
      </c>
      <c r="CO148" s="3906">
        <f>IF(SUM(D148:G148)&lt;I148,1,0)</f>
        <v>1</v>
      </c>
    </row>
    <row r="149" spans="1:93" s="19" customFormat="1" ht="21" x14ac:dyDescent="0.25">
      <c r="A149" s="5818">
        <v>27500340</v>
      </c>
      <c r="B149" s="4586" t="s">
        <v>3276</v>
      </c>
      <c r="C149" s="4817" t="s">
        <v>4567</v>
      </c>
      <c r="D149" s="266" t="s">
        <v>4568</v>
      </c>
      <c r="E149" s="262" t="s">
        <v>4569</v>
      </c>
      <c r="F149" s="262" t="s">
        <v>4570</v>
      </c>
      <c r="G149" s="297" t="s">
        <v>4571</v>
      </c>
      <c r="H149" s="3249" t="s">
        <v>4572</v>
      </c>
      <c r="I149" s="310" t="s">
        <v>4573</v>
      </c>
      <c r="J149" s="4794" t="e">
        <f>CB149&amp;CC149&amp;CD149&amp;CE149</f>
        <v>#VALUE!</v>
      </c>
      <c r="K149" s="2150"/>
      <c r="L149" s="2150"/>
      <c r="M149" s="2150"/>
      <c r="N149" s="2150"/>
      <c r="O149" s="2150"/>
      <c r="P149" s="2150"/>
      <c r="Q149" s="2150"/>
      <c r="R149" s="2150"/>
      <c r="S149" s="2150"/>
      <c r="T149" s="2150"/>
      <c r="U149" s="2150"/>
      <c r="V149" s="2150"/>
      <c r="W149" s="2150"/>
      <c r="X149" s="2150"/>
      <c r="Y149" s="2150"/>
      <c r="Z149" s="2150"/>
      <c r="AA149" s="2150"/>
      <c r="AB149" s="2150"/>
      <c r="AC149" s="2150"/>
      <c r="AD149" s="2150"/>
      <c r="AE149" s="2150"/>
      <c r="AF149" s="2150"/>
      <c r="AG149" s="2150"/>
      <c r="AH149" s="2150"/>
      <c r="AI149" s="2150"/>
      <c r="AJ149" s="2150"/>
      <c r="AK149" s="2150"/>
      <c r="AL149" s="2150"/>
      <c r="AM149" s="2150"/>
      <c r="AN149" s="2150"/>
      <c r="AO149" s="2150"/>
      <c r="AP149" s="2150"/>
      <c r="AQ149" s="2150"/>
      <c r="AR149" s="2150"/>
      <c r="AS149" s="2150"/>
      <c r="AT149" s="2150"/>
      <c r="AU149" s="2150"/>
      <c r="AV149" s="2150"/>
      <c r="AW149" s="2150"/>
      <c r="AX149" s="2150"/>
      <c r="AY149" s="2150"/>
      <c r="AZ149" s="2150"/>
      <c r="BA149" s="2150"/>
      <c r="BB149" s="2150"/>
      <c r="BC149" s="2150"/>
      <c r="BD149" s="2150"/>
      <c r="BE149" s="2150"/>
      <c r="BF149" s="2150"/>
      <c r="BG149" s="2150"/>
      <c r="BH149" s="2150"/>
      <c r="BI149" s="2150"/>
      <c r="BJ149" s="2150"/>
      <c r="BK149" s="2150"/>
      <c r="BL149" s="2150"/>
      <c r="BM149" s="2150"/>
      <c r="BN149" s="2150"/>
      <c r="BO149" s="2150"/>
      <c r="BP149" s="2150"/>
      <c r="BQ149" s="2150"/>
      <c r="BR149" s="2150"/>
      <c r="BS149" s="2150"/>
      <c r="BT149" s="2150"/>
      <c r="BU149" s="2150"/>
      <c r="BV149" s="2150"/>
      <c r="BW149" s="2150"/>
      <c r="BX149" s="2150"/>
      <c r="BY149" s="2150"/>
      <c r="BZ149" s="4083"/>
      <c r="CA149" s="4083"/>
      <c r="CB149" s="135" t="e">
        <f>IF(AND(D149+E149+F149+G149&gt;0,H149="")," * No olvide digitar la variable Pueblos Originarios. Digite Cero si no tiene.",IF(H149&gt;D149+E149+F149+G149," * La variable Pueblos Originarios No puede ser mayor a la suma de Rangos Etarios.",""))</f>
        <v>#VALUE!</v>
      </c>
      <c r="CC149" s="135" t="e">
        <f>IF(AND(E149+D149+F149+G149&gt;0,I149="")," * No olvide digitar la variable Migrantes. Digite Cero si no tiene.",IF(I149&gt;D149+E149+F149+G149," * La variable Migrantes No puede ser mayor a la suma de Rangos Etarios.",""))</f>
        <v>#VALUE!</v>
      </c>
      <c r="CD149" s="1936"/>
      <c r="CE149" s="1936"/>
      <c r="CF149" s="1936"/>
      <c r="CG149" s="1936"/>
      <c r="CL149" s="3906">
        <f>IF(AND(H149="",SUM(D149:G149)&lt;&gt;0),1,0)</f>
        <v>0</v>
      </c>
      <c r="CM149" s="3906">
        <f>IF(AND(I149="",SUM(D149:G149)&lt;&gt;0),1,0)</f>
        <v>0</v>
      </c>
      <c r="CN149" s="3906">
        <f>IF(SUM(D149:G149)&lt;H149,1,0)</f>
        <v>1</v>
      </c>
      <c r="CO149" s="3906">
        <f>IF(SUM(D149:G149)&lt;I149,1,0)</f>
        <v>1</v>
      </c>
    </row>
    <row r="150" spans="1:93" ht="18" customHeight="1" x14ac:dyDescent="0.25">
      <c r="A150" s="19"/>
      <c r="B150" s="4818" t="s">
        <v>3277</v>
      </c>
      <c r="C150" s="4818"/>
      <c r="D150" s="4818"/>
      <c r="E150" s="4819"/>
      <c r="F150" s="4820"/>
      <c r="G150" s="4820"/>
      <c r="H150" s="4820"/>
      <c r="I150" s="4820"/>
      <c r="J150" s="4820"/>
      <c r="K150" s="4821"/>
      <c r="L150" s="4820"/>
      <c r="M150" s="4820"/>
      <c r="N150" s="4820"/>
      <c r="O150" s="4820"/>
      <c r="P150" s="4820"/>
      <c r="Q150" s="4820"/>
    </row>
    <row r="151" spans="1:93" s="19" customFormat="1" ht="15" customHeight="1" x14ac:dyDescent="0.15">
      <c r="A151" s="5955"/>
      <c r="B151" s="7643" t="s">
        <v>3234</v>
      </c>
      <c r="C151" s="7643"/>
      <c r="D151" s="6127"/>
      <c r="E151" s="6132" t="s">
        <v>3235</v>
      </c>
      <c r="F151" s="7637" t="s">
        <v>3278</v>
      </c>
      <c r="G151" s="7638"/>
      <c r="H151" s="7638"/>
      <c r="I151" s="7638"/>
      <c r="J151" s="7638"/>
      <c r="K151" s="7638"/>
      <c r="L151" s="7638"/>
      <c r="M151" s="7638"/>
      <c r="N151" s="7638"/>
      <c r="O151" s="7638"/>
      <c r="P151" s="7638"/>
      <c r="Q151" s="7639"/>
      <c r="R151" s="7662" t="s">
        <v>2409</v>
      </c>
      <c r="S151" s="7663"/>
    </row>
    <row r="152" spans="1:93" s="19" customFormat="1" ht="20.100000000000001" customHeight="1" x14ac:dyDescent="0.15">
      <c r="A152" s="5955"/>
      <c r="B152" s="7644"/>
      <c r="C152" s="7644"/>
      <c r="D152" s="6131"/>
      <c r="E152" s="7645"/>
      <c r="F152" s="4822" t="s">
        <v>3279</v>
      </c>
      <c r="G152" s="4823" t="s">
        <v>1954</v>
      </c>
      <c r="H152" s="4823" t="s">
        <v>303</v>
      </c>
      <c r="I152" s="4823" t="s">
        <v>304</v>
      </c>
      <c r="J152" s="4823" t="s">
        <v>305</v>
      </c>
      <c r="K152" s="4823" t="s">
        <v>974</v>
      </c>
      <c r="L152" s="4823" t="s">
        <v>3280</v>
      </c>
      <c r="M152" s="4823" t="s">
        <v>1821</v>
      </c>
      <c r="N152" s="4823" t="s">
        <v>3281</v>
      </c>
      <c r="O152" s="4823" t="s">
        <v>308</v>
      </c>
      <c r="P152" s="4823" t="s">
        <v>309</v>
      </c>
      <c r="Q152" s="4824" t="s">
        <v>57</v>
      </c>
      <c r="R152" s="4825" t="s">
        <v>58</v>
      </c>
      <c r="S152" s="4826" t="s">
        <v>59</v>
      </c>
    </row>
    <row r="153" spans="1:93" s="19" customFormat="1" ht="15" customHeight="1" x14ac:dyDescent="0.25">
      <c r="A153" s="5818">
        <v>29101566</v>
      </c>
      <c r="B153" s="7646" t="s">
        <v>3282</v>
      </c>
      <c r="C153" s="7647"/>
      <c r="D153" s="4827" t="s">
        <v>3283</v>
      </c>
      <c r="E153" s="4828" t="s">
        <v>4567</v>
      </c>
      <c r="F153" s="4829" t="s">
        <v>4568</v>
      </c>
      <c r="G153" s="4830" t="s">
        <v>4569</v>
      </c>
      <c r="H153" s="4830" t="s">
        <v>4570</v>
      </c>
      <c r="I153" s="4830" t="s">
        <v>4571</v>
      </c>
      <c r="J153" s="4830" t="s">
        <v>4572</v>
      </c>
      <c r="K153" s="4830" t="s">
        <v>4573</v>
      </c>
      <c r="L153" s="4830" t="s">
        <v>4574</v>
      </c>
      <c r="M153" s="4830" t="s">
        <v>4575</v>
      </c>
      <c r="N153" s="4830" t="s">
        <v>4576</v>
      </c>
      <c r="O153" s="4830" t="s">
        <v>4577</v>
      </c>
      <c r="P153" s="4830" t="s">
        <v>4578</v>
      </c>
      <c r="Q153" s="4831" t="s">
        <v>4579</v>
      </c>
      <c r="R153" s="4832" t="s">
        <v>4580</v>
      </c>
      <c r="S153" s="4833" t="s">
        <v>4581</v>
      </c>
      <c r="T153" s="19" t="e">
        <f>CB153&amp;CC153</f>
        <v>#VALUE!</v>
      </c>
      <c r="CB153" s="135" t="str">
        <f t="shared" ref="CB153:CB168" si="29">IF(AND(E153&gt;0,R153="",S153="")," * No olvide digitar la variable SEXO (Hombres/Mujeres). Digite Cero si no tiene.","")</f>
        <v/>
      </c>
      <c r="CC153" s="1865" t="e">
        <f t="shared" ref="CC153:CC168" si="30">IF((E153&lt;&gt; R153+S153)," * La suma de Sexo (Hombres + Mujeres) debe ser igual al N° de Intervenciones.","")</f>
        <v>#VALUE!</v>
      </c>
      <c r="CL153" s="182">
        <f t="shared" ref="CL153:CL168" si="31">IF(AND(E153&gt;0,R153="",S153=""),1,0)</f>
        <v>0</v>
      </c>
      <c r="CM153" s="1867" t="e">
        <f t="shared" ref="CM153:CM168" si="32">IF((E153&lt;&gt; R153+S153),1,0)</f>
        <v>#VALUE!</v>
      </c>
    </row>
    <row r="154" spans="1:93" s="19" customFormat="1" ht="15" customHeight="1" x14ac:dyDescent="0.25">
      <c r="A154" s="5818">
        <v>29101567</v>
      </c>
      <c r="B154" s="7648"/>
      <c r="C154" s="7649"/>
      <c r="D154" s="4834" t="s">
        <v>3284</v>
      </c>
      <c r="E154" s="4828" t="s">
        <v>4567</v>
      </c>
      <c r="F154" s="4835" t="s">
        <v>4568</v>
      </c>
      <c r="G154" s="4836" t="s">
        <v>4569</v>
      </c>
      <c r="H154" s="4837" t="s">
        <v>4570</v>
      </c>
      <c r="I154" s="4837" t="s">
        <v>4571</v>
      </c>
      <c r="J154" s="4837" t="s">
        <v>4572</v>
      </c>
      <c r="K154" s="4837" t="s">
        <v>4573</v>
      </c>
      <c r="L154" s="4837" t="s">
        <v>4574</v>
      </c>
      <c r="M154" s="4837" t="s">
        <v>4575</v>
      </c>
      <c r="N154" s="4837" t="s">
        <v>4576</v>
      </c>
      <c r="O154" s="4837" t="s">
        <v>4577</v>
      </c>
      <c r="P154" s="4837" t="s">
        <v>4578</v>
      </c>
      <c r="Q154" s="4838" t="s">
        <v>4579</v>
      </c>
      <c r="R154" s="4839" t="s">
        <v>4580</v>
      </c>
      <c r="S154" s="4840" t="s">
        <v>4581</v>
      </c>
      <c r="T154" s="19" t="e">
        <f t="shared" ref="T154:T168" si="33">CB154&amp;CC154</f>
        <v>#VALUE!</v>
      </c>
      <c r="CB154" s="135" t="str">
        <f t="shared" si="29"/>
        <v/>
      </c>
      <c r="CC154" s="1865" t="e">
        <f t="shared" si="30"/>
        <v>#VALUE!</v>
      </c>
      <c r="CL154" s="182">
        <f t="shared" si="31"/>
        <v>0</v>
      </c>
      <c r="CM154" s="1867" t="e">
        <f t="shared" si="32"/>
        <v>#VALUE!</v>
      </c>
    </row>
    <row r="155" spans="1:93" s="19" customFormat="1" ht="15" customHeight="1" x14ac:dyDescent="0.25">
      <c r="A155" s="5818">
        <v>29101568</v>
      </c>
      <c r="B155" s="7648"/>
      <c r="C155" s="7649"/>
      <c r="D155" s="4834" t="s">
        <v>3285</v>
      </c>
      <c r="E155" s="4828" t="s">
        <v>4567</v>
      </c>
      <c r="F155" s="4835" t="s">
        <v>4568</v>
      </c>
      <c r="G155" s="4837" t="s">
        <v>4569</v>
      </c>
      <c r="H155" s="4836" t="s">
        <v>4570</v>
      </c>
      <c r="I155" s="4837" t="s">
        <v>4571</v>
      </c>
      <c r="J155" s="4837" t="s">
        <v>4572</v>
      </c>
      <c r="K155" s="4837" t="s">
        <v>4573</v>
      </c>
      <c r="L155" s="4837" t="s">
        <v>4574</v>
      </c>
      <c r="M155" s="4837" t="s">
        <v>4575</v>
      </c>
      <c r="N155" s="4837" t="s">
        <v>4576</v>
      </c>
      <c r="O155" s="4837" t="s">
        <v>4577</v>
      </c>
      <c r="P155" s="4837" t="s">
        <v>4578</v>
      </c>
      <c r="Q155" s="4838" t="s">
        <v>4579</v>
      </c>
      <c r="R155" s="4839" t="s">
        <v>4580</v>
      </c>
      <c r="S155" s="4840" t="s">
        <v>4581</v>
      </c>
      <c r="T155" s="19" t="e">
        <f t="shared" si="33"/>
        <v>#VALUE!</v>
      </c>
      <c r="CB155" s="135" t="str">
        <f t="shared" si="29"/>
        <v/>
      </c>
      <c r="CC155" s="1865" t="e">
        <f t="shared" si="30"/>
        <v>#VALUE!</v>
      </c>
      <c r="CL155" s="182">
        <f t="shared" si="31"/>
        <v>0</v>
      </c>
      <c r="CM155" s="1867" t="e">
        <f t="shared" si="32"/>
        <v>#VALUE!</v>
      </c>
    </row>
    <row r="156" spans="1:93" s="19" customFormat="1" ht="23.25" customHeight="1" x14ac:dyDescent="0.25">
      <c r="A156" s="5818">
        <v>29101569</v>
      </c>
      <c r="B156" s="7648"/>
      <c r="C156" s="7649"/>
      <c r="D156" s="2579" t="s">
        <v>3286</v>
      </c>
      <c r="E156" s="4828" t="s">
        <v>4567</v>
      </c>
      <c r="F156" s="4835" t="s">
        <v>4568</v>
      </c>
      <c r="G156" s="4837" t="s">
        <v>4569</v>
      </c>
      <c r="H156" s="4837" t="s">
        <v>4570</v>
      </c>
      <c r="I156" s="4836" t="s">
        <v>4571</v>
      </c>
      <c r="J156" s="4837" t="s">
        <v>4572</v>
      </c>
      <c r="K156" s="4837" t="s">
        <v>4573</v>
      </c>
      <c r="L156" s="4837" t="s">
        <v>4574</v>
      </c>
      <c r="M156" s="4837" t="s">
        <v>4575</v>
      </c>
      <c r="N156" s="4837" t="s">
        <v>4576</v>
      </c>
      <c r="O156" s="4837" t="s">
        <v>4577</v>
      </c>
      <c r="P156" s="4837" t="s">
        <v>4578</v>
      </c>
      <c r="Q156" s="4838" t="s">
        <v>4579</v>
      </c>
      <c r="R156" s="4839" t="s">
        <v>4580</v>
      </c>
      <c r="S156" s="4840" t="s">
        <v>4581</v>
      </c>
      <c r="T156" s="19" t="e">
        <f t="shared" si="33"/>
        <v>#VALUE!</v>
      </c>
      <c r="CB156" s="135" t="str">
        <f t="shared" si="29"/>
        <v/>
      </c>
      <c r="CC156" s="1865" t="e">
        <f t="shared" si="30"/>
        <v>#VALUE!</v>
      </c>
      <c r="CL156" s="182">
        <f t="shared" si="31"/>
        <v>0</v>
      </c>
      <c r="CM156" s="1867" t="e">
        <f t="shared" si="32"/>
        <v>#VALUE!</v>
      </c>
    </row>
    <row r="157" spans="1:93" s="19" customFormat="1" ht="22.5" customHeight="1" x14ac:dyDescent="0.25">
      <c r="A157" s="5818">
        <v>29101570</v>
      </c>
      <c r="B157" s="7648"/>
      <c r="C157" s="7649"/>
      <c r="D157" s="2579" t="s">
        <v>3287</v>
      </c>
      <c r="E157" s="4828" t="s">
        <v>4567</v>
      </c>
      <c r="F157" s="4835" t="s">
        <v>4568</v>
      </c>
      <c r="G157" s="4837" t="s">
        <v>4569</v>
      </c>
      <c r="H157" s="4837" t="s">
        <v>4570</v>
      </c>
      <c r="I157" s="4837" t="s">
        <v>4571</v>
      </c>
      <c r="J157" s="4836" t="s">
        <v>4572</v>
      </c>
      <c r="K157" s="4836" t="s">
        <v>4573</v>
      </c>
      <c r="L157" s="4836" t="s">
        <v>4574</v>
      </c>
      <c r="M157" s="4836" t="s">
        <v>4575</v>
      </c>
      <c r="N157" s="4836" t="s">
        <v>4576</v>
      </c>
      <c r="O157" s="4837" t="s">
        <v>4577</v>
      </c>
      <c r="P157" s="4837" t="s">
        <v>4578</v>
      </c>
      <c r="Q157" s="4838" t="s">
        <v>4579</v>
      </c>
      <c r="R157" s="4839" t="s">
        <v>4580</v>
      </c>
      <c r="S157" s="4840" t="s">
        <v>4581</v>
      </c>
      <c r="T157" s="19" t="e">
        <f t="shared" si="33"/>
        <v>#VALUE!</v>
      </c>
      <c r="CB157" s="135" t="str">
        <f t="shared" si="29"/>
        <v/>
      </c>
      <c r="CC157" s="1865" t="e">
        <f t="shared" si="30"/>
        <v>#VALUE!</v>
      </c>
      <c r="CL157" s="182">
        <f t="shared" si="31"/>
        <v>0</v>
      </c>
      <c r="CM157" s="1867" t="e">
        <f t="shared" si="32"/>
        <v>#VALUE!</v>
      </c>
    </row>
    <row r="158" spans="1:93" s="19" customFormat="1" ht="15" customHeight="1" x14ac:dyDescent="0.25">
      <c r="A158" s="5818">
        <v>29101571</v>
      </c>
      <c r="B158" s="7648"/>
      <c r="C158" s="7649"/>
      <c r="D158" s="4841" t="s">
        <v>3288</v>
      </c>
      <c r="E158" s="4828" t="s">
        <v>4567</v>
      </c>
      <c r="F158" s="4835" t="s">
        <v>4568</v>
      </c>
      <c r="G158" s="4837" t="s">
        <v>4569</v>
      </c>
      <c r="H158" s="4836" t="s">
        <v>4570</v>
      </c>
      <c r="I158" s="4836" t="s">
        <v>4571</v>
      </c>
      <c r="J158" s="4836" t="s">
        <v>4572</v>
      </c>
      <c r="K158" s="4836" t="s">
        <v>4573</v>
      </c>
      <c r="L158" s="4837" t="s">
        <v>4574</v>
      </c>
      <c r="M158" s="4837" t="s">
        <v>4575</v>
      </c>
      <c r="N158" s="4837" t="s">
        <v>4576</v>
      </c>
      <c r="O158" s="4837" t="s">
        <v>4577</v>
      </c>
      <c r="P158" s="4837" t="s">
        <v>4578</v>
      </c>
      <c r="Q158" s="4838" t="s">
        <v>4579</v>
      </c>
      <c r="R158" s="4839" t="s">
        <v>4580</v>
      </c>
      <c r="S158" s="4840" t="s">
        <v>4581</v>
      </c>
      <c r="T158" s="19" t="e">
        <f t="shared" si="33"/>
        <v>#VALUE!</v>
      </c>
      <c r="CB158" s="135" t="str">
        <f t="shared" si="29"/>
        <v/>
      </c>
      <c r="CC158" s="1865" t="e">
        <f t="shared" si="30"/>
        <v>#VALUE!</v>
      </c>
      <c r="CL158" s="182">
        <f t="shared" si="31"/>
        <v>0</v>
      </c>
      <c r="CM158" s="1867" t="e">
        <f t="shared" si="32"/>
        <v>#VALUE!</v>
      </c>
    </row>
    <row r="159" spans="1:93" s="19" customFormat="1" ht="15" customHeight="1" x14ac:dyDescent="0.25">
      <c r="A159" s="5818">
        <v>29101572</v>
      </c>
      <c r="B159" s="7648"/>
      <c r="C159" s="7649"/>
      <c r="D159" s="4841" t="s">
        <v>3289</v>
      </c>
      <c r="E159" s="4828" t="s">
        <v>4567</v>
      </c>
      <c r="F159" s="4835" t="s">
        <v>4568</v>
      </c>
      <c r="G159" s="4837" t="s">
        <v>4569</v>
      </c>
      <c r="H159" s="4836" t="s">
        <v>4570</v>
      </c>
      <c r="I159" s="4836" t="s">
        <v>4571</v>
      </c>
      <c r="J159" s="4836" t="s">
        <v>4572</v>
      </c>
      <c r="K159" s="4836" t="s">
        <v>4573</v>
      </c>
      <c r="L159" s="4836" t="s">
        <v>4574</v>
      </c>
      <c r="M159" s="4836" t="s">
        <v>4575</v>
      </c>
      <c r="N159" s="4836" t="s">
        <v>4576</v>
      </c>
      <c r="O159" s="4836" t="s">
        <v>4577</v>
      </c>
      <c r="P159" s="4836" t="s">
        <v>4578</v>
      </c>
      <c r="Q159" s="4842" t="s">
        <v>4579</v>
      </c>
      <c r="R159" s="4843" t="s">
        <v>4580</v>
      </c>
      <c r="S159" s="4844" t="s">
        <v>4581</v>
      </c>
      <c r="T159" s="19" t="e">
        <f t="shared" si="33"/>
        <v>#VALUE!</v>
      </c>
      <c r="CB159" s="135" t="str">
        <f t="shared" si="29"/>
        <v/>
      </c>
      <c r="CC159" s="1865" t="e">
        <f t="shared" si="30"/>
        <v>#VALUE!</v>
      </c>
      <c r="CL159" s="182">
        <f t="shared" si="31"/>
        <v>0</v>
      </c>
      <c r="CM159" s="1867" t="e">
        <f t="shared" si="32"/>
        <v>#VALUE!</v>
      </c>
    </row>
    <row r="160" spans="1:93" s="19" customFormat="1" ht="23.25" customHeight="1" x14ac:dyDescent="0.25">
      <c r="A160" s="5818">
        <v>29101573</v>
      </c>
      <c r="B160" s="7650"/>
      <c r="C160" s="7651"/>
      <c r="D160" s="4845" t="s">
        <v>3290</v>
      </c>
      <c r="E160" s="4846" t="s">
        <v>4567</v>
      </c>
      <c r="F160" s="4847" t="s">
        <v>4568</v>
      </c>
      <c r="G160" s="4848" t="s">
        <v>4569</v>
      </c>
      <c r="H160" s="4848" t="s">
        <v>4570</v>
      </c>
      <c r="I160" s="4848" t="s">
        <v>4571</v>
      </c>
      <c r="J160" s="4848" t="s">
        <v>4572</v>
      </c>
      <c r="K160" s="4848" t="s">
        <v>4573</v>
      </c>
      <c r="L160" s="4848" t="s">
        <v>4574</v>
      </c>
      <c r="M160" s="4848" t="s">
        <v>4575</v>
      </c>
      <c r="N160" s="4849" t="s">
        <v>4576</v>
      </c>
      <c r="O160" s="4849" t="s">
        <v>4577</v>
      </c>
      <c r="P160" s="4849" t="s">
        <v>4578</v>
      </c>
      <c r="Q160" s="4850" t="s">
        <v>4579</v>
      </c>
      <c r="R160" s="4851" t="s">
        <v>4580</v>
      </c>
      <c r="S160" s="4852" t="s">
        <v>4581</v>
      </c>
      <c r="T160" s="19" t="e">
        <f t="shared" si="33"/>
        <v>#VALUE!</v>
      </c>
      <c r="CB160" s="135" t="str">
        <f t="shared" si="29"/>
        <v/>
      </c>
      <c r="CC160" s="1865" t="e">
        <f t="shared" si="30"/>
        <v>#VALUE!</v>
      </c>
      <c r="CL160" s="182">
        <f t="shared" si="31"/>
        <v>0</v>
      </c>
      <c r="CM160" s="1867" t="e">
        <f t="shared" si="32"/>
        <v>#VALUE!</v>
      </c>
    </row>
    <row r="161" spans="1:91" s="19" customFormat="1" ht="15" customHeight="1" x14ac:dyDescent="0.25">
      <c r="A161" s="5818">
        <v>29101574</v>
      </c>
      <c r="B161" s="7652" t="s">
        <v>3291</v>
      </c>
      <c r="C161" s="7653"/>
      <c r="D161" s="4853" t="s">
        <v>3283</v>
      </c>
      <c r="E161" s="4854" t="s">
        <v>4567</v>
      </c>
      <c r="F161" s="4855" t="s">
        <v>4568</v>
      </c>
      <c r="G161" s="4856" t="s">
        <v>4569</v>
      </c>
      <c r="H161" s="4856" t="s">
        <v>4570</v>
      </c>
      <c r="I161" s="4856" t="s">
        <v>4571</v>
      </c>
      <c r="J161" s="4856" t="s">
        <v>4572</v>
      </c>
      <c r="K161" s="4856" t="s">
        <v>4573</v>
      </c>
      <c r="L161" s="4856" t="s">
        <v>4574</v>
      </c>
      <c r="M161" s="4856" t="s">
        <v>4575</v>
      </c>
      <c r="N161" s="4856" t="s">
        <v>4576</v>
      </c>
      <c r="O161" s="4856" t="s">
        <v>4577</v>
      </c>
      <c r="P161" s="4856" t="s">
        <v>4578</v>
      </c>
      <c r="Q161" s="4857" t="s">
        <v>4579</v>
      </c>
      <c r="R161" s="4855" t="s">
        <v>4580</v>
      </c>
      <c r="S161" s="4858" t="s">
        <v>4581</v>
      </c>
      <c r="T161" s="19" t="e">
        <f t="shared" si="33"/>
        <v>#VALUE!</v>
      </c>
      <c r="CB161" s="135" t="str">
        <f t="shared" si="29"/>
        <v/>
      </c>
      <c r="CC161" s="1865" t="e">
        <f t="shared" si="30"/>
        <v>#VALUE!</v>
      </c>
      <c r="CL161" s="182">
        <f t="shared" si="31"/>
        <v>0</v>
      </c>
      <c r="CM161" s="1867" t="e">
        <f t="shared" si="32"/>
        <v>#VALUE!</v>
      </c>
    </row>
    <row r="162" spans="1:91" s="19" customFormat="1" ht="15" customHeight="1" x14ac:dyDescent="0.25">
      <c r="A162" s="5818">
        <v>29101575</v>
      </c>
      <c r="B162" s="7654"/>
      <c r="C162" s="7649"/>
      <c r="D162" s="4834" t="s">
        <v>3284</v>
      </c>
      <c r="E162" s="4859" t="s">
        <v>4567</v>
      </c>
      <c r="F162" s="4860" t="s">
        <v>4568</v>
      </c>
      <c r="G162" s="4836" t="s">
        <v>4569</v>
      </c>
      <c r="H162" s="4837" t="s">
        <v>4570</v>
      </c>
      <c r="I162" s="4837" t="s">
        <v>4571</v>
      </c>
      <c r="J162" s="4837" t="s">
        <v>4572</v>
      </c>
      <c r="K162" s="4837" t="s">
        <v>4573</v>
      </c>
      <c r="L162" s="4837" t="s">
        <v>4574</v>
      </c>
      <c r="M162" s="4837" t="s">
        <v>4575</v>
      </c>
      <c r="N162" s="4837" t="s">
        <v>4576</v>
      </c>
      <c r="O162" s="4837" t="s">
        <v>4577</v>
      </c>
      <c r="P162" s="4837" t="s">
        <v>4578</v>
      </c>
      <c r="Q162" s="4838" t="s">
        <v>4579</v>
      </c>
      <c r="R162" s="4839" t="s">
        <v>4580</v>
      </c>
      <c r="S162" s="4840" t="s">
        <v>4581</v>
      </c>
      <c r="T162" s="19" t="e">
        <f t="shared" si="33"/>
        <v>#VALUE!</v>
      </c>
      <c r="CB162" s="135" t="str">
        <f t="shared" si="29"/>
        <v/>
      </c>
      <c r="CC162" s="1865" t="e">
        <f t="shared" si="30"/>
        <v>#VALUE!</v>
      </c>
      <c r="CL162" s="182">
        <f t="shared" si="31"/>
        <v>0</v>
      </c>
      <c r="CM162" s="1867" t="e">
        <f t="shared" si="32"/>
        <v>#VALUE!</v>
      </c>
    </row>
    <row r="163" spans="1:91" s="19" customFormat="1" ht="15" customHeight="1" x14ac:dyDescent="0.25">
      <c r="A163" s="5818">
        <v>29101576</v>
      </c>
      <c r="B163" s="7654"/>
      <c r="C163" s="7649"/>
      <c r="D163" s="4834" t="s">
        <v>3285</v>
      </c>
      <c r="E163" s="4859" t="s">
        <v>4567</v>
      </c>
      <c r="F163" s="4860" t="s">
        <v>4568</v>
      </c>
      <c r="G163" s="4837" t="s">
        <v>4569</v>
      </c>
      <c r="H163" s="4836" t="s">
        <v>4570</v>
      </c>
      <c r="I163" s="4837" t="s">
        <v>4571</v>
      </c>
      <c r="J163" s="4837" t="s">
        <v>4572</v>
      </c>
      <c r="K163" s="4837" t="s">
        <v>4573</v>
      </c>
      <c r="L163" s="4837" t="s">
        <v>4574</v>
      </c>
      <c r="M163" s="4837" t="s">
        <v>4575</v>
      </c>
      <c r="N163" s="4837" t="s">
        <v>4576</v>
      </c>
      <c r="O163" s="4837" t="s">
        <v>4577</v>
      </c>
      <c r="P163" s="4837" t="s">
        <v>4578</v>
      </c>
      <c r="Q163" s="4838" t="s">
        <v>4579</v>
      </c>
      <c r="R163" s="4839" t="s">
        <v>4580</v>
      </c>
      <c r="S163" s="4840" t="s">
        <v>4581</v>
      </c>
      <c r="T163" s="19" t="e">
        <f t="shared" si="33"/>
        <v>#VALUE!</v>
      </c>
      <c r="CB163" s="135" t="str">
        <f t="shared" si="29"/>
        <v/>
      </c>
      <c r="CC163" s="1865" t="e">
        <f t="shared" si="30"/>
        <v>#VALUE!</v>
      </c>
      <c r="CL163" s="182">
        <f t="shared" si="31"/>
        <v>0</v>
      </c>
      <c r="CM163" s="1867" t="e">
        <f t="shared" si="32"/>
        <v>#VALUE!</v>
      </c>
    </row>
    <row r="164" spans="1:91" s="19" customFormat="1" ht="23.25" customHeight="1" x14ac:dyDescent="0.25">
      <c r="A164" s="5818">
        <v>29101577</v>
      </c>
      <c r="B164" s="7654"/>
      <c r="C164" s="7649"/>
      <c r="D164" s="2579" t="s">
        <v>3286</v>
      </c>
      <c r="E164" s="4859" t="s">
        <v>4567</v>
      </c>
      <c r="F164" s="4860" t="s">
        <v>4568</v>
      </c>
      <c r="G164" s="4837" t="s">
        <v>4569</v>
      </c>
      <c r="H164" s="4837" t="s">
        <v>4570</v>
      </c>
      <c r="I164" s="4836" t="s">
        <v>4571</v>
      </c>
      <c r="J164" s="4837" t="s">
        <v>4572</v>
      </c>
      <c r="K164" s="4837" t="s">
        <v>4573</v>
      </c>
      <c r="L164" s="4837" t="s">
        <v>4574</v>
      </c>
      <c r="M164" s="4837" t="s">
        <v>4575</v>
      </c>
      <c r="N164" s="4837" t="s">
        <v>4576</v>
      </c>
      <c r="O164" s="4837" t="s">
        <v>4577</v>
      </c>
      <c r="P164" s="4837" t="s">
        <v>4578</v>
      </c>
      <c r="Q164" s="4838" t="s">
        <v>4579</v>
      </c>
      <c r="R164" s="4839" t="s">
        <v>4580</v>
      </c>
      <c r="S164" s="4840" t="s">
        <v>4581</v>
      </c>
      <c r="T164" s="19" t="e">
        <f t="shared" si="33"/>
        <v>#VALUE!</v>
      </c>
      <c r="CB164" s="135" t="str">
        <f t="shared" si="29"/>
        <v/>
      </c>
      <c r="CC164" s="1865" t="e">
        <f t="shared" si="30"/>
        <v>#VALUE!</v>
      </c>
      <c r="CL164" s="182">
        <f t="shared" si="31"/>
        <v>0</v>
      </c>
      <c r="CM164" s="1867" t="e">
        <f t="shared" si="32"/>
        <v>#VALUE!</v>
      </c>
    </row>
    <row r="165" spans="1:91" s="19" customFormat="1" ht="20.100000000000001" customHeight="1" x14ac:dyDescent="0.25">
      <c r="A165" s="5818">
        <v>29101578</v>
      </c>
      <c r="B165" s="7654"/>
      <c r="C165" s="7649"/>
      <c r="D165" s="2579" t="s">
        <v>3287</v>
      </c>
      <c r="E165" s="4859" t="s">
        <v>4567</v>
      </c>
      <c r="F165" s="4860" t="s">
        <v>4568</v>
      </c>
      <c r="G165" s="4837" t="s">
        <v>4569</v>
      </c>
      <c r="H165" s="4837" t="s">
        <v>4570</v>
      </c>
      <c r="I165" s="4837" t="s">
        <v>4571</v>
      </c>
      <c r="J165" s="4836" t="s">
        <v>4572</v>
      </c>
      <c r="K165" s="4836" t="s">
        <v>4573</v>
      </c>
      <c r="L165" s="4836" t="s">
        <v>4574</v>
      </c>
      <c r="M165" s="4836" t="s">
        <v>4575</v>
      </c>
      <c r="N165" s="4836" t="s">
        <v>4576</v>
      </c>
      <c r="O165" s="4837" t="s">
        <v>4577</v>
      </c>
      <c r="P165" s="4837" t="s">
        <v>4578</v>
      </c>
      <c r="Q165" s="4838" t="s">
        <v>4579</v>
      </c>
      <c r="R165" s="4839" t="s">
        <v>4580</v>
      </c>
      <c r="S165" s="4840" t="s">
        <v>4581</v>
      </c>
      <c r="T165" s="19" t="e">
        <f t="shared" si="33"/>
        <v>#VALUE!</v>
      </c>
      <c r="CB165" s="135" t="str">
        <f t="shared" si="29"/>
        <v/>
      </c>
      <c r="CC165" s="1865" t="e">
        <f t="shared" si="30"/>
        <v>#VALUE!</v>
      </c>
      <c r="CL165" s="182">
        <f t="shared" si="31"/>
        <v>0</v>
      </c>
      <c r="CM165" s="1867" t="e">
        <f t="shared" si="32"/>
        <v>#VALUE!</v>
      </c>
    </row>
    <row r="166" spans="1:91" s="19" customFormat="1" ht="15" customHeight="1" x14ac:dyDescent="0.25">
      <c r="A166" s="5818">
        <v>29101579</v>
      </c>
      <c r="B166" s="7654"/>
      <c r="C166" s="7649"/>
      <c r="D166" s="4841" t="s">
        <v>3288</v>
      </c>
      <c r="E166" s="4859" t="s">
        <v>4567</v>
      </c>
      <c r="F166" s="4860" t="s">
        <v>4568</v>
      </c>
      <c r="G166" s="4837" t="s">
        <v>4569</v>
      </c>
      <c r="H166" s="4836" t="s">
        <v>4570</v>
      </c>
      <c r="I166" s="4836" t="s">
        <v>4571</v>
      </c>
      <c r="J166" s="4836" t="s">
        <v>4572</v>
      </c>
      <c r="K166" s="4861" t="s">
        <v>4573</v>
      </c>
      <c r="L166" s="4837" t="s">
        <v>4574</v>
      </c>
      <c r="M166" s="4837" t="s">
        <v>4575</v>
      </c>
      <c r="N166" s="4837" t="s">
        <v>4576</v>
      </c>
      <c r="O166" s="4837" t="s">
        <v>4577</v>
      </c>
      <c r="P166" s="4837" t="s">
        <v>4578</v>
      </c>
      <c r="Q166" s="4838" t="s">
        <v>4579</v>
      </c>
      <c r="R166" s="4839" t="s">
        <v>4580</v>
      </c>
      <c r="S166" s="4840" t="s">
        <v>4581</v>
      </c>
      <c r="T166" s="19" t="e">
        <f t="shared" si="33"/>
        <v>#VALUE!</v>
      </c>
      <c r="CB166" s="135" t="str">
        <f t="shared" si="29"/>
        <v/>
      </c>
      <c r="CC166" s="1865" t="e">
        <f t="shared" si="30"/>
        <v>#VALUE!</v>
      </c>
      <c r="CL166" s="182">
        <f t="shared" si="31"/>
        <v>0</v>
      </c>
      <c r="CM166" s="1867" t="e">
        <f t="shared" si="32"/>
        <v>#VALUE!</v>
      </c>
    </row>
    <row r="167" spans="1:91" s="19" customFormat="1" ht="15" customHeight="1" x14ac:dyDescent="0.25">
      <c r="A167" s="5818">
        <v>29101580</v>
      </c>
      <c r="B167" s="7654"/>
      <c r="C167" s="7649"/>
      <c r="D167" s="4841" t="s">
        <v>3289</v>
      </c>
      <c r="E167" s="4859" t="s">
        <v>4567</v>
      </c>
      <c r="F167" s="4860" t="s">
        <v>4568</v>
      </c>
      <c r="G167" s="4837" t="s">
        <v>4569</v>
      </c>
      <c r="H167" s="4836" t="s">
        <v>4570</v>
      </c>
      <c r="I167" s="4836" t="s">
        <v>4571</v>
      </c>
      <c r="J167" s="4836" t="s">
        <v>4572</v>
      </c>
      <c r="K167" s="4836" t="s">
        <v>4573</v>
      </c>
      <c r="L167" s="4836" t="s">
        <v>4574</v>
      </c>
      <c r="M167" s="4836" t="s">
        <v>4575</v>
      </c>
      <c r="N167" s="4836" t="s">
        <v>4576</v>
      </c>
      <c r="O167" s="4861" t="s">
        <v>4577</v>
      </c>
      <c r="P167" s="4861" t="s">
        <v>4578</v>
      </c>
      <c r="Q167" s="4862" t="s">
        <v>4579</v>
      </c>
      <c r="R167" s="4843" t="s">
        <v>4580</v>
      </c>
      <c r="S167" s="4844" t="s">
        <v>4581</v>
      </c>
      <c r="T167" s="19" t="e">
        <f t="shared" si="33"/>
        <v>#VALUE!</v>
      </c>
      <c r="CB167" s="135" t="str">
        <f t="shared" si="29"/>
        <v/>
      </c>
      <c r="CC167" s="1865" t="e">
        <f t="shared" si="30"/>
        <v>#VALUE!</v>
      </c>
      <c r="CL167" s="182">
        <f t="shared" si="31"/>
        <v>0</v>
      </c>
      <c r="CM167" s="1867" t="e">
        <f t="shared" si="32"/>
        <v>#VALUE!</v>
      </c>
    </row>
    <row r="168" spans="1:91" s="19" customFormat="1" ht="24.75" customHeight="1" x14ac:dyDescent="0.25">
      <c r="A168" s="5818">
        <v>29101581</v>
      </c>
      <c r="B168" s="7655"/>
      <c r="C168" s="7651"/>
      <c r="D168" s="4863" t="s">
        <v>3290</v>
      </c>
      <c r="E168" s="4864" t="s">
        <v>4567</v>
      </c>
      <c r="F168" s="4865" t="s">
        <v>4568</v>
      </c>
      <c r="G168" s="4848" t="s">
        <v>4569</v>
      </c>
      <c r="H168" s="4848" t="s">
        <v>4570</v>
      </c>
      <c r="I168" s="4848" t="s">
        <v>4571</v>
      </c>
      <c r="J168" s="4848" t="s">
        <v>4572</v>
      </c>
      <c r="K168" s="4848" t="s">
        <v>4573</v>
      </c>
      <c r="L168" s="4866" t="s">
        <v>4574</v>
      </c>
      <c r="M168" s="4867" t="s">
        <v>4575</v>
      </c>
      <c r="N168" s="4868" t="s">
        <v>4576</v>
      </c>
      <c r="O168" s="4868" t="s">
        <v>4577</v>
      </c>
      <c r="P168" s="4868" t="s">
        <v>4578</v>
      </c>
      <c r="Q168" s="4850" t="s">
        <v>4579</v>
      </c>
      <c r="R168" s="4851" t="s">
        <v>4580</v>
      </c>
      <c r="S168" s="4852" t="s">
        <v>4581</v>
      </c>
      <c r="T168" s="19" t="e">
        <f t="shared" si="33"/>
        <v>#VALUE!</v>
      </c>
      <c r="CB168" s="135" t="str">
        <f t="shared" si="29"/>
        <v/>
      </c>
      <c r="CC168" s="1865" t="e">
        <f t="shared" si="30"/>
        <v>#VALUE!</v>
      </c>
      <c r="CL168" s="182">
        <f t="shared" si="31"/>
        <v>0</v>
      </c>
      <c r="CM168" s="1867" t="e">
        <f t="shared" si="32"/>
        <v>#VALUE!</v>
      </c>
    </row>
    <row r="169" spans="1:91" ht="18" customHeight="1" x14ac:dyDescent="0.25">
      <c r="A169" s="5548"/>
      <c r="B169" s="4869" t="s">
        <v>3292</v>
      </c>
      <c r="D169" s="7"/>
      <c r="E169" s="7"/>
      <c r="F169" s="7"/>
      <c r="G169" s="9"/>
      <c r="H169" s="9"/>
      <c r="I169" s="9"/>
      <c r="J169" s="9"/>
      <c r="K169" s="2150"/>
      <c r="L169" s="2150"/>
      <c r="M169" s="2150"/>
      <c r="N169" s="2150"/>
      <c r="O169" s="2150"/>
      <c r="P169" s="2150"/>
      <c r="Q169" s="2150"/>
      <c r="R169" s="2150"/>
      <c r="S169" s="2150"/>
      <c r="T169" s="2150"/>
      <c r="U169" s="2150"/>
      <c r="V169" s="2150"/>
      <c r="W169" s="2150"/>
      <c r="X169" s="2150"/>
      <c r="Y169" s="2150"/>
      <c r="Z169" s="2150"/>
      <c r="AA169" s="2150"/>
      <c r="AB169" s="2150"/>
      <c r="AC169" s="2150"/>
      <c r="AD169" s="2150"/>
      <c r="AE169" s="2150"/>
      <c r="AF169" s="2150"/>
      <c r="AG169" s="2150"/>
      <c r="AH169" s="2150"/>
      <c r="AI169" s="2150"/>
      <c r="AJ169" s="2150"/>
    </row>
    <row r="170" spans="1:91" ht="42" x14ac:dyDescent="0.25">
      <c r="A170" s="5548"/>
      <c r="B170" s="7257" t="s">
        <v>3149</v>
      </c>
      <c r="C170" s="7258"/>
      <c r="D170" s="7346"/>
      <c r="E170" s="1212" t="s">
        <v>77</v>
      </c>
      <c r="F170" s="4490" t="s">
        <v>3040</v>
      </c>
      <c r="G170" s="1213" t="s">
        <v>3205</v>
      </c>
      <c r="H170" s="1213" t="s">
        <v>3206</v>
      </c>
      <c r="I170" s="1216" t="s">
        <v>194</v>
      </c>
      <c r="J170" s="1246" t="s">
        <v>3207</v>
      </c>
      <c r="K170" s="2150"/>
      <c r="L170" s="2150"/>
      <c r="M170" s="2150"/>
      <c r="N170" s="2150"/>
      <c r="O170" s="2150"/>
      <c r="P170" s="2150"/>
      <c r="Q170" s="2150"/>
      <c r="R170" s="2150"/>
      <c r="S170" s="2150"/>
      <c r="T170" s="2150"/>
      <c r="U170" s="2150"/>
      <c r="V170" s="2150"/>
      <c r="W170" s="2150"/>
      <c r="X170" s="2150"/>
      <c r="Y170" s="2150"/>
      <c r="Z170" s="2150"/>
      <c r="AA170" s="2150"/>
      <c r="AB170" s="2150"/>
      <c r="AC170" s="2150"/>
      <c r="AD170" s="2150"/>
      <c r="AE170" s="2150"/>
      <c r="AF170" s="2150"/>
      <c r="AG170" s="2150"/>
      <c r="AH170" s="2150"/>
      <c r="AI170" s="2150"/>
      <c r="AJ170" s="2150"/>
    </row>
    <row r="171" spans="1:91" ht="15" customHeight="1" x14ac:dyDescent="0.25">
      <c r="A171" s="5818">
        <v>29101582</v>
      </c>
      <c r="B171" s="7358" t="s">
        <v>3158</v>
      </c>
      <c r="C171" s="7600" t="s">
        <v>3159</v>
      </c>
      <c r="D171" s="7601"/>
      <c r="E171" s="1077" t="s">
        <v>4567</v>
      </c>
      <c r="F171" s="4508" t="s">
        <v>4568</v>
      </c>
      <c r="G171" s="4509" t="s">
        <v>4569</v>
      </c>
      <c r="H171" s="4509" t="s">
        <v>4570</v>
      </c>
      <c r="I171" s="4767" t="s">
        <v>4571</v>
      </c>
      <c r="J171" s="4768" t="s">
        <v>4572</v>
      </c>
      <c r="K171" s="2150" t="str">
        <f>CB171</f>
        <v xml:space="preserve"> * La variable Facilitador/a Intercultural Pueblos Originarios  No puede ser mayor al Total.</v>
      </c>
      <c r="L171" s="2150"/>
      <c r="M171" s="2150"/>
      <c r="N171" s="2150"/>
      <c r="O171" s="2150"/>
      <c r="P171" s="2150"/>
      <c r="Q171" s="2150"/>
      <c r="R171" s="2150"/>
      <c r="S171" s="2150"/>
      <c r="T171" s="2150"/>
      <c r="U171" s="2150"/>
      <c r="V171" s="2150"/>
      <c r="W171" s="2150"/>
      <c r="X171" s="2150"/>
      <c r="Y171" s="2150"/>
      <c r="Z171" s="2150"/>
      <c r="AA171" s="2150"/>
      <c r="AB171" s="2150"/>
      <c r="AC171" s="2150"/>
      <c r="AD171" s="2150"/>
      <c r="AE171" s="2150"/>
      <c r="AF171" s="2150"/>
      <c r="AG171" s="2150"/>
      <c r="AH171" s="2150"/>
      <c r="AI171" s="2150"/>
      <c r="AJ171" s="2150"/>
      <c r="CB171" s="135" t="str">
        <f t="shared" ref="CB171:CB202" si="34">IF(AND(E171&gt;0,J171="")," * No olvide digitar la variable "&amp;J$170&amp;""&amp;". Digite Cero si no tiene.",IF(J171&gt;E171," * La variable "&amp;J$170&amp;""&amp;" No puede ser mayor al Total.",""))</f>
        <v xml:space="preserve"> * La variable Facilitador/a Intercultural Pueblos Originarios  No puede ser mayor al Total.</v>
      </c>
      <c r="CL171" s="182">
        <f t="shared" ref="CL171:CL202" si="35">IF(AND(E171&gt;0,J171=""),1,IF(J171&gt;E171,1,0))</f>
        <v>1</v>
      </c>
    </row>
    <row r="172" spans="1:91" ht="21" x14ac:dyDescent="0.25">
      <c r="A172" s="5818">
        <v>29101583</v>
      </c>
      <c r="B172" s="7431"/>
      <c r="C172" s="7358" t="s">
        <v>3160</v>
      </c>
      <c r="D172" s="4635" t="s">
        <v>3161</v>
      </c>
      <c r="E172" s="1077" t="s">
        <v>4567</v>
      </c>
      <c r="F172" s="1081" t="s">
        <v>4568</v>
      </c>
      <c r="G172" s="750" t="s">
        <v>4569</v>
      </c>
      <c r="H172" s="750" t="s">
        <v>4570</v>
      </c>
      <c r="I172" s="1084" t="s">
        <v>4571</v>
      </c>
      <c r="J172" s="1260" t="s">
        <v>4572</v>
      </c>
      <c r="K172" s="2150" t="str">
        <f t="shared" ref="K172:K202" si="36">CB172</f>
        <v xml:space="preserve"> * La variable Facilitador/a Intercultural Pueblos Originarios  No puede ser mayor al Total.</v>
      </c>
      <c r="L172" s="2150"/>
      <c r="M172" s="2150"/>
      <c r="N172" s="2150"/>
      <c r="O172" s="2150"/>
      <c r="P172" s="2150"/>
      <c r="Q172" s="2150"/>
      <c r="R172" s="2150"/>
      <c r="S172" s="2150"/>
      <c r="T172" s="2150"/>
      <c r="U172" s="2150"/>
      <c r="V172" s="2150"/>
      <c r="W172" s="2150"/>
      <c r="X172" s="2150"/>
      <c r="Y172" s="2150"/>
      <c r="Z172" s="2150"/>
      <c r="AA172" s="2150"/>
      <c r="AB172" s="2150"/>
      <c r="AC172" s="2150"/>
      <c r="AD172" s="2150"/>
      <c r="AE172" s="2150"/>
      <c r="AF172" s="2150"/>
      <c r="AG172" s="2150"/>
      <c r="AH172" s="2150"/>
      <c r="AI172" s="2150"/>
      <c r="AJ172" s="2150"/>
      <c r="CB172" s="135" t="str">
        <f t="shared" si="34"/>
        <v xml:space="preserve"> * La variable Facilitador/a Intercultural Pueblos Originarios  No puede ser mayor al Total.</v>
      </c>
      <c r="CL172" s="182">
        <f t="shared" si="35"/>
        <v>1</v>
      </c>
    </row>
    <row r="173" spans="1:91" ht="15" customHeight="1" x14ac:dyDescent="0.25">
      <c r="A173" s="5818">
        <v>29101584</v>
      </c>
      <c r="B173" s="7431"/>
      <c r="C173" s="7431"/>
      <c r="D173" s="1778" t="s">
        <v>3162</v>
      </c>
      <c r="E173" s="193" t="s">
        <v>4567</v>
      </c>
      <c r="F173" s="1089" t="s">
        <v>4568</v>
      </c>
      <c r="G173" s="1253" t="s">
        <v>4569</v>
      </c>
      <c r="H173" s="1253" t="s">
        <v>4570</v>
      </c>
      <c r="I173" s="1092" t="s">
        <v>4571</v>
      </c>
      <c r="J173" s="1250" t="s">
        <v>4572</v>
      </c>
      <c r="K173" s="2150" t="str">
        <f t="shared" si="36"/>
        <v xml:space="preserve"> * La variable Facilitador/a Intercultural Pueblos Originarios  No puede ser mayor al Total.</v>
      </c>
      <c r="L173" s="2150"/>
      <c r="M173" s="2150"/>
      <c r="N173" s="2150"/>
      <c r="O173" s="2150"/>
      <c r="P173" s="2150"/>
      <c r="Q173" s="2150"/>
      <c r="R173" s="2150"/>
      <c r="S173" s="2150"/>
      <c r="T173" s="2150"/>
      <c r="U173" s="2150"/>
      <c r="V173" s="2150"/>
      <c r="W173" s="2150"/>
      <c r="X173" s="2150"/>
      <c r="Y173" s="2150"/>
      <c r="Z173" s="2150"/>
      <c r="AA173" s="2150"/>
      <c r="AB173" s="2150"/>
      <c r="AC173" s="2150"/>
      <c r="AD173" s="2150"/>
      <c r="AE173" s="2150"/>
      <c r="AF173" s="2150"/>
      <c r="AG173" s="2150"/>
      <c r="AH173" s="2150"/>
      <c r="AI173" s="2150"/>
      <c r="AJ173" s="2150"/>
      <c r="CB173" s="135" t="str">
        <f t="shared" si="34"/>
        <v xml:space="preserve"> * La variable Facilitador/a Intercultural Pueblos Originarios  No puede ser mayor al Total.</v>
      </c>
      <c r="CL173" s="182">
        <f t="shared" si="35"/>
        <v>1</v>
      </c>
    </row>
    <row r="174" spans="1:91" ht="15" customHeight="1" x14ac:dyDescent="0.25">
      <c r="A174" s="5818">
        <v>29101585</v>
      </c>
      <c r="B174" s="7431"/>
      <c r="C174" s="7431"/>
      <c r="D174" s="1435" t="s">
        <v>3163</v>
      </c>
      <c r="E174" s="1162" t="s">
        <v>4567</v>
      </c>
      <c r="F174" s="1089" t="s">
        <v>4568</v>
      </c>
      <c r="G174" s="1253" t="s">
        <v>4569</v>
      </c>
      <c r="H174" s="1253" t="s">
        <v>4570</v>
      </c>
      <c r="I174" s="1092" t="s">
        <v>4571</v>
      </c>
      <c r="J174" s="1250" t="s">
        <v>4572</v>
      </c>
      <c r="K174" s="2150" t="str">
        <f t="shared" si="36"/>
        <v xml:space="preserve"> * La variable Facilitador/a Intercultural Pueblos Originarios  No puede ser mayor al Total.</v>
      </c>
      <c r="L174" s="2150"/>
      <c r="M174" s="2150"/>
      <c r="N174" s="2150"/>
      <c r="O174" s="2150"/>
      <c r="P174" s="2150"/>
      <c r="Q174" s="2150"/>
      <c r="R174" s="2150"/>
      <c r="S174" s="2150"/>
      <c r="T174" s="2150"/>
      <c r="U174" s="2150"/>
      <c r="V174" s="2150"/>
      <c r="W174" s="2150"/>
      <c r="X174" s="2150"/>
      <c r="Y174" s="2150"/>
      <c r="Z174" s="2150"/>
      <c r="AA174" s="2150"/>
      <c r="AB174" s="2150"/>
      <c r="AC174" s="2150"/>
      <c r="AD174" s="2150"/>
      <c r="AE174" s="2150"/>
      <c r="AF174" s="2150"/>
      <c r="AG174" s="2150"/>
      <c r="AH174" s="2150"/>
      <c r="AI174" s="2150"/>
      <c r="AJ174" s="2150"/>
      <c r="CB174" s="135" t="str">
        <f t="shared" si="34"/>
        <v xml:space="preserve"> * La variable Facilitador/a Intercultural Pueblos Originarios  No puede ser mayor al Total.</v>
      </c>
      <c r="CL174" s="182">
        <f t="shared" si="35"/>
        <v>1</v>
      </c>
    </row>
    <row r="175" spans="1:91" ht="15" customHeight="1" x14ac:dyDescent="0.25">
      <c r="A175" s="5818">
        <v>29101586</v>
      </c>
      <c r="B175" s="7431"/>
      <c r="C175" s="7463"/>
      <c r="D175" s="4619" t="s">
        <v>3164</v>
      </c>
      <c r="E175" s="4733" t="s">
        <v>4567</v>
      </c>
      <c r="F175" s="1264" t="s">
        <v>4568</v>
      </c>
      <c r="G175" s="262" t="s">
        <v>4569</v>
      </c>
      <c r="H175" s="262" t="s">
        <v>4570</v>
      </c>
      <c r="I175" s="315" t="s">
        <v>4571</v>
      </c>
      <c r="J175" s="4769" t="s">
        <v>4572</v>
      </c>
      <c r="K175" s="2150" t="str">
        <f t="shared" si="36"/>
        <v xml:space="preserve"> * La variable Facilitador/a Intercultural Pueblos Originarios  No puede ser mayor al Total.</v>
      </c>
      <c r="L175" s="2150"/>
      <c r="M175" s="2150"/>
      <c r="N175" s="2150"/>
      <c r="O175" s="2150"/>
      <c r="P175" s="2150"/>
      <c r="Q175" s="2150"/>
      <c r="R175" s="2150"/>
      <c r="S175" s="2150"/>
      <c r="T175" s="2150"/>
      <c r="U175" s="2150"/>
      <c r="V175" s="2150"/>
      <c r="W175" s="2150"/>
      <c r="X175" s="2150"/>
      <c r="Y175" s="2150"/>
      <c r="Z175" s="2150"/>
      <c r="AA175" s="2150"/>
      <c r="AB175" s="2150"/>
      <c r="AC175" s="2150"/>
      <c r="AD175" s="2150"/>
      <c r="AE175" s="2150"/>
      <c r="AF175" s="2150"/>
      <c r="AG175" s="2150"/>
      <c r="AH175" s="2150"/>
      <c r="AI175" s="2150"/>
      <c r="AJ175" s="2150"/>
      <c r="CB175" s="135" t="str">
        <f t="shared" si="34"/>
        <v xml:space="preserve"> * La variable Facilitador/a Intercultural Pueblos Originarios  No puede ser mayor al Total.</v>
      </c>
      <c r="CL175" s="182">
        <f t="shared" si="35"/>
        <v>1</v>
      </c>
    </row>
    <row r="176" spans="1:91" ht="15" customHeight="1" x14ac:dyDescent="0.25">
      <c r="A176" s="5818">
        <v>29101587</v>
      </c>
      <c r="B176" s="7431"/>
      <c r="C176" s="6909" t="s">
        <v>3165</v>
      </c>
      <c r="D176" s="6910"/>
      <c r="E176" s="195" t="s">
        <v>4567</v>
      </c>
      <c r="F176" s="290" t="s">
        <v>4568</v>
      </c>
      <c r="G176" s="531" t="s">
        <v>4569</v>
      </c>
      <c r="H176" s="531" t="s">
        <v>4570</v>
      </c>
      <c r="I176" s="714" t="s">
        <v>4571</v>
      </c>
      <c r="J176" s="369" t="s">
        <v>4572</v>
      </c>
      <c r="K176" s="2150" t="str">
        <f t="shared" si="36"/>
        <v xml:space="preserve"> * La variable Facilitador/a Intercultural Pueblos Originarios  No puede ser mayor al Total.</v>
      </c>
      <c r="L176" s="2150"/>
      <c r="M176" s="2150"/>
      <c r="N176" s="2150"/>
      <c r="O176" s="2150"/>
      <c r="P176" s="2150"/>
      <c r="Q176" s="2150"/>
      <c r="R176" s="2150"/>
      <c r="S176" s="2150"/>
      <c r="T176" s="2150"/>
      <c r="U176" s="2150"/>
      <c r="V176" s="2150"/>
      <c r="W176" s="2150"/>
      <c r="X176" s="2150"/>
      <c r="Y176" s="2150"/>
      <c r="Z176" s="2150"/>
      <c r="AA176" s="2150"/>
      <c r="AB176" s="2150"/>
      <c r="AC176" s="2150"/>
      <c r="AD176" s="2150"/>
      <c r="AE176" s="2150"/>
      <c r="AF176" s="2150"/>
      <c r="AG176" s="2150"/>
      <c r="AH176" s="2150"/>
      <c r="AI176" s="2150"/>
      <c r="AJ176" s="2150"/>
      <c r="CB176" s="135" t="str">
        <f t="shared" si="34"/>
        <v xml:space="preserve"> * La variable Facilitador/a Intercultural Pueblos Originarios  No puede ser mayor al Total.</v>
      </c>
      <c r="CL176" s="182">
        <f t="shared" si="35"/>
        <v>1</v>
      </c>
    </row>
    <row r="177" spans="1:90" ht="15" customHeight="1" x14ac:dyDescent="0.25">
      <c r="A177" s="5818">
        <v>29101588</v>
      </c>
      <c r="B177" s="7431"/>
      <c r="C177" s="7363" t="s">
        <v>3166</v>
      </c>
      <c r="D177" s="7364"/>
      <c r="E177" s="193" t="s">
        <v>4567</v>
      </c>
      <c r="F177" s="1089" t="s">
        <v>4568</v>
      </c>
      <c r="G177" s="1253" t="s">
        <v>4569</v>
      </c>
      <c r="H177" s="1253" t="s">
        <v>4570</v>
      </c>
      <c r="I177" s="1092" t="s">
        <v>4571</v>
      </c>
      <c r="J177" s="1250" t="s">
        <v>4572</v>
      </c>
      <c r="K177" s="2150" t="str">
        <f t="shared" si="36"/>
        <v xml:space="preserve"> * La variable Facilitador/a Intercultural Pueblos Originarios  No puede ser mayor al Total.</v>
      </c>
      <c r="L177" s="2150"/>
      <c r="M177" s="2150"/>
      <c r="N177" s="2150"/>
      <c r="O177" s="2150"/>
      <c r="P177" s="2150"/>
      <c r="Q177" s="2150"/>
      <c r="R177" s="2150"/>
      <c r="S177" s="2150"/>
      <c r="T177" s="2150"/>
      <c r="U177" s="2150"/>
      <c r="V177" s="2150"/>
      <c r="W177" s="2150"/>
      <c r="X177" s="2150"/>
      <c r="Y177" s="2150"/>
      <c r="Z177" s="2150"/>
      <c r="AA177" s="2150"/>
      <c r="AB177" s="2150"/>
      <c r="AC177" s="2150"/>
      <c r="AD177" s="2150"/>
      <c r="AE177" s="2150"/>
      <c r="AF177" s="2150"/>
      <c r="AG177" s="2150"/>
      <c r="AH177" s="2150"/>
      <c r="AI177" s="2150"/>
      <c r="AJ177" s="2150"/>
      <c r="CB177" s="135" t="str">
        <f t="shared" si="34"/>
        <v xml:space="preserve"> * La variable Facilitador/a Intercultural Pueblos Originarios  No puede ser mayor al Total.</v>
      </c>
      <c r="CL177" s="182">
        <f t="shared" si="35"/>
        <v>1</v>
      </c>
    </row>
    <row r="178" spans="1:90" ht="15" customHeight="1" x14ac:dyDescent="0.25">
      <c r="A178" s="5818">
        <v>29101589</v>
      </c>
      <c r="B178" s="7431"/>
      <c r="C178" s="7363" t="s">
        <v>3167</v>
      </c>
      <c r="D178" s="7364"/>
      <c r="E178" s="193" t="s">
        <v>4567</v>
      </c>
      <c r="F178" s="1089" t="s">
        <v>4568</v>
      </c>
      <c r="G178" s="1253" t="s">
        <v>4569</v>
      </c>
      <c r="H178" s="1253" t="s">
        <v>4570</v>
      </c>
      <c r="I178" s="1092" t="s">
        <v>4571</v>
      </c>
      <c r="J178" s="1250" t="s">
        <v>4572</v>
      </c>
      <c r="K178" s="2150" t="str">
        <f t="shared" si="36"/>
        <v xml:space="preserve"> * La variable Facilitador/a Intercultural Pueblos Originarios  No puede ser mayor al Total.</v>
      </c>
      <c r="L178" s="2150"/>
      <c r="M178" s="2150"/>
      <c r="N178" s="2150"/>
      <c r="O178" s="2150"/>
      <c r="P178" s="2150"/>
      <c r="Q178" s="2150"/>
      <c r="R178" s="2150"/>
      <c r="S178" s="2150"/>
      <c r="T178" s="2150"/>
      <c r="U178" s="2150"/>
      <c r="V178" s="2150"/>
      <c r="W178" s="2150"/>
      <c r="X178" s="2150"/>
      <c r="Y178" s="2150"/>
      <c r="Z178" s="2150"/>
      <c r="AA178" s="2150"/>
      <c r="AB178" s="2150"/>
      <c r="AC178" s="2150"/>
      <c r="AD178" s="2150"/>
      <c r="AE178" s="2150"/>
      <c r="AF178" s="2150"/>
      <c r="AG178" s="2150"/>
      <c r="AH178" s="2150"/>
      <c r="AI178" s="2150"/>
      <c r="AJ178" s="2150"/>
      <c r="CB178" s="135" t="str">
        <f t="shared" si="34"/>
        <v xml:space="preserve"> * La variable Facilitador/a Intercultural Pueblos Originarios  No puede ser mayor al Total.</v>
      </c>
      <c r="CL178" s="182">
        <f t="shared" si="35"/>
        <v>1</v>
      </c>
    </row>
    <row r="179" spans="1:90" ht="15" customHeight="1" x14ac:dyDescent="0.25">
      <c r="A179" s="5818">
        <v>29101590</v>
      </c>
      <c r="B179" s="7431"/>
      <c r="C179" s="7602" t="s">
        <v>3168</v>
      </c>
      <c r="D179" s="7603"/>
      <c r="E179" s="193" t="s">
        <v>4567</v>
      </c>
      <c r="F179" s="1089" t="s">
        <v>4568</v>
      </c>
      <c r="G179" s="1253" t="s">
        <v>4569</v>
      </c>
      <c r="H179" s="1253" t="s">
        <v>4570</v>
      </c>
      <c r="I179" s="1092" t="s">
        <v>4571</v>
      </c>
      <c r="J179" s="1250" t="s">
        <v>4572</v>
      </c>
      <c r="K179" s="2150" t="str">
        <f t="shared" si="36"/>
        <v xml:space="preserve"> * La variable Facilitador/a Intercultural Pueblos Originarios  No puede ser mayor al Total.</v>
      </c>
      <c r="L179" s="2150"/>
      <c r="M179" s="2150"/>
      <c r="N179" s="2150"/>
      <c r="O179" s="2150"/>
      <c r="P179" s="2150"/>
      <c r="Q179" s="2150"/>
      <c r="R179" s="2150"/>
      <c r="S179" s="2150"/>
      <c r="T179" s="2150"/>
      <c r="U179" s="2150"/>
      <c r="V179" s="2150"/>
      <c r="W179" s="2150"/>
      <c r="X179" s="2150"/>
      <c r="Y179" s="2150"/>
      <c r="Z179" s="2150"/>
      <c r="AA179" s="2150"/>
      <c r="AB179" s="2150"/>
      <c r="AC179" s="2150"/>
      <c r="AD179" s="2150"/>
      <c r="AE179" s="2150"/>
      <c r="AF179" s="2150"/>
      <c r="AG179" s="2150"/>
      <c r="AH179" s="2150"/>
      <c r="AI179" s="2150"/>
      <c r="AJ179" s="2150"/>
      <c r="CB179" s="135" t="str">
        <f t="shared" si="34"/>
        <v xml:space="preserve"> * La variable Facilitador/a Intercultural Pueblos Originarios  No puede ser mayor al Total.</v>
      </c>
      <c r="CL179" s="182">
        <f t="shared" si="35"/>
        <v>1</v>
      </c>
    </row>
    <row r="180" spans="1:90" ht="15" customHeight="1" x14ac:dyDescent="0.25">
      <c r="A180" s="5818">
        <v>29101591</v>
      </c>
      <c r="B180" s="7431"/>
      <c r="C180" s="7363" t="s">
        <v>3208</v>
      </c>
      <c r="D180" s="7364"/>
      <c r="E180" s="193" t="s">
        <v>4567</v>
      </c>
      <c r="F180" s="1089" t="s">
        <v>4568</v>
      </c>
      <c r="G180" s="1253" t="s">
        <v>4569</v>
      </c>
      <c r="H180" s="1253" t="s">
        <v>4570</v>
      </c>
      <c r="I180" s="1092" t="s">
        <v>4571</v>
      </c>
      <c r="J180" s="1250" t="s">
        <v>4572</v>
      </c>
      <c r="K180" s="2150" t="str">
        <f t="shared" si="36"/>
        <v xml:space="preserve"> * La variable Facilitador/a Intercultural Pueblos Originarios  No puede ser mayor al Total.</v>
      </c>
      <c r="L180" s="2150"/>
      <c r="M180" s="2150"/>
      <c r="N180" s="2150"/>
      <c r="O180" s="2150"/>
      <c r="P180" s="2150"/>
      <c r="Q180" s="2150"/>
      <c r="R180" s="2150"/>
      <c r="S180" s="2150"/>
      <c r="T180" s="2150"/>
      <c r="U180" s="2150"/>
      <c r="V180" s="2150"/>
      <c r="W180" s="2150"/>
      <c r="X180" s="2150"/>
      <c r="Y180" s="2150"/>
      <c r="Z180" s="2150"/>
      <c r="AA180" s="2150"/>
      <c r="AB180" s="2150"/>
      <c r="AC180" s="2150"/>
      <c r="AD180" s="2150"/>
      <c r="AE180" s="2150"/>
      <c r="AF180" s="2150"/>
      <c r="AG180" s="2150"/>
      <c r="AH180" s="2150"/>
      <c r="AI180" s="2150"/>
      <c r="AJ180" s="2150"/>
      <c r="CB180" s="135" t="str">
        <f t="shared" si="34"/>
        <v xml:space="preserve"> * La variable Facilitador/a Intercultural Pueblos Originarios  No puede ser mayor al Total.</v>
      </c>
      <c r="CL180" s="182">
        <f t="shared" si="35"/>
        <v>1</v>
      </c>
    </row>
    <row r="181" spans="1:90" ht="15" customHeight="1" x14ac:dyDescent="0.25">
      <c r="A181" s="5818">
        <v>29101592</v>
      </c>
      <c r="B181" s="7431"/>
      <c r="C181" s="6909" t="s">
        <v>3170</v>
      </c>
      <c r="D181" s="6910"/>
      <c r="E181" s="193" t="s">
        <v>4567</v>
      </c>
      <c r="F181" s="192" t="s">
        <v>4568</v>
      </c>
      <c r="G181" s="580" t="s">
        <v>4569</v>
      </c>
      <c r="H181" s="580" t="s">
        <v>4570</v>
      </c>
      <c r="I181" s="1098" t="s">
        <v>4571</v>
      </c>
      <c r="J181" s="4770" t="s">
        <v>4572</v>
      </c>
      <c r="K181" s="2150" t="str">
        <f t="shared" si="36"/>
        <v xml:space="preserve"> * La variable Facilitador/a Intercultural Pueblos Originarios  No puede ser mayor al Total.</v>
      </c>
      <c r="L181" s="2150"/>
      <c r="M181" s="2150"/>
      <c r="N181" s="2150"/>
      <c r="O181" s="2150"/>
      <c r="P181" s="2150"/>
      <c r="Q181" s="2150"/>
      <c r="R181" s="2150"/>
      <c r="S181" s="2150"/>
      <c r="T181" s="2150"/>
      <c r="U181" s="2150"/>
      <c r="V181" s="2150"/>
      <c r="W181" s="2150"/>
      <c r="X181" s="2150"/>
      <c r="Y181" s="2150"/>
      <c r="Z181" s="2150"/>
      <c r="AA181" s="2150"/>
      <c r="AB181" s="2150"/>
      <c r="AC181" s="2150"/>
      <c r="AD181" s="2150"/>
      <c r="AE181" s="2150"/>
      <c r="AF181" s="2150"/>
      <c r="AG181" s="2150"/>
      <c r="AH181" s="2150"/>
      <c r="AI181" s="2150"/>
      <c r="AJ181" s="2150"/>
      <c r="CB181" s="135" t="str">
        <f t="shared" si="34"/>
        <v xml:space="preserve"> * La variable Facilitador/a Intercultural Pueblos Originarios  No puede ser mayor al Total.</v>
      </c>
      <c r="CL181" s="182">
        <f t="shared" si="35"/>
        <v>1</v>
      </c>
    </row>
    <row r="182" spans="1:90" ht="22.5" customHeight="1" x14ac:dyDescent="0.25">
      <c r="A182" s="5818">
        <v>29101593</v>
      </c>
      <c r="B182" s="7431"/>
      <c r="C182" s="7341" t="s">
        <v>3171</v>
      </c>
      <c r="D182" s="7342"/>
      <c r="E182" s="193" t="s">
        <v>4567</v>
      </c>
      <c r="F182" s="192" t="s">
        <v>4568</v>
      </c>
      <c r="G182" s="580" t="s">
        <v>4569</v>
      </c>
      <c r="H182" s="580" t="s">
        <v>4570</v>
      </c>
      <c r="I182" s="1098" t="s">
        <v>4571</v>
      </c>
      <c r="J182" s="4770" t="s">
        <v>4572</v>
      </c>
      <c r="K182" s="2150" t="str">
        <f t="shared" si="36"/>
        <v xml:space="preserve"> * La variable Facilitador/a Intercultural Pueblos Originarios  No puede ser mayor al Total.</v>
      </c>
      <c r="L182" s="2150"/>
      <c r="M182" s="2150"/>
      <c r="N182" s="2150"/>
      <c r="O182" s="2150"/>
      <c r="P182" s="2150"/>
      <c r="Q182" s="2150"/>
      <c r="R182" s="2150"/>
      <c r="S182" s="2150"/>
      <c r="T182" s="2150"/>
      <c r="U182" s="2150"/>
      <c r="V182" s="2150"/>
      <c r="W182" s="2150"/>
      <c r="X182" s="2150"/>
      <c r="Y182" s="2150"/>
      <c r="Z182" s="2150"/>
      <c r="AA182" s="2150"/>
      <c r="AB182" s="2150"/>
      <c r="AC182" s="2150"/>
      <c r="AD182" s="2150"/>
      <c r="AE182" s="2150"/>
      <c r="AF182" s="2150"/>
      <c r="AG182" s="2150"/>
      <c r="AH182" s="2150"/>
      <c r="AI182" s="2150"/>
      <c r="AJ182" s="2150"/>
      <c r="CB182" s="135" t="str">
        <f t="shared" si="34"/>
        <v xml:space="preserve"> * La variable Facilitador/a Intercultural Pueblos Originarios  No puede ser mayor al Total.</v>
      </c>
      <c r="CL182" s="182">
        <f t="shared" si="35"/>
        <v>1</v>
      </c>
    </row>
    <row r="183" spans="1:90" ht="15" customHeight="1" x14ac:dyDescent="0.25">
      <c r="A183" s="5818">
        <v>29101594</v>
      </c>
      <c r="B183" s="7431"/>
      <c r="C183" s="7341" t="s">
        <v>3172</v>
      </c>
      <c r="D183" s="7342"/>
      <c r="E183" s="193" t="s">
        <v>4567</v>
      </c>
      <c r="F183" s="192" t="s">
        <v>4568</v>
      </c>
      <c r="G183" s="580" t="s">
        <v>4569</v>
      </c>
      <c r="H183" s="580" t="s">
        <v>4570</v>
      </c>
      <c r="I183" s="1098" t="s">
        <v>4571</v>
      </c>
      <c r="J183" s="4770" t="s">
        <v>4572</v>
      </c>
      <c r="K183" s="2150" t="str">
        <f t="shared" si="36"/>
        <v xml:space="preserve"> * La variable Facilitador/a Intercultural Pueblos Originarios  No puede ser mayor al Total.</v>
      </c>
      <c r="L183" s="2150"/>
      <c r="M183" s="2150"/>
      <c r="N183" s="2150"/>
      <c r="O183" s="2150"/>
      <c r="P183" s="2150"/>
      <c r="Q183" s="2150"/>
      <c r="R183" s="2150"/>
      <c r="S183" s="2150"/>
      <c r="T183" s="2150"/>
      <c r="U183" s="2150"/>
      <c r="V183" s="2150"/>
      <c r="W183" s="2150"/>
      <c r="X183" s="2150"/>
      <c r="Y183" s="2150"/>
      <c r="Z183" s="2150"/>
      <c r="AA183" s="2150"/>
      <c r="AB183" s="2150"/>
      <c r="AC183" s="2150"/>
      <c r="AD183" s="2150"/>
      <c r="AE183" s="2150"/>
      <c r="AF183" s="2150"/>
      <c r="AG183" s="2150"/>
      <c r="AH183" s="2150"/>
      <c r="AI183" s="2150"/>
      <c r="AJ183" s="2150"/>
      <c r="CB183" s="135" t="str">
        <f t="shared" si="34"/>
        <v xml:space="preserve"> * La variable Facilitador/a Intercultural Pueblos Originarios  No puede ser mayor al Total.</v>
      </c>
      <c r="CL183" s="182">
        <f t="shared" si="35"/>
        <v>1</v>
      </c>
    </row>
    <row r="184" spans="1:90" ht="15" customHeight="1" x14ac:dyDescent="0.25">
      <c r="A184" s="5818">
        <v>29101595</v>
      </c>
      <c r="B184" s="7431"/>
      <c r="C184" s="7602" t="s">
        <v>3174</v>
      </c>
      <c r="D184" s="7603"/>
      <c r="E184" s="193" t="s">
        <v>4567</v>
      </c>
      <c r="F184" s="192" t="s">
        <v>4568</v>
      </c>
      <c r="G184" s="580" t="s">
        <v>4569</v>
      </c>
      <c r="H184" s="580" t="s">
        <v>4570</v>
      </c>
      <c r="I184" s="1098" t="s">
        <v>4571</v>
      </c>
      <c r="J184" s="4770" t="s">
        <v>4572</v>
      </c>
      <c r="K184" s="2150" t="str">
        <f t="shared" si="36"/>
        <v xml:space="preserve"> * La variable Facilitador/a Intercultural Pueblos Originarios  No puede ser mayor al Total.</v>
      </c>
      <c r="L184" s="2150"/>
      <c r="M184" s="2150"/>
      <c r="N184" s="2150"/>
      <c r="O184" s="2150"/>
      <c r="P184" s="2150"/>
      <c r="Q184" s="2150"/>
      <c r="R184" s="2150"/>
      <c r="S184" s="2150"/>
      <c r="T184" s="2150"/>
      <c r="U184" s="2150"/>
      <c r="V184" s="2150"/>
      <c r="W184" s="2150"/>
      <c r="X184" s="2150"/>
      <c r="Y184" s="2150"/>
      <c r="Z184" s="2150"/>
      <c r="AA184" s="2150"/>
      <c r="AB184" s="2150"/>
      <c r="AC184" s="2150"/>
      <c r="AD184" s="2150"/>
      <c r="AE184" s="2150"/>
      <c r="AF184" s="2150"/>
      <c r="AG184" s="2150"/>
      <c r="AH184" s="2150"/>
      <c r="AI184" s="2150"/>
      <c r="AJ184" s="2150"/>
      <c r="CB184" s="135" t="str">
        <f t="shared" si="34"/>
        <v xml:space="preserve"> * La variable Facilitador/a Intercultural Pueblos Originarios  No puede ser mayor al Total.</v>
      </c>
      <c r="CL184" s="182">
        <f t="shared" si="35"/>
        <v>1</v>
      </c>
    </row>
    <row r="185" spans="1:90" ht="15" customHeight="1" x14ac:dyDescent="0.25">
      <c r="A185" s="5818">
        <v>29101596</v>
      </c>
      <c r="B185" s="7431"/>
      <c r="C185" s="7328" t="s">
        <v>3175</v>
      </c>
      <c r="D185" s="4743" t="s">
        <v>3176</v>
      </c>
      <c r="E185" s="1159" t="s">
        <v>4567</v>
      </c>
      <c r="F185" s="1083" t="s">
        <v>4568</v>
      </c>
      <c r="G185" s="750" t="s">
        <v>4569</v>
      </c>
      <c r="H185" s="750" t="s">
        <v>4570</v>
      </c>
      <c r="I185" s="1084" t="s">
        <v>4571</v>
      </c>
      <c r="J185" s="1260" t="s">
        <v>4572</v>
      </c>
      <c r="K185" s="2150" t="str">
        <f t="shared" si="36"/>
        <v xml:space="preserve"> * La variable Facilitador/a Intercultural Pueblos Originarios  No puede ser mayor al Total.</v>
      </c>
      <c r="L185" s="2150"/>
      <c r="M185" s="2150"/>
      <c r="N185" s="2150"/>
      <c r="O185" s="2150"/>
      <c r="P185" s="2150"/>
      <c r="Q185" s="2150"/>
      <c r="R185" s="2150"/>
      <c r="S185" s="2150"/>
      <c r="T185" s="2150"/>
      <c r="U185" s="2150"/>
      <c r="V185" s="2150"/>
      <c r="W185" s="2150"/>
      <c r="X185" s="2150"/>
      <c r="Y185" s="2150"/>
      <c r="Z185" s="2150"/>
      <c r="AA185" s="2150"/>
      <c r="AB185" s="2150"/>
      <c r="AC185" s="2150"/>
      <c r="AD185" s="2150"/>
      <c r="AE185" s="2150"/>
      <c r="AF185" s="2150"/>
      <c r="AG185" s="2150"/>
      <c r="AH185" s="2150"/>
      <c r="AI185" s="2150"/>
      <c r="AJ185" s="2150"/>
      <c r="CB185" s="135" t="str">
        <f t="shared" si="34"/>
        <v xml:space="preserve"> * La variable Facilitador/a Intercultural Pueblos Originarios  No puede ser mayor al Total.</v>
      </c>
      <c r="CL185" s="182">
        <f t="shared" si="35"/>
        <v>1</v>
      </c>
    </row>
    <row r="186" spans="1:90" ht="15" customHeight="1" x14ac:dyDescent="0.25">
      <c r="A186" s="5818">
        <v>29101597</v>
      </c>
      <c r="B186" s="7431"/>
      <c r="C186" s="6112"/>
      <c r="D186" s="4735" t="s">
        <v>3177</v>
      </c>
      <c r="E186" s="1162" t="s">
        <v>4567</v>
      </c>
      <c r="F186" s="1091" t="s">
        <v>4568</v>
      </c>
      <c r="G186" s="1253" t="s">
        <v>4569</v>
      </c>
      <c r="H186" s="1253" t="s">
        <v>4570</v>
      </c>
      <c r="I186" s="1092" t="s">
        <v>4571</v>
      </c>
      <c r="J186" s="1250" t="s">
        <v>4572</v>
      </c>
      <c r="K186" s="2150" t="str">
        <f t="shared" si="36"/>
        <v xml:space="preserve"> * La variable Facilitador/a Intercultural Pueblos Originarios  No puede ser mayor al Total.</v>
      </c>
      <c r="L186" s="2150"/>
      <c r="M186" s="2150"/>
      <c r="N186" s="2150"/>
      <c r="O186" s="2150"/>
      <c r="P186" s="2150"/>
      <c r="Q186" s="2150"/>
      <c r="R186" s="2150"/>
      <c r="S186" s="2150"/>
      <c r="T186" s="2150"/>
      <c r="U186" s="2150"/>
      <c r="V186" s="2150"/>
      <c r="W186" s="2150"/>
      <c r="X186" s="2150"/>
      <c r="Y186" s="2150"/>
      <c r="Z186" s="2150"/>
      <c r="AA186" s="2150"/>
      <c r="AB186" s="2150"/>
      <c r="AC186" s="2150"/>
      <c r="AD186" s="2150"/>
      <c r="AE186" s="2150"/>
      <c r="AF186" s="2150"/>
      <c r="AG186" s="2150"/>
      <c r="AH186" s="2150"/>
      <c r="AI186" s="2150"/>
      <c r="AJ186" s="2150"/>
      <c r="CB186" s="135" t="str">
        <f t="shared" si="34"/>
        <v xml:space="preserve"> * La variable Facilitador/a Intercultural Pueblos Originarios  No puede ser mayor al Total.</v>
      </c>
      <c r="CL186" s="182">
        <f t="shared" si="35"/>
        <v>1</v>
      </c>
    </row>
    <row r="187" spans="1:90" ht="15" customHeight="1" x14ac:dyDescent="0.25">
      <c r="A187" s="5818">
        <v>29101598</v>
      </c>
      <c r="B187" s="7431"/>
      <c r="C187" s="7464"/>
      <c r="D187" s="416" t="s">
        <v>591</v>
      </c>
      <c r="E187" s="1163" t="s">
        <v>4567</v>
      </c>
      <c r="F187" s="1127" t="s">
        <v>4568</v>
      </c>
      <c r="G187" s="1258" t="s">
        <v>4569</v>
      </c>
      <c r="H187" s="1258" t="s">
        <v>4570</v>
      </c>
      <c r="I187" s="1128" t="s">
        <v>4571</v>
      </c>
      <c r="J187" s="1255" t="s">
        <v>4572</v>
      </c>
      <c r="K187" s="2150" t="str">
        <f t="shared" si="36"/>
        <v xml:space="preserve"> * La variable Facilitador/a Intercultural Pueblos Originarios  No puede ser mayor al Total.</v>
      </c>
      <c r="L187" s="2150"/>
      <c r="M187" s="2150"/>
      <c r="N187" s="2150"/>
      <c r="O187" s="2150"/>
      <c r="P187" s="2150"/>
      <c r="Q187" s="2150"/>
      <c r="R187" s="2150"/>
      <c r="S187" s="2150"/>
      <c r="T187" s="2150"/>
      <c r="U187" s="2150"/>
      <c r="V187" s="2150"/>
      <c r="W187" s="2150"/>
      <c r="X187" s="2150"/>
      <c r="Y187" s="2150"/>
      <c r="Z187" s="2150"/>
      <c r="AA187" s="2150"/>
      <c r="AB187" s="2150"/>
      <c r="AC187" s="2150"/>
      <c r="AD187" s="2150"/>
      <c r="AE187" s="2150"/>
      <c r="AF187" s="2150"/>
      <c r="AG187" s="2150"/>
      <c r="AH187" s="2150"/>
      <c r="AI187" s="2150"/>
      <c r="AJ187" s="2150"/>
      <c r="CB187" s="135" t="str">
        <f t="shared" si="34"/>
        <v xml:space="preserve"> * La variable Facilitador/a Intercultural Pueblos Originarios  No puede ser mayor al Total.</v>
      </c>
      <c r="CL187" s="182">
        <f t="shared" si="35"/>
        <v>1</v>
      </c>
    </row>
    <row r="188" spans="1:90" ht="15" customHeight="1" x14ac:dyDescent="0.25">
      <c r="A188" s="5818">
        <v>29101599</v>
      </c>
      <c r="B188" s="7431"/>
      <c r="C188" s="7328" t="s">
        <v>3178</v>
      </c>
      <c r="D188" s="4635" t="s">
        <v>3179</v>
      </c>
      <c r="E188" s="1077" t="s">
        <v>4567</v>
      </c>
      <c r="F188" s="1081" t="s">
        <v>4568</v>
      </c>
      <c r="G188" s="750" t="s">
        <v>4569</v>
      </c>
      <c r="H188" s="750" t="s">
        <v>4570</v>
      </c>
      <c r="I188" s="1084" t="s">
        <v>4571</v>
      </c>
      <c r="J188" s="1260" t="s">
        <v>4572</v>
      </c>
      <c r="K188" s="2150" t="str">
        <f t="shared" si="36"/>
        <v xml:space="preserve"> * La variable Facilitador/a Intercultural Pueblos Originarios  No puede ser mayor al Total.</v>
      </c>
      <c r="L188" s="2150"/>
      <c r="M188" s="2150"/>
      <c r="N188" s="2150"/>
      <c r="O188" s="2150"/>
      <c r="P188" s="2150"/>
      <c r="Q188" s="2150"/>
      <c r="R188" s="2150"/>
      <c r="S188" s="2150"/>
      <c r="T188" s="2150"/>
      <c r="U188" s="2150"/>
      <c r="V188" s="2150"/>
      <c r="W188" s="2150"/>
      <c r="X188" s="2150"/>
      <c r="Y188" s="2150"/>
      <c r="Z188" s="2150"/>
      <c r="AA188" s="2150"/>
      <c r="AB188" s="2150"/>
      <c r="AC188" s="2150"/>
      <c r="AD188" s="2150"/>
      <c r="AE188" s="2150"/>
      <c r="AF188" s="2150"/>
      <c r="AG188" s="2150"/>
      <c r="AH188" s="2150"/>
      <c r="AI188" s="2150"/>
      <c r="AJ188" s="2150"/>
      <c r="CB188" s="135" t="str">
        <f t="shared" si="34"/>
        <v xml:space="preserve"> * La variable Facilitador/a Intercultural Pueblos Originarios  No puede ser mayor al Total.</v>
      </c>
      <c r="CL188" s="182">
        <f t="shared" si="35"/>
        <v>1</v>
      </c>
    </row>
    <row r="189" spans="1:90" ht="15" customHeight="1" x14ac:dyDescent="0.25">
      <c r="A189" s="5818">
        <v>29101600</v>
      </c>
      <c r="B189" s="7431"/>
      <c r="C189" s="6112"/>
      <c r="D189" s="4714" t="s">
        <v>3180</v>
      </c>
      <c r="E189" s="193" t="s">
        <v>4567</v>
      </c>
      <c r="F189" s="1089" t="s">
        <v>4568</v>
      </c>
      <c r="G189" s="1253" t="s">
        <v>4569</v>
      </c>
      <c r="H189" s="1253" t="s">
        <v>4570</v>
      </c>
      <c r="I189" s="1092" t="s">
        <v>4571</v>
      </c>
      <c r="J189" s="1250" t="s">
        <v>4572</v>
      </c>
      <c r="K189" s="2150" t="str">
        <f t="shared" si="36"/>
        <v xml:space="preserve"> * La variable Facilitador/a Intercultural Pueblos Originarios  No puede ser mayor al Total.</v>
      </c>
      <c r="L189" s="2150"/>
      <c r="M189" s="2150"/>
      <c r="N189" s="2150"/>
      <c r="O189" s="2150"/>
      <c r="P189" s="2150"/>
      <c r="Q189" s="2150"/>
      <c r="R189" s="2150"/>
      <c r="S189" s="2150"/>
      <c r="T189" s="2150"/>
      <c r="U189" s="2150"/>
      <c r="V189" s="2150"/>
      <c r="W189" s="2150"/>
      <c r="X189" s="2150"/>
      <c r="Y189" s="2150"/>
      <c r="Z189" s="2150"/>
      <c r="AA189" s="2150"/>
      <c r="AB189" s="2150"/>
      <c r="AC189" s="2150"/>
      <c r="AD189" s="2150"/>
      <c r="AE189" s="2150"/>
      <c r="AF189" s="2150"/>
      <c r="AG189" s="2150"/>
      <c r="AH189" s="2150"/>
      <c r="AI189" s="2150"/>
      <c r="AJ189" s="2150"/>
      <c r="CB189" s="135" t="str">
        <f t="shared" si="34"/>
        <v xml:space="preserve"> * La variable Facilitador/a Intercultural Pueblos Originarios  No puede ser mayor al Total.</v>
      </c>
      <c r="CL189" s="182">
        <f t="shared" si="35"/>
        <v>1</v>
      </c>
    </row>
    <row r="190" spans="1:90" ht="15" customHeight="1" x14ac:dyDescent="0.25">
      <c r="A190" s="5818">
        <v>29101601</v>
      </c>
      <c r="B190" s="7431"/>
      <c r="C190" s="7464"/>
      <c r="D190" s="416" t="s">
        <v>591</v>
      </c>
      <c r="E190" s="1163" t="s">
        <v>4567</v>
      </c>
      <c r="F190" s="1114" t="s">
        <v>4568</v>
      </c>
      <c r="G190" s="1258" t="s">
        <v>4569</v>
      </c>
      <c r="H190" s="1258" t="s">
        <v>4570</v>
      </c>
      <c r="I190" s="1128" t="s">
        <v>4571</v>
      </c>
      <c r="J190" s="1255" t="s">
        <v>4572</v>
      </c>
      <c r="K190" s="2150" t="str">
        <f t="shared" si="36"/>
        <v xml:space="preserve"> * La variable Facilitador/a Intercultural Pueblos Originarios  No puede ser mayor al Total.</v>
      </c>
      <c r="L190" s="2150"/>
      <c r="M190" s="2150"/>
      <c r="N190" s="2150"/>
      <c r="O190" s="2150"/>
      <c r="P190" s="2150"/>
      <c r="Q190" s="2150"/>
      <c r="R190" s="2150"/>
      <c r="S190" s="2150"/>
      <c r="T190" s="2150"/>
      <c r="U190" s="2150"/>
      <c r="V190" s="2150"/>
      <c r="W190" s="2150"/>
      <c r="X190" s="2150"/>
      <c r="Y190" s="2150"/>
      <c r="Z190" s="2150"/>
      <c r="AA190" s="2150"/>
      <c r="AB190" s="2150"/>
      <c r="AC190" s="2150"/>
      <c r="AD190" s="2150"/>
      <c r="AE190" s="2150"/>
      <c r="AF190" s="2150"/>
      <c r="AG190" s="2150"/>
      <c r="AH190" s="2150"/>
      <c r="AI190" s="2150"/>
      <c r="AJ190" s="2150"/>
      <c r="CB190" s="135" t="str">
        <f t="shared" si="34"/>
        <v xml:space="preserve"> * La variable Facilitador/a Intercultural Pueblos Originarios  No puede ser mayor al Total.</v>
      </c>
      <c r="CL190" s="182">
        <f t="shared" si="35"/>
        <v>1</v>
      </c>
    </row>
    <row r="191" spans="1:90" ht="15" customHeight="1" x14ac:dyDescent="0.25">
      <c r="A191" s="5818">
        <v>29101602</v>
      </c>
      <c r="B191" s="7431"/>
      <c r="C191" s="7619" t="s">
        <v>3181</v>
      </c>
      <c r="D191" s="7620"/>
      <c r="E191" s="1069" t="s">
        <v>4567</v>
      </c>
      <c r="F191" s="1070" t="s">
        <v>4568</v>
      </c>
      <c r="G191" s="4562" t="s">
        <v>4569</v>
      </c>
      <c r="H191" s="4562" t="s">
        <v>4570</v>
      </c>
      <c r="I191" s="1073" t="s">
        <v>4571</v>
      </c>
      <c r="J191" s="4780" t="s">
        <v>4572</v>
      </c>
      <c r="K191" s="2150" t="str">
        <f t="shared" si="36"/>
        <v xml:space="preserve"> * La variable Facilitador/a Intercultural Pueblos Originarios  No puede ser mayor al Total.</v>
      </c>
      <c r="L191" s="2150"/>
      <c r="M191" s="2150"/>
      <c r="N191" s="2150"/>
      <c r="O191" s="2150"/>
      <c r="P191" s="2150"/>
      <c r="Q191" s="2150"/>
      <c r="R191" s="2150"/>
      <c r="S191" s="2150"/>
      <c r="T191" s="2150"/>
      <c r="U191" s="2150"/>
      <c r="V191" s="2150"/>
      <c r="W191" s="2150"/>
      <c r="X191" s="2150"/>
      <c r="Y191" s="2150"/>
      <c r="Z191" s="2150"/>
      <c r="AA191" s="2150"/>
      <c r="AB191" s="2150"/>
      <c r="AC191" s="2150"/>
      <c r="AD191" s="2150"/>
      <c r="AE191" s="2150"/>
      <c r="AF191" s="2150"/>
      <c r="AG191" s="2150"/>
      <c r="AH191" s="2150"/>
      <c r="AI191" s="2150"/>
      <c r="AJ191" s="2150"/>
      <c r="CB191" s="135" t="str">
        <f t="shared" si="34"/>
        <v xml:space="preserve"> * La variable Facilitador/a Intercultural Pueblos Originarios  No puede ser mayor al Total.</v>
      </c>
      <c r="CL191" s="182">
        <f t="shared" si="35"/>
        <v>1</v>
      </c>
    </row>
    <row r="192" spans="1:90" ht="15" customHeight="1" x14ac:dyDescent="0.25">
      <c r="A192" s="5818">
        <v>29101603</v>
      </c>
      <c r="B192" s="7431"/>
      <c r="C192" s="7464" t="s">
        <v>3182</v>
      </c>
      <c r="D192" s="1784" t="s">
        <v>3183</v>
      </c>
      <c r="E192" s="195" t="s">
        <v>4567</v>
      </c>
      <c r="F192" s="290" t="s">
        <v>4568</v>
      </c>
      <c r="G192" s="531" t="s">
        <v>4569</v>
      </c>
      <c r="H192" s="531" t="s">
        <v>4570</v>
      </c>
      <c r="I192" s="714" t="s">
        <v>4571</v>
      </c>
      <c r="J192" s="369" t="s">
        <v>4572</v>
      </c>
      <c r="K192" s="2150" t="str">
        <f t="shared" si="36"/>
        <v xml:space="preserve"> * La variable Facilitador/a Intercultural Pueblos Originarios  No puede ser mayor al Total.</v>
      </c>
      <c r="L192" s="2150"/>
      <c r="M192" s="2150"/>
      <c r="N192" s="2150"/>
      <c r="O192" s="2150"/>
      <c r="P192" s="2150"/>
      <c r="Q192" s="2150"/>
      <c r="R192" s="2150"/>
      <c r="S192" s="2150"/>
      <c r="T192" s="2150"/>
      <c r="U192" s="2150"/>
      <c r="V192" s="2150"/>
      <c r="W192" s="2150"/>
      <c r="X192" s="2150"/>
      <c r="Y192" s="2150"/>
      <c r="Z192" s="2150"/>
      <c r="AA192" s="2150"/>
      <c r="AB192" s="2150"/>
      <c r="AC192" s="2150"/>
      <c r="AD192" s="2150"/>
      <c r="AE192" s="2150"/>
      <c r="AF192" s="2150"/>
      <c r="AG192" s="2150"/>
      <c r="AH192" s="2150"/>
      <c r="AI192" s="2150"/>
      <c r="AJ192" s="2150"/>
      <c r="CB192" s="135" t="str">
        <f t="shared" si="34"/>
        <v xml:space="preserve"> * La variable Facilitador/a Intercultural Pueblos Originarios  No puede ser mayor al Total.</v>
      </c>
      <c r="CL192" s="182">
        <f t="shared" si="35"/>
        <v>1</v>
      </c>
    </row>
    <row r="193" spans="1:90" ht="15" customHeight="1" x14ac:dyDescent="0.25">
      <c r="A193" s="5818">
        <v>29101604</v>
      </c>
      <c r="B193" s="7431"/>
      <c r="C193" s="7621"/>
      <c r="D193" s="4619" t="s">
        <v>3184</v>
      </c>
      <c r="E193" s="193" t="s">
        <v>4567</v>
      </c>
      <c r="F193" s="1089" t="s">
        <v>4568</v>
      </c>
      <c r="G193" s="1253" t="s">
        <v>4569</v>
      </c>
      <c r="H193" s="1253" t="s">
        <v>4570</v>
      </c>
      <c r="I193" s="1092" t="s">
        <v>4571</v>
      </c>
      <c r="J193" s="1250" t="s">
        <v>4572</v>
      </c>
      <c r="K193" s="2150" t="str">
        <f t="shared" si="36"/>
        <v xml:space="preserve"> * La variable Facilitador/a Intercultural Pueblos Originarios  No puede ser mayor al Total.</v>
      </c>
      <c r="L193" s="2150"/>
      <c r="M193" s="2150"/>
      <c r="N193" s="2150"/>
      <c r="O193" s="2150"/>
      <c r="P193" s="2150"/>
      <c r="Q193" s="2150"/>
      <c r="R193" s="2150"/>
      <c r="S193" s="2150"/>
      <c r="T193" s="2150"/>
      <c r="U193" s="2150"/>
      <c r="V193" s="2150"/>
      <c r="W193" s="2150"/>
      <c r="X193" s="2150"/>
      <c r="Y193" s="2150"/>
      <c r="Z193" s="2150"/>
      <c r="AA193" s="2150"/>
      <c r="AB193" s="2150"/>
      <c r="AC193" s="2150"/>
      <c r="AD193" s="2150"/>
      <c r="AE193" s="2150"/>
      <c r="AF193" s="2150"/>
      <c r="AG193" s="2150"/>
      <c r="AH193" s="2150"/>
      <c r="AI193" s="2150"/>
      <c r="AJ193" s="2150"/>
      <c r="CB193" s="135" t="str">
        <f t="shared" si="34"/>
        <v xml:space="preserve"> * La variable Facilitador/a Intercultural Pueblos Originarios  No puede ser mayor al Total.</v>
      </c>
      <c r="CL193" s="182">
        <f t="shared" si="35"/>
        <v>1</v>
      </c>
    </row>
    <row r="194" spans="1:90" ht="15" customHeight="1" x14ac:dyDescent="0.25">
      <c r="A194" s="5818">
        <v>29101605</v>
      </c>
      <c r="B194" s="7431"/>
      <c r="C194" s="7313" t="s">
        <v>3185</v>
      </c>
      <c r="D194" s="7313"/>
      <c r="E194" s="193" t="s">
        <v>4567</v>
      </c>
      <c r="F194" s="1089" t="s">
        <v>4568</v>
      </c>
      <c r="G194" s="1253" t="s">
        <v>4569</v>
      </c>
      <c r="H194" s="1253" t="s">
        <v>4570</v>
      </c>
      <c r="I194" s="1092" t="s">
        <v>4571</v>
      </c>
      <c r="J194" s="1250" t="s">
        <v>4572</v>
      </c>
      <c r="K194" s="2150" t="str">
        <f t="shared" si="36"/>
        <v xml:space="preserve"> * La variable Facilitador/a Intercultural Pueblos Originarios  No puede ser mayor al Total.</v>
      </c>
      <c r="L194" s="2150"/>
      <c r="M194" s="2150"/>
      <c r="N194" s="2150"/>
      <c r="O194" s="2150"/>
      <c r="P194" s="2150"/>
      <c r="Q194" s="2150"/>
      <c r="R194" s="2150"/>
      <c r="S194" s="2150"/>
      <c r="T194" s="2150"/>
      <c r="U194" s="2150"/>
      <c r="V194" s="2150"/>
      <c r="W194" s="2150"/>
      <c r="X194" s="2150"/>
      <c r="Y194" s="2150"/>
      <c r="Z194" s="2150"/>
      <c r="AA194" s="2150"/>
      <c r="AB194" s="2150"/>
      <c r="AC194" s="2150"/>
      <c r="AD194" s="2150"/>
      <c r="AE194" s="2150"/>
      <c r="AF194" s="2150"/>
      <c r="AG194" s="2150"/>
      <c r="AH194" s="2150"/>
      <c r="AI194" s="2150"/>
      <c r="AJ194" s="2150"/>
      <c r="CB194" s="135" t="str">
        <f t="shared" si="34"/>
        <v xml:space="preserve"> * La variable Facilitador/a Intercultural Pueblos Originarios  No puede ser mayor al Total.</v>
      </c>
      <c r="CL194" s="182">
        <f t="shared" si="35"/>
        <v>1</v>
      </c>
    </row>
    <row r="195" spans="1:90" ht="15" customHeight="1" x14ac:dyDescent="0.25">
      <c r="A195" s="5818">
        <v>29101606</v>
      </c>
      <c r="B195" s="7431"/>
      <c r="C195" s="6909" t="s">
        <v>3186</v>
      </c>
      <c r="D195" s="6910"/>
      <c r="E195" s="193" t="s">
        <v>4567</v>
      </c>
      <c r="F195" s="1089" t="s">
        <v>4568</v>
      </c>
      <c r="G195" s="1253" t="s">
        <v>4569</v>
      </c>
      <c r="H195" s="1253" t="s">
        <v>4570</v>
      </c>
      <c r="I195" s="1092" t="s">
        <v>4571</v>
      </c>
      <c r="J195" s="1250" t="s">
        <v>4572</v>
      </c>
      <c r="K195" s="2150" t="str">
        <f t="shared" si="36"/>
        <v xml:space="preserve"> * La variable Facilitador/a Intercultural Pueblos Originarios  No puede ser mayor al Total.</v>
      </c>
      <c r="L195" s="2150"/>
      <c r="M195" s="2150"/>
      <c r="N195" s="2150"/>
      <c r="O195" s="2150"/>
      <c r="P195" s="2150"/>
      <c r="Q195" s="2150"/>
      <c r="R195" s="2150"/>
      <c r="S195" s="2150"/>
      <c r="T195" s="2150"/>
      <c r="U195" s="2150"/>
      <c r="V195" s="2150"/>
      <c r="W195" s="2150"/>
      <c r="X195" s="2150"/>
      <c r="Y195" s="2150"/>
      <c r="Z195" s="2150"/>
      <c r="AA195" s="2150"/>
      <c r="AB195" s="2150"/>
      <c r="AC195" s="2150"/>
      <c r="AD195" s="2150"/>
      <c r="AE195" s="2150"/>
      <c r="AF195" s="2150"/>
      <c r="AG195" s="2150"/>
      <c r="AH195" s="2150"/>
      <c r="AI195" s="2150"/>
      <c r="AJ195" s="2150"/>
      <c r="CB195" s="135" t="str">
        <f t="shared" si="34"/>
        <v xml:space="preserve"> * La variable Facilitador/a Intercultural Pueblos Originarios  No puede ser mayor al Total.</v>
      </c>
      <c r="CL195" s="182">
        <f t="shared" si="35"/>
        <v>1</v>
      </c>
    </row>
    <row r="196" spans="1:90" ht="15" customHeight="1" x14ac:dyDescent="0.25">
      <c r="A196" s="5818">
        <v>29101607</v>
      </c>
      <c r="B196" s="7431"/>
      <c r="C196" s="7341" t="s">
        <v>3187</v>
      </c>
      <c r="D196" s="7342"/>
      <c r="E196" s="193" t="s">
        <v>4567</v>
      </c>
      <c r="F196" s="192" t="s">
        <v>4568</v>
      </c>
      <c r="G196" s="580" t="s">
        <v>4569</v>
      </c>
      <c r="H196" s="580" t="s">
        <v>4570</v>
      </c>
      <c r="I196" s="1098" t="s">
        <v>4571</v>
      </c>
      <c r="J196" s="4770" t="s">
        <v>4572</v>
      </c>
      <c r="K196" s="2150" t="str">
        <f t="shared" si="36"/>
        <v xml:space="preserve"> * La variable Facilitador/a Intercultural Pueblos Originarios  No puede ser mayor al Total.</v>
      </c>
      <c r="L196" s="2150"/>
      <c r="M196" s="2150"/>
      <c r="N196" s="2150"/>
      <c r="O196" s="2150"/>
      <c r="P196" s="2150"/>
      <c r="Q196" s="2150"/>
      <c r="R196" s="2150"/>
      <c r="S196" s="2150"/>
      <c r="T196" s="2150"/>
      <c r="U196" s="2150"/>
      <c r="V196" s="2150"/>
      <c r="W196" s="2150"/>
      <c r="X196" s="2150"/>
      <c r="Y196" s="2150"/>
      <c r="Z196" s="2150"/>
      <c r="AA196" s="2150"/>
      <c r="AB196" s="2150"/>
      <c r="AC196" s="2150"/>
      <c r="AD196" s="2150"/>
      <c r="AE196" s="2150"/>
      <c r="AF196" s="2150"/>
      <c r="AG196" s="2150"/>
      <c r="AH196" s="2150"/>
      <c r="AI196" s="2150"/>
      <c r="AJ196" s="2150"/>
      <c r="CB196" s="135" t="str">
        <f t="shared" si="34"/>
        <v xml:space="preserve"> * La variable Facilitador/a Intercultural Pueblos Originarios  No puede ser mayor al Total.</v>
      </c>
      <c r="CL196" s="182">
        <f t="shared" si="35"/>
        <v>1</v>
      </c>
    </row>
    <row r="197" spans="1:90" ht="15" customHeight="1" x14ac:dyDescent="0.25">
      <c r="A197" s="5818">
        <v>29101608</v>
      </c>
      <c r="B197" s="7431"/>
      <c r="C197" s="7602" t="s">
        <v>3188</v>
      </c>
      <c r="D197" s="7603"/>
      <c r="E197" s="193" t="s">
        <v>4567</v>
      </c>
      <c r="F197" s="192" t="s">
        <v>4568</v>
      </c>
      <c r="G197" s="580" t="s">
        <v>4569</v>
      </c>
      <c r="H197" s="580" t="s">
        <v>4570</v>
      </c>
      <c r="I197" s="1098" t="s">
        <v>4571</v>
      </c>
      <c r="J197" s="4770" t="s">
        <v>4572</v>
      </c>
      <c r="K197" s="2150" t="str">
        <f t="shared" si="36"/>
        <v xml:space="preserve"> * La variable Facilitador/a Intercultural Pueblos Originarios  No puede ser mayor al Total.</v>
      </c>
      <c r="L197" s="2150"/>
      <c r="M197" s="2150"/>
      <c r="N197" s="2150"/>
      <c r="O197" s="2150"/>
      <c r="P197" s="2150"/>
      <c r="Q197" s="2150"/>
      <c r="R197" s="2150"/>
      <c r="S197" s="2150"/>
      <c r="T197" s="2150"/>
      <c r="U197" s="2150"/>
      <c r="V197" s="2150"/>
      <c r="W197" s="2150"/>
      <c r="X197" s="2150"/>
      <c r="Y197" s="2150"/>
      <c r="Z197" s="2150"/>
      <c r="AA197" s="2150"/>
      <c r="AB197" s="2150"/>
      <c r="AC197" s="2150"/>
      <c r="AD197" s="2150"/>
      <c r="AE197" s="2150"/>
      <c r="AF197" s="2150"/>
      <c r="AG197" s="2150"/>
      <c r="AH197" s="2150"/>
      <c r="AI197" s="2150"/>
      <c r="AJ197" s="2150"/>
      <c r="CB197" s="135" t="str">
        <f t="shared" si="34"/>
        <v xml:space="preserve"> * La variable Facilitador/a Intercultural Pueblos Originarios  No puede ser mayor al Total.</v>
      </c>
      <c r="CL197" s="182">
        <f t="shared" si="35"/>
        <v>1</v>
      </c>
    </row>
    <row r="198" spans="1:90" ht="15" customHeight="1" x14ac:dyDescent="0.25">
      <c r="A198" s="5818">
        <v>29101609</v>
      </c>
      <c r="B198" s="7431"/>
      <c r="C198" s="7328" t="s">
        <v>3189</v>
      </c>
      <c r="D198" s="4755" t="s">
        <v>3190</v>
      </c>
      <c r="E198" s="1077" t="s">
        <v>4567</v>
      </c>
      <c r="F198" s="1081" t="s">
        <v>4568</v>
      </c>
      <c r="G198" s="750" t="s">
        <v>4569</v>
      </c>
      <c r="H198" s="750" t="s">
        <v>4570</v>
      </c>
      <c r="I198" s="1084" t="s">
        <v>4571</v>
      </c>
      <c r="J198" s="1260" t="s">
        <v>4572</v>
      </c>
      <c r="K198" s="2150" t="str">
        <f t="shared" si="36"/>
        <v xml:space="preserve"> * La variable Facilitador/a Intercultural Pueblos Originarios  No puede ser mayor al Total.</v>
      </c>
      <c r="L198" s="2150"/>
      <c r="M198" s="2150"/>
      <c r="N198" s="2150"/>
      <c r="O198" s="2150"/>
      <c r="P198" s="2150"/>
      <c r="Q198" s="2150"/>
      <c r="R198" s="2150"/>
      <c r="S198" s="2150"/>
      <c r="T198" s="2150"/>
      <c r="U198" s="2150"/>
      <c r="V198" s="2150"/>
      <c r="W198" s="2150"/>
      <c r="X198" s="2150"/>
      <c r="Y198" s="2150"/>
      <c r="Z198" s="2150"/>
      <c r="AA198" s="2150"/>
      <c r="AB198" s="2150"/>
      <c r="AC198" s="2150"/>
      <c r="AD198" s="2150"/>
      <c r="AE198" s="2150"/>
      <c r="AF198" s="2150"/>
      <c r="AG198" s="2150"/>
      <c r="AH198" s="2150"/>
      <c r="AI198" s="2150"/>
      <c r="AJ198" s="2150"/>
      <c r="CB198" s="135" t="str">
        <f t="shared" si="34"/>
        <v xml:space="preserve"> * La variable Facilitador/a Intercultural Pueblos Originarios  No puede ser mayor al Total.</v>
      </c>
      <c r="CL198" s="182">
        <f t="shared" si="35"/>
        <v>1</v>
      </c>
    </row>
    <row r="199" spans="1:90" ht="15" customHeight="1" x14ac:dyDescent="0.25">
      <c r="A199" s="5818">
        <v>29101610</v>
      </c>
      <c r="B199" s="7431"/>
      <c r="C199" s="6112"/>
      <c r="D199" s="4756" t="s">
        <v>3191</v>
      </c>
      <c r="E199" s="193" t="s">
        <v>4567</v>
      </c>
      <c r="F199" s="1089" t="s">
        <v>4568</v>
      </c>
      <c r="G199" s="1253" t="s">
        <v>4569</v>
      </c>
      <c r="H199" s="1253" t="s">
        <v>4570</v>
      </c>
      <c r="I199" s="1092" t="s">
        <v>4571</v>
      </c>
      <c r="J199" s="1250" t="s">
        <v>4572</v>
      </c>
      <c r="K199" s="2150" t="str">
        <f t="shared" si="36"/>
        <v xml:space="preserve"> * La variable Facilitador/a Intercultural Pueblos Originarios  No puede ser mayor al Total.</v>
      </c>
      <c r="L199" s="2150"/>
      <c r="M199" s="2150"/>
      <c r="N199" s="2150"/>
      <c r="O199" s="2150"/>
      <c r="P199" s="2150"/>
      <c r="Q199" s="2150"/>
      <c r="R199" s="2150"/>
      <c r="S199" s="2150"/>
      <c r="T199" s="2150"/>
      <c r="U199" s="2150"/>
      <c r="V199" s="2150"/>
      <c r="W199" s="2150"/>
      <c r="X199" s="2150"/>
      <c r="Y199" s="2150"/>
      <c r="Z199" s="2150"/>
      <c r="AA199" s="2150"/>
      <c r="AB199" s="2150"/>
      <c r="AC199" s="2150"/>
      <c r="AD199" s="2150"/>
      <c r="AE199" s="2150"/>
      <c r="AF199" s="2150"/>
      <c r="AG199" s="2150"/>
      <c r="AH199" s="2150"/>
      <c r="AI199" s="2150"/>
      <c r="AJ199" s="2150"/>
      <c r="CB199" s="135" t="str">
        <f t="shared" si="34"/>
        <v xml:space="preserve"> * La variable Facilitador/a Intercultural Pueblos Originarios  No puede ser mayor al Total.</v>
      </c>
      <c r="CL199" s="182">
        <f t="shared" si="35"/>
        <v>1</v>
      </c>
    </row>
    <row r="200" spans="1:90" ht="15" customHeight="1" x14ac:dyDescent="0.25">
      <c r="A200" s="5818">
        <v>29101611</v>
      </c>
      <c r="B200" s="7431"/>
      <c r="C200" s="7464"/>
      <c r="D200" s="1401" t="s">
        <v>3192</v>
      </c>
      <c r="E200" s="193" t="s">
        <v>4567</v>
      </c>
      <c r="F200" s="192" t="s">
        <v>4568</v>
      </c>
      <c r="G200" s="580" t="s">
        <v>4569</v>
      </c>
      <c r="H200" s="580" t="s">
        <v>4570</v>
      </c>
      <c r="I200" s="1098" t="s">
        <v>4571</v>
      </c>
      <c r="J200" s="4770" t="s">
        <v>4572</v>
      </c>
      <c r="K200" s="2150" t="str">
        <f t="shared" si="36"/>
        <v xml:space="preserve"> * La variable Facilitador/a Intercultural Pueblos Originarios  No puede ser mayor al Total.</v>
      </c>
      <c r="L200" s="2150"/>
      <c r="M200" s="2150"/>
      <c r="N200" s="2150"/>
      <c r="O200" s="2150"/>
      <c r="P200" s="2150"/>
      <c r="Q200" s="2150"/>
      <c r="R200" s="2150"/>
      <c r="S200" s="2150"/>
      <c r="T200" s="2150"/>
      <c r="U200" s="2150"/>
      <c r="V200" s="2150"/>
      <c r="W200" s="2150"/>
      <c r="X200" s="2150"/>
      <c r="Y200" s="2150"/>
      <c r="Z200" s="2150"/>
      <c r="AA200" s="2150"/>
      <c r="AB200" s="2150"/>
      <c r="AC200" s="2150"/>
      <c r="AD200" s="2150"/>
      <c r="AE200" s="2150"/>
      <c r="AF200" s="2150"/>
      <c r="AG200" s="2150"/>
      <c r="AH200" s="2150"/>
      <c r="AI200" s="2150"/>
      <c r="AJ200" s="2150"/>
      <c r="CB200" s="135" t="str">
        <f t="shared" si="34"/>
        <v xml:space="preserve"> * La variable Facilitador/a Intercultural Pueblos Originarios  No puede ser mayor al Total.</v>
      </c>
      <c r="CL200" s="182">
        <f t="shared" si="35"/>
        <v>1</v>
      </c>
    </row>
    <row r="201" spans="1:90" ht="15" customHeight="1" x14ac:dyDescent="0.25">
      <c r="A201" s="5818">
        <v>29101612</v>
      </c>
      <c r="B201" s="7431"/>
      <c r="C201" s="7610" t="s">
        <v>3195</v>
      </c>
      <c r="D201" s="7611"/>
      <c r="E201" s="1159" t="s">
        <v>4567</v>
      </c>
      <c r="F201" s="1081" t="s">
        <v>4568</v>
      </c>
      <c r="G201" s="750" t="s">
        <v>4569</v>
      </c>
      <c r="H201" s="750" t="s">
        <v>4570</v>
      </c>
      <c r="I201" s="4347" t="s">
        <v>4571</v>
      </c>
      <c r="J201" s="1260" t="s">
        <v>4572</v>
      </c>
      <c r="K201" s="2150" t="str">
        <f t="shared" si="36"/>
        <v xml:space="preserve"> * La variable Facilitador/a Intercultural Pueblos Originarios  No puede ser mayor al Total.</v>
      </c>
      <c r="L201" s="2150"/>
      <c r="M201" s="2150"/>
      <c r="N201" s="2150"/>
      <c r="O201" s="2150"/>
      <c r="P201" s="2150"/>
      <c r="Q201" s="2150"/>
      <c r="R201" s="2150"/>
      <c r="S201" s="2150"/>
      <c r="T201" s="2150"/>
      <c r="U201" s="2150"/>
      <c r="V201" s="2150"/>
      <c r="W201" s="2150"/>
      <c r="X201" s="2150"/>
      <c r="Y201" s="2150"/>
      <c r="Z201" s="2150"/>
      <c r="AA201" s="2150"/>
      <c r="AB201" s="2150"/>
      <c r="AC201" s="2150"/>
      <c r="AD201" s="2150"/>
      <c r="AE201" s="2150"/>
      <c r="AF201" s="2150"/>
      <c r="AG201" s="2150"/>
      <c r="AH201" s="2150"/>
      <c r="AI201" s="2150"/>
      <c r="AJ201" s="2150"/>
      <c r="CB201" s="135" t="str">
        <f t="shared" si="34"/>
        <v xml:space="preserve"> * La variable Facilitador/a Intercultural Pueblos Originarios  No puede ser mayor al Total.</v>
      </c>
      <c r="CL201" s="182">
        <f t="shared" si="35"/>
        <v>1</v>
      </c>
    </row>
    <row r="202" spans="1:90" ht="15" customHeight="1" x14ac:dyDescent="0.25">
      <c r="A202" s="5818">
        <v>29101613</v>
      </c>
      <c r="B202" s="7431"/>
      <c r="C202" s="7598" t="s">
        <v>3196</v>
      </c>
      <c r="D202" s="7599"/>
      <c r="E202" s="4733" t="s">
        <v>4567</v>
      </c>
      <c r="F202" s="1264" t="s">
        <v>4568</v>
      </c>
      <c r="G202" s="262" t="s">
        <v>4569</v>
      </c>
      <c r="H202" s="262" t="s">
        <v>4570</v>
      </c>
      <c r="I202" s="3219" t="s">
        <v>4571</v>
      </c>
      <c r="J202" s="4769" t="s">
        <v>4572</v>
      </c>
      <c r="K202" s="2150" t="str">
        <f t="shared" si="36"/>
        <v xml:space="preserve"> * La variable Facilitador/a Intercultural Pueblos Originarios  No puede ser mayor al Total.</v>
      </c>
      <c r="L202" s="2150"/>
      <c r="M202" s="2150"/>
      <c r="N202" s="2150"/>
      <c r="O202" s="2150"/>
      <c r="P202" s="2150"/>
      <c r="Q202" s="2150"/>
      <c r="R202" s="2150"/>
      <c r="S202" s="2150"/>
      <c r="T202" s="2150"/>
      <c r="U202" s="2150"/>
      <c r="V202" s="2150"/>
      <c r="W202" s="2150"/>
      <c r="X202" s="2150"/>
      <c r="Y202" s="2150"/>
      <c r="Z202" s="2150"/>
      <c r="AA202" s="2150"/>
      <c r="AB202" s="2150"/>
      <c r="AC202" s="2150"/>
      <c r="AD202" s="2150"/>
      <c r="AE202" s="2150"/>
      <c r="AF202" s="2150"/>
      <c r="AG202" s="2150"/>
      <c r="AH202" s="2150"/>
      <c r="AI202" s="2150"/>
      <c r="AJ202" s="2150"/>
      <c r="CB202" s="135" t="str">
        <f t="shared" si="34"/>
        <v xml:space="preserve"> * La variable Facilitador/a Intercultural Pueblos Originarios  No puede ser mayor al Total.</v>
      </c>
      <c r="CL202" s="182">
        <f t="shared" si="35"/>
        <v>1</v>
      </c>
    </row>
    <row r="203" spans="1:90" ht="15" customHeight="1" x14ac:dyDescent="0.25">
      <c r="A203" s="5615"/>
      <c r="B203" s="7463"/>
      <c r="C203" s="7656" t="s">
        <v>77</v>
      </c>
      <c r="D203" s="7657"/>
      <c r="E203" s="1069">
        <f t="shared" ref="E203" si="37">SUM(F203:I203)</f>
        <v>0</v>
      </c>
      <c r="F203" s="1100">
        <f>SUM(F171:F202)</f>
        <v>0</v>
      </c>
      <c r="G203" s="1102">
        <f>SUM(G171:G202)</f>
        <v>0</v>
      </c>
      <c r="H203" s="1102">
        <f>SUM(H171:H202)</f>
        <v>0</v>
      </c>
      <c r="I203" s="4870">
        <f>SUM(I171:I202)</f>
        <v>0</v>
      </c>
      <c r="J203" s="4871">
        <f>SUM(J171:J202)</f>
        <v>0</v>
      </c>
      <c r="K203" s="4812"/>
      <c r="L203" s="2150"/>
      <c r="M203" s="2150"/>
      <c r="N203" s="2150"/>
      <c r="O203" s="2150"/>
      <c r="P203" s="2150"/>
      <c r="Q203" s="2150"/>
      <c r="R203" s="2150"/>
      <c r="S203" s="2150"/>
      <c r="T203" s="2150"/>
      <c r="U203" s="2150"/>
      <c r="V203" s="2150"/>
      <c r="W203" s="2150"/>
      <c r="X203" s="2150"/>
      <c r="Y203" s="2150"/>
      <c r="Z203" s="2150"/>
      <c r="AA203" s="2150"/>
      <c r="AB203" s="2150"/>
      <c r="AC203" s="2150"/>
      <c r="AD203" s="2150"/>
      <c r="AE203" s="2150"/>
      <c r="AF203" s="2150"/>
      <c r="AG203" s="2150"/>
      <c r="AH203" s="2150"/>
      <c r="AI203" s="2150"/>
      <c r="AJ203" s="2150"/>
    </row>
    <row r="204" spans="1:90" ht="18" customHeight="1" x14ac:dyDescent="0.25">
      <c r="B204" s="4869" t="s">
        <v>3293</v>
      </c>
      <c r="C204" s="2157"/>
      <c r="D204" s="2157"/>
      <c r="E204" s="2157"/>
      <c r="F204" s="2157"/>
      <c r="G204" s="4787"/>
      <c r="H204" s="4787" t="s">
        <v>10</v>
      </c>
      <c r="I204" s="4872"/>
      <c r="J204" s="4872"/>
      <c r="K204" s="4813"/>
      <c r="L204" s="4813"/>
      <c r="M204" s="4813"/>
      <c r="N204" s="4813"/>
      <c r="O204" s="4813"/>
      <c r="P204" s="4813"/>
      <c r="Q204" s="4813"/>
      <c r="R204" s="4813"/>
      <c r="S204" s="4813"/>
      <c r="T204" s="4813"/>
      <c r="U204" s="4813"/>
      <c r="V204" s="4813"/>
      <c r="W204" s="4813"/>
      <c r="X204" s="4813"/>
      <c r="Y204" s="4813"/>
      <c r="Z204" s="4873"/>
      <c r="AA204" s="4873"/>
      <c r="AB204" s="4873"/>
      <c r="AC204" s="4873"/>
      <c r="AD204" s="4873"/>
      <c r="AE204" s="4873"/>
      <c r="AF204" s="4873"/>
      <c r="AG204" s="4873"/>
      <c r="AH204" s="4873"/>
      <c r="AI204" s="4873"/>
      <c r="AJ204" s="7"/>
    </row>
    <row r="205" spans="1:90" x14ac:dyDescent="0.25">
      <c r="B205" s="7658" t="s">
        <v>3294</v>
      </c>
      <c r="C205" s="7329" t="s">
        <v>3295</v>
      </c>
      <c r="D205" s="7289" t="s">
        <v>77</v>
      </c>
      <c r="E205" s="6510"/>
      <c r="F205" s="7237"/>
      <c r="G205" s="7257" t="s">
        <v>3296</v>
      </c>
      <c r="H205" s="7258"/>
      <c r="I205" s="7258"/>
      <c r="J205" s="7258"/>
      <c r="K205" s="7258"/>
      <c r="L205" s="7258"/>
      <c r="M205" s="7258"/>
      <c r="N205" s="7258"/>
      <c r="O205" s="7258"/>
      <c r="P205" s="7258"/>
      <c r="Q205" s="7258"/>
      <c r="R205" s="7258"/>
      <c r="S205" s="7258"/>
      <c r="T205" s="7258"/>
      <c r="U205" s="7258"/>
      <c r="V205" s="7258"/>
      <c r="W205" s="7258"/>
      <c r="X205" s="7258"/>
      <c r="Y205" s="7258"/>
      <c r="Z205" s="7258"/>
      <c r="AA205" s="7258"/>
      <c r="AB205" s="7258"/>
      <c r="AC205" s="7258"/>
      <c r="AD205" s="7258"/>
      <c r="AE205" s="7258"/>
      <c r="AF205" s="7258"/>
      <c r="AG205" s="7258"/>
      <c r="AH205" s="7259"/>
      <c r="AI205" s="7661" t="s">
        <v>597</v>
      </c>
      <c r="AJ205" s="2903"/>
    </row>
    <row r="206" spans="1:90" x14ac:dyDescent="0.25">
      <c r="A206" s="5548"/>
      <c r="B206" s="7658"/>
      <c r="C206" s="6350"/>
      <c r="D206" s="7660"/>
      <c r="E206" s="6735"/>
      <c r="F206" s="6955"/>
      <c r="G206" s="7257" t="s">
        <v>44</v>
      </c>
      <c r="H206" s="7346"/>
      <c r="I206" s="7291" t="s">
        <v>45</v>
      </c>
      <c r="J206" s="7244"/>
      <c r="K206" s="7291" t="s">
        <v>46</v>
      </c>
      <c r="L206" s="7244"/>
      <c r="M206" s="7291" t="s">
        <v>47</v>
      </c>
      <c r="N206" s="7244"/>
      <c r="O206" s="7291" t="s">
        <v>48</v>
      </c>
      <c r="P206" s="7244"/>
      <c r="Q206" s="7291" t="s">
        <v>49</v>
      </c>
      <c r="R206" s="7244"/>
      <c r="S206" s="7291" t="s">
        <v>50</v>
      </c>
      <c r="T206" s="7244"/>
      <c r="U206" s="7291" t="s">
        <v>51</v>
      </c>
      <c r="V206" s="7244"/>
      <c r="W206" s="7291" t="s">
        <v>52</v>
      </c>
      <c r="X206" s="7244"/>
      <c r="Y206" s="7291" t="s">
        <v>53</v>
      </c>
      <c r="Z206" s="7244"/>
      <c r="AA206" s="7291" t="s">
        <v>54</v>
      </c>
      <c r="AB206" s="7244"/>
      <c r="AC206" s="7291" t="s">
        <v>55</v>
      </c>
      <c r="AD206" s="7244"/>
      <c r="AE206" s="7291" t="s">
        <v>56</v>
      </c>
      <c r="AF206" s="7244"/>
      <c r="AG206" s="7291" t="s">
        <v>476</v>
      </c>
      <c r="AH206" s="7339"/>
      <c r="AI206" s="7206"/>
    </row>
    <row r="207" spans="1:90" x14ac:dyDescent="0.25">
      <c r="A207" s="5548"/>
      <c r="B207" s="7658"/>
      <c r="C207" s="7659"/>
      <c r="D207" s="1287" t="s">
        <v>79</v>
      </c>
      <c r="E207" s="1110" t="s">
        <v>58</v>
      </c>
      <c r="F207" s="1067" t="s">
        <v>59</v>
      </c>
      <c r="G207" s="1109" t="s">
        <v>58</v>
      </c>
      <c r="H207" s="1067" t="s">
        <v>59</v>
      </c>
      <c r="I207" s="1109" t="s">
        <v>58</v>
      </c>
      <c r="J207" s="1067" t="s">
        <v>59</v>
      </c>
      <c r="K207" s="1109" t="s">
        <v>58</v>
      </c>
      <c r="L207" s="1067" t="s">
        <v>59</v>
      </c>
      <c r="M207" s="1109" t="s">
        <v>58</v>
      </c>
      <c r="N207" s="1067" t="s">
        <v>59</v>
      </c>
      <c r="O207" s="1109" t="s">
        <v>58</v>
      </c>
      <c r="P207" s="1067" t="s">
        <v>59</v>
      </c>
      <c r="Q207" s="1109" t="s">
        <v>58</v>
      </c>
      <c r="R207" s="1067" t="s">
        <v>59</v>
      </c>
      <c r="S207" s="1109" t="s">
        <v>58</v>
      </c>
      <c r="T207" s="1067" t="s">
        <v>59</v>
      </c>
      <c r="U207" s="1109" t="s">
        <v>58</v>
      </c>
      <c r="V207" s="1067" t="s">
        <v>59</v>
      </c>
      <c r="W207" s="1109" t="s">
        <v>58</v>
      </c>
      <c r="X207" s="1067" t="s">
        <v>59</v>
      </c>
      <c r="Y207" s="1109" t="s">
        <v>58</v>
      </c>
      <c r="Z207" s="1067" t="s">
        <v>59</v>
      </c>
      <c r="AA207" s="1109" t="s">
        <v>58</v>
      </c>
      <c r="AB207" s="1067" t="s">
        <v>59</v>
      </c>
      <c r="AC207" s="1109" t="s">
        <v>58</v>
      </c>
      <c r="AD207" s="1067" t="s">
        <v>59</v>
      </c>
      <c r="AE207" s="1109" t="s">
        <v>58</v>
      </c>
      <c r="AF207" s="1067" t="s">
        <v>59</v>
      </c>
      <c r="AG207" s="1109" t="s">
        <v>58</v>
      </c>
      <c r="AH207" s="1111" t="s">
        <v>59</v>
      </c>
      <c r="AI207" s="6937"/>
    </row>
    <row r="208" spans="1:90" ht="15" customHeight="1" x14ac:dyDescent="0.25">
      <c r="A208" s="5824">
        <v>29101614</v>
      </c>
      <c r="B208" s="7668" t="s">
        <v>2167</v>
      </c>
      <c r="C208" s="4438" t="s">
        <v>64</v>
      </c>
      <c r="D208" s="4874" t="s">
        <v>4567</v>
      </c>
      <c r="E208" s="4875" t="s">
        <v>4568</v>
      </c>
      <c r="F208" s="4876" t="s">
        <v>4569</v>
      </c>
      <c r="G208" s="1089" t="s">
        <v>4570</v>
      </c>
      <c r="H208" s="1093" t="s">
        <v>4571</v>
      </c>
      <c r="I208" s="1089" t="s">
        <v>4572</v>
      </c>
      <c r="J208" s="1093" t="s">
        <v>4573</v>
      </c>
      <c r="K208" s="1089" t="s">
        <v>4574</v>
      </c>
      <c r="L208" s="1093" t="s">
        <v>4575</v>
      </c>
      <c r="M208" s="1089" t="s">
        <v>4576</v>
      </c>
      <c r="N208" s="1093" t="s">
        <v>4577</v>
      </c>
      <c r="O208" s="1089" t="s">
        <v>4578</v>
      </c>
      <c r="P208" s="1093" t="s">
        <v>4579</v>
      </c>
      <c r="Q208" s="1089" t="s">
        <v>4580</v>
      </c>
      <c r="R208" s="1093" t="s">
        <v>4581</v>
      </c>
      <c r="S208" s="1089" t="s">
        <v>4582</v>
      </c>
      <c r="T208" s="1093" t="s">
        <v>4583</v>
      </c>
      <c r="U208" s="1089" t="s">
        <v>4584</v>
      </c>
      <c r="V208" s="1093" t="s">
        <v>4585</v>
      </c>
      <c r="W208" s="1089" t="s">
        <v>4586</v>
      </c>
      <c r="X208" s="1093" t="s">
        <v>4587</v>
      </c>
      <c r="Y208" s="1089" t="s">
        <v>4588</v>
      </c>
      <c r="Z208" s="1093" t="s">
        <v>4589</v>
      </c>
      <c r="AA208" s="1089" t="s">
        <v>4590</v>
      </c>
      <c r="AB208" s="1093" t="s">
        <v>4591</v>
      </c>
      <c r="AC208" s="1089" t="s">
        <v>4592</v>
      </c>
      <c r="AD208" s="1093" t="s">
        <v>4593</v>
      </c>
      <c r="AE208" s="1089" t="s">
        <v>4594</v>
      </c>
      <c r="AF208" s="1093" t="s">
        <v>4595</v>
      </c>
      <c r="AG208" s="1089" t="s">
        <v>4596</v>
      </c>
      <c r="AH208" s="1095" t="s">
        <v>4597</v>
      </c>
      <c r="AI208" s="1090" t="s">
        <v>4598</v>
      </c>
      <c r="AJ208" s="4794" t="str">
        <f t="shared" ref="AJ208:AJ214" si="38">$CB208</f>
        <v xml:space="preserve">* La variable Beneficiarios no puede superar el Total Ambos Sexos. </v>
      </c>
      <c r="CB208" s="1865" t="str">
        <f>IF(AND($D208&lt;&gt;0,AI208=""),"* No olvide ingresar la variable "&amp;AI$205&amp;""&amp;" (Digite CERO si no tiene). ",IF(AI208&gt;$D208,"* La variable Beneficiarios no puede superar el Total Ambos Sexos. ",""))</f>
        <v xml:space="preserve">* La variable Beneficiarios no puede superar el Total Ambos Sexos. </v>
      </c>
      <c r="CL208" s="1867">
        <f t="shared" ref="CL208:CL215" si="39">IF(AND($D208&lt;&gt;0,AI208=""),1,IF(AI208&gt;$D208,1,0))</f>
        <v>1</v>
      </c>
    </row>
    <row r="209" spans="1:90" ht="15" customHeight="1" x14ac:dyDescent="0.25">
      <c r="A209" s="5824">
        <v>29101615</v>
      </c>
      <c r="B209" s="7669"/>
      <c r="C209" s="4877" t="s">
        <v>98</v>
      </c>
      <c r="D209" s="4878" t="s">
        <v>4567</v>
      </c>
      <c r="E209" s="4879" t="s">
        <v>4568</v>
      </c>
      <c r="F209" s="4880" t="s">
        <v>4569</v>
      </c>
      <c r="G209" s="192" t="s">
        <v>4570</v>
      </c>
      <c r="H209" s="382" t="s">
        <v>4571</v>
      </c>
      <c r="I209" s="192" t="s">
        <v>4572</v>
      </c>
      <c r="J209" s="382" t="s">
        <v>4573</v>
      </c>
      <c r="K209" s="192" t="s">
        <v>4574</v>
      </c>
      <c r="L209" s="382" t="s">
        <v>4575</v>
      </c>
      <c r="M209" s="192" t="s">
        <v>4576</v>
      </c>
      <c r="N209" s="382" t="s">
        <v>4577</v>
      </c>
      <c r="O209" s="192" t="s">
        <v>4578</v>
      </c>
      <c r="P209" s="382" t="s">
        <v>4579</v>
      </c>
      <c r="Q209" s="192" t="s">
        <v>4580</v>
      </c>
      <c r="R209" s="382" t="s">
        <v>4581</v>
      </c>
      <c r="S209" s="192" t="s">
        <v>4582</v>
      </c>
      <c r="T209" s="382" t="s">
        <v>4583</v>
      </c>
      <c r="U209" s="192" t="s">
        <v>4584</v>
      </c>
      <c r="V209" s="382" t="s">
        <v>4585</v>
      </c>
      <c r="W209" s="192" t="s">
        <v>4586</v>
      </c>
      <c r="X209" s="382" t="s">
        <v>4587</v>
      </c>
      <c r="Y209" s="192" t="s">
        <v>4588</v>
      </c>
      <c r="Z209" s="382" t="s">
        <v>4589</v>
      </c>
      <c r="AA209" s="192" t="s">
        <v>4590</v>
      </c>
      <c r="AB209" s="382" t="s">
        <v>4591</v>
      </c>
      <c r="AC209" s="192" t="s">
        <v>4592</v>
      </c>
      <c r="AD209" s="382" t="s">
        <v>4593</v>
      </c>
      <c r="AE209" s="192" t="s">
        <v>4594</v>
      </c>
      <c r="AF209" s="382" t="s">
        <v>4595</v>
      </c>
      <c r="AG209" s="192" t="s">
        <v>4596</v>
      </c>
      <c r="AH209" s="383" t="s">
        <v>4597</v>
      </c>
      <c r="AI209" s="2" t="s">
        <v>4598</v>
      </c>
      <c r="AJ209" s="4794" t="str">
        <f t="shared" si="38"/>
        <v xml:space="preserve">* La variable Beneficiarios no puede superar el Total Ambos Sexos. </v>
      </c>
      <c r="CB209" s="1865" t="str">
        <f t="shared" ref="CB209:CB215" si="40">IF(AND($D209&lt;&gt;0,AI209=""),"* No olvide ingresar la variable "&amp;AI$205&amp;""&amp;" (Digite CERO si no tiene).  ",IF(AI209&gt;$D209,"* La variable Beneficiarios no puede superar el Total Ambos Sexos. ",""))</f>
        <v xml:space="preserve">* La variable Beneficiarios no puede superar el Total Ambos Sexos. </v>
      </c>
      <c r="CL209" s="1867">
        <f t="shared" si="39"/>
        <v>1</v>
      </c>
    </row>
    <row r="210" spans="1:90" ht="15" customHeight="1" x14ac:dyDescent="0.25">
      <c r="A210" s="5824">
        <v>29101616</v>
      </c>
      <c r="B210" s="7669"/>
      <c r="C210" s="1162" t="s">
        <v>105</v>
      </c>
      <c r="D210" s="4878" t="s">
        <v>4567</v>
      </c>
      <c r="E210" s="4879" t="s">
        <v>4568</v>
      </c>
      <c r="F210" s="4880" t="s">
        <v>4569</v>
      </c>
      <c r="G210" s="192" t="s">
        <v>4570</v>
      </c>
      <c r="H210" s="382" t="s">
        <v>4571</v>
      </c>
      <c r="I210" s="192" t="s">
        <v>4572</v>
      </c>
      <c r="J210" s="382" t="s">
        <v>4573</v>
      </c>
      <c r="K210" s="192" t="s">
        <v>4574</v>
      </c>
      <c r="L210" s="382" t="s">
        <v>4575</v>
      </c>
      <c r="M210" s="192" t="s">
        <v>4576</v>
      </c>
      <c r="N210" s="382" t="s">
        <v>4577</v>
      </c>
      <c r="O210" s="192" t="s">
        <v>4578</v>
      </c>
      <c r="P210" s="382" t="s">
        <v>4579</v>
      </c>
      <c r="Q210" s="192" t="s">
        <v>4580</v>
      </c>
      <c r="R210" s="382" t="s">
        <v>4581</v>
      </c>
      <c r="S210" s="192" t="s">
        <v>4582</v>
      </c>
      <c r="T210" s="382" t="s">
        <v>4583</v>
      </c>
      <c r="U210" s="192" t="s">
        <v>4584</v>
      </c>
      <c r="V210" s="382" t="s">
        <v>4585</v>
      </c>
      <c r="W210" s="192" t="s">
        <v>4586</v>
      </c>
      <c r="X210" s="382" t="s">
        <v>4587</v>
      </c>
      <c r="Y210" s="192" t="s">
        <v>4588</v>
      </c>
      <c r="Z210" s="382" t="s">
        <v>4589</v>
      </c>
      <c r="AA210" s="192" t="s">
        <v>4590</v>
      </c>
      <c r="AB210" s="382" t="s">
        <v>4591</v>
      </c>
      <c r="AC210" s="192" t="s">
        <v>4592</v>
      </c>
      <c r="AD210" s="382" t="s">
        <v>4593</v>
      </c>
      <c r="AE210" s="192" t="s">
        <v>4594</v>
      </c>
      <c r="AF210" s="382" t="s">
        <v>4595</v>
      </c>
      <c r="AG210" s="192" t="s">
        <v>4596</v>
      </c>
      <c r="AH210" s="383" t="s">
        <v>4597</v>
      </c>
      <c r="AI210" s="2" t="s">
        <v>4598</v>
      </c>
      <c r="AJ210" s="4794" t="str">
        <f t="shared" si="38"/>
        <v xml:space="preserve">* La variable Beneficiarios no puede superar el Total Ambos Sexos. </v>
      </c>
      <c r="CB210" s="1865" t="str">
        <f t="shared" si="40"/>
        <v xml:space="preserve">* La variable Beneficiarios no puede superar el Total Ambos Sexos. </v>
      </c>
      <c r="CL210" s="1867">
        <f t="shared" si="39"/>
        <v>1</v>
      </c>
    </row>
    <row r="211" spans="1:90" ht="15" customHeight="1" x14ac:dyDescent="0.25">
      <c r="A211" s="5824">
        <v>29101617</v>
      </c>
      <c r="B211" s="7669"/>
      <c r="C211" s="2636" t="s">
        <v>3297</v>
      </c>
      <c r="D211" s="4878" t="s">
        <v>4567</v>
      </c>
      <c r="E211" s="4879" t="s">
        <v>4568</v>
      </c>
      <c r="F211" s="4880" t="s">
        <v>4569</v>
      </c>
      <c r="G211" s="192" t="s">
        <v>4570</v>
      </c>
      <c r="H211" s="382" t="s">
        <v>4571</v>
      </c>
      <c r="I211" s="192" t="s">
        <v>4572</v>
      </c>
      <c r="J211" s="382" t="s">
        <v>4573</v>
      </c>
      <c r="K211" s="192" t="s">
        <v>4574</v>
      </c>
      <c r="L211" s="382" t="s">
        <v>4575</v>
      </c>
      <c r="M211" s="192" t="s">
        <v>4576</v>
      </c>
      <c r="N211" s="382" t="s">
        <v>4577</v>
      </c>
      <c r="O211" s="192" t="s">
        <v>4578</v>
      </c>
      <c r="P211" s="382" t="s">
        <v>4579</v>
      </c>
      <c r="Q211" s="192" t="s">
        <v>4580</v>
      </c>
      <c r="R211" s="382" t="s">
        <v>4581</v>
      </c>
      <c r="S211" s="192" t="s">
        <v>4582</v>
      </c>
      <c r="T211" s="382" t="s">
        <v>4583</v>
      </c>
      <c r="U211" s="192" t="s">
        <v>4584</v>
      </c>
      <c r="V211" s="382" t="s">
        <v>4585</v>
      </c>
      <c r="W211" s="192" t="s">
        <v>4586</v>
      </c>
      <c r="X211" s="382" t="s">
        <v>4587</v>
      </c>
      <c r="Y211" s="192" t="s">
        <v>4588</v>
      </c>
      <c r="Z211" s="382" t="s">
        <v>4589</v>
      </c>
      <c r="AA211" s="192" t="s">
        <v>4590</v>
      </c>
      <c r="AB211" s="382" t="s">
        <v>4591</v>
      </c>
      <c r="AC211" s="192" t="s">
        <v>4592</v>
      </c>
      <c r="AD211" s="382" t="s">
        <v>4593</v>
      </c>
      <c r="AE211" s="192" t="s">
        <v>4594</v>
      </c>
      <c r="AF211" s="382" t="s">
        <v>4595</v>
      </c>
      <c r="AG211" s="192" t="s">
        <v>4596</v>
      </c>
      <c r="AH211" s="383" t="s">
        <v>4597</v>
      </c>
      <c r="AI211" s="2" t="s">
        <v>4598</v>
      </c>
      <c r="AJ211" s="4794" t="str">
        <f t="shared" si="38"/>
        <v xml:space="preserve">* La variable Beneficiarios no puede superar el Total Ambos Sexos. </v>
      </c>
      <c r="CB211" s="1865" t="str">
        <f t="shared" si="40"/>
        <v xml:space="preserve">* La variable Beneficiarios no puede superar el Total Ambos Sexos. </v>
      </c>
      <c r="CL211" s="1867">
        <f t="shared" si="39"/>
        <v>1</v>
      </c>
    </row>
    <row r="212" spans="1:90" ht="15" customHeight="1" x14ac:dyDescent="0.25">
      <c r="A212" s="5824">
        <v>29101618</v>
      </c>
      <c r="B212" s="7669"/>
      <c r="C212" s="4877" t="s">
        <v>99</v>
      </c>
      <c r="D212" s="4881" t="s">
        <v>4567</v>
      </c>
      <c r="E212" s="4875" t="s">
        <v>4568</v>
      </c>
      <c r="F212" s="4876" t="s">
        <v>4569</v>
      </c>
      <c r="G212" s="1089" t="s">
        <v>4570</v>
      </c>
      <c r="H212" s="1093" t="s">
        <v>4571</v>
      </c>
      <c r="I212" s="1089" t="s">
        <v>4572</v>
      </c>
      <c r="J212" s="1093" t="s">
        <v>4573</v>
      </c>
      <c r="K212" s="1089" t="s">
        <v>4574</v>
      </c>
      <c r="L212" s="1093" t="s">
        <v>4575</v>
      </c>
      <c r="M212" s="1089" t="s">
        <v>4576</v>
      </c>
      <c r="N212" s="1093" t="s">
        <v>4577</v>
      </c>
      <c r="O212" s="1089" t="s">
        <v>4578</v>
      </c>
      <c r="P212" s="1093" t="s">
        <v>4579</v>
      </c>
      <c r="Q212" s="1089" t="s">
        <v>4580</v>
      </c>
      <c r="R212" s="1093" t="s">
        <v>4581</v>
      </c>
      <c r="S212" s="1089" t="s">
        <v>4582</v>
      </c>
      <c r="T212" s="1093" t="s">
        <v>4583</v>
      </c>
      <c r="U212" s="1089" t="s">
        <v>4584</v>
      </c>
      <c r="V212" s="1093" t="s">
        <v>4585</v>
      </c>
      <c r="W212" s="1089" t="s">
        <v>4586</v>
      </c>
      <c r="X212" s="1093" t="s">
        <v>4587</v>
      </c>
      <c r="Y212" s="1089" t="s">
        <v>4588</v>
      </c>
      <c r="Z212" s="1093" t="s">
        <v>4589</v>
      </c>
      <c r="AA212" s="1089" t="s">
        <v>4590</v>
      </c>
      <c r="AB212" s="1093" t="s">
        <v>4591</v>
      </c>
      <c r="AC212" s="1089" t="s">
        <v>4592</v>
      </c>
      <c r="AD212" s="1093" t="s">
        <v>4593</v>
      </c>
      <c r="AE212" s="1089" t="s">
        <v>4594</v>
      </c>
      <c r="AF212" s="1093" t="s">
        <v>4595</v>
      </c>
      <c r="AG212" s="1089" t="s">
        <v>4596</v>
      </c>
      <c r="AH212" s="1095" t="s">
        <v>4597</v>
      </c>
      <c r="AI212" s="1250" t="s">
        <v>4598</v>
      </c>
      <c r="AJ212" s="4794" t="str">
        <f t="shared" si="38"/>
        <v xml:space="preserve">* La variable Beneficiarios no puede superar el Total Ambos Sexos. </v>
      </c>
      <c r="CB212" s="1865" t="str">
        <f t="shared" si="40"/>
        <v xml:space="preserve">* La variable Beneficiarios no puede superar el Total Ambos Sexos. </v>
      </c>
      <c r="CL212" s="1867">
        <f t="shared" si="39"/>
        <v>1</v>
      </c>
    </row>
    <row r="213" spans="1:90" ht="15" customHeight="1" x14ac:dyDescent="0.25">
      <c r="A213" s="5824">
        <v>29101619</v>
      </c>
      <c r="B213" s="7670"/>
      <c r="C213" s="4439" t="s">
        <v>3298</v>
      </c>
      <c r="D213" s="4881" t="s">
        <v>4567</v>
      </c>
      <c r="E213" s="4875" t="s">
        <v>4568</v>
      </c>
      <c r="F213" s="4876" t="s">
        <v>4569</v>
      </c>
      <c r="G213" s="1114" t="s">
        <v>4570</v>
      </c>
      <c r="H213" s="1115" t="s">
        <v>4571</v>
      </c>
      <c r="I213" s="1114" t="s">
        <v>4572</v>
      </c>
      <c r="J213" s="1115" t="s">
        <v>4573</v>
      </c>
      <c r="K213" s="1114" t="s">
        <v>4574</v>
      </c>
      <c r="L213" s="1115" t="s">
        <v>4575</v>
      </c>
      <c r="M213" s="1114" t="s">
        <v>4576</v>
      </c>
      <c r="N213" s="1115" t="s">
        <v>4577</v>
      </c>
      <c r="O213" s="1114" t="s">
        <v>4578</v>
      </c>
      <c r="P213" s="1115" t="s">
        <v>4579</v>
      </c>
      <c r="Q213" s="1114" t="s">
        <v>4580</v>
      </c>
      <c r="R213" s="1115" t="s">
        <v>4581</v>
      </c>
      <c r="S213" s="1114" t="s">
        <v>4582</v>
      </c>
      <c r="T213" s="1115" t="s">
        <v>4583</v>
      </c>
      <c r="U213" s="1114" t="s">
        <v>4584</v>
      </c>
      <c r="V213" s="1115" t="s">
        <v>4585</v>
      </c>
      <c r="W213" s="1114" t="s">
        <v>4586</v>
      </c>
      <c r="X213" s="1115" t="s">
        <v>4587</v>
      </c>
      <c r="Y213" s="1114" t="s">
        <v>4588</v>
      </c>
      <c r="Z213" s="1115" t="s">
        <v>4589</v>
      </c>
      <c r="AA213" s="1114" t="s">
        <v>4590</v>
      </c>
      <c r="AB213" s="1115" t="s">
        <v>4591</v>
      </c>
      <c r="AC213" s="1114" t="s">
        <v>4592</v>
      </c>
      <c r="AD213" s="1115" t="s">
        <v>4593</v>
      </c>
      <c r="AE213" s="1114" t="s">
        <v>4594</v>
      </c>
      <c r="AF213" s="1115" t="s">
        <v>4595</v>
      </c>
      <c r="AG213" s="1114" t="s">
        <v>4596</v>
      </c>
      <c r="AH213" s="1324" t="s">
        <v>4597</v>
      </c>
      <c r="AI213" s="1255" t="s">
        <v>4598</v>
      </c>
      <c r="AJ213" s="4794" t="str">
        <f t="shared" si="38"/>
        <v xml:space="preserve">* La variable Beneficiarios no puede superar el Total Ambos Sexos. </v>
      </c>
      <c r="CB213" s="1865" t="str">
        <f t="shared" si="40"/>
        <v xml:space="preserve">* La variable Beneficiarios no puede superar el Total Ambos Sexos. </v>
      </c>
      <c r="CL213" s="1867">
        <f t="shared" si="39"/>
        <v>1</v>
      </c>
    </row>
    <row r="214" spans="1:90" ht="15" customHeight="1" x14ac:dyDescent="0.25">
      <c r="A214" s="5824">
        <v>29101495</v>
      </c>
      <c r="B214" s="7664" t="s">
        <v>3299</v>
      </c>
      <c r="C214" s="4438" t="s">
        <v>3300</v>
      </c>
      <c r="D214" s="4882" t="s">
        <v>4567</v>
      </c>
      <c r="E214" s="4883" t="s">
        <v>4568</v>
      </c>
      <c r="F214" s="4884" t="s">
        <v>4569</v>
      </c>
      <c r="G214" s="1081" t="s">
        <v>4570</v>
      </c>
      <c r="H214" s="748" t="s">
        <v>4571</v>
      </c>
      <c r="I214" s="1081" t="s">
        <v>4572</v>
      </c>
      <c r="J214" s="748" t="s">
        <v>4573</v>
      </c>
      <c r="K214" s="1081" t="s">
        <v>4574</v>
      </c>
      <c r="L214" s="748" t="s">
        <v>4575</v>
      </c>
      <c r="M214" s="1081" t="s">
        <v>4576</v>
      </c>
      <c r="N214" s="748" t="s">
        <v>4577</v>
      </c>
      <c r="O214" s="1081" t="s">
        <v>4578</v>
      </c>
      <c r="P214" s="748" t="s">
        <v>4579</v>
      </c>
      <c r="Q214" s="1081" t="s">
        <v>4580</v>
      </c>
      <c r="R214" s="748" t="s">
        <v>4581</v>
      </c>
      <c r="S214" s="1081" t="s">
        <v>4582</v>
      </c>
      <c r="T214" s="748" t="s">
        <v>4583</v>
      </c>
      <c r="U214" s="1081" t="s">
        <v>4584</v>
      </c>
      <c r="V214" s="748" t="s">
        <v>4585</v>
      </c>
      <c r="W214" s="1081" t="s">
        <v>4586</v>
      </c>
      <c r="X214" s="748" t="s">
        <v>4587</v>
      </c>
      <c r="Y214" s="1081" t="s">
        <v>4588</v>
      </c>
      <c r="Z214" s="748" t="s">
        <v>4589</v>
      </c>
      <c r="AA214" s="1081" t="s">
        <v>4590</v>
      </c>
      <c r="AB214" s="748" t="s">
        <v>4591</v>
      </c>
      <c r="AC214" s="1081" t="s">
        <v>4592</v>
      </c>
      <c r="AD214" s="748" t="s">
        <v>4593</v>
      </c>
      <c r="AE214" s="1081" t="s">
        <v>4594</v>
      </c>
      <c r="AF214" s="748" t="s">
        <v>4595</v>
      </c>
      <c r="AG214" s="1081" t="s">
        <v>4596</v>
      </c>
      <c r="AH214" s="736" t="s">
        <v>4597</v>
      </c>
      <c r="AI214" s="1082" t="s">
        <v>4598</v>
      </c>
      <c r="AJ214" s="4794" t="str">
        <f t="shared" si="38"/>
        <v xml:space="preserve">* La variable Beneficiarios no puede superar el Total Ambos Sexos. </v>
      </c>
      <c r="CB214" s="1865" t="str">
        <f t="shared" si="40"/>
        <v xml:space="preserve">* La variable Beneficiarios no puede superar el Total Ambos Sexos. </v>
      </c>
      <c r="CL214" s="1867">
        <f t="shared" si="39"/>
        <v>1</v>
      </c>
    </row>
    <row r="215" spans="1:90" x14ac:dyDescent="0.25">
      <c r="A215" s="5825">
        <v>27601031</v>
      </c>
      <c r="B215" s="7664"/>
      <c r="C215" s="4439" t="s">
        <v>3301</v>
      </c>
      <c r="D215" s="4885" t="s">
        <v>4567</v>
      </c>
      <c r="E215" s="4886" t="s">
        <v>4568</v>
      </c>
      <c r="F215" s="4887" t="s">
        <v>4569</v>
      </c>
      <c r="G215" s="1114" t="s">
        <v>4570</v>
      </c>
      <c r="H215" s="1115" t="s">
        <v>4571</v>
      </c>
      <c r="I215" s="1114" t="s">
        <v>4572</v>
      </c>
      <c r="J215" s="1115" t="s">
        <v>4573</v>
      </c>
      <c r="K215" s="1114" t="s">
        <v>4574</v>
      </c>
      <c r="L215" s="1115" t="s">
        <v>4575</v>
      </c>
      <c r="M215" s="1114" t="s">
        <v>4576</v>
      </c>
      <c r="N215" s="1115" t="s">
        <v>4577</v>
      </c>
      <c r="O215" s="1114" t="s">
        <v>4578</v>
      </c>
      <c r="P215" s="1115" t="s">
        <v>4579</v>
      </c>
      <c r="Q215" s="1114" t="s">
        <v>4580</v>
      </c>
      <c r="R215" s="1115" t="s">
        <v>4581</v>
      </c>
      <c r="S215" s="1114" t="s">
        <v>4582</v>
      </c>
      <c r="T215" s="1115" t="s">
        <v>4583</v>
      </c>
      <c r="U215" s="1114" t="s">
        <v>4584</v>
      </c>
      <c r="V215" s="1115" t="s">
        <v>4585</v>
      </c>
      <c r="W215" s="1114" t="s">
        <v>4586</v>
      </c>
      <c r="X215" s="1115" t="s">
        <v>4587</v>
      </c>
      <c r="Y215" s="1114" t="s">
        <v>4588</v>
      </c>
      <c r="Z215" s="1115" t="s">
        <v>4589</v>
      </c>
      <c r="AA215" s="1114" t="s">
        <v>4590</v>
      </c>
      <c r="AB215" s="1115" t="s">
        <v>4591</v>
      </c>
      <c r="AC215" s="1114" t="s">
        <v>4592</v>
      </c>
      <c r="AD215" s="1115" t="s">
        <v>4593</v>
      </c>
      <c r="AE215" s="1114" t="s">
        <v>4594</v>
      </c>
      <c r="AF215" s="1115" t="s">
        <v>4595</v>
      </c>
      <c r="AG215" s="1114" t="s">
        <v>4596</v>
      </c>
      <c r="AH215" s="1324" t="s">
        <v>4597</v>
      </c>
      <c r="AI215" s="387" t="s">
        <v>4598</v>
      </c>
      <c r="AJ215" s="4794" t="str">
        <f>$CB215</f>
        <v xml:space="preserve">* La variable Beneficiarios no puede superar el Total Ambos Sexos. </v>
      </c>
      <c r="CB215" s="1865" t="str">
        <f t="shared" si="40"/>
        <v xml:space="preserve">* La variable Beneficiarios no puede superar el Total Ambos Sexos. </v>
      </c>
      <c r="CL215" s="1867">
        <f t="shared" si="39"/>
        <v>1</v>
      </c>
    </row>
    <row r="216" spans="1:90" x14ac:dyDescent="0.25">
      <c r="A216" s="5867"/>
    </row>
    <row r="217" spans="1:90" x14ac:dyDescent="0.25">
      <c r="A217" s="5867"/>
    </row>
    <row r="218" spans="1:90" x14ac:dyDescent="0.25">
      <c r="A218" t="s">
        <v>4777</v>
      </c>
    </row>
    <row r="219" spans="1:90" x14ac:dyDescent="0.25">
      <c r="A219" s="5601">
        <v>27500310</v>
      </c>
    </row>
    <row r="220" spans="1:90" x14ac:dyDescent="0.25">
      <c r="A220" s="5601">
        <v>27500320</v>
      </c>
    </row>
    <row r="221" spans="1:90" x14ac:dyDescent="0.25">
      <c r="A221" s="5824">
        <v>27282200</v>
      </c>
    </row>
    <row r="222" spans="1:90" x14ac:dyDescent="0.25">
      <c r="A222" t="s">
        <v>6036</v>
      </c>
    </row>
    <row r="223" spans="1:90" x14ac:dyDescent="0.25">
      <c r="A223" s="5867">
        <v>27601010</v>
      </c>
    </row>
    <row r="224" spans="1:90" x14ac:dyDescent="0.25">
      <c r="A224" s="5867">
        <v>27601011</v>
      </c>
    </row>
    <row r="225" spans="1:1" x14ac:dyDescent="0.25">
      <c r="A225" s="5867">
        <v>27601012</v>
      </c>
    </row>
    <row r="226" spans="1:1" x14ac:dyDescent="0.25">
      <c r="A226" s="5867">
        <v>27601013</v>
      </c>
    </row>
    <row r="227" spans="1:1" x14ac:dyDescent="0.25">
      <c r="A227" s="5867">
        <v>27601014</v>
      </c>
    </row>
    <row r="228" spans="1:1" x14ac:dyDescent="0.25">
      <c r="A228" s="5867">
        <v>27601015</v>
      </c>
    </row>
    <row r="229" spans="1:1" x14ac:dyDescent="0.25">
      <c r="A229" s="5867">
        <v>27601016</v>
      </c>
    </row>
    <row r="230" spans="1:1" x14ac:dyDescent="0.25">
      <c r="A230" s="5867">
        <v>27601017</v>
      </c>
    </row>
    <row r="231" spans="1:1" x14ac:dyDescent="0.25">
      <c r="A231" s="5867">
        <v>27601018</v>
      </c>
    </row>
    <row r="232" spans="1:1" x14ac:dyDescent="0.25">
      <c r="A232" s="5867">
        <v>27601019</v>
      </c>
    </row>
    <row r="233" spans="1:1" x14ac:dyDescent="0.25">
      <c r="A233" s="5867">
        <v>27601020</v>
      </c>
    </row>
    <row r="234" spans="1:1" x14ac:dyDescent="0.25">
      <c r="A234" s="5867">
        <v>27601021</v>
      </c>
    </row>
    <row r="235" spans="1:1" x14ac:dyDescent="0.25">
      <c r="A235" s="5867">
        <v>27601022</v>
      </c>
    </row>
    <row r="236" spans="1:1" x14ac:dyDescent="0.25">
      <c r="A236" s="5867">
        <v>27601023</v>
      </c>
    </row>
    <row r="237" spans="1:1" x14ac:dyDescent="0.25">
      <c r="A237" s="5867">
        <v>27601024</v>
      </c>
    </row>
    <row r="238" spans="1:1" x14ac:dyDescent="0.25">
      <c r="A238" s="5867">
        <v>27601025</v>
      </c>
    </row>
    <row r="239" spans="1:1" x14ac:dyDescent="0.25">
      <c r="A239" s="5867">
        <v>27601026</v>
      </c>
    </row>
    <row r="240" spans="1:1" x14ac:dyDescent="0.25">
      <c r="A240" s="5867">
        <v>27601027</v>
      </c>
    </row>
    <row r="241" spans="1:3" x14ac:dyDescent="0.25">
      <c r="A241" s="5867">
        <v>27601028</v>
      </c>
    </row>
    <row r="242" spans="1:3" x14ac:dyDescent="0.25">
      <c r="A242" s="5867">
        <v>27601029</v>
      </c>
    </row>
    <row r="243" spans="1:3" x14ac:dyDescent="0.25">
      <c r="A243" s="5867">
        <v>27601030</v>
      </c>
    </row>
    <row r="244" spans="1:3" x14ac:dyDescent="0.25">
      <c r="A244" s="5867">
        <v>27601031</v>
      </c>
    </row>
    <row r="249" spans="1:3" hidden="1" x14ac:dyDescent="0.25">
      <c r="B249" s="4888">
        <f>SUM(E11:E52,E56:E96,E101:E103,E107:E109,E111:E112,E116:F118,E122:E130,C133:E133,C137:C139,C143:C144,C148:G149,E153:E168,E171:E202,D208:D215)</f>
        <v>0</v>
      </c>
      <c r="C249" s="4888" t="e">
        <f>SUM(CL11:CS215)</f>
        <v>#VALUE!</v>
      </c>
    </row>
  </sheetData>
  <mergeCells count="161">
    <mergeCell ref="AI9:AI10"/>
    <mergeCell ref="AI205:AI207"/>
    <mergeCell ref="R151:S151"/>
    <mergeCell ref="B214:B215"/>
    <mergeCell ref="AJ9:AJ10"/>
    <mergeCell ref="B11:B53"/>
    <mergeCell ref="C24:C25"/>
    <mergeCell ref="C26:D26"/>
    <mergeCell ref="C27:C29"/>
    <mergeCell ref="C30:C32"/>
    <mergeCell ref="C33:D33"/>
    <mergeCell ref="C34:C35"/>
    <mergeCell ref="C39:D39"/>
    <mergeCell ref="C40:C44"/>
    <mergeCell ref="C47:C50"/>
    <mergeCell ref="C51:C52"/>
    <mergeCell ref="C53:D53"/>
    <mergeCell ref="B208:B213"/>
    <mergeCell ref="Q206:R206"/>
    <mergeCell ref="S206:T206"/>
    <mergeCell ref="U206:V206"/>
    <mergeCell ref="W206:X206"/>
    <mergeCell ref="Y206:Z206"/>
    <mergeCell ref="AA206:AB206"/>
    <mergeCell ref="C201:D201"/>
    <mergeCell ref="C202:D202"/>
    <mergeCell ref="C203:D203"/>
    <mergeCell ref="AC206:AD206"/>
    <mergeCell ref="AE206:AF206"/>
    <mergeCell ref="AG206:AH206"/>
    <mergeCell ref="B205:B207"/>
    <mergeCell ref="C205:C207"/>
    <mergeCell ref="D205:F206"/>
    <mergeCell ref="G205:AH205"/>
    <mergeCell ref="G206:H206"/>
    <mergeCell ref="I206:J206"/>
    <mergeCell ref="K206:L206"/>
    <mergeCell ref="M206:N206"/>
    <mergeCell ref="O206:P206"/>
    <mergeCell ref="B153:C160"/>
    <mergeCell ref="B161:C168"/>
    <mergeCell ref="B170:D170"/>
    <mergeCell ref="B171:B203"/>
    <mergeCell ref="C171:D171"/>
    <mergeCell ref="C172:C175"/>
    <mergeCell ref="C176:D176"/>
    <mergeCell ref="C177:D177"/>
    <mergeCell ref="C178:D178"/>
    <mergeCell ref="C185:C187"/>
    <mergeCell ref="C188:C190"/>
    <mergeCell ref="C191:D191"/>
    <mergeCell ref="C192:C193"/>
    <mergeCell ref="C194:D194"/>
    <mergeCell ref="C195:D195"/>
    <mergeCell ref="C179:D179"/>
    <mergeCell ref="C180:D180"/>
    <mergeCell ref="C181:D181"/>
    <mergeCell ref="C182:D182"/>
    <mergeCell ref="C183:D183"/>
    <mergeCell ref="C184:D184"/>
    <mergeCell ref="C196:D196"/>
    <mergeCell ref="C197:D197"/>
    <mergeCell ref="C198:C200"/>
    <mergeCell ref="F151:Q151"/>
    <mergeCell ref="B146:B147"/>
    <mergeCell ref="C146:C147"/>
    <mergeCell ref="D146:G146"/>
    <mergeCell ref="H146:H147"/>
    <mergeCell ref="I146:I147"/>
    <mergeCell ref="B151:D152"/>
    <mergeCell ref="E151:E152"/>
    <mergeCell ref="B135:B136"/>
    <mergeCell ref="C135:J135"/>
    <mergeCell ref="B141:B142"/>
    <mergeCell ref="C141:C142"/>
    <mergeCell ref="D141:N141"/>
    <mergeCell ref="E120:E121"/>
    <mergeCell ref="F120:K120"/>
    <mergeCell ref="L120:M120"/>
    <mergeCell ref="B122:C124"/>
    <mergeCell ref="G114:H114"/>
    <mergeCell ref="I114:V114"/>
    <mergeCell ref="W114:W115"/>
    <mergeCell ref="B117:D117"/>
    <mergeCell ref="B116:D116"/>
    <mergeCell ref="X114:X115"/>
    <mergeCell ref="B107:D107"/>
    <mergeCell ref="B108:D108"/>
    <mergeCell ref="B114:D115"/>
    <mergeCell ref="E114:E115"/>
    <mergeCell ref="F114:F115"/>
    <mergeCell ref="B105:D106"/>
    <mergeCell ref="E105:E106"/>
    <mergeCell ref="F105:H105"/>
    <mergeCell ref="I105:I106"/>
    <mergeCell ref="B109:D109"/>
    <mergeCell ref="B111:D111"/>
    <mergeCell ref="B112:D112"/>
    <mergeCell ref="F101:G101"/>
    <mergeCell ref="B102:D102"/>
    <mergeCell ref="F102:G102"/>
    <mergeCell ref="C85:C89"/>
    <mergeCell ref="C90:D90"/>
    <mergeCell ref="C91:D91"/>
    <mergeCell ref="B100:D100"/>
    <mergeCell ref="F100:G100"/>
    <mergeCell ref="B56:B98"/>
    <mergeCell ref="C92:C95"/>
    <mergeCell ref="C98:D98"/>
    <mergeCell ref="C78:D78"/>
    <mergeCell ref="C79:C80"/>
    <mergeCell ref="C81:D81"/>
    <mergeCell ref="C82:D82"/>
    <mergeCell ref="C83:D83"/>
    <mergeCell ref="C84:D84"/>
    <mergeCell ref="C67:D67"/>
    <mergeCell ref="C68:D68"/>
    <mergeCell ref="C71:D71"/>
    <mergeCell ref="C72:C74"/>
    <mergeCell ref="C75:C77"/>
    <mergeCell ref="C69:C70"/>
    <mergeCell ref="C45:D45"/>
    <mergeCell ref="C36:D36"/>
    <mergeCell ref="C37:D37"/>
    <mergeCell ref="AF9:AF10"/>
    <mergeCell ref="AG9:AH9"/>
    <mergeCell ref="C11:D11"/>
    <mergeCell ref="C12:C15"/>
    <mergeCell ref="C16:D16"/>
    <mergeCell ref="C17:D17"/>
    <mergeCell ref="C22:D22"/>
    <mergeCell ref="C23:D23"/>
    <mergeCell ref="AC9:AC10"/>
    <mergeCell ref="AD9:AD10"/>
    <mergeCell ref="AE9:AE10"/>
    <mergeCell ref="Z9:AB9"/>
    <mergeCell ref="B6:Y6"/>
    <mergeCell ref="B9:D10"/>
    <mergeCell ref="E9:E10"/>
    <mergeCell ref="F9:J9"/>
    <mergeCell ref="K9:Y9"/>
    <mergeCell ref="C18:D18"/>
    <mergeCell ref="C19:D19"/>
    <mergeCell ref="C20:C21"/>
    <mergeCell ref="C38:D38"/>
    <mergeCell ref="B128:C130"/>
    <mergeCell ref="B125:C127"/>
    <mergeCell ref="C46:D46"/>
    <mergeCell ref="B55:D55"/>
    <mergeCell ref="C56:D56"/>
    <mergeCell ref="C57:C60"/>
    <mergeCell ref="C61:D61"/>
    <mergeCell ref="C62:D62"/>
    <mergeCell ref="C63:D63"/>
    <mergeCell ref="C64:D64"/>
    <mergeCell ref="B101:D101"/>
    <mergeCell ref="B103:D103"/>
    <mergeCell ref="B118:D118"/>
    <mergeCell ref="B120:D121"/>
    <mergeCell ref="C96:C97"/>
    <mergeCell ref="C65:C66"/>
  </mergeCells>
  <phoneticPr fontId="37" type="noConversion"/>
  <dataValidations count="5">
    <dataValidation type="whole" operator="greaterThanOrEqual" allowBlank="1" showInputMessage="1" showErrorMessage="1" sqref="E153:E168 F107:I109 F111:I112 AG11:AJ52" xr:uid="{00000000-0002-0000-1300-000000000000}">
      <formula1>0</formula1>
    </dataValidation>
    <dataValidation type="whole" operator="greaterThanOrEqual" allowBlank="1" showInputMessage="1" showErrorMessage="1" error="Valor no Permitido" sqref="E101:E103 C133:E133 E111:E112 C148:I149 E107:E109 E11:E53 D208:AI215 E171:J203 C143:N144 C137:J139 E122:M130 E116:X118 E56:J98 F53:AJ53" xr:uid="{00000000-0002-0000-1300-000001000000}">
      <formula1>0</formula1>
    </dataValidation>
    <dataValidation allowBlank="1" showInputMessage="1" showErrorMessage="1" error="Valor no Permitido" sqref="B6 D8:D24 AA8:AB8 B249:C249 AD8:AG8 B214 AC8:AC10 K169:K204 E8:Z10 J99:X115 E140:J140 E142:N142 C140:C141 B145:Q145 H146:I146 E147:G147 E104:E105 C146:D147 B170:B208 D170:D182 B146:B149 E205:G207 H206:AH207 E204:J204 E54:J55 E99:E100 C170:C214 G106:I106 C71:C85 N169:AJ204 L169:M189 L197:M204 F99:F106 C113:D132 E119:M121 D140:D142 E131:E132 K131:M140 F131:J136 C134:E136 E170:J170 D184:D207 D26:D49 N119:N140 CL148:CO149 J146:Q149 B107:B144 AJ208:AJ215 AI205 C8:C20 AD9 AA10:AB10 AE9:AG10 C22:C24 C26:C40 C45:C47 B8:B56 C90:C92 D71:D94 I105 B99:B105 C98:D104 CD148:CG149 G99:I104 E113:I115 C111:D111 C107:D109 R148:CA149 D51:D64 C53:C65 C67:D69 AH10" xr:uid="{00000000-0002-0000-1300-000002000000}"/>
    <dataValidation type="whole" allowBlank="1" showInputMessage="1" showErrorMessage="1" sqref="F153:S168" xr:uid="{A0FDB89D-3F53-47CE-A258-1150B2EC9669}">
      <formula1>0</formula1>
      <formula2>9.99999999999999E+35</formula2>
    </dataValidation>
    <dataValidation type="whole" allowBlank="1" showInputMessage="1" showErrorMessage="1" sqref="F11:AF52" xr:uid="{DC7992FB-62AC-42C6-8A4D-B471A68C0B32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J350"/>
  <sheetViews>
    <sheetView showGridLines="0" zoomScaleNormal="100" workbookViewId="0"/>
  </sheetViews>
  <sheetFormatPr baseColWidth="10" defaultColWidth="11.42578125" defaultRowHeight="15" x14ac:dyDescent="0.25"/>
  <cols>
    <col min="1" max="1" width="26.140625" customWidth="1"/>
    <col min="2" max="2" width="49.85546875" customWidth="1"/>
    <col min="3" max="3" width="26.85546875" customWidth="1"/>
    <col min="4" max="4" width="16.28515625" customWidth="1"/>
    <col min="5" max="5" width="19.28515625" customWidth="1"/>
    <col min="6" max="7" width="12.7109375" customWidth="1"/>
    <col min="8" max="8" width="15" customWidth="1"/>
    <col min="9" max="9" width="14.5703125" customWidth="1"/>
    <col min="10" max="41" width="12.7109375" customWidth="1"/>
    <col min="42" max="42" width="14.42578125" customWidth="1"/>
    <col min="43" max="43" width="12.7109375" customWidth="1"/>
    <col min="44" max="44" width="14.42578125" customWidth="1"/>
    <col min="45" max="45" width="12.42578125" customWidth="1"/>
    <col min="47" max="47" width="13.28515625" customWidth="1"/>
    <col min="49" max="49" width="12.28515625" customWidth="1"/>
    <col min="75" max="78" width="11" customWidth="1"/>
    <col min="79" max="79" width="13.28515625" customWidth="1"/>
    <col min="80" max="84" width="11.42578125" style="25" hidden="1" customWidth="1"/>
    <col min="85" max="90" width="11.42578125" hidden="1" customWidth="1"/>
    <col min="91" max="96" width="11.42578125" style="25" hidden="1" customWidth="1"/>
    <col min="97" max="106" width="11.42578125" style="25" customWidth="1"/>
    <col min="107" max="114" width="11.42578125" style="25"/>
  </cols>
  <sheetData>
    <row r="1" spans="1:96" x14ac:dyDescent="0.25">
      <c r="B1" s="50" t="s">
        <v>23</v>
      </c>
    </row>
    <row r="2" spans="1:96" x14ac:dyDescent="0.25">
      <c r="B2" s="50" t="str">
        <f>CONCATENATE("COMUNA: ",NOMBRE!B2, " (",NOMBRE!C2,NOMBRE!D2,NOMBRE!E2,NOMBRE!F2,NOMBRE!G2,")")</f>
        <v>COMUNA:  ()</v>
      </c>
    </row>
    <row r="3" spans="1:96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B4" s="50" t="str">
        <f>CONCATENATE("MES: ",NOMBRE!B6, " (",NOMBRE!C6,NOMBRE!D6,")")</f>
        <v>MES:  ()</v>
      </c>
    </row>
    <row r="5" spans="1:96" x14ac:dyDescent="0.25">
      <c r="B5" s="50" t="str">
        <f>CONCATENATE("AÑO: ",NOMBRE!B7)</f>
        <v>AÑO: 2025</v>
      </c>
    </row>
    <row r="6" spans="1:96" s="9" customFormat="1" ht="18" customHeight="1" x14ac:dyDescent="0.25">
      <c r="B6" s="6383" t="s">
        <v>3302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4889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 s="3211"/>
      <c r="BW6" s="3211"/>
      <c r="BX6" s="3211"/>
      <c r="BY6" s="3211"/>
      <c r="BZ6" s="3211"/>
      <c r="CA6" s="3211"/>
      <c r="CB6" s="60"/>
      <c r="CC6" s="60"/>
      <c r="CD6" s="60"/>
      <c r="CE6" s="60"/>
      <c r="CF6" s="60"/>
      <c r="CM6" s="60"/>
      <c r="CN6" s="60"/>
      <c r="CO6" s="60"/>
      <c r="CP6" s="60"/>
      <c r="CQ6" s="60"/>
      <c r="CR6" s="60"/>
    </row>
    <row r="8" spans="1:96" ht="18" customHeight="1" x14ac:dyDescent="0.25">
      <c r="B8" s="1" t="s">
        <v>3303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</row>
    <row r="9" spans="1:96" ht="18" customHeight="1" x14ac:dyDescent="0.25">
      <c r="B9" s="3031" t="s">
        <v>3304</v>
      </c>
      <c r="C9" s="298"/>
      <c r="D9" s="8"/>
      <c r="E9" s="6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96" x14ac:dyDescent="0.25">
      <c r="B10" s="7671" t="s">
        <v>3305</v>
      </c>
      <c r="C10" s="7673" t="s">
        <v>77</v>
      </c>
      <c r="D10" s="7674"/>
      <c r="E10" s="6786"/>
      <c r="F10" s="7291" t="s">
        <v>101</v>
      </c>
      <c r="G10" s="7298"/>
      <c r="H10" s="7298"/>
      <c r="I10" s="7298"/>
      <c r="J10" s="7298"/>
      <c r="K10" s="7298"/>
      <c r="L10" s="7298"/>
      <c r="M10" s="7298"/>
      <c r="N10" s="7298"/>
      <c r="O10" s="7298"/>
      <c r="P10" s="7298"/>
      <c r="Q10" s="7298"/>
      <c r="R10" s="7298"/>
      <c r="S10" s="7298"/>
      <c r="T10" s="7298"/>
      <c r="U10" s="7298"/>
      <c r="V10" s="7298"/>
      <c r="W10" s="7298"/>
      <c r="X10" s="7298"/>
      <c r="Y10" s="7298"/>
      <c r="Z10" s="7298"/>
      <c r="AA10" s="7298"/>
      <c r="AB10" s="7298"/>
      <c r="AC10" s="7298"/>
      <c r="AD10" s="7298"/>
      <c r="AE10" s="7298"/>
      <c r="AF10" s="7298"/>
      <c r="AG10" s="7298"/>
      <c r="AH10" s="7298"/>
      <c r="AI10" s="7298"/>
      <c r="AJ10" s="7298"/>
      <c r="AK10" s="7298"/>
      <c r="AL10" s="7298"/>
      <c r="AM10" s="7339"/>
      <c r="AN10" s="7243" t="s">
        <v>972</v>
      </c>
      <c r="AO10" s="7298"/>
      <c r="AP10" s="7298"/>
      <c r="AQ10" s="7339"/>
      <c r="AR10" s="7306" t="s">
        <v>973</v>
      </c>
      <c r="AS10" s="7305" t="s">
        <v>36</v>
      </c>
      <c r="AT10" s="6786" t="s">
        <v>37</v>
      </c>
    </row>
    <row r="11" spans="1:96" ht="15" customHeight="1" x14ac:dyDescent="0.25">
      <c r="B11" s="6119"/>
      <c r="C11" s="6213"/>
      <c r="D11" s="6045"/>
      <c r="E11" s="6027"/>
      <c r="F11" s="7257" t="s">
        <v>343</v>
      </c>
      <c r="G11" s="7346"/>
      <c r="H11" s="7257" t="s">
        <v>326</v>
      </c>
      <c r="I11" s="7346"/>
      <c r="J11" s="7257" t="s">
        <v>94</v>
      </c>
      <c r="K11" s="7346"/>
      <c r="L11" s="7257" t="s">
        <v>44</v>
      </c>
      <c r="M11" s="7346"/>
      <c r="N11" s="7257" t="s">
        <v>45</v>
      </c>
      <c r="O11" s="7346"/>
      <c r="P11" s="7257" t="s">
        <v>974</v>
      </c>
      <c r="Q11" s="7346"/>
      <c r="R11" s="7257" t="s">
        <v>629</v>
      </c>
      <c r="S11" s="7346"/>
      <c r="T11" s="7257" t="s">
        <v>48</v>
      </c>
      <c r="U11" s="7346"/>
      <c r="V11" s="7257" t="s">
        <v>49</v>
      </c>
      <c r="W11" s="7346"/>
      <c r="X11" s="7257" t="s">
        <v>975</v>
      </c>
      <c r="Y11" s="7346"/>
      <c r="Z11" s="7257" t="s">
        <v>51</v>
      </c>
      <c r="AA11" s="7346"/>
      <c r="AB11" s="7257" t="s">
        <v>52</v>
      </c>
      <c r="AC11" s="7346"/>
      <c r="AD11" s="7257" t="s">
        <v>53</v>
      </c>
      <c r="AE11" s="7346"/>
      <c r="AF11" s="7257" t="s">
        <v>54</v>
      </c>
      <c r="AG11" s="7346"/>
      <c r="AH11" s="7257" t="s">
        <v>55</v>
      </c>
      <c r="AI11" s="7346"/>
      <c r="AJ11" s="7257" t="s">
        <v>56</v>
      </c>
      <c r="AK11" s="7346"/>
      <c r="AL11" s="7291" t="s">
        <v>57</v>
      </c>
      <c r="AM11" s="7339"/>
      <c r="AN11" s="7306" t="s">
        <v>976</v>
      </c>
      <c r="AO11" s="7118" t="s">
        <v>3306</v>
      </c>
      <c r="AP11" s="6386" t="s">
        <v>3307</v>
      </c>
      <c r="AQ11" s="6552" t="s">
        <v>3308</v>
      </c>
      <c r="AR11" s="6034"/>
      <c r="AS11" s="6386"/>
      <c r="AT11" s="6027"/>
    </row>
    <row r="12" spans="1:96" x14ac:dyDescent="0.25">
      <c r="B12" s="7672"/>
      <c r="C12" s="1286" t="s">
        <v>79</v>
      </c>
      <c r="D12" s="1110" t="s">
        <v>58</v>
      </c>
      <c r="E12" s="1067" t="s">
        <v>59</v>
      </c>
      <c r="F12" s="1286" t="s">
        <v>58</v>
      </c>
      <c r="G12" s="1067" t="s">
        <v>59</v>
      </c>
      <c r="H12" s="1286" t="s">
        <v>58</v>
      </c>
      <c r="I12" s="1067" t="s">
        <v>59</v>
      </c>
      <c r="J12" s="1286" t="s">
        <v>58</v>
      </c>
      <c r="K12" s="1067" t="s">
        <v>59</v>
      </c>
      <c r="L12" s="1286" t="s">
        <v>58</v>
      </c>
      <c r="M12" s="1067" t="s">
        <v>59</v>
      </c>
      <c r="N12" s="1286" t="s">
        <v>58</v>
      </c>
      <c r="O12" s="1067" t="s">
        <v>59</v>
      </c>
      <c r="P12" s="1286" t="s">
        <v>58</v>
      </c>
      <c r="Q12" s="1067" t="s">
        <v>59</v>
      </c>
      <c r="R12" s="1286" t="s">
        <v>58</v>
      </c>
      <c r="S12" s="1067" t="s">
        <v>59</v>
      </c>
      <c r="T12" s="1286" t="s">
        <v>58</v>
      </c>
      <c r="U12" s="1067" t="s">
        <v>59</v>
      </c>
      <c r="V12" s="1286" t="s">
        <v>58</v>
      </c>
      <c r="W12" s="1067" t="s">
        <v>59</v>
      </c>
      <c r="X12" s="1286" t="s">
        <v>58</v>
      </c>
      <c r="Y12" s="1067" t="s">
        <v>59</v>
      </c>
      <c r="Z12" s="1286" t="s">
        <v>58</v>
      </c>
      <c r="AA12" s="1067" t="s">
        <v>59</v>
      </c>
      <c r="AB12" s="1286" t="s">
        <v>58</v>
      </c>
      <c r="AC12" s="1067" t="s">
        <v>59</v>
      </c>
      <c r="AD12" s="1286" t="s">
        <v>58</v>
      </c>
      <c r="AE12" s="1067" t="s">
        <v>59</v>
      </c>
      <c r="AF12" s="1286" t="s">
        <v>58</v>
      </c>
      <c r="AG12" s="1067" t="s">
        <v>59</v>
      </c>
      <c r="AH12" s="1286" t="s">
        <v>58</v>
      </c>
      <c r="AI12" s="1067" t="s">
        <v>59</v>
      </c>
      <c r="AJ12" s="1286" t="s">
        <v>58</v>
      </c>
      <c r="AK12" s="1067" t="s">
        <v>59</v>
      </c>
      <c r="AL12" s="1286" t="s">
        <v>58</v>
      </c>
      <c r="AM12" s="1111" t="s">
        <v>59</v>
      </c>
      <c r="AN12" s="6035"/>
      <c r="AO12" s="7675"/>
      <c r="AP12" s="6086"/>
      <c r="AQ12" s="6759"/>
      <c r="AR12" s="6035"/>
      <c r="AS12" s="6086"/>
      <c r="AT12" s="6955"/>
    </row>
    <row r="13" spans="1:96" ht="15" customHeight="1" x14ac:dyDescent="0.25">
      <c r="A13" s="5818">
        <v>28020500</v>
      </c>
      <c r="B13" s="4890" t="s">
        <v>761</v>
      </c>
      <c r="C13" s="4891" t="s">
        <v>4567</v>
      </c>
      <c r="D13" s="1102" t="s">
        <v>4568</v>
      </c>
      <c r="E13" s="1101" t="s">
        <v>4569</v>
      </c>
      <c r="F13" s="4892" t="s">
        <v>4570</v>
      </c>
      <c r="G13" s="1071" t="s">
        <v>4571</v>
      </c>
      <c r="H13" s="4892" t="s">
        <v>4572</v>
      </c>
      <c r="I13" s="1074" t="s">
        <v>4573</v>
      </c>
      <c r="J13" s="4892" t="s">
        <v>4574</v>
      </c>
      <c r="K13" s="1074" t="s">
        <v>4575</v>
      </c>
      <c r="L13" s="4892" t="s">
        <v>4576</v>
      </c>
      <c r="M13" s="1074" t="s">
        <v>4577</v>
      </c>
      <c r="N13" s="4892" t="s">
        <v>4578</v>
      </c>
      <c r="O13" s="1074" t="s">
        <v>4579</v>
      </c>
      <c r="P13" s="4892" t="s">
        <v>4580</v>
      </c>
      <c r="Q13" s="1074" t="s">
        <v>4581</v>
      </c>
      <c r="R13" s="4892" t="s">
        <v>4582</v>
      </c>
      <c r="S13" s="1074" t="s">
        <v>4583</v>
      </c>
      <c r="T13" s="4892" t="s">
        <v>4584</v>
      </c>
      <c r="U13" s="1074" t="s">
        <v>4585</v>
      </c>
      <c r="V13" s="4892" t="s">
        <v>4586</v>
      </c>
      <c r="W13" s="1074" t="s">
        <v>4587</v>
      </c>
      <c r="X13" s="4892" t="s">
        <v>4588</v>
      </c>
      <c r="Y13" s="1074" t="s">
        <v>4589</v>
      </c>
      <c r="Z13" s="4892" t="s">
        <v>4590</v>
      </c>
      <c r="AA13" s="1074" t="s">
        <v>4591</v>
      </c>
      <c r="AB13" s="4892" t="s">
        <v>4592</v>
      </c>
      <c r="AC13" s="1074" t="s">
        <v>4593</v>
      </c>
      <c r="AD13" s="4892" t="s">
        <v>4594</v>
      </c>
      <c r="AE13" s="1074" t="s">
        <v>4595</v>
      </c>
      <c r="AF13" s="4892" t="s">
        <v>4596</v>
      </c>
      <c r="AG13" s="1074" t="s">
        <v>4597</v>
      </c>
      <c r="AH13" s="4892" t="s">
        <v>4598</v>
      </c>
      <c r="AI13" s="1074" t="s">
        <v>4599</v>
      </c>
      <c r="AJ13" s="4892" t="s">
        <v>4600</v>
      </c>
      <c r="AK13" s="1074" t="s">
        <v>4601</v>
      </c>
      <c r="AL13" s="4892" t="s">
        <v>4602</v>
      </c>
      <c r="AM13" s="1075" t="s">
        <v>4603</v>
      </c>
      <c r="AN13" s="4754" t="s">
        <v>4604</v>
      </c>
      <c r="AO13" s="4562" t="s">
        <v>4605</v>
      </c>
      <c r="AP13" s="4562" t="s">
        <v>4606</v>
      </c>
      <c r="AQ13" s="4893" t="s">
        <v>4934</v>
      </c>
      <c r="AR13" s="4754" t="s">
        <v>4935</v>
      </c>
      <c r="AS13" s="4562" t="s">
        <v>4936</v>
      </c>
      <c r="AT13" s="1071" t="s">
        <v>4937</v>
      </c>
      <c r="AU13" s="1864" t="e">
        <f>CB13&amp;CC13&amp;CD13&amp;CE13</f>
        <v>#VALUE!</v>
      </c>
      <c r="BZ13" s="1936"/>
      <c r="CA13" s="1936"/>
      <c r="CB13" s="1865" t="e">
        <f>IF(AN13+AO13+AP13+AQ13&lt;&gt;$C13,"* La suma de "&amp;AN$10&amp;""&amp;" no puede ser distinto del Total Ambos Sexos. ","")</f>
        <v>#VALUE!</v>
      </c>
      <c r="CC13" s="1865" t="str">
        <f>IF(AND($C13&lt;&gt;0,AR13=""),"* No olvide ingresar la variable Personas con discapacidad (con RND). Digite Cero si no tiene. ",IF(AR13&gt;$C13,"* La variable Personas con discapacidad (con RND) no puede superar el Total Ambos Sexos. ",""))</f>
        <v xml:space="preserve">* La variable Personas con discapacidad (con RND) no puede superar el Total Ambos Sexos. </v>
      </c>
      <c r="CD13" s="1865" t="str">
        <f>IF(AND($C13&lt;&gt;0,AS13=""),"* No olvide ingresar la variable Pueblos Originarios. Digite CERO si no tiene. ",IF(AS13&gt;$C13,"* La variable Pueblos Originarios no puede superar el Total Ambos Sexos. ",""))</f>
        <v xml:space="preserve">* La variable Pueblos Originarios no puede superar el Total Ambos Sexos. </v>
      </c>
      <c r="CE13" s="1865" t="str">
        <f>IF(AND($C13&lt;&gt;0,AT13=""),"* No olvide ingresar la variable Migrantes. Digite CERO si no tiene.  ",IF(AT13&gt;$C13,"* La variable Migrantes no puede superar el Total Ambos Sexos. ",""))</f>
        <v xml:space="preserve">* La variable Migrantes no puede superar el Total Ambos Sexos. </v>
      </c>
      <c r="CF13" s="1936"/>
      <c r="CM13" s="1936"/>
      <c r="CN13" s="2948" t="e">
        <f>IF(AN13+AO13+AP13+AQ13&lt;&gt;$C13,1,0)</f>
        <v>#VALUE!</v>
      </c>
      <c r="CO13" s="3922">
        <f>IF(AND($C13&lt;&gt;0,AR13=""),1,IF(AR13&gt;$C13,1,0))</f>
        <v>1</v>
      </c>
      <c r="CP13" s="3922">
        <f>IF(AND($C13&lt;&gt;0,AS13=""),1,IF(AS13&gt;$C13,1,0))</f>
        <v>1</v>
      </c>
      <c r="CQ13" s="3922">
        <f>IF(AND($C13&lt;&gt;0,AT13=""),1,IF(AT13&gt;$C13,1,0))</f>
        <v>1</v>
      </c>
      <c r="CR13"/>
    </row>
    <row r="14" spans="1:96" ht="15" customHeight="1" x14ac:dyDescent="0.25">
      <c r="A14" s="5818">
        <v>28020550</v>
      </c>
      <c r="B14" s="399" t="s">
        <v>3309</v>
      </c>
      <c r="C14" s="4894" t="s">
        <v>4567</v>
      </c>
      <c r="D14" s="2223" t="s">
        <v>4568</v>
      </c>
      <c r="E14" s="146" t="s">
        <v>4569</v>
      </c>
      <c r="F14" s="290" t="s">
        <v>4570</v>
      </c>
      <c r="G14" s="107" t="s">
        <v>4571</v>
      </c>
      <c r="H14" s="290" t="s">
        <v>4572</v>
      </c>
      <c r="I14" s="622" t="s">
        <v>4573</v>
      </c>
      <c r="J14" s="290" t="s">
        <v>4574</v>
      </c>
      <c r="K14" s="622" t="s">
        <v>4575</v>
      </c>
      <c r="L14" s="290" t="s">
        <v>4576</v>
      </c>
      <c r="M14" s="622" t="s">
        <v>4577</v>
      </c>
      <c r="N14" s="290" t="s">
        <v>4578</v>
      </c>
      <c r="O14" s="622" t="s">
        <v>4579</v>
      </c>
      <c r="P14" s="290" t="s">
        <v>4580</v>
      </c>
      <c r="Q14" s="622" t="s">
        <v>4581</v>
      </c>
      <c r="R14" s="290" t="s">
        <v>4582</v>
      </c>
      <c r="S14" s="622" t="s">
        <v>4583</v>
      </c>
      <c r="T14" s="290" t="s">
        <v>4584</v>
      </c>
      <c r="U14" s="622" t="s">
        <v>4585</v>
      </c>
      <c r="V14" s="290" t="s">
        <v>4586</v>
      </c>
      <c r="W14" s="622" t="s">
        <v>4587</v>
      </c>
      <c r="X14" s="290" t="s">
        <v>4588</v>
      </c>
      <c r="Y14" s="622" t="s">
        <v>4589</v>
      </c>
      <c r="Z14" s="290" t="s">
        <v>4590</v>
      </c>
      <c r="AA14" s="622" t="s">
        <v>4591</v>
      </c>
      <c r="AB14" s="290" t="s">
        <v>4592</v>
      </c>
      <c r="AC14" s="622" t="s">
        <v>4593</v>
      </c>
      <c r="AD14" s="290" t="s">
        <v>4594</v>
      </c>
      <c r="AE14" s="622" t="s">
        <v>4595</v>
      </c>
      <c r="AF14" s="290" t="s">
        <v>4596</v>
      </c>
      <c r="AG14" s="622" t="s">
        <v>4597</v>
      </c>
      <c r="AH14" s="290" t="s">
        <v>4598</v>
      </c>
      <c r="AI14" s="622" t="s">
        <v>4599</v>
      </c>
      <c r="AJ14" s="290" t="s">
        <v>4600</v>
      </c>
      <c r="AK14" s="622" t="s">
        <v>4601</v>
      </c>
      <c r="AL14" s="290" t="s">
        <v>4602</v>
      </c>
      <c r="AM14" s="430" t="s">
        <v>4603</v>
      </c>
      <c r="AN14" s="296" t="s">
        <v>4604</v>
      </c>
      <c r="AO14" s="531" t="s">
        <v>4605</v>
      </c>
      <c r="AP14" s="531" t="s">
        <v>4606</v>
      </c>
      <c r="AQ14" s="61" t="s">
        <v>4934</v>
      </c>
      <c r="AR14" s="296" t="s">
        <v>4935</v>
      </c>
      <c r="AS14" s="531" t="s">
        <v>4936</v>
      </c>
      <c r="AT14" s="107" t="s">
        <v>4937</v>
      </c>
      <c r="AU14" s="1864" t="e">
        <f t="shared" ref="AU14:AU18" si="0">CB14&amp;CC14&amp;CD14&amp;CE14</f>
        <v>#VALUE!</v>
      </c>
      <c r="BZ14" s="1936"/>
      <c r="CA14" s="1936"/>
      <c r="CB14" s="1865" t="e">
        <f t="shared" ref="CB14:CB24" si="1">IF(AN14+AO14+AP14+AQ14&lt;&gt;$C14,"* La suma de "&amp;AN$10&amp;""&amp;" no puede ser distinto del Total Ambos Sexos. ","")</f>
        <v>#VALUE!</v>
      </c>
      <c r="CC14" s="1865" t="str">
        <f t="shared" ref="CC14:CC24" si="2">IF(AND($C14&lt;&gt;0,AR14=""),"* No olvide ingresar la variable Personas con discapacidad (con RND). Digite Cero si no tiene. ",IF(AR14&gt;$C14,"* La variable Personas con discapacidad (con RND) no puede superar el Total Ambos Sexos. ",""))</f>
        <v xml:space="preserve">* La variable Personas con discapacidad (con RND) no puede superar el Total Ambos Sexos. </v>
      </c>
      <c r="CD14" s="1865" t="str">
        <f t="shared" ref="CD14:CD24" si="3">IF(AND($C14&lt;&gt;0,AS14=""),"* No olvide ingresar la variable Pueblos Originarios. Digite CERO si no tiene. ",IF(AS14&gt;$C14,"* La variable Pueblos Originarios no puede superar el Total Ambos Sexos. ",""))</f>
        <v xml:space="preserve">* La variable Pueblos Originarios no puede superar el Total Ambos Sexos. </v>
      </c>
      <c r="CE14" s="1865" t="str">
        <f t="shared" ref="CE14:CE24" si="4">IF(AND($C14&lt;&gt;0,AT14=""),"* No olvide ingresar la variable Migrantes. Digite CERO si no tiene.  ",IF(AT14&gt;$C14,"* La variable Migrantes no puede superar el Total Ambos Sexos. ",""))</f>
        <v xml:space="preserve">* La variable Migrantes no puede superar el Total Ambos Sexos. </v>
      </c>
      <c r="CF14" s="1936"/>
      <c r="CM14" s="1936"/>
      <c r="CN14" s="2948" t="e">
        <f t="shared" ref="CN14:CN17" si="5">IF(AN14+AO14+AP14+AQ14&lt;&gt;$C14,1,0)</f>
        <v>#VALUE!</v>
      </c>
      <c r="CO14" s="3922">
        <f t="shared" ref="CO14:CO18" si="6">IF(AND($C14&lt;&gt;0,AR14=""),1,IF(AR14&gt;$C14,1,0))</f>
        <v>1</v>
      </c>
      <c r="CP14" s="3922">
        <f t="shared" ref="CP14:CP18" si="7">IF(AND($C14&lt;&gt;0,AS14=""),1,IF(AS14&gt;$C14,1,0))</f>
        <v>1</v>
      </c>
      <c r="CQ14" s="3922">
        <f t="shared" ref="CQ14:CQ18" si="8">IF(AND($C14&lt;&gt;0,AT14=""),1,IF(AT14&gt;$C14,1,0))</f>
        <v>1</v>
      </c>
      <c r="CR14"/>
    </row>
    <row r="15" spans="1:96" ht="19.5" customHeight="1" x14ac:dyDescent="0.25">
      <c r="A15" s="5818">
        <v>28020560</v>
      </c>
      <c r="B15" s="990" t="s">
        <v>3310</v>
      </c>
      <c r="C15" s="953" t="s">
        <v>4567</v>
      </c>
      <c r="D15" s="4895" t="s">
        <v>4568</v>
      </c>
      <c r="E15" s="3062" t="s">
        <v>4569</v>
      </c>
      <c r="F15" s="3069" t="s">
        <v>4570</v>
      </c>
      <c r="G15" s="1239" t="s">
        <v>4571</v>
      </c>
      <c r="H15" s="3069" t="s">
        <v>4572</v>
      </c>
      <c r="I15" s="1452" t="s">
        <v>4573</v>
      </c>
      <c r="J15" s="3069" t="s">
        <v>4574</v>
      </c>
      <c r="K15" s="1452" t="s">
        <v>4575</v>
      </c>
      <c r="L15" s="3069" t="s">
        <v>4576</v>
      </c>
      <c r="M15" s="1452" t="s">
        <v>4577</v>
      </c>
      <c r="N15" s="290" t="s">
        <v>4578</v>
      </c>
      <c r="O15" s="622" t="s">
        <v>4579</v>
      </c>
      <c r="P15" s="290" t="s">
        <v>4580</v>
      </c>
      <c r="Q15" s="622" t="s">
        <v>4581</v>
      </c>
      <c r="R15" s="1089" t="s">
        <v>4582</v>
      </c>
      <c r="S15" s="1093" t="s">
        <v>4583</v>
      </c>
      <c r="T15" s="1089" t="s">
        <v>4584</v>
      </c>
      <c r="U15" s="1093" t="s">
        <v>4585</v>
      </c>
      <c r="V15" s="1089" t="s">
        <v>4586</v>
      </c>
      <c r="W15" s="1093" t="s">
        <v>4587</v>
      </c>
      <c r="X15" s="1089" t="s">
        <v>4588</v>
      </c>
      <c r="Y15" s="1093" t="s">
        <v>4589</v>
      </c>
      <c r="Z15" s="1089" t="s">
        <v>4590</v>
      </c>
      <c r="AA15" s="1093" t="s">
        <v>4591</v>
      </c>
      <c r="AB15" s="1089" t="s">
        <v>4592</v>
      </c>
      <c r="AC15" s="1093" t="s">
        <v>4593</v>
      </c>
      <c r="AD15" s="1089" t="s">
        <v>4594</v>
      </c>
      <c r="AE15" s="1093" t="s">
        <v>4595</v>
      </c>
      <c r="AF15" s="1089" t="s">
        <v>4596</v>
      </c>
      <c r="AG15" s="1093" t="s">
        <v>4597</v>
      </c>
      <c r="AH15" s="1089" t="s">
        <v>4598</v>
      </c>
      <c r="AI15" s="1093" t="s">
        <v>4599</v>
      </c>
      <c r="AJ15" s="1089" t="s">
        <v>4600</v>
      </c>
      <c r="AK15" s="1093" t="s">
        <v>4601</v>
      </c>
      <c r="AL15" s="1089" t="s">
        <v>4602</v>
      </c>
      <c r="AM15" s="1095" t="s">
        <v>4603</v>
      </c>
      <c r="AN15" s="1299" t="s">
        <v>4604</v>
      </c>
      <c r="AO15" s="1253" t="s">
        <v>4605</v>
      </c>
      <c r="AP15" s="1253" t="s">
        <v>4606</v>
      </c>
      <c r="AQ15" s="1295" t="s">
        <v>4934</v>
      </c>
      <c r="AR15" s="1299" t="s">
        <v>4935</v>
      </c>
      <c r="AS15" s="1253" t="s">
        <v>4936</v>
      </c>
      <c r="AT15" s="1090" t="s">
        <v>4937</v>
      </c>
      <c r="AU15" s="1864" t="e">
        <f>CB15&amp;CC15&amp;CD15&amp;CE15</f>
        <v>#VALUE!</v>
      </c>
      <c r="BZ15" s="1936"/>
      <c r="CA15" s="1936"/>
      <c r="CB15" s="1865" t="e">
        <f t="shared" si="1"/>
        <v>#VALUE!</v>
      </c>
      <c r="CC15" s="1865" t="str">
        <f t="shared" si="2"/>
        <v xml:space="preserve">* La variable Personas con discapacidad (con RND) no puede superar el Total Ambos Sexos. </v>
      </c>
      <c r="CD15" s="1865" t="str">
        <f t="shared" si="3"/>
        <v xml:space="preserve">* La variable Pueblos Originarios no puede superar el Total Ambos Sexos. </v>
      </c>
      <c r="CE15" s="1865" t="str">
        <f t="shared" si="4"/>
        <v xml:space="preserve">* La variable Migrantes no puede superar el Total Ambos Sexos. </v>
      </c>
      <c r="CF15" s="1936"/>
      <c r="CM15" s="1936"/>
      <c r="CN15" s="2948" t="e">
        <f t="shared" si="5"/>
        <v>#VALUE!</v>
      </c>
      <c r="CO15" s="3922">
        <f t="shared" si="6"/>
        <v>1</v>
      </c>
      <c r="CP15" s="3922">
        <f t="shared" si="7"/>
        <v>1</v>
      </c>
      <c r="CQ15" s="3922">
        <f t="shared" si="8"/>
        <v>1</v>
      </c>
      <c r="CR15"/>
    </row>
    <row r="16" spans="1:96" ht="15" customHeight="1" x14ac:dyDescent="0.25">
      <c r="A16" s="5818">
        <v>28021621</v>
      </c>
      <c r="B16" s="4896" t="s">
        <v>3311</v>
      </c>
      <c r="C16" s="4897" t="s">
        <v>4567</v>
      </c>
      <c r="D16" s="2973" t="s">
        <v>4568</v>
      </c>
      <c r="E16" s="4898" t="s">
        <v>4569</v>
      </c>
      <c r="F16" s="1089" t="s">
        <v>4570</v>
      </c>
      <c r="G16" s="1090" t="s">
        <v>4571</v>
      </c>
      <c r="H16" s="1089" t="s">
        <v>4572</v>
      </c>
      <c r="I16" s="1093" t="s">
        <v>4573</v>
      </c>
      <c r="J16" s="1089" t="s">
        <v>4574</v>
      </c>
      <c r="K16" s="1093" t="s">
        <v>4575</v>
      </c>
      <c r="L16" s="1089" t="s">
        <v>4576</v>
      </c>
      <c r="M16" s="1093" t="s">
        <v>4577</v>
      </c>
      <c r="N16" s="1089" t="s">
        <v>4578</v>
      </c>
      <c r="O16" s="1093" t="s">
        <v>4579</v>
      </c>
      <c r="P16" s="1089" t="s">
        <v>4580</v>
      </c>
      <c r="Q16" s="1093" t="s">
        <v>4581</v>
      </c>
      <c r="R16" s="1089" t="s">
        <v>4582</v>
      </c>
      <c r="S16" s="1093" t="s">
        <v>4583</v>
      </c>
      <c r="T16" s="1089" t="s">
        <v>4584</v>
      </c>
      <c r="U16" s="1093" t="s">
        <v>4585</v>
      </c>
      <c r="V16" s="1089" t="s">
        <v>4586</v>
      </c>
      <c r="W16" s="1093" t="s">
        <v>4587</v>
      </c>
      <c r="X16" s="1089" t="s">
        <v>4588</v>
      </c>
      <c r="Y16" s="1093" t="s">
        <v>4589</v>
      </c>
      <c r="Z16" s="1089" t="s">
        <v>4590</v>
      </c>
      <c r="AA16" s="1093" t="s">
        <v>4591</v>
      </c>
      <c r="AB16" s="1089" t="s">
        <v>4592</v>
      </c>
      <c r="AC16" s="1093" t="s">
        <v>4593</v>
      </c>
      <c r="AD16" s="1089" t="s">
        <v>4594</v>
      </c>
      <c r="AE16" s="1093" t="s">
        <v>4595</v>
      </c>
      <c r="AF16" s="1089" t="s">
        <v>4596</v>
      </c>
      <c r="AG16" s="1093" t="s">
        <v>4597</v>
      </c>
      <c r="AH16" s="1089" t="s">
        <v>4598</v>
      </c>
      <c r="AI16" s="1093" t="s">
        <v>4599</v>
      </c>
      <c r="AJ16" s="1089" t="s">
        <v>4600</v>
      </c>
      <c r="AK16" s="1093" t="s">
        <v>4601</v>
      </c>
      <c r="AL16" s="1089" t="s">
        <v>4602</v>
      </c>
      <c r="AM16" s="1095" t="s">
        <v>4603</v>
      </c>
      <c r="AN16" s="1299" t="s">
        <v>4604</v>
      </c>
      <c r="AO16" s="1253" t="s">
        <v>4605</v>
      </c>
      <c r="AP16" s="1253" t="s">
        <v>4606</v>
      </c>
      <c r="AQ16" s="1295" t="s">
        <v>4934</v>
      </c>
      <c r="AR16" s="1299" t="s">
        <v>4935</v>
      </c>
      <c r="AS16" s="1253" t="s">
        <v>4936</v>
      </c>
      <c r="AT16" s="1090" t="s">
        <v>4937</v>
      </c>
      <c r="AU16" s="1864" t="e">
        <f t="shared" si="0"/>
        <v>#VALUE!</v>
      </c>
      <c r="BZ16" s="1936"/>
      <c r="CA16" s="1936"/>
      <c r="CB16" s="1865" t="e">
        <f t="shared" si="1"/>
        <v>#VALUE!</v>
      </c>
      <c r="CC16" s="1865" t="str">
        <f t="shared" si="2"/>
        <v xml:space="preserve">* La variable Personas con discapacidad (con RND) no puede superar el Total Ambos Sexos. </v>
      </c>
      <c r="CD16" s="1865" t="str">
        <f t="shared" si="3"/>
        <v xml:space="preserve">* La variable Pueblos Originarios no puede superar el Total Ambos Sexos. </v>
      </c>
      <c r="CE16" s="1865" t="str">
        <f t="shared" si="4"/>
        <v xml:space="preserve">* La variable Migrantes no puede superar el Total Ambos Sexos. </v>
      </c>
      <c r="CF16" s="1936"/>
      <c r="CM16" s="1936"/>
      <c r="CN16" s="2948" t="e">
        <f t="shared" si="5"/>
        <v>#VALUE!</v>
      </c>
      <c r="CO16" s="3922">
        <f t="shared" si="6"/>
        <v>1</v>
      </c>
      <c r="CP16" s="3922">
        <f t="shared" si="7"/>
        <v>1</v>
      </c>
      <c r="CQ16" s="3922">
        <f t="shared" si="8"/>
        <v>1</v>
      </c>
      <c r="CR16"/>
    </row>
    <row r="17" spans="1:114" ht="15" customHeight="1" x14ac:dyDescent="0.25">
      <c r="A17" s="5818">
        <v>28021631</v>
      </c>
      <c r="B17" s="990" t="s">
        <v>3312</v>
      </c>
      <c r="C17" s="2972" t="s">
        <v>4567</v>
      </c>
      <c r="D17" s="1170" t="s">
        <v>4568</v>
      </c>
      <c r="E17" s="4898" t="s">
        <v>4569</v>
      </c>
      <c r="F17" s="47" t="s">
        <v>4570</v>
      </c>
      <c r="G17" s="1093" t="s">
        <v>4571</v>
      </c>
      <c r="H17" s="1089" t="s">
        <v>4572</v>
      </c>
      <c r="I17" s="1093" t="s">
        <v>4573</v>
      </c>
      <c r="J17" s="1089" t="s">
        <v>4574</v>
      </c>
      <c r="K17" s="1093" t="s">
        <v>4575</v>
      </c>
      <c r="L17" s="1089" t="s">
        <v>4576</v>
      </c>
      <c r="M17" s="1093" t="s">
        <v>4577</v>
      </c>
      <c r="N17" s="1089" t="s">
        <v>4578</v>
      </c>
      <c r="O17" s="1093" t="s">
        <v>4579</v>
      </c>
      <c r="P17" s="1089" t="s">
        <v>4580</v>
      </c>
      <c r="Q17" s="1093" t="s">
        <v>4581</v>
      </c>
      <c r="R17" s="1089" t="s">
        <v>4582</v>
      </c>
      <c r="S17" s="1093" t="s">
        <v>4583</v>
      </c>
      <c r="T17" s="1089" t="s">
        <v>4584</v>
      </c>
      <c r="U17" s="1093" t="s">
        <v>4585</v>
      </c>
      <c r="V17" s="1089" t="s">
        <v>4586</v>
      </c>
      <c r="W17" s="1093" t="s">
        <v>4587</v>
      </c>
      <c r="X17" s="1089" t="s">
        <v>4588</v>
      </c>
      <c r="Y17" s="1093" t="s">
        <v>4589</v>
      </c>
      <c r="Z17" s="1089" t="s">
        <v>4590</v>
      </c>
      <c r="AA17" s="1093" t="s">
        <v>4591</v>
      </c>
      <c r="AB17" s="1089" t="s">
        <v>4592</v>
      </c>
      <c r="AC17" s="1093" t="s">
        <v>4593</v>
      </c>
      <c r="AD17" s="1089" t="s">
        <v>4594</v>
      </c>
      <c r="AE17" s="1093" t="s">
        <v>4595</v>
      </c>
      <c r="AF17" s="1089" t="s">
        <v>4596</v>
      </c>
      <c r="AG17" s="1093" t="s">
        <v>4597</v>
      </c>
      <c r="AH17" s="1089" t="s">
        <v>4598</v>
      </c>
      <c r="AI17" s="1093" t="s">
        <v>4599</v>
      </c>
      <c r="AJ17" s="1089" t="s">
        <v>4600</v>
      </c>
      <c r="AK17" s="1093" t="s">
        <v>4601</v>
      </c>
      <c r="AL17" s="1089" t="s">
        <v>4602</v>
      </c>
      <c r="AM17" s="1095" t="s">
        <v>4603</v>
      </c>
      <c r="AN17" s="376" t="s">
        <v>4604</v>
      </c>
      <c r="AO17" s="1253" t="s">
        <v>4605</v>
      </c>
      <c r="AP17" s="1253" t="s">
        <v>4606</v>
      </c>
      <c r="AQ17" s="1295" t="s">
        <v>4934</v>
      </c>
      <c r="AR17" s="376" t="s">
        <v>4935</v>
      </c>
      <c r="AS17" s="580" t="s">
        <v>4936</v>
      </c>
      <c r="AT17" s="2" t="s">
        <v>4937</v>
      </c>
      <c r="AU17" s="1864" t="e">
        <f t="shared" si="0"/>
        <v>#VALUE!</v>
      </c>
      <c r="BZ17" s="1936"/>
      <c r="CA17" s="1936"/>
      <c r="CB17" s="1865" t="e">
        <f t="shared" si="1"/>
        <v>#VALUE!</v>
      </c>
      <c r="CC17" s="1865" t="str">
        <f t="shared" si="2"/>
        <v xml:space="preserve">* La variable Personas con discapacidad (con RND) no puede superar el Total Ambos Sexos. </v>
      </c>
      <c r="CD17" s="1865" t="str">
        <f t="shared" si="3"/>
        <v xml:space="preserve">* La variable Pueblos Originarios no puede superar el Total Ambos Sexos. </v>
      </c>
      <c r="CE17" s="1865" t="str">
        <f t="shared" si="4"/>
        <v xml:space="preserve">* La variable Migrantes no puede superar el Total Ambos Sexos. </v>
      </c>
      <c r="CF17" s="1936"/>
      <c r="CM17" s="1936"/>
      <c r="CN17" s="2948" t="e">
        <f t="shared" si="5"/>
        <v>#VALUE!</v>
      </c>
      <c r="CO17" s="3922">
        <f t="shared" si="6"/>
        <v>1</v>
      </c>
      <c r="CP17" s="3922">
        <f t="shared" si="7"/>
        <v>1</v>
      </c>
      <c r="CQ17" s="3922">
        <f t="shared" si="8"/>
        <v>1</v>
      </c>
      <c r="CR17"/>
    </row>
    <row r="18" spans="1:114" ht="15" customHeight="1" x14ac:dyDescent="0.25">
      <c r="A18" s="5818">
        <v>28021632</v>
      </c>
      <c r="B18" s="990" t="s">
        <v>3313</v>
      </c>
      <c r="C18" s="1205" t="s">
        <v>4567</v>
      </c>
      <c r="D18" s="4899" t="s">
        <v>4568</v>
      </c>
      <c r="E18" s="484" t="s">
        <v>4569</v>
      </c>
      <c r="F18" s="4738" t="s">
        <v>4570</v>
      </c>
      <c r="G18" s="1455" t="s">
        <v>4571</v>
      </c>
      <c r="H18" s="4742" t="s">
        <v>4572</v>
      </c>
      <c r="I18" s="3666" t="s">
        <v>4573</v>
      </c>
      <c r="J18" s="4742" t="s">
        <v>4574</v>
      </c>
      <c r="K18" s="3666" t="s">
        <v>4575</v>
      </c>
      <c r="L18" s="1089" t="s">
        <v>4576</v>
      </c>
      <c r="M18" s="1093" t="s">
        <v>4577</v>
      </c>
      <c r="N18" s="1089" t="s">
        <v>4578</v>
      </c>
      <c r="O18" s="1093" t="s">
        <v>4579</v>
      </c>
      <c r="P18" s="1264" t="s">
        <v>4580</v>
      </c>
      <c r="Q18" s="310" t="s">
        <v>4581</v>
      </c>
      <c r="R18" s="1264" t="s">
        <v>4582</v>
      </c>
      <c r="S18" s="310" t="s">
        <v>4583</v>
      </c>
      <c r="T18" s="1264" t="s">
        <v>4584</v>
      </c>
      <c r="U18" s="310" t="s">
        <v>4585</v>
      </c>
      <c r="V18" s="1264" t="s">
        <v>4586</v>
      </c>
      <c r="W18" s="310" t="s">
        <v>4587</v>
      </c>
      <c r="X18" s="1264" t="s">
        <v>4588</v>
      </c>
      <c r="Y18" s="310" t="s">
        <v>4589</v>
      </c>
      <c r="Z18" s="1264" t="s">
        <v>4590</v>
      </c>
      <c r="AA18" s="310" t="s">
        <v>4591</v>
      </c>
      <c r="AB18" s="1264" t="s">
        <v>4592</v>
      </c>
      <c r="AC18" s="310" t="s">
        <v>4593</v>
      </c>
      <c r="AD18" s="1264" t="s">
        <v>4594</v>
      </c>
      <c r="AE18" s="310" t="s">
        <v>4595</v>
      </c>
      <c r="AF18" s="1264" t="s">
        <v>4596</v>
      </c>
      <c r="AG18" s="310" t="s">
        <v>4597</v>
      </c>
      <c r="AH18" s="1264" t="s">
        <v>4598</v>
      </c>
      <c r="AI18" s="310" t="s">
        <v>4599</v>
      </c>
      <c r="AJ18" s="1264" t="s">
        <v>4600</v>
      </c>
      <c r="AK18" s="310" t="s">
        <v>4601</v>
      </c>
      <c r="AL18" s="1264" t="s">
        <v>4602</v>
      </c>
      <c r="AM18" s="297" t="s">
        <v>4603</v>
      </c>
      <c r="AN18" s="1303" t="s">
        <v>4604</v>
      </c>
      <c r="AO18" s="262" t="s">
        <v>4605</v>
      </c>
      <c r="AP18" s="262" t="s">
        <v>4606</v>
      </c>
      <c r="AQ18" s="391" t="s">
        <v>4934</v>
      </c>
      <c r="AR18" s="1303" t="s">
        <v>4935</v>
      </c>
      <c r="AS18" s="1258" t="s">
        <v>4936</v>
      </c>
      <c r="AT18" s="387" t="s">
        <v>4937</v>
      </c>
      <c r="AU18" s="1864" t="e">
        <f t="shared" si="0"/>
        <v>#VALUE!</v>
      </c>
      <c r="BZ18" s="1936"/>
      <c r="CA18" s="1936"/>
      <c r="CB18" s="1865" t="e">
        <f t="shared" si="1"/>
        <v>#VALUE!</v>
      </c>
      <c r="CC18" s="1865" t="str">
        <f t="shared" si="2"/>
        <v xml:space="preserve">* La variable Personas con discapacidad (con RND) no puede superar el Total Ambos Sexos. </v>
      </c>
      <c r="CD18" s="1865" t="str">
        <f t="shared" si="3"/>
        <v xml:space="preserve">* La variable Pueblos Originarios no puede superar el Total Ambos Sexos. </v>
      </c>
      <c r="CE18" s="1865" t="str">
        <f t="shared" si="4"/>
        <v xml:space="preserve">* La variable Migrantes no puede superar el Total Ambos Sexos. </v>
      </c>
      <c r="CF18" s="1936"/>
      <c r="CM18" s="1936"/>
      <c r="CN18" s="2948" t="e">
        <f>IF(AN18+AO18+AP18+AQ18&lt;&gt;$C18,1,0)</f>
        <v>#VALUE!</v>
      </c>
      <c r="CO18" s="3922">
        <f t="shared" si="6"/>
        <v>1</v>
      </c>
      <c r="CP18" s="3922">
        <f t="shared" si="7"/>
        <v>1</v>
      </c>
      <c r="CQ18" s="3922">
        <f t="shared" si="8"/>
        <v>1</v>
      </c>
      <c r="CR18"/>
    </row>
    <row r="19" spans="1:114" ht="15" customHeight="1" x14ac:dyDescent="0.25">
      <c r="A19" s="5861"/>
      <c r="B19" s="4890" t="s">
        <v>770</v>
      </c>
      <c r="C19" s="1205">
        <f t="shared" ref="C19" si="9">SUM(D19:E19)</f>
        <v>0</v>
      </c>
      <c r="D19" s="1172">
        <f t="shared" ref="D19" si="10">SUM(F19,H19,J19,L19,N19,P19,R19,T19,V19,X19,Z19,AB19,AD19,AF19,AH19,AJ19,AL19)</f>
        <v>0</v>
      </c>
      <c r="E19" s="1101">
        <f t="shared" ref="E19" si="11">SUM(G19,I19,K19,M19,O19,Q19,S19,U19,W19,Y19,AA19,AC19,AE19,AG19,AI19,AK19,AM19)</f>
        <v>0</v>
      </c>
      <c r="F19" s="4891">
        <f t="shared" ref="F19:AT19" si="12">SUM(F20:F24)</f>
        <v>0</v>
      </c>
      <c r="G19" s="1101">
        <f t="shared" si="12"/>
        <v>0</v>
      </c>
      <c r="H19" s="4891">
        <f t="shared" si="12"/>
        <v>0</v>
      </c>
      <c r="I19" s="1104">
        <f t="shared" si="12"/>
        <v>0</v>
      </c>
      <c r="J19" s="4891">
        <f t="shared" si="12"/>
        <v>0</v>
      </c>
      <c r="K19" s="1104">
        <f t="shared" si="12"/>
        <v>0</v>
      </c>
      <c r="L19" s="4891">
        <f t="shared" si="12"/>
        <v>0</v>
      </c>
      <c r="M19" s="1104">
        <f t="shared" si="12"/>
        <v>0</v>
      </c>
      <c r="N19" s="4891">
        <f t="shared" si="12"/>
        <v>0</v>
      </c>
      <c r="O19" s="1104">
        <f t="shared" si="12"/>
        <v>0</v>
      </c>
      <c r="P19" s="4891">
        <f t="shared" si="12"/>
        <v>0</v>
      </c>
      <c r="Q19" s="1104">
        <f t="shared" si="12"/>
        <v>0</v>
      </c>
      <c r="R19" s="4891">
        <f t="shared" si="12"/>
        <v>0</v>
      </c>
      <c r="S19" s="1104">
        <f t="shared" si="12"/>
        <v>0</v>
      </c>
      <c r="T19" s="4891">
        <f t="shared" si="12"/>
        <v>0</v>
      </c>
      <c r="U19" s="1104">
        <f t="shared" si="12"/>
        <v>0</v>
      </c>
      <c r="V19" s="4891">
        <f t="shared" si="12"/>
        <v>0</v>
      </c>
      <c r="W19" s="1104">
        <f t="shared" si="12"/>
        <v>0</v>
      </c>
      <c r="X19" s="4891">
        <f t="shared" si="12"/>
        <v>0</v>
      </c>
      <c r="Y19" s="1104">
        <f t="shared" si="12"/>
        <v>0</v>
      </c>
      <c r="Z19" s="4891">
        <f t="shared" si="12"/>
        <v>0</v>
      </c>
      <c r="AA19" s="1104">
        <f t="shared" si="12"/>
        <v>0</v>
      </c>
      <c r="AB19" s="4891">
        <f t="shared" si="12"/>
        <v>0</v>
      </c>
      <c r="AC19" s="1104">
        <f t="shared" si="12"/>
        <v>0</v>
      </c>
      <c r="AD19" s="4891">
        <f t="shared" si="12"/>
        <v>0</v>
      </c>
      <c r="AE19" s="1104">
        <f t="shared" si="12"/>
        <v>0</v>
      </c>
      <c r="AF19" s="4891">
        <f t="shared" si="12"/>
        <v>0</v>
      </c>
      <c r="AG19" s="1104">
        <f t="shared" si="12"/>
        <v>0</v>
      </c>
      <c r="AH19" s="4891">
        <f t="shared" si="12"/>
        <v>0</v>
      </c>
      <c r="AI19" s="1104">
        <f t="shared" si="12"/>
        <v>0</v>
      </c>
      <c r="AJ19" s="4891">
        <f t="shared" si="12"/>
        <v>0</v>
      </c>
      <c r="AK19" s="1104">
        <f t="shared" si="12"/>
        <v>0</v>
      </c>
      <c r="AL19" s="4891">
        <f t="shared" si="12"/>
        <v>0</v>
      </c>
      <c r="AM19" s="1106">
        <f t="shared" si="12"/>
        <v>0</v>
      </c>
      <c r="AN19" s="4765">
        <f t="shared" si="12"/>
        <v>0</v>
      </c>
      <c r="AO19" s="1116">
        <f t="shared" si="12"/>
        <v>0</v>
      </c>
      <c r="AP19" s="1116">
        <f t="shared" si="12"/>
        <v>0</v>
      </c>
      <c r="AQ19" s="4870">
        <f t="shared" si="12"/>
        <v>0</v>
      </c>
      <c r="AR19" s="4765">
        <f t="shared" si="12"/>
        <v>0</v>
      </c>
      <c r="AS19" s="1116">
        <f t="shared" si="12"/>
        <v>0</v>
      </c>
      <c r="AT19" s="1101">
        <f t="shared" si="12"/>
        <v>0</v>
      </c>
      <c r="AU19" s="167"/>
      <c r="BZ19" s="1936"/>
      <c r="CA19" s="1936"/>
      <c r="CB19" s="1936"/>
      <c r="CC19" s="1936"/>
      <c r="CD19" s="1936"/>
      <c r="CE19" s="1936"/>
      <c r="CF19" s="1936"/>
      <c r="CM19" s="1936"/>
      <c r="CN19"/>
      <c r="CO19"/>
      <c r="CP19"/>
      <c r="CQ19"/>
      <c r="CR19"/>
    </row>
    <row r="20" spans="1:114" ht="15" customHeight="1" x14ac:dyDescent="0.25">
      <c r="A20" s="5818">
        <v>28020570</v>
      </c>
      <c r="B20" s="985" t="s">
        <v>3314</v>
      </c>
      <c r="C20" s="2972" t="s">
        <v>4567</v>
      </c>
      <c r="D20" s="2973" t="s">
        <v>4568</v>
      </c>
      <c r="E20" s="4900" t="s">
        <v>4569</v>
      </c>
      <c r="F20" s="192" t="s">
        <v>4570</v>
      </c>
      <c r="G20" s="2" t="s">
        <v>4571</v>
      </c>
      <c r="H20" s="192" t="s">
        <v>4572</v>
      </c>
      <c r="I20" s="382" t="s">
        <v>4573</v>
      </c>
      <c r="J20" s="192" t="s">
        <v>4574</v>
      </c>
      <c r="K20" s="382" t="s">
        <v>4575</v>
      </c>
      <c r="L20" s="192" t="s">
        <v>4576</v>
      </c>
      <c r="M20" s="382" t="s">
        <v>4577</v>
      </c>
      <c r="N20" s="192" t="s">
        <v>4578</v>
      </c>
      <c r="O20" s="382" t="s">
        <v>4579</v>
      </c>
      <c r="P20" s="192" t="s">
        <v>4580</v>
      </c>
      <c r="Q20" s="382" t="s">
        <v>4581</v>
      </c>
      <c r="R20" s="192" t="s">
        <v>4582</v>
      </c>
      <c r="S20" s="382" t="s">
        <v>4583</v>
      </c>
      <c r="T20" s="192" t="s">
        <v>4584</v>
      </c>
      <c r="U20" s="382" t="s">
        <v>4585</v>
      </c>
      <c r="V20" s="192" t="s">
        <v>4586</v>
      </c>
      <c r="W20" s="382" t="s">
        <v>4587</v>
      </c>
      <c r="X20" s="192" t="s">
        <v>4588</v>
      </c>
      <c r="Y20" s="382" t="s">
        <v>4589</v>
      </c>
      <c r="Z20" s="192" t="s">
        <v>4590</v>
      </c>
      <c r="AA20" s="382" t="s">
        <v>4591</v>
      </c>
      <c r="AB20" s="192" t="s">
        <v>4592</v>
      </c>
      <c r="AC20" s="382" t="s">
        <v>4593</v>
      </c>
      <c r="AD20" s="192" t="s">
        <v>4594</v>
      </c>
      <c r="AE20" s="382" t="s">
        <v>4595</v>
      </c>
      <c r="AF20" s="192" t="s">
        <v>4596</v>
      </c>
      <c r="AG20" s="382" t="s">
        <v>4597</v>
      </c>
      <c r="AH20" s="192" t="s">
        <v>4598</v>
      </c>
      <c r="AI20" s="382" t="s">
        <v>4599</v>
      </c>
      <c r="AJ20" s="192" t="s">
        <v>4600</v>
      </c>
      <c r="AK20" s="382" t="s">
        <v>4601</v>
      </c>
      <c r="AL20" s="192" t="s">
        <v>4602</v>
      </c>
      <c r="AM20" s="383" t="s">
        <v>4603</v>
      </c>
      <c r="AN20" s="4512" t="s">
        <v>4604</v>
      </c>
      <c r="AO20" s="580" t="s">
        <v>4605</v>
      </c>
      <c r="AP20" s="580" t="s">
        <v>4606</v>
      </c>
      <c r="AQ20" s="375" t="s">
        <v>4934</v>
      </c>
      <c r="AR20" s="4512" t="s">
        <v>4935</v>
      </c>
      <c r="AS20" s="4509" t="s">
        <v>4936</v>
      </c>
      <c r="AT20" s="1321" t="s">
        <v>4937</v>
      </c>
      <c r="AU20" s="1864" t="e">
        <f>CB20&amp;CC20&amp;CD20&amp;CE20</f>
        <v>#VALUE!</v>
      </c>
      <c r="BZ20" s="1936"/>
      <c r="CA20" s="1936"/>
      <c r="CB20" s="1865" t="e">
        <f>IF(AN20+AO20+AP20+AQ20&lt;&gt;$C20,"* La suma de "&amp;AN$10&amp;""&amp;" no puede ser distinto del Total Ambos Sexos. ","")</f>
        <v>#VALUE!</v>
      </c>
      <c r="CC20" s="1865" t="str">
        <f t="shared" si="2"/>
        <v xml:space="preserve">* La variable Personas con discapacidad (con RND) no puede superar el Total Ambos Sexos. </v>
      </c>
      <c r="CD20" s="1865" t="str">
        <f t="shared" si="3"/>
        <v xml:space="preserve">* La variable Pueblos Originarios no puede superar el Total Ambos Sexos. </v>
      </c>
      <c r="CE20" s="1865" t="str">
        <f t="shared" si="4"/>
        <v xml:space="preserve">* La variable Migrantes no puede superar el Total Ambos Sexos. </v>
      </c>
      <c r="CF20" s="1936"/>
      <c r="CM20" s="1936"/>
      <c r="CN20" s="2948" t="e">
        <f t="shared" ref="CN20:CN24" si="13">IF(AN20+AO20+AP20+AQ20&lt;&gt;$C20,1,0)</f>
        <v>#VALUE!</v>
      </c>
      <c r="CO20" s="3922">
        <f t="shared" ref="CO20:CO24" si="14">IF(AND($C20&lt;&gt;0,AR20=""),1,IF(AR20&gt;$C20,1,0))</f>
        <v>1</v>
      </c>
      <c r="CP20" s="3922">
        <f t="shared" ref="CP20:CP23" si="15">IF(AND($C20&lt;&gt;0,AS20=""),1,IF(AS20&gt;$C20,1,0))</f>
        <v>1</v>
      </c>
      <c r="CQ20" s="3922">
        <f t="shared" ref="CQ20:CQ24" si="16">IF(AND($C20&lt;&gt;0,AT20=""),1,IF(AT20&gt;$C20,1,0))</f>
        <v>1</v>
      </c>
      <c r="CR20"/>
    </row>
    <row r="21" spans="1:114" ht="15" customHeight="1" x14ac:dyDescent="0.25">
      <c r="A21" s="5818">
        <v>28020580</v>
      </c>
      <c r="B21" s="990" t="s">
        <v>1022</v>
      </c>
      <c r="C21" s="4897" t="s">
        <v>4567</v>
      </c>
      <c r="D21" s="1170" t="s">
        <v>4568</v>
      </c>
      <c r="E21" s="3062" t="s">
        <v>4569</v>
      </c>
      <c r="F21" s="1089" t="s">
        <v>4570</v>
      </c>
      <c r="G21" s="1090" t="s">
        <v>4571</v>
      </c>
      <c r="H21" s="1089" t="s">
        <v>4572</v>
      </c>
      <c r="I21" s="1093" t="s">
        <v>4573</v>
      </c>
      <c r="J21" s="1089" t="s">
        <v>4574</v>
      </c>
      <c r="K21" s="1093" t="s">
        <v>4575</v>
      </c>
      <c r="L21" s="1089" t="s">
        <v>4576</v>
      </c>
      <c r="M21" s="1093" t="s">
        <v>4577</v>
      </c>
      <c r="N21" s="1089" t="s">
        <v>4578</v>
      </c>
      <c r="O21" s="1093" t="s">
        <v>4579</v>
      </c>
      <c r="P21" s="1089" t="s">
        <v>4580</v>
      </c>
      <c r="Q21" s="1093" t="s">
        <v>4581</v>
      </c>
      <c r="R21" s="1089" t="s">
        <v>4582</v>
      </c>
      <c r="S21" s="1093" t="s">
        <v>4583</v>
      </c>
      <c r="T21" s="1089" t="s">
        <v>4584</v>
      </c>
      <c r="U21" s="1093" t="s">
        <v>4585</v>
      </c>
      <c r="V21" s="1089" t="s">
        <v>4586</v>
      </c>
      <c r="W21" s="1093" t="s">
        <v>4587</v>
      </c>
      <c r="X21" s="1089" t="s">
        <v>4588</v>
      </c>
      <c r="Y21" s="1093" t="s">
        <v>4589</v>
      </c>
      <c r="Z21" s="1089" t="s">
        <v>4590</v>
      </c>
      <c r="AA21" s="1093" t="s">
        <v>4591</v>
      </c>
      <c r="AB21" s="1089" t="s">
        <v>4592</v>
      </c>
      <c r="AC21" s="1093" t="s">
        <v>4593</v>
      </c>
      <c r="AD21" s="1089" t="s">
        <v>4594</v>
      </c>
      <c r="AE21" s="1093" t="s">
        <v>4595</v>
      </c>
      <c r="AF21" s="1089" t="s">
        <v>4596</v>
      </c>
      <c r="AG21" s="1093" t="s">
        <v>4597</v>
      </c>
      <c r="AH21" s="1089" t="s">
        <v>4598</v>
      </c>
      <c r="AI21" s="1093" t="s">
        <v>4599</v>
      </c>
      <c r="AJ21" s="1089" t="s">
        <v>4600</v>
      </c>
      <c r="AK21" s="1093" t="s">
        <v>4601</v>
      </c>
      <c r="AL21" s="1089" t="s">
        <v>4602</v>
      </c>
      <c r="AM21" s="1095" t="s">
        <v>4603</v>
      </c>
      <c r="AN21" s="1299" t="s">
        <v>4604</v>
      </c>
      <c r="AO21" s="1253" t="s">
        <v>4605</v>
      </c>
      <c r="AP21" s="1253" t="s">
        <v>4606</v>
      </c>
      <c r="AQ21" s="1295" t="s">
        <v>4934</v>
      </c>
      <c r="AR21" s="1299" t="s">
        <v>4935</v>
      </c>
      <c r="AS21" s="1253" t="s">
        <v>4936</v>
      </c>
      <c r="AT21" s="1090" t="s">
        <v>4937</v>
      </c>
      <c r="AU21" s="1864" t="e">
        <f>CB21&amp;CC21&amp;CD21&amp;CE21</f>
        <v>#VALUE!</v>
      </c>
      <c r="BZ21" s="1936"/>
      <c r="CA21" s="1936"/>
      <c r="CB21" s="1865" t="e">
        <f t="shared" si="1"/>
        <v>#VALUE!</v>
      </c>
      <c r="CC21" s="1865" t="str">
        <f t="shared" si="2"/>
        <v xml:space="preserve">* La variable Personas con discapacidad (con RND) no puede superar el Total Ambos Sexos. </v>
      </c>
      <c r="CD21" s="1865" t="str">
        <f t="shared" si="3"/>
        <v xml:space="preserve">* La variable Pueblos Originarios no puede superar el Total Ambos Sexos. </v>
      </c>
      <c r="CE21" s="1865" t="str">
        <f t="shared" si="4"/>
        <v xml:space="preserve">* La variable Migrantes no puede superar el Total Ambos Sexos. </v>
      </c>
      <c r="CF21" s="1936"/>
      <c r="CM21" s="1936"/>
      <c r="CN21" s="2948" t="e">
        <f t="shared" si="13"/>
        <v>#VALUE!</v>
      </c>
      <c r="CO21" s="3922">
        <f t="shared" si="14"/>
        <v>1</v>
      </c>
      <c r="CP21" s="3922">
        <f t="shared" si="15"/>
        <v>1</v>
      </c>
      <c r="CQ21" s="3922">
        <f t="shared" si="16"/>
        <v>1</v>
      </c>
      <c r="CR21"/>
    </row>
    <row r="22" spans="1:114" ht="15" customHeight="1" x14ac:dyDescent="0.25">
      <c r="A22" s="5824">
        <v>28020590</v>
      </c>
      <c r="B22" s="205" t="s">
        <v>990</v>
      </c>
      <c r="C22" s="2975" t="s">
        <v>4567</v>
      </c>
      <c r="D22" s="4901" t="s">
        <v>4568</v>
      </c>
      <c r="E22" s="2396" t="s">
        <v>4569</v>
      </c>
      <c r="F22" s="47" t="s">
        <v>4570</v>
      </c>
      <c r="G22" s="42" t="s">
        <v>4571</v>
      </c>
      <c r="H22" s="47" t="s">
        <v>4572</v>
      </c>
      <c r="I22" s="95" t="s">
        <v>4573</v>
      </c>
      <c r="J22" s="47" t="s">
        <v>4574</v>
      </c>
      <c r="K22" s="95" t="s">
        <v>4575</v>
      </c>
      <c r="L22" s="47" t="s">
        <v>4576</v>
      </c>
      <c r="M22" s="95" t="s">
        <v>4577</v>
      </c>
      <c r="N22" s="47" t="s">
        <v>4578</v>
      </c>
      <c r="O22" s="95" t="s">
        <v>4579</v>
      </c>
      <c r="P22" s="47" t="s">
        <v>4580</v>
      </c>
      <c r="Q22" s="95" t="s">
        <v>4581</v>
      </c>
      <c r="R22" s="47" t="s">
        <v>4582</v>
      </c>
      <c r="S22" s="95" t="s">
        <v>4583</v>
      </c>
      <c r="T22" s="47" t="s">
        <v>4584</v>
      </c>
      <c r="U22" s="95" t="s">
        <v>4585</v>
      </c>
      <c r="V22" s="47" t="s">
        <v>4586</v>
      </c>
      <c r="W22" s="95" t="s">
        <v>4587</v>
      </c>
      <c r="X22" s="47" t="s">
        <v>4588</v>
      </c>
      <c r="Y22" s="95" t="s">
        <v>4589</v>
      </c>
      <c r="Z22" s="47" t="s">
        <v>4590</v>
      </c>
      <c r="AA22" s="95" t="s">
        <v>4591</v>
      </c>
      <c r="AB22" s="47" t="s">
        <v>4592</v>
      </c>
      <c r="AC22" s="95" t="s">
        <v>4593</v>
      </c>
      <c r="AD22" s="47" t="s">
        <v>4594</v>
      </c>
      <c r="AE22" s="95" t="s">
        <v>4595</v>
      </c>
      <c r="AF22" s="47" t="s">
        <v>4596</v>
      </c>
      <c r="AG22" s="95" t="s">
        <v>4597</v>
      </c>
      <c r="AH22" s="47" t="s">
        <v>4598</v>
      </c>
      <c r="AI22" s="95" t="s">
        <v>4599</v>
      </c>
      <c r="AJ22" s="47" t="s">
        <v>4600</v>
      </c>
      <c r="AK22" s="95" t="s">
        <v>4601</v>
      </c>
      <c r="AL22" s="47" t="s">
        <v>4602</v>
      </c>
      <c r="AM22" s="4519" t="s">
        <v>4603</v>
      </c>
      <c r="AN22" s="74" t="s">
        <v>4604</v>
      </c>
      <c r="AO22" s="242" t="s">
        <v>4605</v>
      </c>
      <c r="AP22" s="242" t="s">
        <v>4606</v>
      </c>
      <c r="AQ22" s="75" t="s">
        <v>4934</v>
      </c>
      <c r="AR22" s="74" t="s">
        <v>4935</v>
      </c>
      <c r="AS22" s="242" t="s">
        <v>4936</v>
      </c>
      <c r="AT22" s="42" t="s">
        <v>4937</v>
      </c>
      <c r="AU22" s="1864" t="e">
        <f>CB22&amp;CC22&amp;CD22&amp;CE22</f>
        <v>#VALUE!</v>
      </c>
      <c r="BZ22" s="1936"/>
      <c r="CA22" s="1936"/>
      <c r="CB22" s="1865" t="e">
        <f t="shared" si="1"/>
        <v>#VALUE!</v>
      </c>
      <c r="CC22" s="1865" t="str">
        <f t="shared" si="2"/>
        <v xml:space="preserve">* La variable Personas con discapacidad (con RND) no puede superar el Total Ambos Sexos. </v>
      </c>
      <c r="CD22" s="1865" t="str">
        <f t="shared" si="3"/>
        <v xml:space="preserve">* La variable Pueblos Originarios no puede superar el Total Ambos Sexos. </v>
      </c>
      <c r="CE22" s="1865" t="str">
        <f t="shared" si="4"/>
        <v xml:space="preserve">* La variable Migrantes no puede superar el Total Ambos Sexos. </v>
      </c>
      <c r="CF22" s="1936"/>
      <c r="CM22" s="1936"/>
      <c r="CN22" s="2948" t="e">
        <f t="shared" si="13"/>
        <v>#VALUE!</v>
      </c>
      <c r="CO22" s="3922">
        <f t="shared" si="14"/>
        <v>1</v>
      </c>
      <c r="CP22" s="3922">
        <f t="shared" si="15"/>
        <v>1</v>
      </c>
      <c r="CQ22" s="3922">
        <f t="shared" si="16"/>
        <v>1</v>
      </c>
      <c r="CR22"/>
    </row>
    <row r="23" spans="1:114" ht="15" customHeight="1" x14ac:dyDescent="0.25">
      <c r="A23" s="5824">
        <v>28020592</v>
      </c>
      <c r="B23" s="4902" t="s">
        <v>3315</v>
      </c>
      <c r="C23" s="4897" t="s">
        <v>4567</v>
      </c>
      <c r="D23" s="1170" t="s">
        <v>4568</v>
      </c>
      <c r="E23" s="3062" t="s">
        <v>4569</v>
      </c>
      <c r="F23" s="1089" t="s">
        <v>4570</v>
      </c>
      <c r="G23" s="1090" t="s">
        <v>4571</v>
      </c>
      <c r="H23" s="1089" t="s">
        <v>4572</v>
      </c>
      <c r="I23" s="1093" t="s">
        <v>4573</v>
      </c>
      <c r="J23" s="1089" t="s">
        <v>4574</v>
      </c>
      <c r="K23" s="1093" t="s">
        <v>4575</v>
      </c>
      <c r="L23" s="1089" t="s">
        <v>4576</v>
      </c>
      <c r="M23" s="1093" t="s">
        <v>4577</v>
      </c>
      <c r="N23" s="1089" t="s">
        <v>4578</v>
      </c>
      <c r="O23" s="1093" t="s">
        <v>4579</v>
      </c>
      <c r="P23" s="1089" t="s">
        <v>4580</v>
      </c>
      <c r="Q23" s="1093" t="s">
        <v>4581</v>
      </c>
      <c r="R23" s="1089" t="s">
        <v>4582</v>
      </c>
      <c r="S23" s="1093" t="s">
        <v>4583</v>
      </c>
      <c r="T23" s="1089" t="s">
        <v>4584</v>
      </c>
      <c r="U23" s="1093" t="s">
        <v>4585</v>
      </c>
      <c r="V23" s="1089" t="s">
        <v>4586</v>
      </c>
      <c r="W23" s="1093" t="s">
        <v>4587</v>
      </c>
      <c r="X23" s="1089" t="s">
        <v>4588</v>
      </c>
      <c r="Y23" s="1093" t="s">
        <v>4589</v>
      </c>
      <c r="Z23" s="1089" t="s">
        <v>4590</v>
      </c>
      <c r="AA23" s="1093" t="s">
        <v>4591</v>
      </c>
      <c r="AB23" s="1089" t="s">
        <v>4592</v>
      </c>
      <c r="AC23" s="1093" t="s">
        <v>4593</v>
      </c>
      <c r="AD23" s="1089" t="s">
        <v>4594</v>
      </c>
      <c r="AE23" s="1093" t="s">
        <v>4595</v>
      </c>
      <c r="AF23" s="1089" t="s">
        <v>4596</v>
      </c>
      <c r="AG23" s="1093" t="s">
        <v>4597</v>
      </c>
      <c r="AH23" s="1089" t="s">
        <v>4598</v>
      </c>
      <c r="AI23" s="1093" t="s">
        <v>4599</v>
      </c>
      <c r="AJ23" s="1089" t="s">
        <v>4600</v>
      </c>
      <c r="AK23" s="1093" t="s">
        <v>4601</v>
      </c>
      <c r="AL23" s="1089" t="s">
        <v>4602</v>
      </c>
      <c r="AM23" s="1095" t="s">
        <v>4603</v>
      </c>
      <c r="AN23" s="1299" t="s">
        <v>4604</v>
      </c>
      <c r="AO23" s="1253" t="s">
        <v>4605</v>
      </c>
      <c r="AP23" s="1253" t="s">
        <v>4606</v>
      </c>
      <c r="AQ23" s="1295" t="s">
        <v>4934</v>
      </c>
      <c r="AR23" s="1299" t="s">
        <v>4935</v>
      </c>
      <c r="AS23" s="1253" t="s">
        <v>4936</v>
      </c>
      <c r="AT23" s="1090" t="s">
        <v>4937</v>
      </c>
      <c r="AU23" s="1864" t="e">
        <f>CB23&amp;CC23&amp;CD23&amp;CE23</f>
        <v>#VALUE!</v>
      </c>
      <c r="BZ23" s="1936"/>
      <c r="CA23" s="1936"/>
      <c r="CB23" s="1865" t="e">
        <f t="shared" si="1"/>
        <v>#VALUE!</v>
      </c>
      <c r="CC23" s="1865" t="str">
        <f t="shared" si="2"/>
        <v xml:space="preserve">* La variable Personas con discapacidad (con RND) no puede superar el Total Ambos Sexos. </v>
      </c>
      <c r="CD23" s="1865" t="str">
        <f t="shared" si="3"/>
        <v xml:space="preserve">* La variable Pueblos Originarios no puede superar el Total Ambos Sexos. </v>
      </c>
      <c r="CE23" s="1865" t="str">
        <f t="shared" si="4"/>
        <v xml:space="preserve">* La variable Migrantes no puede superar el Total Ambos Sexos. </v>
      </c>
      <c r="CF23" s="1936"/>
      <c r="CM23" s="1936"/>
      <c r="CN23" s="2948" t="e">
        <f t="shared" si="13"/>
        <v>#VALUE!</v>
      </c>
      <c r="CO23" s="3922">
        <f t="shared" si="14"/>
        <v>1</v>
      </c>
      <c r="CP23" s="3922">
        <f t="shared" si="15"/>
        <v>1</v>
      </c>
      <c r="CQ23" s="3922">
        <f t="shared" si="16"/>
        <v>1</v>
      </c>
      <c r="CR23"/>
    </row>
    <row r="24" spans="1:114" ht="15" customHeight="1" x14ac:dyDescent="0.25">
      <c r="A24" s="5824">
        <v>28020593</v>
      </c>
      <c r="B24" s="1003" t="s">
        <v>3316</v>
      </c>
      <c r="C24" s="1205" t="s">
        <v>4567</v>
      </c>
      <c r="D24" s="1172" t="s">
        <v>4568</v>
      </c>
      <c r="E24" s="3414" t="s">
        <v>4569</v>
      </c>
      <c r="F24" s="1264" t="s">
        <v>4570</v>
      </c>
      <c r="G24" s="1447" t="s">
        <v>4571</v>
      </c>
      <c r="H24" s="1264" t="s">
        <v>4572</v>
      </c>
      <c r="I24" s="310" t="s">
        <v>4573</v>
      </c>
      <c r="J24" s="1264" t="s">
        <v>4574</v>
      </c>
      <c r="K24" s="310" t="s">
        <v>4575</v>
      </c>
      <c r="L24" s="1264" t="s">
        <v>4576</v>
      </c>
      <c r="M24" s="310" t="s">
        <v>4577</v>
      </c>
      <c r="N24" s="1264" t="s">
        <v>4578</v>
      </c>
      <c r="O24" s="310" t="s">
        <v>4579</v>
      </c>
      <c r="P24" s="1264" t="s">
        <v>4580</v>
      </c>
      <c r="Q24" s="310" t="s">
        <v>4581</v>
      </c>
      <c r="R24" s="1264" t="s">
        <v>4582</v>
      </c>
      <c r="S24" s="310" t="s">
        <v>4583</v>
      </c>
      <c r="T24" s="1264" t="s">
        <v>4584</v>
      </c>
      <c r="U24" s="310" t="s">
        <v>4585</v>
      </c>
      <c r="V24" s="1264" t="s">
        <v>4586</v>
      </c>
      <c r="W24" s="310" t="s">
        <v>4587</v>
      </c>
      <c r="X24" s="1264" t="s">
        <v>4588</v>
      </c>
      <c r="Y24" s="310" t="s">
        <v>4589</v>
      </c>
      <c r="Z24" s="1264" t="s">
        <v>4590</v>
      </c>
      <c r="AA24" s="310" t="s">
        <v>4591</v>
      </c>
      <c r="AB24" s="1264" t="s">
        <v>4592</v>
      </c>
      <c r="AC24" s="310" t="s">
        <v>4593</v>
      </c>
      <c r="AD24" s="1264" t="s">
        <v>4594</v>
      </c>
      <c r="AE24" s="310" t="s">
        <v>4595</v>
      </c>
      <c r="AF24" s="1264" t="s">
        <v>4596</v>
      </c>
      <c r="AG24" s="310" t="s">
        <v>4597</v>
      </c>
      <c r="AH24" s="1264" t="s">
        <v>4598</v>
      </c>
      <c r="AI24" s="310" t="s">
        <v>4599</v>
      </c>
      <c r="AJ24" s="1264" t="s">
        <v>4600</v>
      </c>
      <c r="AK24" s="310" t="s">
        <v>4601</v>
      </c>
      <c r="AL24" s="1264" t="s">
        <v>4602</v>
      </c>
      <c r="AM24" s="297" t="s">
        <v>4603</v>
      </c>
      <c r="AN24" s="266" t="s">
        <v>4604</v>
      </c>
      <c r="AO24" s="262" t="s">
        <v>4605</v>
      </c>
      <c r="AP24" s="262" t="s">
        <v>4606</v>
      </c>
      <c r="AQ24" s="1448" t="s">
        <v>4934</v>
      </c>
      <c r="AR24" s="266" t="s">
        <v>4935</v>
      </c>
      <c r="AS24" s="262" t="s">
        <v>4936</v>
      </c>
      <c r="AT24" s="1447" t="s">
        <v>4937</v>
      </c>
      <c r="AU24" s="1864" t="e">
        <f>CB24&amp;CC24&amp;CD24&amp;CE24</f>
        <v>#VALUE!</v>
      </c>
      <c r="BZ24" s="1936"/>
      <c r="CA24" s="1936"/>
      <c r="CB24" s="1865" t="e">
        <f t="shared" si="1"/>
        <v>#VALUE!</v>
      </c>
      <c r="CC24" s="1865" t="str">
        <f t="shared" si="2"/>
        <v xml:space="preserve">* La variable Personas con discapacidad (con RND) no puede superar el Total Ambos Sexos. </v>
      </c>
      <c r="CD24" s="1865" t="str">
        <f t="shared" si="3"/>
        <v xml:space="preserve">* La variable Pueblos Originarios no puede superar el Total Ambos Sexos. </v>
      </c>
      <c r="CE24" s="1865" t="str">
        <f t="shared" si="4"/>
        <v xml:space="preserve">* La variable Migrantes no puede superar el Total Ambos Sexos. </v>
      </c>
      <c r="CF24" s="1936"/>
      <c r="CM24" s="1936"/>
      <c r="CN24" s="2948" t="e">
        <f t="shared" si="13"/>
        <v>#VALUE!</v>
      </c>
      <c r="CO24" s="3922">
        <f t="shared" si="14"/>
        <v>1</v>
      </c>
      <c r="CP24" s="3922">
        <f>IF(AND($C24&lt;&gt;0,AS24=""),1,IF(AS24&gt;$C24,1,0))</f>
        <v>1</v>
      </c>
      <c r="CQ24" s="3922">
        <f t="shared" si="16"/>
        <v>1</v>
      </c>
      <c r="CR24"/>
    </row>
    <row r="25" spans="1:114" ht="18" customHeight="1" x14ac:dyDescent="0.25">
      <c r="B25" s="5977" t="s">
        <v>3317</v>
      </c>
      <c r="C25" s="298"/>
      <c r="D25" s="8"/>
      <c r="E25" s="6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</row>
    <row r="26" spans="1:114" x14ac:dyDescent="0.25">
      <c r="A26" s="5613"/>
      <c r="B26" s="7676" t="s">
        <v>3318</v>
      </c>
      <c r="C26" s="7673" t="s">
        <v>77</v>
      </c>
      <c r="D26" s="7674"/>
      <c r="E26" s="6786"/>
      <c r="F26" s="7291" t="s">
        <v>101</v>
      </c>
      <c r="G26" s="7298"/>
      <c r="H26" s="7298"/>
      <c r="I26" s="7298"/>
      <c r="J26" s="7298"/>
      <c r="K26" s="7298"/>
      <c r="L26" s="7298"/>
      <c r="M26" s="7298"/>
      <c r="N26" s="7298"/>
      <c r="O26" s="7298"/>
      <c r="P26" s="7298"/>
      <c r="Q26" s="7298"/>
      <c r="R26" s="7298"/>
      <c r="S26" s="7298"/>
      <c r="T26" s="7298"/>
      <c r="U26" s="7298"/>
      <c r="V26" s="7298"/>
      <c r="W26" s="7298"/>
      <c r="X26" s="7298"/>
      <c r="Y26" s="7298"/>
      <c r="Z26" s="7298"/>
      <c r="AA26" s="7298"/>
      <c r="AB26" s="7298"/>
      <c r="AC26" s="7298"/>
      <c r="AD26" s="7298"/>
      <c r="AE26" s="7298"/>
      <c r="AF26" s="7298"/>
      <c r="AG26" s="7298"/>
      <c r="AH26" s="7298"/>
      <c r="AI26" s="7298"/>
      <c r="AJ26" s="7298"/>
      <c r="AK26" s="7298"/>
      <c r="AL26" s="7298"/>
      <c r="AM26" s="7339"/>
      <c r="AN26" s="7243" t="s">
        <v>3319</v>
      </c>
      <c r="AO26" s="7298"/>
      <c r="AP26" s="7298"/>
      <c r="AQ26" s="7244"/>
      <c r="CA26" s="25"/>
      <c r="DJ26"/>
    </row>
    <row r="27" spans="1:114" ht="15" customHeight="1" x14ac:dyDescent="0.25">
      <c r="A27" s="5613"/>
      <c r="B27" s="6331"/>
      <c r="C27" s="7660"/>
      <c r="D27" s="6735"/>
      <c r="E27" s="6955"/>
      <c r="F27" s="7257" t="s">
        <v>1334</v>
      </c>
      <c r="G27" s="7346"/>
      <c r="H27" s="7257" t="s">
        <v>1335</v>
      </c>
      <c r="I27" s="7346"/>
      <c r="J27" s="7257" t="s">
        <v>1389</v>
      </c>
      <c r="K27" s="7346"/>
      <c r="L27" s="7257" t="s">
        <v>3320</v>
      </c>
      <c r="M27" s="7346"/>
      <c r="N27" s="7257" t="s">
        <v>3321</v>
      </c>
      <c r="O27" s="7346"/>
      <c r="P27" s="7257" t="s">
        <v>3322</v>
      </c>
      <c r="Q27" s="7346"/>
      <c r="R27" s="7257" t="s">
        <v>3323</v>
      </c>
      <c r="S27" s="7346"/>
      <c r="T27" s="7257" t="s">
        <v>1394</v>
      </c>
      <c r="U27" s="7346"/>
      <c r="V27" s="7257" t="s">
        <v>1395</v>
      </c>
      <c r="W27" s="7346"/>
      <c r="X27" s="7257" t="s">
        <v>3324</v>
      </c>
      <c r="Y27" s="7346"/>
      <c r="Z27" s="7257" t="s">
        <v>1397</v>
      </c>
      <c r="AA27" s="7346"/>
      <c r="AB27" s="7257" t="s">
        <v>1398</v>
      </c>
      <c r="AC27" s="7346"/>
      <c r="AD27" s="7257" t="s">
        <v>1399</v>
      </c>
      <c r="AE27" s="7346"/>
      <c r="AF27" s="7257" t="s">
        <v>1400</v>
      </c>
      <c r="AG27" s="7346"/>
      <c r="AH27" s="7257" t="s">
        <v>1401</v>
      </c>
      <c r="AI27" s="7346"/>
      <c r="AJ27" s="7257" t="s">
        <v>1402</v>
      </c>
      <c r="AK27" s="7346"/>
      <c r="AL27" s="7291" t="s">
        <v>57</v>
      </c>
      <c r="AM27" s="7298"/>
      <c r="AN27" s="7206" t="s">
        <v>3325</v>
      </c>
      <c r="AO27" s="7118" t="s">
        <v>3306</v>
      </c>
      <c r="AP27" s="6386" t="s">
        <v>3307</v>
      </c>
      <c r="AQ27" s="6066" t="s">
        <v>3308</v>
      </c>
      <c r="CA27" s="25"/>
      <c r="DJ27"/>
    </row>
    <row r="28" spans="1:114" x14ac:dyDescent="0.25">
      <c r="A28" s="5613"/>
      <c r="B28" s="6913"/>
      <c r="C28" s="1286" t="s">
        <v>79</v>
      </c>
      <c r="D28" s="1110" t="s">
        <v>58</v>
      </c>
      <c r="E28" s="1067" t="s">
        <v>59</v>
      </c>
      <c r="F28" s="1286" t="s">
        <v>58</v>
      </c>
      <c r="G28" s="1067" t="s">
        <v>59</v>
      </c>
      <c r="H28" s="1286" t="s">
        <v>58</v>
      </c>
      <c r="I28" s="1067" t="s">
        <v>59</v>
      </c>
      <c r="J28" s="1286" t="s">
        <v>58</v>
      </c>
      <c r="K28" s="1067" t="s">
        <v>59</v>
      </c>
      <c r="L28" s="1286" t="s">
        <v>58</v>
      </c>
      <c r="M28" s="1067" t="s">
        <v>59</v>
      </c>
      <c r="N28" s="1110" t="s">
        <v>58</v>
      </c>
      <c r="O28" s="1067" t="s">
        <v>59</v>
      </c>
      <c r="P28" s="1286" t="s">
        <v>58</v>
      </c>
      <c r="Q28" s="1067" t="s">
        <v>59</v>
      </c>
      <c r="R28" s="1286" t="s">
        <v>58</v>
      </c>
      <c r="S28" s="1067" t="s">
        <v>59</v>
      </c>
      <c r="T28" s="1286" t="s">
        <v>58</v>
      </c>
      <c r="U28" s="1067" t="s">
        <v>59</v>
      </c>
      <c r="V28" s="1286" t="s">
        <v>58</v>
      </c>
      <c r="W28" s="1067" t="s">
        <v>59</v>
      </c>
      <c r="X28" s="1286" t="s">
        <v>58</v>
      </c>
      <c r="Y28" s="1067" t="s">
        <v>59</v>
      </c>
      <c r="Z28" s="1286" t="s">
        <v>58</v>
      </c>
      <c r="AA28" s="1067" t="s">
        <v>59</v>
      </c>
      <c r="AB28" s="1286" t="s">
        <v>58</v>
      </c>
      <c r="AC28" s="1067" t="s">
        <v>59</v>
      </c>
      <c r="AD28" s="1286" t="s">
        <v>58</v>
      </c>
      <c r="AE28" s="1067" t="s">
        <v>59</v>
      </c>
      <c r="AF28" s="1286" t="s">
        <v>58</v>
      </c>
      <c r="AG28" s="1067" t="s">
        <v>59</v>
      </c>
      <c r="AH28" s="1286" t="s">
        <v>58</v>
      </c>
      <c r="AI28" s="1067" t="s">
        <v>59</v>
      </c>
      <c r="AJ28" s="1286" t="s">
        <v>58</v>
      </c>
      <c r="AK28" s="1067" t="s">
        <v>59</v>
      </c>
      <c r="AL28" s="1286" t="s">
        <v>58</v>
      </c>
      <c r="AM28" s="1076" t="s">
        <v>59</v>
      </c>
      <c r="AN28" s="6937"/>
      <c r="AO28" s="7675"/>
      <c r="AP28" s="6086"/>
      <c r="AQ28" s="6067"/>
      <c r="CA28" s="25"/>
      <c r="CN28" s="4903">
        <f>IF(C29&lt;&gt;SUM(C30:C50),1,0)</f>
        <v>1</v>
      </c>
      <c r="DJ28"/>
    </row>
    <row r="29" spans="1:114" x14ac:dyDescent="0.25">
      <c r="A29" s="5636">
        <v>28014800</v>
      </c>
      <c r="B29" s="1558" t="s">
        <v>3326</v>
      </c>
      <c r="C29" s="1524" t="s">
        <v>4567</v>
      </c>
      <c r="D29" s="1525" t="s">
        <v>4568</v>
      </c>
      <c r="E29" s="1526" t="s">
        <v>4569</v>
      </c>
      <c r="F29" s="4904" t="s">
        <v>4570</v>
      </c>
      <c r="G29" s="4905" t="s">
        <v>4571</v>
      </c>
      <c r="H29" s="4904" t="s">
        <v>4572</v>
      </c>
      <c r="I29" s="4628" t="s">
        <v>4573</v>
      </c>
      <c r="J29" s="4904" t="s">
        <v>4574</v>
      </c>
      <c r="K29" s="4628" t="s">
        <v>4575</v>
      </c>
      <c r="L29" s="4904" t="s">
        <v>4576</v>
      </c>
      <c r="M29" s="4905" t="s">
        <v>4577</v>
      </c>
      <c r="N29" s="4906" t="s">
        <v>4578</v>
      </c>
      <c r="O29" s="4628" t="s">
        <v>4579</v>
      </c>
      <c r="P29" s="4906" t="s">
        <v>4580</v>
      </c>
      <c r="Q29" s="4628" t="s">
        <v>4581</v>
      </c>
      <c r="R29" s="4906" t="s">
        <v>4582</v>
      </c>
      <c r="S29" s="4628" t="s">
        <v>4583</v>
      </c>
      <c r="T29" s="4906" t="s">
        <v>4584</v>
      </c>
      <c r="U29" s="4628" t="s">
        <v>4585</v>
      </c>
      <c r="V29" s="4906" t="s">
        <v>4586</v>
      </c>
      <c r="W29" s="4628" t="s">
        <v>4587</v>
      </c>
      <c r="X29" s="4906" t="s">
        <v>4588</v>
      </c>
      <c r="Y29" s="4628" t="s">
        <v>4589</v>
      </c>
      <c r="Z29" s="4906" t="s">
        <v>4590</v>
      </c>
      <c r="AA29" s="4628" t="s">
        <v>4591</v>
      </c>
      <c r="AB29" s="4906" t="s">
        <v>4592</v>
      </c>
      <c r="AC29" s="4628" t="s">
        <v>4593</v>
      </c>
      <c r="AD29" s="4906" t="s">
        <v>4594</v>
      </c>
      <c r="AE29" s="4628" t="s">
        <v>4595</v>
      </c>
      <c r="AF29" s="4906" t="s">
        <v>4596</v>
      </c>
      <c r="AG29" s="4628" t="s">
        <v>4597</v>
      </c>
      <c r="AH29" s="4906" t="s">
        <v>4598</v>
      </c>
      <c r="AI29" s="4628" t="s">
        <v>4599</v>
      </c>
      <c r="AJ29" s="4906" t="s">
        <v>4600</v>
      </c>
      <c r="AK29" s="4628" t="s">
        <v>4601</v>
      </c>
      <c r="AL29" s="4906" t="s">
        <v>4602</v>
      </c>
      <c r="AM29" s="4907" t="s">
        <v>4603</v>
      </c>
      <c r="AN29" s="4908" t="s">
        <v>4604</v>
      </c>
      <c r="AO29" s="4906" t="s">
        <v>4605</v>
      </c>
      <c r="AP29" s="4906" t="s">
        <v>4606</v>
      </c>
      <c r="AQ29" s="4628" t="s">
        <v>4934</v>
      </c>
      <c r="AR29" s="1864" t="str">
        <f>CC29&amp;CB29&amp;CD29&amp;CE29&amp;CF29&amp;CG29</f>
        <v xml:space="preserve"> * El total de Ingresos debe ser igual a la suma de los Tipos de Estrategia. * Existen Condiciones de Salud que son mayores al Total de Ingreso (N° Personas). </v>
      </c>
      <c r="BW29" s="1936"/>
      <c r="BX29" s="1936"/>
      <c r="BY29" s="1936"/>
      <c r="BZ29" s="1936"/>
      <c r="CB29" s="4108" t="str">
        <f>IF(CN28=1,"* Existen Condiciones de Salud que son mayores al Total de Ingreso (N° Personas). ","")</f>
        <v xml:space="preserve">* Existen Condiciones de Salud que son mayores al Total de Ingreso (N° Personas). </v>
      </c>
      <c r="CC29" s="4108" t="str">
        <f>IF(CN29=1," * El total de Ingresos debe ser igual a la suma de los Tipos de Estrategia. ","")</f>
        <v xml:space="preserve"> * El total de Ingresos debe ser igual a la suma de los Tipos de Estrategia. </v>
      </c>
      <c r="CD29" s="4909" t="str">
        <f>IF(CO29=1,"* Existen Condiciones de Salud en la variable Rehabilitación NNA que son Mayores a los Ingreso (N° Personas). ","")</f>
        <v/>
      </c>
      <c r="CE29" s="4909" t="str">
        <f>IF(CP29=1,"* Existen Condiciones de Salud en la variable Rehabilitación Integral APS que son Mayores a los Ingreso (N° Personas). ","")</f>
        <v/>
      </c>
      <c r="CF29" s="4909" t="str">
        <f>IF(CQ29=1,"* Existen Condiciones de Salud en la variable Otros Rehabilitación que son Mayores a los Ingreso (N° Personas). ","")</f>
        <v/>
      </c>
      <c r="CG29" s="4909" t="str">
        <f>IF(CR29=1,"* Existen Condiciones de Salud en la variable Rehabilitación móvil (rural) que son Mayores a los Ingreso (N° Personas). ","")</f>
        <v/>
      </c>
      <c r="CM29"/>
      <c r="CN29" s="3922">
        <f>IF(SUM(AN29:AQ29)=C29,0,1)</f>
        <v>1</v>
      </c>
      <c r="CO29" s="3922">
        <f>IF($AN29&lt;MAX($AN30:$AN50),1,0)</f>
        <v>0</v>
      </c>
      <c r="CP29" s="3922">
        <f>IF(AO29&lt;MAX(AO30:AO50),1,0)</f>
        <v>0</v>
      </c>
      <c r="CQ29" s="3922">
        <f>IF(AP29&lt;MAX(AP30:AP50),1,0)</f>
        <v>0</v>
      </c>
      <c r="CR29" s="3922">
        <f>IF(AQ29&lt;MAX(AQ30:AQ50),1,0)</f>
        <v>0</v>
      </c>
      <c r="DI29"/>
      <c r="DJ29"/>
    </row>
    <row r="30" spans="1:114" x14ac:dyDescent="0.25">
      <c r="A30" s="5636">
        <v>29101620</v>
      </c>
      <c r="B30" s="4910" t="s">
        <v>3327</v>
      </c>
      <c r="C30" s="361" t="s">
        <v>4567</v>
      </c>
      <c r="D30" s="927" t="s">
        <v>4568</v>
      </c>
      <c r="E30" s="928" t="s">
        <v>4569</v>
      </c>
      <c r="F30" s="326" t="s">
        <v>4570</v>
      </c>
      <c r="G30" s="882" t="s">
        <v>4571</v>
      </c>
      <c r="H30" s="326" t="s">
        <v>4572</v>
      </c>
      <c r="I30" s="142" t="s">
        <v>4573</v>
      </c>
      <c r="J30" s="326" t="s">
        <v>4574</v>
      </c>
      <c r="K30" s="142" t="s">
        <v>4575</v>
      </c>
      <c r="L30" s="326" t="s">
        <v>4576</v>
      </c>
      <c r="M30" s="882" t="s">
        <v>4577</v>
      </c>
      <c r="N30" s="44" t="s">
        <v>4578</v>
      </c>
      <c r="O30" s="142" t="s">
        <v>4579</v>
      </c>
      <c r="P30" s="44" t="s">
        <v>4580</v>
      </c>
      <c r="Q30" s="142" t="s">
        <v>4581</v>
      </c>
      <c r="R30" s="44" t="s">
        <v>4582</v>
      </c>
      <c r="S30" s="142" t="s">
        <v>4583</v>
      </c>
      <c r="T30" s="44" t="s">
        <v>4584</v>
      </c>
      <c r="U30" s="142" t="s">
        <v>4585</v>
      </c>
      <c r="V30" s="44" t="s">
        <v>4586</v>
      </c>
      <c r="W30" s="142" t="s">
        <v>4587</v>
      </c>
      <c r="X30" s="44" t="s">
        <v>4588</v>
      </c>
      <c r="Y30" s="142" t="s">
        <v>4589</v>
      </c>
      <c r="Z30" s="44" t="s">
        <v>4590</v>
      </c>
      <c r="AA30" s="142" t="s">
        <v>4591</v>
      </c>
      <c r="AB30" s="44" t="s">
        <v>4592</v>
      </c>
      <c r="AC30" s="142" t="s">
        <v>4593</v>
      </c>
      <c r="AD30" s="44" t="s">
        <v>4594</v>
      </c>
      <c r="AE30" s="142" t="s">
        <v>4595</v>
      </c>
      <c r="AF30" s="44" t="s">
        <v>4596</v>
      </c>
      <c r="AG30" s="142" t="s">
        <v>4597</v>
      </c>
      <c r="AH30" s="44" t="s">
        <v>4598</v>
      </c>
      <c r="AI30" s="142" t="s">
        <v>4599</v>
      </c>
      <c r="AJ30" s="44" t="s">
        <v>4600</v>
      </c>
      <c r="AK30" s="142" t="s">
        <v>4601</v>
      </c>
      <c r="AL30" s="44" t="s">
        <v>4602</v>
      </c>
      <c r="AM30" s="45" t="s">
        <v>4603</v>
      </c>
      <c r="AN30" s="2035" t="s">
        <v>4604</v>
      </c>
      <c r="AO30" s="44" t="s">
        <v>4605</v>
      </c>
      <c r="AP30" s="44" t="s">
        <v>4606</v>
      </c>
      <c r="AQ30" s="142" t="s">
        <v>4934</v>
      </c>
      <c r="AR30" s="1864" t="str">
        <f>CB30&amp;CC30&amp;CD30&amp;CE30&amp;CF30&amp;CG30</f>
        <v xml:space="preserve"> * El total de Ingresos debe ser igual a la suma de los Tipos de Estrategia. </v>
      </c>
      <c r="BW30" s="1936"/>
      <c r="BX30" s="1936"/>
      <c r="BY30" s="1936"/>
      <c r="BZ30" s="1936"/>
      <c r="CB30" s="1936"/>
      <c r="CC30" s="4108" t="str">
        <f>IF(CN30=1," * El total de Ingresos debe ser igual a la suma de los Tipos de Estrategia. ","")</f>
        <v xml:space="preserve"> * El total de Ingresos debe ser igual a la suma de los Tipos de Estrategia. </v>
      </c>
      <c r="CD30" s="88"/>
      <c r="CE30" s="88"/>
      <c r="CF30" s="88"/>
      <c r="CG30" s="88"/>
      <c r="CM30"/>
      <c r="CN30" s="3922">
        <f t="shared" ref="CN30:CN51" si="17">IF(SUM(AN30:AQ30)=C30,0,1)</f>
        <v>1</v>
      </c>
      <c r="CO30" s="1936"/>
      <c r="CP30" s="1936"/>
      <c r="CQ30" s="1936"/>
      <c r="DI30"/>
      <c r="DJ30"/>
    </row>
    <row r="31" spans="1:114" x14ac:dyDescent="0.25">
      <c r="A31" s="5636">
        <v>29101621</v>
      </c>
      <c r="B31" s="4910" t="s">
        <v>3328</v>
      </c>
      <c r="C31" s="4911" t="s">
        <v>4567</v>
      </c>
      <c r="D31" s="938" t="s">
        <v>4568</v>
      </c>
      <c r="E31" s="939" t="s">
        <v>4569</v>
      </c>
      <c r="F31" s="940" t="s">
        <v>4570</v>
      </c>
      <c r="G31" s="942" t="s">
        <v>4571</v>
      </c>
      <c r="H31" s="940" t="s">
        <v>4572</v>
      </c>
      <c r="I31" s="941" t="s">
        <v>4573</v>
      </c>
      <c r="J31" s="940" t="s">
        <v>4574</v>
      </c>
      <c r="K31" s="941" t="s">
        <v>4575</v>
      </c>
      <c r="L31" s="940" t="s">
        <v>4576</v>
      </c>
      <c r="M31" s="942" t="s">
        <v>4577</v>
      </c>
      <c r="N31" s="943" t="s">
        <v>4578</v>
      </c>
      <c r="O31" s="941" t="s">
        <v>4579</v>
      </c>
      <c r="P31" s="943" t="s">
        <v>4580</v>
      </c>
      <c r="Q31" s="941" t="s">
        <v>4581</v>
      </c>
      <c r="R31" s="943" t="s">
        <v>4582</v>
      </c>
      <c r="S31" s="941" t="s">
        <v>4583</v>
      </c>
      <c r="T31" s="943" t="s">
        <v>4584</v>
      </c>
      <c r="U31" s="941" t="s">
        <v>4585</v>
      </c>
      <c r="V31" s="943" t="s">
        <v>4586</v>
      </c>
      <c r="W31" s="941" t="s">
        <v>4587</v>
      </c>
      <c r="X31" s="943" t="s">
        <v>4588</v>
      </c>
      <c r="Y31" s="941" t="s">
        <v>4589</v>
      </c>
      <c r="Z31" s="943" t="s">
        <v>4590</v>
      </c>
      <c r="AA31" s="941" t="s">
        <v>4591</v>
      </c>
      <c r="AB31" s="943" t="s">
        <v>4592</v>
      </c>
      <c r="AC31" s="941" t="s">
        <v>4593</v>
      </c>
      <c r="AD31" s="943" t="s">
        <v>4594</v>
      </c>
      <c r="AE31" s="941" t="s">
        <v>4595</v>
      </c>
      <c r="AF31" s="943" t="s">
        <v>4596</v>
      </c>
      <c r="AG31" s="941" t="s">
        <v>4597</v>
      </c>
      <c r="AH31" s="943" t="s">
        <v>4598</v>
      </c>
      <c r="AI31" s="941" t="s">
        <v>4599</v>
      </c>
      <c r="AJ31" s="943" t="s">
        <v>4600</v>
      </c>
      <c r="AK31" s="941" t="s">
        <v>4601</v>
      </c>
      <c r="AL31" s="943" t="s">
        <v>4602</v>
      </c>
      <c r="AM31" s="945" t="s">
        <v>4603</v>
      </c>
      <c r="AN31" s="1155" t="s">
        <v>4604</v>
      </c>
      <c r="AO31" s="943" t="s">
        <v>4605</v>
      </c>
      <c r="AP31" s="943" t="s">
        <v>4606</v>
      </c>
      <c r="AQ31" s="941" t="s">
        <v>4934</v>
      </c>
      <c r="AR31" s="1864" t="str">
        <f t="shared" ref="AR31:AR48" si="18">CB31&amp;CC31</f>
        <v xml:space="preserve"> * El total de Ingresos debe ser igual a la suma de los Tipos de Estrategia. </v>
      </c>
      <c r="BW31" s="1936"/>
      <c r="BX31" s="1936"/>
      <c r="BY31" s="1936"/>
      <c r="BZ31" s="1936"/>
      <c r="CB31" s="1936"/>
      <c r="CC31" s="4108" t="str">
        <f t="shared" ref="CC31:CC51" si="19">IF(CN31=1," * El total de Ingresos debe ser igual a la suma de los Tipos de Estrategia. ","")</f>
        <v xml:space="preserve"> * El total de Ingresos debe ser igual a la suma de los Tipos de Estrategia. </v>
      </c>
      <c r="CD31" s="88"/>
      <c r="CE31" s="88"/>
      <c r="CF31" s="88"/>
      <c r="CG31" s="88"/>
      <c r="CM31"/>
      <c r="CN31" s="3922">
        <f t="shared" si="17"/>
        <v>1</v>
      </c>
      <c r="CO31" s="3886"/>
      <c r="CP31" s="3886"/>
      <c r="CQ31" s="3886"/>
      <c r="DI31"/>
      <c r="DJ31"/>
    </row>
    <row r="32" spans="1:114" x14ac:dyDescent="0.25">
      <c r="A32" s="5636">
        <v>29101622</v>
      </c>
      <c r="B32" s="1298" t="s">
        <v>3329</v>
      </c>
      <c r="C32" s="4618" t="s">
        <v>4567</v>
      </c>
      <c r="D32" s="938" t="s">
        <v>4568</v>
      </c>
      <c r="E32" s="939" t="s">
        <v>4569</v>
      </c>
      <c r="F32" s="940" t="s">
        <v>4570</v>
      </c>
      <c r="G32" s="942" t="s">
        <v>4571</v>
      </c>
      <c r="H32" s="940" t="s">
        <v>4572</v>
      </c>
      <c r="I32" s="941" t="s">
        <v>4573</v>
      </c>
      <c r="J32" s="940" t="s">
        <v>4574</v>
      </c>
      <c r="K32" s="941" t="s">
        <v>4575</v>
      </c>
      <c r="L32" s="940" t="s">
        <v>4576</v>
      </c>
      <c r="M32" s="942" t="s">
        <v>4577</v>
      </c>
      <c r="N32" s="943" t="s">
        <v>4578</v>
      </c>
      <c r="O32" s="941" t="s">
        <v>4579</v>
      </c>
      <c r="P32" s="943" t="s">
        <v>4580</v>
      </c>
      <c r="Q32" s="941" t="s">
        <v>4581</v>
      </c>
      <c r="R32" s="943" t="s">
        <v>4582</v>
      </c>
      <c r="S32" s="941" t="s">
        <v>4583</v>
      </c>
      <c r="T32" s="943" t="s">
        <v>4584</v>
      </c>
      <c r="U32" s="941" t="s">
        <v>4585</v>
      </c>
      <c r="V32" s="943" t="s">
        <v>4586</v>
      </c>
      <c r="W32" s="941" t="s">
        <v>4587</v>
      </c>
      <c r="X32" s="943" t="s">
        <v>4588</v>
      </c>
      <c r="Y32" s="941" t="s">
        <v>4589</v>
      </c>
      <c r="Z32" s="943" t="s">
        <v>4590</v>
      </c>
      <c r="AA32" s="941" t="s">
        <v>4591</v>
      </c>
      <c r="AB32" s="943" t="s">
        <v>4592</v>
      </c>
      <c r="AC32" s="941" t="s">
        <v>4593</v>
      </c>
      <c r="AD32" s="943" t="s">
        <v>4594</v>
      </c>
      <c r="AE32" s="941" t="s">
        <v>4595</v>
      </c>
      <c r="AF32" s="943" t="s">
        <v>4596</v>
      </c>
      <c r="AG32" s="941" t="s">
        <v>4597</v>
      </c>
      <c r="AH32" s="943" t="s">
        <v>4598</v>
      </c>
      <c r="AI32" s="941" t="s">
        <v>4599</v>
      </c>
      <c r="AJ32" s="943" t="s">
        <v>4600</v>
      </c>
      <c r="AK32" s="941" t="s">
        <v>4601</v>
      </c>
      <c r="AL32" s="943" t="s">
        <v>4602</v>
      </c>
      <c r="AM32" s="945" t="s">
        <v>4603</v>
      </c>
      <c r="AN32" s="1155" t="s">
        <v>4604</v>
      </c>
      <c r="AO32" s="943" t="s">
        <v>4605</v>
      </c>
      <c r="AP32" s="943" t="s">
        <v>4606</v>
      </c>
      <c r="AQ32" s="941" t="s">
        <v>4934</v>
      </c>
      <c r="AR32" s="1864" t="str">
        <f t="shared" si="18"/>
        <v xml:space="preserve"> * El total de Ingresos debe ser igual a la suma de los Tipos de Estrategia. </v>
      </c>
      <c r="BW32" s="1936"/>
      <c r="BX32" s="1936"/>
      <c r="BY32" s="1936"/>
      <c r="BZ32" s="1936"/>
      <c r="CB32" s="1936"/>
      <c r="CC32" s="4108" t="str">
        <f t="shared" si="19"/>
        <v xml:space="preserve"> * El total de Ingresos debe ser igual a la suma de los Tipos de Estrategia. </v>
      </c>
      <c r="CD32" s="88"/>
      <c r="CE32" s="88"/>
      <c r="CF32" s="88"/>
      <c r="CG32" s="88"/>
      <c r="CM32"/>
      <c r="CN32" s="3922">
        <f t="shared" si="17"/>
        <v>1</v>
      </c>
      <c r="CO32" s="3886"/>
      <c r="CP32" s="3886"/>
      <c r="CQ32" s="3886"/>
      <c r="DI32"/>
      <c r="DJ32"/>
    </row>
    <row r="33" spans="1:114" x14ac:dyDescent="0.25">
      <c r="A33" s="5636">
        <v>29101623</v>
      </c>
      <c r="B33" s="1298" t="s">
        <v>3330</v>
      </c>
      <c r="C33" s="4618" t="s">
        <v>4567</v>
      </c>
      <c r="D33" s="938" t="s">
        <v>4568</v>
      </c>
      <c r="E33" s="939" t="s">
        <v>4569</v>
      </c>
      <c r="F33" s="940" t="s">
        <v>4570</v>
      </c>
      <c r="G33" s="942" t="s">
        <v>4571</v>
      </c>
      <c r="H33" s="940" t="s">
        <v>4572</v>
      </c>
      <c r="I33" s="941" t="s">
        <v>4573</v>
      </c>
      <c r="J33" s="940" t="s">
        <v>4574</v>
      </c>
      <c r="K33" s="941" t="s">
        <v>4575</v>
      </c>
      <c r="L33" s="940" t="s">
        <v>4576</v>
      </c>
      <c r="M33" s="942" t="s">
        <v>4577</v>
      </c>
      <c r="N33" s="943" t="s">
        <v>4578</v>
      </c>
      <c r="O33" s="941" t="s">
        <v>4579</v>
      </c>
      <c r="P33" s="943" t="s">
        <v>4580</v>
      </c>
      <c r="Q33" s="941" t="s">
        <v>4581</v>
      </c>
      <c r="R33" s="943" t="s">
        <v>4582</v>
      </c>
      <c r="S33" s="941" t="s">
        <v>4583</v>
      </c>
      <c r="T33" s="943" t="s">
        <v>4584</v>
      </c>
      <c r="U33" s="941" t="s">
        <v>4585</v>
      </c>
      <c r="V33" s="943" t="s">
        <v>4586</v>
      </c>
      <c r="W33" s="941" t="s">
        <v>4587</v>
      </c>
      <c r="X33" s="943" t="s">
        <v>4588</v>
      </c>
      <c r="Y33" s="941" t="s">
        <v>4589</v>
      </c>
      <c r="Z33" s="943" t="s">
        <v>4590</v>
      </c>
      <c r="AA33" s="941" t="s">
        <v>4591</v>
      </c>
      <c r="AB33" s="943" t="s">
        <v>4592</v>
      </c>
      <c r="AC33" s="941" t="s">
        <v>4593</v>
      </c>
      <c r="AD33" s="943" t="s">
        <v>4594</v>
      </c>
      <c r="AE33" s="941" t="s">
        <v>4595</v>
      </c>
      <c r="AF33" s="943" t="s">
        <v>4596</v>
      </c>
      <c r="AG33" s="941" t="s">
        <v>4597</v>
      </c>
      <c r="AH33" s="943" t="s">
        <v>4598</v>
      </c>
      <c r="AI33" s="941" t="s">
        <v>4599</v>
      </c>
      <c r="AJ33" s="943" t="s">
        <v>4600</v>
      </c>
      <c r="AK33" s="941" t="s">
        <v>4601</v>
      </c>
      <c r="AL33" s="943" t="s">
        <v>4602</v>
      </c>
      <c r="AM33" s="945" t="s">
        <v>4603</v>
      </c>
      <c r="AN33" s="1155" t="s">
        <v>4604</v>
      </c>
      <c r="AO33" s="943" t="s">
        <v>4605</v>
      </c>
      <c r="AP33" s="943" t="s">
        <v>4606</v>
      </c>
      <c r="AQ33" s="941" t="s">
        <v>4934</v>
      </c>
      <c r="AR33" s="1864" t="str">
        <f t="shared" si="18"/>
        <v xml:space="preserve"> * El total de Ingresos debe ser igual a la suma de los Tipos de Estrategia. </v>
      </c>
      <c r="BW33" s="1936"/>
      <c r="BX33" s="1936"/>
      <c r="BY33" s="1936"/>
      <c r="BZ33" s="1936"/>
      <c r="CB33" s="1936"/>
      <c r="CC33" s="4108" t="str">
        <f t="shared" si="19"/>
        <v xml:space="preserve"> * El total de Ingresos debe ser igual a la suma de los Tipos de Estrategia. </v>
      </c>
      <c r="CD33" s="88"/>
      <c r="CE33" s="88"/>
      <c r="CF33" s="88"/>
      <c r="CG33" s="88"/>
      <c r="CM33"/>
      <c r="CN33" s="3922">
        <f t="shared" si="17"/>
        <v>1</v>
      </c>
      <c r="CO33" s="3886"/>
      <c r="CP33" s="3886"/>
      <c r="CQ33" s="3886"/>
      <c r="DI33"/>
      <c r="DJ33"/>
    </row>
    <row r="34" spans="1:114" x14ac:dyDescent="0.25">
      <c r="A34" s="5636">
        <v>29101624</v>
      </c>
      <c r="B34" s="1298" t="s">
        <v>3331</v>
      </c>
      <c r="C34" s="4618" t="s">
        <v>4567</v>
      </c>
      <c r="D34" s="938" t="s">
        <v>4568</v>
      </c>
      <c r="E34" s="939" t="s">
        <v>4569</v>
      </c>
      <c r="F34" s="940" t="s">
        <v>4570</v>
      </c>
      <c r="G34" s="942" t="s">
        <v>4571</v>
      </c>
      <c r="H34" s="940" t="s">
        <v>4572</v>
      </c>
      <c r="I34" s="941" t="s">
        <v>4573</v>
      </c>
      <c r="J34" s="940" t="s">
        <v>4574</v>
      </c>
      <c r="K34" s="941" t="s">
        <v>4575</v>
      </c>
      <c r="L34" s="940" t="s">
        <v>4576</v>
      </c>
      <c r="M34" s="942" t="s">
        <v>4577</v>
      </c>
      <c r="N34" s="943" t="s">
        <v>4578</v>
      </c>
      <c r="O34" s="941" t="s">
        <v>4579</v>
      </c>
      <c r="P34" s="943" t="s">
        <v>4580</v>
      </c>
      <c r="Q34" s="941" t="s">
        <v>4581</v>
      </c>
      <c r="R34" s="943" t="s">
        <v>4582</v>
      </c>
      <c r="S34" s="941" t="s">
        <v>4583</v>
      </c>
      <c r="T34" s="943" t="s">
        <v>4584</v>
      </c>
      <c r="U34" s="941" t="s">
        <v>4585</v>
      </c>
      <c r="V34" s="943" t="s">
        <v>4586</v>
      </c>
      <c r="W34" s="941" t="s">
        <v>4587</v>
      </c>
      <c r="X34" s="943" t="s">
        <v>4588</v>
      </c>
      <c r="Y34" s="941" t="s">
        <v>4589</v>
      </c>
      <c r="Z34" s="943" t="s">
        <v>4590</v>
      </c>
      <c r="AA34" s="941" t="s">
        <v>4591</v>
      </c>
      <c r="AB34" s="943" t="s">
        <v>4592</v>
      </c>
      <c r="AC34" s="941" t="s">
        <v>4593</v>
      </c>
      <c r="AD34" s="943" t="s">
        <v>4594</v>
      </c>
      <c r="AE34" s="941" t="s">
        <v>4595</v>
      </c>
      <c r="AF34" s="943" t="s">
        <v>4596</v>
      </c>
      <c r="AG34" s="941" t="s">
        <v>4597</v>
      </c>
      <c r="AH34" s="943" t="s">
        <v>4598</v>
      </c>
      <c r="AI34" s="941" t="s">
        <v>4599</v>
      </c>
      <c r="AJ34" s="943" t="s">
        <v>4600</v>
      </c>
      <c r="AK34" s="941" t="s">
        <v>4601</v>
      </c>
      <c r="AL34" s="943" t="s">
        <v>4602</v>
      </c>
      <c r="AM34" s="945" t="s">
        <v>4603</v>
      </c>
      <c r="AN34" s="1155" t="s">
        <v>4604</v>
      </c>
      <c r="AO34" s="943" t="s">
        <v>4605</v>
      </c>
      <c r="AP34" s="943" t="s">
        <v>4606</v>
      </c>
      <c r="AQ34" s="941" t="s">
        <v>4934</v>
      </c>
      <c r="AR34" s="1864" t="str">
        <f t="shared" si="18"/>
        <v xml:space="preserve"> * El total de Ingresos debe ser igual a la suma de los Tipos de Estrategia. </v>
      </c>
      <c r="BW34" s="1936"/>
      <c r="BX34" s="1936"/>
      <c r="BY34" s="1936"/>
      <c r="BZ34" s="1936"/>
      <c r="CB34" s="1936"/>
      <c r="CC34" s="4108" t="str">
        <f t="shared" si="19"/>
        <v xml:space="preserve"> * El total de Ingresos debe ser igual a la suma de los Tipos de Estrategia. </v>
      </c>
      <c r="CD34" s="88"/>
      <c r="CE34" s="88"/>
      <c r="CF34" s="88"/>
      <c r="CG34" s="88"/>
      <c r="CM34"/>
      <c r="CN34" s="3922">
        <f t="shared" si="17"/>
        <v>1</v>
      </c>
      <c r="CO34" s="3886"/>
      <c r="CP34" s="3886"/>
      <c r="CQ34" s="3886"/>
      <c r="DI34"/>
      <c r="DJ34"/>
    </row>
    <row r="35" spans="1:114" x14ac:dyDescent="0.25">
      <c r="A35" s="5636">
        <v>29101625</v>
      </c>
      <c r="B35" s="1298" t="s">
        <v>3332</v>
      </c>
      <c r="C35" s="4618" t="s">
        <v>4567</v>
      </c>
      <c r="D35" s="938" t="s">
        <v>4568</v>
      </c>
      <c r="E35" s="939" t="s">
        <v>4569</v>
      </c>
      <c r="F35" s="940" t="s">
        <v>4570</v>
      </c>
      <c r="G35" s="942" t="s">
        <v>4571</v>
      </c>
      <c r="H35" s="940" t="s">
        <v>4572</v>
      </c>
      <c r="I35" s="941" t="s">
        <v>4573</v>
      </c>
      <c r="J35" s="940" t="s">
        <v>4574</v>
      </c>
      <c r="K35" s="941" t="s">
        <v>4575</v>
      </c>
      <c r="L35" s="940" t="s">
        <v>4576</v>
      </c>
      <c r="M35" s="942" t="s">
        <v>4577</v>
      </c>
      <c r="N35" s="943" t="s">
        <v>4578</v>
      </c>
      <c r="O35" s="941" t="s">
        <v>4579</v>
      </c>
      <c r="P35" s="943" t="s">
        <v>4580</v>
      </c>
      <c r="Q35" s="941" t="s">
        <v>4581</v>
      </c>
      <c r="R35" s="943" t="s">
        <v>4582</v>
      </c>
      <c r="S35" s="941" t="s">
        <v>4583</v>
      </c>
      <c r="T35" s="943" t="s">
        <v>4584</v>
      </c>
      <c r="U35" s="941" t="s">
        <v>4585</v>
      </c>
      <c r="V35" s="943" t="s">
        <v>4586</v>
      </c>
      <c r="W35" s="941" t="s">
        <v>4587</v>
      </c>
      <c r="X35" s="943" t="s">
        <v>4588</v>
      </c>
      <c r="Y35" s="941" t="s">
        <v>4589</v>
      </c>
      <c r="Z35" s="943" t="s">
        <v>4590</v>
      </c>
      <c r="AA35" s="941" t="s">
        <v>4591</v>
      </c>
      <c r="AB35" s="943" t="s">
        <v>4592</v>
      </c>
      <c r="AC35" s="941" t="s">
        <v>4593</v>
      </c>
      <c r="AD35" s="943" t="s">
        <v>4594</v>
      </c>
      <c r="AE35" s="941" t="s">
        <v>4595</v>
      </c>
      <c r="AF35" s="943" t="s">
        <v>4596</v>
      </c>
      <c r="AG35" s="941" t="s">
        <v>4597</v>
      </c>
      <c r="AH35" s="943" t="s">
        <v>4598</v>
      </c>
      <c r="AI35" s="941" t="s">
        <v>4599</v>
      </c>
      <c r="AJ35" s="943" t="s">
        <v>4600</v>
      </c>
      <c r="AK35" s="941" t="s">
        <v>4601</v>
      </c>
      <c r="AL35" s="943" t="s">
        <v>4602</v>
      </c>
      <c r="AM35" s="945" t="s">
        <v>4603</v>
      </c>
      <c r="AN35" s="1155" t="s">
        <v>4604</v>
      </c>
      <c r="AO35" s="943" t="s">
        <v>4605</v>
      </c>
      <c r="AP35" s="943" t="s">
        <v>4606</v>
      </c>
      <c r="AQ35" s="941" t="s">
        <v>4934</v>
      </c>
      <c r="AR35" s="1864" t="str">
        <f t="shared" si="18"/>
        <v xml:space="preserve"> * El total de Ingresos debe ser igual a la suma de los Tipos de Estrategia. </v>
      </c>
      <c r="BW35" s="1936"/>
      <c r="BX35" s="1936"/>
      <c r="BY35" s="1936"/>
      <c r="BZ35" s="1936"/>
      <c r="CB35" s="1936"/>
      <c r="CC35" s="4108" t="str">
        <f t="shared" si="19"/>
        <v xml:space="preserve"> * El total de Ingresos debe ser igual a la suma de los Tipos de Estrategia. </v>
      </c>
      <c r="CD35" s="88"/>
      <c r="CE35" s="88"/>
      <c r="CF35" s="88"/>
      <c r="CG35" s="88"/>
      <c r="CM35"/>
      <c r="CN35" s="3922">
        <f t="shared" si="17"/>
        <v>1</v>
      </c>
      <c r="CO35" s="3886"/>
      <c r="CP35" s="3886"/>
      <c r="CQ35" s="3886"/>
      <c r="DI35"/>
      <c r="DJ35"/>
    </row>
    <row r="36" spans="1:114" x14ac:dyDescent="0.25">
      <c r="A36" s="5636">
        <v>29101626</v>
      </c>
      <c r="B36" s="4912" t="s">
        <v>3333</v>
      </c>
      <c r="C36" s="4913" t="s">
        <v>4567</v>
      </c>
      <c r="D36" s="938" t="s">
        <v>4568</v>
      </c>
      <c r="E36" s="939" t="s">
        <v>4569</v>
      </c>
      <c r="F36" s="940" t="s">
        <v>4570</v>
      </c>
      <c r="G36" s="942" t="s">
        <v>4571</v>
      </c>
      <c r="H36" s="940" t="s">
        <v>4572</v>
      </c>
      <c r="I36" s="941" t="s">
        <v>4573</v>
      </c>
      <c r="J36" s="940" t="s">
        <v>4574</v>
      </c>
      <c r="K36" s="941" t="s">
        <v>4575</v>
      </c>
      <c r="L36" s="940" t="s">
        <v>4576</v>
      </c>
      <c r="M36" s="942" t="s">
        <v>4577</v>
      </c>
      <c r="N36" s="943" t="s">
        <v>4578</v>
      </c>
      <c r="O36" s="941" t="s">
        <v>4579</v>
      </c>
      <c r="P36" s="943" t="s">
        <v>4580</v>
      </c>
      <c r="Q36" s="941" t="s">
        <v>4581</v>
      </c>
      <c r="R36" s="943" t="s">
        <v>4582</v>
      </c>
      <c r="S36" s="941" t="s">
        <v>4583</v>
      </c>
      <c r="T36" s="943" t="s">
        <v>4584</v>
      </c>
      <c r="U36" s="941" t="s">
        <v>4585</v>
      </c>
      <c r="V36" s="943" t="s">
        <v>4586</v>
      </c>
      <c r="W36" s="941" t="s">
        <v>4587</v>
      </c>
      <c r="X36" s="943" t="s">
        <v>4588</v>
      </c>
      <c r="Y36" s="941" t="s">
        <v>4589</v>
      </c>
      <c r="Z36" s="943" t="s">
        <v>4590</v>
      </c>
      <c r="AA36" s="941" t="s">
        <v>4591</v>
      </c>
      <c r="AB36" s="943" t="s">
        <v>4592</v>
      </c>
      <c r="AC36" s="941" t="s">
        <v>4593</v>
      </c>
      <c r="AD36" s="943" t="s">
        <v>4594</v>
      </c>
      <c r="AE36" s="941" t="s">
        <v>4595</v>
      </c>
      <c r="AF36" s="943" t="s">
        <v>4596</v>
      </c>
      <c r="AG36" s="941" t="s">
        <v>4597</v>
      </c>
      <c r="AH36" s="943" t="s">
        <v>4598</v>
      </c>
      <c r="AI36" s="941" t="s">
        <v>4599</v>
      </c>
      <c r="AJ36" s="943" t="s">
        <v>4600</v>
      </c>
      <c r="AK36" s="941" t="s">
        <v>4601</v>
      </c>
      <c r="AL36" s="943" t="s">
        <v>4602</v>
      </c>
      <c r="AM36" s="945" t="s">
        <v>4603</v>
      </c>
      <c r="AN36" s="1155" t="s">
        <v>4604</v>
      </c>
      <c r="AO36" s="943" t="s">
        <v>4605</v>
      </c>
      <c r="AP36" s="943" t="s">
        <v>4606</v>
      </c>
      <c r="AQ36" s="941" t="s">
        <v>4934</v>
      </c>
      <c r="AR36" s="1864" t="str">
        <f t="shared" si="18"/>
        <v xml:space="preserve"> * El total de Ingresos debe ser igual a la suma de los Tipos de Estrategia. </v>
      </c>
      <c r="BW36" s="1936"/>
      <c r="BX36" s="1936"/>
      <c r="BY36" s="1936"/>
      <c r="BZ36" s="1936"/>
      <c r="CB36" s="1936"/>
      <c r="CC36" s="4108" t="str">
        <f t="shared" si="19"/>
        <v xml:space="preserve"> * El total de Ingresos debe ser igual a la suma de los Tipos de Estrategia. </v>
      </c>
      <c r="CD36" s="88"/>
      <c r="CE36" s="88"/>
      <c r="CF36" s="88"/>
      <c r="CG36" s="88"/>
      <c r="CM36"/>
      <c r="CN36" s="3922">
        <f t="shared" si="17"/>
        <v>1</v>
      </c>
      <c r="CO36" s="3886"/>
      <c r="CP36" s="3886"/>
      <c r="CQ36" s="3886"/>
      <c r="DI36"/>
      <c r="DJ36"/>
    </row>
    <row r="37" spans="1:114" x14ac:dyDescent="0.25">
      <c r="A37" s="5636" t="s">
        <v>6037</v>
      </c>
      <c r="B37" s="1778" t="s">
        <v>3334</v>
      </c>
      <c r="C37" s="937" t="s">
        <v>4567</v>
      </c>
      <c r="D37" s="938" t="s">
        <v>4568</v>
      </c>
      <c r="E37" s="939" t="s">
        <v>4569</v>
      </c>
      <c r="F37" s="940" t="s">
        <v>4570</v>
      </c>
      <c r="G37" s="942" t="s">
        <v>4571</v>
      </c>
      <c r="H37" s="940" t="s">
        <v>4572</v>
      </c>
      <c r="I37" s="941" t="s">
        <v>4573</v>
      </c>
      <c r="J37" s="940" t="s">
        <v>4574</v>
      </c>
      <c r="K37" s="941" t="s">
        <v>4575</v>
      </c>
      <c r="L37" s="940" t="s">
        <v>4576</v>
      </c>
      <c r="M37" s="942" t="s">
        <v>4577</v>
      </c>
      <c r="N37" s="943" t="s">
        <v>4578</v>
      </c>
      <c r="O37" s="941" t="s">
        <v>4579</v>
      </c>
      <c r="P37" s="943" t="s">
        <v>4580</v>
      </c>
      <c r="Q37" s="941" t="s">
        <v>4581</v>
      </c>
      <c r="R37" s="943" t="s">
        <v>4582</v>
      </c>
      <c r="S37" s="941" t="s">
        <v>4583</v>
      </c>
      <c r="T37" s="943" t="s">
        <v>4584</v>
      </c>
      <c r="U37" s="941" t="s">
        <v>4585</v>
      </c>
      <c r="V37" s="943" t="s">
        <v>4586</v>
      </c>
      <c r="W37" s="941" t="s">
        <v>4587</v>
      </c>
      <c r="X37" s="943" t="s">
        <v>4588</v>
      </c>
      <c r="Y37" s="941" t="s">
        <v>4589</v>
      </c>
      <c r="Z37" s="943" t="s">
        <v>4590</v>
      </c>
      <c r="AA37" s="941" t="s">
        <v>4591</v>
      </c>
      <c r="AB37" s="943" t="s">
        <v>4592</v>
      </c>
      <c r="AC37" s="941" t="s">
        <v>4593</v>
      </c>
      <c r="AD37" s="943" t="s">
        <v>4594</v>
      </c>
      <c r="AE37" s="941" t="s">
        <v>4595</v>
      </c>
      <c r="AF37" s="943" t="s">
        <v>4596</v>
      </c>
      <c r="AG37" s="941" t="s">
        <v>4597</v>
      </c>
      <c r="AH37" s="943" t="s">
        <v>4598</v>
      </c>
      <c r="AI37" s="941" t="s">
        <v>4599</v>
      </c>
      <c r="AJ37" s="943" t="s">
        <v>4600</v>
      </c>
      <c r="AK37" s="941" t="s">
        <v>4601</v>
      </c>
      <c r="AL37" s="943" t="s">
        <v>4602</v>
      </c>
      <c r="AM37" s="945" t="s">
        <v>4603</v>
      </c>
      <c r="AN37" s="1155" t="s">
        <v>4604</v>
      </c>
      <c r="AO37" s="943" t="s">
        <v>4605</v>
      </c>
      <c r="AP37" s="943" t="s">
        <v>4606</v>
      </c>
      <c r="AQ37" s="941" t="s">
        <v>4934</v>
      </c>
      <c r="AR37" s="1864" t="str">
        <f t="shared" si="18"/>
        <v xml:space="preserve"> * El total de Ingresos debe ser igual a la suma de los Tipos de Estrategia. </v>
      </c>
      <c r="BW37" s="1936"/>
      <c r="BX37" s="1936"/>
      <c r="BY37" s="1936"/>
      <c r="BZ37" s="1936"/>
      <c r="CB37" s="1936"/>
      <c r="CC37" s="4108" t="str">
        <f t="shared" si="19"/>
        <v xml:space="preserve"> * El total de Ingresos debe ser igual a la suma de los Tipos de Estrategia. </v>
      </c>
      <c r="CD37" s="88"/>
      <c r="CE37" s="88"/>
      <c r="CF37" s="88"/>
      <c r="CG37" s="88"/>
      <c r="CM37"/>
      <c r="CN37" s="3922">
        <f t="shared" si="17"/>
        <v>1</v>
      </c>
      <c r="CO37" s="3886"/>
      <c r="CP37" s="3886"/>
      <c r="CQ37" s="3886"/>
      <c r="DI37"/>
      <c r="DJ37"/>
    </row>
    <row r="38" spans="1:114" x14ac:dyDescent="0.25">
      <c r="A38" s="5636" t="s">
        <v>6038</v>
      </c>
      <c r="B38" s="1775" t="s">
        <v>3335</v>
      </c>
      <c r="C38" s="950" t="s">
        <v>4567</v>
      </c>
      <c r="D38" s="938" t="s">
        <v>4568</v>
      </c>
      <c r="E38" s="939" t="s">
        <v>4569</v>
      </c>
      <c r="F38" s="940" t="s">
        <v>4570</v>
      </c>
      <c r="G38" s="942" t="s">
        <v>4571</v>
      </c>
      <c r="H38" s="940" t="s">
        <v>4572</v>
      </c>
      <c r="I38" s="941" t="s">
        <v>4573</v>
      </c>
      <c r="J38" s="940" t="s">
        <v>4574</v>
      </c>
      <c r="K38" s="941" t="s">
        <v>4575</v>
      </c>
      <c r="L38" s="940" t="s">
        <v>4576</v>
      </c>
      <c r="M38" s="942" t="s">
        <v>4577</v>
      </c>
      <c r="N38" s="943" t="s">
        <v>4578</v>
      </c>
      <c r="O38" s="941" t="s">
        <v>4579</v>
      </c>
      <c r="P38" s="943" t="s">
        <v>4580</v>
      </c>
      <c r="Q38" s="941" t="s">
        <v>4581</v>
      </c>
      <c r="R38" s="943" t="s">
        <v>4582</v>
      </c>
      <c r="S38" s="941" t="s">
        <v>4583</v>
      </c>
      <c r="T38" s="943" t="s">
        <v>4584</v>
      </c>
      <c r="U38" s="941" t="s">
        <v>4585</v>
      </c>
      <c r="V38" s="943" t="s">
        <v>4586</v>
      </c>
      <c r="W38" s="941" t="s">
        <v>4587</v>
      </c>
      <c r="X38" s="943" t="s">
        <v>4588</v>
      </c>
      <c r="Y38" s="941" t="s">
        <v>4589</v>
      </c>
      <c r="Z38" s="943" t="s">
        <v>4590</v>
      </c>
      <c r="AA38" s="941" t="s">
        <v>4591</v>
      </c>
      <c r="AB38" s="943" t="s">
        <v>4592</v>
      </c>
      <c r="AC38" s="941" t="s">
        <v>4593</v>
      </c>
      <c r="AD38" s="943" t="s">
        <v>4594</v>
      </c>
      <c r="AE38" s="941" t="s">
        <v>4595</v>
      </c>
      <c r="AF38" s="943" t="s">
        <v>4596</v>
      </c>
      <c r="AG38" s="941" t="s">
        <v>4597</v>
      </c>
      <c r="AH38" s="943" t="s">
        <v>4598</v>
      </c>
      <c r="AI38" s="941" t="s">
        <v>4599</v>
      </c>
      <c r="AJ38" s="943" t="s">
        <v>4600</v>
      </c>
      <c r="AK38" s="941" t="s">
        <v>4601</v>
      </c>
      <c r="AL38" s="943" t="s">
        <v>4602</v>
      </c>
      <c r="AM38" s="945" t="s">
        <v>4603</v>
      </c>
      <c r="AN38" s="1155" t="s">
        <v>4604</v>
      </c>
      <c r="AO38" s="943" t="s">
        <v>4605</v>
      </c>
      <c r="AP38" s="943" t="s">
        <v>4606</v>
      </c>
      <c r="AQ38" s="941" t="s">
        <v>4934</v>
      </c>
      <c r="AR38" s="1864" t="str">
        <f t="shared" si="18"/>
        <v xml:space="preserve"> * El total de Ingresos debe ser igual a la suma de los Tipos de Estrategia. </v>
      </c>
      <c r="BW38" s="1936"/>
      <c r="BX38" s="1936"/>
      <c r="BY38" s="1936"/>
      <c r="BZ38" s="1936"/>
      <c r="CB38" s="1936"/>
      <c r="CC38" s="4108" t="str">
        <f t="shared" si="19"/>
        <v xml:space="preserve"> * El total de Ingresos debe ser igual a la suma de los Tipos de Estrategia. </v>
      </c>
      <c r="CD38" s="88"/>
      <c r="CE38" s="88"/>
      <c r="CF38" s="88"/>
      <c r="CG38" s="88"/>
      <c r="CM38"/>
      <c r="CN38" s="3922">
        <f t="shared" si="17"/>
        <v>1</v>
      </c>
      <c r="CO38" s="3886"/>
      <c r="CP38" s="3886"/>
      <c r="CQ38" s="3886"/>
      <c r="DI38"/>
      <c r="DJ38"/>
    </row>
    <row r="39" spans="1:114" x14ac:dyDescent="0.25">
      <c r="A39" s="5824">
        <v>28010600</v>
      </c>
      <c r="B39" s="1778" t="s">
        <v>3336</v>
      </c>
      <c r="C39" s="937" t="s">
        <v>4567</v>
      </c>
      <c r="D39" s="938" t="s">
        <v>4568</v>
      </c>
      <c r="E39" s="939" t="s">
        <v>4569</v>
      </c>
      <c r="F39" s="940" t="s">
        <v>4570</v>
      </c>
      <c r="G39" s="942" t="s">
        <v>4571</v>
      </c>
      <c r="H39" s="940" t="s">
        <v>4572</v>
      </c>
      <c r="I39" s="941" t="s">
        <v>4573</v>
      </c>
      <c r="J39" s="940" t="s">
        <v>4574</v>
      </c>
      <c r="K39" s="941" t="s">
        <v>4575</v>
      </c>
      <c r="L39" s="940" t="s">
        <v>4576</v>
      </c>
      <c r="M39" s="942" t="s">
        <v>4577</v>
      </c>
      <c r="N39" s="943" t="s">
        <v>4578</v>
      </c>
      <c r="O39" s="941" t="s">
        <v>4579</v>
      </c>
      <c r="P39" s="943" t="s">
        <v>4580</v>
      </c>
      <c r="Q39" s="941" t="s">
        <v>4581</v>
      </c>
      <c r="R39" s="943" t="s">
        <v>4582</v>
      </c>
      <c r="S39" s="941" t="s">
        <v>4583</v>
      </c>
      <c r="T39" s="943" t="s">
        <v>4584</v>
      </c>
      <c r="U39" s="941" t="s">
        <v>4585</v>
      </c>
      <c r="V39" s="943" t="s">
        <v>4586</v>
      </c>
      <c r="W39" s="941" t="s">
        <v>4587</v>
      </c>
      <c r="X39" s="943" t="s">
        <v>4588</v>
      </c>
      <c r="Y39" s="941" t="s">
        <v>4589</v>
      </c>
      <c r="Z39" s="943" t="s">
        <v>4590</v>
      </c>
      <c r="AA39" s="941" t="s">
        <v>4591</v>
      </c>
      <c r="AB39" s="943" t="s">
        <v>4592</v>
      </c>
      <c r="AC39" s="941" t="s">
        <v>4593</v>
      </c>
      <c r="AD39" s="943" t="s">
        <v>4594</v>
      </c>
      <c r="AE39" s="941" t="s">
        <v>4595</v>
      </c>
      <c r="AF39" s="943" t="s">
        <v>4596</v>
      </c>
      <c r="AG39" s="941" t="s">
        <v>4597</v>
      </c>
      <c r="AH39" s="943" t="s">
        <v>4598</v>
      </c>
      <c r="AI39" s="941" t="s">
        <v>4599</v>
      </c>
      <c r="AJ39" s="943" t="s">
        <v>4600</v>
      </c>
      <c r="AK39" s="941" t="s">
        <v>4601</v>
      </c>
      <c r="AL39" s="943" t="s">
        <v>4602</v>
      </c>
      <c r="AM39" s="945" t="s">
        <v>4603</v>
      </c>
      <c r="AN39" s="1155" t="s">
        <v>4604</v>
      </c>
      <c r="AO39" s="943" t="s">
        <v>4605</v>
      </c>
      <c r="AP39" s="943" t="s">
        <v>4606</v>
      </c>
      <c r="AQ39" s="941" t="s">
        <v>4934</v>
      </c>
      <c r="AR39" s="1864" t="str">
        <f t="shared" si="18"/>
        <v xml:space="preserve"> * El total de Ingresos debe ser igual a la suma de los Tipos de Estrategia. </v>
      </c>
      <c r="BW39" s="1936"/>
      <c r="BX39" s="1936"/>
      <c r="BY39" s="1936"/>
      <c r="BZ39" s="1936"/>
      <c r="CB39" s="1936"/>
      <c r="CC39" s="4108" t="str">
        <f t="shared" si="19"/>
        <v xml:space="preserve"> * El total de Ingresos debe ser igual a la suma de los Tipos de Estrategia. </v>
      </c>
      <c r="CD39" s="88"/>
      <c r="CE39" s="88"/>
      <c r="CF39" s="88"/>
      <c r="CG39" s="88"/>
      <c r="CM39"/>
      <c r="CN39" s="3922">
        <f t="shared" si="17"/>
        <v>1</v>
      </c>
      <c r="CO39" s="3886"/>
      <c r="CP39" s="3886"/>
      <c r="CQ39" s="3886"/>
      <c r="DI39"/>
      <c r="DJ39"/>
    </row>
    <row r="40" spans="1:114" x14ac:dyDescent="0.25">
      <c r="A40" s="5636" t="s">
        <v>6039</v>
      </c>
      <c r="B40" s="1778" t="s">
        <v>3337</v>
      </c>
      <c r="C40" s="937" t="s">
        <v>4567</v>
      </c>
      <c r="D40" s="938" t="s">
        <v>4568</v>
      </c>
      <c r="E40" s="939" t="s">
        <v>4569</v>
      </c>
      <c r="F40" s="940" t="s">
        <v>4570</v>
      </c>
      <c r="G40" s="942" t="s">
        <v>4571</v>
      </c>
      <c r="H40" s="940" t="s">
        <v>4572</v>
      </c>
      <c r="I40" s="941" t="s">
        <v>4573</v>
      </c>
      <c r="J40" s="940" t="s">
        <v>4574</v>
      </c>
      <c r="K40" s="941" t="s">
        <v>4575</v>
      </c>
      <c r="L40" s="940" t="s">
        <v>4576</v>
      </c>
      <c r="M40" s="942" t="s">
        <v>4577</v>
      </c>
      <c r="N40" s="943" t="s">
        <v>4578</v>
      </c>
      <c r="O40" s="941" t="s">
        <v>4579</v>
      </c>
      <c r="P40" s="943" t="s">
        <v>4580</v>
      </c>
      <c r="Q40" s="941" t="s">
        <v>4581</v>
      </c>
      <c r="R40" s="943" t="s">
        <v>4582</v>
      </c>
      <c r="S40" s="941" t="s">
        <v>4583</v>
      </c>
      <c r="T40" s="943" t="s">
        <v>4584</v>
      </c>
      <c r="U40" s="941" t="s">
        <v>4585</v>
      </c>
      <c r="V40" s="943" t="s">
        <v>4586</v>
      </c>
      <c r="W40" s="941" t="s">
        <v>4587</v>
      </c>
      <c r="X40" s="943" t="s">
        <v>4588</v>
      </c>
      <c r="Y40" s="941" t="s">
        <v>4589</v>
      </c>
      <c r="Z40" s="943" t="s">
        <v>4590</v>
      </c>
      <c r="AA40" s="941" t="s">
        <v>4591</v>
      </c>
      <c r="AB40" s="943" t="s">
        <v>4592</v>
      </c>
      <c r="AC40" s="941" t="s">
        <v>4593</v>
      </c>
      <c r="AD40" s="943" t="s">
        <v>4594</v>
      </c>
      <c r="AE40" s="941" t="s">
        <v>4595</v>
      </c>
      <c r="AF40" s="943" t="s">
        <v>4596</v>
      </c>
      <c r="AG40" s="941" t="s">
        <v>4597</v>
      </c>
      <c r="AH40" s="943" t="s">
        <v>4598</v>
      </c>
      <c r="AI40" s="941" t="s">
        <v>4599</v>
      </c>
      <c r="AJ40" s="943" t="s">
        <v>4600</v>
      </c>
      <c r="AK40" s="941" t="s">
        <v>4601</v>
      </c>
      <c r="AL40" s="943" t="s">
        <v>4602</v>
      </c>
      <c r="AM40" s="945" t="s">
        <v>4603</v>
      </c>
      <c r="AN40" s="1155" t="s">
        <v>4604</v>
      </c>
      <c r="AO40" s="943" t="s">
        <v>4605</v>
      </c>
      <c r="AP40" s="943" t="s">
        <v>4606</v>
      </c>
      <c r="AQ40" s="941" t="s">
        <v>4934</v>
      </c>
      <c r="AR40" s="1864" t="str">
        <f t="shared" si="18"/>
        <v xml:space="preserve"> * El total de Ingresos debe ser igual a la suma de los Tipos de Estrategia. </v>
      </c>
      <c r="BW40" s="1936"/>
      <c r="BX40" s="1936"/>
      <c r="BY40" s="1936"/>
      <c r="BZ40" s="1936"/>
      <c r="CB40" s="1936"/>
      <c r="CC40" s="4108" t="str">
        <f t="shared" si="19"/>
        <v xml:space="preserve"> * El total de Ingresos debe ser igual a la suma de los Tipos de Estrategia. </v>
      </c>
      <c r="CD40" s="88"/>
      <c r="CE40" s="88"/>
      <c r="CF40" s="88"/>
      <c r="CG40" s="88"/>
      <c r="CM40"/>
      <c r="CN40" s="3922">
        <f t="shared" si="17"/>
        <v>1</v>
      </c>
      <c r="CO40" s="3886"/>
      <c r="CP40" s="3886"/>
      <c r="CQ40" s="3886"/>
      <c r="DI40"/>
      <c r="DJ40"/>
    </row>
    <row r="41" spans="1:114" x14ac:dyDescent="0.25">
      <c r="A41" s="5636">
        <v>29101627</v>
      </c>
      <c r="B41" s="4560" t="s">
        <v>3338</v>
      </c>
      <c r="C41" s="4914" t="s">
        <v>4567</v>
      </c>
      <c r="D41" s="938" t="s">
        <v>4568</v>
      </c>
      <c r="E41" s="939" t="s">
        <v>4569</v>
      </c>
      <c r="F41" s="940" t="s">
        <v>4570</v>
      </c>
      <c r="G41" s="942" t="s">
        <v>4571</v>
      </c>
      <c r="H41" s="940" t="s">
        <v>4572</v>
      </c>
      <c r="I41" s="941" t="s">
        <v>4573</v>
      </c>
      <c r="J41" s="940" t="s">
        <v>4574</v>
      </c>
      <c r="K41" s="941" t="s">
        <v>4575</v>
      </c>
      <c r="L41" s="940" t="s">
        <v>4576</v>
      </c>
      <c r="M41" s="942" t="s">
        <v>4577</v>
      </c>
      <c r="N41" s="943" t="s">
        <v>4578</v>
      </c>
      <c r="O41" s="941" t="s">
        <v>4579</v>
      </c>
      <c r="P41" s="943" t="s">
        <v>4580</v>
      </c>
      <c r="Q41" s="941" t="s">
        <v>4581</v>
      </c>
      <c r="R41" s="943" t="s">
        <v>4582</v>
      </c>
      <c r="S41" s="941" t="s">
        <v>4583</v>
      </c>
      <c r="T41" s="943" t="s">
        <v>4584</v>
      </c>
      <c r="U41" s="941" t="s">
        <v>4585</v>
      </c>
      <c r="V41" s="943" t="s">
        <v>4586</v>
      </c>
      <c r="W41" s="941" t="s">
        <v>4587</v>
      </c>
      <c r="X41" s="943" t="s">
        <v>4588</v>
      </c>
      <c r="Y41" s="941" t="s">
        <v>4589</v>
      </c>
      <c r="Z41" s="943" t="s">
        <v>4590</v>
      </c>
      <c r="AA41" s="941" t="s">
        <v>4591</v>
      </c>
      <c r="AB41" s="943" t="s">
        <v>4592</v>
      </c>
      <c r="AC41" s="941" t="s">
        <v>4593</v>
      </c>
      <c r="AD41" s="943" t="s">
        <v>4594</v>
      </c>
      <c r="AE41" s="941" t="s">
        <v>4595</v>
      </c>
      <c r="AF41" s="943" t="s">
        <v>4596</v>
      </c>
      <c r="AG41" s="941" t="s">
        <v>4597</v>
      </c>
      <c r="AH41" s="943" t="s">
        <v>4598</v>
      </c>
      <c r="AI41" s="941" t="s">
        <v>4599</v>
      </c>
      <c r="AJ41" s="943" t="s">
        <v>4600</v>
      </c>
      <c r="AK41" s="941" t="s">
        <v>4601</v>
      </c>
      <c r="AL41" s="943" t="s">
        <v>4602</v>
      </c>
      <c r="AM41" s="945" t="s">
        <v>4603</v>
      </c>
      <c r="AN41" s="1155" t="s">
        <v>4604</v>
      </c>
      <c r="AO41" s="943" t="s">
        <v>4605</v>
      </c>
      <c r="AP41" s="943" t="s">
        <v>4606</v>
      </c>
      <c r="AQ41" s="941" t="s">
        <v>4934</v>
      </c>
      <c r="AR41" s="1864" t="str">
        <f t="shared" si="18"/>
        <v xml:space="preserve"> * El total de Ingresos debe ser igual a la suma de los Tipos de Estrategia. </v>
      </c>
      <c r="BW41" s="1936"/>
      <c r="BX41" s="1936"/>
      <c r="BY41" s="1936"/>
      <c r="BZ41" s="1936"/>
      <c r="CB41" s="1936"/>
      <c r="CC41" s="4108" t="str">
        <f t="shared" si="19"/>
        <v xml:space="preserve"> * El total de Ingresos debe ser igual a la suma de los Tipos de Estrategia. </v>
      </c>
      <c r="CD41" s="88"/>
      <c r="CE41" s="88"/>
      <c r="CF41" s="88"/>
      <c r="CG41" s="88"/>
      <c r="CM41"/>
      <c r="CN41" s="3922">
        <f t="shared" si="17"/>
        <v>1</v>
      </c>
      <c r="CO41" s="3886"/>
      <c r="CP41" s="3886"/>
      <c r="CQ41" s="3886"/>
      <c r="DI41"/>
      <c r="DJ41"/>
    </row>
    <row r="42" spans="1:114" x14ac:dyDescent="0.25">
      <c r="A42" s="5636">
        <v>29101628</v>
      </c>
      <c r="B42" s="4912" t="s">
        <v>3339</v>
      </c>
      <c r="C42" s="4913" t="s">
        <v>4567</v>
      </c>
      <c r="D42" s="171" t="s">
        <v>4568</v>
      </c>
      <c r="E42" s="204" t="s">
        <v>4569</v>
      </c>
      <c r="F42" s="940" t="s">
        <v>4570</v>
      </c>
      <c r="G42" s="942" t="s">
        <v>4571</v>
      </c>
      <c r="H42" s="940" t="s">
        <v>4572</v>
      </c>
      <c r="I42" s="942" t="s">
        <v>4573</v>
      </c>
      <c r="J42" s="940" t="s">
        <v>4574</v>
      </c>
      <c r="K42" s="941" t="s">
        <v>4575</v>
      </c>
      <c r="L42" s="940" t="s">
        <v>4576</v>
      </c>
      <c r="M42" s="942" t="s">
        <v>4577</v>
      </c>
      <c r="N42" s="943" t="s">
        <v>4578</v>
      </c>
      <c r="O42" s="942" t="s">
        <v>4579</v>
      </c>
      <c r="P42" s="948" t="s">
        <v>4580</v>
      </c>
      <c r="Q42" s="942" t="s">
        <v>4581</v>
      </c>
      <c r="R42" s="948" t="s">
        <v>4582</v>
      </c>
      <c r="S42" s="942" t="s">
        <v>4583</v>
      </c>
      <c r="T42" s="948" t="s">
        <v>4584</v>
      </c>
      <c r="U42" s="942" t="s">
        <v>4585</v>
      </c>
      <c r="V42" s="948" t="s">
        <v>4586</v>
      </c>
      <c r="W42" s="942" t="s">
        <v>4587</v>
      </c>
      <c r="X42" s="948" t="s">
        <v>4588</v>
      </c>
      <c r="Y42" s="942" t="s">
        <v>4589</v>
      </c>
      <c r="Z42" s="948" t="s">
        <v>4590</v>
      </c>
      <c r="AA42" s="942" t="s">
        <v>4591</v>
      </c>
      <c r="AB42" s="948" t="s">
        <v>4592</v>
      </c>
      <c r="AC42" s="942" t="s">
        <v>4593</v>
      </c>
      <c r="AD42" s="948" t="s">
        <v>4594</v>
      </c>
      <c r="AE42" s="942" t="s">
        <v>4595</v>
      </c>
      <c r="AF42" s="948" t="s">
        <v>4596</v>
      </c>
      <c r="AG42" s="942" t="s">
        <v>4597</v>
      </c>
      <c r="AH42" s="948" t="s">
        <v>4598</v>
      </c>
      <c r="AI42" s="942" t="s">
        <v>4599</v>
      </c>
      <c r="AJ42" s="948" t="s">
        <v>4600</v>
      </c>
      <c r="AK42" s="942" t="s">
        <v>4601</v>
      </c>
      <c r="AL42" s="948" t="s">
        <v>4602</v>
      </c>
      <c r="AM42" s="944" t="s">
        <v>4603</v>
      </c>
      <c r="AN42" s="1155" t="s">
        <v>4604</v>
      </c>
      <c r="AO42" s="943" t="s">
        <v>4605</v>
      </c>
      <c r="AP42" s="948" t="s">
        <v>4606</v>
      </c>
      <c r="AQ42" s="942" t="s">
        <v>4934</v>
      </c>
      <c r="AR42" s="1864" t="str">
        <f t="shared" si="18"/>
        <v xml:space="preserve"> * El total de Ingresos debe ser igual a la suma de los Tipos de Estrategia. </v>
      </c>
      <c r="BW42" s="1936"/>
      <c r="BX42" s="1936"/>
      <c r="BY42" s="1936"/>
      <c r="BZ42" s="1936"/>
      <c r="CB42" s="1936"/>
      <c r="CC42" s="4108" t="str">
        <f t="shared" si="19"/>
        <v xml:space="preserve"> * El total de Ingresos debe ser igual a la suma de los Tipos de Estrategia. </v>
      </c>
      <c r="CD42" s="88"/>
      <c r="CE42" s="88"/>
      <c r="CF42" s="88"/>
      <c r="CG42" s="88"/>
      <c r="CM42"/>
      <c r="CN42" s="3922">
        <f t="shared" si="17"/>
        <v>1</v>
      </c>
      <c r="CO42" s="3886"/>
      <c r="CP42" s="3886"/>
      <c r="CQ42" s="3886"/>
      <c r="DI42"/>
      <c r="DJ42"/>
    </row>
    <row r="43" spans="1:114" x14ac:dyDescent="0.25">
      <c r="A43" s="5636">
        <v>28022110</v>
      </c>
      <c r="B43" s="4915" t="s">
        <v>3340</v>
      </c>
      <c r="C43" s="361" t="s">
        <v>4567</v>
      </c>
      <c r="D43" s="171" t="s">
        <v>4568</v>
      </c>
      <c r="E43" s="204" t="s">
        <v>4569</v>
      </c>
      <c r="F43" s="940" t="s">
        <v>4570</v>
      </c>
      <c r="G43" s="942" t="s">
        <v>4571</v>
      </c>
      <c r="H43" s="940" t="s">
        <v>4572</v>
      </c>
      <c r="I43" s="942" t="s">
        <v>4573</v>
      </c>
      <c r="J43" s="940" t="s">
        <v>4574</v>
      </c>
      <c r="K43" s="941" t="s">
        <v>4575</v>
      </c>
      <c r="L43" s="940" t="s">
        <v>4576</v>
      </c>
      <c r="M43" s="942" t="s">
        <v>4577</v>
      </c>
      <c r="N43" s="943" t="s">
        <v>4578</v>
      </c>
      <c r="O43" s="942" t="s">
        <v>4579</v>
      </c>
      <c r="P43" s="948" t="s">
        <v>4580</v>
      </c>
      <c r="Q43" s="942" t="s">
        <v>4581</v>
      </c>
      <c r="R43" s="948" t="s">
        <v>4582</v>
      </c>
      <c r="S43" s="942" t="s">
        <v>4583</v>
      </c>
      <c r="T43" s="948" t="s">
        <v>4584</v>
      </c>
      <c r="U43" s="942" t="s">
        <v>4585</v>
      </c>
      <c r="V43" s="948" t="s">
        <v>4586</v>
      </c>
      <c r="W43" s="942" t="s">
        <v>4587</v>
      </c>
      <c r="X43" s="948" t="s">
        <v>4588</v>
      </c>
      <c r="Y43" s="942" t="s">
        <v>4589</v>
      </c>
      <c r="Z43" s="948" t="s">
        <v>4590</v>
      </c>
      <c r="AA43" s="942" t="s">
        <v>4591</v>
      </c>
      <c r="AB43" s="948" t="s">
        <v>4592</v>
      </c>
      <c r="AC43" s="942" t="s">
        <v>4593</v>
      </c>
      <c r="AD43" s="948" t="s">
        <v>4594</v>
      </c>
      <c r="AE43" s="942" t="s">
        <v>4595</v>
      </c>
      <c r="AF43" s="948" t="s">
        <v>4596</v>
      </c>
      <c r="AG43" s="942" t="s">
        <v>4597</v>
      </c>
      <c r="AH43" s="948" t="s">
        <v>4598</v>
      </c>
      <c r="AI43" s="942" t="s">
        <v>4599</v>
      </c>
      <c r="AJ43" s="948" t="s">
        <v>4600</v>
      </c>
      <c r="AK43" s="942" t="s">
        <v>4601</v>
      </c>
      <c r="AL43" s="948" t="s">
        <v>4602</v>
      </c>
      <c r="AM43" s="944" t="s">
        <v>4603</v>
      </c>
      <c r="AN43" s="1155" t="s">
        <v>4604</v>
      </c>
      <c r="AO43" s="943" t="s">
        <v>4605</v>
      </c>
      <c r="AP43" s="948" t="s">
        <v>4606</v>
      </c>
      <c r="AQ43" s="942" t="s">
        <v>4934</v>
      </c>
      <c r="AR43" s="1864" t="str">
        <f t="shared" si="18"/>
        <v xml:space="preserve"> * El total de Ingresos debe ser igual a la suma de los Tipos de Estrategia. </v>
      </c>
      <c r="BW43" s="1936"/>
      <c r="BX43" s="1936"/>
      <c r="BY43" s="1936"/>
      <c r="BZ43" s="1936"/>
      <c r="CB43" s="1936"/>
      <c r="CC43" s="4108" t="str">
        <f t="shared" si="19"/>
        <v xml:space="preserve"> * El total de Ingresos debe ser igual a la suma de los Tipos de Estrategia. </v>
      </c>
      <c r="CD43" s="88"/>
      <c r="CE43" s="88"/>
      <c r="CF43" s="88"/>
      <c r="CG43" s="88"/>
      <c r="CM43"/>
      <c r="CN43" s="3922">
        <f t="shared" si="17"/>
        <v>1</v>
      </c>
      <c r="CO43" s="3886"/>
      <c r="CP43" s="3886"/>
      <c r="CQ43" s="3886"/>
      <c r="DI43"/>
      <c r="DJ43"/>
    </row>
    <row r="44" spans="1:114" x14ac:dyDescent="0.25">
      <c r="A44" s="5633">
        <v>29101629</v>
      </c>
      <c r="B44" s="4877" t="s">
        <v>3341</v>
      </c>
      <c r="C44" s="361" t="s">
        <v>4567</v>
      </c>
      <c r="D44" s="171" t="s">
        <v>4568</v>
      </c>
      <c r="E44" s="204" t="s">
        <v>4569</v>
      </c>
      <c r="F44" s="940" t="s">
        <v>4570</v>
      </c>
      <c r="G44" s="942" t="s">
        <v>4571</v>
      </c>
      <c r="H44" s="940" t="s">
        <v>4572</v>
      </c>
      <c r="I44" s="942" t="s">
        <v>4573</v>
      </c>
      <c r="J44" s="940" t="s">
        <v>4574</v>
      </c>
      <c r="K44" s="941" t="s">
        <v>4575</v>
      </c>
      <c r="L44" s="940" t="s">
        <v>4576</v>
      </c>
      <c r="M44" s="942" t="s">
        <v>4577</v>
      </c>
      <c r="N44" s="943" t="s">
        <v>4578</v>
      </c>
      <c r="O44" s="942" t="s">
        <v>4579</v>
      </c>
      <c r="P44" s="948" t="s">
        <v>4580</v>
      </c>
      <c r="Q44" s="942" t="s">
        <v>4581</v>
      </c>
      <c r="R44" s="948" t="s">
        <v>4582</v>
      </c>
      <c r="S44" s="942" t="s">
        <v>4583</v>
      </c>
      <c r="T44" s="948" t="s">
        <v>4584</v>
      </c>
      <c r="U44" s="942" t="s">
        <v>4585</v>
      </c>
      <c r="V44" s="948" t="s">
        <v>4586</v>
      </c>
      <c r="W44" s="942" t="s">
        <v>4587</v>
      </c>
      <c r="X44" s="948" t="s">
        <v>4588</v>
      </c>
      <c r="Y44" s="942" t="s">
        <v>4589</v>
      </c>
      <c r="Z44" s="948" t="s">
        <v>4590</v>
      </c>
      <c r="AA44" s="942" t="s">
        <v>4591</v>
      </c>
      <c r="AB44" s="948" t="s">
        <v>4592</v>
      </c>
      <c r="AC44" s="942" t="s">
        <v>4593</v>
      </c>
      <c r="AD44" s="948" t="s">
        <v>4594</v>
      </c>
      <c r="AE44" s="942" t="s">
        <v>4595</v>
      </c>
      <c r="AF44" s="948" t="s">
        <v>4596</v>
      </c>
      <c r="AG44" s="942" t="s">
        <v>4597</v>
      </c>
      <c r="AH44" s="948" t="s">
        <v>4598</v>
      </c>
      <c r="AI44" s="942" t="s">
        <v>4599</v>
      </c>
      <c r="AJ44" s="948" t="s">
        <v>4600</v>
      </c>
      <c r="AK44" s="942" t="s">
        <v>4601</v>
      </c>
      <c r="AL44" s="948" t="s">
        <v>4602</v>
      </c>
      <c r="AM44" s="944" t="s">
        <v>4603</v>
      </c>
      <c r="AN44" s="1155" t="s">
        <v>4604</v>
      </c>
      <c r="AO44" s="943" t="s">
        <v>4605</v>
      </c>
      <c r="AP44" s="948" t="s">
        <v>4606</v>
      </c>
      <c r="AQ44" s="942" t="s">
        <v>4934</v>
      </c>
      <c r="AR44" s="1864" t="str">
        <f t="shared" si="18"/>
        <v xml:space="preserve"> * El total de Ingresos debe ser igual a la suma de los Tipos de Estrategia. </v>
      </c>
      <c r="BW44" s="1936"/>
      <c r="BX44" s="1936"/>
      <c r="BY44" s="1936"/>
      <c r="BZ44" s="1936"/>
      <c r="CB44" s="1936"/>
      <c r="CC44" s="4108" t="str">
        <f t="shared" si="19"/>
        <v xml:space="preserve"> * El total de Ingresos debe ser igual a la suma de los Tipos de Estrategia. </v>
      </c>
      <c r="CD44" s="88"/>
      <c r="CE44" s="88"/>
      <c r="CF44" s="88"/>
      <c r="CG44" s="88"/>
      <c r="CM44"/>
      <c r="CN44" s="3922">
        <f t="shared" si="17"/>
        <v>1</v>
      </c>
      <c r="CO44" s="3886"/>
      <c r="CP44" s="3886"/>
      <c r="CQ44" s="3886"/>
      <c r="DI44"/>
      <c r="DJ44"/>
    </row>
    <row r="45" spans="1:114" x14ac:dyDescent="0.25">
      <c r="A45" s="5823"/>
      <c r="B45" s="5956" t="s">
        <v>3342</v>
      </c>
      <c r="C45" s="5557"/>
      <c r="D45" s="5559"/>
      <c r="E45" s="5558"/>
      <c r="F45" s="3069"/>
      <c r="G45" s="5556"/>
      <c r="H45" s="5557"/>
      <c r="I45" s="5558"/>
      <c r="J45" s="3069"/>
      <c r="K45" s="5556"/>
      <c r="L45" s="5557"/>
      <c r="M45" s="5558"/>
      <c r="N45" s="5557"/>
      <c r="O45" s="5558"/>
      <c r="P45" s="3069"/>
      <c r="Q45" s="5556"/>
      <c r="R45" s="5557"/>
      <c r="S45" s="5558"/>
      <c r="T45" s="5557"/>
      <c r="U45" s="5558"/>
      <c r="V45" s="3069"/>
      <c r="W45" s="5556"/>
      <c r="X45" s="5557"/>
      <c r="Y45" s="5558"/>
      <c r="Z45" s="3069"/>
      <c r="AA45" s="5556"/>
      <c r="AB45" s="5557"/>
      <c r="AC45" s="5558"/>
      <c r="AD45" s="3069"/>
      <c r="AE45" s="5556"/>
      <c r="AF45" s="5557"/>
      <c r="AG45" s="5558"/>
      <c r="AH45" s="5557"/>
      <c r="AI45" s="5558"/>
      <c r="AJ45" s="5557"/>
      <c r="AK45" s="5558"/>
      <c r="AL45" s="3069"/>
      <c r="AM45" s="5556"/>
      <c r="AN45" s="3069"/>
      <c r="AO45" s="3069"/>
      <c r="AP45" s="1254"/>
      <c r="AQ45" s="685"/>
      <c r="AR45" s="1864" t="str">
        <f t="shared" si="18"/>
        <v/>
      </c>
      <c r="BW45" s="1936"/>
      <c r="BX45" s="1936"/>
      <c r="BY45" s="1936"/>
      <c r="BZ45" s="1936"/>
      <c r="CB45" s="1936"/>
      <c r="CC45" s="4108" t="str">
        <f t="shared" si="19"/>
        <v/>
      </c>
      <c r="CD45" s="88"/>
      <c r="CE45" s="88"/>
      <c r="CF45" s="88"/>
      <c r="CG45" s="88"/>
      <c r="CM45"/>
      <c r="CN45" s="3922">
        <f t="shared" si="17"/>
        <v>0</v>
      </c>
      <c r="CO45" s="3886"/>
      <c r="CP45" s="3886"/>
      <c r="CQ45" s="3886"/>
      <c r="DI45"/>
      <c r="DJ45"/>
    </row>
    <row r="46" spans="1:114" x14ac:dyDescent="0.25">
      <c r="A46" s="5823">
        <v>28201001</v>
      </c>
      <c r="B46" s="4877" t="s">
        <v>3343</v>
      </c>
      <c r="C46" s="361" t="s">
        <v>4567</v>
      </c>
      <c r="D46" s="171" t="s">
        <v>4568</v>
      </c>
      <c r="E46" s="204" t="s">
        <v>4569</v>
      </c>
      <c r="F46" s="940" t="s">
        <v>4570</v>
      </c>
      <c r="G46" s="942" t="s">
        <v>4571</v>
      </c>
      <c r="H46" s="940" t="s">
        <v>4572</v>
      </c>
      <c r="I46" s="942" t="s">
        <v>4573</v>
      </c>
      <c r="J46" s="940" t="s">
        <v>4574</v>
      </c>
      <c r="K46" s="941" t="s">
        <v>4575</v>
      </c>
      <c r="L46" s="940" t="s">
        <v>4576</v>
      </c>
      <c r="M46" s="942" t="s">
        <v>4577</v>
      </c>
      <c r="N46" s="943" t="s">
        <v>4578</v>
      </c>
      <c r="O46" s="942" t="s">
        <v>4579</v>
      </c>
      <c r="P46" s="948" t="s">
        <v>4580</v>
      </c>
      <c r="Q46" s="942" t="s">
        <v>4581</v>
      </c>
      <c r="R46" s="948" t="s">
        <v>4582</v>
      </c>
      <c r="S46" s="942" t="s">
        <v>4583</v>
      </c>
      <c r="T46" s="948" t="s">
        <v>4584</v>
      </c>
      <c r="U46" s="942" t="s">
        <v>4585</v>
      </c>
      <c r="V46" s="948" t="s">
        <v>4586</v>
      </c>
      <c r="W46" s="942" t="s">
        <v>4587</v>
      </c>
      <c r="X46" s="948" t="s">
        <v>4588</v>
      </c>
      <c r="Y46" s="942" t="s">
        <v>4589</v>
      </c>
      <c r="Z46" s="948" t="s">
        <v>4590</v>
      </c>
      <c r="AA46" s="942" t="s">
        <v>4591</v>
      </c>
      <c r="AB46" s="948" t="s">
        <v>4592</v>
      </c>
      <c r="AC46" s="942" t="s">
        <v>4593</v>
      </c>
      <c r="AD46" s="948" t="s">
        <v>4594</v>
      </c>
      <c r="AE46" s="942" t="s">
        <v>4595</v>
      </c>
      <c r="AF46" s="948" t="s">
        <v>4596</v>
      </c>
      <c r="AG46" s="942" t="s">
        <v>4597</v>
      </c>
      <c r="AH46" s="948" t="s">
        <v>4598</v>
      </c>
      <c r="AI46" s="942" t="s">
        <v>4599</v>
      </c>
      <c r="AJ46" s="948" t="s">
        <v>4600</v>
      </c>
      <c r="AK46" s="942" t="s">
        <v>4601</v>
      </c>
      <c r="AL46" s="948" t="s">
        <v>4602</v>
      </c>
      <c r="AM46" s="944" t="s">
        <v>4603</v>
      </c>
      <c r="AN46" s="1155" t="s">
        <v>4604</v>
      </c>
      <c r="AO46" s="943" t="s">
        <v>4605</v>
      </c>
      <c r="AP46" s="948" t="s">
        <v>4606</v>
      </c>
      <c r="AQ46" s="942" t="s">
        <v>4934</v>
      </c>
      <c r="AR46" s="1864" t="str">
        <f t="shared" si="18"/>
        <v xml:space="preserve"> * El total de Ingresos debe ser igual a la suma de los Tipos de Estrategia. </v>
      </c>
      <c r="BW46" s="1936"/>
      <c r="BX46" s="1936"/>
      <c r="BY46" s="1936"/>
      <c r="BZ46" s="1936"/>
      <c r="CB46" s="1936"/>
      <c r="CC46" s="4108" t="str">
        <f t="shared" si="19"/>
        <v xml:space="preserve"> * El total de Ingresos debe ser igual a la suma de los Tipos de Estrategia. </v>
      </c>
      <c r="CD46" s="88"/>
      <c r="CE46" s="88"/>
      <c r="CF46" s="88"/>
      <c r="CG46" s="88"/>
      <c r="CM46"/>
      <c r="CN46" s="3922">
        <f t="shared" si="17"/>
        <v>1</v>
      </c>
      <c r="CO46" s="3886"/>
      <c r="CP46" s="3886"/>
      <c r="CQ46" s="3886"/>
      <c r="DI46"/>
      <c r="DJ46"/>
    </row>
    <row r="47" spans="1:114" x14ac:dyDescent="0.25">
      <c r="A47" s="5633">
        <v>29101630</v>
      </c>
      <c r="B47" s="4915" t="s">
        <v>3344</v>
      </c>
      <c r="C47" s="361" t="s">
        <v>4567</v>
      </c>
      <c r="D47" s="171" t="s">
        <v>4568</v>
      </c>
      <c r="E47" s="204" t="s">
        <v>4569</v>
      </c>
      <c r="F47" s="940" t="s">
        <v>4570</v>
      </c>
      <c r="G47" s="942" t="s">
        <v>4571</v>
      </c>
      <c r="H47" s="940" t="s">
        <v>4572</v>
      </c>
      <c r="I47" s="942" t="s">
        <v>4573</v>
      </c>
      <c r="J47" s="940" t="s">
        <v>4574</v>
      </c>
      <c r="K47" s="941" t="s">
        <v>4575</v>
      </c>
      <c r="L47" s="940" t="s">
        <v>4576</v>
      </c>
      <c r="M47" s="942" t="s">
        <v>4577</v>
      </c>
      <c r="N47" s="943" t="s">
        <v>4578</v>
      </c>
      <c r="O47" s="942" t="s">
        <v>4579</v>
      </c>
      <c r="P47" s="948" t="s">
        <v>4580</v>
      </c>
      <c r="Q47" s="942" t="s">
        <v>4581</v>
      </c>
      <c r="R47" s="948" t="s">
        <v>4582</v>
      </c>
      <c r="S47" s="942" t="s">
        <v>4583</v>
      </c>
      <c r="T47" s="948" t="s">
        <v>4584</v>
      </c>
      <c r="U47" s="942" t="s">
        <v>4585</v>
      </c>
      <c r="V47" s="948" t="s">
        <v>4586</v>
      </c>
      <c r="W47" s="942" t="s">
        <v>4587</v>
      </c>
      <c r="X47" s="948" t="s">
        <v>4588</v>
      </c>
      <c r="Y47" s="942" t="s">
        <v>4589</v>
      </c>
      <c r="Z47" s="948" t="s">
        <v>4590</v>
      </c>
      <c r="AA47" s="942" t="s">
        <v>4591</v>
      </c>
      <c r="AB47" s="948" t="s">
        <v>4592</v>
      </c>
      <c r="AC47" s="942" t="s">
        <v>4593</v>
      </c>
      <c r="AD47" s="948" t="s">
        <v>4594</v>
      </c>
      <c r="AE47" s="942" t="s">
        <v>4595</v>
      </c>
      <c r="AF47" s="948" t="s">
        <v>4596</v>
      </c>
      <c r="AG47" s="942" t="s">
        <v>4597</v>
      </c>
      <c r="AH47" s="948" t="s">
        <v>4598</v>
      </c>
      <c r="AI47" s="942" t="s">
        <v>4599</v>
      </c>
      <c r="AJ47" s="948" t="s">
        <v>4600</v>
      </c>
      <c r="AK47" s="942" t="s">
        <v>4601</v>
      </c>
      <c r="AL47" s="948" t="s">
        <v>4602</v>
      </c>
      <c r="AM47" s="944" t="s">
        <v>4603</v>
      </c>
      <c r="AN47" s="1155" t="s">
        <v>4604</v>
      </c>
      <c r="AO47" s="943" t="s">
        <v>4605</v>
      </c>
      <c r="AP47" s="948" t="s">
        <v>4606</v>
      </c>
      <c r="AQ47" s="942" t="s">
        <v>4934</v>
      </c>
      <c r="AR47" s="1864" t="str">
        <f t="shared" si="18"/>
        <v xml:space="preserve"> * El total de Ingresos debe ser igual a la suma de los Tipos de Estrategia. </v>
      </c>
      <c r="BW47" s="1936"/>
      <c r="BX47" s="1936"/>
      <c r="BY47" s="1936"/>
      <c r="BZ47" s="1936"/>
      <c r="CB47" s="1936"/>
      <c r="CC47" s="4108" t="str">
        <f t="shared" si="19"/>
        <v xml:space="preserve"> * El total de Ingresos debe ser igual a la suma de los Tipos de Estrategia. </v>
      </c>
      <c r="CD47" s="88"/>
      <c r="CE47" s="88"/>
      <c r="CF47" s="88"/>
      <c r="CG47" s="88"/>
      <c r="CM47"/>
      <c r="CN47" s="3922">
        <f t="shared" si="17"/>
        <v>1</v>
      </c>
      <c r="CO47" s="3886"/>
      <c r="CP47" s="3886"/>
      <c r="CQ47" s="3886"/>
      <c r="DI47"/>
      <c r="DJ47"/>
    </row>
    <row r="48" spans="1:114" x14ac:dyDescent="0.25">
      <c r="A48" s="5633">
        <v>29101631</v>
      </c>
      <c r="B48" s="4915" t="s">
        <v>3345</v>
      </c>
      <c r="C48" s="361" t="s">
        <v>4567</v>
      </c>
      <c r="D48" s="171" t="s">
        <v>4568</v>
      </c>
      <c r="E48" s="204" t="s">
        <v>4569</v>
      </c>
      <c r="F48" s="940" t="s">
        <v>4570</v>
      </c>
      <c r="G48" s="942" t="s">
        <v>4571</v>
      </c>
      <c r="H48" s="940" t="s">
        <v>4572</v>
      </c>
      <c r="I48" s="942" t="s">
        <v>4573</v>
      </c>
      <c r="J48" s="940" t="s">
        <v>4574</v>
      </c>
      <c r="K48" s="941" t="s">
        <v>4575</v>
      </c>
      <c r="L48" s="940" t="s">
        <v>4576</v>
      </c>
      <c r="M48" s="942" t="s">
        <v>4577</v>
      </c>
      <c r="N48" s="943" t="s">
        <v>4578</v>
      </c>
      <c r="O48" s="942" t="s">
        <v>4579</v>
      </c>
      <c r="P48" s="948" t="s">
        <v>4580</v>
      </c>
      <c r="Q48" s="942" t="s">
        <v>4581</v>
      </c>
      <c r="R48" s="948" t="s">
        <v>4582</v>
      </c>
      <c r="S48" s="942" t="s">
        <v>4583</v>
      </c>
      <c r="T48" s="948" t="s">
        <v>4584</v>
      </c>
      <c r="U48" s="942" t="s">
        <v>4585</v>
      </c>
      <c r="V48" s="948" t="s">
        <v>4586</v>
      </c>
      <c r="W48" s="942" t="s">
        <v>4587</v>
      </c>
      <c r="X48" s="948" t="s">
        <v>4588</v>
      </c>
      <c r="Y48" s="942" t="s">
        <v>4589</v>
      </c>
      <c r="Z48" s="948" t="s">
        <v>4590</v>
      </c>
      <c r="AA48" s="942" t="s">
        <v>4591</v>
      </c>
      <c r="AB48" s="948" t="s">
        <v>4592</v>
      </c>
      <c r="AC48" s="942" t="s">
        <v>4593</v>
      </c>
      <c r="AD48" s="948" t="s">
        <v>4594</v>
      </c>
      <c r="AE48" s="942" t="s">
        <v>4595</v>
      </c>
      <c r="AF48" s="948" t="s">
        <v>4596</v>
      </c>
      <c r="AG48" s="942" t="s">
        <v>4597</v>
      </c>
      <c r="AH48" s="948" t="s">
        <v>4598</v>
      </c>
      <c r="AI48" s="942" t="s">
        <v>4599</v>
      </c>
      <c r="AJ48" s="948" t="s">
        <v>4600</v>
      </c>
      <c r="AK48" s="942" t="s">
        <v>4601</v>
      </c>
      <c r="AL48" s="948" t="s">
        <v>4602</v>
      </c>
      <c r="AM48" s="944" t="s">
        <v>4603</v>
      </c>
      <c r="AN48" s="1155" t="s">
        <v>4604</v>
      </c>
      <c r="AO48" s="943" t="s">
        <v>4605</v>
      </c>
      <c r="AP48" s="948" t="s">
        <v>4606</v>
      </c>
      <c r="AQ48" s="942" t="s">
        <v>4934</v>
      </c>
      <c r="AR48" s="1864" t="str">
        <f t="shared" si="18"/>
        <v xml:space="preserve"> * El total de Ingresos debe ser igual a la suma de los Tipos de Estrategia. </v>
      </c>
      <c r="BW48" s="1936"/>
      <c r="BX48" s="1936"/>
      <c r="BY48" s="1936"/>
      <c r="BZ48" s="1936"/>
      <c r="CB48" s="1936"/>
      <c r="CC48" s="4108" t="str">
        <f t="shared" si="19"/>
        <v xml:space="preserve"> * El total de Ingresos debe ser igual a la suma de los Tipos de Estrategia. </v>
      </c>
      <c r="CD48" s="88"/>
      <c r="CE48" s="88"/>
      <c r="CF48" s="88"/>
      <c r="CG48" s="88"/>
      <c r="CM48"/>
      <c r="CN48" s="3922">
        <f t="shared" si="17"/>
        <v>1</v>
      </c>
      <c r="CO48" s="3886"/>
      <c r="CP48" s="3886"/>
      <c r="CQ48" s="3886"/>
      <c r="DI48"/>
      <c r="DJ48"/>
    </row>
    <row r="49" spans="1:114" x14ac:dyDescent="0.25">
      <c r="A49" s="5633">
        <v>29101632</v>
      </c>
      <c r="B49" s="4915" t="s">
        <v>3346</v>
      </c>
      <c r="C49" s="4916" t="s">
        <v>4567</v>
      </c>
      <c r="D49" s="4917" t="s">
        <v>4568</v>
      </c>
      <c r="E49" s="28" t="s">
        <v>4569</v>
      </c>
      <c r="F49" s="212" t="s">
        <v>4570</v>
      </c>
      <c r="G49" s="1136" t="s">
        <v>4571</v>
      </c>
      <c r="H49" s="212" t="s">
        <v>4572</v>
      </c>
      <c r="I49" s="1136" t="s">
        <v>4573</v>
      </c>
      <c r="J49" s="212" t="s">
        <v>4574</v>
      </c>
      <c r="K49" s="34" t="s">
        <v>4575</v>
      </c>
      <c r="L49" s="212" t="s">
        <v>4576</v>
      </c>
      <c r="M49" s="1136" t="s">
        <v>4577</v>
      </c>
      <c r="N49" s="1137" t="s">
        <v>4578</v>
      </c>
      <c r="O49" s="1136" t="s">
        <v>4579</v>
      </c>
      <c r="P49" s="993" t="s">
        <v>4580</v>
      </c>
      <c r="Q49" s="1136" t="s">
        <v>4581</v>
      </c>
      <c r="R49" s="993" t="s">
        <v>4582</v>
      </c>
      <c r="S49" s="1136" t="s">
        <v>4583</v>
      </c>
      <c r="T49" s="993" t="s">
        <v>4584</v>
      </c>
      <c r="U49" s="1136" t="s">
        <v>4585</v>
      </c>
      <c r="V49" s="993" t="s">
        <v>4586</v>
      </c>
      <c r="W49" s="1136" t="s">
        <v>4587</v>
      </c>
      <c r="X49" s="993" t="s">
        <v>4588</v>
      </c>
      <c r="Y49" s="1136" t="s">
        <v>4589</v>
      </c>
      <c r="Z49" s="993" t="s">
        <v>4590</v>
      </c>
      <c r="AA49" s="1136" t="s">
        <v>4591</v>
      </c>
      <c r="AB49" s="993" t="s">
        <v>4592</v>
      </c>
      <c r="AC49" s="1136" t="s">
        <v>4593</v>
      </c>
      <c r="AD49" s="993" t="s">
        <v>4594</v>
      </c>
      <c r="AE49" s="1136" t="s">
        <v>4595</v>
      </c>
      <c r="AF49" s="993" t="s">
        <v>4596</v>
      </c>
      <c r="AG49" s="1136" t="s">
        <v>4597</v>
      </c>
      <c r="AH49" s="993" t="s">
        <v>4598</v>
      </c>
      <c r="AI49" s="1136" t="s">
        <v>4599</v>
      </c>
      <c r="AJ49" s="993" t="s">
        <v>4600</v>
      </c>
      <c r="AK49" s="1136" t="s">
        <v>4601</v>
      </c>
      <c r="AL49" s="993" t="s">
        <v>4602</v>
      </c>
      <c r="AM49" s="1138" t="s">
        <v>4603</v>
      </c>
      <c r="AN49" s="3444" t="s">
        <v>4604</v>
      </c>
      <c r="AO49" s="1137" t="s">
        <v>4605</v>
      </c>
      <c r="AP49" s="993" t="s">
        <v>4606</v>
      </c>
      <c r="AQ49" s="1136" t="s">
        <v>4934</v>
      </c>
      <c r="AR49" s="1864" t="str">
        <f>CC49</f>
        <v xml:space="preserve"> * El total de Ingresos debe ser igual a la suma de los Tipos de Estrategia. </v>
      </c>
      <c r="BW49" s="1936"/>
      <c r="BX49" s="1936"/>
      <c r="BY49" s="1936"/>
      <c r="BZ49" s="1936"/>
      <c r="CB49" s="1936"/>
      <c r="CC49" s="4108" t="str">
        <f t="shared" si="19"/>
        <v xml:space="preserve"> * El total de Ingresos debe ser igual a la suma de los Tipos de Estrategia. </v>
      </c>
      <c r="CD49" s="88"/>
      <c r="CE49" s="88"/>
      <c r="CF49" s="88"/>
      <c r="CG49" s="88"/>
      <c r="CM49"/>
      <c r="CN49" s="3922">
        <f>IF(SUM(AN49:AQ49)=C49,0,1)</f>
        <v>1</v>
      </c>
      <c r="CO49" s="3886"/>
      <c r="CP49" s="3886"/>
      <c r="CQ49" s="3886"/>
      <c r="DI49"/>
      <c r="DJ49"/>
    </row>
    <row r="50" spans="1:114" x14ac:dyDescent="0.25">
      <c r="A50" s="5818">
        <v>28021633</v>
      </c>
      <c r="B50" s="4915" t="s">
        <v>591</v>
      </c>
      <c r="C50" s="4911" t="s">
        <v>4567</v>
      </c>
      <c r="D50" s="938" t="s">
        <v>4568</v>
      </c>
      <c r="E50" s="939" t="s">
        <v>4569</v>
      </c>
      <c r="F50" s="940" t="s">
        <v>4570</v>
      </c>
      <c r="G50" s="942" t="s">
        <v>4571</v>
      </c>
      <c r="H50" s="940" t="s">
        <v>4572</v>
      </c>
      <c r="I50" s="942" t="s">
        <v>4573</v>
      </c>
      <c r="J50" s="940" t="s">
        <v>4574</v>
      </c>
      <c r="K50" s="941" t="s">
        <v>4575</v>
      </c>
      <c r="L50" s="940" t="s">
        <v>4576</v>
      </c>
      <c r="M50" s="942" t="s">
        <v>4577</v>
      </c>
      <c r="N50" s="943" t="s">
        <v>4578</v>
      </c>
      <c r="O50" s="942" t="s">
        <v>4579</v>
      </c>
      <c r="P50" s="948" t="s">
        <v>4580</v>
      </c>
      <c r="Q50" s="942" t="s">
        <v>4581</v>
      </c>
      <c r="R50" s="948" t="s">
        <v>4582</v>
      </c>
      <c r="S50" s="942" t="s">
        <v>4583</v>
      </c>
      <c r="T50" s="948" t="s">
        <v>4584</v>
      </c>
      <c r="U50" s="942" t="s">
        <v>4585</v>
      </c>
      <c r="V50" s="948" t="s">
        <v>4586</v>
      </c>
      <c r="W50" s="942" t="s">
        <v>4587</v>
      </c>
      <c r="X50" s="948" t="s">
        <v>4588</v>
      </c>
      <c r="Y50" s="942" t="s">
        <v>4589</v>
      </c>
      <c r="Z50" s="948" t="s">
        <v>4590</v>
      </c>
      <c r="AA50" s="942" t="s">
        <v>4591</v>
      </c>
      <c r="AB50" s="948" t="s">
        <v>4592</v>
      </c>
      <c r="AC50" s="942" t="s">
        <v>4593</v>
      </c>
      <c r="AD50" s="948" t="s">
        <v>4594</v>
      </c>
      <c r="AE50" s="942" t="s">
        <v>4595</v>
      </c>
      <c r="AF50" s="948" t="s">
        <v>4596</v>
      </c>
      <c r="AG50" s="942" t="s">
        <v>4597</v>
      </c>
      <c r="AH50" s="948" t="s">
        <v>4598</v>
      </c>
      <c r="AI50" s="942" t="s">
        <v>4599</v>
      </c>
      <c r="AJ50" s="948" t="s">
        <v>4600</v>
      </c>
      <c r="AK50" s="942" t="s">
        <v>4601</v>
      </c>
      <c r="AL50" s="948" t="s">
        <v>4602</v>
      </c>
      <c r="AM50" s="944" t="s">
        <v>4603</v>
      </c>
      <c r="AN50" s="1155" t="s">
        <v>4604</v>
      </c>
      <c r="AO50" s="943" t="s">
        <v>4605</v>
      </c>
      <c r="AP50" s="948" t="s">
        <v>4606</v>
      </c>
      <c r="AQ50" s="942" t="s">
        <v>4934</v>
      </c>
      <c r="AR50" s="1864" t="str">
        <f t="shared" ref="AR50:AR51" si="20">CC50</f>
        <v xml:space="preserve"> * El total de Ingresos debe ser igual a la suma de los Tipos de Estrategia. </v>
      </c>
      <c r="BW50" s="1936"/>
      <c r="BX50" s="1936"/>
      <c r="BY50" s="1936"/>
      <c r="BZ50" s="1936"/>
      <c r="CB50" s="1936"/>
      <c r="CC50" s="4108" t="str">
        <f>IF(CN50=1," * El total de Ingresos debe ser igual a la suma de los Tipos de Estrategia. ","")</f>
        <v xml:space="preserve"> * El total de Ingresos debe ser igual a la suma de los Tipos de Estrategia. </v>
      </c>
      <c r="CD50" s="88"/>
      <c r="CE50" s="88"/>
      <c r="CF50" s="88"/>
      <c r="CG50" s="88"/>
      <c r="CM50"/>
      <c r="CN50" s="3922">
        <f t="shared" si="17"/>
        <v>1</v>
      </c>
      <c r="CO50" s="3886"/>
      <c r="CP50" s="3886"/>
      <c r="CQ50" s="3886"/>
      <c r="DI50"/>
      <c r="DJ50"/>
    </row>
    <row r="51" spans="1:114" x14ac:dyDescent="0.25">
      <c r="A51" s="5823">
        <v>28201002</v>
      </c>
      <c r="B51" s="422" t="s">
        <v>3347</v>
      </c>
      <c r="C51" s="4918" t="s">
        <v>4567</v>
      </c>
      <c r="D51" s="171" t="s">
        <v>4568</v>
      </c>
      <c r="E51" s="204" t="s">
        <v>4569</v>
      </c>
      <c r="F51" s="326" t="s">
        <v>4570</v>
      </c>
      <c r="G51" s="882" t="s">
        <v>4571</v>
      </c>
      <c r="H51" s="326" t="s">
        <v>4572</v>
      </c>
      <c r="I51" s="142" t="s">
        <v>4573</v>
      </c>
      <c r="J51" s="326" t="s">
        <v>4574</v>
      </c>
      <c r="K51" s="142" t="s">
        <v>4575</v>
      </c>
      <c r="L51" s="326" t="s">
        <v>4576</v>
      </c>
      <c r="M51" s="882" t="s">
        <v>4577</v>
      </c>
      <c r="N51" s="44" t="s">
        <v>4578</v>
      </c>
      <c r="O51" s="142" t="s">
        <v>4579</v>
      </c>
      <c r="P51" s="44" t="s">
        <v>4580</v>
      </c>
      <c r="Q51" s="142" t="s">
        <v>4581</v>
      </c>
      <c r="R51" s="44" t="s">
        <v>4582</v>
      </c>
      <c r="S51" s="142" t="s">
        <v>4583</v>
      </c>
      <c r="T51" s="44" t="s">
        <v>4584</v>
      </c>
      <c r="U51" s="142" t="s">
        <v>4585</v>
      </c>
      <c r="V51" s="44" t="s">
        <v>4586</v>
      </c>
      <c r="W51" s="142" t="s">
        <v>4587</v>
      </c>
      <c r="X51" s="44" t="s">
        <v>4588</v>
      </c>
      <c r="Y51" s="142" t="s">
        <v>4589</v>
      </c>
      <c r="Z51" s="44" t="s">
        <v>4590</v>
      </c>
      <c r="AA51" s="142" t="s">
        <v>4591</v>
      </c>
      <c r="AB51" s="44" t="s">
        <v>4592</v>
      </c>
      <c r="AC51" s="142" t="s">
        <v>4593</v>
      </c>
      <c r="AD51" s="44" t="s">
        <v>4594</v>
      </c>
      <c r="AE51" s="142" t="s">
        <v>4595</v>
      </c>
      <c r="AF51" s="44" t="s">
        <v>4596</v>
      </c>
      <c r="AG51" s="142" t="s">
        <v>4597</v>
      </c>
      <c r="AH51" s="44" t="s">
        <v>4598</v>
      </c>
      <c r="AI51" s="142" t="s">
        <v>4599</v>
      </c>
      <c r="AJ51" s="44" t="s">
        <v>4600</v>
      </c>
      <c r="AK51" s="142" t="s">
        <v>4601</v>
      </c>
      <c r="AL51" s="44" t="s">
        <v>4602</v>
      </c>
      <c r="AM51" s="45" t="s">
        <v>4603</v>
      </c>
      <c r="AN51" s="2035" t="s">
        <v>4604</v>
      </c>
      <c r="AO51" s="44" t="s">
        <v>4605</v>
      </c>
      <c r="AP51" s="44" t="s">
        <v>4606</v>
      </c>
      <c r="AQ51" s="142" t="s">
        <v>4934</v>
      </c>
      <c r="AR51" s="1864" t="str">
        <f t="shared" si="20"/>
        <v xml:space="preserve"> * El total de Ingresos debe ser igual a la suma de los Tipos de Estrategia. </v>
      </c>
      <c r="BW51" s="1936"/>
      <c r="BX51" s="1936"/>
      <c r="BY51" s="1936"/>
      <c r="BZ51" s="1936"/>
      <c r="CB51" s="1936"/>
      <c r="CC51" s="4108" t="str">
        <f t="shared" si="19"/>
        <v xml:space="preserve"> * El total de Ingresos debe ser igual a la suma de los Tipos de Estrategia. </v>
      </c>
      <c r="CD51" s="88"/>
      <c r="CE51" s="88"/>
      <c r="CF51" s="88"/>
      <c r="CG51" s="88"/>
      <c r="CM51"/>
      <c r="CN51" s="3922">
        <f t="shared" si="17"/>
        <v>1</v>
      </c>
      <c r="CO51" s="3886"/>
      <c r="CP51" s="3886"/>
      <c r="CQ51" s="3886"/>
      <c r="DI51"/>
      <c r="DJ51"/>
    </row>
    <row r="52" spans="1:114" x14ac:dyDescent="0.25">
      <c r="A52" s="5823">
        <v>28201003</v>
      </c>
      <c r="B52" s="1422" t="s">
        <v>3348</v>
      </c>
      <c r="C52" s="4919" t="s">
        <v>4567</v>
      </c>
      <c r="D52" s="1143" t="s">
        <v>4568</v>
      </c>
      <c r="E52" s="413" t="s">
        <v>4569</v>
      </c>
      <c r="F52" s="964" t="s">
        <v>4570</v>
      </c>
      <c r="G52" s="965" t="s">
        <v>4571</v>
      </c>
      <c r="H52" s="964" t="s">
        <v>4572</v>
      </c>
      <c r="I52" s="854" t="s">
        <v>4573</v>
      </c>
      <c r="J52" s="964" t="s">
        <v>4574</v>
      </c>
      <c r="K52" s="854" t="s">
        <v>4575</v>
      </c>
      <c r="L52" s="964" t="s">
        <v>4576</v>
      </c>
      <c r="M52" s="965" t="s">
        <v>4577</v>
      </c>
      <c r="N52" s="966" t="s">
        <v>4578</v>
      </c>
      <c r="O52" s="854" t="s">
        <v>4579</v>
      </c>
      <c r="P52" s="966" t="s">
        <v>4580</v>
      </c>
      <c r="Q52" s="854" t="s">
        <v>4581</v>
      </c>
      <c r="R52" s="966" t="s">
        <v>4582</v>
      </c>
      <c r="S52" s="854" t="s">
        <v>4583</v>
      </c>
      <c r="T52" s="966" t="s">
        <v>4584</v>
      </c>
      <c r="U52" s="854" t="s">
        <v>4585</v>
      </c>
      <c r="V52" s="966" t="s">
        <v>4586</v>
      </c>
      <c r="W52" s="854" t="s">
        <v>4587</v>
      </c>
      <c r="X52" s="966" t="s">
        <v>4588</v>
      </c>
      <c r="Y52" s="854" t="s">
        <v>4589</v>
      </c>
      <c r="Z52" s="966" t="s">
        <v>4590</v>
      </c>
      <c r="AA52" s="854" t="s">
        <v>4591</v>
      </c>
      <c r="AB52" s="966" t="s">
        <v>4592</v>
      </c>
      <c r="AC52" s="854" t="s">
        <v>4593</v>
      </c>
      <c r="AD52" s="966" t="s">
        <v>4594</v>
      </c>
      <c r="AE52" s="854" t="s">
        <v>4595</v>
      </c>
      <c r="AF52" s="966" t="s">
        <v>4596</v>
      </c>
      <c r="AG52" s="854" t="s">
        <v>4597</v>
      </c>
      <c r="AH52" s="966" t="s">
        <v>4598</v>
      </c>
      <c r="AI52" s="854" t="s">
        <v>4599</v>
      </c>
      <c r="AJ52" s="966" t="s">
        <v>4600</v>
      </c>
      <c r="AK52" s="854" t="s">
        <v>4601</v>
      </c>
      <c r="AL52" s="966" t="s">
        <v>4602</v>
      </c>
      <c r="AM52" s="968" t="s">
        <v>4603</v>
      </c>
      <c r="AN52" s="1157" t="s">
        <v>4604</v>
      </c>
      <c r="AO52" s="966" t="s">
        <v>4605</v>
      </c>
      <c r="AP52" s="966" t="s">
        <v>4606</v>
      </c>
      <c r="AQ52" s="854" t="s">
        <v>4934</v>
      </c>
      <c r="AR52" s="1864" t="str">
        <f>CB52&amp;CC52</f>
        <v xml:space="preserve"> * El total de Ingresos debe ser igual a la suma de los Tipos de Estrategia. </v>
      </c>
      <c r="BW52" s="1936"/>
      <c r="BX52" s="1936"/>
      <c r="BY52" s="1936"/>
      <c r="BZ52" s="1936"/>
      <c r="CB52" s="1936"/>
      <c r="CC52" s="4108" t="str">
        <f>IF(CN52=1," * El total de Ingresos debe ser igual a la suma de los Tipos de Estrategia. ","")</f>
        <v xml:space="preserve"> * El total de Ingresos debe ser igual a la suma de los Tipos de Estrategia. </v>
      </c>
      <c r="CD52" s="88"/>
      <c r="CE52" s="88"/>
      <c r="CF52" s="88"/>
      <c r="CG52" s="88"/>
      <c r="CM52"/>
      <c r="CN52" s="3922">
        <f>IF(SUM(AN52:AQ52)=C52,0,1)</f>
        <v>1</v>
      </c>
      <c r="CO52" s="3886"/>
      <c r="CP52" s="3886"/>
      <c r="CQ52" s="3886"/>
      <c r="DI52"/>
      <c r="DJ52"/>
    </row>
    <row r="53" spans="1:114" ht="18" customHeight="1" x14ac:dyDescent="0.25">
      <c r="B53" s="3" t="s">
        <v>3349</v>
      </c>
      <c r="C53" s="2157"/>
      <c r="D53" s="4920"/>
      <c r="E53" s="2157"/>
      <c r="F53" s="2157"/>
      <c r="G53" s="2157"/>
      <c r="H53" s="2157"/>
      <c r="I53" s="2157"/>
      <c r="CB53" s="88"/>
      <c r="CC53" s="89"/>
      <c r="CD53" s="89"/>
      <c r="CE53" s="89"/>
      <c r="CF53" s="89"/>
      <c r="CM53" s="89"/>
      <c r="CN53" s="88"/>
      <c r="CO53" s="89"/>
      <c r="CP53" s="89"/>
      <c r="CQ53" s="89"/>
      <c r="CR53" s="89"/>
    </row>
    <row r="54" spans="1:114" ht="20.25" customHeight="1" x14ac:dyDescent="0.25">
      <c r="B54" s="7682" t="s">
        <v>27</v>
      </c>
      <c r="C54" s="7671" t="s">
        <v>28</v>
      </c>
      <c r="D54" s="7298" t="s">
        <v>3319</v>
      </c>
      <c r="E54" s="7298"/>
      <c r="F54" s="7298"/>
      <c r="G54" s="7339"/>
      <c r="H54" s="7402" t="s">
        <v>3350</v>
      </c>
      <c r="I54" s="7391"/>
    </row>
    <row r="55" spans="1:114" ht="31.5" x14ac:dyDescent="0.25">
      <c r="B55" s="7659"/>
      <c r="C55" s="7672"/>
      <c r="D55" s="1286" t="s">
        <v>976</v>
      </c>
      <c r="E55" s="1799" t="s">
        <v>3306</v>
      </c>
      <c r="F55" s="1752" t="s">
        <v>3307</v>
      </c>
      <c r="G55" s="1757" t="s">
        <v>3308</v>
      </c>
      <c r="H55" s="4921" t="s">
        <v>3351</v>
      </c>
      <c r="I55" s="4492" t="s">
        <v>3352</v>
      </c>
    </row>
    <row r="56" spans="1:114" x14ac:dyDescent="0.25">
      <c r="A56" s="5818">
        <v>28010100</v>
      </c>
      <c r="B56" s="4922" t="s">
        <v>3353</v>
      </c>
      <c r="C56" s="4040" t="s">
        <v>4567</v>
      </c>
      <c r="D56" s="4671" t="s">
        <v>4568</v>
      </c>
      <c r="E56" s="3773" t="s">
        <v>4569</v>
      </c>
      <c r="F56" s="2656" t="s">
        <v>4570</v>
      </c>
      <c r="G56" s="4923" t="s">
        <v>4571</v>
      </c>
      <c r="H56" s="2655" t="s">
        <v>4572</v>
      </c>
      <c r="I56" s="2657" t="s">
        <v>4573</v>
      </c>
      <c r="J56" t="e">
        <f>CB56&amp;CC56&amp;CD56</f>
        <v>#VALUE!</v>
      </c>
      <c r="CB56" s="431" t="str">
        <f>IF(AND($C56&gt;0,$H56="")," * No olvide digitar la variable "&amp;$H$54&amp;""&amp;" Presencial (Establecimiento). Digite CERO si no tiene.","")</f>
        <v/>
      </c>
      <c r="CC56" s="431" t="str">
        <f>IF(AND($C56&gt;0,$I56="")," * No olvide digitar la variable "&amp;$H$54&amp;""&amp;" Domiciliaria. Digite CERO si no tiene.","")</f>
        <v/>
      </c>
      <c r="CD56" s="431" t="e">
        <f>IF(AND($H56+$I56&gt;$C56)," * La variable "&amp;$H$54&amp;""&amp;" No puede ser mayor al Total.","")</f>
        <v>#VALUE!</v>
      </c>
      <c r="CN56" s="180">
        <f>IF(AND($C56&gt;0,$H56=""),1,0)</f>
        <v>0</v>
      </c>
      <c r="CO56" s="180">
        <f>IF(AND($C56&gt;0,$I56=""),1,0)</f>
        <v>0</v>
      </c>
      <c r="CP56" s="180" t="e">
        <f>IF(AND($H56+$I56&gt;$C56),1,0)</f>
        <v>#VALUE!</v>
      </c>
    </row>
    <row r="57" spans="1:114" x14ac:dyDescent="0.25">
      <c r="A57" s="5818">
        <v>28010200</v>
      </c>
      <c r="B57" s="4877" t="s">
        <v>3354</v>
      </c>
      <c r="C57" s="4040" t="s">
        <v>4567</v>
      </c>
      <c r="D57" s="4673" t="s">
        <v>4568</v>
      </c>
      <c r="E57" s="4704" t="s">
        <v>4569</v>
      </c>
      <c r="F57" s="4674" t="s">
        <v>4570</v>
      </c>
      <c r="G57" s="4924" t="s">
        <v>4571</v>
      </c>
      <c r="H57" s="4925" t="s">
        <v>4572</v>
      </c>
      <c r="I57" s="4675" t="s">
        <v>4573</v>
      </c>
      <c r="J57" t="e">
        <f t="shared" ref="J57:J60" si="21">CB57&amp;CC57&amp;CD57</f>
        <v>#VALUE!</v>
      </c>
      <c r="CB57" s="431" t="str">
        <f t="shared" ref="CB57:CB60" si="22">IF(AND($C57&gt;0,$H57="")," * No olvide digitar la variable "&amp;$H$54&amp;""&amp;" Presencial (Establecimiento). Digite CERO si no tiene.","")</f>
        <v/>
      </c>
      <c r="CC57" s="431" t="str">
        <f t="shared" ref="CC57:CC60" si="23">IF(AND($C57&gt;0,$I57="")," * No olvide digitar la variable "&amp;$H$54&amp;""&amp;" Domiciliaria. Digite CERO si no tiene.","")</f>
        <v/>
      </c>
      <c r="CD57" s="431" t="e">
        <f t="shared" ref="CD57:CD60" si="24">IF(AND($H57+$I57&gt;$C57)," * La variable "&amp;$H$54&amp;""&amp;" No puede ser mayor al Total.","")</f>
        <v>#VALUE!</v>
      </c>
      <c r="CN57" s="180">
        <f t="shared" ref="CN57:CN60" si="25">IF(AND($C57&gt;0,$H57=""),1,0)</f>
        <v>0</v>
      </c>
      <c r="CO57" s="180">
        <f t="shared" ref="CO57:CO60" si="26">IF(AND($C57&gt;0,$I57=""),1,0)</f>
        <v>0</v>
      </c>
      <c r="CP57" s="180" t="e">
        <f t="shared" ref="CP57:CP60" si="27">IF(AND($H57+$I57&gt;$C57),1,0)</f>
        <v>#VALUE!</v>
      </c>
    </row>
    <row r="58" spans="1:114" x14ac:dyDescent="0.25">
      <c r="A58" s="5818">
        <v>28010300</v>
      </c>
      <c r="B58" s="4877" t="s">
        <v>3355</v>
      </c>
      <c r="C58" s="4040" t="s">
        <v>4567</v>
      </c>
      <c r="D58" s="4673" t="s">
        <v>4568</v>
      </c>
      <c r="E58" s="4704" t="s">
        <v>4569</v>
      </c>
      <c r="F58" s="4674" t="s">
        <v>4570</v>
      </c>
      <c r="G58" s="4924" t="s">
        <v>4571</v>
      </c>
      <c r="H58" s="4925" t="s">
        <v>4572</v>
      </c>
      <c r="I58" s="4675" t="s">
        <v>4573</v>
      </c>
      <c r="J58" t="e">
        <f t="shared" si="21"/>
        <v>#VALUE!</v>
      </c>
      <c r="CB58" s="431" t="str">
        <f t="shared" si="22"/>
        <v/>
      </c>
      <c r="CC58" s="431" t="str">
        <f t="shared" si="23"/>
        <v/>
      </c>
      <c r="CD58" s="431" t="e">
        <f t="shared" si="24"/>
        <v>#VALUE!</v>
      </c>
      <c r="CN58" s="180">
        <f t="shared" si="25"/>
        <v>0</v>
      </c>
      <c r="CO58" s="180">
        <f t="shared" si="26"/>
        <v>0</v>
      </c>
      <c r="CP58" s="180" t="e">
        <f t="shared" si="27"/>
        <v>#VALUE!</v>
      </c>
    </row>
    <row r="59" spans="1:114" x14ac:dyDescent="0.25">
      <c r="A59" s="5818">
        <v>28010400</v>
      </c>
      <c r="B59" s="4877" t="s">
        <v>3356</v>
      </c>
      <c r="C59" s="4040" t="s">
        <v>4567</v>
      </c>
      <c r="D59" s="4673" t="s">
        <v>4568</v>
      </c>
      <c r="E59" s="4704" t="s">
        <v>4569</v>
      </c>
      <c r="F59" s="4674" t="s">
        <v>4570</v>
      </c>
      <c r="G59" s="4924" t="s">
        <v>4571</v>
      </c>
      <c r="H59" s="4925" t="s">
        <v>4572</v>
      </c>
      <c r="I59" s="4675" t="s">
        <v>4573</v>
      </c>
      <c r="J59" t="e">
        <f t="shared" si="21"/>
        <v>#VALUE!</v>
      </c>
      <c r="CB59" s="431" t="str">
        <f t="shared" si="22"/>
        <v/>
      </c>
      <c r="CC59" s="431" t="str">
        <f t="shared" si="23"/>
        <v/>
      </c>
      <c r="CD59" s="431" t="e">
        <f t="shared" si="24"/>
        <v>#VALUE!</v>
      </c>
      <c r="CN59" s="180">
        <f t="shared" si="25"/>
        <v>0</v>
      </c>
      <c r="CO59" s="180">
        <f t="shared" si="26"/>
        <v>0</v>
      </c>
      <c r="CP59" s="180" t="e">
        <f t="shared" si="27"/>
        <v>#VALUE!</v>
      </c>
    </row>
    <row r="60" spans="1:114" x14ac:dyDescent="0.25">
      <c r="A60" s="5818">
        <v>28010500</v>
      </c>
      <c r="B60" s="4877" t="s">
        <v>503</v>
      </c>
      <c r="C60" s="4040" t="s">
        <v>4567</v>
      </c>
      <c r="D60" s="4676" t="s">
        <v>4568</v>
      </c>
      <c r="E60" s="4926" t="s">
        <v>4569</v>
      </c>
      <c r="F60" s="4677" t="s">
        <v>4570</v>
      </c>
      <c r="G60" s="4927" t="s">
        <v>4571</v>
      </c>
      <c r="H60" s="4928" t="s">
        <v>4572</v>
      </c>
      <c r="I60" s="815" t="s">
        <v>4573</v>
      </c>
      <c r="J60" t="e">
        <f t="shared" si="21"/>
        <v>#VALUE!</v>
      </c>
      <c r="CB60" s="431" t="str">
        <f t="shared" si="22"/>
        <v/>
      </c>
      <c r="CC60" s="431" t="str">
        <f t="shared" si="23"/>
        <v/>
      </c>
      <c r="CD60" s="431" t="e">
        <f t="shared" si="24"/>
        <v>#VALUE!</v>
      </c>
      <c r="CN60" s="180">
        <f t="shared" si="25"/>
        <v>0</v>
      </c>
      <c r="CO60" s="180">
        <f t="shared" si="26"/>
        <v>0</v>
      </c>
      <c r="CP60" s="180" t="e">
        <f t="shared" si="27"/>
        <v>#VALUE!</v>
      </c>
    </row>
    <row r="61" spans="1:114" x14ac:dyDescent="0.25">
      <c r="A61" s="5863"/>
      <c r="B61" s="4929" t="s">
        <v>77</v>
      </c>
      <c r="C61" s="4930">
        <f t="shared" ref="C61:H61" si="28">SUM(C56:C60)</f>
        <v>0</v>
      </c>
      <c r="D61" s="386">
        <f t="shared" si="28"/>
        <v>0</v>
      </c>
      <c r="E61" s="1301">
        <f t="shared" si="28"/>
        <v>0</v>
      </c>
      <c r="F61" s="1302">
        <f t="shared" si="28"/>
        <v>0</v>
      </c>
      <c r="G61" s="4931">
        <f t="shared" si="28"/>
        <v>0</v>
      </c>
      <c r="H61" s="4932">
        <f t="shared" si="28"/>
        <v>0</v>
      </c>
      <c r="I61" s="386">
        <f>SUM(I56:I60)</f>
        <v>0</v>
      </c>
    </row>
    <row r="62" spans="1:114" ht="18" customHeight="1" x14ac:dyDescent="0.25">
      <c r="A62" s="9"/>
      <c r="B62" s="3" t="s">
        <v>3357</v>
      </c>
      <c r="C62" s="8"/>
      <c r="D62" s="8"/>
      <c r="E62" s="1"/>
      <c r="F62" s="1"/>
      <c r="G62" s="1"/>
      <c r="H62" s="1"/>
      <c r="I62" s="1"/>
      <c r="J62" s="1"/>
      <c r="K62" s="1"/>
      <c r="L62" s="1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</row>
    <row r="63" spans="1:114" x14ac:dyDescent="0.25">
      <c r="A63" s="9"/>
      <c r="B63" s="7682" t="s">
        <v>27</v>
      </c>
      <c r="C63" s="6786" t="s">
        <v>28</v>
      </c>
      <c r="D63" s="7683" t="s">
        <v>29</v>
      </c>
      <c r="E63" s="7683"/>
      <c r="F63" s="7683"/>
      <c r="G63" s="7683"/>
      <c r="H63" s="7683"/>
      <c r="I63" s="7683"/>
      <c r="J63" s="7683"/>
      <c r="K63" s="7683"/>
      <c r="L63" s="7683"/>
      <c r="M63" s="7683"/>
      <c r="N63" s="7683"/>
      <c r="O63" s="7683"/>
      <c r="P63" s="7683"/>
      <c r="Q63" s="7683"/>
      <c r="R63" s="7683"/>
      <c r="S63" s="7683"/>
      <c r="T63" s="7684"/>
      <c r="U63" s="7298" t="s">
        <v>3319</v>
      </c>
      <c r="V63" s="7298"/>
      <c r="W63" s="7298"/>
      <c r="X63" s="7244"/>
      <c r="Y63" s="7416" t="s">
        <v>3358</v>
      </c>
      <c r="Z63" s="7677"/>
      <c r="AA63" s="7417"/>
    </row>
    <row r="64" spans="1:114" ht="31.5" x14ac:dyDescent="0.25">
      <c r="A64" s="9"/>
      <c r="B64" s="7659"/>
      <c r="C64" s="6955"/>
      <c r="D64" s="4933" t="s">
        <v>1334</v>
      </c>
      <c r="E64" s="4934" t="s">
        <v>1335</v>
      </c>
      <c r="F64" s="4934" t="s">
        <v>1389</v>
      </c>
      <c r="G64" s="4934" t="s">
        <v>3320</v>
      </c>
      <c r="H64" s="4934" t="s">
        <v>3321</v>
      </c>
      <c r="I64" s="4934" t="s">
        <v>3322</v>
      </c>
      <c r="J64" s="4934" t="s">
        <v>3323</v>
      </c>
      <c r="K64" s="4934" t="s">
        <v>1394</v>
      </c>
      <c r="L64" s="4934" t="s">
        <v>1395</v>
      </c>
      <c r="M64" s="4934" t="s">
        <v>3324</v>
      </c>
      <c r="N64" s="4934" t="s">
        <v>1397</v>
      </c>
      <c r="O64" s="4934" t="s">
        <v>1398</v>
      </c>
      <c r="P64" s="4934" t="s">
        <v>1399</v>
      </c>
      <c r="Q64" s="4934" t="s">
        <v>1400</v>
      </c>
      <c r="R64" s="4934" t="s">
        <v>1401</v>
      </c>
      <c r="S64" s="4934" t="s">
        <v>1402</v>
      </c>
      <c r="T64" s="4935" t="s">
        <v>57</v>
      </c>
      <c r="U64" s="1286" t="s">
        <v>3325</v>
      </c>
      <c r="V64" s="1110" t="s">
        <v>3306</v>
      </c>
      <c r="W64" s="1213" t="s">
        <v>3307</v>
      </c>
      <c r="X64" s="1213" t="s">
        <v>3308</v>
      </c>
      <c r="Y64" s="4936" t="s">
        <v>3359</v>
      </c>
      <c r="Z64" s="1213" t="s">
        <v>3360</v>
      </c>
      <c r="AA64" s="1067" t="s">
        <v>3352</v>
      </c>
    </row>
    <row r="65" spans="1:96" x14ac:dyDescent="0.25">
      <c r="A65" s="5818">
        <v>28011000</v>
      </c>
      <c r="B65" s="4877" t="s">
        <v>3354</v>
      </c>
      <c r="C65" s="3100" t="s">
        <v>4567</v>
      </c>
      <c r="D65" s="4673" t="s">
        <v>4568</v>
      </c>
      <c r="E65" s="4674" t="s">
        <v>4569</v>
      </c>
      <c r="F65" s="4674" t="s">
        <v>4570</v>
      </c>
      <c r="G65" s="4674" t="s">
        <v>4571</v>
      </c>
      <c r="H65" s="4674" t="s">
        <v>4572</v>
      </c>
      <c r="I65" s="4674" t="s">
        <v>4573</v>
      </c>
      <c r="J65" s="4674" t="s">
        <v>4574</v>
      </c>
      <c r="K65" s="4674" t="s">
        <v>4575</v>
      </c>
      <c r="L65" s="4674" t="s">
        <v>4576</v>
      </c>
      <c r="M65" s="4674" t="s">
        <v>4577</v>
      </c>
      <c r="N65" s="4674" t="s">
        <v>4578</v>
      </c>
      <c r="O65" s="4674" t="s">
        <v>4579</v>
      </c>
      <c r="P65" s="4674" t="s">
        <v>4580</v>
      </c>
      <c r="Q65" s="4674" t="s">
        <v>4581</v>
      </c>
      <c r="R65" s="4674" t="s">
        <v>4582</v>
      </c>
      <c r="S65" s="4674" t="s">
        <v>4583</v>
      </c>
      <c r="T65" s="4937" t="s">
        <v>4584</v>
      </c>
      <c r="U65" s="22" t="s">
        <v>4585</v>
      </c>
      <c r="V65" s="531" t="s">
        <v>4586</v>
      </c>
      <c r="W65" s="531" t="s">
        <v>4587</v>
      </c>
      <c r="X65" s="107" t="s">
        <v>4588</v>
      </c>
      <c r="Y65" s="290" t="s">
        <v>4589</v>
      </c>
      <c r="Z65" s="531" t="s">
        <v>4590</v>
      </c>
      <c r="AA65" s="107" t="s">
        <v>4591</v>
      </c>
      <c r="AB65" s="1864" t="e">
        <f>CB65&amp;CC65</f>
        <v>#VALUE!</v>
      </c>
      <c r="BG65" s="1936"/>
      <c r="BH65" s="1936"/>
      <c r="BI65" s="1936"/>
      <c r="BJ65" s="1936"/>
      <c r="BK65" s="1936"/>
      <c r="BL65" s="1936"/>
      <c r="BM65" s="1936"/>
      <c r="BN65" s="1936"/>
      <c r="BO65" s="1936"/>
      <c r="BP65" s="1936"/>
      <c r="BQ65" s="1936"/>
      <c r="BR65" s="1936"/>
      <c r="BS65" s="1936"/>
      <c r="BT65" s="1936"/>
      <c r="BU65" s="1936"/>
      <c r="BV65" s="1936"/>
      <c r="BW65" s="1936"/>
      <c r="BX65" s="1936"/>
      <c r="BY65" s="1936"/>
      <c r="BZ65" s="1936"/>
      <c r="CA65" s="1936"/>
      <c r="CB65" s="1865" t="e">
        <f>IF(U65+V65+W65+X65&lt;&gt;$C65,"* La suma de "&amp;U$63&amp;""&amp;" no debe ser distinto del Total. ","")</f>
        <v>#VALUE!</v>
      </c>
      <c r="CC65" s="1865" t="e">
        <f>IF(Y65+Z65+AA65&gt;$C65,"* La suma de "&amp;Y$63&amp;""&amp;" no puede superar el Total. ","")</f>
        <v>#VALUE!</v>
      </c>
      <c r="CF65" s="1936"/>
      <c r="CM65" s="1936"/>
      <c r="CN65" s="1867" t="e">
        <f>IF(U65+V65+W65+X65&lt;&gt;$C65,1,0)</f>
        <v>#VALUE!</v>
      </c>
      <c r="CO65" s="1867" t="e">
        <f>IF(Y65+Z65+AA65&gt;$C65,1,0)</f>
        <v>#VALUE!</v>
      </c>
      <c r="CP65"/>
      <c r="CQ65"/>
      <c r="CR65"/>
    </row>
    <row r="66" spans="1:96" x14ac:dyDescent="0.25">
      <c r="A66" s="5818">
        <v>28011100</v>
      </c>
      <c r="B66" s="4877" t="s">
        <v>3355</v>
      </c>
      <c r="C66" s="4593" t="s">
        <v>4567</v>
      </c>
      <c r="D66" s="4673" t="s">
        <v>4568</v>
      </c>
      <c r="E66" s="4674" t="s">
        <v>4569</v>
      </c>
      <c r="F66" s="4674" t="s">
        <v>4570</v>
      </c>
      <c r="G66" s="4674" t="s">
        <v>4571</v>
      </c>
      <c r="H66" s="4674" t="s">
        <v>4572</v>
      </c>
      <c r="I66" s="4674" t="s">
        <v>4573</v>
      </c>
      <c r="J66" s="4674" t="s">
        <v>4574</v>
      </c>
      <c r="K66" s="4674" t="s">
        <v>4575</v>
      </c>
      <c r="L66" s="4674" t="s">
        <v>4576</v>
      </c>
      <c r="M66" s="4674" t="s">
        <v>4577</v>
      </c>
      <c r="N66" s="4674" t="s">
        <v>4578</v>
      </c>
      <c r="O66" s="4674" t="s">
        <v>4579</v>
      </c>
      <c r="P66" s="4674" t="s">
        <v>4580</v>
      </c>
      <c r="Q66" s="4674" t="s">
        <v>4581</v>
      </c>
      <c r="R66" s="4674" t="s">
        <v>4582</v>
      </c>
      <c r="S66" s="4674" t="s">
        <v>4583</v>
      </c>
      <c r="T66" s="4937" t="s">
        <v>4584</v>
      </c>
      <c r="U66" s="1091" t="s">
        <v>4585</v>
      </c>
      <c r="V66" s="1253" t="s">
        <v>4586</v>
      </c>
      <c r="W66" s="1253" t="s">
        <v>4587</v>
      </c>
      <c r="X66" s="1090" t="s">
        <v>4588</v>
      </c>
      <c r="Y66" s="1089" t="s">
        <v>4589</v>
      </c>
      <c r="Z66" s="1253" t="s">
        <v>4590</v>
      </c>
      <c r="AA66" s="1090" t="s">
        <v>4591</v>
      </c>
      <c r="AB66" s="1864" t="e">
        <f t="shared" ref="AB66:AB68" si="29">CB66&amp;CC66</f>
        <v>#VALUE!</v>
      </c>
      <c r="BG66" s="1936"/>
      <c r="BH66" s="1936"/>
      <c r="BI66" s="1936"/>
      <c r="BJ66" s="1936"/>
      <c r="BK66" s="1936"/>
      <c r="BL66" s="1936"/>
      <c r="BM66" s="1936"/>
      <c r="BN66" s="1936"/>
      <c r="BO66" s="1936"/>
      <c r="BP66" s="1936"/>
      <c r="BQ66" s="1936"/>
      <c r="BR66" s="1936"/>
      <c r="BS66" s="1936"/>
      <c r="BT66" s="1936"/>
      <c r="BU66" s="1936"/>
      <c r="BV66" s="1936"/>
      <c r="BW66" s="1936"/>
      <c r="BX66" s="1936"/>
      <c r="BY66" s="1936"/>
      <c r="BZ66" s="1936"/>
      <c r="CA66" s="1936"/>
      <c r="CB66" s="1865" t="e">
        <f t="shared" ref="CB66:CB68" si="30">IF(U66+V66+W66+X66&lt;&gt;$C66,"* La suma de "&amp;U$63&amp;""&amp;" no debe ser distinto del Total. ","")</f>
        <v>#VALUE!</v>
      </c>
      <c r="CC66" s="1865" t="e">
        <f t="shared" ref="CC66:CC68" si="31">IF(Y66+Z66+AA66&gt;$C66,"* La suma de "&amp;Y$63&amp;""&amp;" no puede superar el Total. ","")</f>
        <v>#VALUE!</v>
      </c>
      <c r="CF66" s="1936"/>
      <c r="CM66" s="1936"/>
      <c r="CN66" s="1867" t="e">
        <f>IF(U66+V66+W66+X66&lt;&gt;$C66,1,0)</f>
        <v>#VALUE!</v>
      </c>
      <c r="CO66" s="1867" t="e">
        <f>IF(Y66+Z66+AA66&gt;$C66,1,0)</f>
        <v>#VALUE!</v>
      </c>
      <c r="CP66"/>
      <c r="CQ66"/>
      <c r="CR66"/>
    </row>
    <row r="67" spans="1:96" x14ac:dyDescent="0.25">
      <c r="A67" s="5818">
        <v>28011200</v>
      </c>
      <c r="B67" s="4877" t="s">
        <v>3356</v>
      </c>
      <c r="C67" s="4593" t="s">
        <v>4567</v>
      </c>
      <c r="D67" s="4673" t="s">
        <v>4568</v>
      </c>
      <c r="E67" s="4674" t="s">
        <v>4569</v>
      </c>
      <c r="F67" s="4674" t="s">
        <v>4570</v>
      </c>
      <c r="G67" s="4674" t="s">
        <v>4571</v>
      </c>
      <c r="H67" s="4674" t="s">
        <v>4572</v>
      </c>
      <c r="I67" s="4674" t="s">
        <v>4573</v>
      </c>
      <c r="J67" s="4674" t="s">
        <v>4574</v>
      </c>
      <c r="K67" s="4674" t="s">
        <v>4575</v>
      </c>
      <c r="L67" s="4674" t="s">
        <v>4576</v>
      </c>
      <c r="M67" s="4674" t="s">
        <v>4577</v>
      </c>
      <c r="N67" s="4674" t="s">
        <v>4578</v>
      </c>
      <c r="O67" s="4674" t="s">
        <v>4579</v>
      </c>
      <c r="P67" s="4674" t="s">
        <v>4580</v>
      </c>
      <c r="Q67" s="4674" t="s">
        <v>4581</v>
      </c>
      <c r="R67" s="4674" t="s">
        <v>4582</v>
      </c>
      <c r="S67" s="4674" t="s">
        <v>4583</v>
      </c>
      <c r="T67" s="4937" t="s">
        <v>4584</v>
      </c>
      <c r="U67" s="1091" t="s">
        <v>4585</v>
      </c>
      <c r="V67" s="1253" t="s">
        <v>4586</v>
      </c>
      <c r="W67" s="1253" t="s">
        <v>4587</v>
      </c>
      <c r="X67" s="1090" t="s">
        <v>4588</v>
      </c>
      <c r="Y67" s="1089" t="s">
        <v>4589</v>
      </c>
      <c r="Z67" s="1253" t="s">
        <v>4590</v>
      </c>
      <c r="AA67" s="1090" t="s">
        <v>4591</v>
      </c>
      <c r="AB67" s="1864" t="e">
        <f t="shared" si="29"/>
        <v>#VALUE!</v>
      </c>
      <c r="BG67" s="1936"/>
      <c r="BH67" s="1936"/>
      <c r="BI67" s="1936"/>
      <c r="BJ67" s="1936"/>
      <c r="BK67" s="1936"/>
      <c r="BL67" s="1936"/>
      <c r="BM67" s="1936"/>
      <c r="BN67" s="1936"/>
      <c r="BO67" s="1936"/>
      <c r="BP67" s="1936"/>
      <c r="BQ67" s="1936"/>
      <c r="BR67" s="1936"/>
      <c r="BS67" s="1936"/>
      <c r="BT67" s="1936"/>
      <c r="BU67" s="1936"/>
      <c r="BV67" s="1936"/>
      <c r="BW67" s="1936"/>
      <c r="BX67" s="1936"/>
      <c r="BY67" s="1936"/>
      <c r="BZ67" s="1936"/>
      <c r="CA67" s="1936"/>
      <c r="CB67" s="1865" t="e">
        <f t="shared" si="30"/>
        <v>#VALUE!</v>
      </c>
      <c r="CC67" s="1865" t="e">
        <f t="shared" si="31"/>
        <v>#VALUE!</v>
      </c>
      <c r="CF67" s="1936"/>
      <c r="CM67" s="1936"/>
      <c r="CN67" s="1867" t="e">
        <f>IF(U67+V67+W67+X67&lt;&gt;$C67,1,0)</f>
        <v>#VALUE!</v>
      </c>
      <c r="CO67" s="1867" t="e">
        <f>IF(Y67+Z67+AA67&gt;$C67,1,0)</f>
        <v>#VALUE!</v>
      </c>
    </row>
    <row r="68" spans="1:96" x14ac:dyDescent="0.25">
      <c r="A68" s="5818">
        <v>28011300</v>
      </c>
      <c r="B68" s="4877" t="s">
        <v>503</v>
      </c>
      <c r="C68" s="4938" t="s">
        <v>4567</v>
      </c>
      <c r="D68" s="4673" t="s">
        <v>4568</v>
      </c>
      <c r="E68" s="4674" t="s">
        <v>4569</v>
      </c>
      <c r="F68" s="4674" t="s">
        <v>4570</v>
      </c>
      <c r="G68" s="4674" t="s">
        <v>4571</v>
      </c>
      <c r="H68" s="4674" t="s">
        <v>4572</v>
      </c>
      <c r="I68" s="4674" t="s">
        <v>4573</v>
      </c>
      <c r="J68" s="4674" t="s">
        <v>4574</v>
      </c>
      <c r="K68" s="4674" t="s">
        <v>4575</v>
      </c>
      <c r="L68" s="4674" t="s">
        <v>4576</v>
      </c>
      <c r="M68" s="4674" t="s">
        <v>4577</v>
      </c>
      <c r="N68" s="4674" t="s">
        <v>4578</v>
      </c>
      <c r="O68" s="4674" t="s">
        <v>4579</v>
      </c>
      <c r="P68" s="4674" t="s">
        <v>4580</v>
      </c>
      <c r="Q68" s="4674" t="s">
        <v>4581</v>
      </c>
      <c r="R68" s="4674" t="s">
        <v>4582</v>
      </c>
      <c r="S68" s="4674" t="s">
        <v>4583</v>
      </c>
      <c r="T68" s="4937" t="s">
        <v>4584</v>
      </c>
      <c r="U68" s="1127" t="s">
        <v>4585</v>
      </c>
      <c r="V68" s="1258" t="s">
        <v>4586</v>
      </c>
      <c r="W68" s="1258" t="s">
        <v>4587</v>
      </c>
      <c r="X68" s="387" t="s">
        <v>4588</v>
      </c>
      <c r="Y68" s="1114" t="s">
        <v>4589</v>
      </c>
      <c r="Z68" s="1258" t="s">
        <v>4590</v>
      </c>
      <c r="AA68" s="387" t="s">
        <v>4591</v>
      </c>
      <c r="AB68" s="1864" t="e">
        <f t="shared" si="29"/>
        <v>#VALUE!</v>
      </c>
      <c r="BG68" s="1936"/>
      <c r="BH68" s="1936"/>
      <c r="BI68" s="1936"/>
      <c r="BJ68" s="1936"/>
      <c r="BK68" s="1936"/>
      <c r="BL68" s="1936"/>
      <c r="BM68" s="1936"/>
      <c r="BN68" s="1936"/>
      <c r="BO68" s="1936"/>
      <c r="BP68" s="1936"/>
      <c r="BQ68" s="1936"/>
      <c r="BR68" s="1936"/>
      <c r="BS68" s="1936"/>
      <c r="BT68" s="1936"/>
      <c r="BU68" s="1936"/>
      <c r="BV68" s="1936"/>
      <c r="BW68" s="1936"/>
      <c r="BX68" s="1936"/>
      <c r="BY68" s="1936"/>
      <c r="BZ68" s="1936"/>
      <c r="CA68" s="1936"/>
      <c r="CB68" s="1865" t="e">
        <f t="shared" si="30"/>
        <v>#VALUE!</v>
      </c>
      <c r="CC68" s="1865" t="e">
        <f t="shared" si="31"/>
        <v>#VALUE!</v>
      </c>
      <c r="CF68" s="1936"/>
      <c r="CM68" s="1936"/>
      <c r="CN68" s="1867" t="e">
        <f>IF(U68+V68+W68+X68&lt;&gt;$C68,1,0)</f>
        <v>#VALUE!</v>
      </c>
      <c r="CO68" s="1867" t="e">
        <f>IF(Y68+Z68+AA68&gt;$C68,1,0)</f>
        <v>#VALUE!</v>
      </c>
    </row>
    <row r="69" spans="1:96" x14ac:dyDescent="0.25">
      <c r="A69" s="5611"/>
      <c r="B69" s="4929" t="s">
        <v>77</v>
      </c>
      <c r="C69" s="4939">
        <f>SUM(C65:C68)</f>
        <v>0</v>
      </c>
      <c r="D69" s="4940">
        <f>SUM(D65:D68)</f>
        <v>0</v>
      </c>
      <c r="E69" s="4941">
        <f t="shared" ref="E69:AA69" si="32">SUM(E65:E68)</f>
        <v>0</v>
      </c>
      <c r="F69" s="4941">
        <f t="shared" si="32"/>
        <v>0</v>
      </c>
      <c r="G69" s="4941">
        <f t="shared" si="32"/>
        <v>0</v>
      </c>
      <c r="H69" s="4941">
        <f t="shared" si="32"/>
        <v>0</v>
      </c>
      <c r="I69" s="4941">
        <f t="shared" si="32"/>
        <v>0</v>
      </c>
      <c r="J69" s="4941">
        <f t="shared" si="32"/>
        <v>0</v>
      </c>
      <c r="K69" s="4941">
        <f t="shared" si="32"/>
        <v>0</v>
      </c>
      <c r="L69" s="4941">
        <f t="shared" si="32"/>
        <v>0</v>
      </c>
      <c r="M69" s="4941">
        <f t="shared" si="32"/>
        <v>0</v>
      </c>
      <c r="N69" s="4941">
        <f t="shared" si="32"/>
        <v>0</v>
      </c>
      <c r="O69" s="4941">
        <f t="shared" si="32"/>
        <v>0</v>
      </c>
      <c r="P69" s="4941">
        <f t="shared" si="32"/>
        <v>0</v>
      </c>
      <c r="Q69" s="4941">
        <f t="shared" si="32"/>
        <v>0</v>
      </c>
      <c r="R69" s="4941">
        <f t="shared" si="32"/>
        <v>0</v>
      </c>
      <c r="S69" s="4941">
        <f t="shared" si="32"/>
        <v>0</v>
      </c>
      <c r="T69" s="4942">
        <f t="shared" si="32"/>
        <v>0</v>
      </c>
      <c r="U69" s="4943">
        <f t="shared" si="32"/>
        <v>0</v>
      </c>
      <c r="V69" s="4941">
        <f t="shared" si="32"/>
        <v>0</v>
      </c>
      <c r="W69" s="4941">
        <f t="shared" si="32"/>
        <v>0</v>
      </c>
      <c r="X69" s="4563">
        <f t="shared" si="32"/>
        <v>0</v>
      </c>
      <c r="Y69" s="4940">
        <f t="shared" si="32"/>
        <v>0</v>
      </c>
      <c r="Z69" s="4941">
        <f t="shared" si="32"/>
        <v>0</v>
      </c>
      <c r="AA69" s="4563">
        <f t="shared" si="32"/>
        <v>0</v>
      </c>
    </row>
    <row r="70" spans="1:96" ht="18" customHeight="1" x14ac:dyDescent="0.25">
      <c r="B70" s="3" t="s">
        <v>3361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</row>
    <row r="71" spans="1:96" x14ac:dyDescent="0.25">
      <c r="B71" s="7682" t="s">
        <v>27</v>
      </c>
      <c r="C71" s="7671" t="s">
        <v>28</v>
      </c>
      <c r="D71" s="7683" t="s">
        <v>29</v>
      </c>
      <c r="E71" s="7683"/>
      <c r="F71" s="7683"/>
      <c r="G71" s="7683"/>
      <c r="H71" s="7683"/>
      <c r="I71" s="7683"/>
      <c r="J71" s="7683"/>
      <c r="K71" s="7683"/>
      <c r="L71" s="7683"/>
      <c r="M71" s="7683"/>
      <c r="N71" s="7683"/>
      <c r="O71" s="7683"/>
      <c r="P71" s="7683"/>
      <c r="Q71" s="7683"/>
      <c r="R71" s="7683"/>
      <c r="S71" s="7683"/>
      <c r="T71" s="7684"/>
      <c r="U71" s="7291" t="s">
        <v>3319</v>
      </c>
      <c r="V71" s="7298"/>
      <c r="W71" s="7298"/>
      <c r="X71" s="7244"/>
      <c r="Y71" s="7416" t="s">
        <v>3358</v>
      </c>
      <c r="Z71" s="7677"/>
      <c r="AA71" s="7417"/>
    </row>
    <row r="72" spans="1:96" ht="31.5" x14ac:dyDescent="0.25">
      <c r="B72" s="7659"/>
      <c r="C72" s="7672"/>
      <c r="D72" s="4933" t="s">
        <v>1334</v>
      </c>
      <c r="E72" s="4934" t="s">
        <v>1335</v>
      </c>
      <c r="F72" s="4934" t="s">
        <v>1389</v>
      </c>
      <c r="G72" s="4934" t="s">
        <v>3320</v>
      </c>
      <c r="H72" s="4934" t="s">
        <v>3321</v>
      </c>
      <c r="I72" s="4934" t="s">
        <v>3322</v>
      </c>
      <c r="J72" s="4934" t="s">
        <v>3323</v>
      </c>
      <c r="K72" s="4934" t="s">
        <v>1394</v>
      </c>
      <c r="L72" s="4934" t="s">
        <v>1395</v>
      </c>
      <c r="M72" s="4934" t="s">
        <v>3324</v>
      </c>
      <c r="N72" s="4934" t="s">
        <v>1397</v>
      </c>
      <c r="O72" s="4934" t="s">
        <v>1398</v>
      </c>
      <c r="P72" s="4934" t="s">
        <v>1399</v>
      </c>
      <c r="Q72" s="4934" t="s">
        <v>1400</v>
      </c>
      <c r="R72" s="4934" t="s">
        <v>1401</v>
      </c>
      <c r="S72" s="4934" t="s">
        <v>1402</v>
      </c>
      <c r="T72" s="4935" t="s">
        <v>57</v>
      </c>
      <c r="U72" s="1286" t="s">
        <v>3325</v>
      </c>
      <c r="V72" s="1110" t="s">
        <v>3306</v>
      </c>
      <c r="W72" s="1213" t="s">
        <v>3307</v>
      </c>
      <c r="X72" s="1213" t="s">
        <v>3308</v>
      </c>
      <c r="Y72" s="4936" t="s">
        <v>3359</v>
      </c>
      <c r="Z72" s="1213" t="s">
        <v>3360</v>
      </c>
      <c r="AA72" s="1067" t="s">
        <v>3352</v>
      </c>
    </row>
    <row r="73" spans="1:96" x14ac:dyDescent="0.25">
      <c r="A73" s="5818">
        <v>28020660</v>
      </c>
      <c r="B73" s="4877" t="s">
        <v>3354</v>
      </c>
      <c r="C73" s="3100" t="s">
        <v>4567</v>
      </c>
      <c r="D73" s="4673" t="s">
        <v>4568</v>
      </c>
      <c r="E73" s="4674" t="s">
        <v>4569</v>
      </c>
      <c r="F73" s="4674" t="s">
        <v>4570</v>
      </c>
      <c r="G73" s="4674" t="s">
        <v>4571</v>
      </c>
      <c r="H73" s="4674" t="s">
        <v>4572</v>
      </c>
      <c r="I73" s="4674" t="s">
        <v>4573</v>
      </c>
      <c r="J73" s="4674" t="s">
        <v>4574</v>
      </c>
      <c r="K73" s="4674" t="s">
        <v>4575</v>
      </c>
      <c r="L73" s="4674" t="s">
        <v>4576</v>
      </c>
      <c r="M73" s="4674" t="s">
        <v>4577</v>
      </c>
      <c r="N73" s="4674" t="s">
        <v>4578</v>
      </c>
      <c r="O73" s="4674" t="s">
        <v>4579</v>
      </c>
      <c r="P73" s="4674" t="s">
        <v>4580</v>
      </c>
      <c r="Q73" s="4674" t="s">
        <v>4581</v>
      </c>
      <c r="R73" s="4674" t="s">
        <v>4582</v>
      </c>
      <c r="S73" s="4674" t="s">
        <v>4583</v>
      </c>
      <c r="T73" s="4937" t="s">
        <v>4584</v>
      </c>
      <c r="U73" s="290" t="s">
        <v>4585</v>
      </c>
      <c r="V73" s="22" t="s">
        <v>4586</v>
      </c>
      <c r="W73" s="531" t="s">
        <v>4587</v>
      </c>
      <c r="X73" s="531" t="s">
        <v>4588</v>
      </c>
      <c r="Y73" s="290" t="s">
        <v>4589</v>
      </c>
      <c r="Z73" s="531" t="s">
        <v>4590</v>
      </c>
      <c r="AA73" s="107" t="s">
        <v>4591</v>
      </c>
      <c r="AB73" s="1864" t="e">
        <f>CB73&amp;CC73</f>
        <v>#VALUE!</v>
      </c>
      <c r="BG73" s="1936"/>
      <c r="BH73" s="1936"/>
      <c r="BI73" s="1936"/>
      <c r="BJ73" s="1936"/>
      <c r="BK73" s="1936"/>
      <c r="BL73" s="1936"/>
      <c r="BM73" s="1936"/>
      <c r="BN73" s="1936"/>
      <c r="BO73" s="1936"/>
      <c r="BP73" s="1936"/>
      <c r="BQ73" s="1936"/>
      <c r="BR73" s="1936"/>
      <c r="BS73" s="1936"/>
      <c r="BT73" s="1936"/>
      <c r="BU73" s="1936"/>
      <c r="BV73" s="1936"/>
      <c r="BW73" s="1936"/>
      <c r="BX73" s="1936"/>
      <c r="BY73" s="1936"/>
      <c r="BZ73" s="1936"/>
      <c r="CA73" s="1936"/>
      <c r="CB73" s="1865" t="e">
        <f>IF(U73+V73+W73+X73&lt;&gt;$C73,"* La suma de "&amp;U$71&amp;""&amp;" no debe ser distinto del Total. ","")</f>
        <v>#VALUE!</v>
      </c>
      <c r="CC73" s="1865" t="e">
        <f>IF(Y73+Z73+AA73&gt;$C73,"* La suma de "&amp;Y$71&amp;""&amp;" no puede superar el Total. ","")</f>
        <v>#VALUE!</v>
      </c>
      <c r="CF73" s="1936"/>
      <c r="CM73" s="1936"/>
      <c r="CN73" s="1867" t="e">
        <f>IF(U73+V73+W73+X73&lt;&gt;$C73,1,0)</f>
        <v>#VALUE!</v>
      </c>
      <c r="CO73" s="1867" t="e">
        <f>IF(Y73+Z73+AA73&gt;$C73,1,0)</f>
        <v>#VALUE!</v>
      </c>
    </row>
    <row r="74" spans="1:96" x14ac:dyDescent="0.25">
      <c r="A74" s="5818">
        <v>28020670</v>
      </c>
      <c r="B74" s="4877" t="s">
        <v>3355</v>
      </c>
      <c r="C74" s="4593" t="s">
        <v>4567</v>
      </c>
      <c r="D74" s="4673" t="s">
        <v>4568</v>
      </c>
      <c r="E74" s="4674" t="s">
        <v>4569</v>
      </c>
      <c r="F74" s="4674" t="s">
        <v>4570</v>
      </c>
      <c r="G74" s="4674" t="s">
        <v>4571</v>
      </c>
      <c r="H74" s="4674" t="s">
        <v>4572</v>
      </c>
      <c r="I74" s="4674" t="s">
        <v>4573</v>
      </c>
      <c r="J74" s="4674" t="s">
        <v>4574</v>
      </c>
      <c r="K74" s="4674" t="s">
        <v>4575</v>
      </c>
      <c r="L74" s="4674" t="s">
        <v>4576</v>
      </c>
      <c r="M74" s="4674" t="s">
        <v>4577</v>
      </c>
      <c r="N74" s="4674" t="s">
        <v>4578</v>
      </c>
      <c r="O74" s="4674" t="s">
        <v>4579</v>
      </c>
      <c r="P74" s="4674" t="s">
        <v>4580</v>
      </c>
      <c r="Q74" s="4674" t="s">
        <v>4581</v>
      </c>
      <c r="R74" s="4674" t="s">
        <v>4582</v>
      </c>
      <c r="S74" s="4674" t="s">
        <v>4583</v>
      </c>
      <c r="T74" s="4937" t="s">
        <v>4584</v>
      </c>
      <c r="U74" s="1089" t="s">
        <v>4585</v>
      </c>
      <c r="V74" s="1091" t="s">
        <v>4586</v>
      </c>
      <c r="W74" s="1253" t="s">
        <v>4587</v>
      </c>
      <c r="X74" s="1253" t="s">
        <v>4588</v>
      </c>
      <c r="Y74" s="1089" t="s">
        <v>4589</v>
      </c>
      <c r="Z74" s="1253" t="s">
        <v>4590</v>
      </c>
      <c r="AA74" s="1090" t="s">
        <v>4591</v>
      </c>
      <c r="AB74" s="1864" t="e">
        <f t="shared" ref="AB74:AB76" si="33">CB74&amp;CC74</f>
        <v>#VALUE!</v>
      </c>
      <c r="BG74" s="1936"/>
      <c r="BH74" s="1936"/>
      <c r="BI74" s="1936"/>
      <c r="BJ74" s="1936"/>
      <c r="BK74" s="1936"/>
      <c r="BL74" s="1936"/>
      <c r="BM74" s="1936"/>
      <c r="BN74" s="1936"/>
      <c r="BO74" s="1936"/>
      <c r="BP74" s="1936"/>
      <c r="BQ74" s="1936"/>
      <c r="BR74" s="1936"/>
      <c r="BS74" s="1936"/>
      <c r="BT74" s="1936"/>
      <c r="BU74" s="1936"/>
      <c r="BV74" s="1936"/>
      <c r="BW74" s="1936"/>
      <c r="BX74" s="1936"/>
      <c r="BY74" s="1936"/>
      <c r="BZ74" s="1936"/>
      <c r="CA74" s="1936"/>
      <c r="CB74" s="1865" t="e">
        <f t="shared" ref="CB74:CB76" si="34">IF(U74+V74+W74+X74&lt;&gt;$C74,"* La suma de "&amp;U$71&amp;""&amp;" no debe ser distinto del Total. ","")</f>
        <v>#VALUE!</v>
      </c>
      <c r="CC74" s="1865" t="e">
        <f t="shared" ref="CC74:CC76" si="35">IF(Y74+Z74+AA74&gt;$C74,"* La suma de "&amp;Y$71&amp;""&amp;" no puede superar el Total. ","")</f>
        <v>#VALUE!</v>
      </c>
      <c r="CF74" s="1936"/>
      <c r="CM74" s="1936"/>
      <c r="CN74" s="1867" t="e">
        <f>IF(U74+V74+W74+X74&lt;&gt;$C74,1,0)</f>
        <v>#VALUE!</v>
      </c>
      <c r="CO74" s="1867" t="e">
        <f>IF(Y74+Z74+AA74&gt;$C74,1,0)</f>
        <v>#VALUE!</v>
      </c>
    </row>
    <row r="75" spans="1:96" x14ac:dyDescent="0.25">
      <c r="A75" s="5818">
        <v>28020680</v>
      </c>
      <c r="B75" s="4877" t="s">
        <v>3356</v>
      </c>
      <c r="C75" s="4593" t="s">
        <v>4567</v>
      </c>
      <c r="D75" s="4673" t="s">
        <v>4568</v>
      </c>
      <c r="E75" s="4674" t="s">
        <v>4569</v>
      </c>
      <c r="F75" s="4674" t="s">
        <v>4570</v>
      </c>
      <c r="G75" s="4674" t="s">
        <v>4571</v>
      </c>
      <c r="H75" s="4674" t="s">
        <v>4572</v>
      </c>
      <c r="I75" s="4674" t="s">
        <v>4573</v>
      </c>
      <c r="J75" s="4674" t="s">
        <v>4574</v>
      </c>
      <c r="K75" s="4674" t="s">
        <v>4575</v>
      </c>
      <c r="L75" s="4674" t="s">
        <v>4576</v>
      </c>
      <c r="M75" s="4674" t="s">
        <v>4577</v>
      </c>
      <c r="N75" s="4674" t="s">
        <v>4578</v>
      </c>
      <c r="O75" s="4674" t="s">
        <v>4579</v>
      </c>
      <c r="P75" s="4674" t="s">
        <v>4580</v>
      </c>
      <c r="Q75" s="4674" t="s">
        <v>4581</v>
      </c>
      <c r="R75" s="4674" t="s">
        <v>4582</v>
      </c>
      <c r="S75" s="4674" t="s">
        <v>4583</v>
      </c>
      <c r="T75" s="4937" t="s">
        <v>4584</v>
      </c>
      <c r="U75" s="1089" t="s">
        <v>4585</v>
      </c>
      <c r="V75" s="1091" t="s">
        <v>4586</v>
      </c>
      <c r="W75" s="1253" t="s">
        <v>4587</v>
      </c>
      <c r="X75" s="1253" t="s">
        <v>4588</v>
      </c>
      <c r="Y75" s="1089" t="s">
        <v>4589</v>
      </c>
      <c r="Z75" s="1253" t="s">
        <v>4590</v>
      </c>
      <c r="AA75" s="1090" t="s">
        <v>4591</v>
      </c>
      <c r="AB75" s="1864" t="e">
        <f t="shared" si="33"/>
        <v>#VALUE!</v>
      </c>
      <c r="BG75" s="1936"/>
      <c r="BH75" s="1936"/>
      <c r="BI75" s="1936"/>
      <c r="BJ75" s="1936"/>
      <c r="BK75" s="1936"/>
      <c r="BL75" s="1936"/>
      <c r="BM75" s="1936"/>
      <c r="BN75" s="1936"/>
      <c r="BO75" s="1936"/>
      <c r="BP75" s="1936"/>
      <c r="BQ75" s="1936"/>
      <c r="BR75" s="1936"/>
      <c r="BS75" s="1936"/>
      <c r="BT75" s="1936"/>
      <c r="BU75" s="1936"/>
      <c r="BV75" s="1936"/>
      <c r="BW75" s="1936"/>
      <c r="BX75" s="1936"/>
      <c r="BY75" s="1936"/>
      <c r="BZ75" s="1936"/>
      <c r="CA75" s="1936"/>
      <c r="CB75" s="1865" t="e">
        <f t="shared" si="34"/>
        <v>#VALUE!</v>
      </c>
      <c r="CC75" s="1865" t="e">
        <f t="shared" si="35"/>
        <v>#VALUE!</v>
      </c>
      <c r="CF75" s="1936"/>
      <c r="CM75" s="1936"/>
      <c r="CN75" s="1867" t="e">
        <f>IF(U75+V75+W75+X75&lt;&gt;$C75,1,0)</f>
        <v>#VALUE!</v>
      </c>
      <c r="CO75" s="1867" t="e">
        <f>IF(Y75+Z75+AA75&gt;$C75,1,0)</f>
        <v>#VALUE!</v>
      </c>
    </row>
    <row r="76" spans="1:96" x14ac:dyDescent="0.25">
      <c r="A76" s="5818">
        <v>28020690</v>
      </c>
      <c r="B76" s="4877" t="s">
        <v>503</v>
      </c>
      <c r="C76" s="4938" t="s">
        <v>4567</v>
      </c>
      <c r="D76" s="4673" t="s">
        <v>4568</v>
      </c>
      <c r="E76" s="4674" t="s">
        <v>4569</v>
      </c>
      <c r="F76" s="4674" t="s">
        <v>4570</v>
      </c>
      <c r="G76" s="4674" t="s">
        <v>4571</v>
      </c>
      <c r="H76" s="4674" t="s">
        <v>4572</v>
      </c>
      <c r="I76" s="4674" t="s">
        <v>4573</v>
      </c>
      <c r="J76" s="4674" t="s">
        <v>4574</v>
      </c>
      <c r="K76" s="4674" t="s">
        <v>4575</v>
      </c>
      <c r="L76" s="4674" t="s">
        <v>4576</v>
      </c>
      <c r="M76" s="4674" t="s">
        <v>4577</v>
      </c>
      <c r="N76" s="4674" t="s">
        <v>4578</v>
      </c>
      <c r="O76" s="4674" t="s">
        <v>4579</v>
      </c>
      <c r="P76" s="4674" t="s">
        <v>4580</v>
      </c>
      <c r="Q76" s="4674" t="s">
        <v>4581</v>
      </c>
      <c r="R76" s="4674" t="s">
        <v>4582</v>
      </c>
      <c r="S76" s="4674" t="s">
        <v>4583</v>
      </c>
      <c r="T76" s="4937" t="s">
        <v>4584</v>
      </c>
      <c r="U76" s="1114" t="s">
        <v>4585</v>
      </c>
      <c r="V76" s="1127" t="s">
        <v>4586</v>
      </c>
      <c r="W76" s="1258" t="s">
        <v>4587</v>
      </c>
      <c r="X76" s="1258" t="s">
        <v>4588</v>
      </c>
      <c r="Y76" s="1114" t="s">
        <v>4589</v>
      </c>
      <c r="Z76" s="1258" t="s">
        <v>4590</v>
      </c>
      <c r="AA76" s="387" t="s">
        <v>4591</v>
      </c>
      <c r="AB76" s="1864" t="e">
        <f t="shared" si="33"/>
        <v>#VALUE!</v>
      </c>
      <c r="BG76" s="1936"/>
      <c r="BH76" s="1936"/>
      <c r="BI76" s="1936"/>
      <c r="BJ76" s="1936"/>
      <c r="BK76" s="1936"/>
      <c r="BL76" s="1936"/>
      <c r="BM76" s="1936"/>
      <c r="BN76" s="1936"/>
      <c r="BO76" s="1936"/>
      <c r="BP76" s="1936"/>
      <c r="BQ76" s="1936"/>
      <c r="BR76" s="1936"/>
      <c r="BS76" s="1936"/>
      <c r="BT76" s="1936"/>
      <c r="BU76" s="1936"/>
      <c r="BV76" s="1936"/>
      <c r="BW76" s="1936"/>
      <c r="BX76" s="1936"/>
      <c r="BY76" s="1936"/>
      <c r="BZ76" s="1936"/>
      <c r="CA76" s="1936"/>
      <c r="CB76" s="1865" t="e">
        <f t="shared" si="34"/>
        <v>#VALUE!</v>
      </c>
      <c r="CC76" s="1865" t="e">
        <f t="shared" si="35"/>
        <v>#VALUE!</v>
      </c>
      <c r="CF76" s="1936"/>
      <c r="CM76" s="1936"/>
      <c r="CN76" s="1867" t="e">
        <f>IF(U76+V76+W76+X76&lt;&gt;$C76,1,0)</f>
        <v>#VALUE!</v>
      </c>
      <c r="CO76" s="1867" t="e">
        <f>IF(Y76+Z76+AA76&gt;$C76,1,0)</f>
        <v>#VALUE!</v>
      </c>
    </row>
    <row r="77" spans="1:96" x14ac:dyDescent="0.25">
      <c r="A77" s="5611"/>
      <c r="B77" s="4929" t="s">
        <v>77</v>
      </c>
      <c r="C77" s="4939">
        <f>SUM(C73:C76)</f>
        <v>0</v>
      </c>
      <c r="D77" s="4940">
        <f>SUM(D73:D76)</f>
        <v>0</v>
      </c>
      <c r="E77" s="4941">
        <f t="shared" ref="E77:S77" si="36">SUM(E73:E76)</f>
        <v>0</v>
      </c>
      <c r="F77" s="4941">
        <f t="shared" si="36"/>
        <v>0</v>
      </c>
      <c r="G77" s="4941">
        <f t="shared" si="36"/>
        <v>0</v>
      </c>
      <c r="H77" s="4941">
        <f t="shared" si="36"/>
        <v>0</v>
      </c>
      <c r="I77" s="4941">
        <f t="shared" si="36"/>
        <v>0</v>
      </c>
      <c r="J77" s="4941">
        <f t="shared" si="36"/>
        <v>0</v>
      </c>
      <c r="K77" s="4941">
        <f t="shared" si="36"/>
        <v>0</v>
      </c>
      <c r="L77" s="4941">
        <f t="shared" si="36"/>
        <v>0</v>
      </c>
      <c r="M77" s="4941">
        <f t="shared" si="36"/>
        <v>0</v>
      </c>
      <c r="N77" s="4941">
        <f t="shared" si="36"/>
        <v>0</v>
      </c>
      <c r="O77" s="4941">
        <f t="shared" si="36"/>
        <v>0</v>
      </c>
      <c r="P77" s="4941">
        <f t="shared" si="36"/>
        <v>0</v>
      </c>
      <c r="Q77" s="4941">
        <f t="shared" si="36"/>
        <v>0</v>
      </c>
      <c r="R77" s="4941">
        <f t="shared" si="36"/>
        <v>0</v>
      </c>
      <c r="S77" s="4941">
        <f t="shared" si="36"/>
        <v>0</v>
      </c>
      <c r="T77" s="4942">
        <f>SUM(T73:T76)</f>
        <v>0</v>
      </c>
      <c r="U77" s="4944">
        <f>SUM(U73:U76)</f>
        <v>0</v>
      </c>
      <c r="V77" s="4690">
        <f t="shared" ref="V77:AA77" si="37">SUM(V73:V76)</f>
        <v>0</v>
      </c>
      <c r="W77" s="4690">
        <f t="shared" si="37"/>
        <v>0</v>
      </c>
      <c r="X77" s="4945">
        <f t="shared" si="37"/>
        <v>0</v>
      </c>
      <c r="Y77" s="4946">
        <f t="shared" si="37"/>
        <v>0</v>
      </c>
      <c r="Z77" s="4690">
        <f t="shared" si="37"/>
        <v>0</v>
      </c>
      <c r="AA77" s="4691">
        <f t="shared" si="37"/>
        <v>0</v>
      </c>
    </row>
    <row r="78" spans="1:96" ht="18" customHeight="1" x14ac:dyDescent="0.25">
      <c r="A78" s="9"/>
      <c r="B78" s="13" t="s">
        <v>3362</v>
      </c>
      <c r="C78" s="4947"/>
      <c r="D78" s="8"/>
      <c r="E78" s="4"/>
      <c r="F78" s="8"/>
    </row>
    <row r="79" spans="1:96" ht="26.25" customHeight="1" x14ac:dyDescent="0.25">
      <c r="A79" s="9"/>
      <c r="B79" s="1285" t="s">
        <v>277</v>
      </c>
      <c r="C79" s="1286" t="s">
        <v>3325</v>
      </c>
      <c r="D79" s="1110" t="s">
        <v>3306</v>
      </c>
      <c r="E79" s="1213" t="s">
        <v>3307</v>
      </c>
      <c r="F79" s="1227" t="s">
        <v>3308</v>
      </c>
    </row>
    <row r="80" spans="1:96" ht="15" customHeight="1" x14ac:dyDescent="0.25">
      <c r="A80" s="5818">
        <v>28011500</v>
      </c>
      <c r="B80" s="4757" t="s">
        <v>3363</v>
      </c>
      <c r="C80" s="290" t="s">
        <v>4567</v>
      </c>
      <c r="D80" s="22" t="s">
        <v>4568</v>
      </c>
      <c r="E80" s="531" t="s">
        <v>4569</v>
      </c>
      <c r="F80" s="622" t="s">
        <v>4570</v>
      </c>
    </row>
    <row r="81" spans="1:6" ht="15" customHeight="1" x14ac:dyDescent="0.25">
      <c r="A81" s="5818">
        <v>29101633</v>
      </c>
      <c r="B81" s="4757" t="s">
        <v>3364</v>
      </c>
      <c r="C81" s="1089" t="s">
        <v>4567</v>
      </c>
      <c r="D81" s="1091" t="s">
        <v>4568</v>
      </c>
      <c r="E81" s="1253" t="s">
        <v>4569</v>
      </c>
      <c r="F81" s="1093" t="s">
        <v>4570</v>
      </c>
    </row>
    <row r="82" spans="1:6" ht="15" customHeight="1" x14ac:dyDescent="0.25">
      <c r="A82" s="5818">
        <v>28011700</v>
      </c>
      <c r="B82" s="4757" t="s">
        <v>3365</v>
      </c>
      <c r="C82" s="1089" t="s">
        <v>4567</v>
      </c>
      <c r="D82" s="1091" t="s">
        <v>4568</v>
      </c>
      <c r="E82" s="1253" t="s">
        <v>4569</v>
      </c>
      <c r="F82" s="1093" t="s">
        <v>4570</v>
      </c>
    </row>
    <row r="83" spans="1:6" ht="21.75" customHeight="1" x14ac:dyDescent="0.25">
      <c r="A83" s="5818">
        <v>28012200</v>
      </c>
      <c r="B83" s="1198" t="s">
        <v>3366</v>
      </c>
      <c r="C83" s="1089" t="s">
        <v>4567</v>
      </c>
      <c r="D83" s="1091" t="s">
        <v>4568</v>
      </c>
      <c r="E83" s="1253" t="s">
        <v>4569</v>
      </c>
      <c r="F83" s="1093" t="s">
        <v>4570</v>
      </c>
    </row>
    <row r="84" spans="1:6" ht="15" customHeight="1" x14ac:dyDescent="0.25">
      <c r="A84" s="5818">
        <v>28020710</v>
      </c>
      <c r="B84" s="4757" t="s">
        <v>3367</v>
      </c>
      <c r="C84" s="192" t="s">
        <v>4567</v>
      </c>
      <c r="D84" s="4517" t="s">
        <v>4568</v>
      </c>
      <c r="E84" s="580" t="s">
        <v>4569</v>
      </c>
      <c r="F84" s="382" t="s">
        <v>4570</v>
      </c>
    </row>
    <row r="85" spans="1:6" ht="15" customHeight="1" x14ac:dyDescent="0.25">
      <c r="A85" s="5818">
        <v>28012500</v>
      </c>
      <c r="B85" s="4757" t="s">
        <v>3368</v>
      </c>
      <c r="C85" s="192" t="s">
        <v>4567</v>
      </c>
      <c r="D85" s="1091" t="s">
        <v>4568</v>
      </c>
      <c r="E85" s="580" t="s">
        <v>4569</v>
      </c>
      <c r="F85" s="382" t="s">
        <v>4570</v>
      </c>
    </row>
    <row r="86" spans="1:6" ht="15" customHeight="1" x14ac:dyDescent="0.25">
      <c r="A86" s="5818">
        <v>28022340</v>
      </c>
      <c r="B86" s="4757" t="s">
        <v>3369</v>
      </c>
      <c r="C86" s="192" t="s">
        <v>4567</v>
      </c>
      <c r="D86" s="1091" t="s">
        <v>4568</v>
      </c>
      <c r="E86" s="580" t="s">
        <v>4569</v>
      </c>
      <c r="F86" s="382" t="s">
        <v>4570</v>
      </c>
    </row>
    <row r="87" spans="1:6" ht="15" customHeight="1" x14ac:dyDescent="0.25">
      <c r="A87" s="5818">
        <v>28012300</v>
      </c>
      <c r="B87" s="4757" t="s">
        <v>3370</v>
      </c>
      <c r="C87" s="192" t="s">
        <v>4567</v>
      </c>
      <c r="D87" s="1091" t="s">
        <v>4568</v>
      </c>
      <c r="E87" s="580" t="s">
        <v>4569</v>
      </c>
      <c r="F87" s="382" t="s">
        <v>4570</v>
      </c>
    </row>
    <row r="88" spans="1:6" ht="15" customHeight="1" x14ac:dyDescent="0.25">
      <c r="A88" s="5818">
        <v>28012000</v>
      </c>
      <c r="B88" s="4757" t="s">
        <v>3371</v>
      </c>
      <c r="C88" s="192" t="s">
        <v>4567</v>
      </c>
      <c r="D88" s="1091" t="s">
        <v>4568</v>
      </c>
      <c r="E88" s="580" t="s">
        <v>4569</v>
      </c>
      <c r="F88" s="382" t="s">
        <v>4570</v>
      </c>
    </row>
    <row r="89" spans="1:6" ht="15" customHeight="1" x14ac:dyDescent="0.25">
      <c r="A89" s="5818">
        <v>29101634</v>
      </c>
      <c r="B89" s="4948" t="s">
        <v>3372</v>
      </c>
      <c r="C89" s="192" t="s">
        <v>4567</v>
      </c>
      <c r="D89" s="1091" t="s">
        <v>4568</v>
      </c>
      <c r="E89" s="580" t="s">
        <v>4569</v>
      </c>
      <c r="F89" s="382" t="s">
        <v>4570</v>
      </c>
    </row>
    <row r="90" spans="1:6" ht="15" customHeight="1" x14ac:dyDescent="0.25">
      <c r="A90" s="5818">
        <v>29101635</v>
      </c>
      <c r="B90" s="4757" t="s">
        <v>3373</v>
      </c>
      <c r="C90" s="192" t="s">
        <v>4567</v>
      </c>
      <c r="D90" s="1091" t="s">
        <v>4568</v>
      </c>
      <c r="E90" s="580" t="s">
        <v>4569</v>
      </c>
      <c r="F90" s="382" t="s">
        <v>4570</v>
      </c>
    </row>
    <row r="91" spans="1:6" ht="15" customHeight="1" x14ac:dyDescent="0.25">
      <c r="A91" s="5818">
        <v>28022300</v>
      </c>
      <c r="B91" s="4757" t="s">
        <v>3374</v>
      </c>
      <c r="C91" s="192" t="s">
        <v>4567</v>
      </c>
      <c r="D91" s="1091" t="s">
        <v>4568</v>
      </c>
      <c r="E91" s="580" t="s">
        <v>4569</v>
      </c>
      <c r="F91" s="382" t="s">
        <v>4570</v>
      </c>
    </row>
    <row r="92" spans="1:6" ht="15" customHeight="1" x14ac:dyDescent="0.25">
      <c r="A92" s="5818">
        <v>28022280</v>
      </c>
      <c r="B92" s="1198" t="s">
        <v>3375</v>
      </c>
      <c r="C92" s="192" t="s">
        <v>4567</v>
      </c>
      <c r="D92" s="1091" t="s">
        <v>4568</v>
      </c>
      <c r="E92" s="580" t="s">
        <v>4569</v>
      </c>
      <c r="F92" s="382" t="s">
        <v>4570</v>
      </c>
    </row>
    <row r="93" spans="1:6" ht="15" customHeight="1" x14ac:dyDescent="0.25">
      <c r="A93" s="5818">
        <v>28101030</v>
      </c>
      <c r="B93" s="4949" t="s">
        <v>3376</v>
      </c>
      <c r="C93" s="192" t="s">
        <v>4567</v>
      </c>
      <c r="D93" s="1091" t="s">
        <v>4568</v>
      </c>
      <c r="E93" s="580" t="s">
        <v>4569</v>
      </c>
      <c r="F93" s="382" t="s">
        <v>4570</v>
      </c>
    </row>
    <row r="94" spans="1:6" ht="15" customHeight="1" x14ac:dyDescent="0.25">
      <c r="A94" s="5818">
        <v>29101636</v>
      </c>
      <c r="B94" s="2250" t="s">
        <v>3377</v>
      </c>
      <c r="C94" s="192" t="s">
        <v>4567</v>
      </c>
      <c r="D94" s="1091" t="s">
        <v>4568</v>
      </c>
      <c r="E94" s="580" t="s">
        <v>4569</v>
      </c>
      <c r="F94" s="382" t="s">
        <v>4570</v>
      </c>
    </row>
    <row r="95" spans="1:6" ht="15" customHeight="1" x14ac:dyDescent="0.25">
      <c r="A95" s="5818">
        <v>29101637</v>
      </c>
      <c r="B95" s="5570" t="s">
        <v>3477</v>
      </c>
      <c r="C95" s="192" t="s">
        <v>4567</v>
      </c>
      <c r="D95" s="1091" t="s">
        <v>4568</v>
      </c>
      <c r="E95" s="580" t="s">
        <v>4569</v>
      </c>
      <c r="F95" s="382" t="s">
        <v>4570</v>
      </c>
    </row>
    <row r="96" spans="1:6" ht="15" customHeight="1" x14ac:dyDescent="0.25">
      <c r="A96" s="5818">
        <v>29101638</v>
      </c>
      <c r="B96" s="4757" t="s">
        <v>3378</v>
      </c>
      <c r="C96" s="192" t="s">
        <v>4567</v>
      </c>
      <c r="D96" s="1091" t="s">
        <v>4568</v>
      </c>
      <c r="E96" s="580" t="s">
        <v>4569</v>
      </c>
      <c r="F96" s="382" t="s">
        <v>4570</v>
      </c>
    </row>
    <row r="97" spans="1:6" ht="15" customHeight="1" x14ac:dyDescent="0.25">
      <c r="A97" s="5861"/>
      <c r="B97" s="1285" t="s">
        <v>77</v>
      </c>
      <c r="C97" s="4946">
        <f>SUM(C80:C96)</f>
        <v>0</v>
      </c>
      <c r="D97" s="4945">
        <f>SUM(D80:D96)</f>
        <v>0</v>
      </c>
      <c r="E97" s="4690">
        <f>SUM(E80:E96)</f>
        <v>0</v>
      </c>
      <c r="F97" s="4950">
        <f>SUM(F80:F96)</f>
        <v>0</v>
      </c>
    </row>
    <row r="98" spans="1:6" ht="18" customHeight="1" x14ac:dyDescent="0.25">
      <c r="B98" s="15" t="s">
        <v>3379</v>
      </c>
      <c r="C98" s="8"/>
      <c r="D98" s="8"/>
      <c r="E98" s="8"/>
      <c r="F98" s="8"/>
    </row>
    <row r="99" spans="1:6" ht="25.5" customHeight="1" x14ac:dyDescent="0.25">
      <c r="B99" s="4951" t="s">
        <v>27</v>
      </c>
      <c r="C99" s="1213" t="s">
        <v>3325</v>
      </c>
      <c r="D99" s="1110" t="s">
        <v>3306</v>
      </c>
      <c r="E99" s="1213" t="s">
        <v>3307</v>
      </c>
      <c r="F99" s="1227" t="s">
        <v>3308</v>
      </c>
    </row>
    <row r="100" spans="1:6" x14ac:dyDescent="0.25">
      <c r="A100" s="5818">
        <v>28012600</v>
      </c>
      <c r="B100" s="4877" t="s">
        <v>1406</v>
      </c>
      <c r="C100" s="1253" t="s">
        <v>4567</v>
      </c>
      <c r="D100" s="1091" t="s">
        <v>4568</v>
      </c>
      <c r="E100" s="1253" t="s">
        <v>4569</v>
      </c>
      <c r="F100" s="1093" t="s">
        <v>4570</v>
      </c>
    </row>
    <row r="101" spans="1:6" x14ac:dyDescent="0.25">
      <c r="A101" s="5818">
        <v>28012700</v>
      </c>
      <c r="B101" s="4877" t="s">
        <v>1037</v>
      </c>
      <c r="C101" s="1253" t="s">
        <v>4567</v>
      </c>
      <c r="D101" s="1091" t="s">
        <v>4568</v>
      </c>
      <c r="E101" s="1253" t="s">
        <v>4569</v>
      </c>
      <c r="F101" s="1093" t="s">
        <v>4570</v>
      </c>
    </row>
    <row r="102" spans="1:6" x14ac:dyDescent="0.25">
      <c r="A102" s="5818">
        <v>28012800</v>
      </c>
      <c r="B102" s="4877" t="s">
        <v>504</v>
      </c>
      <c r="C102" s="1253" t="s">
        <v>4567</v>
      </c>
      <c r="D102" s="1091" t="s">
        <v>4568</v>
      </c>
      <c r="E102" s="1253" t="s">
        <v>4569</v>
      </c>
      <c r="F102" s="1093" t="s">
        <v>4570</v>
      </c>
    </row>
    <row r="103" spans="1:6" x14ac:dyDescent="0.25">
      <c r="A103" s="5818">
        <v>28012900</v>
      </c>
      <c r="B103" s="4877" t="s">
        <v>1034</v>
      </c>
      <c r="C103" s="1253" t="s">
        <v>4567</v>
      </c>
      <c r="D103" s="1091" t="s">
        <v>4568</v>
      </c>
      <c r="E103" s="1253" t="s">
        <v>4569</v>
      </c>
      <c r="F103" s="1093" t="s">
        <v>4570</v>
      </c>
    </row>
    <row r="104" spans="1:6" x14ac:dyDescent="0.25">
      <c r="A104" s="5818">
        <v>28013000</v>
      </c>
      <c r="B104" s="1384" t="s">
        <v>2067</v>
      </c>
      <c r="C104" s="1258" t="s">
        <v>4567</v>
      </c>
      <c r="D104" s="1127" t="s">
        <v>4568</v>
      </c>
      <c r="E104" s="1258" t="s">
        <v>4569</v>
      </c>
      <c r="F104" s="1115" t="s">
        <v>4570</v>
      </c>
    </row>
    <row r="105" spans="1:6" x14ac:dyDescent="0.25">
      <c r="A105" s="5863"/>
      <c r="B105" s="4952" t="s">
        <v>77</v>
      </c>
      <c r="C105" s="4945">
        <f>SUM(C100:C104)</f>
        <v>0</v>
      </c>
      <c r="D105" s="4945">
        <f>SUM(D100:D104)</f>
        <v>0</v>
      </c>
      <c r="E105" s="4690">
        <f>SUM(E100:E104)</f>
        <v>0</v>
      </c>
      <c r="F105" s="4950">
        <f>SUM(F100:F104)</f>
        <v>0</v>
      </c>
    </row>
    <row r="106" spans="1:6" ht="18" customHeight="1" x14ac:dyDescent="0.25">
      <c r="A106" s="9"/>
      <c r="B106" s="15" t="s">
        <v>3380</v>
      </c>
      <c r="C106" s="8"/>
      <c r="D106" s="8"/>
      <c r="E106" s="8"/>
      <c r="F106" s="8"/>
    </row>
    <row r="107" spans="1:6" ht="25.5" customHeight="1" x14ac:dyDescent="0.25">
      <c r="A107" s="9"/>
      <c r="B107" s="4951" t="s">
        <v>27</v>
      </c>
      <c r="C107" s="1213" t="s">
        <v>3325</v>
      </c>
      <c r="D107" s="1110" t="s">
        <v>3306</v>
      </c>
      <c r="E107" s="1213" t="s">
        <v>3307</v>
      </c>
      <c r="F107" s="1227" t="s">
        <v>3308</v>
      </c>
    </row>
    <row r="108" spans="1:6" x14ac:dyDescent="0.25">
      <c r="A108" s="5818">
        <v>28013100</v>
      </c>
      <c r="B108" s="4877" t="s">
        <v>1406</v>
      </c>
      <c r="C108" s="1253" t="s">
        <v>4567</v>
      </c>
      <c r="D108" s="1091" t="s">
        <v>4568</v>
      </c>
      <c r="E108" s="1253" t="s">
        <v>4569</v>
      </c>
      <c r="F108" s="1093" t="s">
        <v>4570</v>
      </c>
    </row>
    <row r="109" spans="1:6" x14ac:dyDescent="0.25">
      <c r="A109" s="5818">
        <v>28013200</v>
      </c>
      <c r="B109" s="4877" t="s">
        <v>1037</v>
      </c>
      <c r="C109" s="1253" t="s">
        <v>4567</v>
      </c>
      <c r="D109" s="1091" t="s">
        <v>4568</v>
      </c>
      <c r="E109" s="1253" t="s">
        <v>4569</v>
      </c>
      <c r="F109" s="1093" t="s">
        <v>4570</v>
      </c>
    </row>
    <row r="110" spans="1:6" x14ac:dyDescent="0.25">
      <c r="A110" s="5818">
        <v>28013300</v>
      </c>
      <c r="B110" s="4877" t="s">
        <v>504</v>
      </c>
      <c r="C110" s="1253" t="s">
        <v>4567</v>
      </c>
      <c r="D110" s="1091" t="s">
        <v>4568</v>
      </c>
      <c r="E110" s="1253" t="s">
        <v>4569</v>
      </c>
      <c r="F110" s="1093" t="s">
        <v>4570</v>
      </c>
    </row>
    <row r="111" spans="1:6" x14ac:dyDescent="0.25">
      <c r="A111" s="5818">
        <v>28013400</v>
      </c>
      <c r="B111" s="4877" t="s">
        <v>1034</v>
      </c>
      <c r="C111" s="1253" t="s">
        <v>4567</v>
      </c>
      <c r="D111" s="1091" t="s">
        <v>4568</v>
      </c>
      <c r="E111" s="1253" t="s">
        <v>4569</v>
      </c>
      <c r="F111" s="1093" t="s">
        <v>4570</v>
      </c>
    </row>
    <row r="112" spans="1:6" x14ac:dyDescent="0.25">
      <c r="A112" s="5818">
        <v>28013500</v>
      </c>
      <c r="B112" s="1384" t="s">
        <v>2067</v>
      </c>
      <c r="C112" s="1258" t="s">
        <v>4567</v>
      </c>
      <c r="D112" s="1127" t="s">
        <v>4568</v>
      </c>
      <c r="E112" s="1258" t="s">
        <v>4569</v>
      </c>
      <c r="F112" s="1115" t="s">
        <v>4570</v>
      </c>
    </row>
    <row r="113" spans="1:94" x14ac:dyDescent="0.25">
      <c r="A113" s="5863"/>
      <c r="B113" s="4952" t="s">
        <v>77</v>
      </c>
      <c r="C113" s="4945">
        <f>SUM(C108:C112)</f>
        <v>0</v>
      </c>
      <c r="D113" s="4945">
        <f>SUM(D108:D112)</f>
        <v>0</v>
      </c>
      <c r="E113" s="4690">
        <f>SUM(E108:E112)</f>
        <v>0</v>
      </c>
      <c r="F113" s="4950">
        <f>SUM(F108:F112)</f>
        <v>0</v>
      </c>
    </row>
    <row r="114" spans="1:94" ht="18" customHeight="1" x14ac:dyDescent="0.25">
      <c r="A114" s="9"/>
      <c r="B114" s="13" t="s">
        <v>3381</v>
      </c>
      <c r="C114" s="25"/>
      <c r="D114" s="25"/>
      <c r="E114" s="4953"/>
      <c r="F114" s="8"/>
      <c r="G114" s="8"/>
      <c r="H114" s="8"/>
      <c r="I114" s="8"/>
    </row>
    <row r="115" spans="1:94" ht="15" customHeight="1" x14ac:dyDescent="0.25">
      <c r="A115" s="9"/>
      <c r="B115" s="7678" t="s">
        <v>3382</v>
      </c>
      <c r="C115" s="7680" t="s">
        <v>77</v>
      </c>
      <c r="D115" s="7291" t="s">
        <v>3319</v>
      </c>
      <c r="E115" s="7298"/>
      <c r="F115" s="7298"/>
      <c r="G115" s="7339"/>
      <c r="H115" s="7677" t="s">
        <v>3383</v>
      </c>
      <c r="I115" s="7417"/>
    </row>
    <row r="116" spans="1:94" ht="24.75" customHeight="1" x14ac:dyDescent="0.25">
      <c r="A116" s="9"/>
      <c r="B116" s="7679"/>
      <c r="C116" s="7681"/>
      <c r="D116" s="1286" t="s">
        <v>3325</v>
      </c>
      <c r="E116" s="1110" t="s">
        <v>3306</v>
      </c>
      <c r="F116" s="1213" t="s">
        <v>3307</v>
      </c>
      <c r="G116" s="1216" t="s">
        <v>3308</v>
      </c>
      <c r="H116" s="1217" t="s">
        <v>3359</v>
      </c>
      <c r="I116" s="1067" t="s">
        <v>3360</v>
      </c>
    </row>
    <row r="117" spans="1:94" ht="15" customHeight="1" x14ac:dyDescent="0.25">
      <c r="A117" s="5818">
        <v>27300800</v>
      </c>
      <c r="B117" s="4954" t="s">
        <v>3384</v>
      </c>
      <c r="C117" s="4814" t="s">
        <v>4567</v>
      </c>
      <c r="D117" s="1081" t="s">
        <v>4568</v>
      </c>
      <c r="E117" s="1083" t="s">
        <v>4569</v>
      </c>
      <c r="F117" s="750" t="s">
        <v>4570</v>
      </c>
      <c r="G117" s="736" t="s">
        <v>4571</v>
      </c>
      <c r="H117" s="1294" t="s">
        <v>4572</v>
      </c>
      <c r="I117" s="1082" t="s">
        <v>4573</v>
      </c>
      <c r="CB117" s="431" t="str">
        <f>IF(AND($C117&gt;0,$H117="")," * No olvide digitar la variable "&amp;$H$116&amp;""&amp;" Presencial (Establecimiento). Digite CERO si no tiene.","")</f>
        <v/>
      </c>
      <c r="CC117" s="431" t="str">
        <f>IF(AND($C117&gt;0,$I117="")," * No olvide digitar la variable "&amp;$H$115&amp;""&amp;" A distancia. Digite CERO si no tiene.","")</f>
        <v/>
      </c>
      <c r="CD117" s="431" t="e">
        <f>IF(AND($H117+$I117&gt;$C117)," * La variable "&amp;$H$115&amp;""&amp;" No puede ser mayor al Total.","")</f>
        <v>#VALUE!</v>
      </c>
      <c r="CN117" s="180">
        <f>IF(AND($C117&gt;0,$H117=""),1,0)</f>
        <v>0</v>
      </c>
      <c r="CO117" s="180">
        <f>IF(AND($C117&gt;0,$I117=""),1,0)</f>
        <v>0</v>
      </c>
      <c r="CP117" s="180" t="e">
        <f>IF(AND($H117+$I117&gt;$C117),1,0)</f>
        <v>#VALUE!</v>
      </c>
    </row>
    <row r="118" spans="1:94" ht="15" customHeight="1" x14ac:dyDescent="0.25">
      <c r="A118" s="5818">
        <v>28013600</v>
      </c>
      <c r="B118" s="4955" t="s">
        <v>3385</v>
      </c>
      <c r="C118" s="4956" t="s">
        <v>4567</v>
      </c>
      <c r="D118" s="1264" t="s">
        <v>4568</v>
      </c>
      <c r="E118" s="4957" t="s">
        <v>4569</v>
      </c>
      <c r="F118" s="262" t="s">
        <v>4570</v>
      </c>
      <c r="G118" s="297" t="s">
        <v>4571</v>
      </c>
      <c r="H118" s="266" t="s">
        <v>4572</v>
      </c>
      <c r="I118" s="1447" t="s">
        <v>4573</v>
      </c>
      <c r="CB118" s="431" t="str">
        <f>IF(AND($C118&gt;0,$H118="")," * No olvide digitar la variable "&amp;$H$116&amp;""&amp;" Presencial (Establecimiento). Digite CERO si no tiene.","")</f>
        <v/>
      </c>
      <c r="CC118" s="431" t="str">
        <f>IF(AND($C118&gt;0,$I118="")," * No olvide digitar la variable "&amp;$H$115&amp;""&amp;" A distancia. Digite CERO si no tiene.","")</f>
        <v/>
      </c>
      <c r="CD118" s="431" t="e">
        <f>IF(AND($H118+$I118&gt;$C118)," * La variable "&amp;$H$115&amp;""&amp;" No puede ser mayor al Total.","")</f>
        <v>#VALUE!</v>
      </c>
      <c r="CN118" s="180">
        <f>IF(AND($C118&gt;0,$H118=""),1,0)</f>
        <v>0</v>
      </c>
      <c r="CO118" s="180">
        <f>IF(AND($C118&gt;0,$I118=""),1,0)</f>
        <v>0</v>
      </c>
      <c r="CP118" s="180" t="e">
        <f>IF(AND($H118+$I118&gt;$C118),1,0)</f>
        <v>#VALUE!</v>
      </c>
    </row>
    <row r="119" spans="1:94" ht="18" customHeight="1" x14ac:dyDescent="0.25">
      <c r="B119" s="298" t="s">
        <v>3386</v>
      </c>
      <c r="C119" s="25"/>
      <c r="D119" s="25"/>
      <c r="E119" s="60"/>
      <c r="F119" s="4958"/>
      <c r="G119" s="4959"/>
      <c r="H119" s="4960"/>
      <c r="I119" s="4961"/>
      <c r="J119" s="3423"/>
      <c r="K119" s="3423"/>
      <c r="L119" s="3423"/>
    </row>
    <row r="120" spans="1:94" x14ac:dyDescent="0.25">
      <c r="B120" s="7682" t="s">
        <v>3387</v>
      </c>
      <c r="C120" s="7671" t="s">
        <v>77</v>
      </c>
      <c r="D120" s="7689" t="s">
        <v>3388</v>
      </c>
      <c r="E120" s="7690"/>
      <c r="F120" s="7691"/>
      <c r="G120" s="7692" t="s">
        <v>3389</v>
      </c>
      <c r="H120" s="7693" t="s">
        <v>3390</v>
      </c>
      <c r="I120" s="7243" t="s">
        <v>3319</v>
      </c>
      <c r="J120" s="7298"/>
      <c r="K120" s="7298"/>
      <c r="L120" s="7244"/>
    </row>
    <row r="121" spans="1:94" ht="42" x14ac:dyDescent="0.25">
      <c r="B121" s="7659"/>
      <c r="C121" s="7672"/>
      <c r="D121" s="3756" t="s">
        <v>3391</v>
      </c>
      <c r="E121" s="1927" t="s">
        <v>3392</v>
      </c>
      <c r="F121" s="1751" t="s">
        <v>3393</v>
      </c>
      <c r="G121" s="7692"/>
      <c r="H121" s="7693"/>
      <c r="I121" s="1217" t="s">
        <v>3325</v>
      </c>
      <c r="J121" s="1213" t="s">
        <v>3306</v>
      </c>
      <c r="K121" s="1213" t="s">
        <v>3307</v>
      </c>
      <c r="L121" s="1227" t="s">
        <v>3308</v>
      </c>
    </row>
    <row r="122" spans="1:94" ht="15" customHeight="1" x14ac:dyDescent="0.25">
      <c r="A122" s="5818">
        <v>28020730</v>
      </c>
      <c r="B122" s="1202" t="s">
        <v>3394</v>
      </c>
      <c r="C122" s="1159" t="s">
        <v>4567</v>
      </c>
      <c r="D122" s="1081" t="s">
        <v>4568</v>
      </c>
      <c r="E122" s="750" t="s">
        <v>4569</v>
      </c>
      <c r="F122" s="748" t="s">
        <v>4570</v>
      </c>
      <c r="G122" s="1083" t="s">
        <v>4571</v>
      </c>
      <c r="H122" s="736" t="s">
        <v>4572</v>
      </c>
      <c r="I122" s="1294" t="s">
        <v>4573</v>
      </c>
      <c r="J122" s="750" t="s">
        <v>4574</v>
      </c>
      <c r="K122" s="750" t="s">
        <v>4575</v>
      </c>
      <c r="L122" s="748" t="s">
        <v>4576</v>
      </c>
      <c r="M122" s="1864" t="e">
        <f>CB122&amp;CC122&amp;CD122</f>
        <v>#VALUE!</v>
      </c>
      <c r="AR122" s="1936"/>
      <c r="AS122" s="1936"/>
      <c r="AT122" s="1936"/>
      <c r="AU122" s="1936"/>
      <c r="AV122" s="1936"/>
      <c r="AW122" s="1936"/>
      <c r="AX122" s="1936"/>
      <c r="AY122" s="1936"/>
      <c r="AZ122" s="1936"/>
      <c r="BA122" s="1936"/>
      <c r="BB122" s="1936"/>
      <c r="BC122" s="1936"/>
      <c r="BD122" s="1936"/>
      <c r="BE122" s="1936"/>
      <c r="BF122" s="1936"/>
      <c r="BG122" s="1936"/>
      <c r="BH122" s="1936"/>
      <c r="BI122" s="1936"/>
      <c r="BJ122" s="1936"/>
      <c r="BK122" s="1936"/>
      <c r="BL122" s="1936"/>
      <c r="BM122" s="1936"/>
      <c r="BN122" s="1936"/>
      <c r="BO122" s="1936"/>
      <c r="BP122" s="1936"/>
      <c r="BQ122" s="1936"/>
      <c r="BR122" s="1936"/>
      <c r="BS122" s="1936"/>
      <c r="BT122" s="1936"/>
      <c r="BU122" s="1936"/>
      <c r="BV122" s="1936"/>
      <c r="BW122" s="1936"/>
      <c r="BX122" s="1936"/>
      <c r="BY122" s="1936"/>
      <c r="BZ122" s="1936"/>
      <c r="CA122" s="1936"/>
      <c r="CB122" s="1865" t="e">
        <f>IF(I122+J122+K122+L122&lt;&gt;$C122,"* La suma de "&amp;I$120&amp;""&amp;" no debe ser distinto del Total. ","")</f>
        <v>#VALUE!</v>
      </c>
      <c r="CC122" s="1936"/>
      <c r="CD122" s="1936"/>
      <c r="CE122" s="1936"/>
      <c r="CF122" s="1936"/>
      <c r="CM122" s="1936"/>
      <c r="CN122" s="1867" t="e">
        <f>IF(I122+J122+K122+L122&lt;&gt;$C122,1,0)</f>
        <v>#VALUE!</v>
      </c>
    </row>
    <row r="123" spans="1:94" ht="15" customHeight="1" x14ac:dyDescent="0.25">
      <c r="A123" s="5818">
        <v>28020740</v>
      </c>
      <c r="B123" s="1198" t="s">
        <v>3395</v>
      </c>
      <c r="C123" s="1162" t="s">
        <v>4567</v>
      </c>
      <c r="D123" s="1089" t="s">
        <v>4568</v>
      </c>
      <c r="E123" s="1253" t="s">
        <v>4569</v>
      </c>
      <c r="F123" s="1093" t="s">
        <v>4570</v>
      </c>
      <c r="G123" s="1091" t="s">
        <v>4571</v>
      </c>
      <c r="H123" s="1095" t="s">
        <v>4572</v>
      </c>
      <c r="I123" s="1299" t="s">
        <v>4573</v>
      </c>
      <c r="J123" s="1253" t="s">
        <v>4574</v>
      </c>
      <c r="K123" s="1253" t="s">
        <v>4575</v>
      </c>
      <c r="L123" s="1093" t="s">
        <v>4576</v>
      </c>
      <c r="M123" s="1864" t="e">
        <f>CB123&amp;CC123&amp;CD123</f>
        <v>#VALUE!</v>
      </c>
      <c r="AR123" s="1936"/>
      <c r="AS123" s="1936"/>
      <c r="AT123" s="1936"/>
      <c r="AU123" s="1936"/>
      <c r="AV123" s="1936"/>
      <c r="AW123" s="1936"/>
      <c r="AX123" s="1936"/>
      <c r="AY123" s="1936"/>
      <c r="AZ123" s="1936"/>
      <c r="BA123" s="1936"/>
      <c r="BB123" s="1936"/>
      <c r="BC123" s="1936"/>
      <c r="BD123" s="1936"/>
      <c r="BE123" s="1936"/>
      <c r="BF123" s="1936"/>
      <c r="BG123" s="1936"/>
      <c r="BH123" s="1936"/>
      <c r="BI123" s="1936"/>
      <c r="BJ123" s="1936"/>
      <c r="BK123" s="1936"/>
      <c r="BL123" s="1936"/>
      <c r="BM123" s="1936"/>
      <c r="BN123" s="1936"/>
      <c r="BO123" s="1936"/>
      <c r="BP123" s="1936"/>
      <c r="BQ123" s="1936"/>
      <c r="BR123" s="1936"/>
      <c r="BS123" s="1936"/>
      <c r="BT123" s="1936"/>
      <c r="BU123" s="1936"/>
      <c r="BV123" s="1936"/>
      <c r="BW123" s="1936"/>
      <c r="BX123" s="1936"/>
      <c r="BY123" s="1936"/>
      <c r="BZ123" s="1936"/>
      <c r="CA123" s="1936"/>
      <c r="CB123" s="1865" t="e">
        <f t="shared" ref="CB123:CB124" si="38">IF(I123+J123+K123+L123&lt;&gt;$C123,"* La suma de "&amp;I$120&amp;""&amp;" no debe ser distinto del Total. ","")</f>
        <v>#VALUE!</v>
      </c>
      <c r="CC123" s="1936"/>
      <c r="CD123" s="1936"/>
      <c r="CE123" s="1936"/>
      <c r="CF123" s="1936"/>
      <c r="CM123" s="1936"/>
      <c r="CN123" s="1867" t="e">
        <f>IF(I123+J123+K123+L123&lt;&gt;$C123,1,0)</f>
        <v>#VALUE!</v>
      </c>
    </row>
    <row r="124" spans="1:94" ht="15" customHeight="1" x14ac:dyDescent="0.25">
      <c r="A124" s="5818">
        <v>28020750</v>
      </c>
      <c r="B124" s="1199" t="s">
        <v>3396</v>
      </c>
      <c r="C124" s="1163" t="s">
        <v>4567</v>
      </c>
      <c r="D124" s="1114" t="s">
        <v>4568</v>
      </c>
      <c r="E124" s="1258" t="s">
        <v>4569</v>
      </c>
      <c r="F124" s="1115" t="s">
        <v>4570</v>
      </c>
      <c r="G124" s="1127" t="s">
        <v>4571</v>
      </c>
      <c r="H124" s="1324" t="s">
        <v>4572</v>
      </c>
      <c r="I124" s="1303" t="s">
        <v>4573</v>
      </c>
      <c r="J124" s="1258" t="s">
        <v>4574</v>
      </c>
      <c r="K124" s="1258" t="s">
        <v>4575</v>
      </c>
      <c r="L124" s="1115" t="s">
        <v>4576</v>
      </c>
      <c r="M124" s="1864" t="e">
        <f>CB124&amp;CC124&amp;CD124</f>
        <v>#VALUE!</v>
      </c>
      <c r="AR124" s="1936"/>
      <c r="AS124" s="1936"/>
      <c r="AT124" s="1936"/>
      <c r="AU124" s="1936"/>
      <c r="AV124" s="1936"/>
      <c r="AW124" s="1936"/>
      <c r="AX124" s="1936"/>
      <c r="AY124" s="1936"/>
      <c r="AZ124" s="1936"/>
      <c r="BA124" s="1936"/>
      <c r="BB124" s="1936"/>
      <c r="BC124" s="1936"/>
      <c r="BD124" s="1936"/>
      <c r="BE124" s="1936"/>
      <c r="BF124" s="1936"/>
      <c r="BG124" s="1936"/>
      <c r="BH124" s="1936"/>
      <c r="BI124" s="1936"/>
      <c r="BJ124" s="1936"/>
      <c r="BK124" s="1936"/>
      <c r="BL124" s="1936"/>
      <c r="BM124" s="1936"/>
      <c r="BN124" s="1936"/>
      <c r="BO124" s="1936"/>
      <c r="BP124" s="1936"/>
      <c r="BQ124" s="1936"/>
      <c r="BR124" s="1936"/>
      <c r="BS124" s="1936"/>
      <c r="BT124" s="1936"/>
      <c r="BU124" s="1936"/>
      <c r="BV124" s="1936"/>
      <c r="BW124" s="1936"/>
      <c r="BX124" s="1936"/>
      <c r="BY124" s="1936"/>
      <c r="BZ124" s="1936"/>
      <c r="CA124" s="1936"/>
      <c r="CB124" s="1865" t="e">
        <f t="shared" si="38"/>
        <v>#VALUE!</v>
      </c>
      <c r="CC124" s="1936"/>
      <c r="CD124" s="1936"/>
      <c r="CE124" s="1936"/>
      <c r="CF124" s="1936"/>
      <c r="CM124" s="1936"/>
      <c r="CN124" s="1867" t="e">
        <f>IF(I124+J124+K124+L124&lt;&gt;$C124,1,0)</f>
        <v>#VALUE!</v>
      </c>
    </row>
    <row r="125" spans="1:94" ht="18" customHeight="1" x14ac:dyDescent="0.25">
      <c r="A125" s="9"/>
      <c r="B125" s="15" t="s">
        <v>3397</v>
      </c>
      <c r="C125" s="25"/>
      <c r="D125" s="25"/>
      <c r="E125" s="4953"/>
      <c r="F125" s="4953"/>
      <c r="G125" s="4953"/>
      <c r="H125" s="4953"/>
      <c r="I125" s="4953"/>
      <c r="J125" s="4953"/>
      <c r="K125" s="4953"/>
      <c r="L125" s="4953"/>
      <c r="M125" s="4953"/>
    </row>
    <row r="126" spans="1:94" ht="21.75" customHeight="1" x14ac:dyDescent="0.25">
      <c r="A126" s="9"/>
      <c r="B126" s="7682" t="s">
        <v>3398</v>
      </c>
      <c r="C126" s="7671" t="s">
        <v>3399</v>
      </c>
      <c r="D126" s="7257" t="s">
        <v>3400</v>
      </c>
      <c r="E126" s="7346"/>
      <c r="F126" s="7257" t="s">
        <v>3401</v>
      </c>
      <c r="G126" s="7346"/>
      <c r="H126" s="7257" t="s">
        <v>3402</v>
      </c>
      <c r="I126" s="7346"/>
      <c r="J126" s="7257" t="s">
        <v>3403</v>
      </c>
      <c r="K126" s="7259"/>
      <c r="L126" s="7694" t="s">
        <v>3404</v>
      </c>
      <c r="M126" s="7417"/>
    </row>
    <row r="127" spans="1:94" ht="31.5" x14ac:dyDescent="0.25">
      <c r="A127" s="88"/>
      <c r="B127" s="7659"/>
      <c r="C127" s="7672"/>
      <c r="D127" s="1286" t="s">
        <v>3405</v>
      </c>
      <c r="E127" s="1067" t="s">
        <v>3406</v>
      </c>
      <c r="F127" s="1286" t="s">
        <v>3405</v>
      </c>
      <c r="G127" s="1067" t="s">
        <v>3406</v>
      </c>
      <c r="H127" s="1286" t="s">
        <v>3405</v>
      </c>
      <c r="I127" s="1462" t="s">
        <v>3406</v>
      </c>
      <c r="J127" s="1286" t="s">
        <v>3405</v>
      </c>
      <c r="K127" s="1111" t="s">
        <v>3406</v>
      </c>
      <c r="L127" s="1217" t="s">
        <v>3359</v>
      </c>
      <c r="M127" s="1067" t="s">
        <v>3360</v>
      </c>
    </row>
    <row r="128" spans="1:94" x14ac:dyDescent="0.25">
      <c r="A128" s="5818">
        <v>28020760</v>
      </c>
      <c r="B128" s="7685" t="s">
        <v>3407</v>
      </c>
      <c r="C128" s="1202" t="s">
        <v>2124</v>
      </c>
      <c r="D128" s="1081" t="s">
        <v>4567</v>
      </c>
      <c r="E128" s="1082" t="s">
        <v>4568</v>
      </c>
      <c r="F128" s="1081" t="s">
        <v>4569</v>
      </c>
      <c r="G128" s="1082" t="s">
        <v>4570</v>
      </c>
      <c r="H128" s="1081" t="s">
        <v>4571</v>
      </c>
      <c r="I128" s="1082" t="s">
        <v>4572</v>
      </c>
      <c r="J128" s="1081" t="s">
        <v>4573</v>
      </c>
      <c r="K128" s="1259" t="s">
        <v>4574</v>
      </c>
      <c r="L128" s="1299" t="s">
        <v>4575</v>
      </c>
      <c r="M128" s="1082" t="s">
        <v>4576</v>
      </c>
    </row>
    <row r="129" spans="1:42" ht="21" x14ac:dyDescent="0.25">
      <c r="A129" s="5818">
        <v>28020770</v>
      </c>
      <c r="B129" s="6112"/>
      <c r="C129" s="1198" t="s">
        <v>3408</v>
      </c>
      <c r="D129" s="1089" t="s">
        <v>4567</v>
      </c>
      <c r="E129" s="1090" t="s">
        <v>4568</v>
      </c>
      <c r="F129" s="1089" t="s">
        <v>4569</v>
      </c>
      <c r="G129" s="1090" t="s">
        <v>4570</v>
      </c>
      <c r="H129" s="1089" t="s">
        <v>4571</v>
      </c>
      <c r="I129" s="1090" t="s">
        <v>4572</v>
      </c>
      <c r="J129" s="1089" t="s">
        <v>4573</v>
      </c>
      <c r="K129" s="1295" t="s">
        <v>4574</v>
      </c>
      <c r="L129" s="1299" t="s">
        <v>4575</v>
      </c>
      <c r="M129" s="1090" t="s">
        <v>4576</v>
      </c>
    </row>
    <row r="130" spans="1:42" x14ac:dyDescent="0.25">
      <c r="A130" s="5818">
        <v>28020780</v>
      </c>
      <c r="B130" s="6112"/>
      <c r="C130" s="1198" t="s">
        <v>3409</v>
      </c>
      <c r="D130" s="1089" t="s">
        <v>4567</v>
      </c>
      <c r="E130" s="1090" t="s">
        <v>4568</v>
      </c>
      <c r="F130" s="1089" t="s">
        <v>4569</v>
      </c>
      <c r="G130" s="1090" t="s">
        <v>4570</v>
      </c>
      <c r="H130" s="1089" t="s">
        <v>4571</v>
      </c>
      <c r="I130" s="1090" t="s">
        <v>4572</v>
      </c>
      <c r="J130" s="1089" t="s">
        <v>4573</v>
      </c>
      <c r="K130" s="1295" t="s">
        <v>4574</v>
      </c>
      <c r="L130" s="1299" t="s">
        <v>4575</v>
      </c>
      <c r="M130" s="1090" t="s">
        <v>4576</v>
      </c>
    </row>
    <row r="131" spans="1:42" x14ac:dyDescent="0.25">
      <c r="A131" s="5818">
        <v>28020790</v>
      </c>
      <c r="B131" s="7686"/>
      <c r="C131" s="1198" t="s">
        <v>3410</v>
      </c>
      <c r="D131" s="1114" t="s">
        <v>4567</v>
      </c>
      <c r="E131" s="387" t="s">
        <v>4568</v>
      </c>
      <c r="F131" s="1114" t="s">
        <v>4569</v>
      </c>
      <c r="G131" s="387" t="s">
        <v>4570</v>
      </c>
      <c r="H131" s="1114" t="s">
        <v>4571</v>
      </c>
      <c r="I131" s="387" t="s">
        <v>4572</v>
      </c>
      <c r="J131" s="1114" t="s">
        <v>4573</v>
      </c>
      <c r="K131" s="391" t="s">
        <v>4574</v>
      </c>
      <c r="L131" s="1303" t="s">
        <v>4575</v>
      </c>
      <c r="M131" s="387" t="s">
        <v>4576</v>
      </c>
    </row>
    <row r="132" spans="1:42" x14ac:dyDescent="0.25">
      <c r="A132" s="5818">
        <v>28020800</v>
      </c>
      <c r="B132" s="7664" t="s">
        <v>3411</v>
      </c>
      <c r="C132" s="1202" t="s">
        <v>2124</v>
      </c>
      <c r="D132" s="1081" t="s">
        <v>4567</v>
      </c>
      <c r="E132" s="1082" t="s">
        <v>4568</v>
      </c>
      <c r="F132" s="1081" t="s">
        <v>4569</v>
      </c>
      <c r="G132" s="1082" t="s">
        <v>4570</v>
      </c>
      <c r="H132" s="1081" t="s">
        <v>4571</v>
      </c>
      <c r="I132" s="1082" t="s">
        <v>4572</v>
      </c>
      <c r="J132" s="1081" t="s">
        <v>4573</v>
      </c>
      <c r="K132" s="1259" t="s">
        <v>4574</v>
      </c>
      <c r="L132" s="1294" t="s">
        <v>4575</v>
      </c>
      <c r="M132" s="1082" t="s">
        <v>4576</v>
      </c>
    </row>
    <row r="133" spans="1:42" ht="21" x14ac:dyDescent="0.25">
      <c r="A133" s="5818">
        <v>28020810</v>
      </c>
      <c r="B133" s="7695"/>
      <c r="C133" s="1198" t="s">
        <v>3412</v>
      </c>
      <c r="D133" s="1089" t="s">
        <v>4567</v>
      </c>
      <c r="E133" s="1090" t="s">
        <v>4568</v>
      </c>
      <c r="F133" s="1089" t="s">
        <v>4569</v>
      </c>
      <c r="G133" s="1090" t="s">
        <v>4570</v>
      </c>
      <c r="H133" s="1089" t="s">
        <v>4571</v>
      </c>
      <c r="I133" s="1090" t="s">
        <v>4572</v>
      </c>
      <c r="J133" s="1089" t="s">
        <v>4573</v>
      </c>
      <c r="K133" s="1295" t="s">
        <v>4574</v>
      </c>
      <c r="L133" s="1299" t="s">
        <v>4575</v>
      </c>
      <c r="M133" s="1090" t="s">
        <v>4576</v>
      </c>
    </row>
    <row r="134" spans="1:42" x14ac:dyDescent="0.25">
      <c r="A134" s="5818">
        <v>28020820</v>
      </c>
      <c r="B134" s="7695"/>
      <c r="C134" s="1198" t="s">
        <v>3410</v>
      </c>
      <c r="D134" s="1089" t="s">
        <v>4567</v>
      </c>
      <c r="E134" s="1090" t="s">
        <v>4568</v>
      </c>
      <c r="F134" s="1089" t="s">
        <v>4569</v>
      </c>
      <c r="G134" s="1090" t="s">
        <v>4570</v>
      </c>
      <c r="H134" s="1089" t="s">
        <v>4571</v>
      </c>
      <c r="I134" s="1090" t="s">
        <v>4572</v>
      </c>
      <c r="J134" s="1089" t="s">
        <v>4573</v>
      </c>
      <c r="K134" s="1295" t="s">
        <v>4574</v>
      </c>
      <c r="L134" s="1299" t="s">
        <v>4575</v>
      </c>
      <c r="M134" s="1090" t="s">
        <v>4576</v>
      </c>
    </row>
    <row r="135" spans="1:42" x14ac:dyDescent="0.25">
      <c r="A135" s="5818">
        <v>28020830</v>
      </c>
      <c r="B135" s="7695"/>
      <c r="C135" s="1747" t="s">
        <v>3413</v>
      </c>
      <c r="D135" s="192" t="s">
        <v>4567</v>
      </c>
      <c r="E135" s="2" t="s">
        <v>4568</v>
      </c>
      <c r="F135" s="192" t="s">
        <v>4569</v>
      </c>
      <c r="G135" s="2" t="s">
        <v>4570</v>
      </c>
      <c r="H135" s="192" t="s">
        <v>4571</v>
      </c>
      <c r="I135" s="2" t="s">
        <v>4572</v>
      </c>
      <c r="J135" s="192" t="s">
        <v>4573</v>
      </c>
      <c r="K135" s="375" t="s">
        <v>4574</v>
      </c>
      <c r="L135" s="376" t="s">
        <v>4575</v>
      </c>
      <c r="M135" s="2" t="s">
        <v>4576</v>
      </c>
    </row>
    <row r="136" spans="1:42" x14ac:dyDescent="0.25">
      <c r="A136" s="5818">
        <v>28020840</v>
      </c>
      <c r="B136" s="7695"/>
      <c r="C136" s="1199" t="s">
        <v>3414</v>
      </c>
      <c r="D136" s="1114" t="s">
        <v>4567</v>
      </c>
      <c r="E136" s="387" t="s">
        <v>4568</v>
      </c>
      <c r="F136" s="1114" t="s">
        <v>4569</v>
      </c>
      <c r="G136" s="387" t="s">
        <v>4570</v>
      </c>
      <c r="H136" s="1114" t="s">
        <v>4571</v>
      </c>
      <c r="I136" s="387" t="s">
        <v>4572</v>
      </c>
      <c r="J136" s="1114" t="s">
        <v>4573</v>
      </c>
      <c r="K136" s="391" t="s">
        <v>4574</v>
      </c>
      <c r="L136" s="1303" t="s">
        <v>4575</v>
      </c>
      <c r="M136" s="387" t="s">
        <v>4576</v>
      </c>
    </row>
    <row r="137" spans="1:42" x14ac:dyDescent="0.25">
      <c r="A137" s="5818">
        <v>28020850</v>
      </c>
      <c r="B137" s="7685" t="s">
        <v>3415</v>
      </c>
      <c r="C137" s="1202" t="s">
        <v>3416</v>
      </c>
      <c r="D137" s="1081" t="s">
        <v>4567</v>
      </c>
      <c r="E137" s="1082" t="s">
        <v>4568</v>
      </c>
      <c r="F137" s="1081" t="s">
        <v>4569</v>
      </c>
      <c r="G137" s="1082" t="s">
        <v>4570</v>
      </c>
      <c r="H137" s="1081" t="s">
        <v>4571</v>
      </c>
      <c r="I137" s="1082" t="s">
        <v>4572</v>
      </c>
      <c r="J137" s="1081" t="s">
        <v>4573</v>
      </c>
      <c r="K137" s="1259" t="s">
        <v>4574</v>
      </c>
      <c r="L137" s="1294" t="s">
        <v>4575</v>
      </c>
      <c r="M137" s="1082" t="s">
        <v>4576</v>
      </c>
    </row>
    <row r="138" spans="1:42" ht="21" x14ac:dyDescent="0.25">
      <c r="A138" s="5818">
        <v>28020860</v>
      </c>
      <c r="B138" s="6112"/>
      <c r="C138" s="1198" t="s">
        <v>3412</v>
      </c>
      <c r="D138" s="1089" t="s">
        <v>4567</v>
      </c>
      <c r="E138" s="1090" t="s">
        <v>4568</v>
      </c>
      <c r="F138" s="1089" t="s">
        <v>4569</v>
      </c>
      <c r="G138" s="1090" t="s">
        <v>4570</v>
      </c>
      <c r="H138" s="1089" t="s">
        <v>4571</v>
      </c>
      <c r="I138" s="1090" t="s">
        <v>4572</v>
      </c>
      <c r="J138" s="1089" t="s">
        <v>4573</v>
      </c>
      <c r="K138" s="1295" t="s">
        <v>4574</v>
      </c>
      <c r="L138" s="1299" t="s">
        <v>4575</v>
      </c>
      <c r="M138" s="1090" t="s">
        <v>4576</v>
      </c>
    </row>
    <row r="139" spans="1:42" x14ac:dyDescent="0.25">
      <c r="A139" s="5818">
        <v>28020870</v>
      </c>
      <c r="B139" s="6112"/>
      <c r="C139" s="1198" t="s">
        <v>3410</v>
      </c>
      <c r="D139" s="1089" t="s">
        <v>4567</v>
      </c>
      <c r="E139" s="1090" t="s">
        <v>4568</v>
      </c>
      <c r="F139" s="1089" t="s">
        <v>4569</v>
      </c>
      <c r="G139" s="1090" t="s">
        <v>4570</v>
      </c>
      <c r="H139" s="1089" t="s">
        <v>4571</v>
      </c>
      <c r="I139" s="1090" t="s">
        <v>4572</v>
      </c>
      <c r="J139" s="1089" t="s">
        <v>4573</v>
      </c>
      <c r="K139" s="1295" t="s">
        <v>4574</v>
      </c>
      <c r="L139" s="1299" t="s">
        <v>4575</v>
      </c>
      <c r="M139" s="1090" t="s">
        <v>4576</v>
      </c>
    </row>
    <row r="140" spans="1:42" x14ac:dyDescent="0.25">
      <c r="A140" s="5818">
        <v>28020880</v>
      </c>
      <c r="B140" s="6112"/>
      <c r="C140" s="1198" t="s">
        <v>3417</v>
      </c>
      <c r="D140" s="1089" t="s">
        <v>4567</v>
      </c>
      <c r="E140" s="1090" t="s">
        <v>4568</v>
      </c>
      <c r="F140" s="1089" t="s">
        <v>4569</v>
      </c>
      <c r="G140" s="1090" t="s">
        <v>4570</v>
      </c>
      <c r="H140" s="1089" t="s">
        <v>4571</v>
      </c>
      <c r="I140" s="1090" t="s">
        <v>4572</v>
      </c>
      <c r="J140" s="1089" t="s">
        <v>4573</v>
      </c>
      <c r="K140" s="1295" t="s">
        <v>4574</v>
      </c>
      <c r="L140" s="1299" t="s">
        <v>4575</v>
      </c>
      <c r="M140" s="1090" t="s">
        <v>4576</v>
      </c>
    </row>
    <row r="141" spans="1:42" x14ac:dyDescent="0.25">
      <c r="A141" s="5818">
        <v>28020890</v>
      </c>
      <c r="B141" s="6112"/>
      <c r="C141" s="1747" t="s">
        <v>3413</v>
      </c>
      <c r="D141" s="1089" t="s">
        <v>4567</v>
      </c>
      <c r="E141" s="1090" t="s">
        <v>4568</v>
      </c>
      <c r="F141" s="1089" t="s">
        <v>4569</v>
      </c>
      <c r="G141" s="1090" t="s">
        <v>4570</v>
      </c>
      <c r="H141" s="1089" t="s">
        <v>4571</v>
      </c>
      <c r="I141" s="1090" t="s">
        <v>4572</v>
      </c>
      <c r="J141" s="1089" t="s">
        <v>4573</v>
      </c>
      <c r="K141" s="1295" t="s">
        <v>4574</v>
      </c>
      <c r="L141" s="1299" t="s">
        <v>4575</v>
      </c>
      <c r="M141" s="1090" t="s">
        <v>4576</v>
      </c>
    </row>
    <row r="142" spans="1:42" x14ac:dyDescent="0.25">
      <c r="A142" s="5818">
        <v>28020900</v>
      </c>
      <c r="B142" s="7686"/>
      <c r="C142" s="1199" t="s">
        <v>3414</v>
      </c>
      <c r="D142" s="47" t="s">
        <v>4567</v>
      </c>
      <c r="E142" s="42" t="s">
        <v>4568</v>
      </c>
      <c r="F142" s="47" t="s">
        <v>4569</v>
      </c>
      <c r="G142" s="42" t="s">
        <v>4570</v>
      </c>
      <c r="H142" s="47" t="s">
        <v>4571</v>
      </c>
      <c r="I142" s="42" t="s">
        <v>4572</v>
      </c>
      <c r="J142" s="47" t="s">
        <v>4573</v>
      </c>
      <c r="K142" s="75" t="s">
        <v>4574</v>
      </c>
      <c r="L142" s="74" t="s">
        <v>4575</v>
      </c>
      <c r="M142" s="42" t="s">
        <v>4576</v>
      </c>
    </row>
    <row r="143" spans="1:42" x14ac:dyDescent="0.25">
      <c r="A143" s="5818">
        <v>28101040</v>
      </c>
      <c r="B143" s="1429" t="s">
        <v>3418</v>
      </c>
      <c r="C143" s="1429" t="s">
        <v>3409</v>
      </c>
      <c r="D143" s="4892" t="s">
        <v>4567</v>
      </c>
      <c r="E143" s="1071" t="s">
        <v>4568</v>
      </c>
      <c r="F143" s="4892" t="s">
        <v>4569</v>
      </c>
      <c r="G143" s="1071" t="s">
        <v>4570</v>
      </c>
      <c r="H143" s="4892" t="s">
        <v>4571</v>
      </c>
      <c r="I143" s="1071" t="s">
        <v>4572</v>
      </c>
      <c r="J143" s="4892" t="s">
        <v>4573</v>
      </c>
      <c r="K143" s="4893" t="s">
        <v>4574</v>
      </c>
      <c r="L143" s="4754" t="s">
        <v>4575</v>
      </c>
      <c r="M143" s="1071" t="s">
        <v>4576</v>
      </c>
    </row>
    <row r="144" spans="1:42" ht="18" customHeight="1" x14ac:dyDescent="0.25">
      <c r="B144" s="1" t="s">
        <v>3419</v>
      </c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</row>
    <row r="145" spans="1:114" ht="18" customHeight="1" x14ac:dyDescent="0.25">
      <c r="B145" s="3" t="s">
        <v>3420</v>
      </c>
      <c r="C145" s="1"/>
      <c r="D145" s="8"/>
      <c r="E145" s="4"/>
      <c r="F145" s="4963"/>
      <c r="G145" s="4"/>
      <c r="H145" s="4963"/>
      <c r="I145" s="4963"/>
      <c r="J145" s="4"/>
      <c r="K145" s="4964"/>
      <c r="L145" s="4964"/>
      <c r="M145" s="4964"/>
      <c r="N145" s="4964"/>
      <c r="O145" s="4964"/>
      <c r="P145" s="4964"/>
      <c r="Q145" s="4964"/>
      <c r="R145" s="4964"/>
      <c r="S145" s="4963"/>
      <c r="T145" s="4"/>
      <c r="U145" s="4964"/>
      <c r="V145" s="4964"/>
      <c r="W145" s="4963"/>
      <c r="X145" s="4965"/>
      <c r="Y145" s="4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</row>
    <row r="146" spans="1:114" x14ac:dyDescent="0.25">
      <c r="B146" s="7680" t="s">
        <v>769</v>
      </c>
      <c r="C146" s="7673" t="s">
        <v>77</v>
      </c>
      <c r="D146" s="7674"/>
      <c r="E146" s="6786"/>
      <c r="F146" s="7687" t="s">
        <v>101</v>
      </c>
      <c r="G146" s="6491"/>
      <c r="H146" s="6491"/>
      <c r="I146" s="6491"/>
      <c r="J146" s="6491"/>
      <c r="K146" s="6491"/>
      <c r="L146" s="6491"/>
      <c r="M146" s="6491"/>
      <c r="N146" s="6491"/>
      <c r="O146" s="6491"/>
      <c r="P146" s="6491"/>
      <c r="Q146" s="6491"/>
      <c r="R146" s="6491"/>
      <c r="S146" s="6491"/>
      <c r="T146" s="6491"/>
      <c r="U146" s="6491"/>
      <c r="V146" s="6491"/>
      <c r="W146" s="6491"/>
      <c r="X146" s="6491"/>
      <c r="Y146" s="6491"/>
      <c r="Z146" s="6491"/>
      <c r="AA146" s="6491"/>
      <c r="AB146" s="6491"/>
      <c r="AC146" s="6491"/>
      <c r="AD146" s="6491"/>
      <c r="AE146" s="6491"/>
      <c r="AF146" s="6491"/>
      <c r="AG146" s="6491"/>
      <c r="AH146" s="6491"/>
      <c r="AI146" s="6491"/>
      <c r="AJ146" s="6491"/>
      <c r="AK146" s="6491"/>
      <c r="AL146" s="6491"/>
      <c r="AM146" s="6491"/>
      <c r="AN146" s="7696" t="s">
        <v>3421</v>
      </c>
      <c r="AO146" s="7406"/>
      <c r="AP146" s="7335"/>
    </row>
    <row r="147" spans="1:114" x14ac:dyDescent="0.25">
      <c r="B147" s="6931"/>
      <c r="C147" s="7660"/>
      <c r="D147" s="6735"/>
      <c r="E147" s="6955"/>
      <c r="F147" s="7688" t="s">
        <v>343</v>
      </c>
      <c r="G147" s="7688"/>
      <c r="H147" s="7688" t="s">
        <v>326</v>
      </c>
      <c r="I147" s="7688"/>
      <c r="J147" s="7688" t="s">
        <v>94</v>
      </c>
      <c r="K147" s="7688"/>
      <c r="L147" s="7697" t="s">
        <v>44</v>
      </c>
      <c r="M147" s="7697"/>
      <c r="N147" s="7346" t="s">
        <v>45</v>
      </c>
      <c r="O147" s="7257"/>
      <c r="P147" s="7688" t="s">
        <v>974</v>
      </c>
      <c r="Q147" s="7688"/>
      <c r="R147" s="7688" t="s">
        <v>629</v>
      </c>
      <c r="S147" s="7688"/>
      <c r="T147" s="7688" t="s">
        <v>48</v>
      </c>
      <c r="U147" s="7688"/>
      <c r="V147" s="7688" t="s">
        <v>49</v>
      </c>
      <c r="W147" s="7688"/>
      <c r="X147" s="7688" t="s">
        <v>975</v>
      </c>
      <c r="Y147" s="7688"/>
      <c r="Z147" s="7688" t="s">
        <v>51</v>
      </c>
      <c r="AA147" s="7688"/>
      <c r="AB147" s="7688" t="s">
        <v>52</v>
      </c>
      <c r="AC147" s="7688"/>
      <c r="AD147" s="7688" t="s">
        <v>53</v>
      </c>
      <c r="AE147" s="7257"/>
      <c r="AF147" s="7688" t="s">
        <v>54</v>
      </c>
      <c r="AG147" s="7688"/>
      <c r="AH147" s="7688" t="s">
        <v>55</v>
      </c>
      <c r="AI147" s="7688"/>
      <c r="AJ147" s="7688" t="s">
        <v>56</v>
      </c>
      <c r="AK147" s="7688"/>
      <c r="AL147" s="7244" t="s">
        <v>57</v>
      </c>
      <c r="AM147" s="7291"/>
      <c r="AN147" s="7634" t="s">
        <v>3422</v>
      </c>
      <c r="AO147" s="7698" t="s">
        <v>3423</v>
      </c>
      <c r="AP147" s="7699"/>
    </row>
    <row r="148" spans="1:114" ht="31.5" x14ac:dyDescent="0.25">
      <c r="B148" s="7681"/>
      <c r="C148" s="4966" t="s">
        <v>79</v>
      </c>
      <c r="D148" s="4523" t="s">
        <v>58</v>
      </c>
      <c r="E148" s="1067" t="s">
        <v>59</v>
      </c>
      <c r="F148" s="4967" t="s">
        <v>58</v>
      </c>
      <c r="G148" s="4491" t="s">
        <v>59</v>
      </c>
      <c r="H148" s="4967" t="s">
        <v>58</v>
      </c>
      <c r="I148" s="4491" t="s">
        <v>59</v>
      </c>
      <c r="J148" s="4967" t="s">
        <v>58</v>
      </c>
      <c r="K148" s="4491" t="s">
        <v>59</v>
      </c>
      <c r="L148" s="4967" t="s">
        <v>58</v>
      </c>
      <c r="M148" s="4491" t="s">
        <v>59</v>
      </c>
      <c r="N148" s="4968" t="s">
        <v>58</v>
      </c>
      <c r="O148" s="4969" t="s">
        <v>59</v>
      </c>
      <c r="P148" s="4967" t="s">
        <v>58</v>
      </c>
      <c r="Q148" s="4491" t="s">
        <v>59</v>
      </c>
      <c r="R148" s="4967" t="s">
        <v>58</v>
      </c>
      <c r="S148" s="4491" t="s">
        <v>59</v>
      </c>
      <c r="T148" s="4967" t="s">
        <v>58</v>
      </c>
      <c r="U148" s="4491" t="s">
        <v>59</v>
      </c>
      <c r="V148" s="4967" t="s">
        <v>58</v>
      </c>
      <c r="W148" s="4491" t="s">
        <v>59</v>
      </c>
      <c r="X148" s="4967" t="s">
        <v>58</v>
      </c>
      <c r="Y148" s="4491" t="s">
        <v>59</v>
      </c>
      <c r="Z148" s="4967" t="s">
        <v>58</v>
      </c>
      <c r="AA148" s="4491" t="s">
        <v>59</v>
      </c>
      <c r="AB148" s="4967" t="s">
        <v>58</v>
      </c>
      <c r="AC148" s="4491" t="s">
        <v>59</v>
      </c>
      <c r="AD148" s="4967" t="s">
        <v>58</v>
      </c>
      <c r="AE148" s="4969" t="s">
        <v>59</v>
      </c>
      <c r="AF148" s="4967" t="s">
        <v>58</v>
      </c>
      <c r="AG148" s="4491" t="s">
        <v>59</v>
      </c>
      <c r="AH148" s="4967" t="s">
        <v>58</v>
      </c>
      <c r="AI148" s="4491" t="s">
        <v>59</v>
      </c>
      <c r="AJ148" s="4967" t="s">
        <v>58</v>
      </c>
      <c r="AK148" s="4491" t="s">
        <v>59</v>
      </c>
      <c r="AL148" s="4968" t="s">
        <v>58</v>
      </c>
      <c r="AM148" s="4969" t="s">
        <v>59</v>
      </c>
      <c r="AN148" s="7700"/>
      <c r="AO148" s="4970" t="s">
        <v>3424</v>
      </c>
      <c r="AP148" s="4971" t="s">
        <v>3425</v>
      </c>
    </row>
    <row r="149" spans="1:114" x14ac:dyDescent="0.25">
      <c r="A149" s="5818">
        <v>28021620</v>
      </c>
      <c r="B149" s="4972" t="s">
        <v>3426</v>
      </c>
      <c r="C149" s="358" t="s">
        <v>4567</v>
      </c>
      <c r="D149" s="3862" t="s">
        <v>4568</v>
      </c>
      <c r="E149" s="4973" t="s">
        <v>4569</v>
      </c>
      <c r="F149" s="1081" t="s">
        <v>4570</v>
      </c>
      <c r="G149" s="748" t="s">
        <v>4571</v>
      </c>
      <c r="H149" s="1081" t="s">
        <v>4572</v>
      </c>
      <c r="I149" s="748" t="s">
        <v>4573</v>
      </c>
      <c r="J149" s="1081" t="s">
        <v>4574</v>
      </c>
      <c r="K149" s="748" t="s">
        <v>4575</v>
      </c>
      <c r="L149" s="1081" t="s">
        <v>4576</v>
      </c>
      <c r="M149" s="748" t="s">
        <v>4577</v>
      </c>
      <c r="N149" s="1083" t="s">
        <v>4578</v>
      </c>
      <c r="O149" s="1084" t="s">
        <v>4579</v>
      </c>
      <c r="P149" s="1081" t="s">
        <v>4580</v>
      </c>
      <c r="Q149" s="748" t="s">
        <v>4581</v>
      </c>
      <c r="R149" s="1081" t="s">
        <v>4582</v>
      </c>
      <c r="S149" s="748" t="s">
        <v>4583</v>
      </c>
      <c r="T149" s="1081" t="s">
        <v>4584</v>
      </c>
      <c r="U149" s="748" t="s">
        <v>4585</v>
      </c>
      <c r="V149" s="1081" t="s">
        <v>4586</v>
      </c>
      <c r="W149" s="748" t="s">
        <v>4587</v>
      </c>
      <c r="X149" s="1081" t="s">
        <v>4588</v>
      </c>
      <c r="Y149" s="748" t="s">
        <v>4589</v>
      </c>
      <c r="Z149" s="1081" t="s">
        <v>4590</v>
      </c>
      <c r="AA149" s="748" t="s">
        <v>4591</v>
      </c>
      <c r="AB149" s="1081" t="s">
        <v>4592</v>
      </c>
      <c r="AC149" s="748" t="s">
        <v>4593</v>
      </c>
      <c r="AD149" s="1081" t="s">
        <v>4594</v>
      </c>
      <c r="AE149" s="1084" t="s">
        <v>4595</v>
      </c>
      <c r="AF149" s="1081" t="s">
        <v>4596</v>
      </c>
      <c r="AG149" s="748" t="s">
        <v>4597</v>
      </c>
      <c r="AH149" s="1081" t="s">
        <v>4598</v>
      </c>
      <c r="AI149" s="748" t="s">
        <v>4599</v>
      </c>
      <c r="AJ149" s="1081" t="s">
        <v>4600</v>
      </c>
      <c r="AK149" s="748" t="s">
        <v>4601</v>
      </c>
      <c r="AL149" s="1083" t="s">
        <v>4602</v>
      </c>
      <c r="AM149" s="1084" t="s">
        <v>4603</v>
      </c>
      <c r="AN149" s="1294" t="s">
        <v>4604</v>
      </c>
      <c r="AO149" s="750" t="s">
        <v>4605</v>
      </c>
      <c r="AP149" s="748" t="s">
        <v>4606</v>
      </c>
      <c r="AQ149" s="1864" t="e">
        <f>$CB149</f>
        <v>#VALUE!</v>
      </c>
      <c r="BV149" s="1936"/>
      <c r="BW149" s="1936"/>
      <c r="BX149" s="1936"/>
      <c r="BY149" s="1936"/>
      <c r="BZ149" s="1936"/>
      <c r="CA149" s="1936"/>
      <c r="CB149" s="1865" t="e">
        <f>IF(AN149+AO149+AP149&lt;&gt;$C149,"* La suma de "&amp;AN$146&amp;""&amp;" no debe ser distinto del Total Ambos Sexos. ","")</f>
        <v>#VALUE!</v>
      </c>
      <c r="CC149" s="1936"/>
      <c r="CD149" s="1936"/>
      <c r="CE149" s="1936"/>
      <c r="CF149"/>
      <c r="CL149" s="1936"/>
      <c r="CN149" s="1867" t="e">
        <f t="shared" ref="CN149:CN177" si="39">IF(AN149+AO149+AP149&lt;&gt;$C149,1,0)</f>
        <v>#VALUE!</v>
      </c>
      <c r="DJ149"/>
    </row>
    <row r="150" spans="1:114" x14ac:dyDescent="0.25">
      <c r="A150" s="5818">
        <v>28021625</v>
      </c>
      <c r="B150" s="4761" t="s">
        <v>3309</v>
      </c>
      <c r="C150" s="358" t="s">
        <v>4567</v>
      </c>
      <c r="D150" s="3862" t="s">
        <v>4568</v>
      </c>
      <c r="E150" s="4974" t="s">
        <v>4569</v>
      </c>
      <c r="F150" s="1089" t="s">
        <v>4570</v>
      </c>
      <c r="G150" s="1093" t="s">
        <v>4571</v>
      </c>
      <c r="H150" s="1089" t="s">
        <v>4572</v>
      </c>
      <c r="I150" s="1093" t="s">
        <v>4573</v>
      </c>
      <c r="J150" s="1089" t="s">
        <v>4574</v>
      </c>
      <c r="K150" s="1093" t="s">
        <v>4575</v>
      </c>
      <c r="L150" s="1089" t="s">
        <v>4576</v>
      </c>
      <c r="M150" s="1093" t="s">
        <v>4577</v>
      </c>
      <c r="N150" s="1091" t="s">
        <v>4578</v>
      </c>
      <c r="O150" s="1092" t="s">
        <v>4579</v>
      </c>
      <c r="P150" s="1089" t="s">
        <v>4580</v>
      </c>
      <c r="Q150" s="1093" t="s">
        <v>4581</v>
      </c>
      <c r="R150" s="1089" t="s">
        <v>4582</v>
      </c>
      <c r="S150" s="1093" t="s">
        <v>4583</v>
      </c>
      <c r="T150" s="1089" t="s">
        <v>4584</v>
      </c>
      <c r="U150" s="1093" t="s">
        <v>4585</v>
      </c>
      <c r="V150" s="1089" t="s">
        <v>4586</v>
      </c>
      <c r="W150" s="1093" t="s">
        <v>4587</v>
      </c>
      <c r="X150" s="1089" t="s">
        <v>4588</v>
      </c>
      <c r="Y150" s="1093" t="s">
        <v>4589</v>
      </c>
      <c r="Z150" s="1089" t="s">
        <v>4590</v>
      </c>
      <c r="AA150" s="1093" t="s">
        <v>4591</v>
      </c>
      <c r="AB150" s="1089" t="s">
        <v>4592</v>
      </c>
      <c r="AC150" s="1093" t="s">
        <v>4593</v>
      </c>
      <c r="AD150" s="1089" t="s">
        <v>4594</v>
      </c>
      <c r="AE150" s="1092" t="s">
        <v>4595</v>
      </c>
      <c r="AF150" s="1089" t="s">
        <v>4596</v>
      </c>
      <c r="AG150" s="1093" t="s">
        <v>4597</v>
      </c>
      <c r="AH150" s="1089" t="s">
        <v>4598</v>
      </c>
      <c r="AI150" s="1093" t="s">
        <v>4599</v>
      </c>
      <c r="AJ150" s="1089" t="s">
        <v>4600</v>
      </c>
      <c r="AK150" s="1093" t="s">
        <v>4601</v>
      </c>
      <c r="AL150" s="1091" t="s">
        <v>4602</v>
      </c>
      <c r="AM150" s="1092" t="s">
        <v>4603</v>
      </c>
      <c r="AN150" s="1299" t="s">
        <v>4604</v>
      </c>
      <c r="AO150" s="1253" t="s">
        <v>4605</v>
      </c>
      <c r="AP150" s="1093" t="s">
        <v>4606</v>
      </c>
      <c r="AQ150" s="1864" t="e">
        <f t="shared" ref="AQ150:AQ183" si="40">$CB150</f>
        <v>#VALUE!</v>
      </c>
      <c r="BV150" s="1936"/>
      <c r="BW150" s="1936"/>
      <c r="BX150" s="1936"/>
      <c r="BY150" s="1936"/>
      <c r="BZ150" s="1936"/>
      <c r="CA150" s="1936"/>
      <c r="CB150" s="1865" t="e">
        <f t="shared" ref="CB150:CB177" si="41">IF(AN150+AO150+AP150&lt;&gt;$C150,"* La suma de "&amp;AN$146&amp;""&amp;" no debe ser distinto del Total Ambos Sexos. ","")</f>
        <v>#VALUE!</v>
      </c>
      <c r="CC150" s="1936"/>
      <c r="CD150" s="1936"/>
      <c r="CE150" s="1936"/>
      <c r="CF150"/>
      <c r="CL150" s="1936"/>
      <c r="CN150" s="1867" t="e">
        <f t="shared" si="39"/>
        <v>#VALUE!</v>
      </c>
      <c r="DJ150"/>
    </row>
    <row r="151" spans="1:114" x14ac:dyDescent="0.25">
      <c r="A151" s="5818">
        <v>28020960</v>
      </c>
      <c r="B151" s="4915" t="s">
        <v>3334</v>
      </c>
      <c r="C151" s="358" t="s">
        <v>4567</v>
      </c>
      <c r="D151" s="3862" t="s">
        <v>4568</v>
      </c>
      <c r="E151" s="4974" t="s">
        <v>4569</v>
      </c>
      <c r="F151" s="1089" t="s">
        <v>4570</v>
      </c>
      <c r="G151" s="1093" t="s">
        <v>4571</v>
      </c>
      <c r="H151" s="1089" t="s">
        <v>4572</v>
      </c>
      <c r="I151" s="1093" t="s">
        <v>4573</v>
      </c>
      <c r="J151" s="1089" t="s">
        <v>4574</v>
      </c>
      <c r="K151" s="1093" t="s">
        <v>4575</v>
      </c>
      <c r="L151" s="1089" t="s">
        <v>4576</v>
      </c>
      <c r="M151" s="1093" t="s">
        <v>4577</v>
      </c>
      <c r="N151" s="1091" t="s">
        <v>4578</v>
      </c>
      <c r="O151" s="1092" t="s">
        <v>4579</v>
      </c>
      <c r="P151" s="1089" t="s">
        <v>4580</v>
      </c>
      <c r="Q151" s="1093" t="s">
        <v>4581</v>
      </c>
      <c r="R151" s="1089" t="s">
        <v>4582</v>
      </c>
      <c r="S151" s="1093" t="s">
        <v>4583</v>
      </c>
      <c r="T151" s="1089" t="s">
        <v>4584</v>
      </c>
      <c r="U151" s="1093" t="s">
        <v>4585</v>
      </c>
      <c r="V151" s="1089" t="s">
        <v>4586</v>
      </c>
      <c r="W151" s="1093" t="s">
        <v>4587</v>
      </c>
      <c r="X151" s="1089" t="s">
        <v>4588</v>
      </c>
      <c r="Y151" s="1093" t="s">
        <v>4589</v>
      </c>
      <c r="Z151" s="1089" t="s">
        <v>4590</v>
      </c>
      <c r="AA151" s="1093" t="s">
        <v>4591</v>
      </c>
      <c r="AB151" s="1089" t="s">
        <v>4592</v>
      </c>
      <c r="AC151" s="1093" t="s">
        <v>4593</v>
      </c>
      <c r="AD151" s="1089" t="s">
        <v>4594</v>
      </c>
      <c r="AE151" s="1092" t="s">
        <v>4595</v>
      </c>
      <c r="AF151" s="1089" t="s">
        <v>4596</v>
      </c>
      <c r="AG151" s="1093" t="s">
        <v>4597</v>
      </c>
      <c r="AH151" s="1089" t="s">
        <v>4598</v>
      </c>
      <c r="AI151" s="1093" t="s">
        <v>4599</v>
      </c>
      <c r="AJ151" s="1089" t="s">
        <v>4600</v>
      </c>
      <c r="AK151" s="1093" t="s">
        <v>4601</v>
      </c>
      <c r="AL151" s="1091" t="s">
        <v>4602</v>
      </c>
      <c r="AM151" s="1092" t="s">
        <v>4603</v>
      </c>
      <c r="AN151" s="1299" t="s">
        <v>4604</v>
      </c>
      <c r="AO151" s="1253" t="s">
        <v>4605</v>
      </c>
      <c r="AP151" s="1093" t="s">
        <v>4606</v>
      </c>
      <c r="AQ151" s="1864" t="e">
        <f t="shared" si="40"/>
        <v>#VALUE!</v>
      </c>
      <c r="BV151" s="1936"/>
      <c r="BW151" s="1936"/>
      <c r="BX151" s="1936"/>
      <c r="BY151" s="1936"/>
      <c r="BZ151" s="1936"/>
      <c r="CA151" s="1936"/>
      <c r="CB151" s="1865" t="e">
        <f t="shared" si="41"/>
        <v>#VALUE!</v>
      </c>
      <c r="CC151" s="1936"/>
      <c r="CD151" s="1936"/>
      <c r="CE151" s="1936"/>
      <c r="CF151"/>
      <c r="CL151" s="1936"/>
      <c r="CN151" s="1867" t="e">
        <f t="shared" si="39"/>
        <v>#VALUE!</v>
      </c>
      <c r="DJ151"/>
    </row>
    <row r="152" spans="1:114" x14ac:dyDescent="0.25">
      <c r="A152" s="5818">
        <v>28020940</v>
      </c>
      <c r="B152" s="4915" t="s">
        <v>3335</v>
      </c>
      <c r="C152" s="358" t="s">
        <v>4567</v>
      </c>
      <c r="D152" s="3862" t="s">
        <v>4568</v>
      </c>
      <c r="E152" s="4974" t="s">
        <v>4569</v>
      </c>
      <c r="F152" s="1089" t="s">
        <v>4570</v>
      </c>
      <c r="G152" s="1093" t="s">
        <v>4571</v>
      </c>
      <c r="H152" s="1089" t="s">
        <v>4572</v>
      </c>
      <c r="I152" s="1093" t="s">
        <v>4573</v>
      </c>
      <c r="J152" s="1089" t="s">
        <v>4574</v>
      </c>
      <c r="K152" s="1093" t="s">
        <v>4575</v>
      </c>
      <c r="L152" s="1089" t="s">
        <v>4576</v>
      </c>
      <c r="M152" s="1093" t="s">
        <v>4577</v>
      </c>
      <c r="N152" s="1091" t="s">
        <v>4578</v>
      </c>
      <c r="O152" s="1092" t="s">
        <v>4579</v>
      </c>
      <c r="P152" s="1089" t="s">
        <v>4580</v>
      </c>
      <c r="Q152" s="1093" t="s">
        <v>4581</v>
      </c>
      <c r="R152" s="1089" t="s">
        <v>4582</v>
      </c>
      <c r="S152" s="1093" t="s">
        <v>4583</v>
      </c>
      <c r="T152" s="1089" t="s">
        <v>4584</v>
      </c>
      <c r="U152" s="1093" t="s">
        <v>4585</v>
      </c>
      <c r="V152" s="1089" t="s">
        <v>4586</v>
      </c>
      <c r="W152" s="1093" t="s">
        <v>4587</v>
      </c>
      <c r="X152" s="1089" t="s">
        <v>4588</v>
      </c>
      <c r="Y152" s="1093" t="s">
        <v>4589</v>
      </c>
      <c r="Z152" s="1089" t="s">
        <v>4590</v>
      </c>
      <c r="AA152" s="1093" t="s">
        <v>4591</v>
      </c>
      <c r="AB152" s="1089" t="s">
        <v>4592</v>
      </c>
      <c r="AC152" s="1093" t="s">
        <v>4593</v>
      </c>
      <c r="AD152" s="1089" t="s">
        <v>4594</v>
      </c>
      <c r="AE152" s="1092" t="s">
        <v>4595</v>
      </c>
      <c r="AF152" s="1089" t="s">
        <v>4596</v>
      </c>
      <c r="AG152" s="1093" t="s">
        <v>4597</v>
      </c>
      <c r="AH152" s="1089" t="s">
        <v>4598</v>
      </c>
      <c r="AI152" s="1093" t="s">
        <v>4599</v>
      </c>
      <c r="AJ152" s="1089" t="s">
        <v>4600</v>
      </c>
      <c r="AK152" s="1093" t="s">
        <v>4601</v>
      </c>
      <c r="AL152" s="1091" t="s">
        <v>4602</v>
      </c>
      <c r="AM152" s="1092" t="s">
        <v>4603</v>
      </c>
      <c r="AN152" s="1299" t="s">
        <v>4604</v>
      </c>
      <c r="AO152" s="1253" t="s">
        <v>4605</v>
      </c>
      <c r="AP152" s="1093" t="s">
        <v>4606</v>
      </c>
      <c r="AQ152" s="1864" t="e">
        <f t="shared" si="40"/>
        <v>#VALUE!</v>
      </c>
      <c r="BV152" s="1936"/>
      <c r="BW152" s="1936"/>
      <c r="BX152" s="1936"/>
      <c r="BY152" s="1936"/>
      <c r="BZ152" s="1936"/>
      <c r="CA152" s="1936"/>
      <c r="CB152" s="1865" t="e">
        <f t="shared" si="41"/>
        <v>#VALUE!</v>
      </c>
      <c r="CC152" s="1936"/>
      <c r="CD152" s="1936"/>
      <c r="CE152" s="1936"/>
      <c r="CF152"/>
      <c r="CL152" s="1936"/>
      <c r="CN152" s="1867" t="e">
        <f t="shared" si="39"/>
        <v>#VALUE!</v>
      </c>
      <c r="DJ152"/>
    </row>
    <row r="153" spans="1:114" x14ac:dyDescent="0.25">
      <c r="A153" s="5818">
        <v>28020950</v>
      </c>
      <c r="B153" s="4915" t="s">
        <v>3336</v>
      </c>
      <c r="C153" s="358" t="s">
        <v>4567</v>
      </c>
      <c r="D153" s="3862" t="s">
        <v>4568</v>
      </c>
      <c r="E153" s="4974" t="s">
        <v>4569</v>
      </c>
      <c r="F153" s="1089" t="s">
        <v>4570</v>
      </c>
      <c r="G153" s="1093" t="s">
        <v>4571</v>
      </c>
      <c r="H153" s="1089" t="s">
        <v>4572</v>
      </c>
      <c r="I153" s="1093" t="s">
        <v>4573</v>
      </c>
      <c r="J153" s="1089" t="s">
        <v>4574</v>
      </c>
      <c r="K153" s="1093" t="s">
        <v>4575</v>
      </c>
      <c r="L153" s="1089" t="s">
        <v>4576</v>
      </c>
      <c r="M153" s="1093" t="s">
        <v>4577</v>
      </c>
      <c r="N153" s="1091" t="s">
        <v>4578</v>
      </c>
      <c r="O153" s="1092" t="s">
        <v>4579</v>
      </c>
      <c r="P153" s="1089" t="s">
        <v>4580</v>
      </c>
      <c r="Q153" s="1093" t="s">
        <v>4581</v>
      </c>
      <c r="R153" s="1089" t="s">
        <v>4582</v>
      </c>
      <c r="S153" s="1093" t="s">
        <v>4583</v>
      </c>
      <c r="T153" s="1089" t="s">
        <v>4584</v>
      </c>
      <c r="U153" s="1093" t="s">
        <v>4585</v>
      </c>
      <c r="V153" s="1089" t="s">
        <v>4586</v>
      </c>
      <c r="W153" s="1093" t="s">
        <v>4587</v>
      </c>
      <c r="X153" s="1089" t="s">
        <v>4588</v>
      </c>
      <c r="Y153" s="1093" t="s">
        <v>4589</v>
      </c>
      <c r="Z153" s="1089" t="s">
        <v>4590</v>
      </c>
      <c r="AA153" s="1093" t="s">
        <v>4591</v>
      </c>
      <c r="AB153" s="1089" t="s">
        <v>4592</v>
      </c>
      <c r="AC153" s="1093" t="s">
        <v>4593</v>
      </c>
      <c r="AD153" s="1089" t="s">
        <v>4594</v>
      </c>
      <c r="AE153" s="1092" t="s">
        <v>4595</v>
      </c>
      <c r="AF153" s="1089" t="s">
        <v>4596</v>
      </c>
      <c r="AG153" s="1093" t="s">
        <v>4597</v>
      </c>
      <c r="AH153" s="1089" t="s">
        <v>4598</v>
      </c>
      <c r="AI153" s="1093" t="s">
        <v>4599</v>
      </c>
      <c r="AJ153" s="1089" t="s">
        <v>4600</v>
      </c>
      <c r="AK153" s="1093" t="s">
        <v>4601</v>
      </c>
      <c r="AL153" s="1091" t="s">
        <v>4602</v>
      </c>
      <c r="AM153" s="1092" t="s">
        <v>4603</v>
      </c>
      <c r="AN153" s="1299" t="s">
        <v>4604</v>
      </c>
      <c r="AO153" s="1253" t="s">
        <v>4605</v>
      </c>
      <c r="AP153" s="1093" t="s">
        <v>4606</v>
      </c>
      <c r="AQ153" s="1864" t="e">
        <f t="shared" si="40"/>
        <v>#VALUE!</v>
      </c>
      <c r="BV153" s="1936"/>
      <c r="BW153" s="1936"/>
      <c r="BX153" s="1936"/>
      <c r="BY153" s="1936"/>
      <c r="BZ153" s="1936"/>
      <c r="CA153" s="1936"/>
      <c r="CB153" s="1865" t="e">
        <f t="shared" si="41"/>
        <v>#VALUE!</v>
      </c>
      <c r="CC153" s="1936"/>
      <c r="CD153" s="1936"/>
      <c r="CE153" s="1936"/>
      <c r="CF153"/>
      <c r="CL153" s="1936"/>
      <c r="CN153" s="1867" t="e">
        <f t="shared" si="39"/>
        <v>#VALUE!</v>
      </c>
      <c r="DJ153"/>
    </row>
    <row r="154" spans="1:114" x14ac:dyDescent="0.25">
      <c r="A154" s="5818">
        <v>28021160</v>
      </c>
      <c r="B154" s="4915" t="s">
        <v>3427</v>
      </c>
      <c r="C154" s="358" t="s">
        <v>4567</v>
      </c>
      <c r="D154" s="3862" t="s">
        <v>4568</v>
      </c>
      <c r="E154" s="4974" t="s">
        <v>4569</v>
      </c>
      <c r="F154" s="1089" t="s">
        <v>4570</v>
      </c>
      <c r="G154" s="1093" t="s">
        <v>4571</v>
      </c>
      <c r="H154" s="1089" t="s">
        <v>4572</v>
      </c>
      <c r="I154" s="1093" t="s">
        <v>4573</v>
      </c>
      <c r="J154" s="1089" t="s">
        <v>4574</v>
      </c>
      <c r="K154" s="1093" t="s">
        <v>4575</v>
      </c>
      <c r="L154" s="1089" t="s">
        <v>4576</v>
      </c>
      <c r="M154" s="1093" t="s">
        <v>4577</v>
      </c>
      <c r="N154" s="1091" t="s">
        <v>4578</v>
      </c>
      <c r="O154" s="1092" t="s">
        <v>4579</v>
      </c>
      <c r="P154" s="1089" t="s">
        <v>4580</v>
      </c>
      <c r="Q154" s="1093" t="s">
        <v>4581</v>
      </c>
      <c r="R154" s="1089" t="s">
        <v>4582</v>
      </c>
      <c r="S154" s="1093" t="s">
        <v>4583</v>
      </c>
      <c r="T154" s="1089" t="s">
        <v>4584</v>
      </c>
      <c r="U154" s="1093" t="s">
        <v>4585</v>
      </c>
      <c r="V154" s="1089" t="s">
        <v>4586</v>
      </c>
      <c r="W154" s="1093" t="s">
        <v>4587</v>
      </c>
      <c r="X154" s="1089" t="s">
        <v>4588</v>
      </c>
      <c r="Y154" s="1093" t="s">
        <v>4589</v>
      </c>
      <c r="Z154" s="1089" t="s">
        <v>4590</v>
      </c>
      <c r="AA154" s="1093" t="s">
        <v>4591</v>
      </c>
      <c r="AB154" s="1089" t="s">
        <v>4592</v>
      </c>
      <c r="AC154" s="1093" t="s">
        <v>4593</v>
      </c>
      <c r="AD154" s="1089" t="s">
        <v>4594</v>
      </c>
      <c r="AE154" s="1092" t="s">
        <v>4595</v>
      </c>
      <c r="AF154" s="1089" t="s">
        <v>4596</v>
      </c>
      <c r="AG154" s="1093" t="s">
        <v>4597</v>
      </c>
      <c r="AH154" s="1089" t="s">
        <v>4598</v>
      </c>
      <c r="AI154" s="1093" t="s">
        <v>4599</v>
      </c>
      <c r="AJ154" s="1089" t="s">
        <v>4600</v>
      </c>
      <c r="AK154" s="1093" t="s">
        <v>4601</v>
      </c>
      <c r="AL154" s="1091" t="s">
        <v>4602</v>
      </c>
      <c r="AM154" s="1092" t="s">
        <v>4603</v>
      </c>
      <c r="AN154" s="1299" t="s">
        <v>4604</v>
      </c>
      <c r="AO154" s="1253" t="s">
        <v>4605</v>
      </c>
      <c r="AP154" s="1093" t="s">
        <v>4606</v>
      </c>
      <c r="AQ154" s="1864" t="e">
        <f t="shared" si="40"/>
        <v>#VALUE!</v>
      </c>
      <c r="BV154" s="1936"/>
      <c r="BW154" s="1936"/>
      <c r="BX154" s="1936"/>
      <c r="BY154" s="1936"/>
      <c r="BZ154" s="1936"/>
      <c r="CA154" s="1936"/>
      <c r="CB154" s="1865" t="e">
        <f t="shared" si="41"/>
        <v>#VALUE!</v>
      </c>
      <c r="CC154" s="1936"/>
      <c r="CD154" s="1936"/>
      <c r="CE154" s="1936"/>
      <c r="CF154"/>
      <c r="CL154" s="1936"/>
      <c r="CN154" s="1867" t="e">
        <f t="shared" si="39"/>
        <v>#VALUE!</v>
      </c>
      <c r="DJ154"/>
    </row>
    <row r="155" spans="1:114" x14ac:dyDescent="0.25">
      <c r="A155" s="5818">
        <v>28021170</v>
      </c>
      <c r="B155" s="4915" t="s">
        <v>3428</v>
      </c>
      <c r="C155" s="358" t="s">
        <v>4567</v>
      </c>
      <c r="D155" s="3862" t="s">
        <v>4568</v>
      </c>
      <c r="E155" s="4974" t="s">
        <v>4569</v>
      </c>
      <c r="F155" s="1089" t="s">
        <v>4570</v>
      </c>
      <c r="G155" s="1093" t="s">
        <v>4571</v>
      </c>
      <c r="H155" s="1089" t="s">
        <v>4572</v>
      </c>
      <c r="I155" s="1093" t="s">
        <v>4573</v>
      </c>
      <c r="J155" s="1089" t="s">
        <v>4574</v>
      </c>
      <c r="K155" s="1093" t="s">
        <v>4575</v>
      </c>
      <c r="L155" s="1089" t="s">
        <v>4576</v>
      </c>
      <c r="M155" s="1093" t="s">
        <v>4577</v>
      </c>
      <c r="N155" s="1091" t="s">
        <v>4578</v>
      </c>
      <c r="O155" s="1092" t="s">
        <v>4579</v>
      </c>
      <c r="P155" s="1089" t="s">
        <v>4580</v>
      </c>
      <c r="Q155" s="1093" t="s">
        <v>4581</v>
      </c>
      <c r="R155" s="1089" t="s">
        <v>4582</v>
      </c>
      <c r="S155" s="1093" t="s">
        <v>4583</v>
      </c>
      <c r="T155" s="1089" t="s">
        <v>4584</v>
      </c>
      <c r="U155" s="1093" t="s">
        <v>4585</v>
      </c>
      <c r="V155" s="1089" t="s">
        <v>4586</v>
      </c>
      <c r="W155" s="1093" t="s">
        <v>4587</v>
      </c>
      <c r="X155" s="1089" t="s">
        <v>4588</v>
      </c>
      <c r="Y155" s="1093" t="s">
        <v>4589</v>
      </c>
      <c r="Z155" s="1089" t="s">
        <v>4590</v>
      </c>
      <c r="AA155" s="1093" t="s">
        <v>4591</v>
      </c>
      <c r="AB155" s="1089" t="s">
        <v>4592</v>
      </c>
      <c r="AC155" s="1093" t="s">
        <v>4593</v>
      </c>
      <c r="AD155" s="1089" t="s">
        <v>4594</v>
      </c>
      <c r="AE155" s="1092" t="s">
        <v>4595</v>
      </c>
      <c r="AF155" s="1089" t="s">
        <v>4596</v>
      </c>
      <c r="AG155" s="1093" t="s">
        <v>4597</v>
      </c>
      <c r="AH155" s="1089" t="s">
        <v>4598</v>
      </c>
      <c r="AI155" s="1093" t="s">
        <v>4599</v>
      </c>
      <c r="AJ155" s="1089" t="s">
        <v>4600</v>
      </c>
      <c r="AK155" s="1093" t="s">
        <v>4601</v>
      </c>
      <c r="AL155" s="1091" t="s">
        <v>4602</v>
      </c>
      <c r="AM155" s="1092" t="s">
        <v>4603</v>
      </c>
      <c r="AN155" s="1299" t="s">
        <v>4604</v>
      </c>
      <c r="AO155" s="1253" t="s">
        <v>4605</v>
      </c>
      <c r="AP155" s="1093" t="s">
        <v>4606</v>
      </c>
      <c r="AQ155" s="1864" t="e">
        <f t="shared" si="40"/>
        <v>#VALUE!</v>
      </c>
      <c r="BV155" s="1936"/>
      <c r="BW155" s="1936"/>
      <c r="BX155" s="1936"/>
      <c r="BY155" s="1936"/>
      <c r="BZ155" s="1936"/>
      <c r="CA155" s="1936"/>
      <c r="CB155" s="1865" t="e">
        <f t="shared" si="41"/>
        <v>#VALUE!</v>
      </c>
      <c r="CC155" s="1936"/>
      <c r="CD155" s="1936"/>
      <c r="CE155" s="1936"/>
      <c r="CF155"/>
      <c r="CL155" s="1936"/>
      <c r="CN155" s="1867" t="e">
        <f t="shared" si="39"/>
        <v>#VALUE!</v>
      </c>
      <c r="DJ155"/>
    </row>
    <row r="156" spans="1:114" x14ac:dyDescent="0.25">
      <c r="A156" s="5818">
        <v>28022380</v>
      </c>
      <c r="B156" s="4915" t="s">
        <v>3340</v>
      </c>
      <c r="C156" s="358" t="s">
        <v>4567</v>
      </c>
      <c r="D156" s="3862" t="s">
        <v>4568</v>
      </c>
      <c r="E156" s="4974" t="s">
        <v>4569</v>
      </c>
      <c r="F156" s="1089" t="s">
        <v>4570</v>
      </c>
      <c r="G156" s="1093" t="s">
        <v>4571</v>
      </c>
      <c r="H156" s="1089" t="s">
        <v>4572</v>
      </c>
      <c r="I156" s="1093" t="s">
        <v>4573</v>
      </c>
      <c r="J156" s="1089" t="s">
        <v>4574</v>
      </c>
      <c r="K156" s="1093" t="s">
        <v>4575</v>
      </c>
      <c r="L156" s="1089" t="s">
        <v>4576</v>
      </c>
      <c r="M156" s="1093" t="s">
        <v>4577</v>
      </c>
      <c r="N156" s="1091" t="s">
        <v>4578</v>
      </c>
      <c r="O156" s="1092" t="s">
        <v>4579</v>
      </c>
      <c r="P156" s="1089" t="s">
        <v>4580</v>
      </c>
      <c r="Q156" s="1093" t="s">
        <v>4581</v>
      </c>
      <c r="R156" s="1089" t="s">
        <v>4582</v>
      </c>
      <c r="S156" s="1093" t="s">
        <v>4583</v>
      </c>
      <c r="T156" s="1089" t="s">
        <v>4584</v>
      </c>
      <c r="U156" s="1093" t="s">
        <v>4585</v>
      </c>
      <c r="V156" s="1089" t="s">
        <v>4586</v>
      </c>
      <c r="W156" s="1093" t="s">
        <v>4587</v>
      </c>
      <c r="X156" s="1089" t="s">
        <v>4588</v>
      </c>
      <c r="Y156" s="1093" t="s">
        <v>4589</v>
      </c>
      <c r="Z156" s="1089" t="s">
        <v>4590</v>
      </c>
      <c r="AA156" s="1093" t="s">
        <v>4591</v>
      </c>
      <c r="AB156" s="1089" t="s">
        <v>4592</v>
      </c>
      <c r="AC156" s="1093" t="s">
        <v>4593</v>
      </c>
      <c r="AD156" s="1089" t="s">
        <v>4594</v>
      </c>
      <c r="AE156" s="1092" t="s">
        <v>4595</v>
      </c>
      <c r="AF156" s="1089" t="s">
        <v>4596</v>
      </c>
      <c r="AG156" s="1093" t="s">
        <v>4597</v>
      </c>
      <c r="AH156" s="1089" t="s">
        <v>4598</v>
      </c>
      <c r="AI156" s="1093" t="s">
        <v>4599</v>
      </c>
      <c r="AJ156" s="1089" t="s">
        <v>4600</v>
      </c>
      <c r="AK156" s="1093" t="s">
        <v>4601</v>
      </c>
      <c r="AL156" s="1091" t="s">
        <v>4602</v>
      </c>
      <c r="AM156" s="1092" t="s">
        <v>4603</v>
      </c>
      <c r="AN156" s="1299" t="s">
        <v>4604</v>
      </c>
      <c r="AO156" s="1253" t="s">
        <v>4605</v>
      </c>
      <c r="AP156" s="1093" t="s">
        <v>4606</v>
      </c>
      <c r="AQ156" s="1864" t="e">
        <f t="shared" si="40"/>
        <v>#VALUE!</v>
      </c>
      <c r="BV156" s="1936"/>
      <c r="BW156" s="1936"/>
      <c r="BX156" s="1936"/>
      <c r="BY156" s="1936"/>
      <c r="BZ156" s="1936"/>
      <c r="CA156" s="1936"/>
      <c r="CB156" s="1865" t="e">
        <f t="shared" si="41"/>
        <v>#VALUE!</v>
      </c>
      <c r="CC156" s="1936"/>
      <c r="CD156" s="1936"/>
      <c r="CE156" s="1936"/>
      <c r="CF156"/>
      <c r="CL156" s="1936"/>
      <c r="CN156" s="1867" t="e">
        <f t="shared" si="39"/>
        <v>#VALUE!</v>
      </c>
      <c r="DJ156"/>
    </row>
    <row r="157" spans="1:114" x14ac:dyDescent="0.25">
      <c r="A157" s="5818">
        <v>29101639</v>
      </c>
      <c r="B157" s="4915" t="s">
        <v>3429</v>
      </c>
      <c r="C157" s="358" t="s">
        <v>4567</v>
      </c>
      <c r="D157" s="3862" t="s">
        <v>4568</v>
      </c>
      <c r="E157" s="4974" t="s">
        <v>4569</v>
      </c>
      <c r="F157" s="1089" t="s">
        <v>4570</v>
      </c>
      <c r="G157" s="1093" t="s">
        <v>4571</v>
      </c>
      <c r="H157" s="1089" t="s">
        <v>4572</v>
      </c>
      <c r="I157" s="1093" t="s">
        <v>4573</v>
      </c>
      <c r="J157" s="1089" t="s">
        <v>4574</v>
      </c>
      <c r="K157" s="1093" t="s">
        <v>4575</v>
      </c>
      <c r="L157" s="1089" t="s">
        <v>4576</v>
      </c>
      <c r="M157" s="1093" t="s">
        <v>4577</v>
      </c>
      <c r="N157" s="1091" t="s">
        <v>4578</v>
      </c>
      <c r="O157" s="1092" t="s">
        <v>4579</v>
      </c>
      <c r="P157" s="1089" t="s">
        <v>4580</v>
      </c>
      <c r="Q157" s="1093" t="s">
        <v>4581</v>
      </c>
      <c r="R157" s="1089" t="s">
        <v>4582</v>
      </c>
      <c r="S157" s="1093" t="s">
        <v>4583</v>
      </c>
      <c r="T157" s="1089" t="s">
        <v>4584</v>
      </c>
      <c r="U157" s="1093" t="s">
        <v>4585</v>
      </c>
      <c r="V157" s="1089" t="s">
        <v>4586</v>
      </c>
      <c r="W157" s="1093" t="s">
        <v>4587</v>
      </c>
      <c r="X157" s="1089" t="s">
        <v>4588</v>
      </c>
      <c r="Y157" s="1093" t="s">
        <v>4589</v>
      </c>
      <c r="Z157" s="1089" t="s">
        <v>4590</v>
      </c>
      <c r="AA157" s="1093" t="s">
        <v>4591</v>
      </c>
      <c r="AB157" s="1089" t="s">
        <v>4592</v>
      </c>
      <c r="AC157" s="1093" t="s">
        <v>4593</v>
      </c>
      <c r="AD157" s="1089" t="s">
        <v>4594</v>
      </c>
      <c r="AE157" s="1092" t="s">
        <v>4595</v>
      </c>
      <c r="AF157" s="1089" t="s">
        <v>4596</v>
      </c>
      <c r="AG157" s="1093" t="s">
        <v>4597</v>
      </c>
      <c r="AH157" s="1089" t="s">
        <v>4598</v>
      </c>
      <c r="AI157" s="1093" t="s">
        <v>4599</v>
      </c>
      <c r="AJ157" s="1089" t="s">
        <v>4600</v>
      </c>
      <c r="AK157" s="1093" t="s">
        <v>4601</v>
      </c>
      <c r="AL157" s="1091" t="s">
        <v>4602</v>
      </c>
      <c r="AM157" s="1092" t="s">
        <v>4603</v>
      </c>
      <c r="AN157" s="1299" t="s">
        <v>4604</v>
      </c>
      <c r="AO157" s="1253" t="s">
        <v>4605</v>
      </c>
      <c r="AP157" s="1093" t="s">
        <v>4606</v>
      </c>
      <c r="AQ157" s="1864" t="e">
        <f t="shared" si="40"/>
        <v>#VALUE!</v>
      </c>
      <c r="BV157" s="1936"/>
      <c r="BW157" s="1936"/>
      <c r="BX157" s="1936"/>
      <c r="BY157" s="1936"/>
      <c r="BZ157" s="1936"/>
      <c r="CA157" s="1936"/>
      <c r="CB157" s="1865" t="e">
        <f t="shared" si="41"/>
        <v>#VALUE!</v>
      </c>
      <c r="CC157" s="1936"/>
      <c r="CD157" s="1936"/>
      <c r="CE157" s="1936"/>
      <c r="CF157"/>
      <c r="CL157" s="1936"/>
      <c r="CN157" s="1867" t="e">
        <f t="shared" si="39"/>
        <v>#VALUE!</v>
      </c>
      <c r="DJ157"/>
    </row>
    <row r="158" spans="1:114" x14ac:dyDescent="0.25">
      <c r="A158" s="5818">
        <v>29101640</v>
      </c>
      <c r="B158" s="4915" t="s">
        <v>3430</v>
      </c>
      <c r="C158" s="358" t="s">
        <v>4567</v>
      </c>
      <c r="D158" s="3862" t="s">
        <v>4568</v>
      </c>
      <c r="E158" s="4974" t="s">
        <v>4569</v>
      </c>
      <c r="F158" s="1089" t="s">
        <v>4570</v>
      </c>
      <c r="G158" s="1093" t="s">
        <v>4571</v>
      </c>
      <c r="H158" s="1089" t="s">
        <v>4572</v>
      </c>
      <c r="I158" s="1093" t="s">
        <v>4573</v>
      </c>
      <c r="J158" s="1089" t="s">
        <v>4574</v>
      </c>
      <c r="K158" s="1093" t="s">
        <v>4575</v>
      </c>
      <c r="L158" s="1089" t="s">
        <v>4576</v>
      </c>
      <c r="M158" s="1093" t="s">
        <v>4577</v>
      </c>
      <c r="N158" s="1091" t="s">
        <v>4578</v>
      </c>
      <c r="O158" s="1092" t="s">
        <v>4579</v>
      </c>
      <c r="P158" s="1089" t="s">
        <v>4580</v>
      </c>
      <c r="Q158" s="1093" t="s">
        <v>4581</v>
      </c>
      <c r="R158" s="1089" t="s">
        <v>4582</v>
      </c>
      <c r="S158" s="1093" t="s">
        <v>4583</v>
      </c>
      <c r="T158" s="1089" t="s">
        <v>4584</v>
      </c>
      <c r="U158" s="1093" t="s">
        <v>4585</v>
      </c>
      <c r="V158" s="1089" t="s">
        <v>4586</v>
      </c>
      <c r="W158" s="1093" t="s">
        <v>4587</v>
      </c>
      <c r="X158" s="1089" t="s">
        <v>4588</v>
      </c>
      <c r="Y158" s="1093" t="s">
        <v>4589</v>
      </c>
      <c r="Z158" s="1089" t="s">
        <v>4590</v>
      </c>
      <c r="AA158" s="1093" t="s">
        <v>4591</v>
      </c>
      <c r="AB158" s="1089" t="s">
        <v>4592</v>
      </c>
      <c r="AC158" s="1093" t="s">
        <v>4593</v>
      </c>
      <c r="AD158" s="1089" t="s">
        <v>4594</v>
      </c>
      <c r="AE158" s="1092" t="s">
        <v>4595</v>
      </c>
      <c r="AF158" s="1089" t="s">
        <v>4596</v>
      </c>
      <c r="AG158" s="1093" t="s">
        <v>4597</v>
      </c>
      <c r="AH158" s="1089" t="s">
        <v>4598</v>
      </c>
      <c r="AI158" s="1093" t="s">
        <v>4599</v>
      </c>
      <c r="AJ158" s="1089" t="s">
        <v>4600</v>
      </c>
      <c r="AK158" s="1093" t="s">
        <v>4601</v>
      </c>
      <c r="AL158" s="1091" t="s">
        <v>4602</v>
      </c>
      <c r="AM158" s="1092" t="s">
        <v>4603</v>
      </c>
      <c r="AN158" s="1299" t="s">
        <v>4604</v>
      </c>
      <c r="AO158" s="1253" t="s">
        <v>4605</v>
      </c>
      <c r="AP158" s="1093" t="s">
        <v>4606</v>
      </c>
      <c r="AQ158" s="1864" t="e">
        <f t="shared" si="40"/>
        <v>#VALUE!</v>
      </c>
      <c r="BV158" s="1936"/>
      <c r="BW158" s="1936"/>
      <c r="BX158" s="1936"/>
      <c r="BY158" s="1936"/>
      <c r="BZ158" s="1936"/>
      <c r="CA158" s="1936"/>
      <c r="CB158" s="1865" t="e">
        <f t="shared" si="41"/>
        <v>#VALUE!</v>
      </c>
      <c r="CC158" s="1936"/>
      <c r="CD158" s="1936"/>
      <c r="CE158" s="1936"/>
      <c r="CF158"/>
      <c r="CL158" s="1936"/>
      <c r="CN158" s="1867" t="e">
        <f t="shared" si="39"/>
        <v>#VALUE!</v>
      </c>
      <c r="DJ158"/>
    </row>
    <row r="159" spans="1:114" x14ac:dyDescent="0.25">
      <c r="A159" s="5818">
        <v>28020980</v>
      </c>
      <c r="B159" s="4915" t="s">
        <v>3431</v>
      </c>
      <c r="C159" s="358" t="s">
        <v>4567</v>
      </c>
      <c r="D159" s="3862" t="s">
        <v>4568</v>
      </c>
      <c r="E159" s="4974" t="s">
        <v>4569</v>
      </c>
      <c r="F159" s="1089" t="s">
        <v>4570</v>
      </c>
      <c r="G159" s="1093" t="s">
        <v>4571</v>
      </c>
      <c r="H159" s="1089" t="s">
        <v>4572</v>
      </c>
      <c r="I159" s="1093" t="s">
        <v>4573</v>
      </c>
      <c r="J159" s="1089" t="s">
        <v>4574</v>
      </c>
      <c r="K159" s="1093" t="s">
        <v>4575</v>
      </c>
      <c r="L159" s="1089" t="s">
        <v>4576</v>
      </c>
      <c r="M159" s="1093" t="s">
        <v>4577</v>
      </c>
      <c r="N159" s="1091" t="s">
        <v>4578</v>
      </c>
      <c r="O159" s="1092" t="s">
        <v>4579</v>
      </c>
      <c r="P159" s="1089" t="s">
        <v>4580</v>
      </c>
      <c r="Q159" s="1093" t="s">
        <v>4581</v>
      </c>
      <c r="R159" s="1089" t="s">
        <v>4582</v>
      </c>
      <c r="S159" s="1093" t="s">
        <v>4583</v>
      </c>
      <c r="T159" s="1089" t="s">
        <v>4584</v>
      </c>
      <c r="U159" s="1093" t="s">
        <v>4585</v>
      </c>
      <c r="V159" s="1089" t="s">
        <v>4586</v>
      </c>
      <c r="W159" s="1093" t="s">
        <v>4587</v>
      </c>
      <c r="X159" s="1089" t="s">
        <v>4588</v>
      </c>
      <c r="Y159" s="1093" t="s">
        <v>4589</v>
      </c>
      <c r="Z159" s="1089" t="s">
        <v>4590</v>
      </c>
      <c r="AA159" s="1093" t="s">
        <v>4591</v>
      </c>
      <c r="AB159" s="1089" t="s">
        <v>4592</v>
      </c>
      <c r="AC159" s="1093" t="s">
        <v>4593</v>
      </c>
      <c r="AD159" s="1089" t="s">
        <v>4594</v>
      </c>
      <c r="AE159" s="1092" t="s">
        <v>4595</v>
      </c>
      <c r="AF159" s="1089" t="s">
        <v>4596</v>
      </c>
      <c r="AG159" s="1093" t="s">
        <v>4597</v>
      </c>
      <c r="AH159" s="1089" t="s">
        <v>4598</v>
      </c>
      <c r="AI159" s="1093" t="s">
        <v>4599</v>
      </c>
      <c r="AJ159" s="1089" t="s">
        <v>4600</v>
      </c>
      <c r="AK159" s="1093" t="s">
        <v>4601</v>
      </c>
      <c r="AL159" s="1091" t="s">
        <v>4602</v>
      </c>
      <c r="AM159" s="1092" t="s">
        <v>4603</v>
      </c>
      <c r="AN159" s="1299" t="s">
        <v>4604</v>
      </c>
      <c r="AO159" s="1253" t="s">
        <v>4605</v>
      </c>
      <c r="AP159" s="1093" t="s">
        <v>4606</v>
      </c>
      <c r="AQ159" s="1864" t="e">
        <f t="shared" si="40"/>
        <v>#VALUE!</v>
      </c>
      <c r="BV159" s="1936"/>
      <c r="BW159" s="1936"/>
      <c r="BX159" s="1936"/>
      <c r="BY159" s="1936"/>
      <c r="BZ159" s="1936"/>
      <c r="CA159" s="1936"/>
      <c r="CB159" s="1865" t="e">
        <f t="shared" si="41"/>
        <v>#VALUE!</v>
      </c>
      <c r="CC159" s="1936"/>
      <c r="CD159" s="1936"/>
      <c r="CE159" s="1936"/>
      <c r="CF159"/>
      <c r="CL159" s="1936"/>
      <c r="CN159" s="1867" t="e">
        <f t="shared" si="39"/>
        <v>#VALUE!</v>
      </c>
      <c r="DJ159"/>
    </row>
    <row r="160" spans="1:114" x14ac:dyDescent="0.25">
      <c r="A160" s="5818">
        <v>29101641</v>
      </c>
      <c r="B160" s="4915" t="s">
        <v>3432</v>
      </c>
      <c r="C160" s="358" t="s">
        <v>4567</v>
      </c>
      <c r="D160" s="3862" t="s">
        <v>4568</v>
      </c>
      <c r="E160" s="4974" t="s">
        <v>4569</v>
      </c>
      <c r="F160" s="1089" t="s">
        <v>4570</v>
      </c>
      <c r="G160" s="1093" t="s">
        <v>4571</v>
      </c>
      <c r="H160" s="1089" t="s">
        <v>4572</v>
      </c>
      <c r="I160" s="1093" t="s">
        <v>4573</v>
      </c>
      <c r="J160" s="1089" t="s">
        <v>4574</v>
      </c>
      <c r="K160" s="1093" t="s">
        <v>4575</v>
      </c>
      <c r="L160" s="1089" t="s">
        <v>4576</v>
      </c>
      <c r="M160" s="1093" t="s">
        <v>4577</v>
      </c>
      <c r="N160" s="1091" t="s">
        <v>4578</v>
      </c>
      <c r="O160" s="1092" t="s">
        <v>4579</v>
      </c>
      <c r="P160" s="1089" t="s">
        <v>4580</v>
      </c>
      <c r="Q160" s="1093" t="s">
        <v>4581</v>
      </c>
      <c r="R160" s="1089" t="s">
        <v>4582</v>
      </c>
      <c r="S160" s="1093" t="s">
        <v>4583</v>
      </c>
      <c r="T160" s="1089" t="s">
        <v>4584</v>
      </c>
      <c r="U160" s="1093" t="s">
        <v>4585</v>
      </c>
      <c r="V160" s="1089" t="s">
        <v>4586</v>
      </c>
      <c r="W160" s="1093" t="s">
        <v>4587</v>
      </c>
      <c r="X160" s="1089" t="s">
        <v>4588</v>
      </c>
      <c r="Y160" s="1093" t="s">
        <v>4589</v>
      </c>
      <c r="Z160" s="1089" t="s">
        <v>4590</v>
      </c>
      <c r="AA160" s="1093" t="s">
        <v>4591</v>
      </c>
      <c r="AB160" s="1089" t="s">
        <v>4592</v>
      </c>
      <c r="AC160" s="1093" t="s">
        <v>4593</v>
      </c>
      <c r="AD160" s="1089" t="s">
        <v>4594</v>
      </c>
      <c r="AE160" s="1092" t="s">
        <v>4595</v>
      </c>
      <c r="AF160" s="1089" t="s">
        <v>4596</v>
      </c>
      <c r="AG160" s="1093" t="s">
        <v>4597</v>
      </c>
      <c r="AH160" s="1089" t="s">
        <v>4598</v>
      </c>
      <c r="AI160" s="1093" t="s">
        <v>4599</v>
      </c>
      <c r="AJ160" s="1089" t="s">
        <v>4600</v>
      </c>
      <c r="AK160" s="1093" t="s">
        <v>4601</v>
      </c>
      <c r="AL160" s="1091" t="s">
        <v>4602</v>
      </c>
      <c r="AM160" s="1092" t="s">
        <v>4603</v>
      </c>
      <c r="AN160" s="1299" t="s">
        <v>4604</v>
      </c>
      <c r="AO160" s="1253" t="s">
        <v>4605</v>
      </c>
      <c r="AP160" s="1093" t="s">
        <v>4606</v>
      </c>
      <c r="AQ160" s="1864" t="e">
        <f t="shared" si="40"/>
        <v>#VALUE!</v>
      </c>
      <c r="BV160" s="1936"/>
      <c r="BW160" s="1936"/>
      <c r="BX160" s="1936"/>
      <c r="BY160" s="1936"/>
      <c r="BZ160" s="1936"/>
      <c r="CA160" s="1936"/>
      <c r="CB160" s="1865" t="e">
        <f t="shared" si="41"/>
        <v>#VALUE!</v>
      </c>
      <c r="CC160" s="1936"/>
      <c r="CD160" s="1936"/>
      <c r="CE160" s="1936"/>
      <c r="CF160"/>
      <c r="CL160" s="1936"/>
      <c r="CN160" s="1867" t="e">
        <f t="shared" si="39"/>
        <v>#VALUE!</v>
      </c>
      <c r="DJ160"/>
    </row>
    <row r="161" spans="1:114" x14ac:dyDescent="0.25">
      <c r="A161" s="5818">
        <v>29101642</v>
      </c>
      <c r="B161" s="4915" t="s">
        <v>3433</v>
      </c>
      <c r="C161" s="358" t="s">
        <v>4567</v>
      </c>
      <c r="D161" s="3862" t="s">
        <v>4568</v>
      </c>
      <c r="E161" s="4974" t="s">
        <v>4569</v>
      </c>
      <c r="F161" s="1089" t="s">
        <v>4570</v>
      </c>
      <c r="G161" s="1093" t="s">
        <v>4571</v>
      </c>
      <c r="H161" s="1089" t="s">
        <v>4572</v>
      </c>
      <c r="I161" s="1093" t="s">
        <v>4573</v>
      </c>
      <c r="J161" s="1089" t="s">
        <v>4574</v>
      </c>
      <c r="K161" s="1093" t="s">
        <v>4575</v>
      </c>
      <c r="L161" s="1089" t="s">
        <v>4576</v>
      </c>
      <c r="M161" s="1093" t="s">
        <v>4577</v>
      </c>
      <c r="N161" s="1091" t="s">
        <v>4578</v>
      </c>
      <c r="O161" s="1092" t="s">
        <v>4579</v>
      </c>
      <c r="P161" s="1089" t="s">
        <v>4580</v>
      </c>
      <c r="Q161" s="1093" t="s">
        <v>4581</v>
      </c>
      <c r="R161" s="1089" t="s">
        <v>4582</v>
      </c>
      <c r="S161" s="1093" t="s">
        <v>4583</v>
      </c>
      <c r="T161" s="1089" t="s">
        <v>4584</v>
      </c>
      <c r="U161" s="1093" t="s">
        <v>4585</v>
      </c>
      <c r="V161" s="1089" t="s">
        <v>4586</v>
      </c>
      <c r="W161" s="1093" t="s">
        <v>4587</v>
      </c>
      <c r="X161" s="1089" t="s">
        <v>4588</v>
      </c>
      <c r="Y161" s="1093" t="s">
        <v>4589</v>
      </c>
      <c r="Z161" s="1089" t="s">
        <v>4590</v>
      </c>
      <c r="AA161" s="1093" t="s">
        <v>4591</v>
      </c>
      <c r="AB161" s="1089" t="s">
        <v>4592</v>
      </c>
      <c r="AC161" s="1093" t="s">
        <v>4593</v>
      </c>
      <c r="AD161" s="1089" t="s">
        <v>4594</v>
      </c>
      <c r="AE161" s="1092" t="s">
        <v>4595</v>
      </c>
      <c r="AF161" s="1089" t="s">
        <v>4596</v>
      </c>
      <c r="AG161" s="1093" t="s">
        <v>4597</v>
      </c>
      <c r="AH161" s="1089" t="s">
        <v>4598</v>
      </c>
      <c r="AI161" s="1093" t="s">
        <v>4599</v>
      </c>
      <c r="AJ161" s="1089" t="s">
        <v>4600</v>
      </c>
      <c r="AK161" s="1093" t="s">
        <v>4601</v>
      </c>
      <c r="AL161" s="1091" t="s">
        <v>4602</v>
      </c>
      <c r="AM161" s="1092" t="s">
        <v>4603</v>
      </c>
      <c r="AN161" s="1299" t="s">
        <v>4604</v>
      </c>
      <c r="AO161" s="1253" t="s">
        <v>4605</v>
      </c>
      <c r="AP161" s="1093" t="s">
        <v>4606</v>
      </c>
      <c r="AQ161" s="1864" t="e">
        <f t="shared" si="40"/>
        <v>#VALUE!</v>
      </c>
      <c r="BV161" s="1936"/>
      <c r="BW161" s="1936"/>
      <c r="BX161" s="1936"/>
      <c r="BY161" s="1936"/>
      <c r="BZ161" s="1936"/>
      <c r="CA161" s="1936"/>
      <c r="CB161" s="1865" t="e">
        <f t="shared" si="41"/>
        <v>#VALUE!</v>
      </c>
      <c r="CC161" s="1936"/>
      <c r="CD161" s="1936"/>
      <c r="CE161" s="1936"/>
      <c r="CF161"/>
      <c r="CL161" s="1936"/>
      <c r="CN161" s="1867" t="e">
        <f t="shared" si="39"/>
        <v>#VALUE!</v>
      </c>
      <c r="DJ161"/>
    </row>
    <row r="162" spans="1:114" x14ac:dyDescent="0.25">
      <c r="A162" s="5818">
        <v>29101643</v>
      </c>
      <c r="B162" s="4915" t="s">
        <v>3346</v>
      </c>
      <c r="C162" s="358" t="s">
        <v>4567</v>
      </c>
      <c r="D162" s="3862" t="s">
        <v>4568</v>
      </c>
      <c r="E162" s="4974" t="s">
        <v>4569</v>
      </c>
      <c r="F162" s="1089" t="s">
        <v>4570</v>
      </c>
      <c r="G162" s="1093" t="s">
        <v>4571</v>
      </c>
      <c r="H162" s="1089" t="s">
        <v>4572</v>
      </c>
      <c r="I162" s="1093" t="s">
        <v>4573</v>
      </c>
      <c r="J162" s="1089" t="s">
        <v>4574</v>
      </c>
      <c r="K162" s="1093" t="s">
        <v>4575</v>
      </c>
      <c r="L162" s="1089" t="s">
        <v>4576</v>
      </c>
      <c r="M162" s="1093" t="s">
        <v>4577</v>
      </c>
      <c r="N162" s="1091" t="s">
        <v>4578</v>
      </c>
      <c r="O162" s="1092" t="s">
        <v>4579</v>
      </c>
      <c r="P162" s="1089" t="s">
        <v>4580</v>
      </c>
      <c r="Q162" s="1093" t="s">
        <v>4581</v>
      </c>
      <c r="R162" s="1089" t="s">
        <v>4582</v>
      </c>
      <c r="S162" s="1093" t="s">
        <v>4583</v>
      </c>
      <c r="T162" s="1089" t="s">
        <v>4584</v>
      </c>
      <c r="U162" s="1093" t="s">
        <v>4585</v>
      </c>
      <c r="V162" s="1089" t="s">
        <v>4586</v>
      </c>
      <c r="W162" s="1093" t="s">
        <v>4587</v>
      </c>
      <c r="X162" s="1089" t="s">
        <v>4588</v>
      </c>
      <c r="Y162" s="1093" t="s">
        <v>4589</v>
      </c>
      <c r="Z162" s="1089" t="s">
        <v>4590</v>
      </c>
      <c r="AA162" s="1093" t="s">
        <v>4591</v>
      </c>
      <c r="AB162" s="1089" t="s">
        <v>4592</v>
      </c>
      <c r="AC162" s="1093" t="s">
        <v>4593</v>
      </c>
      <c r="AD162" s="1089" t="s">
        <v>4594</v>
      </c>
      <c r="AE162" s="1092" t="s">
        <v>4595</v>
      </c>
      <c r="AF162" s="1089" t="s">
        <v>4596</v>
      </c>
      <c r="AG162" s="1093" t="s">
        <v>4597</v>
      </c>
      <c r="AH162" s="1089" t="s">
        <v>4598</v>
      </c>
      <c r="AI162" s="1093" t="s">
        <v>4599</v>
      </c>
      <c r="AJ162" s="1089" t="s">
        <v>4600</v>
      </c>
      <c r="AK162" s="1093" t="s">
        <v>4601</v>
      </c>
      <c r="AL162" s="1091" t="s">
        <v>4602</v>
      </c>
      <c r="AM162" s="1092" t="s">
        <v>4603</v>
      </c>
      <c r="AN162" s="1299" t="s">
        <v>4604</v>
      </c>
      <c r="AO162" s="1253" t="s">
        <v>4605</v>
      </c>
      <c r="AP162" s="1093" t="s">
        <v>4606</v>
      </c>
      <c r="AQ162" s="1864" t="e">
        <f t="shared" si="40"/>
        <v>#VALUE!</v>
      </c>
      <c r="BV162" s="1936"/>
      <c r="BW162" s="1936"/>
      <c r="BX162" s="1936"/>
      <c r="BY162" s="1936"/>
      <c r="BZ162" s="1936"/>
      <c r="CA162" s="1936"/>
      <c r="CB162" s="1865" t="e">
        <f t="shared" si="41"/>
        <v>#VALUE!</v>
      </c>
      <c r="CC162" s="1936"/>
      <c r="CD162" s="1936"/>
      <c r="CE162" s="1936"/>
      <c r="CF162"/>
      <c r="CL162" s="1936"/>
      <c r="CN162" s="1867" t="e">
        <f t="shared" si="39"/>
        <v>#VALUE!</v>
      </c>
      <c r="DJ162"/>
    </row>
    <row r="163" spans="1:114" x14ac:dyDescent="0.25">
      <c r="A163" s="5818">
        <v>28021150</v>
      </c>
      <c r="B163" s="4915" t="s">
        <v>3434</v>
      </c>
      <c r="C163" s="358" t="s">
        <v>4567</v>
      </c>
      <c r="D163" s="3862" t="s">
        <v>4568</v>
      </c>
      <c r="E163" s="4974" t="s">
        <v>4569</v>
      </c>
      <c r="F163" s="1089" t="s">
        <v>4570</v>
      </c>
      <c r="G163" s="1093" t="s">
        <v>4571</v>
      </c>
      <c r="H163" s="1089" t="s">
        <v>4572</v>
      </c>
      <c r="I163" s="1093" t="s">
        <v>4573</v>
      </c>
      <c r="J163" s="1089" t="s">
        <v>4574</v>
      </c>
      <c r="K163" s="1093" t="s">
        <v>4575</v>
      </c>
      <c r="L163" s="1089" t="s">
        <v>4576</v>
      </c>
      <c r="M163" s="1093" t="s">
        <v>4577</v>
      </c>
      <c r="N163" s="1091" t="s">
        <v>4578</v>
      </c>
      <c r="O163" s="1092" t="s">
        <v>4579</v>
      </c>
      <c r="P163" s="1089" t="s">
        <v>4580</v>
      </c>
      <c r="Q163" s="1093" t="s">
        <v>4581</v>
      </c>
      <c r="R163" s="1089" t="s">
        <v>4582</v>
      </c>
      <c r="S163" s="1093" t="s">
        <v>4583</v>
      </c>
      <c r="T163" s="1089" t="s">
        <v>4584</v>
      </c>
      <c r="U163" s="1093" t="s">
        <v>4585</v>
      </c>
      <c r="V163" s="1089" t="s">
        <v>4586</v>
      </c>
      <c r="W163" s="1093" t="s">
        <v>4587</v>
      </c>
      <c r="X163" s="1089" t="s">
        <v>4588</v>
      </c>
      <c r="Y163" s="1093" t="s">
        <v>4589</v>
      </c>
      <c r="Z163" s="1089" t="s">
        <v>4590</v>
      </c>
      <c r="AA163" s="1093" t="s">
        <v>4591</v>
      </c>
      <c r="AB163" s="1089" t="s">
        <v>4592</v>
      </c>
      <c r="AC163" s="1093" t="s">
        <v>4593</v>
      </c>
      <c r="AD163" s="1089" t="s">
        <v>4594</v>
      </c>
      <c r="AE163" s="1092" t="s">
        <v>4595</v>
      </c>
      <c r="AF163" s="1089" t="s">
        <v>4596</v>
      </c>
      <c r="AG163" s="1093" t="s">
        <v>4597</v>
      </c>
      <c r="AH163" s="1089" t="s">
        <v>4598</v>
      </c>
      <c r="AI163" s="1093" t="s">
        <v>4599</v>
      </c>
      <c r="AJ163" s="1089" t="s">
        <v>4600</v>
      </c>
      <c r="AK163" s="1093" t="s">
        <v>4601</v>
      </c>
      <c r="AL163" s="1091" t="s">
        <v>4602</v>
      </c>
      <c r="AM163" s="1092" t="s">
        <v>4603</v>
      </c>
      <c r="AN163" s="1299" t="s">
        <v>4604</v>
      </c>
      <c r="AO163" s="1253" t="s">
        <v>4605</v>
      </c>
      <c r="AP163" s="1093" t="s">
        <v>4606</v>
      </c>
      <c r="AQ163" s="1864" t="e">
        <f t="shared" si="40"/>
        <v>#VALUE!</v>
      </c>
      <c r="BV163" s="1936"/>
      <c r="BW163" s="1936"/>
      <c r="BX163" s="1936"/>
      <c r="BY163" s="1936"/>
      <c r="BZ163" s="1936"/>
      <c r="CA163" s="1936"/>
      <c r="CB163" s="1865" t="e">
        <f t="shared" si="41"/>
        <v>#VALUE!</v>
      </c>
      <c r="CC163" s="1936"/>
      <c r="CD163" s="1936"/>
      <c r="CE163" s="1936"/>
      <c r="CF163"/>
      <c r="CL163" s="1936"/>
      <c r="CN163" s="1867" t="e">
        <f t="shared" si="39"/>
        <v>#VALUE!</v>
      </c>
      <c r="DJ163"/>
    </row>
    <row r="164" spans="1:114" x14ac:dyDescent="0.25">
      <c r="A164" s="5818">
        <v>28101060</v>
      </c>
      <c r="B164" s="4915" t="s">
        <v>3435</v>
      </c>
      <c r="C164" s="358" t="s">
        <v>4567</v>
      </c>
      <c r="D164" s="3862" t="s">
        <v>4568</v>
      </c>
      <c r="E164" s="4974" t="s">
        <v>4569</v>
      </c>
      <c r="F164" s="1089" t="s">
        <v>4570</v>
      </c>
      <c r="G164" s="1093" t="s">
        <v>4571</v>
      </c>
      <c r="H164" s="1089" t="s">
        <v>4572</v>
      </c>
      <c r="I164" s="1093" t="s">
        <v>4573</v>
      </c>
      <c r="J164" s="1089" t="s">
        <v>4574</v>
      </c>
      <c r="K164" s="1093" t="s">
        <v>4575</v>
      </c>
      <c r="L164" s="1089" t="s">
        <v>4576</v>
      </c>
      <c r="M164" s="1093" t="s">
        <v>4577</v>
      </c>
      <c r="N164" s="1091" t="s">
        <v>4578</v>
      </c>
      <c r="O164" s="1092" t="s">
        <v>4579</v>
      </c>
      <c r="P164" s="1089" t="s">
        <v>4580</v>
      </c>
      <c r="Q164" s="1093" t="s">
        <v>4581</v>
      </c>
      <c r="R164" s="1089" t="s">
        <v>4582</v>
      </c>
      <c r="S164" s="1093" t="s">
        <v>4583</v>
      </c>
      <c r="T164" s="1089" t="s">
        <v>4584</v>
      </c>
      <c r="U164" s="1093" t="s">
        <v>4585</v>
      </c>
      <c r="V164" s="1089" t="s">
        <v>4586</v>
      </c>
      <c r="W164" s="1093" t="s">
        <v>4587</v>
      </c>
      <c r="X164" s="1089" t="s">
        <v>4588</v>
      </c>
      <c r="Y164" s="1093" t="s">
        <v>4589</v>
      </c>
      <c r="Z164" s="1089" t="s">
        <v>4590</v>
      </c>
      <c r="AA164" s="1093" t="s">
        <v>4591</v>
      </c>
      <c r="AB164" s="1089" t="s">
        <v>4592</v>
      </c>
      <c r="AC164" s="1093" t="s">
        <v>4593</v>
      </c>
      <c r="AD164" s="1089" t="s">
        <v>4594</v>
      </c>
      <c r="AE164" s="1092" t="s">
        <v>4595</v>
      </c>
      <c r="AF164" s="1089" t="s">
        <v>4596</v>
      </c>
      <c r="AG164" s="1093" t="s">
        <v>4597</v>
      </c>
      <c r="AH164" s="1089" t="s">
        <v>4598</v>
      </c>
      <c r="AI164" s="1093" t="s">
        <v>4599</v>
      </c>
      <c r="AJ164" s="1089" t="s">
        <v>4600</v>
      </c>
      <c r="AK164" s="1093" t="s">
        <v>4601</v>
      </c>
      <c r="AL164" s="1091" t="s">
        <v>4602</v>
      </c>
      <c r="AM164" s="1092" t="s">
        <v>4603</v>
      </c>
      <c r="AN164" s="1299" t="s">
        <v>4604</v>
      </c>
      <c r="AO164" s="1253" t="s">
        <v>4605</v>
      </c>
      <c r="AP164" s="1093" t="s">
        <v>4606</v>
      </c>
      <c r="AQ164" s="1864" t="e">
        <f t="shared" si="40"/>
        <v>#VALUE!</v>
      </c>
      <c r="BV164" s="1936"/>
      <c r="BW164" s="1936"/>
      <c r="BX164" s="1936"/>
      <c r="BY164" s="1936"/>
      <c r="BZ164" s="1936"/>
      <c r="CA164" s="1936"/>
      <c r="CB164" s="1865" t="e">
        <f t="shared" si="41"/>
        <v>#VALUE!</v>
      </c>
      <c r="CC164" s="1936"/>
      <c r="CD164" s="1936"/>
      <c r="CE164" s="1936"/>
      <c r="CF164"/>
      <c r="CL164" s="1936"/>
      <c r="CN164" s="1867" t="e">
        <f t="shared" si="39"/>
        <v>#VALUE!</v>
      </c>
      <c r="DJ164"/>
    </row>
    <row r="165" spans="1:114" x14ac:dyDescent="0.25">
      <c r="A165" s="5818">
        <v>29101644</v>
      </c>
      <c r="B165" s="4915" t="s">
        <v>3436</v>
      </c>
      <c r="C165" s="358" t="s">
        <v>4567</v>
      </c>
      <c r="D165" s="3862" t="s">
        <v>4568</v>
      </c>
      <c r="E165" s="4974" t="s">
        <v>4569</v>
      </c>
      <c r="F165" s="1089" t="s">
        <v>4570</v>
      </c>
      <c r="G165" s="1093" t="s">
        <v>4571</v>
      </c>
      <c r="H165" s="1089" t="s">
        <v>4572</v>
      </c>
      <c r="I165" s="1093" t="s">
        <v>4573</v>
      </c>
      <c r="J165" s="1089" t="s">
        <v>4574</v>
      </c>
      <c r="K165" s="1093" t="s">
        <v>4575</v>
      </c>
      <c r="L165" s="1089" t="s">
        <v>4576</v>
      </c>
      <c r="M165" s="1093" t="s">
        <v>4577</v>
      </c>
      <c r="N165" s="1091" t="s">
        <v>4578</v>
      </c>
      <c r="O165" s="1092" t="s">
        <v>4579</v>
      </c>
      <c r="P165" s="1089" t="s">
        <v>4580</v>
      </c>
      <c r="Q165" s="1093" t="s">
        <v>4581</v>
      </c>
      <c r="R165" s="1089" t="s">
        <v>4582</v>
      </c>
      <c r="S165" s="1093" t="s">
        <v>4583</v>
      </c>
      <c r="T165" s="1089" t="s">
        <v>4584</v>
      </c>
      <c r="U165" s="1093" t="s">
        <v>4585</v>
      </c>
      <c r="V165" s="1089" t="s">
        <v>4586</v>
      </c>
      <c r="W165" s="1093" t="s">
        <v>4587</v>
      </c>
      <c r="X165" s="1089" t="s">
        <v>4588</v>
      </c>
      <c r="Y165" s="1093" t="s">
        <v>4589</v>
      </c>
      <c r="Z165" s="1089" t="s">
        <v>4590</v>
      </c>
      <c r="AA165" s="1093" t="s">
        <v>4591</v>
      </c>
      <c r="AB165" s="1089" t="s">
        <v>4592</v>
      </c>
      <c r="AC165" s="1093" t="s">
        <v>4593</v>
      </c>
      <c r="AD165" s="1089" t="s">
        <v>4594</v>
      </c>
      <c r="AE165" s="1092" t="s">
        <v>4595</v>
      </c>
      <c r="AF165" s="1089" t="s">
        <v>4596</v>
      </c>
      <c r="AG165" s="1093" t="s">
        <v>4597</v>
      </c>
      <c r="AH165" s="1089" t="s">
        <v>4598</v>
      </c>
      <c r="AI165" s="1093" t="s">
        <v>4599</v>
      </c>
      <c r="AJ165" s="1089" t="s">
        <v>4600</v>
      </c>
      <c r="AK165" s="1093" t="s">
        <v>4601</v>
      </c>
      <c r="AL165" s="1091" t="s">
        <v>4602</v>
      </c>
      <c r="AM165" s="1092" t="s">
        <v>4603</v>
      </c>
      <c r="AN165" s="1299" t="s">
        <v>4604</v>
      </c>
      <c r="AO165" s="1253" t="s">
        <v>4605</v>
      </c>
      <c r="AP165" s="1093" t="s">
        <v>4606</v>
      </c>
      <c r="AQ165" s="1864" t="e">
        <f t="shared" si="40"/>
        <v>#VALUE!</v>
      </c>
      <c r="BV165" s="1936"/>
      <c r="BW165" s="1936"/>
      <c r="BX165" s="1936"/>
      <c r="BY165" s="1936"/>
      <c r="BZ165" s="1936"/>
      <c r="CA165" s="1936"/>
      <c r="CB165" s="1865" t="e">
        <f t="shared" si="41"/>
        <v>#VALUE!</v>
      </c>
      <c r="CC165" s="1936"/>
      <c r="CD165" s="1936"/>
      <c r="CE165" s="1936"/>
      <c r="CF165"/>
      <c r="CL165" s="1936"/>
      <c r="CN165" s="1867" t="e">
        <f t="shared" si="39"/>
        <v>#VALUE!</v>
      </c>
      <c r="DJ165"/>
    </row>
    <row r="166" spans="1:114" x14ac:dyDescent="0.25">
      <c r="A166" s="5818">
        <v>29101645</v>
      </c>
      <c r="B166" s="4915" t="s">
        <v>3332</v>
      </c>
      <c r="C166" s="358" t="s">
        <v>4567</v>
      </c>
      <c r="D166" s="3862" t="s">
        <v>4568</v>
      </c>
      <c r="E166" s="4974" t="s">
        <v>4569</v>
      </c>
      <c r="F166" s="1089" t="s">
        <v>4570</v>
      </c>
      <c r="G166" s="1093" t="s">
        <v>4571</v>
      </c>
      <c r="H166" s="1089" t="s">
        <v>4572</v>
      </c>
      <c r="I166" s="1093" t="s">
        <v>4573</v>
      </c>
      <c r="J166" s="1089" t="s">
        <v>4574</v>
      </c>
      <c r="K166" s="1093" t="s">
        <v>4575</v>
      </c>
      <c r="L166" s="1089" t="s">
        <v>4576</v>
      </c>
      <c r="M166" s="1093" t="s">
        <v>4577</v>
      </c>
      <c r="N166" s="1091" t="s">
        <v>4578</v>
      </c>
      <c r="O166" s="1092" t="s">
        <v>4579</v>
      </c>
      <c r="P166" s="1089" t="s">
        <v>4580</v>
      </c>
      <c r="Q166" s="1093" t="s">
        <v>4581</v>
      </c>
      <c r="R166" s="1089" t="s">
        <v>4582</v>
      </c>
      <c r="S166" s="1093" t="s">
        <v>4583</v>
      </c>
      <c r="T166" s="1089" t="s">
        <v>4584</v>
      </c>
      <c r="U166" s="1093" t="s">
        <v>4585</v>
      </c>
      <c r="V166" s="1089" t="s">
        <v>4586</v>
      </c>
      <c r="W166" s="1093" t="s">
        <v>4587</v>
      </c>
      <c r="X166" s="1089" t="s">
        <v>4588</v>
      </c>
      <c r="Y166" s="1093" t="s">
        <v>4589</v>
      </c>
      <c r="Z166" s="1089" t="s">
        <v>4590</v>
      </c>
      <c r="AA166" s="1093" t="s">
        <v>4591</v>
      </c>
      <c r="AB166" s="1089" t="s">
        <v>4592</v>
      </c>
      <c r="AC166" s="1093" t="s">
        <v>4593</v>
      </c>
      <c r="AD166" s="1089" t="s">
        <v>4594</v>
      </c>
      <c r="AE166" s="1092" t="s">
        <v>4595</v>
      </c>
      <c r="AF166" s="1089" t="s">
        <v>4596</v>
      </c>
      <c r="AG166" s="1093" t="s">
        <v>4597</v>
      </c>
      <c r="AH166" s="1089" t="s">
        <v>4598</v>
      </c>
      <c r="AI166" s="1093" t="s">
        <v>4599</v>
      </c>
      <c r="AJ166" s="1089" t="s">
        <v>4600</v>
      </c>
      <c r="AK166" s="1093" t="s">
        <v>4601</v>
      </c>
      <c r="AL166" s="1091" t="s">
        <v>4602</v>
      </c>
      <c r="AM166" s="1092" t="s">
        <v>4603</v>
      </c>
      <c r="AN166" s="1299" t="s">
        <v>4604</v>
      </c>
      <c r="AO166" s="1253" t="s">
        <v>4605</v>
      </c>
      <c r="AP166" s="1093" t="s">
        <v>4606</v>
      </c>
      <c r="AQ166" s="1864" t="e">
        <f t="shared" si="40"/>
        <v>#VALUE!</v>
      </c>
      <c r="BV166" s="1936"/>
      <c r="BW166" s="1936"/>
      <c r="BX166" s="1936"/>
      <c r="BY166" s="1936"/>
      <c r="BZ166" s="1936"/>
      <c r="CA166" s="1936"/>
      <c r="CB166" s="1865" t="e">
        <f t="shared" si="41"/>
        <v>#VALUE!</v>
      </c>
      <c r="CC166" s="1936"/>
      <c r="CD166" s="1936"/>
      <c r="CE166" s="1936"/>
      <c r="CF166"/>
      <c r="CL166" s="1936"/>
      <c r="CN166" s="1867" t="e">
        <f t="shared" si="39"/>
        <v>#VALUE!</v>
      </c>
      <c r="DJ166"/>
    </row>
    <row r="167" spans="1:114" x14ac:dyDescent="0.25">
      <c r="A167" s="5818">
        <v>29101646</v>
      </c>
      <c r="B167" s="4915" t="s">
        <v>3437</v>
      </c>
      <c r="C167" s="358" t="s">
        <v>4567</v>
      </c>
      <c r="D167" s="3862" t="s">
        <v>4568</v>
      </c>
      <c r="E167" s="4974" t="s">
        <v>4569</v>
      </c>
      <c r="F167" s="1089" t="s">
        <v>4570</v>
      </c>
      <c r="G167" s="1093" t="s">
        <v>4571</v>
      </c>
      <c r="H167" s="1089" t="s">
        <v>4572</v>
      </c>
      <c r="I167" s="1093" t="s">
        <v>4573</v>
      </c>
      <c r="J167" s="1089" t="s">
        <v>4574</v>
      </c>
      <c r="K167" s="1093" t="s">
        <v>4575</v>
      </c>
      <c r="L167" s="1089" t="s">
        <v>4576</v>
      </c>
      <c r="M167" s="1093" t="s">
        <v>4577</v>
      </c>
      <c r="N167" s="1091" t="s">
        <v>4578</v>
      </c>
      <c r="O167" s="1092" t="s">
        <v>4579</v>
      </c>
      <c r="P167" s="1089" t="s">
        <v>4580</v>
      </c>
      <c r="Q167" s="1093" t="s">
        <v>4581</v>
      </c>
      <c r="R167" s="1089" t="s">
        <v>4582</v>
      </c>
      <c r="S167" s="1093" t="s">
        <v>4583</v>
      </c>
      <c r="T167" s="1089" t="s">
        <v>4584</v>
      </c>
      <c r="U167" s="1093" t="s">
        <v>4585</v>
      </c>
      <c r="V167" s="1089" t="s">
        <v>4586</v>
      </c>
      <c r="W167" s="1093" t="s">
        <v>4587</v>
      </c>
      <c r="X167" s="1089" t="s">
        <v>4588</v>
      </c>
      <c r="Y167" s="1093" t="s">
        <v>4589</v>
      </c>
      <c r="Z167" s="1089" t="s">
        <v>4590</v>
      </c>
      <c r="AA167" s="1093" t="s">
        <v>4591</v>
      </c>
      <c r="AB167" s="1089" t="s">
        <v>4592</v>
      </c>
      <c r="AC167" s="1093" t="s">
        <v>4593</v>
      </c>
      <c r="AD167" s="1089" t="s">
        <v>4594</v>
      </c>
      <c r="AE167" s="1092" t="s">
        <v>4595</v>
      </c>
      <c r="AF167" s="1089" t="s">
        <v>4596</v>
      </c>
      <c r="AG167" s="1093" t="s">
        <v>4597</v>
      </c>
      <c r="AH167" s="1089" t="s">
        <v>4598</v>
      </c>
      <c r="AI167" s="1093" t="s">
        <v>4599</v>
      </c>
      <c r="AJ167" s="1089" t="s">
        <v>4600</v>
      </c>
      <c r="AK167" s="1093" t="s">
        <v>4601</v>
      </c>
      <c r="AL167" s="1091" t="s">
        <v>4602</v>
      </c>
      <c r="AM167" s="1092" t="s">
        <v>4603</v>
      </c>
      <c r="AN167" s="1299" t="s">
        <v>4604</v>
      </c>
      <c r="AO167" s="1253" t="s">
        <v>4605</v>
      </c>
      <c r="AP167" s="1093" t="s">
        <v>4606</v>
      </c>
      <c r="AQ167" s="1864" t="e">
        <f t="shared" si="40"/>
        <v>#VALUE!</v>
      </c>
      <c r="BV167" s="1936"/>
      <c r="BW167" s="1936"/>
      <c r="BX167" s="1936"/>
      <c r="BY167" s="1936"/>
      <c r="BZ167" s="1936"/>
      <c r="CA167" s="1936"/>
      <c r="CB167" s="1865" t="e">
        <f t="shared" si="41"/>
        <v>#VALUE!</v>
      </c>
      <c r="CC167" s="1936"/>
      <c r="CD167" s="1936"/>
      <c r="CE167" s="1936"/>
      <c r="CF167"/>
      <c r="CL167" s="1936"/>
      <c r="CN167" s="1867" t="e">
        <f t="shared" si="39"/>
        <v>#VALUE!</v>
      </c>
      <c r="DJ167"/>
    </row>
    <row r="168" spans="1:114" x14ac:dyDescent="0.25">
      <c r="A168" s="5818">
        <v>28021120</v>
      </c>
      <c r="B168" s="4915" t="s">
        <v>3438</v>
      </c>
      <c r="C168" s="358" t="s">
        <v>4567</v>
      </c>
      <c r="D168" s="3862" t="s">
        <v>4568</v>
      </c>
      <c r="E168" s="4974" t="s">
        <v>4569</v>
      </c>
      <c r="F168" s="1089" t="s">
        <v>4570</v>
      </c>
      <c r="G168" s="1093" t="s">
        <v>4571</v>
      </c>
      <c r="H168" s="1089" t="s">
        <v>4572</v>
      </c>
      <c r="I168" s="1093" t="s">
        <v>4573</v>
      </c>
      <c r="J168" s="1089" t="s">
        <v>4574</v>
      </c>
      <c r="K168" s="1093" t="s">
        <v>4575</v>
      </c>
      <c r="L168" s="1089" t="s">
        <v>4576</v>
      </c>
      <c r="M168" s="1093" t="s">
        <v>4577</v>
      </c>
      <c r="N168" s="1091" t="s">
        <v>4578</v>
      </c>
      <c r="O168" s="1092" t="s">
        <v>4579</v>
      </c>
      <c r="P168" s="1089" t="s">
        <v>4580</v>
      </c>
      <c r="Q168" s="1093" t="s">
        <v>4581</v>
      </c>
      <c r="R168" s="1089" t="s">
        <v>4582</v>
      </c>
      <c r="S168" s="1093" t="s">
        <v>4583</v>
      </c>
      <c r="T168" s="1089" t="s">
        <v>4584</v>
      </c>
      <c r="U168" s="1093" t="s">
        <v>4585</v>
      </c>
      <c r="V168" s="1089" t="s">
        <v>4586</v>
      </c>
      <c r="W168" s="1093" t="s">
        <v>4587</v>
      </c>
      <c r="X168" s="1089" t="s">
        <v>4588</v>
      </c>
      <c r="Y168" s="1093" t="s">
        <v>4589</v>
      </c>
      <c r="Z168" s="1089" t="s">
        <v>4590</v>
      </c>
      <c r="AA168" s="1093" t="s">
        <v>4591</v>
      </c>
      <c r="AB168" s="1089" t="s">
        <v>4592</v>
      </c>
      <c r="AC168" s="1093" t="s">
        <v>4593</v>
      </c>
      <c r="AD168" s="1089" t="s">
        <v>4594</v>
      </c>
      <c r="AE168" s="1092" t="s">
        <v>4595</v>
      </c>
      <c r="AF168" s="1089" t="s">
        <v>4596</v>
      </c>
      <c r="AG168" s="1093" t="s">
        <v>4597</v>
      </c>
      <c r="AH168" s="1089" t="s">
        <v>4598</v>
      </c>
      <c r="AI168" s="1093" t="s">
        <v>4599</v>
      </c>
      <c r="AJ168" s="1089" t="s">
        <v>4600</v>
      </c>
      <c r="AK168" s="1093" t="s">
        <v>4601</v>
      </c>
      <c r="AL168" s="1091" t="s">
        <v>4602</v>
      </c>
      <c r="AM168" s="1092" t="s">
        <v>4603</v>
      </c>
      <c r="AN168" s="1299" t="s">
        <v>4604</v>
      </c>
      <c r="AO168" s="1253" t="s">
        <v>4605</v>
      </c>
      <c r="AP168" s="1093" t="s">
        <v>4606</v>
      </c>
      <c r="AQ168" s="1864" t="e">
        <f t="shared" si="40"/>
        <v>#VALUE!</v>
      </c>
      <c r="BV168" s="1936"/>
      <c r="BW168" s="1936"/>
      <c r="BX168" s="1936"/>
      <c r="BY168" s="1936"/>
      <c r="BZ168" s="1936"/>
      <c r="CA168" s="1936"/>
      <c r="CB168" s="1865" t="e">
        <f t="shared" si="41"/>
        <v>#VALUE!</v>
      </c>
      <c r="CC168" s="1936"/>
      <c r="CD168" s="1936"/>
      <c r="CE168" s="1936"/>
      <c r="CF168"/>
      <c r="CL168" s="1936"/>
      <c r="CN168" s="1867" t="e">
        <f t="shared" si="39"/>
        <v>#VALUE!</v>
      </c>
      <c r="DJ168"/>
    </row>
    <row r="169" spans="1:114" x14ac:dyDescent="0.25">
      <c r="A169" s="5818">
        <v>29101647</v>
      </c>
      <c r="B169" s="4915" t="s">
        <v>3439</v>
      </c>
      <c r="C169" s="358" t="s">
        <v>4567</v>
      </c>
      <c r="D169" s="3862" t="s">
        <v>4568</v>
      </c>
      <c r="E169" s="4974" t="s">
        <v>4569</v>
      </c>
      <c r="F169" s="1089" t="s">
        <v>4570</v>
      </c>
      <c r="G169" s="1093" t="s">
        <v>4571</v>
      </c>
      <c r="H169" s="1089" t="s">
        <v>4572</v>
      </c>
      <c r="I169" s="1093" t="s">
        <v>4573</v>
      </c>
      <c r="J169" s="1089" t="s">
        <v>4574</v>
      </c>
      <c r="K169" s="1093" t="s">
        <v>4575</v>
      </c>
      <c r="L169" s="1089" t="s">
        <v>4576</v>
      </c>
      <c r="M169" s="1093" t="s">
        <v>4577</v>
      </c>
      <c r="N169" s="1091" t="s">
        <v>4578</v>
      </c>
      <c r="O169" s="1092" t="s">
        <v>4579</v>
      </c>
      <c r="P169" s="1089" t="s">
        <v>4580</v>
      </c>
      <c r="Q169" s="1093" t="s">
        <v>4581</v>
      </c>
      <c r="R169" s="1089" t="s">
        <v>4582</v>
      </c>
      <c r="S169" s="1093" t="s">
        <v>4583</v>
      </c>
      <c r="T169" s="1089" t="s">
        <v>4584</v>
      </c>
      <c r="U169" s="1093" t="s">
        <v>4585</v>
      </c>
      <c r="V169" s="1089" t="s">
        <v>4586</v>
      </c>
      <c r="W169" s="1093" t="s">
        <v>4587</v>
      </c>
      <c r="X169" s="1089" t="s">
        <v>4588</v>
      </c>
      <c r="Y169" s="1093" t="s">
        <v>4589</v>
      </c>
      <c r="Z169" s="1089" t="s">
        <v>4590</v>
      </c>
      <c r="AA169" s="1093" t="s">
        <v>4591</v>
      </c>
      <c r="AB169" s="1089" t="s">
        <v>4592</v>
      </c>
      <c r="AC169" s="1093" t="s">
        <v>4593</v>
      </c>
      <c r="AD169" s="1089" t="s">
        <v>4594</v>
      </c>
      <c r="AE169" s="1092" t="s">
        <v>4595</v>
      </c>
      <c r="AF169" s="1089" t="s">
        <v>4596</v>
      </c>
      <c r="AG169" s="1093" t="s">
        <v>4597</v>
      </c>
      <c r="AH169" s="1089" t="s">
        <v>4598</v>
      </c>
      <c r="AI169" s="1093" t="s">
        <v>4599</v>
      </c>
      <c r="AJ169" s="1089" t="s">
        <v>4600</v>
      </c>
      <c r="AK169" s="1093" t="s">
        <v>4601</v>
      </c>
      <c r="AL169" s="1091" t="s">
        <v>4602</v>
      </c>
      <c r="AM169" s="1092" t="s">
        <v>4603</v>
      </c>
      <c r="AN169" s="1299" t="s">
        <v>4604</v>
      </c>
      <c r="AO169" s="1253" t="s">
        <v>4605</v>
      </c>
      <c r="AP169" s="1093" t="s">
        <v>4606</v>
      </c>
      <c r="AQ169" s="1864" t="e">
        <f t="shared" si="40"/>
        <v>#VALUE!</v>
      </c>
      <c r="BV169" s="1936"/>
      <c r="BW169" s="1936"/>
      <c r="BX169" s="1936"/>
      <c r="BY169" s="1936"/>
      <c r="BZ169" s="1936"/>
      <c r="CA169" s="1936"/>
      <c r="CB169" s="1865" t="e">
        <f t="shared" si="41"/>
        <v>#VALUE!</v>
      </c>
      <c r="CC169" s="1936"/>
      <c r="CD169" s="1936"/>
      <c r="CE169" s="1936"/>
      <c r="CF169"/>
      <c r="CL169" s="1936"/>
      <c r="CN169" s="1867" t="e">
        <f t="shared" si="39"/>
        <v>#VALUE!</v>
      </c>
      <c r="DJ169"/>
    </row>
    <row r="170" spans="1:114" x14ac:dyDescent="0.25">
      <c r="A170" s="5818">
        <v>28022420</v>
      </c>
      <c r="B170" s="4915" t="s">
        <v>3111</v>
      </c>
      <c r="C170" s="358" t="s">
        <v>4567</v>
      </c>
      <c r="D170" s="3862" t="s">
        <v>4568</v>
      </c>
      <c r="E170" s="4974" t="s">
        <v>4569</v>
      </c>
      <c r="F170" s="1089" t="s">
        <v>4570</v>
      </c>
      <c r="G170" s="1093" t="s">
        <v>4571</v>
      </c>
      <c r="H170" s="1089" t="s">
        <v>4572</v>
      </c>
      <c r="I170" s="1093" t="s">
        <v>4573</v>
      </c>
      <c r="J170" s="1089" t="s">
        <v>4574</v>
      </c>
      <c r="K170" s="1093" t="s">
        <v>4575</v>
      </c>
      <c r="L170" s="1089" t="s">
        <v>4576</v>
      </c>
      <c r="M170" s="1093" t="s">
        <v>4577</v>
      </c>
      <c r="N170" s="1091" t="s">
        <v>4578</v>
      </c>
      <c r="O170" s="1092" t="s">
        <v>4579</v>
      </c>
      <c r="P170" s="1089" t="s">
        <v>4580</v>
      </c>
      <c r="Q170" s="1093" t="s">
        <v>4581</v>
      </c>
      <c r="R170" s="1089" t="s">
        <v>4582</v>
      </c>
      <c r="S170" s="1093" t="s">
        <v>4583</v>
      </c>
      <c r="T170" s="1089" t="s">
        <v>4584</v>
      </c>
      <c r="U170" s="1093" t="s">
        <v>4585</v>
      </c>
      <c r="V170" s="1089" t="s">
        <v>4586</v>
      </c>
      <c r="W170" s="1093" t="s">
        <v>4587</v>
      </c>
      <c r="X170" s="1089" t="s">
        <v>4588</v>
      </c>
      <c r="Y170" s="1093" t="s">
        <v>4589</v>
      </c>
      <c r="Z170" s="1089" t="s">
        <v>4590</v>
      </c>
      <c r="AA170" s="1093" t="s">
        <v>4591</v>
      </c>
      <c r="AB170" s="1089" t="s">
        <v>4592</v>
      </c>
      <c r="AC170" s="1093" t="s">
        <v>4593</v>
      </c>
      <c r="AD170" s="1089" t="s">
        <v>4594</v>
      </c>
      <c r="AE170" s="1092" t="s">
        <v>4595</v>
      </c>
      <c r="AF170" s="1089" t="s">
        <v>4596</v>
      </c>
      <c r="AG170" s="1093" t="s">
        <v>4597</v>
      </c>
      <c r="AH170" s="1089" t="s">
        <v>4598</v>
      </c>
      <c r="AI170" s="1093" t="s">
        <v>4599</v>
      </c>
      <c r="AJ170" s="1089" t="s">
        <v>4600</v>
      </c>
      <c r="AK170" s="1093" t="s">
        <v>4601</v>
      </c>
      <c r="AL170" s="1091" t="s">
        <v>4602</v>
      </c>
      <c r="AM170" s="1092" t="s">
        <v>4603</v>
      </c>
      <c r="AN170" s="1299" t="s">
        <v>4604</v>
      </c>
      <c r="AO170" s="1253" t="s">
        <v>4605</v>
      </c>
      <c r="AP170" s="1093" t="s">
        <v>4606</v>
      </c>
      <c r="AQ170" s="1864" t="e">
        <f t="shared" si="40"/>
        <v>#VALUE!</v>
      </c>
      <c r="BV170" s="1936"/>
      <c r="BW170" s="1936"/>
      <c r="BX170" s="1936"/>
      <c r="BY170" s="1936"/>
      <c r="BZ170" s="1936"/>
      <c r="CA170" s="1936"/>
      <c r="CB170" s="1865" t="e">
        <f t="shared" si="41"/>
        <v>#VALUE!</v>
      </c>
      <c r="CC170" s="1936"/>
      <c r="CD170" s="1936"/>
      <c r="CE170" s="1936"/>
      <c r="CF170"/>
      <c r="CL170" s="1936"/>
      <c r="CN170" s="1867" t="e">
        <f t="shared" si="39"/>
        <v>#VALUE!</v>
      </c>
      <c r="DJ170"/>
    </row>
    <row r="171" spans="1:114" x14ac:dyDescent="0.25">
      <c r="A171" s="5818">
        <v>29101648</v>
      </c>
      <c r="B171" s="4915" t="s">
        <v>3440</v>
      </c>
      <c r="C171" s="358" t="s">
        <v>4567</v>
      </c>
      <c r="D171" s="3862" t="s">
        <v>4568</v>
      </c>
      <c r="E171" s="4974" t="s">
        <v>4569</v>
      </c>
      <c r="F171" s="1089" t="s">
        <v>4570</v>
      </c>
      <c r="G171" s="1093" t="s">
        <v>4571</v>
      </c>
      <c r="H171" s="1089" t="s">
        <v>4572</v>
      </c>
      <c r="I171" s="1093" t="s">
        <v>4573</v>
      </c>
      <c r="J171" s="1089" t="s">
        <v>4574</v>
      </c>
      <c r="K171" s="1093" t="s">
        <v>4575</v>
      </c>
      <c r="L171" s="1089" t="s">
        <v>4576</v>
      </c>
      <c r="M171" s="1093" t="s">
        <v>4577</v>
      </c>
      <c r="N171" s="1091" t="s">
        <v>4578</v>
      </c>
      <c r="O171" s="1092" t="s">
        <v>4579</v>
      </c>
      <c r="P171" s="1089" t="s">
        <v>4580</v>
      </c>
      <c r="Q171" s="1093" t="s">
        <v>4581</v>
      </c>
      <c r="R171" s="1089" t="s">
        <v>4582</v>
      </c>
      <c r="S171" s="1093" t="s">
        <v>4583</v>
      </c>
      <c r="T171" s="1089" t="s">
        <v>4584</v>
      </c>
      <c r="U171" s="1093" t="s">
        <v>4585</v>
      </c>
      <c r="V171" s="1089" t="s">
        <v>4586</v>
      </c>
      <c r="W171" s="1093" t="s">
        <v>4587</v>
      </c>
      <c r="X171" s="1089" t="s">
        <v>4588</v>
      </c>
      <c r="Y171" s="1093" t="s">
        <v>4589</v>
      </c>
      <c r="Z171" s="1089" t="s">
        <v>4590</v>
      </c>
      <c r="AA171" s="1093" t="s">
        <v>4591</v>
      </c>
      <c r="AB171" s="1089" t="s">
        <v>4592</v>
      </c>
      <c r="AC171" s="1093" t="s">
        <v>4593</v>
      </c>
      <c r="AD171" s="1089" t="s">
        <v>4594</v>
      </c>
      <c r="AE171" s="1092" t="s">
        <v>4595</v>
      </c>
      <c r="AF171" s="1089" t="s">
        <v>4596</v>
      </c>
      <c r="AG171" s="1093" t="s">
        <v>4597</v>
      </c>
      <c r="AH171" s="1089" t="s">
        <v>4598</v>
      </c>
      <c r="AI171" s="1093" t="s">
        <v>4599</v>
      </c>
      <c r="AJ171" s="1089" t="s">
        <v>4600</v>
      </c>
      <c r="AK171" s="1093" t="s">
        <v>4601</v>
      </c>
      <c r="AL171" s="1091" t="s">
        <v>4602</v>
      </c>
      <c r="AM171" s="1092" t="s">
        <v>4603</v>
      </c>
      <c r="AN171" s="1299" t="s">
        <v>4604</v>
      </c>
      <c r="AO171" s="1253" t="s">
        <v>4605</v>
      </c>
      <c r="AP171" s="1093" t="s">
        <v>4606</v>
      </c>
      <c r="AQ171" s="1864" t="e">
        <f t="shared" si="40"/>
        <v>#VALUE!</v>
      </c>
      <c r="BV171" s="1936"/>
      <c r="BW171" s="1936"/>
      <c r="BX171" s="1936"/>
      <c r="BY171" s="1936"/>
      <c r="BZ171" s="1936"/>
      <c r="CA171" s="1936"/>
      <c r="CB171" s="1865" t="e">
        <f t="shared" si="41"/>
        <v>#VALUE!</v>
      </c>
      <c r="CC171" s="1936"/>
      <c r="CD171" s="1936"/>
      <c r="CE171" s="1936"/>
      <c r="CF171"/>
      <c r="CL171" s="1936"/>
      <c r="CN171" s="1867" t="e">
        <f t="shared" si="39"/>
        <v>#VALUE!</v>
      </c>
      <c r="DJ171"/>
    </row>
    <row r="172" spans="1:114" x14ac:dyDescent="0.25">
      <c r="A172" s="5818">
        <v>29101649</v>
      </c>
      <c r="B172" s="4915" t="s">
        <v>3344</v>
      </c>
      <c r="C172" s="358" t="s">
        <v>4567</v>
      </c>
      <c r="D172" s="3862" t="s">
        <v>4568</v>
      </c>
      <c r="E172" s="4974" t="s">
        <v>4569</v>
      </c>
      <c r="F172" s="1089" t="s">
        <v>4570</v>
      </c>
      <c r="G172" s="1093" t="s">
        <v>4571</v>
      </c>
      <c r="H172" s="1089" t="s">
        <v>4572</v>
      </c>
      <c r="I172" s="1093" t="s">
        <v>4573</v>
      </c>
      <c r="J172" s="1089" t="s">
        <v>4574</v>
      </c>
      <c r="K172" s="1093" t="s">
        <v>4575</v>
      </c>
      <c r="L172" s="1089" t="s">
        <v>4576</v>
      </c>
      <c r="M172" s="1093" t="s">
        <v>4577</v>
      </c>
      <c r="N172" s="1091" t="s">
        <v>4578</v>
      </c>
      <c r="O172" s="1092" t="s">
        <v>4579</v>
      </c>
      <c r="P172" s="1089" t="s">
        <v>4580</v>
      </c>
      <c r="Q172" s="1093" t="s">
        <v>4581</v>
      </c>
      <c r="R172" s="1089" t="s">
        <v>4582</v>
      </c>
      <c r="S172" s="1093" t="s">
        <v>4583</v>
      </c>
      <c r="T172" s="1089" t="s">
        <v>4584</v>
      </c>
      <c r="U172" s="1093" t="s">
        <v>4585</v>
      </c>
      <c r="V172" s="1089" t="s">
        <v>4586</v>
      </c>
      <c r="W172" s="1093" t="s">
        <v>4587</v>
      </c>
      <c r="X172" s="1089" t="s">
        <v>4588</v>
      </c>
      <c r="Y172" s="1093" t="s">
        <v>4589</v>
      </c>
      <c r="Z172" s="1089" t="s">
        <v>4590</v>
      </c>
      <c r="AA172" s="1093" t="s">
        <v>4591</v>
      </c>
      <c r="AB172" s="1089" t="s">
        <v>4592</v>
      </c>
      <c r="AC172" s="1093" t="s">
        <v>4593</v>
      </c>
      <c r="AD172" s="1089" t="s">
        <v>4594</v>
      </c>
      <c r="AE172" s="1092" t="s">
        <v>4595</v>
      </c>
      <c r="AF172" s="1089" t="s">
        <v>4596</v>
      </c>
      <c r="AG172" s="1093" t="s">
        <v>4597</v>
      </c>
      <c r="AH172" s="1089" t="s">
        <v>4598</v>
      </c>
      <c r="AI172" s="1093" t="s">
        <v>4599</v>
      </c>
      <c r="AJ172" s="1089" t="s">
        <v>4600</v>
      </c>
      <c r="AK172" s="1093" t="s">
        <v>4601</v>
      </c>
      <c r="AL172" s="1091" t="s">
        <v>4602</v>
      </c>
      <c r="AM172" s="1092" t="s">
        <v>4603</v>
      </c>
      <c r="AN172" s="1299" t="s">
        <v>4604</v>
      </c>
      <c r="AO172" s="1253" t="s">
        <v>4605</v>
      </c>
      <c r="AP172" s="1093" t="s">
        <v>4606</v>
      </c>
      <c r="AQ172" s="1864" t="e">
        <f t="shared" si="40"/>
        <v>#VALUE!</v>
      </c>
      <c r="BV172" s="1936"/>
      <c r="BW172" s="1936"/>
      <c r="BX172" s="1936"/>
      <c r="BY172" s="1936"/>
      <c r="BZ172" s="1936"/>
      <c r="CA172" s="1936"/>
      <c r="CB172" s="1865" t="e">
        <f t="shared" si="41"/>
        <v>#VALUE!</v>
      </c>
      <c r="CC172" s="1936"/>
      <c r="CD172" s="1936"/>
      <c r="CE172" s="1936"/>
      <c r="CF172"/>
      <c r="CL172" s="1936"/>
      <c r="CN172" s="1867" t="e">
        <f t="shared" si="39"/>
        <v>#VALUE!</v>
      </c>
      <c r="DJ172"/>
    </row>
    <row r="173" spans="1:114" x14ac:dyDescent="0.25">
      <c r="A173" s="5818">
        <v>29101650</v>
      </c>
      <c r="B173" s="4915" t="s">
        <v>3345</v>
      </c>
      <c r="C173" s="358" t="s">
        <v>4567</v>
      </c>
      <c r="D173" s="3862" t="s">
        <v>4568</v>
      </c>
      <c r="E173" s="4974" t="s">
        <v>4569</v>
      </c>
      <c r="F173" s="1089" t="s">
        <v>4570</v>
      </c>
      <c r="G173" s="1093" t="s">
        <v>4571</v>
      </c>
      <c r="H173" s="1089" t="s">
        <v>4572</v>
      </c>
      <c r="I173" s="1093" t="s">
        <v>4573</v>
      </c>
      <c r="J173" s="1089" t="s">
        <v>4574</v>
      </c>
      <c r="K173" s="1093" t="s">
        <v>4575</v>
      </c>
      <c r="L173" s="1089" t="s">
        <v>4576</v>
      </c>
      <c r="M173" s="1093" t="s">
        <v>4577</v>
      </c>
      <c r="N173" s="1091" t="s">
        <v>4578</v>
      </c>
      <c r="O173" s="1092" t="s">
        <v>4579</v>
      </c>
      <c r="P173" s="1089" t="s">
        <v>4580</v>
      </c>
      <c r="Q173" s="1093" t="s">
        <v>4581</v>
      </c>
      <c r="R173" s="1089" t="s">
        <v>4582</v>
      </c>
      <c r="S173" s="1093" t="s">
        <v>4583</v>
      </c>
      <c r="T173" s="1089" t="s">
        <v>4584</v>
      </c>
      <c r="U173" s="1093" t="s">
        <v>4585</v>
      </c>
      <c r="V173" s="1089" t="s">
        <v>4586</v>
      </c>
      <c r="W173" s="1093" t="s">
        <v>4587</v>
      </c>
      <c r="X173" s="1089" t="s">
        <v>4588</v>
      </c>
      <c r="Y173" s="1093" t="s">
        <v>4589</v>
      </c>
      <c r="Z173" s="1089" t="s">
        <v>4590</v>
      </c>
      <c r="AA173" s="1093" t="s">
        <v>4591</v>
      </c>
      <c r="AB173" s="1089" t="s">
        <v>4592</v>
      </c>
      <c r="AC173" s="1093" t="s">
        <v>4593</v>
      </c>
      <c r="AD173" s="1089" t="s">
        <v>4594</v>
      </c>
      <c r="AE173" s="1092" t="s">
        <v>4595</v>
      </c>
      <c r="AF173" s="1089" t="s">
        <v>4596</v>
      </c>
      <c r="AG173" s="1093" t="s">
        <v>4597</v>
      </c>
      <c r="AH173" s="1089" t="s">
        <v>4598</v>
      </c>
      <c r="AI173" s="1093" t="s">
        <v>4599</v>
      </c>
      <c r="AJ173" s="1089" t="s">
        <v>4600</v>
      </c>
      <c r="AK173" s="1093" t="s">
        <v>4601</v>
      </c>
      <c r="AL173" s="1091" t="s">
        <v>4602</v>
      </c>
      <c r="AM173" s="1092" t="s">
        <v>4603</v>
      </c>
      <c r="AN173" s="1299" t="s">
        <v>4604</v>
      </c>
      <c r="AO173" s="1253" t="s">
        <v>4605</v>
      </c>
      <c r="AP173" s="1093" t="s">
        <v>4606</v>
      </c>
      <c r="AQ173" s="1864" t="e">
        <f t="shared" si="40"/>
        <v>#VALUE!</v>
      </c>
      <c r="BV173" s="1936"/>
      <c r="BW173" s="1936"/>
      <c r="BX173" s="1936"/>
      <c r="BY173" s="1936"/>
      <c r="BZ173" s="1936"/>
      <c r="CA173" s="1936"/>
      <c r="CB173" s="1865" t="e">
        <f t="shared" si="41"/>
        <v>#VALUE!</v>
      </c>
      <c r="CC173" s="1936"/>
      <c r="CD173" s="1936"/>
      <c r="CE173" s="1936"/>
      <c r="CF173"/>
      <c r="CL173" s="1936"/>
      <c r="CN173" s="1867" t="e">
        <f t="shared" si="39"/>
        <v>#VALUE!</v>
      </c>
      <c r="DJ173"/>
    </row>
    <row r="174" spans="1:114" x14ac:dyDescent="0.25">
      <c r="A174" s="5818">
        <v>28021000</v>
      </c>
      <c r="B174" s="4915" t="s">
        <v>3441</v>
      </c>
      <c r="C174" s="358" t="s">
        <v>4567</v>
      </c>
      <c r="D174" s="3862" t="s">
        <v>4568</v>
      </c>
      <c r="E174" s="4974" t="s">
        <v>4569</v>
      </c>
      <c r="F174" s="1089" t="s">
        <v>4570</v>
      </c>
      <c r="G174" s="1093" t="s">
        <v>4571</v>
      </c>
      <c r="H174" s="1089" t="s">
        <v>4572</v>
      </c>
      <c r="I174" s="1093" t="s">
        <v>4573</v>
      </c>
      <c r="J174" s="1089" t="s">
        <v>4574</v>
      </c>
      <c r="K174" s="1093" t="s">
        <v>4575</v>
      </c>
      <c r="L174" s="1089" t="s">
        <v>4576</v>
      </c>
      <c r="M174" s="1093" t="s">
        <v>4577</v>
      </c>
      <c r="N174" s="1091" t="s">
        <v>4578</v>
      </c>
      <c r="O174" s="1092" t="s">
        <v>4579</v>
      </c>
      <c r="P174" s="1089" t="s">
        <v>4580</v>
      </c>
      <c r="Q174" s="1093" t="s">
        <v>4581</v>
      </c>
      <c r="R174" s="1089" t="s">
        <v>4582</v>
      </c>
      <c r="S174" s="1093" t="s">
        <v>4583</v>
      </c>
      <c r="T174" s="1089" t="s">
        <v>4584</v>
      </c>
      <c r="U174" s="1093" t="s">
        <v>4585</v>
      </c>
      <c r="V174" s="1089" t="s">
        <v>4586</v>
      </c>
      <c r="W174" s="1093" t="s">
        <v>4587</v>
      </c>
      <c r="X174" s="1089" t="s">
        <v>4588</v>
      </c>
      <c r="Y174" s="1093" t="s">
        <v>4589</v>
      </c>
      <c r="Z174" s="1089" t="s">
        <v>4590</v>
      </c>
      <c r="AA174" s="1093" t="s">
        <v>4591</v>
      </c>
      <c r="AB174" s="1089" t="s">
        <v>4592</v>
      </c>
      <c r="AC174" s="1093" t="s">
        <v>4593</v>
      </c>
      <c r="AD174" s="1089" t="s">
        <v>4594</v>
      </c>
      <c r="AE174" s="1092" t="s">
        <v>4595</v>
      </c>
      <c r="AF174" s="1089" t="s">
        <v>4596</v>
      </c>
      <c r="AG174" s="1093" t="s">
        <v>4597</v>
      </c>
      <c r="AH174" s="1089" t="s">
        <v>4598</v>
      </c>
      <c r="AI174" s="1093" t="s">
        <v>4599</v>
      </c>
      <c r="AJ174" s="1089" t="s">
        <v>4600</v>
      </c>
      <c r="AK174" s="1093" t="s">
        <v>4601</v>
      </c>
      <c r="AL174" s="1091" t="s">
        <v>4602</v>
      </c>
      <c r="AM174" s="1092" t="s">
        <v>4603</v>
      </c>
      <c r="AN174" s="1299" t="s">
        <v>4604</v>
      </c>
      <c r="AO174" s="1253" t="s">
        <v>4605</v>
      </c>
      <c r="AP174" s="1093" t="s">
        <v>4606</v>
      </c>
      <c r="AQ174" s="1864" t="e">
        <f t="shared" si="40"/>
        <v>#VALUE!</v>
      </c>
      <c r="BV174" s="1936"/>
      <c r="BW174" s="1936"/>
      <c r="BX174" s="1936"/>
      <c r="BY174" s="1936"/>
      <c r="BZ174" s="1936"/>
      <c r="CA174" s="1936"/>
      <c r="CB174" s="1865" t="e">
        <f t="shared" si="41"/>
        <v>#VALUE!</v>
      </c>
      <c r="CC174" s="1936"/>
      <c r="CD174" s="1936"/>
      <c r="CE174" s="1936"/>
      <c r="CF174"/>
      <c r="CL174" s="1936"/>
      <c r="CN174" s="1867" t="e">
        <f t="shared" si="39"/>
        <v>#VALUE!</v>
      </c>
      <c r="DJ174"/>
    </row>
    <row r="175" spans="1:114" x14ac:dyDescent="0.25">
      <c r="A175" s="5818">
        <v>28021110</v>
      </c>
      <c r="B175" s="4915" t="s">
        <v>3442</v>
      </c>
      <c r="C175" s="358" t="s">
        <v>4567</v>
      </c>
      <c r="D175" s="3862" t="s">
        <v>4568</v>
      </c>
      <c r="E175" s="4974" t="s">
        <v>4569</v>
      </c>
      <c r="F175" s="1089" t="s">
        <v>4570</v>
      </c>
      <c r="G175" s="1093" t="s">
        <v>4571</v>
      </c>
      <c r="H175" s="1089" t="s">
        <v>4572</v>
      </c>
      <c r="I175" s="1093" t="s">
        <v>4573</v>
      </c>
      <c r="J175" s="1089" t="s">
        <v>4574</v>
      </c>
      <c r="K175" s="1093" t="s">
        <v>4575</v>
      </c>
      <c r="L175" s="1089" t="s">
        <v>4576</v>
      </c>
      <c r="M175" s="1093" t="s">
        <v>4577</v>
      </c>
      <c r="N175" s="1091" t="s">
        <v>4578</v>
      </c>
      <c r="O175" s="1092" t="s">
        <v>4579</v>
      </c>
      <c r="P175" s="1089" t="s">
        <v>4580</v>
      </c>
      <c r="Q175" s="1093" t="s">
        <v>4581</v>
      </c>
      <c r="R175" s="1089" t="s">
        <v>4582</v>
      </c>
      <c r="S175" s="1093" t="s">
        <v>4583</v>
      </c>
      <c r="T175" s="1089" t="s">
        <v>4584</v>
      </c>
      <c r="U175" s="1093" t="s">
        <v>4585</v>
      </c>
      <c r="V175" s="1089" t="s">
        <v>4586</v>
      </c>
      <c r="W175" s="1093" t="s">
        <v>4587</v>
      </c>
      <c r="X175" s="1089" t="s">
        <v>4588</v>
      </c>
      <c r="Y175" s="1093" t="s">
        <v>4589</v>
      </c>
      <c r="Z175" s="1089" t="s">
        <v>4590</v>
      </c>
      <c r="AA175" s="1093" t="s">
        <v>4591</v>
      </c>
      <c r="AB175" s="1089" t="s">
        <v>4592</v>
      </c>
      <c r="AC175" s="1093" t="s">
        <v>4593</v>
      </c>
      <c r="AD175" s="1089" t="s">
        <v>4594</v>
      </c>
      <c r="AE175" s="1092" t="s">
        <v>4595</v>
      </c>
      <c r="AF175" s="1089" t="s">
        <v>4596</v>
      </c>
      <c r="AG175" s="1093" t="s">
        <v>4597</v>
      </c>
      <c r="AH175" s="1089" t="s">
        <v>4598</v>
      </c>
      <c r="AI175" s="1093" t="s">
        <v>4599</v>
      </c>
      <c r="AJ175" s="1089" t="s">
        <v>4600</v>
      </c>
      <c r="AK175" s="1093" t="s">
        <v>4601</v>
      </c>
      <c r="AL175" s="1091" t="s">
        <v>4602</v>
      </c>
      <c r="AM175" s="1092" t="s">
        <v>4603</v>
      </c>
      <c r="AN175" s="1299" t="s">
        <v>4604</v>
      </c>
      <c r="AO175" s="1253" t="s">
        <v>4605</v>
      </c>
      <c r="AP175" s="1093" t="s">
        <v>4606</v>
      </c>
      <c r="AQ175" s="1864" t="e">
        <f t="shared" si="40"/>
        <v>#VALUE!</v>
      </c>
      <c r="BV175" s="1936"/>
      <c r="BW175" s="1936"/>
      <c r="BX175" s="1936"/>
      <c r="BY175" s="1936"/>
      <c r="BZ175" s="1936"/>
      <c r="CA175" s="1936"/>
      <c r="CB175" s="1865" t="e">
        <f t="shared" si="41"/>
        <v>#VALUE!</v>
      </c>
      <c r="CC175" s="1936"/>
      <c r="CD175" s="1936"/>
      <c r="CE175" s="1936"/>
      <c r="CF175"/>
      <c r="CL175" s="1936"/>
      <c r="CN175" s="1867" t="e">
        <f t="shared" si="39"/>
        <v>#VALUE!</v>
      </c>
      <c r="DJ175"/>
    </row>
    <row r="176" spans="1:114" x14ac:dyDescent="0.25">
      <c r="A176" s="5818">
        <v>29101651</v>
      </c>
      <c r="B176" s="4915" t="s">
        <v>3341</v>
      </c>
      <c r="C176" s="358" t="s">
        <v>4567</v>
      </c>
      <c r="D176" s="3862" t="s">
        <v>4568</v>
      </c>
      <c r="E176" s="4974" t="s">
        <v>4569</v>
      </c>
      <c r="F176" s="1089" t="s">
        <v>4570</v>
      </c>
      <c r="G176" s="1093" t="s">
        <v>4571</v>
      </c>
      <c r="H176" s="1089" t="s">
        <v>4572</v>
      </c>
      <c r="I176" s="1093" t="s">
        <v>4573</v>
      </c>
      <c r="J176" s="1089" t="s">
        <v>4574</v>
      </c>
      <c r="K176" s="1093" t="s">
        <v>4575</v>
      </c>
      <c r="L176" s="1089" t="s">
        <v>4576</v>
      </c>
      <c r="M176" s="1093" t="s">
        <v>4577</v>
      </c>
      <c r="N176" s="1091" t="s">
        <v>4578</v>
      </c>
      <c r="O176" s="1092" t="s">
        <v>4579</v>
      </c>
      <c r="P176" s="1089" t="s">
        <v>4580</v>
      </c>
      <c r="Q176" s="1093" t="s">
        <v>4581</v>
      </c>
      <c r="R176" s="1089" t="s">
        <v>4582</v>
      </c>
      <c r="S176" s="1093" t="s">
        <v>4583</v>
      </c>
      <c r="T176" s="1089" t="s">
        <v>4584</v>
      </c>
      <c r="U176" s="1093" t="s">
        <v>4585</v>
      </c>
      <c r="V176" s="1089" t="s">
        <v>4586</v>
      </c>
      <c r="W176" s="1093" t="s">
        <v>4587</v>
      </c>
      <c r="X176" s="1089" t="s">
        <v>4588</v>
      </c>
      <c r="Y176" s="1093" t="s">
        <v>4589</v>
      </c>
      <c r="Z176" s="1089" t="s">
        <v>4590</v>
      </c>
      <c r="AA176" s="1093" t="s">
        <v>4591</v>
      </c>
      <c r="AB176" s="1089" t="s">
        <v>4592</v>
      </c>
      <c r="AC176" s="1093" t="s">
        <v>4593</v>
      </c>
      <c r="AD176" s="1089" t="s">
        <v>4594</v>
      </c>
      <c r="AE176" s="1092" t="s">
        <v>4595</v>
      </c>
      <c r="AF176" s="1089" t="s">
        <v>4596</v>
      </c>
      <c r="AG176" s="1093" t="s">
        <v>4597</v>
      </c>
      <c r="AH176" s="1089" t="s">
        <v>4598</v>
      </c>
      <c r="AI176" s="1093" t="s">
        <v>4599</v>
      </c>
      <c r="AJ176" s="1089" t="s">
        <v>4600</v>
      </c>
      <c r="AK176" s="1093" t="s">
        <v>4601</v>
      </c>
      <c r="AL176" s="1091" t="s">
        <v>4602</v>
      </c>
      <c r="AM176" s="1092" t="s">
        <v>4603</v>
      </c>
      <c r="AN176" s="1299" t="s">
        <v>4604</v>
      </c>
      <c r="AO176" s="1253" t="s">
        <v>4605</v>
      </c>
      <c r="AP176" s="1093" t="s">
        <v>4606</v>
      </c>
      <c r="AQ176" s="1864" t="e">
        <f t="shared" si="40"/>
        <v>#VALUE!</v>
      </c>
      <c r="BV176" s="1936"/>
      <c r="BW176" s="1936"/>
      <c r="BX176" s="1936"/>
      <c r="BY176" s="1936"/>
      <c r="BZ176" s="1936"/>
      <c r="CA176" s="1936"/>
      <c r="CB176" s="1865" t="e">
        <f t="shared" si="41"/>
        <v>#VALUE!</v>
      </c>
      <c r="CC176" s="1936"/>
      <c r="CD176" s="1936"/>
      <c r="CE176" s="1936"/>
      <c r="CF176"/>
      <c r="CL176" s="1936"/>
      <c r="CN176" s="1867" t="e">
        <f t="shared" si="39"/>
        <v>#VALUE!</v>
      </c>
      <c r="DJ176"/>
    </row>
    <row r="177" spans="1:114" x14ac:dyDescent="0.25">
      <c r="A177" s="5818">
        <v>28021190</v>
      </c>
      <c r="B177" s="4975" t="s">
        <v>591</v>
      </c>
      <c r="C177" s="358" t="s">
        <v>4567</v>
      </c>
      <c r="D177" s="3862" t="s">
        <v>4568</v>
      </c>
      <c r="E177" s="4974" t="s">
        <v>4569</v>
      </c>
      <c r="F177" s="192" t="s">
        <v>4570</v>
      </c>
      <c r="G177" s="382" t="s">
        <v>4571</v>
      </c>
      <c r="H177" s="192" t="s">
        <v>4572</v>
      </c>
      <c r="I177" s="382" t="s">
        <v>4573</v>
      </c>
      <c r="J177" s="192" t="s">
        <v>4574</v>
      </c>
      <c r="K177" s="382" t="s">
        <v>4575</v>
      </c>
      <c r="L177" s="192" t="s">
        <v>4576</v>
      </c>
      <c r="M177" s="382" t="s">
        <v>4577</v>
      </c>
      <c r="N177" s="481" t="s">
        <v>4578</v>
      </c>
      <c r="O177" s="1098" t="s">
        <v>4579</v>
      </c>
      <c r="P177" s="192" t="s">
        <v>4580</v>
      </c>
      <c r="Q177" s="382" t="s">
        <v>4581</v>
      </c>
      <c r="R177" s="192" t="s">
        <v>4582</v>
      </c>
      <c r="S177" s="382" t="s">
        <v>4583</v>
      </c>
      <c r="T177" s="192" t="s">
        <v>4584</v>
      </c>
      <c r="U177" s="382" t="s">
        <v>4585</v>
      </c>
      <c r="V177" s="192" t="s">
        <v>4586</v>
      </c>
      <c r="W177" s="382" t="s">
        <v>4587</v>
      </c>
      <c r="X177" s="192" t="s">
        <v>4588</v>
      </c>
      <c r="Y177" s="382" t="s">
        <v>4589</v>
      </c>
      <c r="Z177" s="192" t="s">
        <v>4590</v>
      </c>
      <c r="AA177" s="382" t="s">
        <v>4591</v>
      </c>
      <c r="AB177" s="192" t="s">
        <v>4592</v>
      </c>
      <c r="AC177" s="382" t="s">
        <v>4593</v>
      </c>
      <c r="AD177" s="192" t="s">
        <v>4594</v>
      </c>
      <c r="AE177" s="1098" t="s">
        <v>4595</v>
      </c>
      <c r="AF177" s="192" t="s">
        <v>4596</v>
      </c>
      <c r="AG177" s="382" t="s">
        <v>4597</v>
      </c>
      <c r="AH177" s="192" t="s">
        <v>4598</v>
      </c>
      <c r="AI177" s="382" t="s">
        <v>4599</v>
      </c>
      <c r="AJ177" s="192" t="s">
        <v>4600</v>
      </c>
      <c r="AK177" s="382" t="s">
        <v>4601</v>
      </c>
      <c r="AL177" s="481" t="s">
        <v>4602</v>
      </c>
      <c r="AM177" s="1098" t="s">
        <v>4603</v>
      </c>
      <c r="AN177" s="376" t="s">
        <v>4604</v>
      </c>
      <c r="AO177" s="580" t="s">
        <v>4605</v>
      </c>
      <c r="AP177" s="382" t="s">
        <v>4606</v>
      </c>
      <c r="AQ177" s="1864" t="e">
        <f t="shared" si="40"/>
        <v>#VALUE!</v>
      </c>
      <c r="BV177" s="1936"/>
      <c r="BW177" s="1936"/>
      <c r="BX177" s="1936"/>
      <c r="BY177" s="1936"/>
      <c r="BZ177" s="1936"/>
      <c r="CA177" s="1936"/>
      <c r="CB177" s="1865" t="e">
        <f t="shared" si="41"/>
        <v>#VALUE!</v>
      </c>
      <c r="CC177" s="1936"/>
      <c r="CD177" s="1936"/>
      <c r="CE177" s="1936"/>
      <c r="CF177"/>
      <c r="CL177" s="1936"/>
      <c r="CN177" s="1867" t="e">
        <f t="shared" si="39"/>
        <v>#VALUE!</v>
      </c>
      <c r="DJ177"/>
    </row>
    <row r="178" spans="1:114" x14ac:dyDescent="0.25">
      <c r="A178" s="5863"/>
      <c r="B178" s="4976" t="s">
        <v>905</v>
      </c>
      <c r="C178" s="4977">
        <f>SUM(C179:C183)</f>
        <v>0</v>
      </c>
      <c r="D178" s="4978">
        <f t="shared" ref="D178:AP178" si="42">SUM(D179:D183)</f>
        <v>0</v>
      </c>
      <c r="E178" s="4979">
        <f t="shared" si="42"/>
        <v>0</v>
      </c>
      <c r="F178" s="4891">
        <f t="shared" si="42"/>
        <v>0</v>
      </c>
      <c r="G178" s="1101">
        <f t="shared" si="42"/>
        <v>0</v>
      </c>
      <c r="H178" s="4891">
        <f t="shared" si="42"/>
        <v>0</v>
      </c>
      <c r="I178" s="1101">
        <f t="shared" si="42"/>
        <v>0</v>
      </c>
      <c r="J178" s="4891">
        <f t="shared" si="42"/>
        <v>0</v>
      </c>
      <c r="K178" s="1101">
        <f t="shared" si="42"/>
        <v>0</v>
      </c>
      <c r="L178" s="4891">
        <f t="shared" si="42"/>
        <v>0</v>
      </c>
      <c r="M178" s="1101">
        <f t="shared" si="42"/>
        <v>0</v>
      </c>
      <c r="N178" s="4891">
        <f t="shared" si="42"/>
        <v>0</v>
      </c>
      <c r="O178" s="4645">
        <f t="shared" si="42"/>
        <v>0</v>
      </c>
      <c r="P178" s="4891">
        <f t="shared" si="42"/>
        <v>0</v>
      </c>
      <c r="Q178" s="1101">
        <f t="shared" si="42"/>
        <v>0</v>
      </c>
      <c r="R178" s="4891">
        <f t="shared" si="42"/>
        <v>0</v>
      </c>
      <c r="S178" s="1101">
        <f t="shared" si="42"/>
        <v>0</v>
      </c>
      <c r="T178" s="4891">
        <f t="shared" si="42"/>
        <v>0</v>
      </c>
      <c r="U178" s="1101">
        <f t="shared" si="42"/>
        <v>0</v>
      </c>
      <c r="V178" s="4891">
        <f t="shared" si="42"/>
        <v>0</v>
      </c>
      <c r="W178" s="1101">
        <f t="shared" si="42"/>
        <v>0</v>
      </c>
      <c r="X178" s="4891">
        <f t="shared" si="42"/>
        <v>0</v>
      </c>
      <c r="Y178" s="1101">
        <f t="shared" si="42"/>
        <v>0</v>
      </c>
      <c r="Z178" s="4891">
        <f t="shared" si="42"/>
        <v>0</v>
      </c>
      <c r="AA178" s="1101">
        <f t="shared" si="42"/>
        <v>0</v>
      </c>
      <c r="AB178" s="4891">
        <f t="shared" si="42"/>
        <v>0</v>
      </c>
      <c r="AC178" s="1101">
        <f t="shared" si="42"/>
        <v>0</v>
      </c>
      <c r="AD178" s="4891">
        <f t="shared" si="42"/>
        <v>0</v>
      </c>
      <c r="AE178" s="4645">
        <f t="shared" si="42"/>
        <v>0</v>
      </c>
      <c r="AF178" s="4891">
        <f t="shared" si="42"/>
        <v>0</v>
      </c>
      <c r="AG178" s="1101">
        <f t="shared" si="42"/>
        <v>0</v>
      </c>
      <c r="AH178" s="4891">
        <f t="shared" si="42"/>
        <v>0</v>
      </c>
      <c r="AI178" s="1101">
        <f t="shared" si="42"/>
        <v>0</v>
      </c>
      <c r="AJ178" s="4891">
        <f t="shared" si="42"/>
        <v>0</v>
      </c>
      <c r="AK178" s="1101">
        <f t="shared" si="42"/>
        <v>0</v>
      </c>
      <c r="AL178" s="4645">
        <f t="shared" si="42"/>
        <v>0</v>
      </c>
      <c r="AM178" s="1103">
        <f t="shared" si="42"/>
        <v>0</v>
      </c>
      <c r="AN178" s="4765">
        <f t="shared" si="42"/>
        <v>0</v>
      </c>
      <c r="AO178" s="1116">
        <f t="shared" si="42"/>
        <v>0</v>
      </c>
      <c r="AP178" s="1104">
        <f t="shared" si="42"/>
        <v>0</v>
      </c>
      <c r="AQ178" s="1864"/>
      <c r="BV178" s="1936"/>
      <c r="BW178" s="1936"/>
      <c r="BX178" s="1936"/>
      <c r="BY178" s="1936"/>
      <c r="BZ178" s="1936"/>
      <c r="CA178" s="1936"/>
      <c r="CB178" s="1936"/>
      <c r="CC178" s="1936"/>
      <c r="CD178" s="1936"/>
      <c r="CE178" s="1936"/>
      <c r="CF178"/>
      <c r="CL178" s="1936"/>
      <c r="CN178"/>
      <c r="DJ178"/>
    </row>
    <row r="179" spans="1:114" x14ac:dyDescent="0.25">
      <c r="A179" s="5818">
        <v>28021200</v>
      </c>
      <c r="B179" s="4877" t="s">
        <v>3314</v>
      </c>
      <c r="C179" s="4980" t="s">
        <v>4567</v>
      </c>
      <c r="D179" s="3862" t="s">
        <v>4568</v>
      </c>
      <c r="E179" s="4974" t="s">
        <v>4569</v>
      </c>
      <c r="F179" s="290" t="s">
        <v>4570</v>
      </c>
      <c r="G179" s="622" t="s">
        <v>4571</v>
      </c>
      <c r="H179" s="290" t="s">
        <v>4572</v>
      </c>
      <c r="I179" s="622" t="s">
        <v>4573</v>
      </c>
      <c r="J179" s="290" t="s">
        <v>4574</v>
      </c>
      <c r="K179" s="622" t="s">
        <v>4575</v>
      </c>
      <c r="L179" s="290" t="s">
        <v>4576</v>
      </c>
      <c r="M179" s="622" t="s">
        <v>4577</v>
      </c>
      <c r="N179" s="22" t="s">
        <v>4578</v>
      </c>
      <c r="O179" s="714" t="s">
        <v>4579</v>
      </c>
      <c r="P179" s="290" t="s">
        <v>4580</v>
      </c>
      <c r="Q179" s="622" t="s">
        <v>4581</v>
      </c>
      <c r="R179" s="290" t="s">
        <v>4582</v>
      </c>
      <c r="S179" s="622" t="s">
        <v>4583</v>
      </c>
      <c r="T179" s="290" t="s">
        <v>4584</v>
      </c>
      <c r="U179" s="622" t="s">
        <v>4585</v>
      </c>
      <c r="V179" s="290" t="s">
        <v>4586</v>
      </c>
      <c r="W179" s="622" t="s">
        <v>4587</v>
      </c>
      <c r="X179" s="290" t="s">
        <v>4588</v>
      </c>
      <c r="Y179" s="622" t="s">
        <v>4589</v>
      </c>
      <c r="Z179" s="290" t="s">
        <v>4590</v>
      </c>
      <c r="AA179" s="622" t="s">
        <v>4591</v>
      </c>
      <c r="AB179" s="290" t="s">
        <v>4592</v>
      </c>
      <c r="AC179" s="622" t="s">
        <v>4593</v>
      </c>
      <c r="AD179" s="290" t="s">
        <v>4594</v>
      </c>
      <c r="AE179" s="714" t="s">
        <v>4595</v>
      </c>
      <c r="AF179" s="290" t="s">
        <v>4596</v>
      </c>
      <c r="AG179" s="622" t="s">
        <v>4597</v>
      </c>
      <c r="AH179" s="290" t="s">
        <v>4598</v>
      </c>
      <c r="AI179" s="622" t="s">
        <v>4599</v>
      </c>
      <c r="AJ179" s="290" t="s">
        <v>4600</v>
      </c>
      <c r="AK179" s="622" t="s">
        <v>4601</v>
      </c>
      <c r="AL179" s="22" t="s">
        <v>4602</v>
      </c>
      <c r="AM179" s="714" t="s">
        <v>4603</v>
      </c>
      <c r="AN179" s="296" t="s">
        <v>4604</v>
      </c>
      <c r="AO179" s="531" t="s">
        <v>4605</v>
      </c>
      <c r="AP179" s="622" t="s">
        <v>4606</v>
      </c>
      <c r="AQ179" s="1864" t="e">
        <f t="shared" si="40"/>
        <v>#VALUE!</v>
      </c>
      <c r="BV179" s="1936"/>
      <c r="BW179" s="1936"/>
      <c r="BX179" s="1936"/>
      <c r="BY179" s="1936"/>
      <c r="BZ179" s="1936"/>
      <c r="CA179" s="1936"/>
      <c r="CB179" s="1865" t="e">
        <f>IF(AN179+AO179+AP179&lt;&gt;$C179,"* La suma de "&amp;AN$146&amp;""&amp;" no debe ser distinto del Total Ambos Sexos. ","")</f>
        <v>#VALUE!</v>
      </c>
      <c r="CC179" s="1936"/>
      <c r="CD179" s="1936"/>
      <c r="CE179" s="1936"/>
      <c r="CF179"/>
      <c r="CL179" s="1936"/>
      <c r="CN179" s="1867" t="e">
        <f>IF(AN179+AO179+AP179&lt;&gt;$C179,1,0)</f>
        <v>#VALUE!</v>
      </c>
      <c r="DJ179"/>
    </row>
    <row r="180" spans="1:114" x14ac:dyDescent="0.25">
      <c r="A180" s="5818">
        <v>28021210</v>
      </c>
      <c r="B180" s="4877" t="s">
        <v>1022</v>
      </c>
      <c r="C180" s="1148" t="s">
        <v>4567</v>
      </c>
      <c r="D180" s="3862" t="s">
        <v>4568</v>
      </c>
      <c r="E180" s="4974" t="s">
        <v>4569</v>
      </c>
      <c r="F180" s="1089" t="s">
        <v>4570</v>
      </c>
      <c r="G180" s="1093" t="s">
        <v>4571</v>
      </c>
      <c r="H180" s="1089" t="s">
        <v>4572</v>
      </c>
      <c r="I180" s="1093" t="s">
        <v>4573</v>
      </c>
      <c r="J180" s="1089" t="s">
        <v>4574</v>
      </c>
      <c r="K180" s="1093" t="s">
        <v>4575</v>
      </c>
      <c r="L180" s="1089" t="s">
        <v>4576</v>
      </c>
      <c r="M180" s="1093" t="s">
        <v>4577</v>
      </c>
      <c r="N180" s="1091" t="s">
        <v>4578</v>
      </c>
      <c r="O180" s="1092" t="s">
        <v>4579</v>
      </c>
      <c r="P180" s="1089" t="s">
        <v>4580</v>
      </c>
      <c r="Q180" s="1093" t="s">
        <v>4581</v>
      </c>
      <c r="R180" s="1089" t="s">
        <v>4582</v>
      </c>
      <c r="S180" s="1093" t="s">
        <v>4583</v>
      </c>
      <c r="T180" s="1089" t="s">
        <v>4584</v>
      </c>
      <c r="U180" s="1093" t="s">
        <v>4585</v>
      </c>
      <c r="V180" s="1089" t="s">
        <v>4586</v>
      </c>
      <c r="W180" s="1093" t="s">
        <v>4587</v>
      </c>
      <c r="X180" s="1089" t="s">
        <v>4588</v>
      </c>
      <c r="Y180" s="1093" t="s">
        <v>4589</v>
      </c>
      <c r="Z180" s="1089" t="s">
        <v>4590</v>
      </c>
      <c r="AA180" s="1093" t="s">
        <v>4591</v>
      </c>
      <c r="AB180" s="1089" t="s">
        <v>4592</v>
      </c>
      <c r="AC180" s="1093" t="s">
        <v>4593</v>
      </c>
      <c r="AD180" s="1089" t="s">
        <v>4594</v>
      </c>
      <c r="AE180" s="1092" t="s">
        <v>4595</v>
      </c>
      <c r="AF180" s="1089" t="s">
        <v>4596</v>
      </c>
      <c r="AG180" s="1093" t="s">
        <v>4597</v>
      </c>
      <c r="AH180" s="1089" t="s">
        <v>4598</v>
      </c>
      <c r="AI180" s="1093" t="s">
        <v>4599</v>
      </c>
      <c r="AJ180" s="1089" t="s">
        <v>4600</v>
      </c>
      <c r="AK180" s="1093" t="s">
        <v>4601</v>
      </c>
      <c r="AL180" s="1091" t="s">
        <v>4602</v>
      </c>
      <c r="AM180" s="1092" t="s">
        <v>4603</v>
      </c>
      <c r="AN180" s="1299" t="s">
        <v>4604</v>
      </c>
      <c r="AO180" s="1253" t="s">
        <v>4605</v>
      </c>
      <c r="AP180" s="1093" t="s">
        <v>4606</v>
      </c>
      <c r="AQ180" s="1864" t="e">
        <f t="shared" si="40"/>
        <v>#VALUE!</v>
      </c>
      <c r="BV180" s="1936"/>
      <c r="BW180" s="1936"/>
      <c r="BX180" s="1936"/>
      <c r="BY180" s="1936"/>
      <c r="BZ180" s="1936"/>
      <c r="CA180" s="1936"/>
      <c r="CB180" s="1865" t="e">
        <f t="shared" ref="CB180:CB183" si="43">IF(AN180+AO180+AP180&lt;&gt;$C180,"* La suma de "&amp;AN$146&amp;""&amp;" no debe ser distinto del Total Ambos Sexos. ","")</f>
        <v>#VALUE!</v>
      </c>
      <c r="CC180" s="1936"/>
      <c r="CD180" s="1936"/>
      <c r="CE180" s="1936"/>
      <c r="CF180"/>
      <c r="CL180" s="1936"/>
      <c r="CN180" s="1867" t="e">
        <f>IF(AN180+AO180+AP180&lt;&gt;$C180,1,0)</f>
        <v>#VALUE!</v>
      </c>
      <c r="DJ180"/>
    </row>
    <row r="181" spans="1:114" x14ac:dyDescent="0.25">
      <c r="A181" s="5818">
        <v>28021220</v>
      </c>
      <c r="B181" s="4877" t="s">
        <v>990</v>
      </c>
      <c r="C181" s="1148" t="s">
        <v>4567</v>
      </c>
      <c r="D181" s="3862" t="s">
        <v>4568</v>
      </c>
      <c r="E181" s="4974" t="s">
        <v>4569</v>
      </c>
      <c r="F181" s="1089" t="s">
        <v>4570</v>
      </c>
      <c r="G181" s="1093" t="s">
        <v>4571</v>
      </c>
      <c r="H181" s="1089" t="s">
        <v>4572</v>
      </c>
      <c r="I181" s="1093" t="s">
        <v>4573</v>
      </c>
      <c r="J181" s="1089" t="s">
        <v>4574</v>
      </c>
      <c r="K181" s="1093" t="s">
        <v>4575</v>
      </c>
      <c r="L181" s="1089" t="s">
        <v>4576</v>
      </c>
      <c r="M181" s="1093" t="s">
        <v>4577</v>
      </c>
      <c r="N181" s="1091" t="s">
        <v>4578</v>
      </c>
      <c r="O181" s="1092" t="s">
        <v>4579</v>
      </c>
      <c r="P181" s="1089" t="s">
        <v>4580</v>
      </c>
      <c r="Q181" s="1093" t="s">
        <v>4581</v>
      </c>
      <c r="R181" s="1089" t="s">
        <v>4582</v>
      </c>
      <c r="S181" s="1093" t="s">
        <v>4583</v>
      </c>
      <c r="T181" s="1089" t="s">
        <v>4584</v>
      </c>
      <c r="U181" s="1093" t="s">
        <v>4585</v>
      </c>
      <c r="V181" s="1089" t="s">
        <v>4586</v>
      </c>
      <c r="W181" s="1093" t="s">
        <v>4587</v>
      </c>
      <c r="X181" s="1089" t="s">
        <v>4588</v>
      </c>
      <c r="Y181" s="1093" t="s">
        <v>4589</v>
      </c>
      <c r="Z181" s="1089" t="s">
        <v>4590</v>
      </c>
      <c r="AA181" s="1093" t="s">
        <v>4591</v>
      </c>
      <c r="AB181" s="1089" t="s">
        <v>4592</v>
      </c>
      <c r="AC181" s="1093" t="s">
        <v>4593</v>
      </c>
      <c r="AD181" s="1089" t="s">
        <v>4594</v>
      </c>
      <c r="AE181" s="1092" t="s">
        <v>4595</v>
      </c>
      <c r="AF181" s="1089" t="s">
        <v>4596</v>
      </c>
      <c r="AG181" s="1093" t="s">
        <v>4597</v>
      </c>
      <c r="AH181" s="1089" t="s">
        <v>4598</v>
      </c>
      <c r="AI181" s="1093" t="s">
        <v>4599</v>
      </c>
      <c r="AJ181" s="1089" t="s">
        <v>4600</v>
      </c>
      <c r="AK181" s="1093" t="s">
        <v>4601</v>
      </c>
      <c r="AL181" s="1091" t="s">
        <v>4602</v>
      </c>
      <c r="AM181" s="1092" t="s">
        <v>4603</v>
      </c>
      <c r="AN181" s="1299" t="s">
        <v>4604</v>
      </c>
      <c r="AO181" s="1253" t="s">
        <v>4605</v>
      </c>
      <c r="AP181" s="1093" t="s">
        <v>4606</v>
      </c>
      <c r="AQ181" s="1864" t="e">
        <f t="shared" si="40"/>
        <v>#VALUE!</v>
      </c>
      <c r="BV181" s="1936"/>
      <c r="BW181" s="1936"/>
      <c r="BX181" s="1936"/>
      <c r="BY181" s="1936"/>
      <c r="BZ181" s="1936"/>
      <c r="CA181" s="1936"/>
      <c r="CB181" s="1865" t="e">
        <f t="shared" si="43"/>
        <v>#VALUE!</v>
      </c>
      <c r="CC181" s="1936"/>
      <c r="CD181" s="1936"/>
      <c r="CE181" s="1936"/>
      <c r="CF181"/>
      <c r="CL181" s="1936"/>
      <c r="CN181" s="1867" t="e">
        <f>IF(AN181+AO181+AP181&lt;&gt;$C181,1,0)</f>
        <v>#VALUE!</v>
      </c>
      <c r="DJ181"/>
    </row>
    <row r="182" spans="1:114" x14ac:dyDescent="0.25">
      <c r="A182" s="5818">
        <v>28021626</v>
      </c>
      <c r="B182" s="4877" t="s">
        <v>3443</v>
      </c>
      <c r="C182" s="1148" t="s">
        <v>4567</v>
      </c>
      <c r="D182" s="3862" t="s">
        <v>4568</v>
      </c>
      <c r="E182" s="4974" t="s">
        <v>4569</v>
      </c>
      <c r="F182" s="1089" t="s">
        <v>4570</v>
      </c>
      <c r="G182" s="1093" t="s">
        <v>4571</v>
      </c>
      <c r="H182" s="1089" t="s">
        <v>4572</v>
      </c>
      <c r="I182" s="1093" t="s">
        <v>4573</v>
      </c>
      <c r="J182" s="1089" t="s">
        <v>4574</v>
      </c>
      <c r="K182" s="1093" t="s">
        <v>4575</v>
      </c>
      <c r="L182" s="1089" t="s">
        <v>4576</v>
      </c>
      <c r="M182" s="1093" t="s">
        <v>4577</v>
      </c>
      <c r="N182" s="1091" t="s">
        <v>4578</v>
      </c>
      <c r="O182" s="1092" t="s">
        <v>4579</v>
      </c>
      <c r="P182" s="1089" t="s">
        <v>4580</v>
      </c>
      <c r="Q182" s="1093" t="s">
        <v>4581</v>
      </c>
      <c r="R182" s="1089" t="s">
        <v>4582</v>
      </c>
      <c r="S182" s="1093" t="s">
        <v>4583</v>
      </c>
      <c r="T182" s="1089" t="s">
        <v>4584</v>
      </c>
      <c r="U182" s="1093" t="s">
        <v>4585</v>
      </c>
      <c r="V182" s="1089" t="s">
        <v>4586</v>
      </c>
      <c r="W182" s="1093" t="s">
        <v>4587</v>
      </c>
      <c r="X182" s="1089" t="s">
        <v>4588</v>
      </c>
      <c r="Y182" s="1093" t="s">
        <v>4589</v>
      </c>
      <c r="Z182" s="1089" t="s">
        <v>4590</v>
      </c>
      <c r="AA182" s="1093" t="s">
        <v>4591</v>
      </c>
      <c r="AB182" s="1089" t="s">
        <v>4592</v>
      </c>
      <c r="AC182" s="1093" t="s">
        <v>4593</v>
      </c>
      <c r="AD182" s="1089" t="s">
        <v>4594</v>
      </c>
      <c r="AE182" s="1092" t="s">
        <v>4595</v>
      </c>
      <c r="AF182" s="1089" t="s">
        <v>4596</v>
      </c>
      <c r="AG182" s="1093" t="s">
        <v>4597</v>
      </c>
      <c r="AH182" s="1089" t="s">
        <v>4598</v>
      </c>
      <c r="AI182" s="1093" t="s">
        <v>4599</v>
      </c>
      <c r="AJ182" s="1089" t="s">
        <v>4600</v>
      </c>
      <c r="AK182" s="1093" t="s">
        <v>4601</v>
      </c>
      <c r="AL182" s="1091" t="s">
        <v>4602</v>
      </c>
      <c r="AM182" s="1092" t="s">
        <v>4603</v>
      </c>
      <c r="AN182" s="1299" t="s">
        <v>4604</v>
      </c>
      <c r="AO182" s="1253" t="s">
        <v>4605</v>
      </c>
      <c r="AP182" s="1093" t="s">
        <v>4606</v>
      </c>
      <c r="AQ182" s="1864" t="e">
        <f t="shared" si="40"/>
        <v>#VALUE!</v>
      </c>
      <c r="BV182" s="1936"/>
      <c r="BW182" s="1936"/>
      <c r="BX182" s="1936"/>
      <c r="BY182" s="1936"/>
      <c r="BZ182" s="1936"/>
      <c r="CA182" s="1936"/>
      <c r="CB182" s="1865" t="e">
        <f t="shared" si="43"/>
        <v>#VALUE!</v>
      </c>
      <c r="CC182" s="1936"/>
      <c r="CD182" s="1936"/>
      <c r="CE182" s="1936"/>
      <c r="CF182"/>
      <c r="CL182" s="1936"/>
      <c r="CN182" s="1867" t="e">
        <f>IF(AN182+AO182+AP182&lt;&gt;$C182,1,0)</f>
        <v>#VALUE!</v>
      </c>
      <c r="DJ182"/>
    </row>
    <row r="183" spans="1:114" x14ac:dyDescent="0.25">
      <c r="A183" s="5818">
        <v>28021627</v>
      </c>
      <c r="B183" s="4439" t="s">
        <v>591</v>
      </c>
      <c r="C183" s="1058" t="s">
        <v>4567</v>
      </c>
      <c r="D183" s="4981" t="s">
        <v>4568</v>
      </c>
      <c r="E183" s="4982" t="s">
        <v>4569</v>
      </c>
      <c r="F183" s="1114" t="s">
        <v>4570</v>
      </c>
      <c r="G183" s="1115" t="s">
        <v>4571</v>
      </c>
      <c r="H183" s="1114" t="s">
        <v>4572</v>
      </c>
      <c r="I183" s="1115" t="s">
        <v>4573</v>
      </c>
      <c r="J183" s="1114" t="s">
        <v>4574</v>
      </c>
      <c r="K183" s="1115" t="s">
        <v>4575</v>
      </c>
      <c r="L183" s="1114" t="s">
        <v>4576</v>
      </c>
      <c r="M183" s="1115" t="s">
        <v>4577</v>
      </c>
      <c r="N183" s="1127" t="s">
        <v>4578</v>
      </c>
      <c r="O183" s="1128" t="s">
        <v>4579</v>
      </c>
      <c r="P183" s="1114" t="s">
        <v>4580</v>
      </c>
      <c r="Q183" s="1115" t="s">
        <v>4581</v>
      </c>
      <c r="R183" s="1114" t="s">
        <v>4582</v>
      </c>
      <c r="S183" s="1115" t="s">
        <v>4583</v>
      </c>
      <c r="T183" s="1114" t="s">
        <v>4584</v>
      </c>
      <c r="U183" s="1115" t="s">
        <v>4585</v>
      </c>
      <c r="V183" s="1114" t="s">
        <v>4586</v>
      </c>
      <c r="W183" s="1115" t="s">
        <v>4587</v>
      </c>
      <c r="X183" s="1114" t="s">
        <v>4588</v>
      </c>
      <c r="Y183" s="1115" t="s">
        <v>4589</v>
      </c>
      <c r="Z183" s="1114" t="s">
        <v>4590</v>
      </c>
      <c r="AA183" s="1115" t="s">
        <v>4591</v>
      </c>
      <c r="AB183" s="1114" t="s">
        <v>4592</v>
      </c>
      <c r="AC183" s="1115" t="s">
        <v>4593</v>
      </c>
      <c r="AD183" s="1114" t="s">
        <v>4594</v>
      </c>
      <c r="AE183" s="1128" t="s">
        <v>4595</v>
      </c>
      <c r="AF183" s="1114" t="s">
        <v>4596</v>
      </c>
      <c r="AG183" s="1115" t="s">
        <v>4597</v>
      </c>
      <c r="AH183" s="1114" t="s">
        <v>4598</v>
      </c>
      <c r="AI183" s="1115" t="s">
        <v>4599</v>
      </c>
      <c r="AJ183" s="1114" t="s">
        <v>4600</v>
      </c>
      <c r="AK183" s="1115" t="s">
        <v>4601</v>
      </c>
      <c r="AL183" s="1127" t="s">
        <v>4602</v>
      </c>
      <c r="AM183" s="1128" t="s">
        <v>4603</v>
      </c>
      <c r="AN183" s="1303" t="s">
        <v>4604</v>
      </c>
      <c r="AO183" s="1258" t="s">
        <v>4605</v>
      </c>
      <c r="AP183" s="1115" t="s">
        <v>4606</v>
      </c>
      <c r="AQ183" s="1864" t="e">
        <f t="shared" si="40"/>
        <v>#VALUE!</v>
      </c>
      <c r="BV183" s="1936"/>
      <c r="BW183" s="1936"/>
      <c r="BX183" s="1936"/>
      <c r="BY183" s="1936"/>
      <c r="BZ183" s="1936"/>
      <c r="CA183" s="1936"/>
      <c r="CB183" s="1865" t="e">
        <f t="shared" si="43"/>
        <v>#VALUE!</v>
      </c>
      <c r="CC183" s="1936"/>
      <c r="CD183" s="1936"/>
      <c r="CE183" s="1936"/>
      <c r="CF183"/>
      <c r="CL183" s="1936"/>
      <c r="CN183" s="1867" t="e">
        <f>IF(AN183+AO183+AP183&lt;&gt;$C183,1,0)</f>
        <v>#VALUE!</v>
      </c>
      <c r="DJ183"/>
    </row>
    <row r="184" spans="1:114" x14ac:dyDescent="0.25">
      <c r="B184" s="1" t="s">
        <v>3444</v>
      </c>
      <c r="C184" s="8"/>
      <c r="D184" s="8"/>
      <c r="E184" s="1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CF184"/>
      <c r="CL184" s="25"/>
      <c r="DJ184"/>
    </row>
    <row r="185" spans="1:114" x14ac:dyDescent="0.25">
      <c r="B185" s="7682" t="s">
        <v>27</v>
      </c>
      <c r="C185" s="7703" t="s">
        <v>77</v>
      </c>
      <c r="D185" s="7706" t="s">
        <v>29</v>
      </c>
      <c r="E185" s="7707"/>
      <c r="F185" s="7707"/>
      <c r="G185" s="7707"/>
      <c r="H185" s="7707"/>
      <c r="I185" s="7707"/>
      <c r="J185" s="7707"/>
      <c r="K185" s="7707"/>
      <c r="L185" s="7707"/>
      <c r="M185" s="7707"/>
      <c r="N185" s="7707"/>
      <c r="O185" s="7707"/>
      <c r="P185" s="7707"/>
      <c r="Q185" s="7707"/>
      <c r="R185" s="7707"/>
      <c r="S185" s="7707"/>
      <c r="T185" s="7708"/>
      <c r="U185" s="7391" t="s">
        <v>3421</v>
      </c>
      <c r="V185" s="7714"/>
      <c r="W185" s="7714"/>
      <c r="X185" s="7714"/>
      <c r="Y185" s="7714"/>
      <c r="CF185"/>
      <c r="CL185" s="25"/>
      <c r="DJ185"/>
    </row>
    <row r="186" spans="1:114" x14ac:dyDescent="0.25">
      <c r="B186" s="6350"/>
      <c r="C186" s="7704"/>
      <c r="D186" s="7709"/>
      <c r="E186" s="7710"/>
      <c r="F186" s="7710"/>
      <c r="G186" s="7710"/>
      <c r="H186" s="7710"/>
      <c r="I186" s="7710"/>
      <c r="J186" s="7710"/>
      <c r="K186" s="7710"/>
      <c r="L186" s="7710"/>
      <c r="M186" s="7710"/>
      <c r="N186" s="7710"/>
      <c r="O186" s="7710"/>
      <c r="P186" s="7710"/>
      <c r="Q186" s="7710"/>
      <c r="R186" s="7710"/>
      <c r="S186" s="7710"/>
      <c r="T186" s="7711"/>
      <c r="U186" s="7715" t="s">
        <v>3422</v>
      </c>
      <c r="V186" s="7716"/>
      <c r="W186" s="7717"/>
      <c r="X186" s="7416" t="s">
        <v>3445</v>
      </c>
      <c r="Y186" s="7417"/>
      <c r="CF186"/>
      <c r="CL186" s="25"/>
      <c r="DJ186"/>
    </row>
    <row r="187" spans="1:114" ht="31.5" x14ac:dyDescent="0.25">
      <c r="B187" s="7659"/>
      <c r="C187" s="7705"/>
      <c r="D187" s="4933" t="s">
        <v>343</v>
      </c>
      <c r="E187" s="4934" t="s">
        <v>326</v>
      </c>
      <c r="F187" s="4934" t="s">
        <v>94</v>
      </c>
      <c r="G187" s="4934" t="s">
        <v>44</v>
      </c>
      <c r="H187" s="4934" t="s">
        <v>45</v>
      </c>
      <c r="I187" s="4934" t="s">
        <v>974</v>
      </c>
      <c r="J187" s="4934" t="s">
        <v>629</v>
      </c>
      <c r="K187" s="4934" t="s">
        <v>48</v>
      </c>
      <c r="L187" s="4934" t="s">
        <v>49</v>
      </c>
      <c r="M187" s="4934" t="s">
        <v>975</v>
      </c>
      <c r="N187" s="4934" t="s">
        <v>51</v>
      </c>
      <c r="O187" s="4934" t="s">
        <v>52</v>
      </c>
      <c r="P187" s="4934" t="s">
        <v>53</v>
      </c>
      <c r="Q187" s="4934" t="s">
        <v>54</v>
      </c>
      <c r="R187" s="4934" t="s">
        <v>55</v>
      </c>
      <c r="S187" s="4934" t="s">
        <v>56</v>
      </c>
      <c r="T187" s="4935" t="s">
        <v>57</v>
      </c>
      <c r="U187" s="4921" t="s">
        <v>3446</v>
      </c>
      <c r="V187" s="4444" t="s">
        <v>3447</v>
      </c>
      <c r="W187" s="4445" t="s">
        <v>3448</v>
      </c>
      <c r="X187" s="4936" t="s">
        <v>3424</v>
      </c>
      <c r="Y187" s="4445" t="s">
        <v>3425</v>
      </c>
      <c r="Z187" s="7"/>
      <c r="CF187"/>
      <c r="CL187" s="25"/>
      <c r="DJ187"/>
    </row>
    <row r="188" spans="1:114" x14ac:dyDescent="0.25">
      <c r="A188" s="5818">
        <v>28021230</v>
      </c>
      <c r="B188" s="4922" t="s">
        <v>1406</v>
      </c>
      <c r="C188" s="3100" t="s">
        <v>4567</v>
      </c>
      <c r="D188" s="1089" t="s">
        <v>4568</v>
      </c>
      <c r="E188" s="1253" t="s">
        <v>4569</v>
      </c>
      <c r="F188" s="1253" t="s">
        <v>4570</v>
      </c>
      <c r="G188" s="1253" t="s">
        <v>4571</v>
      </c>
      <c r="H188" s="1253" t="s">
        <v>4572</v>
      </c>
      <c r="I188" s="1253" t="s">
        <v>4573</v>
      </c>
      <c r="J188" s="1253" t="s">
        <v>4574</v>
      </c>
      <c r="K188" s="1253" t="s">
        <v>4575</v>
      </c>
      <c r="L188" s="1253" t="s">
        <v>4576</v>
      </c>
      <c r="M188" s="1253" t="s">
        <v>4577</v>
      </c>
      <c r="N188" s="1253" t="s">
        <v>4578</v>
      </c>
      <c r="O188" s="1253" t="s">
        <v>4579</v>
      </c>
      <c r="P188" s="1253" t="s">
        <v>4580</v>
      </c>
      <c r="Q188" s="1253" t="s">
        <v>4581</v>
      </c>
      <c r="R188" s="1253" t="s">
        <v>4582</v>
      </c>
      <c r="S188" s="1253" t="s">
        <v>4583</v>
      </c>
      <c r="T188" s="1295" t="s">
        <v>4584</v>
      </c>
      <c r="U188" s="1299" t="s">
        <v>4585</v>
      </c>
      <c r="V188" s="1253" t="s">
        <v>4586</v>
      </c>
      <c r="W188" s="1093" t="s">
        <v>4587</v>
      </c>
      <c r="X188" s="1089" t="s">
        <v>4588</v>
      </c>
      <c r="Y188" s="1093" t="s">
        <v>4589</v>
      </c>
      <c r="Z188" s="1864" t="e">
        <f>$CB188</f>
        <v>#VALUE!</v>
      </c>
      <c r="BE188" s="1936"/>
      <c r="BF188" s="1936"/>
      <c r="BG188" s="1936"/>
      <c r="BH188" s="1936"/>
      <c r="BI188" s="1936"/>
      <c r="BJ188" s="1936"/>
      <c r="BK188" s="1936"/>
      <c r="BL188" s="1936"/>
      <c r="BM188" s="1936"/>
      <c r="BN188" s="1936"/>
      <c r="BO188" s="1936"/>
      <c r="BP188" s="1936"/>
      <c r="BQ188" s="1936"/>
      <c r="BR188" s="1936"/>
      <c r="BS188" s="1936"/>
      <c r="BT188" s="1936"/>
      <c r="BU188" s="1936"/>
      <c r="BV188" s="1936"/>
      <c r="BW188" s="1936"/>
      <c r="BX188" s="1936"/>
      <c r="BY188" s="1936"/>
      <c r="BZ188" s="1936"/>
      <c r="CA188" s="1936"/>
      <c r="CB188" s="1865" t="e">
        <f>IF(U188+V188+W188+X188+Y188&lt;&gt;$C188,"* La suma de "&amp;U$185&amp;""&amp;" no debe ser distinto del Total. ","")</f>
        <v>#VALUE!</v>
      </c>
      <c r="CC188" s="1936"/>
      <c r="CD188" s="1936"/>
      <c r="CE188" s="1936"/>
      <c r="CF188"/>
      <c r="CL188" s="1936"/>
      <c r="CN188" s="2673" t="e">
        <f t="shared" ref="CN188:CN194" si="44">IF(U188+V188+W188+X188+Y188&lt;&gt;$C188,1,0)</f>
        <v>#VALUE!</v>
      </c>
      <c r="DJ188"/>
    </row>
    <row r="189" spans="1:114" x14ac:dyDescent="0.25">
      <c r="A189" s="5818">
        <v>28021240</v>
      </c>
      <c r="B189" s="4877" t="s">
        <v>2063</v>
      </c>
      <c r="C189" s="4593" t="s">
        <v>4567</v>
      </c>
      <c r="D189" s="1089" t="s">
        <v>4568</v>
      </c>
      <c r="E189" s="1253" t="s">
        <v>4569</v>
      </c>
      <c r="F189" s="1253" t="s">
        <v>4570</v>
      </c>
      <c r="G189" s="1253" t="s">
        <v>4571</v>
      </c>
      <c r="H189" s="1253" t="s">
        <v>4572</v>
      </c>
      <c r="I189" s="1253" t="s">
        <v>4573</v>
      </c>
      <c r="J189" s="1253" t="s">
        <v>4574</v>
      </c>
      <c r="K189" s="1253" t="s">
        <v>4575</v>
      </c>
      <c r="L189" s="1253" t="s">
        <v>4576</v>
      </c>
      <c r="M189" s="1253" t="s">
        <v>4577</v>
      </c>
      <c r="N189" s="1253" t="s">
        <v>4578</v>
      </c>
      <c r="O189" s="1253" t="s">
        <v>4579</v>
      </c>
      <c r="P189" s="1253" t="s">
        <v>4580</v>
      </c>
      <c r="Q189" s="1253" t="s">
        <v>4581</v>
      </c>
      <c r="R189" s="1253" t="s">
        <v>4582</v>
      </c>
      <c r="S189" s="1253" t="s">
        <v>4583</v>
      </c>
      <c r="T189" s="1295" t="s">
        <v>4584</v>
      </c>
      <c r="U189" s="1299" t="s">
        <v>4585</v>
      </c>
      <c r="V189" s="1253" t="s">
        <v>4586</v>
      </c>
      <c r="W189" s="1093" t="s">
        <v>4587</v>
      </c>
      <c r="X189" s="1089" t="s">
        <v>4588</v>
      </c>
      <c r="Y189" s="1093" t="s">
        <v>4589</v>
      </c>
      <c r="Z189" s="1864" t="e">
        <f t="shared" ref="Z189:Z194" si="45">$CB189</f>
        <v>#VALUE!</v>
      </c>
      <c r="BE189" s="1936"/>
      <c r="BF189" s="1936"/>
      <c r="BG189" s="1936"/>
      <c r="BH189" s="1936"/>
      <c r="BI189" s="1936"/>
      <c r="BJ189" s="1936"/>
      <c r="BK189" s="1936"/>
      <c r="BL189" s="1936"/>
      <c r="BM189" s="1936"/>
      <c r="BN189" s="1936"/>
      <c r="BO189" s="1936"/>
      <c r="BP189" s="1936"/>
      <c r="BQ189" s="1936"/>
      <c r="BR189" s="1936"/>
      <c r="BS189" s="1936"/>
      <c r="BT189" s="1936"/>
      <c r="BU189" s="1936"/>
      <c r="BV189" s="1936"/>
      <c r="BW189" s="1936"/>
      <c r="BX189" s="1936"/>
      <c r="BY189" s="1936"/>
      <c r="BZ189" s="1936"/>
      <c r="CA189" s="1936"/>
      <c r="CB189" s="1865" t="e">
        <f t="shared" ref="CB189:CB194" si="46">IF(U189+V189+W189+X189+Y189&lt;&gt;$C189,"* La suma de "&amp;U$185&amp;""&amp;" no debe ser distinto del Total. ","")</f>
        <v>#VALUE!</v>
      </c>
      <c r="CC189" s="1936"/>
      <c r="CD189" s="1936"/>
      <c r="CE189" s="1936"/>
      <c r="CF189"/>
      <c r="CL189" s="1936"/>
      <c r="CN189" s="2673" t="e">
        <f t="shared" si="44"/>
        <v>#VALUE!</v>
      </c>
      <c r="DJ189"/>
    </row>
    <row r="190" spans="1:114" x14ac:dyDescent="0.25">
      <c r="A190" s="5818">
        <v>28021250</v>
      </c>
      <c r="B190" s="4877" t="s">
        <v>3449</v>
      </c>
      <c r="C190" s="4593" t="s">
        <v>4567</v>
      </c>
      <c r="D190" s="1089" t="s">
        <v>4568</v>
      </c>
      <c r="E190" s="1253" t="s">
        <v>4569</v>
      </c>
      <c r="F190" s="1253" t="s">
        <v>4570</v>
      </c>
      <c r="G190" s="1253" t="s">
        <v>4571</v>
      </c>
      <c r="H190" s="1253" t="s">
        <v>4572</v>
      </c>
      <c r="I190" s="1253" t="s">
        <v>4573</v>
      </c>
      <c r="J190" s="1253" t="s">
        <v>4574</v>
      </c>
      <c r="K190" s="1253" t="s">
        <v>4575</v>
      </c>
      <c r="L190" s="1253" t="s">
        <v>4576</v>
      </c>
      <c r="M190" s="1253" t="s">
        <v>4577</v>
      </c>
      <c r="N190" s="1253" t="s">
        <v>4578</v>
      </c>
      <c r="O190" s="1253" t="s">
        <v>4579</v>
      </c>
      <c r="P190" s="1253" t="s">
        <v>4580</v>
      </c>
      <c r="Q190" s="1253" t="s">
        <v>4581</v>
      </c>
      <c r="R190" s="1253" t="s">
        <v>4582</v>
      </c>
      <c r="S190" s="1253" t="s">
        <v>4583</v>
      </c>
      <c r="T190" s="1295" t="s">
        <v>4584</v>
      </c>
      <c r="U190" s="1299" t="s">
        <v>4585</v>
      </c>
      <c r="V190" s="1253" t="s">
        <v>4586</v>
      </c>
      <c r="W190" s="1093" t="s">
        <v>4587</v>
      </c>
      <c r="X190" s="1089" t="s">
        <v>4588</v>
      </c>
      <c r="Y190" s="1093" t="s">
        <v>4589</v>
      </c>
      <c r="Z190" s="1864" t="e">
        <f t="shared" si="45"/>
        <v>#VALUE!</v>
      </c>
      <c r="BE190" s="1936"/>
      <c r="BF190" s="1936"/>
      <c r="BG190" s="1936"/>
      <c r="BH190" s="1936"/>
      <c r="BI190" s="1936"/>
      <c r="BJ190" s="1936"/>
      <c r="BK190" s="1936"/>
      <c r="BL190" s="1936"/>
      <c r="BM190" s="1936"/>
      <c r="BN190" s="1936"/>
      <c r="BO190" s="1936"/>
      <c r="BP190" s="1936"/>
      <c r="BQ190" s="1936"/>
      <c r="BR190" s="1936"/>
      <c r="BS190" s="1936"/>
      <c r="BT190" s="1936"/>
      <c r="BU190" s="1936"/>
      <c r="BV190" s="1936"/>
      <c r="BW190" s="1936"/>
      <c r="BX190" s="1936"/>
      <c r="BY190" s="1936"/>
      <c r="BZ190" s="1936"/>
      <c r="CA190" s="1936"/>
      <c r="CB190" s="1865" t="e">
        <f t="shared" si="46"/>
        <v>#VALUE!</v>
      </c>
      <c r="CC190" s="1936"/>
      <c r="CD190" s="1936"/>
      <c r="CE190" s="1936"/>
      <c r="CF190"/>
      <c r="CL190" s="1936"/>
      <c r="CN190" s="2673" t="e">
        <f t="shared" si="44"/>
        <v>#VALUE!</v>
      </c>
      <c r="DJ190"/>
    </row>
    <row r="191" spans="1:114" x14ac:dyDescent="0.25">
      <c r="A191" s="5818">
        <v>28021260</v>
      </c>
      <c r="B191" s="1435" t="s">
        <v>1034</v>
      </c>
      <c r="C191" s="4593" t="s">
        <v>4567</v>
      </c>
      <c r="D191" s="1089" t="s">
        <v>4568</v>
      </c>
      <c r="E191" s="1253" t="s">
        <v>4569</v>
      </c>
      <c r="F191" s="1253" t="s">
        <v>4570</v>
      </c>
      <c r="G191" s="1253" t="s">
        <v>4571</v>
      </c>
      <c r="H191" s="1253" t="s">
        <v>4572</v>
      </c>
      <c r="I191" s="1253" t="s">
        <v>4573</v>
      </c>
      <c r="J191" s="1253" t="s">
        <v>4574</v>
      </c>
      <c r="K191" s="1253" t="s">
        <v>4575</v>
      </c>
      <c r="L191" s="1253" t="s">
        <v>4576</v>
      </c>
      <c r="M191" s="1253" t="s">
        <v>4577</v>
      </c>
      <c r="N191" s="1253" t="s">
        <v>4578</v>
      </c>
      <c r="O191" s="1253" t="s">
        <v>4579</v>
      </c>
      <c r="P191" s="1253" t="s">
        <v>4580</v>
      </c>
      <c r="Q191" s="1253" t="s">
        <v>4581</v>
      </c>
      <c r="R191" s="1253" t="s">
        <v>4582</v>
      </c>
      <c r="S191" s="1253" t="s">
        <v>4583</v>
      </c>
      <c r="T191" s="1295" t="s">
        <v>4584</v>
      </c>
      <c r="U191" s="1299" t="s">
        <v>4585</v>
      </c>
      <c r="V191" s="1253" t="s">
        <v>4586</v>
      </c>
      <c r="W191" s="1093" t="s">
        <v>4587</v>
      </c>
      <c r="X191" s="1089" t="s">
        <v>4588</v>
      </c>
      <c r="Y191" s="1093" t="s">
        <v>4589</v>
      </c>
      <c r="Z191" s="1864" t="e">
        <f t="shared" si="45"/>
        <v>#VALUE!</v>
      </c>
      <c r="BE191" s="1936"/>
      <c r="BF191" s="1936"/>
      <c r="BG191" s="1936"/>
      <c r="BH191" s="1936"/>
      <c r="BI191" s="1936"/>
      <c r="BJ191" s="1936"/>
      <c r="BK191" s="1936"/>
      <c r="BL191" s="1936"/>
      <c r="BM191" s="1936"/>
      <c r="BN191" s="1936"/>
      <c r="BO191" s="1936"/>
      <c r="BP191" s="1936"/>
      <c r="BQ191" s="1936"/>
      <c r="BR191" s="1936"/>
      <c r="BS191" s="1936"/>
      <c r="BT191" s="1936"/>
      <c r="BU191" s="1936"/>
      <c r="BV191" s="1936"/>
      <c r="BW191" s="1936"/>
      <c r="BX191" s="1936"/>
      <c r="BY191" s="1936"/>
      <c r="BZ191" s="1936"/>
      <c r="CA191" s="1936"/>
      <c r="CB191" s="1865" t="e">
        <f t="shared" si="46"/>
        <v>#VALUE!</v>
      </c>
      <c r="CC191" s="1936"/>
      <c r="CD191" s="1936"/>
      <c r="CE191" s="1936"/>
      <c r="CF191"/>
      <c r="CL191" s="1936"/>
      <c r="CN191" s="2673" t="e">
        <f t="shared" si="44"/>
        <v>#VALUE!</v>
      </c>
      <c r="DJ191"/>
    </row>
    <row r="192" spans="1:114" x14ac:dyDescent="0.25">
      <c r="A192" s="5818">
        <v>28021270</v>
      </c>
      <c r="B192" s="1435" t="s">
        <v>1035</v>
      </c>
      <c r="C192" s="4593" t="s">
        <v>4567</v>
      </c>
      <c r="D192" s="1089" t="s">
        <v>4568</v>
      </c>
      <c r="E192" s="1253" t="s">
        <v>4569</v>
      </c>
      <c r="F192" s="1253" t="s">
        <v>4570</v>
      </c>
      <c r="G192" s="1253" t="s">
        <v>4571</v>
      </c>
      <c r="H192" s="1253" t="s">
        <v>4572</v>
      </c>
      <c r="I192" s="1253" t="s">
        <v>4573</v>
      </c>
      <c r="J192" s="1253" t="s">
        <v>4574</v>
      </c>
      <c r="K192" s="1253" t="s">
        <v>4575</v>
      </c>
      <c r="L192" s="1253" t="s">
        <v>4576</v>
      </c>
      <c r="M192" s="1253" t="s">
        <v>4577</v>
      </c>
      <c r="N192" s="1253" t="s">
        <v>4578</v>
      </c>
      <c r="O192" s="1253" t="s">
        <v>4579</v>
      </c>
      <c r="P192" s="1253" t="s">
        <v>4580</v>
      </c>
      <c r="Q192" s="1253" t="s">
        <v>4581</v>
      </c>
      <c r="R192" s="1253" t="s">
        <v>4582</v>
      </c>
      <c r="S192" s="1253" t="s">
        <v>4583</v>
      </c>
      <c r="T192" s="1295" t="s">
        <v>4584</v>
      </c>
      <c r="U192" s="1299" t="s">
        <v>4585</v>
      </c>
      <c r="V192" s="1253" t="s">
        <v>4586</v>
      </c>
      <c r="W192" s="1093" t="s">
        <v>4587</v>
      </c>
      <c r="X192" s="1089" t="s">
        <v>4588</v>
      </c>
      <c r="Y192" s="1093" t="s">
        <v>4589</v>
      </c>
      <c r="Z192" s="1864" t="e">
        <f t="shared" si="45"/>
        <v>#VALUE!</v>
      </c>
      <c r="BE192" s="1936"/>
      <c r="BF192" s="1936"/>
      <c r="BG192" s="1936"/>
      <c r="BH192" s="1936"/>
      <c r="BI192" s="1936"/>
      <c r="BJ192" s="1936"/>
      <c r="BK192" s="1936"/>
      <c r="BL192" s="1936"/>
      <c r="BM192" s="1936"/>
      <c r="BN192" s="1936"/>
      <c r="BO192" s="1936"/>
      <c r="BP192" s="1936"/>
      <c r="BQ192" s="1936"/>
      <c r="BR192" s="1936"/>
      <c r="BS192" s="1936"/>
      <c r="BT192" s="1936"/>
      <c r="BU192" s="1936"/>
      <c r="BV192" s="1936"/>
      <c r="BW192" s="1936"/>
      <c r="BX192" s="1936"/>
      <c r="BY192" s="1936"/>
      <c r="BZ192" s="1936"/>
      <c r="CA192" s="1936"/>
      <c r="CB192" s="1865" t="e">
        <f t="shared" si="46"/>
        <v>#VALUE!</v>
      </c>
      <c r="CC192" s="1936"/>
      <c r="CD192" s="1936"/>
      <c r="CE192" s="1936"/>
      <c r="CF192"/>
      <c r="CL192" s="1936"/>
      <c r="CN192" s="2673" t="e">
        <f t="shared" si="44"/>
        <v>#VALUE!</v>
      </c>
      <c r="DJ192"/>
    </row>
    <row r="193" spans="1:114" x14ac:dyDescent="0.25">
      <c r="A193" s="5818">
        <v>28022450</v>
      </c>
      <c r="B193" s="2141" t="s">
        <v>3450</v>
      </c>
      <c r="C193" s="4593" t="s">
        <v>4567</v>
      </c>
      <c r="D193" s="1089" t="s">
        <v>4568</v>
      </c>
      <c r="E193" s="1253" t="s">
        <v>4569</v>
      </c>
      <c r="F193" s="1253" t="s">
        <v>4570</v>
      </c>
      <c r="G193" s="1253" t="s">
        <v>4571</v>
      </c>
      <c r="H193" s="1253" t="s">
        <v>4572</v>
      </c>
      <c r="I193" s="1253" t="s">
        <v>4573</v>
      </c>
      <c r="J193" s="1253" t="s">
        <v>4574</v>
      </c>
      <c r="K193" s="1253" t="s">
        <v>4575</v>
      </c>
      <c r="L193" s="1253" t="s">
        <v>4576</v>
      </c>
      <c r="M193" s="1253" t="s">
        <v>4577</v>
      </c>
      <c r="N193" s="1253" t="s">
        <v>4578</v>
      </c>
      <c r="O193" s="1253" t="s">
        <v>4579</v>
      </c>
      <c r="P193" s="1253" t="s">
        <v>4580</v>
      </c>
      <c r="Q193" s="1253" t="s">
        <v>4581</v>
      </c>
      <c r="R193" s="1253" t="s">
        <v>4582</v>
      </c>
      <c r="S193" s="1253" t="s">
        <v>4583</v>
      </c>
      <c r="T193" s="1295" t="s">
        <v>4584</v>
      </c>
      <c r="U193" s="1299" t="s">
        <v>4585</v>
      </c>
      <c r="V193" s="1253" t="s">
        <v>4586</v>
      </c>
      <c r="W193" s="1093" t="s">
        <v>4587</v>
      </c>
      <c r="X193" s="1089" t="s">
        <v>4588</v>
      </c>
      <c r="Y193" s="1093" t="s">
        <v>4589</v>
      </c>
      <c r="Z193" s="1864" t="e">
        <f t="shared" si="45"/>
        <v>#VALUE!</v>
      </c>
      <c r="BE193" s="1936"/>
      <c r="BF193" s="1936"/>
      <c r="BG193" s="1936"/>
      <c r="BH193" s="1936"/>
      <c r="BI193" s="1936"/>
      <c r="BJ193" s="1936"/>
      <c r="BK193" s="1936"/>
      <c r="BL193" s="1936"/>
      <c r="BM193" s="1936"/>
      <c r="BN193" s="1936"/>
      <c r="BO193" s="1936"/>
      <c r="BP193" s="1936"/>
      <c r="BQ193" s="1936"/>
      <c r="BR193" s="1936"/>
      <c r="BS193" s="1936"/>
      <c r="BT193" s="1936"/>
      <c r="BU193" s="1936"/>
      <c r="BV193" s="1936"/>
      <c r="BW193" s="1936"/>
      <c r="BX193" s="1936"/>
      <c r="BY193" s="1936"/>
      <c r="BZ193" s="1936"/>
      <c r="CA193" s="1936"/>
      <c r="CB193" s="1865" t="e">
        <f t="shared" si="46"/>
        <v>#VALUE!</v>
      </c>
      <c r="CC193" s="1936"/>
      <c r="CD193" s="1936"/>
      <c r="CE193" s="1936"/>
      <c r="CF193"/>
      <c r="CL193" s="1936"/>
      <c r="CN193" s="2673" t="e">
        <f t="shared" si="44"/>
        <v>#VALUE!</v>
      </c>
      <c r="DJ193"/>
    </row>
    <row r="194" spans="1:114" x14ac:dyDescent="0.25">
      <c r="A194" s="5818">
        <v>29101652</v>
      </c>
      <c r="B194" s="1785" t="s">
        <v>98</v>
      </c>
      <c r="C194" s="4983" t="s">
        <v>4567</v>
      </c>
      <c r="D194" s="290" t="s">
        <v>4568</v>
      </c>
      <c r="E194" s="531" t="s">
        <v>4569</v>
      </c>
      <c r="F194" s="531" t="s">
        <v>4570</v>
      </c>
      <c r="G194" s="531" t="s">
        <v>4571</v>
      </c>
      <c r="H194" s="531" t="s">
        <v>4572</v>
      </c>
      <c r="I194" s="531" t="s">
        <v>4573</v>
      </c>
      <c r="J194" s="531" t="s">
        <v>4574</v>
      </c>
      <c r="K194" s="531" t="s">
        <v>4575</v>
      </c>
      <c r="L194" s="531" t="s">
        <v>4576</v>
      </c>
      <c r="M194" s="531" t="s">
        <v>4577</v>
      </c>
      <c r="N194" s="531" t="s">
        <v>4578</v>
      </c>
      <c r="O194" s="531" t="s">
        <v>4579</v>
      </c>
      <c r="P194" s="531" t="s">
        <v>4580</v>
      </c>
      <c r="Q194" s="531" t="s">
        <v>4581</v>
      </c>
      <c r="R194" s="531" t="s">
        <v>4582</v>
      </c>
      <c r="S194" s="531" t="s">
        <v>4583</v>
      </c>
      <c r="T194" s="61" t="s">
        <v>4584</v>
      </c>
      <c r="U194" s="266" t="s">
        <v>4585</v>
      </c>
      <c r="V194" s="262" t="s">
        <v>4586</v>
      </c>
      <c r="W194" s="310" t="s">
        <v>4587</v>
      </c>
      <c r="X194" s="1264" t="s">
        <v>4588</v>
      </c>
      <c r="Y194" s="310" t="s">
        <v>4589</v>
      </c>
      <c r="Z194" s="1864" t="e">
        <f t="shared" si="45"/>
        <v>#VALUE!</v>
      </c>
      <c r="BE194" s="1936"/>
      <c r="BF194" s="1936"/>
      <c r="BG194" s="1936"/>
      <c r="BH194" s="1936"/>
      <c r="BI194" s="1936"/>
      <c r="BJ194" s="1936"/>
      <c r="BK194" s="1936"/>
      <c r="BL194" s="1936"/>
      <c r="BM194" s="1936"/>
      <c r="BN194" s="1936"/>
      <c r="BO194" s="1936"/>
      <c r="BP194" s="1936"/>
      <c r="BQ194" s="1936"/>
      <c r="BR194" s="1936"/>
      <c r="BS194" s="1936"/>
      <c r="BT194" s="1936"/>
      <c r="BU194" s="1936"/>
      <c r="BV194" s="1936"/>
      <c r="BW194" s="1936"/>
      <c r="BX194" s="1936"/>
      <c r="BY194" s="1936"/>
      <c r="BZ194" s="1936"/>
      <c r="CA194" s="1936"/>
      <c r="CB194" s="1865" t="e">
        <f t="shared" si="46"/>
        <v>#VALUE!</v>
      </c>
      <c r="CC194" s="1936"/>
      <c r="CD194" s="1936"/>
      <c r="CE194" s="1936"/>
      <c r="CF194"/>
      <c r="CL194" s="1936"/>
      <c r="CN194" s="2673" t="e">
        <f t="shared" si="44"/>
        <v>#VALUE!</v>
      </c>
      <c r="DJ194"/>
    </row>
    <row r="195" spans="1:114" x14ac:dyDescent="0.25">
      <c r="A195" s="5861"/>
      <c r="B195" s="4984" t="s">
        <v>77</v>
      </c>
      <c r="C195" s="4985">
        <f t="shared" ref="C195:Y195" si="47">SUM(C188:C194)</f>
        <v>0</v>
      </c>
      <c r="D195" s="4940">
        <f t="shared" si="47"/>
        <v>0</v>
      </c>
      <c r="E195" s="4941">
        <f t="shared" si="47"/>
        <v>0</v>
      </c>
      <c r="F195" s="4941">
        <f t="shared" si="47"/>
        <v>0</v>
      </c>
      <c r="G195" s="4941">
        <f t="shared" si="47"/>
        <v>0</v>
      </c>
      <c r="H195" s="4941">
        <f t="shared" si="47"/>
        <v>0</v>
      </c>
      <c r="I195" s="4941">
        <f t="shared" si="47"/>
        <v>0</v>
      </c>
      <c r="J195" s="4941">
        <f t="shared" si="47"/>
        <v>0</v>
      </c>
      <c r="K195" s="4941">
        <f t="shared" si="47"/>
        <v>0</v>
      </c>
      <c r="L195" s="4941">
        <f t="shared" si="47"/>
        <v>0</v>
      </c>
      <c r="M195" s="4941">
        <f t="shared" si="47"/>
        <v>0</v>
      </c>
      <c r="N195" s="4941">
        <f t="shared" si="47"/>
        <v>0</v>
      </c>
      <c r="O195" s="4941">
        <f t="shared" si="47"/>
        <v>0</v>
      </c>
      <c r="P195" s="4941">
        <f t="shared" si="47"/>
        <v>0</v>
      </c>
      <c r="Q195" s="4941">
        <f t="shared" si="47"/>
        <v>0</v>
      </c>
      <c r="R195" s="4941">
        <f t="shared" si="47"/>
        <v>0</v>
      </c>
      <c r="S195" s="4941">
        <f t="shared" si="47"/>
        <v>0</v>
      </c>
      <c r="T195" s="4942">
        <f t="shared" si="47"/>
        <v>0</v>
      </c>
      <c r="U195" s="301">
        <f t="shared" si="47"/>
        <v>0</v>
      </c>
      <c r="V195" s="300">
        <f t="shared" si="47"/>
        <v>0</v>
      </c>
      <c r="W195" s="3113">
        <f t="shared" si="47"/>
        <v>0</v>
      </c>
      <c r="X195" s="3109">
        <f t="shared" si="47"/>
        <v>0</v>
      </c>
      <c r="Y195" s="3113">
        <f t="shared" si="47"/>
        <v>0</v>
      </c>
      <c r="CF195"/>
      <c r="CL195" s="25"/>
      <c r="DJ195"/>
    </row>
    <row r="196" spans="1:114" ht="18" customHeight="1" x14ac:dyDescent="0.25">
      <c r="A196" s="9"/>
      <c r="B196" s="3" t="s">
        <v>3451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CF196"/>
      <c r="CL196" s="25"/>
      <c r="DJ196"/>
    </row>
    <row r="197" spans="1:114" x14ac:dyDescent="0.25">
      <c r="A197" s="5864"/>
      <c r="B197" s="7682" t="s">
        <v>27</v>
      </c>
      <c r="C197" s="7703" t="s">
        <v>77</v>
      </c>
      <c r="D197" s="7706" t="s">
        <v>29</v>
      </c>
      <c r="E197" s="7707"/>
      <c r="F197" s="7707"/>
      <c r="G197" s="7707"/>
      <c r="H197" s="7707"/>
      <c r="I197" s="7707"/>
      <c r="J197" s="7707"/>
      <c r="K197" s="7707"/>
      <c r="L197" s="7707"/>
      <c r="M197" s="7707"/>
      <c r="N197" s="7707"/>
      <c r="O197" s="7707"/>
      <c r="P197" s="7707"/>
      <c r="Q197" s="7707"/>
      <c r="R197" s="7707"/>
      <c r="S197" s="7707"/>
      <c r="T197" s="7708"/>
      <c r="U197" s="7390" t="s">
        <v>3421</v>
      </c>
      <c r="V197" s="7390"/>
      <c r="W197" s="7390"/>
      <c r="X197" s="7390"/>
      <c r="Y197" s="7391"/>
      <c r="CF197"/>
      <c r="CL197" s="25"/>
      <c r="DJ197"/>
    </row>
    <row r="198" spans="1:114" x14ac:dyDescent="0.25">
      <c r="A198" s="5864"/>
      <c r="B198" s="6350"/>
      <c r="C198" s="7704"/>
      <c r="D198" s="7709"/>
      <c r="E198" s="7710"/>
      <c r="F198" s="7710"/>
      <c r="G198" s="7710"/>
      <c r="H198" s="7710"/>
      <c r="I198" s="7710"/>
      <c r="J198" s="7710"/>
      <c r="K198" s="7710"/>
      <c r="L198" s="7710"/>
      <c r="M198" s="7710"/>
      <c r="N198" s="7710"/>
      <c r="O198" s="7710"/>
      <c r="P198" s="7710"/>
      <c r="Q198" s="7710"/>
      <c r="R198" s="7710"/>
      <c r="S198" s="7710"/>
      <c r="T198" s="7711"/>
      <c r="U198" s="7712" t="s">
        <v>3422</v>
      </c>
      <c r="V198" s="7712"/>
      <c r="W198" s="7713"/>
      <c r="X198" s="7416" t="s">
        <v>3445</v>
      </c>
      <c r="Y198" s="7417"/>
      <c r="CF198"/>
      <c r="CL198" s="25"/>
      <c r="DJ198"/>
    </row>
    <row r="199" spans="1:114" ht="31.5" x14ac:dyDescent="0.25">
      <c r="A199" s="5864"/>
      <c r="B199" s="7659"/>
      <c r="C199" s="7705"/>
      <c r="D199" s="4933" t="s">
        <v>343</v>
      </c>
      <c r="E199" s="4934" t="s">
        <v>326</v>
      </c>
      <c r="F199" s="4934" t="s">
        <v>94</v>
      </c>
      <c r="G199" s="4934" t="s">
        <v>44</v>
      </c>
      <c r="H199" s="4934" t="s">
        <v>45</v>
      </c>
      <c r="I199" s="4934" t="s">
        <v>974</v>
      </c>
      <c r="J199" s="4934" t="s">
        <v>629</v>
      </c>
      <c r="K199" s="4934" t="s">
        <v>48</v>
      </c>
      <c r="L199" s="4934" t="s">
        <v>49</v>
      </c>
      <c r="M199" s="4934" t="s">
        <v>975</v>
      </c>
      <c r="N199" s="4934" t="s">
        <v>51</v>
      </c>
      <c r="O199" s="4934" t="s">
        <v>52</v>
      </c>
      <c r="P199" s="4934" t="s">
        <v>53</v>
      </c>
      <c r="Q199" s="4934" t="s">
        <v>54</v>
      </c>
      <c r="R199" s="4934" t="s">
        <v>55</v>
      </c>
      <c r="S199" s="4934" t="s">
        <v>56</v>
      </c>
      <c r="T199" s="4935" t="s">
        <v>57</v>
      </c>
      <c r="U199" s="4921" t="s">
        <v>3446</v>
      </c>
      <c r="V199" s="4444" t="s">
        <v>3447</v>
      </c>
      <c r="W199" s="4445" t="s">
        <v>3448</v>
      </c>
      <c r="X199" s="4936" t="s">
        <v>3424</v>
      </c>
      <c r="Y199" s="4445" t="s">
        <v>3425</v>
      </c>
      <c r="Z199" s="7"/>
      <c r="CF199"/>
      <c r="CL199" s="25"/>
      <c r="DJ199"/>
    </row>
    <row r="200" spans="1:114" x14ac:dyDescent="0.25">
      <c r="A200" s="5818">
        <v>28021280</v>
      </c>
      <c r="B200" s="4922" t="s">
        <v>1406</v>
      </c>
      <c r="C200" s="3100" t="s">
        <v>4567</v>
      </c>
      <c r="D200" s="1089" t="s">
        <v>4568</v>
      </c>
      <c r="E200" s="1253" t="s">
        <v>4569</v>
      </c>
      <c r="F200" s="1253" t="s">
        <v>4570</v>
      </c>
      <c r="G200" s="1253" t="s">
        <v>4571</v>
      </c>
      <c r="H200" s="1253" t="s">
        <v>4572</v>
      </c>
      <c r="I200" s="1253" t="s">
        <v>4573</v>
      </c>
      <c r="J200" s="1253" t="s">
        <v>4574</v>
      </c>
      <c r="K200" s="1253" t="s">
        <v>4575</v>
      </c>
      <c r="L200" s="1253" t="s">
        <v>4576</v>
      </c>
      <c r="M200" s="1253" t="s">
        <v>4577</v>
      </c>
      <c r="N200" s="1253" t="s">
        <v>4578</v>
      </c>
      <c r="O200" s="1253" t="s">
        <v>4579</v>
      </c>
      <c r="P200" s="1253" t="s">
        <v>4580</v>
      </c>
      <c r="Q200" s="1253" t="s">
        <v>4581</v>
      </c>
      <c r="R200" s="1253" t="s">
        <v>4582</v>
      </c>
      <c r="S200" s="1253" t="s">
        <v>4583</v>
      </c>
      <c r="T200" s="1295" t="s">
        <v>4584</v>
      </c>
      <c r="U200" s="1294" t="s">
        <v>4585</v>
      </c>
      <c r="V200" s="750" t="s">
        <v>4586</v>
      </c>
      <c r="W200" s="748" t="s">
        <v>4587</v>
      </c>
      <c r="X200" s="1081" t="s">
        <v>4588</v>
      </c>
      <c r="Y200" s="748" t="s">
        <v>4589</v>
      </c>
      <c r="Z200" s="1864" t="e">
        <f>$CB200</f>
        <v>#VALUE!</v>
      </c>
      <c r="BE200" s="1936"/>
      <c r="BF200" s="1936"/>
      <c r="BG200" s="1936"/>
      <c r="BH200" s="1936"/>
      <c r="BI200" s="1936"/>
      <c r="BJ200" s="1936"/>
      <c r="BK200" s="1936"/>
      <c r="BL200" s="1936"/>
      <c r="BM200" s="1936"/>
      <c r="BN200" s="1936"/>
      <c r="BO200" s="1936"/>
      <c r="BP200" s="1936"/>
      <c r="BQ200" s="1936"/>
      <c r="BR200" s="1936"/>
      <c r="BS200" s="1936"/>
      <c r="BT200" s="1936"/>
      <c r="BU200" s="1936"/>
      <c r="BV200" s="1936"/>
      <c r="BW200" s="1936"/>
      <c r="BX200" s="1936"/>
      <c r="BY200" s="1936"/>
      <c r="BZ200" s="1936"/>
      <c r="CA200" s="1936"/>
      <c r="CB200" s="1865" t="e">
        <f>IF(U200+V200+W200+X200+Y200&lt;&gt;$C200,"* La suma de "&amp;U$185&amp;""&amp;" no debe ser distinto del Total. ","")</f>
        <v>#VALUE!</v>
      </c>
      <c r="CC200" s="1936"/>
      <c r="CD200" s="1936"/>
      <c r="CE200" s="1936"/>
      <c r="CF200"/>
      <c r="CL200" s="1936"/>
      <c r="CN200" s="2673" t="e">
        <f t="shared" ref="CN200:CN205" si="48">IF(U200+V200+W200+X200+Y200&lt;&gt;$C200,1,0)</f>
        <v>#VALUE!</v>
      </c>
      <c r="DJ200"/>
    </row>
    <row r="201" spans="1:114" x14ac:dyDescent="0.25">
      <c r="A201" s="5818">
        <v>28021290</v>
      </c>
      <c r="B201" s="4877" t="s">
        <v>2063</v>
      </c>
      <c r="C201" s="4593" t="s">
        <v>4567</v>
      </c>
      <c r="D201" s="1089" t="s">
        <v>4568</v>
      </c>
      <c r="E201" s="1253" t="s">
        <v>4569</v>
      </c>
      <c r="F201" s="1253" t="s">
        <v>4570</v>
      </c>
      <c r="G201" s="1253" t="s">
        <v>4571</v>
      </c>
      <c r="H201" s="1253" t="s">
        <v>4572</v>
      </c>
      <c r="I201" s="1253" t="s">
        <v>4573</v>
      </c>
      <c r="J201" s="1253" t="s">
        <v>4574</v>
      </c>
      <c r="K201" s="1253" t="s">
        <v>4575</v>
      </c>
      <c r="L201" s="1253" t="s">
        <v>4576</v>
      </c>
      <c r="M201" s="1253" t="s">
        <v>4577</v>
      </c>
      <c r="N201" s="1253" t="s">
        <v>4578</v>
      </c>
      <c r="O201" s="1253" t="s">
        <v>4579</v>
      </c>
      <c r="P201" s="1253" t="s">
        <v>4580</v>
      </c>
      <c r="Q201" s="1253" t="s">
        <v>4581</v>
      </c>
      <c r="R201" s="1253" t="s">
        <v>4582</v>
      </c>
      <c r="S201" s="1253" t="s">
        <v>4583</v>
      </c>
      <c r="T201" s="1295" t="s">
        <v>4584</v>
      </c>
      <c r="U201" s="1299" t="s">
        <v>4585</v>
      </c>
      <c r="V201" s="1253" t="s">
        <v>4586</v>
      </c>
      <c r="W201" s="1093" t="s">
        <v>4587</v>
      </c>
      <c r="X201" s="1089" t="s">
        <v>4588</v>
      </c>
      <c r="Y201" s="1093" t="s">
        <v>4589</v>
      </c>
      <c r="Z201" s="1864" t="e">
        <f t="shared" ref="Z201:Z205" si="49">$CB201</f>
        <v>#VALUE!</v>
      </c>
      <c r="BE201" s="1936"/>
      <c r="BF201" s="1936"/>
      <c r="BG201" s="1936"/>
      <c r="BH201" s="1936"/>
      <c r="BI201" s="1936"/>
      <c r="BJ201" s="1936"/>
      <c r="BK201" s="1936"/>
      <c r="BL201" s="1936"/>
      <c r="BM201" s="1936"/>
      <c r="BN201" s="1936"/>
      <c r="BO201" s="1936"/>
      <c r="BP201" s="1936"/>
      <c r="BQ201" s="1936"/>
      <c r="BR201" s="1936"/>
      <c r="BS201" s="1936"/>
      <c r="BT201" s="1936"/>
      <c r="BU201" s="1936"/>
      <c r="BV201" s="1936"/>
      <c r="BW201" s="1936"/>
      <c r="BX201" s="1936"/>
      <c r="BY201" s="1936"/>
      <c r="BZ201" s="1936"/>
      <c r="CA201" s="1936"/>
      <c r="CB201" s="1865" t="e">
        <f t="shared" ref="CB201:CB205" si="50">IF(U201+V201+W201+X201+Y201&lt;&gt;$C201,"* La suma de "&amp;U$185&amp;""&amp;" no debe ser distinto del Total. ","")</f>
        <v>#VALUE!</v>
      </c>
      <c r="CC201" s="1936"/>
      <c r="CD201" s="1936"/>
      <c r="CE201" s="1936"/>
      <c r="CF201"/>
      <c r="CL201" s="1936"/>
      <c r="CN201" s="2673" t="e">
        <f t="shared" si="48"/>
        <v>#VALUE!</v>
      </c>
      <c r="DJ201"/>
    </row>
    <row r="202" spans="1:114" x14ac:dyDescent="0.25">
      <c r="A202" s="5818">
        <v>28021300</v>
      </c>
      <c r="B202" s="4877" t="s">
        <v>3449</v>
      </c>
      <c r="C202" s="4593" t="s">
        <v>4567</v>
      </c>
      <c r="D202" s="1089" t="s">
        <v>4568</v>
      </c>
      <c r="E202" s="1253" t="s">
        <v>4569</v>
      </c>
      <c r="F202" s="1253" t="s">
        <v>4570</v>
      </c>
      <c r="G202" s="1253" t="s">
        <v>4571</v>
      </c>
      <c r="H202" s="1253" t="s">
        <v>4572</v>
      </c>
      <c r="I202" s="1253" t="s">
        <v>4573</v>
      </c>
      <c r="J202" s="1253" t="s">
        <v>4574</v>
      </c>
      <c r="K202" s="1253" t="s">
        <v>4575</v>
      </c>
      <c r="L202" s="1253" t="s">
        <v>4576</v>
      </c>
      <c r="M202" s="1253" t="s">
        <v>4577</v>
      </c>
      <c r="N202" s="1253" t="s">
        <v>4578</v>
      </c>
      <c r="O202" s="1253" t="s">
        <v>4579</v>
      </c>
      <c r="P202" s="1253" t="s">
        <v>4580</v>
      </c>
      <c r="Q202" s="1253" t="s">
        <v>4581</v>
      </c>
      <c r="R202" s="1253" t="s">
        <v>4582</v>
      </c>
      <c r="S202" s="1253" t="s">
        <v>4583</v>
      </c>
      <c r="T202" s="1295" t="s">
        <v>4584</v>
      </c>
      <c r="U202" s="1299" t="s">
        <v>4585</v>
      </c>
      <c r="V202" s="1253" t="s">
        <v>4586</v>
      </c>
      <c r="W202" s="1093" t="s">
        <v>4587</v>
      </c>
      <c r="X202" s="1089" t="s">
        <v>4588</v>
      </c>
      <c r="Y202" s="1093" t="s">
        <v>4589</v>
      </c>
      <c r="Z202" s="1864" t="e">
        <f t="shared" si="49"/>
        <v>#VALUE!</v>
      </c>
      <c r="BE202" s="1936"/>
      <c r="BF202" s="1936"/>
      <c r="BG202" s="1936"/>
      <c r="BH202" s="1936"/>
      <c r="BI202" s="1936"/>
      <c r="BJ202" s="1936"/>
      <c r="BK202" s="1936"/>
      <c r="BL202" s="1936"/>
      <c r="BM202" s="1936"/>
      <c r="BN202" s="1936"/>
      <c r="BO202" s="1936"/>
      <c r="BP202" s="1936"/>
      <c r="BQ202" s="1936"/>
      <c r="BR202" s="1936"/>
      <c r="BS202" s="1936"/>
      <c r="BT202" s="1936"/>
      <c r="BU202" s="1936"/>
      <c r="BV202" s="1936"/>
      <c r="BW202" s="1936"/>
      <c r="BX202" s="1936"/>
      <c r="BY202" s="1936"/>
      <c r="BZ202" s="1936"/>
      <c r="CA202" s="1936"/>
      <c r="CB202" s="1865" t="e">
        <f t="shared" si="50"/>
        <v>#VALUE!</v>
      </c>
      <c r="CC202" s="1936"/>
      <c r="CD202" s="1936"/>
      <c r="CE202" s="1936"/>
      <c r="CF202"/>
      <c r="CL202" s="1936"/>
      <c r="CN202" s="2673" t="e">
        <f t="shared" si="48"/>
        <v>#VALUE!</v>
      </c>
      <c r="DJ202"/>
    </row>
    <row r="203" spans="1:114" x14ac:dyDescent="0.25">
      <c r="A203" s="5818">
        <v>28021310</v>
      </c>
      <c r="B203" s="1435" t="s">
        <v>1034</v>
      </c>
      <c r="C203" s="4593" t="s">
        <v>4567</v>
      </c>
      <c r="D203" s="1089" t="s">
        <v>4568</v>
      </c>
      <c r="E203" s="1253" t="s">
        <v>4569</v>
      </c>
      <c r="F203" s="1253" t="s">
        <v>4570</v>
      </c>
      <c r="G203" s="1253" t="s">
        <v>4571</v>
      </c>
      <c r="H203" s="1253" t="s">
        <v>4572</v>
      </c>
      <c r="I203" s="1253" t="s">
        <v>4573</v>
      </c>
      <c r="J203" s="1253" t="s">
        <v>4574</v>
      </c>
      <c r="K203" s="1253" t="s">
        <v>4575</v>
      </c>
      <c r="L203" s="1253" t="s">
        <v>4576</v>
      </c>
      <c r="M203" s="1253" t="s">
        <v>4577</v>
      </c>
      <c r="N203" s="1253" t="s">
        <v>4578</v>
      </c>
      <c r="O203" s="1253" t="s">
        <v>4579</v>
      </c>
      <c r="P203" s="1253" t="s">
        <v>4580</v>
      </c>
      <c r="Q203" s="1253" t="s">
        <v>4581</v>
      </c>
      <c r="R203" s="1253" t="s">
        <v>4582</v>
      </c>
      <c r="S203" s="1253" t="s">
        <v>4583</v>
      </c>
      <c r="T203" s="1295" t="s">
        <v>4584</v>
      </c>
      <c r="U203" s="1299" t="s">
        <v>4585</v>
      </c>
      <c r="V203" s="1253" t="s">
        <v>4586</v>
      </c>
      <c r="W203" s="1093" t="s">
        <v>4587</v>
      </c>
      <c r="X203" s="1089" t="s">
        <v>4588</v>
      </c>
      <c r="Y203" s="1093" t="s">
        <v>4589</v>
      </c>
      <c r="Z203" s="1864" t="e">
        <f t="shared" si="49"/>
        <v>#VALUE!</v>
      </c>
      <c r="BE203" s="1936"/>
      <c r="BF203" s="1936"/>
      <c r="BG203" s="1936"/>
      <c r="BH203" s="1936"/>
      <c r="BI203" s="1936"/>
      <c r="BJ203" s="1936"/>
      <c r="BK203" s="1936"/>
      <c r="BL203" s="1936"/>
      <c r="BM203" s="1936"/>
      <c r="BN203" s="1936"/>
      <c r="BO203" s="1936"/>
      <c r="BP203" s="1936"/>
      <c r="BQ203" s="1936"/>
      <c r="BR203" s="1936"/>
      <c r="BS203" s="1936"/>
      <c r="BT203" s="1936"/>
      <c r="BU203" s="1936"/>
      <c r="BV203" s="1936"/>
      <c r="BW203" s="1936"/>
      <c r="BX203" s="1936"/>
      <c r="BY203" s="1936"/>
      <c r="BZ203" s="1936"/>
      <c r="CA203" s="1936"/>
      <c r="CB203" s="1865" t="e">
        <f t="shared" si="50"/>
        <v>#VALUE!</v>
      </c>
      <c r="CC203" s="1936"/>
      <c r="CD203" s="1936"/>
      <c r="CE203" s="1936"/>
      <c r="CF203"/>
      <c r="CL203" s="1936"/>
      <c r="CN203" s="2673" t="e">
        <f t="shared" si="48"/>
        <v>#VALUE!</v>
      </c>
      <c r="DJ203"/>
    </row>
    <row r="204" spans="1:114" x14ac:dyDescent="0.25">
      <c r="A204" s="5818">
        <v>28022460</v>
      </c>
      <c r="B204" s="2141" t="s">
        <v>3450</v>
      </c>
      <c r="C204" s="4593" t="s">
        <v>4567</v>
      </c>
      <c r="D204" s="1089" t="s">
        <v>4568</v>
      </c>
      <c r="E204" s="1253" t="s">
        <v>4569</v>
      </c>
      <c r="F204" s="1253" t="s">
        <v>4570</v>
      </c>
      <c r="G204" s="1253" t="s">
        <v>4571</v>
      </c>
      <c r="H204" s="1253" t="s">
        <v>4572</v>
      </c>
      <c r="I204" s="1253" t="s">
        <v>4573</v>
      </c>
      <c r="J204" s="1253" t="s">
        <v>4574</v>
      </c>
      <c r="K204" s="1253" t="s">
        <v>4575</v>
      </c>
      <c r="L204" s="1253" t="s">
        <v>4576</v>
      </c>
      <c r="M204" s="1253" t="s">
        <v>4577</v>
      </c>
      <c r="N204" s="1253" t="s">
        <v>4578</v>
      </c>
      <c r="O204" s="1253" t="s">
        <v>4579</v>
      </c>
      <c r="P204" s="1253" t="s">
        <v>4580</v>
      </c>
      <c r="Q204" s="1253" t="s">
        <v>4581</v>
      </c>
      <c r="R204" s="1253" t="s">
        <v>4582</v>
      </c>
      <c r="S204" s="1253" t="s">
        <v>4583</v>
      </c>
      <c r="T204" s="1295" t="s">
        <v>4584</v>
      </c>
      <c r="U204" s="1299" t="s">
        <v>4585</v>
      </c>
      <c r="V204" s="1253" t="s">
        <v>4586</v>
      </c>
      <c r="W204" s="1093" t="s">
        <v>4587</v>
      </c>
      <c r="X204" s="1089" t="s">
        <v>4588</v>
      </c>
      <c r="Y204" s="1093" t="s">
        <v>4589</v>
      </c>
      <c r="Z204" s="1864" t="e">
        <f t="shared" si="49"/>
        <v>#VALUE!</v>
      </c>
      <c r="BE204" s="1936"/>
      <c r="BF204" s="1936"/>
      <c r="BG204" s="1936"/>
      <c r="BH204" s="1936"/>
      <c r="BI204" s="1936"/>
      <c r="BJ204" s="1936"/>
      <c r="BK204" s="1936"/>
      <c r="BL204" s="1936"/>
      <c r="BM204" s="1936"/>
      <c r="BN204" s="1936"/>
      <c r="BO204" s="1936"/>
      <c r="BP204" s="1936"/>
      <c r="BQ204" s="1936"/>
      <c r="BR204" s="1936"/>
      <c r="BS204" s="1936"/>
      <c r="BT204" s="1936"/>
      <c r="BU204" s="1936"/>
      <c r="BV204" s="1936"/>
      <c r="BW204" s="1936"/>
      <c r="BX204" s="1936"/>
      <c r="BY204" s="1936"/>
      <c r="BZ204" s="1936"/>
      <c r="CA204" s="1936"/>
      <c r="CB204" s="1865" t="e">
        <f t="shared" si="50"/>
        <v>#VALUE!</v>
      </c>
      <c r="CC204" s="1936"/>
      <c r="CD204" s="1936"/>
      <c r="CE204" s="1936"/>
      <c r="CF204"/>
      <c r="CL204" s="1936"/>
      <c r="CN204" s="2673" t="e">
        <f t="shared" si="48"/>
        <v>#VALUE!</v>
      </c>
      <c r="DJ204"/>
    </row>
    <row r="205" spans="1:114" x14ac:dyDescent="0.25">
      <c r="A205" s="5818">
        <v>29101653</v>
      </c>
      <c r="B205" s="2141" t="s">
        <v>1035</v>
      </c>
      <c r="C205" s="3098" t="s">
        <v>4567</v>
      </c>
      <c r="D205" s="1089" t="s">
        <v>4568</v>
      </c>
      <c r="E205" s="1253" t="s">
        <v>4569</v>
      </c>
      <c r="F205" s="1253" t="s">
        <v>4570</v>
      </c>
      <c r="G205" s="1253" t="s">
        <v>4571</v>
      </c>
      <c r="H205" s="1253" t="s">
        <v>4572</v>
      </c>
      <c r="I205" s="1253" t="s">
        <v>4573</v>
      </c>
      <c r="J205" s="1253" t="s">
        <v>4574</v>
      </c>
      <c r="K205" s="1253" t="s">
        <v>4575</v>
      </c>
      <c r="L205" s="1253" t="s">
        <v>4576</v>
      </c>
      <c r="M205" s="1253" t="s">
        <v>4577</v>
      </c>
      <c r="N205" s="1253" t="s">
        <v>4578</v>
      </c>
      <c r="O205" s="1253" t="s">
        <v>4579</v>
      </c>
      <c r="P205" s="1253" t="s">
        <v>4580</v>
      </c>
      <c r="Q205" s="1253" t="s">
        <v>4581</v>
      </c>
      <c r="R205" s="1253" t="s">
        <v>4582</v>
      </c>
      <c r="S205" s="1253" t="s">
        <v>4583</v>
      </c>
      <c r="T205" s="1295" t="s">
        <v>4584</v>
      </c>
      <c r="U205" s="266" t="s">
        <v>4585</v>
      </c>
      <c r="V205" s="262" t="s">
        <v>4586</v>
      </c>
      <c r="W205" s="310" t="s">
        <v>4587</v>
      </c>
      <c r="X205" s="1264" t="s">
        <v>4588</v>
      </c>
      <c r="Y205" s="310" t="s">
        <v>4589</v>
      </c>
      <c r="Z205" s="1864" t="e">
        <f t="shared" si="49"/>
        <v>#VALUE!</v>
      </c>
      <c r="BE205" s="1936"/>
      <c r="BF205" s="1936"/>
      <c r="BG205" s="1936"/>
      <c r="BH205" s="1936"/>
      <c r="BI205" s="1936"/>
      <c r="BJ205" s="1936"/>
      <c r="BK205" s="1936"/>
      <c r="BL205" s="1936"/>
      <c r="BM205" s="1936"/>
      <c r="BN205" s="1936"/>
      <c r="BO205" s="1936"/>
      <c r="BP205" s="1936"/>
      <c r="BQ205" s="1936"/>
      <c r="BR205" s="1936"/>
      <c r="BS205" s="1936"/>
      <c r="BT205" s="1936"/>
      <c r="BU205" s="1936"/>
      <c r="BV205" s="1936"/>
      <c r="BW205" s="1936"/>
      <c r="BX205" s="1936"/>
      <c r="BY205" s="1936"/>
      <c r="BZ205" s="1936"/>
      <c r="CA205" s="1936"/>
      <c r="CB205" s="1865" t="e">
        <f t="shared" si="50"/>
        <v>#VALUE!</v>
      </c>
      <c r="CC205" s="1936"/>
      <c r="CD205" s="1936"/>
      <c r="CE205" s="1936"/>
      <c r="CF205"/>
      <c r="CL205" s="1936"/>
      <c r="CN205" s="2673" t="e">
        <f t="shared" si="48"/>
        <v>#VALUE!</v>
      </c>
      <c r="DJ205"/>
    </row>
    <row r="206" spans="1:114" x14ac:dyDescent="0.25">
      <c r="A206" s="5861"/>
      <c r="B206" s="4952" t="s">
        <v>77</v>
      </c>
      <c r="C206" s="4985">
        <f t="shared" ref="C206:Y206" si="51">SUM(C200:C205)</f>
        <v>0</v>
      </c>
      <c r="D206" s="4940">
        <f t="shared" si="51"/>
        <v>0</v>
      </c>
      <c r="E206" s="4941">
        <f t="shared" si="51"/>
        <v>0</v>
      </c>
      <c r="F206" s="4941">
        <f t="shared" si="51"/>
        <v>0</v>
      </c>
      <c r="G206" s="4941">
        <f t="shared" si="51"/>
        <v>0</v>
      </c>
      <c r="H206" s="4941">
        <f t="shared" si="51"/>
        <v>0</v>
      </c>
      <c r="I206" s="4941">
        <f t="shared" si="51"/>
        <v>0</v>
      </c>
      <c r="J206" s="4941">
        <f t="shared" si="51"/>
        <v>0</v>
      </c>
      <c r="K206" s="4941">
        <f t="shared" si="51"/>
        <v>0</v>
      </c>
      <c r="L206" s="4941">
        <f t="shared" si="51"/>
        <v>0</v>
      </c>
      <c r="M206" s="4941">
        <f t="shared" si="51"/>
        <v>0</v>
      </c>
      <c r="N206" s="4941">
        <f t="shared" si="51"/>
        <v>0</v>
      </c>
      <c r="O206" s="4941">
        <f t="shared" si="51"/>
        <v>0</v>
      </c>
      <c r="P206" s="4941">
        <f t="shared" si="51"/>
        <v>0</v>
      </c>
      <c r="Q206" s="4941">
        <f t="shared" si="51"/>
        <v>0</v>
      </c>
      <c r="R206" s="4941">
        <f t="shared" si="51"/>
        <v>0</v>
      </c>
      <c r="S206" s="4941">
        <f t="shared" si="51"/>
        <v>0</v>
      </c>
      <c r="T206" s="4942">
        <f t="shared" si="51"/>
        <v>0</v>
      </c>
      <c r="U206" s="4986">
        <f t="shared" si="51"/>
        <v>0</v>
      </c>
      <c r="V206" s="4987">
        <f t="shared" si="51"/>
        <v>0</v>
      </c>
      <c r="W206" s="4988">
        <f t="shared" si="51"/>
        <v>0</v>
      </c>
      <c r="X206" s="4989">
        <f t="shared" si="51"/>
        <v>0</v>
      </c>
      <c r="Y206" s="4988">
        <f t="shared" si="51"/>
        <v>0</v>
      </c>
      <c r="CF206"/>
      <c r="CL206" s="25"/>
      <c r="DJ206"/>
    </row>
    <row r="207" spans="1:114" ht="18" customHeight="1" x14ac:dyDescent="0.25">
      <c r="B207" s="3" t="s">
        <v>3452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CF207"/>
      <c r="CL207" s="25"/>
      <c r="DJ207"/>
    </row>
    <row r="208" spans="1:114" x14ac:dyDescent="0.25">
      <c r="B208" s="7682" t="s">
        <v>27</v>
      </c>
      <c r="C208" s="7703" t="s">
        <v>77</v>
      </c>
      <c r="D208" s="7706" t="s">
        <v>29</v>
      </c>
      <c r="E208" s="7707"/>
      <c r="F208" s="7707"/>
      <c r="G208" s="7707"/>
      <c r="H208" s="7707"/>
      <c r="I208" s="7707"/>
      <c r="J208" s="7707"/>
      <c r="K208" s="7707"/>
      <c r="L208" s="7707"/>
      <c r="M208" s="7707"/>
      <c r="N208" s="7707"/>
      <c r="O208" s="7707"/>
      <c r="P208" s="7707"/>
      <c r="Q208" s="7707"/>
      <c r="R208" s="7707"/>
      <c r="S208" s="7707"/>
      <c r="T208" s="7708"/>
      <c r="U208" s="7390" t="s">
        <v>3421</v>
      </c>
      <c r="V208" s="7390"/>
      <c r="W208" s="7390"/>
      <c r="X208" s="7390"/>
      <c r="Y208" s="7391"/>
      <c r="CF208"/>
      <c r="CL208" s="25"/>
      <c r="DJ208"/>
    </row>
    <row r="209" spans="1:114" x14ac:dyDescent="0.25">
      <c r="B209" s="6350"/>
      <c r="C209" s="7704"/>
      <c r="D209" s="7709"/>
      <c r="E209" s="7710"/>
      <c r="F209" s="7710"/>
      <c r="G209" s="7710"/>
      <c r="H209" s="7710"/>
      <c r="I209" s="7710"/>
      <c r="J209" s="7710"/>
      <c r="K209" s="7710"/>
      <c r="L209" s="7710"/>
      <c r="M209" s="7710"/>
      <c r="N209" s="7710"/>
      <c r="O209" s="7710"/>
      <c r="P209" s="7710"/>
      <c r="Q209" s="7710"/>
      <c r="R209" s="7710"/>
      <c r="S209" s="7710"/>
      <c r="T209" s="7711"/>
      <c r="U209" s="7712" t="s">
        <v>3422</v>
      </c>
      <c r="V209" s="7712"/>
      <c r="W209" s="7713"/>
      <c r="X209" s="7416" t="s">
        <v>3445</v>
      </c>
      <c r="Y209" s="7417"/>
      <c r="CF209"/>
      <c r="CL209" s="25"/>
      <c r="DJ209"/>
    </row>
    <row r="210" spans="1:114" ht="31.5" x14ac:dyDescent="0.25">
      <c r="B210" s="7659"/>
      <c r="C210" s="7705"/>
      <c r="D210" s="4933" t="s">
        <v>343</v>
      </c>
      <c r="E210" s="4934" t="s">
        <v>326</v>
      </c>
      <c r="F210" s="4934" t="s">
        <v>94</v>
      </c>
      <c r="G210" s="4934" t="s">
        <v>44</v>
      </c>
      <c r="H210" s="4934" t="s">
        <v>45</v>
      </c>
      <c r="I210" s="4934" t="s">
        <v>974</v>
      </c>
      <c r="J210" s="4934" t="s">
        <v>629</v>
      </c>
      <c r="K210" s="4934" t="s">
        <v>48</v>
      </c>
      <c r="L210" s="4934" t="s">
        <v>49</v>
      </c>
      <c r="M210" s="4934" t="s">
        <v>975</v>
      </c>
      <c r="N210" s="4934" t="s">
        <v>51</v>
      </c>
      <c r="O210" s="4934" t="s">
        <v>52</v>
      </c>
      <c r="P210" s="4934" t="s">
        <v>53</v>
      </c>
      <c r="Q210" s="4934" t="s">
        <v>54</v>
      </c>
      <c r="R210" s="4934" t="s">
        <v>55</v>
      </c>
      <c r="S210" s="4934" t="s">
        <v>56</v>
      </c>
      <c r="T210" s="4935" t="s">
        <v>57</v>
      </c>
      <c r="U210" s="4921" t="s">
        <v>3446</v>
      </c>
      <c r="V210" s="4444" t="s">
        <v>3447</v>
      </c>
      <c r="W210" s="4445" t="s">
        <v>3448</v>
      </c>
      <c r="X210" s="4936" t="s">
        <v>3424</v>
      </c>
      <c r="Y210" s="4445" t="s">
        <v>3425</v>
      </c>
      <c r="Z210" s="7"/>
      <c r="CF210"/>
      <c r="CL210" s="25"/>
      <c r="DJ210"/>
    </row>
    <row r="211" spans="1:114" x14ac:dyDescent="0.25">
      <c r="A211" s="5818">
        <v>28021320</v>
      </c>
      <c r="B211" s="4922" t="s">
        <v>1406</v>
      </c>
      <c r="C211" s="3100" t="s">
        <v>4567</v>
      </c>
      <c r="D211" s="1089" t="s">
        <v>4568</v>
      </c>
      <c r="E211" s="1253" t="s">
        <v>4569</v>
      </c>
      <c r="F211" s="1253" t="s">
        <v>4570</v>
      </c>
      <c r="G211" s="1253" t="s">
        <v>4571</v>
      </c>
      <c r="H211" s="1253" t="s">
        <v>4572</v>
      </c>
      <c r="I211" s="1253" t="s">
        <v>4573</v>
      </c>
      <c r="J211" s="1253" t="s">
        <v>4574</v>
      </c>
      <c r="K211" s="1253" t="s">
        <v>4575</v>
      </c>
      <c r="L211" s="1253" t="s">
        <v>4576</v>
      </c>
      <c r="M211" s="1253" t="s">
        <v>4577</v>
      </c>
      <c r="N211" s="1253" t="s">
        <v>4578</v>
      </c>
      <c r="O211" s="1253" t="s">
        <v>4579</v>
      </c>
      <c r="P211" s="1253" t="s">
        <v>4580</v>
      </c>
      <c r="Q211" s="1253" t="s">
        <v>4581</v>
      </c>
      <c r="R211" s="1253" t="s">
        <v>4582</v>
      </c>
      <c r="S211" s="1253" t="s">
        <v>4583</v>
      </c>
      <c r="T211" s="1295" t="s">
        <v>4584</v>
      </c>
      <c r="U211" s="296" t="s">
        <v>4585</v>
      </c>
      <c r="V211" s="531" t="s">
        <v>4586</v>
      </c>
      <c r="W211" s="622" t="s">
        <v>4587</v>
      </c>
      <c r="X211" s="290" t="s">
        <v>4588</v>
      </c>
      <c r="Y211" s="622" t="s">
        <v>4589</v>
      </c>
      <c r="Z211" s="1864" t="e">
        <f>$CB211</f>
        <v>#VALUE!</v>
      </c>
      <c r="BE211" s="1936"/>
      <c r="BF211" s="1936"/>
      <c r="BG211" s="1936"/>
      <c r="BH211" s="1936"/>
      <c r="BI211" s="1936"/>
      <c r="BJ211" s="1936"/>
      <c r="BK211" s="1936"/>
      <c r="BL211" s="1936"/>
      <c r="BM211" s="1936"/>
      <c r="BN211" s="1936"/>
      <c r="BO211" s="1936"/>
      <c r="BP211" s="1936"/>
      <c r="BQ211" s="1936"/>
      <c r="BR211" s="1936"/>
      <c r="BS211" s="1936"/>
      <c r="BT211" s="1936"/>
      <c r="BU211" s="1936"/>
      <c r="BV211" s="1936"/>
      <c r="BW211" s="1936"/>
      <c r="BX211" s="1936"/>
      <c r="BY211" s="1936"/>
      <c r="BZ211" s="1936"/>
      <c r="CA211" s="1936"/>
      <c r="CB211" s="1865" t="e">
        <f>IF(U211+V211+W211+X211+Y211&lt;&gt;$C211,"* La suma de "&amp;U$185&amp;""&amp;" no debe ser distinto del Total. ","")</f>
        <v>#VALUE!</v>
      </c>
      <c r="CC211" s="1936"/>
      <c r="CD211" s="1936"/>
      <c r="CE211" s="1936"/>
      <c r="CF211"/>
      <c r="CL211" s="1936"/>
      <c r="CN211" s="2673" t="e">
        <f>IF(U211+V211+W211+X211+Y211&lt;&gt;$C211,1,0)</f>
        <v>#VALUE!</v>
      </c>
      <c r="DJ211"/>
    </row>
    <row r="212" spans="1:114" x14ac:dyDescent="0.25">
      <c r="A212" s="5818">
        <v>28021330</v>
      </c>
      <c r="B212" s="4877" t="s">
        <v>2063</v>
      </c>
      <c r="C212" s="4593" t="s">
        <v>4567</v>
      </c>
      <c r="D212" s="1089" t="s">
        <v>4568</v>
      </c>
      <c r="E212" s="1253" t="s">
        <v>4569</v>
      </c>
      <c r="F212" s="1253" t="s">
        <v>4570</v>
      </c>
      <c r="G212" s="1253" t="s">
        <v>4571</v>
      </c>
      <c r="H212" s="1253" t="s">
        <v>4572</v>
      </c>
      <c r="I212" s="1253" t="s">
        <v>4573</v>
      </c>
      <c r="J212" s="1253" t="s">
        <v>4574</v>
      </c>
      <c r="K212" s="1253" t="s">
        <v>4575</v>
      </c>
      <c r="L212" s="1253" t="s">
        <v>4576</v>
      </c>
      <c r="M212" s="1253" t="s">
        <v>4577</v>
      </c>
      <c r="N212" s="1253" t="s">
        <v>4578</v>
      </c>
      <c r="O212" s="1253" t="s">
        <v>4579</v>
      </c>
      <c r="P212" s="1253" t="s">
        <v>4580</v>
      </c>
      <c r="Q212" s="1253" t="s">
        <v>4581</v>
      </c>
      <c r="R212" s="1253" t="s">
        <v>4582</v>
      </c>
      <c r="S212" s="1253" t="s">
        <v>4583</v>
      </c>
      <c r="T212" s="1295" t="s">
        <v>4584</v>
      </c>
      <c r="U212" s="1299" t="s">
        <v>4585</v>
      </c>
      <c r="V212" s="1253" t="s">
        <v>4586</v>
      </c>
      <c r="W212" s="1093" t="s">
        <v>4587</v>
      </c>
      <c r="X212" s="1089" t="s">
        <v>4588</v>
      </c>
      <c r="Y212" s="1093" t="s">
        <v>4589</v>
      </c>
      <c r="Z212" s="1864" t="e">
        <f t="shared" ref="Z212:Z214" si="52">$CB212</f>
        <v>#VALUE!</v>
      </c>
      <c r="BE212" s="1936"/>
      <c r="BF212" s="1936"/>
      <c r="BG212" s="1936"/>
      <c r="BH212" s="1936"/>
      <c r="BI212" s="1936"/>
      <c r="BJ212" s="1936"/>
      <c r="BK212" s="1936"/>
      <c r="BL212" s="1936"/>
      <c r="BM212" s="1936"/>
      <c r="BN212" s="1936"/>
      <c r="BO212" s="1936"/>
      <c r="BP212" s="1936"/>
      <c r="BQ212" s="1936"/>
      <c r="BR212" s="1936"/>
      <c r="BS212" s="1936"/>
      <c r="BT212" s="1936"/>
      <c r="BU212" s="1936"/>
      <c r="BV212" s="1936"/>
      <c r="BW212" s="1936"/>
      <c r="BX212" s="1936"/>
      <c r="BY212" s="1936"/>
      <c r="BZ212" s="1936"/>
      <c r="CA212" s="1936"/>
      <c r="CB212" s="1865" t="e">
        <f t="shared" ref="CB212:CB214" si="53">IF(U212+V212+W212+X212+Y212&lt;&gt;$C212,"* La suma de "&amp;U$185&amp;""&amp;" no debe ser distinto del Total. ","")</f>
        <v>#VALUE!</v>
      </c>
      <c r="CC212" s="1936"/>
      <c r="CD212" s="1936"/>
      <c r="CE212" s="1936"/>
      <c r="CF212"/>
      <c r="CL212" s="1936"/>
      <c r="CN212" s="2673" t="e">
        <f>IF(U212+V212+W212+X212+Y212&lt;&gt;$C212,1,0)</f>
        <v>#VALUE!</v>
      </c>
      <c r="DJ212"/>
    </row>
    <row r="213" spans="1:114" x14ac:dyDescent="0.25">
      <c r="A213" s="5818">
        <v>28021340</v>
      </c>
      <c r="B213" s="4877" t="s">
        <v>3449</v>
      </c>
      <c r="C213" s="4593" t="s">
        <v>4567</v>
      </c>
      <c r="D213" s="1089" t="s">
        <v>4568</v>
      </c>
      <c r="E213" s="1253" t="s">
        <v>4569</v>
      </c>
      <c r="F213" s="1253" t="s">
        <v>4570</v>
      </c>
      <c r="G213" s="1253" t="s">
        <v>4571</v>
      </c>
      <c r="H213" s="1253" t="s">
        <v>4572</v>
      </c>
      <c r="I213" s="1253" t="s">
        <v>4573</v>
      </c>
      <c r="J213" s="1253" t="s">
        <v>4574</v>
      </c>
      <c r="K213" s="1253" t="s">
        <v>4575</v>
      </c>
      <c r="L213" s="1253" t="s">
        <v>4576</v>
      </c>
      <c r="M213" s="1253" t="s">
        <v>4577</v>
      </c>
      <c r="N213" s="1253" t="s">
        <v>4578</v>
      </c>
      <c r="O213" s="1253" t="s">
        <v>4579</v>
      </c>
      <c r="P213" s="1253" t="s">
        <v>4580</v>
      </c>
      <c r="Q213" s="1253" t="s">
        <v>4581</v>
      </c>
      <c r="R213" s="1253" t="s">
        <v>4582</v>
      </c>
      <c r="S213" s="1253" t="s">
        <v>4583</v>
      </c>
      <c r="T213" s="1295" t="s">
        <v>4584</v>
      </c>
      <c r="U213" s="1299" t="s">
        <v>4585</v>
      </c>
      <c r="V213" s="1253" t="s">
        <v>4586</v>
      </c>
      <c r="W213" s="1093" t="s">
        <v>4587</v>
      </c>
      <c r="X213" s="1089" t="s">
        <v>4588</v>
      </c>
      <c r="Y213" s="1093" t="s">
        <v>4589</v>
      </c>
      <c r="Z213" s="1864" t="e">
        <f t="shared" si="52"/>
        <v>#VALUE!</v>
      </c>
      <c r="BE213" s="1936"/>
      <c r="BF213" s="1936"/>
      <c r="BG213" s="1936"/>
      <c r="BH213" s="1936"/>
      <c r="BI213" s="1936"/>
      <c r="BJ213" s="1936"/>
      <c r="BK213" s="1936"/>
      <c r="BL213" s="1936"/>
      <c r="BM213" s="1936"/>
      <c r="BN213" s="1936"/>
      <c r="BO213" s="1936"/>
      <c r="BP213" s="1936"/>
      <c r="BQ213" s="1936"/>
      <c r="BR213" s="1936"/>
      <c r="BS213" s="1936"/>
      <c r="BT213" s="1936"/>
      <c r="BU213" s="1936"/>
      <c r="BV213" s="1936"/>
      <c r="BW213" s="1936"/>
      <c r="BX213" s="1936"/>
      <c r="BY213" s="1936"/>
      <c r="BZ213" s="1936"/>
      <c r="CA213" s="1936"/>
      <c r="CB213" s="1865" t="e">
        <f t="shared" si="53"/>
        <v>#VALUE!</v>
      </c>
      <c r="CC213" s="1936"/>
      <c r="CD213" s="1936"/>
      <c r="CE213" s="1936"/>
      <c r="CF213"/>
      <c r="CL213" s="1936"/>
      <c r="CN213" s="2673" t="e">
        <f>IF(U213+V213+W213+X213+Y213&lt;&gt;$C213,1,0)</f>
        <v>#VALUE!</v>
      </c>
      <c r="DJ213"/>
    </row>
    <row r="214" spans="1:114" x14ac:dyDescent="0.25">
      <c r="A214" s="5818">
        <v>28021350</v>
      </c>
      <c r="B214" s="1435" t="s">
        <v>1034</v>
      </c>
      <c r="C214" s="4938" t="s">
        <v>4567</v>
      </c>
      <c r="D214" s="1114" t="s">
        <v>4568</v>
      </c>
      <c r="E214" s="1258" t="s">
        <v>4569</v>
      </c>
      <c r="F214" s="1258" t="s">
        <v>4570</v>
      </c>
      <c r="G214" s="1258" t="s">
        <v>4571</v>
      </c>
      <c r="H214" s="1258" t="s">
        <v>4572</v>
      </c>
      <c r="I214" s="1258" t="s">
        <v>4573</v>
      </c>
      <c r="J214" s="1258" t="s">
        <v>4574</v>
      </c>
      <c r="K214" s="1258" t="s">
        <v>4575</v>
      </c>
      <c r="L214" s="1258" t="s">
        <v>4576</v>
      </c>
      <c r="M214" s="1258" t="s">
        <v>4577</v>
      </c>
      <c r="N214" s="1258" t="s">
        <v>4578</v>
      </c>
      <c r="O214" s="1258" t="s">
        <v>4579</v>
      </c>
      <c r="P214" s="1258" t="s">
        <v>4580</v>
      </c>
      <c r="Q214" s="1258" t="s">
        <v>4581</v>
      </c>
      <c r="R214" s="1258" t="s">
        <v>4582</v>
      </c>
      <c r="S214" s="1258" t="s">
        <v>4583</v>
      </c>
      <c r="T214" s="391" t="s">
        <v>4584</v>
      </c>
      <c r="U214" s="1303" t="s">
        <v>4585</v>
      </c>
      <c r="V214" s="1258" t="s">
        <v>4586</v>
      </c>
      <c r="W214" s="1115" t="s">
        <v>4587</v>
      </c>
      <c r="X214" s="1114" t="s">
        <v>4588</v>
      </c>
      <c r="Y214" s="1115" t="s">
        <v>4589</v>
      </c>
      <c r="Z214" s="1864" t="e">
        <f t="shared" si="52"/>
        <v>#VALUE!</v>
      </c>
      <c r="BE214" s="1936"/>
      <c r="BF214" s="1936"/>
      <c r="BG214" s="1936"/>
      <c r="BH214" s="1936"/>
      <c r="BI214" s="1936"/>
      <c r="BJ214" s="1936"/>
      <c r="BK214" s="1936"/>
      <c r="BL214" s="1936"/>
      <c r="BM214" s="1936"/>
      <c r="BN214" s="1936"/>
      <c r="BO214" s="1936"/>
      <c r="BP214" s="1936"/>
      <c r="BQ214" s="1936"/>
      <c r="BR214" s="1936"/>
      <c r="BS214" s="1936"/>
      <c r="BT214" s="1936"/>
      <c r="BU214" s="1936"/>
      <c r="BV214" s="1936"/>
      <c r="BW214" s="1936"/>
      <c r="BX214" s="1936"/>
      <c r="BY214" s="1936"/>
      <c r="BZ214" s="1936"/>
      <c r="CA214" s="1936"/>
      <c r="CB214" s="1865" t="e">
        <f t="shared" si="53"/>
        <v>#VALUE!</v>
      </c>
      <c r="CC214" s="1936"/>
      <c r="CD214" s="1936"/>
      <c r="CE214" s="1936"/>
      <c r="CF214"/>
      <c r="CL214" s="1936"/>
      <c r="CN214" s="2673" t="e">
        <f>IF(U214+V214+W214+X214+Y214&lt;&gt;$C214,1,0)</f>
        <v>#VALUE!</v>
      </c>
      <c r="DJ214"/>
    </row>
    <row r="215" spans="1:114" x14ac:dyDescent="0.25">
      <c r="A215" s="5863"/>
      <c r="B215" s="4929" t="s">
        <v>77</v>
      </c>
      <c r="C215" s="4983">
        <f>SUM(C211:C214)</f>
        <v>0</v>
      </c>
      <c r="D215" s="3707">
        <f t="shared" ref="D215:Y215" si="54">SUM(D211:D214)</f>
        <v>0</v>
      </c>
      <c r="E215" s="3709">
        <f t="shared" si="54"/>
        <v>0</v>
      </c>
      <c r="F215" s="3709">
        <f t="shared" si="54"/>
        <v>0</v>
      </c>
      <c r="G215" s="3709">
        <f t="shared" si="54"/>
        <v>0</v>
      </c>
      <c r="H215" s="3709">
        <f t="shared" si="54"/>
        <v>0</v>
      </c>
      <c r="I215" s="3709">
        <f t="shared" si="54"/>
        <v>0</v>
      </c>
      <c r="J215" s="3709">
        <f t="shared" si="54"/>
        <v>0</v>
      </c>
      <c r="K215" s="3709">
        <f t="shared" si="54"/>
        <v>0</v>
      </c>
      <c r="L215" s="3709">
        <f t="shared" si="54"/>
        <v>0</v>
      </c>
      <c r="M215" s="3709">
        <f t="shared" si="54"/>
        <v>0</v>
      </c>
      <c r="N215" s="3709">
        <f t="shared" si="54"/>
        <v>0</v>
      </c>
      <c r="O215" s="3709">
        <f t="shared" si="54"/>
        <v>0</v>
      </c>
      <c r="P215" s="3709">
        <f t="shared" si="54"/>
        <v>0</v>
      </c>
      <c r="Q215" s="3709">
        <f t="shared" si="54"/>
        <v>0</v>
      </c>
      <c r="R215" s="3709">
        <f t="shared" si="54"/>
        <v>0</v>
      </c>
      <c r="S215" s="3709">
        <f t="shared" si="54"/>
        <v>0</v>
      </c>
      <c r="T215" s="4990">
        <f t="shared" si="54"/>
        <v>0</v>
      </c>
      <c r="U215" s="4986">
        <f t="shared" si="54"/>
        <v>0</v>
      </c>
      <c r="V215" s="4987">
        <f t="shared" si="54"/>
        <v>0</v>
      </c>
      <c r="W215" s="4988">
        <f t="shared" si="54"/>
        <v>0</v>
      </c>
      <c r="X215" s="4989">
        <f t="shared" si="54"/>
        <v>0</v>
      </c>
      <c r="Y215" s="4988">
        <f t="shared" si="54"/>
        <v>0</v>
      </c>
    </row>
    <row r="216" spans="1:114" ht="18" customHeight="1" x14ac:dyDescent="0.25">
      <c r="A216" s="9"/>
      <c r="B216" s="1" t="s">
        <v>3453</v>
      </c>
      <c r="C216" s="8"/>
    </row>
    <row r="217" spans="1:114" x14ac:dyDescent="0.25">
      <c r="A217" s="9"/>
      <c r="B217" s="1285" t="s">
        <v>3454</v>
      </c>
      <c r="C217" s="1417" t="s">
        <v>28</v>
      </c>
    </row>
    <row r="218" spans="1:114" x14ac:dyDescent="0.25">
      <c r="A218" s="5818">
        <v>28021360</v>
      </c>
      <c r="B218" s="1882" t="s">
        <v>3455</v>
      </c>
      <c r="C218" s="2692" t="s">
        <v>4567</v>
      </c>
    </row>
    <row r="219" spans="1:114" x14ac:dyDescent="0.25">
      <c r="A219" s="5818">
        <v>28021370</v>
      </c>
      <c r="B219" s="4669" t="s">
        <v>3456</v>
      </c>
      <c r="C219" s="4505" t="s">
        <v>4567</v>
      </c>
    </row>
    <row r="220" spans="1:114" x14ac:dyDescent="0.25">
      <c r="A220" s="5818">
        <v>28021380</v>
      </c>
      <c r="B220" s="4669" t="s">
        <v>3457</v>
      </c>
      <c r="C220" s="4505" t="s">
        <v>4567</v>
      </c>
    </row>
    <row r="221" spans="1:114" x14ac:dyDescent="0.25">
      <c r="A221" s="5818">
        <v>29101654</v>
      </c>
      <c r="B221" s="1263" t="s">
        <v>3458</v>
      </c>
      <c r="C221" s="4506" t="s">
        <v>4567</v>
      </c>
    </row>
    <row r="222" spans="1:114" ht="18" customHeight="1" x14ac:dyDescent="0.25">
      <c r="B222" s="3" t="s">
        <v>3459</v>
      </c>
      <c r="C222" s="8"/>
    </row>
    <row r="223" spans="1:114" x14ac:dyDescent="0.25">
      <c r="B223" s="1108" t="s">
        <v>277</v>
      </c>
      <c r="C223" s="1417" t="s">
        <v>77</v>
      </c>
    </row>
    <row r="224" spans="1:114" x14ac:dyDescent="0.25">
      <c r="A224" s="5818">
        <v>28021390</v>
      </c>
      <c r="B224" s="4669" t="s">
        <v>3460</v>
      </c>
      <c r="C224" s="4505" t="s">
        <v>4567</v>
      </c>
    </row>
    <row r="225" spans="1:3" x14ac:dyDescent="0.25">
      <c r="A225" s="5818">
        <v>29101655</v>
      </c>
      <c r="B225" s="4669" t="s">
        <v>2062</v>
      </c>
      <c r="C225" s="4505" t="s">
        <v>4567</v>
      </c>
    </row>
    <row r="226" spans="1:3" x14ac:dyDescent="0.25">
      <c r="A226" s="5818">
        <v>28021460</v>
      </c>
      <c r="B226" s="4669" t="s">
        <v>3461</v>
      </c>
      <c r="C226" s="4505" t="s">
        <v>4567</v>
      </c>
    </row>
    <row r="227" spans="1:3" ht="24" customHeight="1" x14ac:dyDescent="0.25">
      <c r="A227" s="5818">
        <v>28021550</v>
      </c>
      <c r="B227" s="4991" t="s">
        <v>3462</v>
      </c>
      <c r="C227" s="4505" t="s">
        <v>4567</v>
      </c>
    </row>
    <row r="228" spans="1:3" x14ac:dyDescent="0.25">
      <c r="A228" s="5818">
        <v>28021570</v>
      </c>
      <c r="B228" s="4669" t="s">
        <v>3463</v>
      </c>
      <c r="C228" s="4505" t="s">
        <v>4567</v>
      </c>
    </row>
    <row r="229" spans="1:3" x14ac:dyDescent="0.25">
      <c r="A229" s="5818">
        <v>28021590</v>
      </c>
      <c r="B229" s="4669" t="s">
        <v>3464</v>
      </c>
      <c r="C229" s="4505" t="s">
        <v>4567</v>
      </c>
    </row>
    <row r="230" spans="1:3" x14ac:dyDescent="0.25">
      <c r="A230" s="5818">
        <v>28021600</v>
      </c>
      <c r="B230" s="4669" t="s">
        <v>3465</v>
      </c>
      <c r="C230" s="4505" t="s">
        <v>4567</v>
      </c>
    </row>
    <row r="231" spans="1:3" x14ac:dyDescent="0.25">
      <c r="A231" s="5818">
        <v>28021400</v>
      </c>
      <c r="B231" s="4669" t="s">
        <v>3466</v>
      </c>
      <c r="C231" s="4505" t="s">
        <v>4567</v>
      </c>
    </row>
    <row r="232" spans="1:3" x14ac:dyDescent="0.25">
      <c r="A232" s="5818">
        <v>29101656</v>
      </c>
      <c r="B232" s="4669" t="s">
        <v>3467</v>
      </c>
      <c r="C232" s="4505" t="s">
        <v>4567</v>
      </c>
    </row>
    <row r="233" spans="1:3" x14ac:dyDescent="0.25">
      <c r="A233" s="5818">
        <v>28022520</v>
      </c>
      <c r="B233" s="4669" t="s">
        <v>3468</v>
      </c>
      <c r="C233" s="4505" t="s">
        <v>4567</v>
      </c>
    </row>
    <row r="234" spans="1:3" x14ac:dyDescent="0.25">
      <c r="A234" s="5818">
        <v>28021540</v>
      </c>
      <c r="B234" s="4669" t="s">
        <v>3469</v>
      </c>
      <c r="C234" s="4505" t="s">
        <v>4567</v>
      </c>
    </row>
    <row r="235" spans="1:3" x14ac:dyDescent="0.25">
      <c r="A235" s="5818">
        <v>29101657</v>
      </c>
      <c r="B235" s="4669" t="s">
        <v>3470</v>
      </c>
      <c r="C235" s="4505" t="s">
        <v>4567</v>
      </c>
    </row>
    <row r="236" spans="1:3" x14ac:dyDescent="0.25">
      <c r="A236" s="5818">
        <v>29101658</v>
      </c>
      <c r="B236" s="4669" t="s">
        <v>3471</v>
      </c>
      <c r="C236" s="4505" t="s">
        <v>4567</v>
      </c>
    </row>
    <row r="237" spans="1:3" x14ac:dyDescent="0.25">
      <c r="A237" s="5818">
        <v>29101659</v>
      </c>
      <c r="B237" s="4669" t="s">
        <v>3472</v>
      </c>
      <c r="C237" s="4505" t="s">
        <v>4567</v>
      </c>
    </row>
    <row r="238" spans="1:3" x14ac:dyDescent="0.25">
      <c r="A238" s="5818">
        <v>28021500</v>
      </c>
      <c r="B238" s="4669" t="s">
        <v>3473</v>
      </c>
      <c r="C238" s="4505" t="s">
        <v>4567</v>
      </c>
    </row>
    <row r="239" spans="1:3" x14ac:dyDescent="0.25">
      <c r="A239" s="5818">
        <v>28021480</v>
      </c>
      <c r="B239" s="4669" t="s">
        <v>3474</v>
      </c>
      <c r="C239" s="4505" t="s">
        <v>4567</v>
      </c>
    </row>
    <row r="240" spans="1:3" x14ac:dyDescent="0.25">
      <c r="A240" s="5818">
        <v>28101080</v>
      </c>
      <c r="B240" s="4669" t="s">
        <v>3475</v>
      </c>
      <c r="C240" s="4505" t="s">
        <v>4567</v>
      </c>
    </row>
    <row r="241" spans="1:20" x14ac:dyDescent="0.25">
      <c r="A241" s="5818">
        <v>29101660</v>
      </c>
      <c r="B241" s="4669" t="s">
        <v>3476</v>
      </c>
      <c r="C241" s="4505" t="s">
        <v>4567</v>
      </c>
    </row>
    <row r="242" spans="1:20" x14ac:dyDescent="0.25">
      <c r="A242" s="5818">
        <v>29101661</v>
      </c>
      <c r="B242" s="4669" t="s">
        <v>3477</v>
      </c>
      <c r="C242" s="4505" t="s">
        <v>4567</v>
      </c>
    </row>
    <row r="243" spans="1:20" x14ac:dyDescent="0.25">
      <c r="A243" s="5818">
        <v>28022500</v>
      </c>
      <c r="B243" s="4669" t="s">
        <v>3478</v>
      </c>
      <c r="C243" s="4505" t="s">
        <v>4567</v>
      </c>
    </row>
    <row r="244" spans="1:20" x14ac:dyDescent="0.25">
      <c r="A244" s="5818">
        <v>28022530</v>
      </c>
      <c r="B244" s="4669" t="s">
        <v>3479</v>
      </c>
      <c r="C244" s="4505" t="s">
        <v>4567</v>
      </c>
    </row>
    <row r="245" spans="1:20" x14ac:dyDescent="0.25">
      <c r="A245" s="5818">
        <v>29101662</v>
      </c>
      <c r="B245" s="4669" t="s">
        <v>3480</v>
      </c>
      <c r="C245" s="4505" t="s">
        <v>4567</v>
      </c>
    </row>
    <row r="246" spans="1:20" x14ac:dyDescent="0.25">
      <c r="A246" s="5818">
        <v>28101090</v>
      </c>
      <c r="B246" s="4669" t="s">
        <v>3481</v>
      </c>
      <c r="C246" s="4505" t="s">
        <v>4567</v>
      </c>
    </row>
    <row r="247" spans="1:20" x14ac:dyDescent="0.25">
      <c r="A247" s="5818">
        <v>28022610</v>
      </c>
      <c r="B247" s="4669" t="s">
        <v>3482</v>
      </c>
      <c r="C247" s="4505" t="s">
        <v>4567</v>
      </c>
    </row>
    <row r="248" spans="1:20" x14ac:dyDescent="0.25">
      <c r="A248" s="5818">
        <v>28022620</v>
      </c>
      <c r="B248" s="1263" t="s">
        <v>3483</v>
      </c>
      <c r="C248" s="4506" t="s">
        <v>4567</v>
      </c>
    </row>
    <row r="249" spans="1:20" x14ac:dyDescent="0.25">
      <c r="A249" s="5616"/>
      <c r="B249" s="4992" t="s">
        <v>77</v>
      </c>
      <c r="C249" s="4993">
        <f>SUM(C224:C248)</f>
        <v>0</v>
      </c>
    </row>
    <row r="250" spans="1:20" ht="18" customHeight="1" x14ac:dyDescent="0.25">
      <c r="B250" s="1" t="s">
        <v>3484</v>
      </c>
      <c r="C250" s="1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</row>
    <row r="251" spans="1:20" ht="18" customHeight="1" x14ac:dyDescent="0.25">
      <c r="B251" s="1" t="s">
        <v>3485</v>
      </c>
      <c r="C251" s="13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</row>
    <row r="252" spans="1:20" x14ac:dyDescent="0.25">
      <c r="B252" s="7671" t="s">
        <v>3486</v>
      </c>
      <c r="C252" s="7701" t="s">
        <v>77</v>
      </c>
      <c r="D252" s="7291" t="s">
        <v>29</v>
      </c>
      <c r="E252" s="7298"/>
      <c r="F252" s="7298"/>
      <c r="G252" s="7298"/>
      <c r="H252" s="7298"/>
      <c r="I252" s="7298"/>
      <c r="J252" s="7298"/>
      <c r="K252" s="7298"/>
      <c r="L252" s="7298"/>
      <c r="M252" s="7298"/>
      <c r="N252" s="7298"/>
      <c r="O252" s="7298"/>
      <c r="P252" s="7298"/>
      <c r="Q252" s="7298"/>
      <c r="R252" s="7298"/>
      <c r="S252" s="7298"/>
      <c r="T252" s="7244"/>
    </row>
    <row r="253" spans="1:20" x14ac:dyDescent="0.25">
      <c r="B253" s="7672"/>
      <c r="C253" s="7702"/>
      <c r="D253" s="4933" t="s">
        <v>343</v>
      </c>
      <c r="E253" s="4934" t="s">
        <v>326</v>
      </c>
      <c r="F253" s="4934" t="s">
        <v>94</v>
      </c>
      <c r="G253" s="4934" t="s">
        <v>44</v>
      </c>
      <c r="H253" s="4934" t="s">
        <v>45</v>
      </c>
      <c r="I253" s="4934" t="s">
        <v>974</v>
      </c>
      <c r="J253" s="4934" t="s">
        <v>629</v>
      </c>
      <c r="K253" s="4934" t="s">
        <v>48</v>
      </c>
      <c r="L253" s="4934" t="s">
        <v>49</v>
      </c>
      <c r="M253" s="4934" t="s">
        <v>975</v>
      </c>
      <c r="N253" s="4934" t="s">
        <v>51</v>
      </c>
      <c r="O253" s="4934" t="s">
        <v>52</v>
      </c>
      <c r="P253" s="4934" t="s">
        <v>53</v>
      </c>
      <c r="Q253" s="4934" t="s">
        <v>54</v>
      </c>
      <c r="R253" s="4934" t="s">
        <v>55</v>
      </c>
      <c r="S253" s="4934" t="s">
        <v>56</v>
      </c>
      <c r="T253" s="4538" t="s">
        <v>57</v>
      </c>
    </row>
    <row r="254" spans="1:20" x14ac:dyDescent="0.25">
      <c r="A254" s="5818">
        <v>29101663</v>
      </c>
      <c r="B254" s="4330" t="s">
        <v>3487</v>
      </c>
      <c r="C254" s="1257" t="s">
        <v>4567</v>
      </c>
      <c r="D254" s="1081" t="s">
        <v>4568</v>
      </c>
      <c r="E254" s="750" t="s">
        <v>4569</v>
      </c>
      <c r="F254" s="750" t="s">
        <v>4570</v>
      </c>
      <c r="G254" s="750" t="s">
        <v>4571</v>
      </c>
      <c r="H254" s="750" t="s">
        <v>4572</v>
      </c>
      <c r="I254" s="750" t="s">
        <v>4573</v>
      </c>
      <c r="J254" s="750" t="s">
        <v>4574</v>
      </c>
      <c r="K254" s="750" t="s">
        <v>4575</v>
      </c>
      <c r="L254" s="750" t="s">
        <v>4576</v>
      </c>
      <c r="M254" s="750" t="s">
        <v>4577</v>
      </c>
      <c r="N254" s="750" t="s">
        <v>4578</v>
      </c>
      <c r="O254" s="750" t="s">
        <v>4579</v>
      </c>
      <c r="P254" s="750" t="s">
        <v>4580</v>
      </c>
      <c r="Q254" s="750" t="s">
        <v>4581</v>
      </c>
      <c r="R254" s="750" t="s">
        <v>4582</v>
      </c>
      <c r="S254" s="750" t="s">
        <v>4583</v>
      </c>
      <c r="T254" s="748" t="s">
        <v>4584</v>
      </c>
    </row>
    <row r="255" spans="1:20" x14ac:dyDescent="0.25">
      <c r="A255" s="5818">
        <v>28022630</v>
      </c>
      <c r="B255" s="4994" t="s">
        <v>3488</v>
      </c>
      <c r="C255" s="1218" t="s">
        <v>4567</v>
      </c>
      <c r="D255" s="1089" t="s">
        <v>4568</v>
      </c>
      <c r="E255" s="1253" t="s">
        <v>4569</v>
      </c>
      <c r="F255" s="1253" t="s">
        <v>4570</v>
      </c>
      <c r="G255" s="1253" t="s">
        <v>4571</v>
      </c>
      <c r="H255" s="1253" t="s">
        <v>4572</v>
      </c>
      <c r="I255" s="1253" t="s">
        <v>4573</v>
      </c>
      <c r="J255" s="1253" t="s">
        <v>4574</v>
      </c>
      <c r="K255" s="1253" t="s">
        <v>4575</v>
      </c>
      <c r="L255" s="1253" t="s">
        <v>4576</v>
      </c>
      <c r="M255" s="1253" t="s">
        <v>4577</v>
      </c>
      <c r="N255" s="1253" t="s">
        <v>4578</v>
      </c>
      <c r="O255" s="1253" t="s">
        <v>4579</v>
      </c>
      <c r="P255" s="1253" t="s">
        <v>4580</v>
      </c>
      <c r="Q255" s="1253" t="s">
        <v>4581</v>
      </c>
      <c r="R255" s="1253" t="s">
        <v>4582</v>
      </c>
      <c r="S255" s="1253" t="s">
        <v>4583</v>
      </c>
      <c r="T255" s="1090" t="s">
        <v>4584</v>
      </c>
    </row>
    <row r="256" spans="1:20" x14ac:dyDescent="0.25">
      <c r="A256" s="5818">
        <v>29101664</v>
      </c>
      <c r="B256" s="4995" t="s">
        <v>3489</v>
      </c>
      <c r="C256" s="4996" t="s">
        <v>4567</v>
      </c>
      <c r="D256" s="1264" t="s">
        <v>4568</v>
      </c>
      <c r="E256" s="262" t="s">
        <v>4569</v>
      </c>
      <c r="F256" s="262" t="s">
        <v>4570</v>
      </c>
      <c r="G256" s="262" t="s">
        <v>4571</v>
      </c>
      <c r="H256" s="262" t="s">
        <v>4572</v>
      </c>
      <c r="I256" s="262" t="s">
        <v>4573</v>
      </c>
      <c r="J256" s="262" t="s">
        <v>4574</v>
      </c>
      <c r="K256" s="262" t="s">
        <v>4575</v>
      </c>
      <c r="L256" s="262" t="s">
        <v>4576</v>
      </c>
      <c r="M256" s="262" t="s">
        <v>4577</v>
      </c>
      <c r="N256" s="262" t="s">
        <v>4578</v>
      </c>
      <c r="O256" s="262" t="s">
        <v>4579</v>
      </c>
      <c r="P256" s="262" t="s">
        <v>4580</v>
      </c>
      <c r="Q256" s="262" t="s">
        <v>4581</v>
      </c>
      <c r="R256" s="262" t="s">
        <v>4582</v>
      </c>
      <c r="S256" s="262" t="s">
        <v>4583</v>
      </c>
      <c r="T256" s="1447" t="s">
        <v>4584</v>
      </c>
    </row>
    <row r="257" spans="1:20" ht="18" customHeight="1" x14ac:dyDescent="0.25">
      <c r="B257" s="1" t="s">
        <v>3490</v>
      </c>
      <c r="C257" s="4997"/>
      <c r="D257" s="8"/>
      <c r="E257" s="4997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</row>
    <row r="258" spans="1:20" x14ac:dyDescent="0.25">
      <c r="B258" s="7671" t="s">
        <v>3491</v>
      </c>
      <c r="C258" s="7701" t="s">
        <v>192</v>
      </c>
      <c r="D258" s="7291" t="s">
        <v>29</v>
      </c>
      <c r="E258" s="7298"/>
      <c r="F258" s="7298"/>
      <c r="G258" s="7298"/>
      <c r="H258" s="7298"/>
      <c r="I258" s="7298"/>
      <c r="J258" s="7298"/>
      <c r="K258" s="7298"/>
      <c r="L258" s="7298"/>
      <c r="M258" s="7298"/>
      <c r="N258" s="7298"/>
      <c r="O258" s="7298"/>
      <c r="P258" s="7298"/>
      <c r="Q258" s="7298"/>
      <c r="R258" s="7298"/>
      <c r="S258" s="7298"/>
      <c r="T258" s="7244"/>
    </row>
    <row r="259" spans="1:20" x14ac:dyDescent="0.25">
      <c r="B259" s="7672"/>
      <c r="C259" s="7702"/>
      <c r="D259" s="4933" t="s">
        <v>343</v>
      </c>
      <c r="E259" s="4934" t="s">
        <v>326</v>
      </c>
      <c r="F259" s="4934" t="s">
        <v>94</v>
      </c>
      <c r="G259" s="4934" t="s">
        <v>44</v>
      </c>
      <c r="H259" s="4934" t="s">
        <v>45</v>
      </c>
      <c r="I259" s="4934" t="s">
        <v>974</v>
      </c>
      <c r="J259" s="4934" t="s">
        <v>629</v>
      </c>
      <c r="K259" s="4934" t="s">
        <v>48</v>
      </c>
      <c r="L259" s="4934" t="s">
        <v>49</v>
      </c>
      <c r="M259" s="4934" t="s">
        <v>975</v>
      </c>
      <c r="N259" s="4934" t="s">
        <v>51</v>
      </c>
      <c r="O259" s="4934" t="s">
        <v>52</v>
      </c>
      <c r="P259" s="4934" t="s">
        <v>53</v>
      </c>
      <c r="Q259" s="4934" t="s">
        <v>54</v>
      </c>
      <c r="R259" s="4934" t="s">
        <v>55</v>
      </c>
      <c r="S259" s="4934" t="s">
        <v>56</v>
      </c>
      <c r="T259" s="4538" t="s">
        <v>57</v>
      </c>
    </row>
    <row r="260" spans="1:20" x14ac:dyDescent="0.25">
      <c r="A260" s="5818">
        <v>28022640</v>
      </c>
      <c r="B260" s="295" t="s">
        <v>3492</v>
      </c>
      <c r="C260" s="295" t="s">
        <v>4567</v>
      </c>
      <c r="D260" s="1081" t="s">
        <v>4568</v>
      </c>
      <c r="E260" s="750" t="s">
        <v>4569</v>
      </c>
      <c r="F260" s="750" t="s">
        <v>4570</v>
      </c>
      <c r="G260" s="750" t="s">
        <v>4571</v>
      </c>
      <c r="H260" s="750" t="s">
        <v>4572</v>
      </c>
      <c r="I260" s="750" t="s">
        <v>4573</v>
      </c>
      <c r="J260" s="750" t="s">
        <v>4574</v>
      </c>
      <c r="K260" s="750" t="s">
        <v>4575</v>
      </c>
      <c r="L260" s="750" t="s">
        <v>4576</v>
      </c>
      <c r="M260" s="750" t="s">
        <v>4577</v>
      </c>
      <c r="N260" s="750" t="s">
        <v>4578</v>
      </c>
      <c r="O260" s="750" t="s">
        <v>4579</v>
      </c>
      <c r="P260" s="750" t="s">
        <v>4580</v>
      </c>
      <c r="Q260" s="750" t="s">
        <v>4581</v>
      </c>
      <c r="R260" s="750" t="s">
        <v>4582</v>
      </c>
      <c r="S260" s="750" t="s">
        <v>4583</v>
      </c>
      <c r="T260" s="1082" t="s">
        <v>4584</v>
      </c>
    </row>
    <row r="261" spans="1:20" x14ac:dyDescent="0.25">
      <c r="A261" s="5818">
        <v>28022650</v>
      </c>
      <c r="B261" s="1162" t="s">
        <v>3493</v>
      </c>
      <c r="C261" s="1162" t="s">
        <v>4567</v>
      </c>
      <c r="D261" s="1089" t="s">
        <v>4568</v>
      </c>
      <c r="E261" s="1253" t="s">
        <v>4569</v>
      </c>
      <c r="F261" s="1253" t="s">
        <v>4570</v>
      </c>
      <c r="G261" s="1253" t="s">
        <v>4571</v>
      </c>
      <c r="H261" s="1253" t="s">
        <v>4572</v>
      </c>
      <c r="I261" s="1253" t="s">
        <v>4573</v>
      </c>
      <c r="J261" s="1253" t="s">
        <v>4574</v>
      </c>
      <c r="K261" s="1253" t="s">
        <v>4575</v>
      </c>
      <c r="L261" s="1253" t="s">
        <v>4576</v>
      </c>
      <c r="M261" s="1253" t="s">
        <v>4577</v>
      </c>
      <c r="N261" s="1253" t="s">
        <v>4578</v>
      </c>
      <c r="O261" s="1253" t="s">
        <v>4579</v>
      </c>
      <c r="P261" s="1253" t="s">
        <v>4580</v>
      </c>
      <c r="Q261" s="1253" t="s">
        <v>4581</v>
      </c>
      <c r="R261" s="1253" t="s">
        <v>4582</v>
      </c>
      <c r="S261" s="1253" t="s">
        <v>4583</v>
      </c>
      <c r="T261" s="1090" t="s">
        <v>4584</v>
      </c>
    </row>
    <row r="262" spans="1:20" x14ac:dyDescent="0.25">
      <c r="A262" s="5818">
        <v>28022660</v>
      </c>
      <c r="B262" s="1162" t="s">
        <v>3494</v>
      </c>
      <c r="C262" s="1162" t="s">
        <v>4567</v>
      </c>
      <c r="D262" s="1089" t="s">
        <v>4568</v>
      </c>
      <c r="E262" s="1253" t="s">
        <v>4569</v>
      </c>
      <c r="F262" s="1253" t="s">
        <v>4570</v>
      </c>
      <c r="G262" s="1253" t="s">
        <v>4571</v>
      </c>
      <c r="H262" s="1253" t="s">
        <v>4572</v>
      </c>
      <c r="I262" s="1253" t="s">
        <v>4573</v>
      </c>
      <c r="J262" s="1253" t="s">
        <v>4574</v>
      </c>
      <c r="K262" s="1253" t="s">
        <v>4575</v>
      </c>
      <c r="L262" s="1253" t="s">
        <v>4576</v>
      </c>
      <c r="M262" s="1253" t="s">
        <v>4577</v>
      </c>
      <c r="N262" s="1253" t="s">
        <v>4578</v>
      </c>
      <c r="O262" s="1253" t="s">
        <v>4579</v>
      </c>
      <c r="P262" s="1253" t="s">
        <v>4580</v>
      </c>
      <c r="Q262" s="1253" t="s">
        <v>4581</v>
      </c>
      <c r="R262" s="1253" t="s">
        <v>4582</v>
      </c>
      <c r="S262" s="1253" t="s">
        <v>4583</v>
      </c>
      <c r="T262" s="1090" t="s">
        <v>4584</v>
      </c>
    </row>
    <row r="263" spans="1:20" x14ac:dyDescent="0.25">
      <c r="A263" s="5818">
        <v>28022670</v>
      </c>
      <c r="B263" s="1162" t="s">
        <v>3495</v>
      </c>
      <c r="C263" s="1162" t="s">
        <v>4567</v>
      </c>
      <c r="D263" s="1089" t="s">
        <v>4568</v>
      </c>
      <c r="E263" s="1253" t="s">
        <v>4569</v>
      </c>
      <c r="F263" s="1253" t="s">
        <v>4570</v>
      </c>
      <c r="G263" s="1253" t="s">
        <v>4571</v>
      </c>
      <c r="H263" s="1253" t="s">
        <v>4572</v>
      </c>
      <c r="I263" s="1253" t="s">
        <v>4573</v>
      </c>
      <c r="J263" s="1253" t="s">
        <v>4574</v>
      </c>
      <c r="K263" s="1253" t="s">
        <v>4575</v>
      </c>
      <c r="L263" s="1253" t="s">
        <v>4576</v>
      </c>
      <c r="M263" s="1253" t="s">
        <v>4577</v>
      </c>
      <c r="N263" s="1253" t="s">
        <v>4578</v>
      </c>
      <c r="O263" s="1253" t="s">
        <v>4579</v>
      </c>
      <c r="P263" s="1253" t="s">
        <v>4580</v>
      </c>
      <c r="Q263" s="1253" t="s">
        <v>4581</v>
      </c>
      <c r="R263" s="1253" t="s">
        <v>4582</v>
      </c>
      <c r="S263" s="1253" t="s">
        <v>4583</v>
      </c>
      <c r="T263" s="1090" t="s">
        <v>4584</v>
      </c>
    </row>
    <row r="264" spans="1:20" x14ac:dyDescent="0.25">
      <c r="A264" s="5818">
        <v>28022680</v>
      </c>
      <c r="B264" s="1162" t="s">
        <v>3496</v>
      </c>
      <c r="C264" s="1162" t="s">
        <v>4567</v>
      </c>
      <c r="D264" s="1089" t="s">
        <v>4568</v>
      </c>
      <c r="E264" s="1253" t="s">
        <v>4569</v>
      </c>
      <c r="F264" s="1253" t="s">
        <v>4570</v>
      </c>
      <c r="G264" s="1253" t="s">
        <v>4571</v>
      </c>
      <c r="H264" s="1253" t="s">
        <v>4572</v>
      </c>
      <c r="I264" s="1253" t="s">
        <v>4573</v>
      </c>
      <c r="J264" s="1253" t="s">
        <v>4574</v>
      </c>
      <c r="K264" s="1253" t="s">
        <v>4575</v>
      </c>
      <c r="L264" s="1253" t="s">
        <v>4576</v>
      </c>
      <c r="M264" s="1253" t="s">
        <v>4577</v>
      </c>
      <c r="N264" s="1253" t="s">
        <v>4578</v>
      </c>
      <c r="O264" s="1253" t="s">
        <v>4579</v>
      </c>
      <c r="P264" s="1253" t="s">
        <v>4580</v>
      </c>
      <c r="Q264" s="1253" t="s">
        <v>4581</v>
      </c>
      <c r="R264" s="1253" t="s">
        <v>4582</v>
      </c>
      <c r="S264" s="1253" t="s">
        <v>4583</v>
      </c>
      <c r="T264" s="1090" t="s">
        <v>4584</v>
      </c>
    </row>
    <row r="265" spans="1:20" x14ac:dyDescent="0.25">
      <c r="A265" s="5818">
        <v>28022690</v>
      </c>
      <c r="B265" s="1162" t="s">
        <v>3497</v>
      </c>
      <c r="C265" s="1162" t="s">
        <v>4567</v>
      </c>
      <c r="D265" s="1089" t="s">
        <v>4568</v>
      </c>
      <c r="E265" s="1253" t="s">
        <v>4569</v>
      </c>
      <c r="F265" s="1253" t="s">
        <v>4570</v>
      </c>
      <c r="G265" s="1253" t="s">
        <v>4571</v>
      </c>
      <c r="H265" s="1253" t="s">
        <v>4572</v>
      </c>
      <c r="I265" s="1253" t="s">
        <v>4573</v>
      </c>
      <c r="J265" s="1253" t="s">
        <v>4574</v>
      </c>
      <c r="K265" s="1253" t="s">
        <v>4575</v>
      </c>
      <c r="L265" s="1253" t="s">
        <v>4576</v>
      </c>
      <c r="M265" s="1253" t="s">
        <v>4577</v>
      </c>
      <c r="N265" s="1253" t="s">
        <v>4578</v>
      </c>
      <c r="O265" s="1253" t="s">
        <v>4579</v>
      </c>
      <c r="P265" s="1253" t="s">
        <v>4580</v>
      </c>
      <c r="Q265" s="1253" t="s">
        <v>4581</v>
      </c>
      <c r="R265" s="1253" t="s">
        <v>4582</v>
      </c>
      <c r="S265" s="1253" t="s">
        <v>4583</v>
      </c>
      <c r="T265" s="1090" t="s">
        <v>4584</v>
      </c>
    </row>
    <row r="266" spans="1:20" x14ac:dyDescent="0.25">
      <c r="A266" s="5818">
        <v>29101665</v>
      </c>
      <c r="B266" s="1162" t="s">
        <v>3498</v>
      </c>
      <c r="C266" s="1162" t="s">
        <v>4567</v>
      </c>
      <c r="D266" s="1089" t="s">
        <v>4568</v>
      </c>
      <c r="E266" s="1253" t="s">
        <v>4569</v>
      </c>
      <c r="F266" s="1253" t="s">
        <v>4570</v>
      </c>
      <c r="G266" s="1253" t="s">
        <v>4571</v>
      </c>
      <c r="H266" s="1253" t="s">
        <v>4572</v>
      </c>
      <c r="I266" s="1253" t="s">
        <v>4573</v>
      </c>
      <c r="J266" s="1253" t="s">
        <v>4574</v>
      </c>
      <c r="K266" s="1253" t="s">
        <v>4575</v>
      </c>
      <c r="L266" s="1253" t="s">
        <v>4576</v>
      </c>
      <c r="M266" s="1253" t="s">
        <v>4577</v>
      </c>
      <c r="N266" s="1253" t="s">
        <v>4578</v>
      </c>
      <c r="O266" s="1253" t="s">
        <v>4579</v>
      </c>
      <c r="P266" s="1253" t="s">
        <v>4580</v>
      </c>
      <c r="Q266" s="1253" t="s">
        <v>4581</v>
      </c>
      <c r="R266" s="1253" t="s">
        <v>4582</v>
      </c>
      <c r="S266" s="1253" t="s">
        <v>4583</v>
      </c>
      <c r="T266" s="1090" t="s">
        <v>4584</v>
      </c>
    </row>
    <row r="267" spans="1:20" x14ac:dyDescent="0.25">
      <c r="A267" s="5818">
        <v>29101666</v>
      </c>
      <c r="B267" s="1162" t="s">
        <v>3499</v>
      </c>
      <c r="C267" s="1162" t="s">
        <v>4567</v>
      </c>
      <c r="D267" s="1089" t="s">
        <v>4568</v>
      </c>
      <c r="E267" s="1253" t="s">
        <v>4569</v>
      </c>
      <c r="F267" s="1253" t="s">
        <v>4570</v>
      </c>
      <c r="G267" s="1253" t="s">
        <v>4571</v>
      </c>
      <c r="H267" s="1253" t="s">
        <v>4572</v>
      </c>
      <c r="I267" s="1253" t="s">
        <v>4573</v>
      </c>
      <c r="J267" s="1253" t="s">
        <v>4574</v>
      </c>
      <c r="K267" s="1253" t="s">
        <v>4575</v>
      </c>
      <c r="L267" s="1253" t="s">
        <v>4576</v>
      </c>
      <c r="M267" s="1253" t="s">
        <v>4577</v>
      </c>
      <c r="N267" s="1253" t="s">
        <v>4578</v>
      </c>
      <c r="O267" s="1253" t="s">
        <v>4579</v>
      </c>
      <c r="P267" s="1253" t="s">
        <v>4580</v>
      </c>
      <c r="Q267" s="1253" t="s">
        <v>4581</v>
      </c>
      <c r="R267" s="1253" t="s">
        <v>4582</v>
      </c>
      <c r="S267" s="1253" t="s">
        <v>4583</v>
      </c>
      <c r="T267" s="1090" t="s">
        <v>4584</v>
      </c>
    </row>
    <row r="268" spans="1:20" x14ac:dyDescent="0.25">
      <c r="A268" s="5818">
        <v>29101667</v>
      </c>
      <c r="B268" s="1162" t="s">
        <v>3500</v>
      </c>
      <c r="C268" s="1162" t="s">
        <v>4567</v>
      </c>
      <c r="D268" s="1089" t="s">
        <v>4568</v>
      </c>
      <c r="E268" s="1253" t="s">
        <v>4569</v>
      </c>
      <c r="F268" s="1253" t="s">
        <v>4570</v>
      </c>
      <c r="G268" s="1253" t="s">
        <v>4571</v>
      </c>
      <c r="H268" s="1253" t="s">
        <v>4572</v>
      </c>
      <c r="I268" s="1253" t="s">
        <v>4573</v>
      </c>
      <c r="J268" s="1253" t="s">
        <v>4574</v>
      </c>
      <c r="K268" s="1253" t="s">
        <v>4575</v>
      </c>
      <c r="L268" s="1253" t="s">
        <v>4576</v>
      </c>
      <c r="M268" s="1253" t="s">
        <v>4577</v>
      </c>
      <c r="N268" s="1253" t="s">
        <v>4578</v>
      </c>
      <c r="O268" s="1253" t="s">
        <v>4579</v>
      </c>
      <c r="P268" s="1253" t="s">
        <v>4580</v>
      </c>
      <c r="Q268" s="1253" t="s">
        <v>4581</v>
      </c>
      <c r="R268" s="1253" t="s">
        <v>4582</v>
      </c>
      <c r="S268" s="1253" t="s">
        <v>4583</v>
      </c>
      <c r="T268" s="1090" t="s">
        <v>4584</v>
      </c>
    </row>
    <row r="269" spans="1:20" x14ac:dyDescent="0.25">
      <c r="A269" s="5818">
        <v>29101668</v>
      </c>
      <c r="B269" s="1162" t="s">
        <v>3501</v>
      </c>
      <c r="C269" s="1162" t="s">
        <v>4567</v>
      </c>
      <c r="D269" s="1089" t="s">
        <v>4568</v>
      </c>
      <c r="E269" s="1253" t="s">
        <v>4569</v>
      </c>
      <c r="F269" s="1253" t="s">
        <v>4570</v>
      </c>
      <c r="G269" s="1253" t="s">
        <v>4571</v>
      </c>
      <c r="H269" s="1253" t="s">
        <v>4572</v>
      </c>
      <c r="I269" s="1253" t="s">
        <v>4573</v>
      </c>
      <c r="J269" s="1253" t="s">
        <v>4574</v>
      </c>
      <c r="K269" s="1253" t="s">
        <v>4575</v>
      </c>
      <c r="L269" s="1253" t="s">
        <v>4576</v>
      </c>
      <c r="M269" s="1253" t="s">
        <v>4577</v>
      </c>
      <c r="N269" s="1253" t="s">
        <v>4578</v>
      </c>
      <c r="O269" s="1253" t="s">
        <v>4579</v>
      </c>
      <c r="P269" s="1253" t="s">
        <v>4580</v>
      </c>
      <c r="Q269" s="1253" t="s">
        <v>4581</v>
      </c>
      <c r="R269" s="1253" t="s">
        <v>4582</v>
      </c>
      <c r="S269" s="1253" t="s">
        <v>4583</v>
      </c>
      <c r="T269" s="1090" t="s">
        <v>4584</v>
      </c>
    </row>
    <row r="270" spans="1:20" ht="22.5" x14ac:dyDescent="0.25">
      <c r="A270" s="5818">
        <v>29101669</v>
      </c>
      <c r="B270" s="1161" t="s">
        <v>3502</v>
      </c>
      <c r="C270" s="1162" t="s">
        <v>4567</v>
      </c>
      <c r="D270" s="1089" t="s">
        <v>4568</v>
      </c>
      <c r="E270" s="1253" t="s">
        <v>4569</v>
      </c>
      <c r="F270" s="1253" t="s">
        <v>4570</v>
      </c>
      <c r="G270" s="1253" t="s">
        <v>4571</v>
      </c>
      <c r="H270" s="1253" t="s">
        <v>4572</v>
      </c>
      <c r="I270" s="1253" t="s">
        <v>4573</v>
      </c>
      <c r="J270" s="1253" t="s">
        <v>4574</v>
      </c>
      <c r="K270" s="1253" t="s">
        <v>4575</v>
      </c>
      <c r="L270" s="1253" t="s">
        <v>4576</v>
      </c>
      <c r="M270" s="1253" t="s">
        <v>4577</v>
      </c>
      <c r="N270" s="1253" t="s">
        <v>4578</v>
      </c>
      <c r="O270" s="1253" t="s">
        <v>4579</v>
      </c>
      <c r="P270" s="1253" t="s">
        <v>4580</v>
      </c>
      <c r="Q270" s="1253" t="s">
        <v>4581</v>
      </c>
      <c r="R270" s="1253" t="s">
        <v>4582</v>
      </c>
      <c r="S270" s="1253" t="s">
        <v>4583</v>
      </c>
      <c r="T270" s="1090" t="s">
        <v>4584</v>
      </c>
    </row>
    <row r="271" spans="1:20" ht="22.5" x14ac:dyDescent="0.25">
      <c r="A271" s="5818">
        <v>29101670</v>
      </c>
      <c r="B271" s="1161" t="s">
        <v>3503</v>
      </c>
      <c r="C271" s="1162" t="s">
        <v>4567</v>
      </c>
      <c r="D271" s="1089" t="s">
        <v>4568</v>
      </c>
      <c r="E271" s="1253" t="s">
        <v>4569</v>
      </c>
      <c r="F271" s="1253" t="s">
        <v>4570</v>
      </c>
      <c r="G271" s="1253" t="s">
        <v>4571</v>
      </c>
      <c r="H271" s="1253" t="s">
        <v>4572</v>
      </c>
      <c r="I271" s="1253" t="s">
        <v>4573</v>
      </c>
      <c r="J271" s="1253" t="s">
        <v>4574</v>
      </c>
      <c r="K271" s="1253" t="s">
        <v>4575</v>
      </c>
      <c r="L271" s="1253" t="s">
        <v>4576</v>
      </c>
      <c r="M271" s="1253" t="s">
        <v>4577</v>
      </c>
      <c r="N271" s="1253" t="s">
        <v>4578</v>
      </c>
      <c r="O271" s="1253" t="s">
        <v>4579</v>
      </c>
      <c r="P271" s="1253" t="s">
        <v>4580</v>
      </c>
      <c r="Q271" s="1253" t="s">
        <v>4581</v>
      </c>
      <c r="R271" s="1253" t="s">
        <v>4582</v>
      </c>
      <c r="S271" s="1253" t="s">
        <v>4583</v>
      </c>
      <c r="T271" s="1090" t="s">
        <v>4584</v>
      </c>
    </row>
    <row r="272" spans="1:20" x14ac:dyDescent="0.25">
      <c r="A272" s="5818">
        <v>28022730</v>
      </c>
      <c r="B272" s="1162" t="s">
        <v>3504</v>
      </c>
      <c r="C272" s="1162" t="s">
        <v>4567</v>
      </c>
      <c r="D272" s="1089" t="s">
        <v>4568</v>
      </c>
      <c r="E272" s="1253" t="s">
        <v>4569</v>
      </c>
      <c r="F272" s="1253" t="s">
        <v>4570</v>
      </c>
      <c r="G272" s="1253" t="s">
        <v>4571</v>
      </c>
      <c r="H272" s="1253" t="s">
        <v>4572</v>
      </c>
      <c r="I272" s="1253" t="s">
        <v>4573</v>
      </c>
      <c r="J272" s="1253" t="s">
        <v>4574</v>
      </c>
      <c r="K272" s="1253" t="s">
        <v>4575</v>
      </c>
      <c r="L272" s="1253" t="s">
        <v>4576</v>
      </c>
      <c r="M272" s="1253" t="s">
        <v>4577</v>
      </c>
      <c r="N272" s="1253" t="s">
        <v>4578</v>
      </c>
      <c r="O272" s="1253" t="s">
        <v>4579</v>
      </c>
      <c r="P272" s="1253" t="s">
        <v>4580</v>
      </c>
      <c r="Q272" s="1253" t="s">
        <v>4581</v>
      </c>
      <c r="R272" s="1253" t="s">
        <v>4582</v>
      </c>
      <c r="S272" s="1253" t="s">
        <v>4583</v>
      </c>
      <c r="T272" s="1090" t="s">
        <v>4584</v>
      </c>
    </row>
    <row r="273" spans="1:20" x14ac:dyDescent="0.25">
      <c r="A273" s="5818">
        <v>29101671</v>
      </c>
      <c r="B273" s="1162" t="s">
        <v>3505</v>
      </c>
      <c r="C273" s="1162" t="s">
        <v>4567</v>
      </c>
      <c r="D273" s="1089" t="s">
        <v>4568</v>
      </c>
      <c r="E273" s="1253" t="s">
        <v>4569</v>
      </c>
      <c r="F273" s="1253" t="s">
        <v>4570</v>
      </c>
      <c r="G273" s="1253" t="s">
        <v>4571</v>
      </c>
      <c r="H273" s="1253" t="s">
        <v>4572</v>
      </c>
      <c r="I273" s="1253" t="s">
        <v>4573</v>
      </c>
      <c r="J273" s="1253" t="s">
        <v>4574</v>
      </c>
      <c r="K273" s="1253" t="s">
        <v>4575</v>
      </c>
      <c r="L273" s="1253" t="s">
        <v>4576</v>
      </c>
      <c r="M273" s="1253" t="s">
        <v>4577</v>
      </c>
      <c r="N273" s="1253" t="s">
        <v>4578</v>
      </c>
      <c r="O273" s="1253" t="s">
        <v>4579</v>
      </c>
      <c r="P273" s="1253" t="s">
        <v>4580</v>
      </c>
      <c r="Q273" s="1253" t="s">
        <v>4581</v>
      </c>
      <c r="R273" s="1253" t="s">
        <v>4582</v>
      </c>
      <c r="S273" s="1253" t="s">
        <v>4583</v>
      </c>
      <c r="T273" s="1090" t="s">
        <v>4584</v>
      </c>
    </row>
    <row r="274" spans="1:20" x14ac:dyDescent="0.25">
      <c r="A274" s="5818">
        <v>29101672</v>
      </c>
      <c r="B274" s="1162" t="s">
        <v>3506</v>
      </c>
      <c r="C274" s="1162" t="s">
        <v>4567</v>
      </c>
      <c r="D274" s="1089" t="s">
        <v>4568</v>
      </c>
      <c r="E274" s="1253" t="s">
        <v>4569</v>
      </c>
      <c r="F274" s="1253" t="s">
        <v>4570</v>
      </c>
      <c r="G274" s="1253" t="s">
        <v>4571</v>
      </c>
      <c r="H274" s="1253" t="s">
        <v>4572</v>
      </c>
      <c r="I274" s="1253" t="s">
        <v>4573</v>
      </c>
      <c r="J274" s="1253" t="s">
        <v>4574</v>
      </c>
      <c r="K274" s="1253" t="s">
        <v>4575</v>
      </c>
      <c r="L274" s="1253" t="s">
        <v>4576</v>
      </c>
      <c r="M274" s="1253" t="s">
        <v>4577</v>
      </c>
      <c r="N274" s="1253" t="s">
        <v>4578</v>
      </c>
      <c r="O274" s="1253" t="s">
        <v>4579</v>
      </c>
      <c r="P274" s="1253" t="s">
        <v>4580</v>
      </c>
      <c r="Q274" s="1253" t="s">
        <v>4581</v>
      </c>
      <c r="R274" s="1253" t="s">
        <v>4582</v>
      </c>
      <c r="S274" s="1253" t="s">
        <v>4583</v>
      </c>
      <c r="T274" s="1090" t="s">
        <v>4584</v>
      </c>
    </row>
    <row r="275" spans="1:20" x14ac:dyDescent="0.25">
      <c r="A275" s="5818">
        <v>29101673</v>
      </c>
      <c r="B275" s="1162" t="s">
        <v>3507</v>
      </c>
      <c r="C275" s="1162" t="s">
        <v>4567</v>
      </c>
      <c r="D275" s="1089" t="s">
        <v>4568</v>
      </c>
      <c r="E275" s="1253" t="s">
        <v>4569</v>
      </c>
      <c r="F275" s="1253" t="s">
        <v>4570</v>
      </c>
      <c r="G275" s="1253" t="s">
        <v>4571</v>
      </c>
      <c r="H275" s="1253" t="s">
        <v>4572</v>
      </c>
      <c r="I275" s="1253" t="s">
        <v>4573</v>
      </c>
      <c r="J275" s="1253" t="s">
        <v>4574</v>
      </c>
      <c r="K275" s="1253" t="s">
        <v>4575</v>
      </c>
      <c r="L275" s="1253" t="s">
        <v>4576</v>
      </c>
      <c r="M275" s="1253" t="s">
        <v>4577</v>
      </c>
      <c r="N275" s="1253" t="s">
        <v>4578</v>
      </c>
      <c r="O275" s="1253" t="s">
        <v>4579</v>
      </c>
      <c r="P275" s="1253" t="s">
        <v>4580</v>
      </c>
      <c r="Q275" s="1253" t="s">
        <v>4581</v>
      </c>
      <c r="R275" s="1253" t="s">
        <v>4582</v>
      </c>
      <c r="S275" s="1253" t="s">
        <v>4583</v>
      </c>
      <c r="T275" s="1090" t="s">
        <v>4584</v>
      </c>
    </row>
    <row r="276" spans="1:20" x14ac:dyDescent="0.25">
      <c r="A276" s="5818">
        <v>28022750</v>
      </c>
      <c r="B276" s="1162" t="s">
        <v>3508</v>
      </c>
      <c r="C276" s="1162" t="s">
        <v>4567</v>
      </c>
      <c r="D276" s="1089" t="s">
        <v>4568</v>
      </c>
      <c r="E276" s="1253" t="s">
        <v>4569</v>
      </c>
      <c r="F276" s="1253" t="s">
        <v>4570</v>
      </c>
      <c r="G276" s="1253" t="s">
        <v>4571</v>
      </c>
      <c r="H276" s="1253" t="s">
        <v>4572</v>
      </c>
      <c r="I276" s="1253" t="s">
        <v>4573</v>
      </c>
      <c r="J276" s="1253" t="s">
        <v>4574</v>
      </c>
      <c r="K276" s="1253" t="s">
        <v>4575</v>
      </c>
      <c r="L276" s="1253" t="s">
        <v>4576</v>
      </c>
      <c r="M276" s="1253" t="s">
        <v>4577</v>
      </c>
      <c r="N276" s="1253" t="s">
        <v>4578</v>
      </c>
      <c r="O276" s="1253" t="s">
        <v>4579</v>
      </c>
      <c r="P276" s="1253" t="s">
        <v>4580</v>
      </c>
      <c r="Q276" s="1253" t="s">
        <v>4581</v>
      </c>
      <c r="R276" s="1253" t="s">
        <v>4582</v>
      </c>
      <c r="S276" s="1253" t="s">
        <v>4583</v>
      </c>
      <c r="T276" s="1090" t="s">
        <v>4584</v>
      </c>
    </row>
    <row r="277" spans="1:20" x14ac:dyDescent="0.25">
      <c r="A277" s="5818">
        <v>28022760</v>
      </c>
      <c r="B277" s="1162" t="s">
        <v>3509</v>
      </c>
      <c r="C277" s="1162" t="s">
        <v>4567</v>
      </c>
      <c r="D277" s="1089" t="s">
        <v>4568</v>
      </c>
      <c r="E277" s="1253" t="s">
        <v>4569</v>
      </c>
      <c r="F277" s="1253" t="s">
        <v>4570</v>
      </c>
      <c r="G277" s="1253" t="s">
        <v>4571</v>
      </c>
      <c r="H277" s="1253" t="s">
        <v>4572</v>
      </c>
      <c r="I277" s="1253" t="s">
        <v>4573</v>
      </c>
      <c r="J277" s="1253" t="s">
        <v>4574</v>
      </c>
      <c r="K277" s="1253" t="s">
        <v>4575</v>
      </c>
      <c r="L277" s="1253" t="s">
        <v>4576</v>
      </c>
      <c r="M277" s="1253" t="s">
        <v>4577</v>
      </c>
      <c r="N277" s="1253" t="s">
        <v>4578</v>
      </c>
      <c r="O277" s="1253" t="s">
        <v>4579</v>
      </c>
      <c r="P277" s="1253" t="s">
        <v>4580</v>
      </c>
      <c r="Q277" s="1253" t="s">
        <v>4581</v>
      </c>
      <c r="R277" s="1253" t="s">
        <v>4582</v>
      </c>
      <c r="S277" s="1253" t="s">
        <v>4583</v>
      </c>
      <c r="T277" s="1090" t="s">
        <v>4584</v>
      </c>
    </row>
    <row r="278" spans="1:20" x14ac:dyDescent="0.25">
      <c r="A278" s="5818">
        <v>28022770</v>
      </c>
      <c r="B278" s="1162" t="s">
        <v>3510</v>
      </c>
      <c r="C278" s="1162" t="s">
        <v>4567</v>
      </c>
      <c r="D278" s="1089" t="s">
        <v>4568</v>
      </c>
      <c r="E278" s="1253" t="s">
        <v>4569</v>
      </c>
      <c r="F278" s="1253" t="s">
        <v>4570</v>
      </c>
      <c r="G278" s="1253" t="s">
        <v>4571</v>
      </c>
      <c r="H278" s="1253" t="s">
        <v>4572</v>
      </c>
      <c r="I278" s="1253" t="s">
        <v>4573</v>
      </c>
      <c r="J278" s="1253" t="s">
        <v>4574</v>
      </c>
      <c r="K278" s="1253" t="s">
        <v>4575</v>
      </c>
      <c r="L278" s="1253" t="s">
        <v>4576</v>
      </c>
      <c r="M278" s="1253" t="s">
        <v>4577</v>
      </c>
      <c r="N278" s="1253" t="s">
        <v>4578</v>
      </c>
      <c r="O278" s="1253" t="s">
        <v>4579</v>
      </c>
      <c r="P278" s="1253" t="s">
        <v>4580</v>
      </c>
      <c r="Q278" s="1253" t="s">
        <v>4581</v>
      </c>
      <c r="R278" s="1253" t="s">
        <v>4582</v>
      </c>
      <c r="S278" s="1253" t="s">
        <v>4583</v>
      </c>
      <c r="T278" s="1090" t="s">
        <v>4584</v>
      </c>
    </row>
    <row r="279" spans="1:20" x14ac:dyDescent="0.25">
      <c r="A279" s="5818">
        <v>28023020</v>
      </c>
      <c r="B279" s="1162" t="s">
        <v>3511</v>
      </c>
      <c r="C279" s="1162" t="s">
        <v>4567</v>
      </c>
      <c r="D279" s="1089" t="s">
        <v>4568</v>
      </c>
      <c r="E279" s="1253" t="s">
        <v>4569</v>
      </c>
      <c r="F279" s="1253" t="s">
        <v>4570</v>
      </c>
      <c r="G279" s="1253" t="s">
        <v>4571</v>
      </c>
      <c r="H279" s="1253" t="s">
        <v>4572</v>
      </c>
      <c r="I279" s="1253" t="s">
        <v>4573</v>
      </c>
      <c r="J279" s="1253" t="s">
        <v>4574</v>
      </c>
      <c r="K279" s="1253" t="s">
        <v>4575</v>
      </c>
      <c r="L279" s="1253" t="s">
        <v>4576</v>
      </c>
      <c r="M279" s="1253" t="s">
        <v>4577</v>
      </c>
      <c r="N279" s="1253" t="s">
        <v>4578</v>
      </c>
      <c r="O279" s="1253" t="s">
        <v>4579</v>
      </c>
      <c r="P279" s="1253" t="s">
        <v>4580</v>
      </c>
      <c r="Q279" s="1253" t="s">
        <v>4581</v>
      </c>
      <c r="R279" s="1253" t="s">
        <v>4582</v>
      </c>
      <c r="S279" s="1253" t="s">
        <v>4583</v>
      </c>
      <c r="T279" s="1090" t="s">
        <v>4584</v>
      </c>
    </row>
    <row r="280" spans="1:20" x14ac:dyDescent="0.25">
      <c r="A280" s="5824">
        <v>28023030</v>
      </c>
      <c r="B280" s="1162" t="s">
        <v>3512</v>
      </c>
      <c r="C280" s="1162" t="s">
        <v>4567</v>
      </c>
      <c r="D280" s="1089" t="s">
        <v>4568</v>
      </c>
      <c r="E280" s="1253" t="s">
        <v>4569</v>
      </c>
      <c r="F280" s="1253" t="s">
        <v>4570</v>
      </c>
      <c r="G280" s="1253" t="s">
        <v>4571</v>
      </c>
      <c r="H280" s="1253" t="s">
        <v>4572</v>
      </c>
      <c r="I280" s="1253" t="s">
        <v>4573</v>
      </c>
      <c r="J280" s="1253" t="s">
        <v>4574</v>
      </c>
      <c r="K280" s="1253" t="s">
        <v>4575</v>
      </c>
      <c r="L280" s="1253" t="s">
        <v>4576</v>
      </c>
      <c r="M280" s="1253" t="s">
        <v>4577</v>
      </c>
      <c r="N280" s="1253" t="s">
        <v>4578</v>
      </c>
      <c r="O280" s="1253" t="s">
        <v>4579</v>
      </c>
      <c r="P280" s="1253" t="s">
        <v>4580</v>
      </c>
      <c r="Q280" s="1253" t="s">
        <v>4581</v>
      </c>
      <c r="R280" s="1253" t="s">
        <v>4582</v>
      </c>
      <c r="S280" s="1253" t="s">
        <v>4583</v>
      </c>
      <c r="T280" s="1090" t="s">
        <v>4584</v>
      </c>
    </row>
    <row r="281" spans="1:20" x14ac:dyDescent="0.25">
      <c r="A281" s="5824">
        <v>28101200</v>
      </c>
      <c r="B281" s="193" t="s">
        <v>3513</v>
      </c>
      <c r="C281" s="1162" t="s">
        <v>4567</v>
      </c>
      <c r="D281" s="290" t="s">
        <v>4568</v>
      </c>
      <c r="E281" s="531" t="s">
        <v>4569</v>
      </c>
      <c r="F281" s="531" t="s">
        <v>4570</v>
      </c>
      <c r="G281" s="531" t="s">
        <v>4571</v>
      </c>
      <c r="H281" s="531" t="s">
        <v>4572</v>
      </c>
      <c r="I281" s="531" t="s">
        <v>4573</v>
      </c>
      <c r="J281" s="531" t="s">
        <v>4574</v>
      </c>
      <c r="K281" s="531" t="s">
        <v>4575</v>
      </c>
      <c r="L281" s="531" t="s">
        <v>4576</v>
      </c>
      <c r="M281" s="531" t="s">
        <v>4577</v>
      </c>
      <c r="N281" s="531" t="s">
        <v>4578</v>
      </c>
      <c r="O281" s="531" t="s">
        <v>4579</v>
      </c>
      <c r="P281" s="531" t="s">
        <v>4580</v>
      </c>
      <c r="Q281" s="531" t="s">
        <v>4581</v>
      </c>
      <c r="R281" s="531" t="s">
        <v>4582</v>
      </c>
      <c r="S281" s="531" t="s">
        <v>4583</v>
      </c>
      <c r="T281" s="107" t="s">
        <v>4584</v>
      </c>
    </row>
    <row r="282" spans="1:20" x14ac:dyDescent="0.25">
      <c r="A282" s="5824">
        <v>28101300</v>
      </c>
      <c r="B282" s="193" t="s">
        <v>3514</v>
      </c>
      <c r="C282" s="1162" t="s">
        <v>4567</v>
      </c>
      <c r="D282" s="1089" t="s">
        <v>4568</v>
      </c>
      <c r="E282" s="1253" t="s">
        <v>4569</v>
      </c>
      <c r="F282" s="1253" t="s">
        <v>4570</v>
      </c>
      <c r="G282" s="1253" t="s">
        <v>4571</v>
      </c>
      <c r="H282" s="1253" t="s">
        <v>4572</v>
      </c>
      <c r="I282" s="1253" t="s">
        <v>4573</v>
      </c>
      <c r="J282" s="1253" t="s">
        <v>4574</v>
      </c>
      <c r="K282" s="1253" t="s">
        <v>4575</v>
      </c>
      <c r="L282" s="1253" t="s">
        <v>4576</v>
      </c>
      <c r="M282" s="1253" t="s">
        <v>4577</v>
      </c>
      <c r="N282" s="1253" t="s">
        <v>4578</v>
      </c>
      <c r="O282" s="1253" t="s">
        <v>4579</v>
      </c>
      <c r="P282" s="1253" t="s">
        <v>4580</v>
      </c>
      <c r="Q282" s="1253" t="s">
        <v>4581</v>
      </c>
      <c r="R282" s="1253" t="s">
        <v>4582</v>
      </c>
      <c r="S282" s="1253" t="s">
        <v>4583</v>
      </c>
      <c r="T282" s="1090" t="s">
        <v>4584</v>
      </c>
    </row>
    <row r="283" spans="1:20" ht="15" customHeight="1" x14ac:dyDescent="0.25">
      <c r="A283" s="5790">
        <v>28101400</v>
      </c>
      <c r="B283" s="196" t="s">
        <v>3515</v>
      </c>
      <c r="C283" s="1162" t="s">
        <v>4567</v>
      </c>
      <c r="D283" s="1089" t="s">
        <v>4568</v>
      </c>
      <c r="E283" s="1253" t="s">
        <v>4569</v>
      </c>
      <c r="F283" s="1253" t="s">
        <v>4570</v>
      </c>
      <c r="G283" s="1253" t="s">
        <v>4571</v>
      </c>
      <c r="H283" s="1253" t="s">
        <v>4572</v>
      </c>
      <c r="I283" s="1253" t="s">
        <v>4573</v>
      </c>
      <c r="J283" s="1253" t="s">
        <v>4574</v>
      </c>
      <c r="K283" s="1253" t="s">
        <v>4575</v>
      </c>
      <c r="L283" s="1253" t="s">
        <v>4576</v>
      </c>
      <c r="M283" s="1253" t="s">
        <v>4577</v>
      </c>
      <c r="N283" s="1253" t="s">
        <v>4578</v>
      </c>
      <c r="O283" s="1253" t="s">
        <v>4579</v>
      </c>
      <c r="P283" s="1253" t="s">
        <v>4580</v>
      </c>
      <c r="Q283" s="1253" t="s">
        <v>4581</v>
      </c>
      <c r="R283" s="1253" t="s">
        <v>4582</v>
      </c>
      <c r="S283" s="1253" t="s">
        <v>4583</v>
      </c>
      <c r="T283" s="1090" t="s">
        <v>4584</v>
      </c>
    </row>
    <row r="284" spans="1:20" x14ac:dyDescent="0.25">
      <c r="A284" s="5824">
        <v>28101500</v>
      </c>
      <c r="B284" s="193" t="s">
        <v>3516</v>
      </c>
      <c r="C284" s="1162" t="s">
        <v>4567</v>
      </c>
      <c r="D284" s="1089" t="s">
        <v>4568</v>
      </c>
      <c r="E284" s="1253" t="s">
        <v>4569</v>
      </c>
      <c r="F284" s="1253" t="s">
        <v>4570</v>
      </c>
      <c r="G284" s="1253" t="s">
        <v>4571</v>
      </c>
      <c r="H284" s="1253" t="s">
        <v>4572</v>
      </c>
      <c r="I284" s="1253" t="s">
        <v>4573</v>
      </c>
      <c r="J284" s="1253" t="s">
        <v>4574</v>
      </c>
      <c r="K284" s="1253" t="s">
        <v>4575</v>
      </c>
      <c r="L284" s="1253" t="s">
        <v>4576</v>
      </c>
      <c r="M284" s="1253" t="s">
        <v>4577</v>
      </c>
      <c r="N284" s="1253" t="s">
        <v>4578</v>
      </c>
      <c r="O284" s="1253" t="s">
        <v>4579</v>
      </c>
      <c r="P284" s="1253" t="s">
        <v>4580</v>
      </c>
      <c r="Q284" s="1253" t="s">
        <v>4581</v>
      </c>
      <c r="R284" s="1253" t="s">
        <v>4582</v>
      </c>
      <c r="S284" s="1253" t="s">
        <v>4583</v>
      </c>
      <c r="T284" s="1090" t="s">
        <v>4584</v>
      </c>
    </row>
    <row r="285" spans="1:20" x14ac:dyDescent="0.25">
      <c r="A285" s="5824">
        <v>28101600</v>
      </c>
      <c r="B285" s="193" t="s">
        <v>3517</v>
      </c>
      <c r="C285" s="1162" t="s">
        <v>4567</v>
      </c>
      <c r="D285" s="1089" t="s">
        <v>4568</v>
      </c>
      <c r="E285" s="1253" t="s">
        <v>4569</v>
      </c>
      <c r="F285" s="1253" t="s">
        <v>4570</v>
      </c>
      <c r="G285" s="1253" t="s">
        <v>4571</v>
      </c>
      <c r="H285" s="1253" t="s">
        <v>4572</v>
      </c>
      <c r="I285" s="1253" t="s">
        <v>4573</v>
      </c>
      <c r="J285" s="1253" t="s">
        <v>4574</v>
      </c>
      <c r="K285" s="1253" t="s">
        <v>4575</v>
      </c>
      <c r="L285" s="1253" t="s">
        <v>4576</v>
      </c>
      <c r="M285" s="1253" t="s">
        <v>4577</v>
      </c>
      <c r="N285" s="1253" t="s">
        <v>4578</v>
      </c>
      <c r="O285" s="1253" t="s">
        <v>4579</v>
      </c>
      <c r="P285" s="1253" t="s">
        <v>4580</v>
      </c>
      <c r="Q285" s="1253" t="s">
        <v>4581</v>
      </c>
      <c r="R285" s="1253" t="s">
        <v>4582</v>
      </c>
      <c r="S285" s="1253" t="s">
        <v>4583</v>
      </c>
      <c r="T285" s="1090" t="s">
        <v>4584</v>
      </c>
    </row>
    <row r="286" spans="1:20" x14ac:dyDescent="0.25">
      <c r="A286" s="5824">
        <v>28101700</v>
      </c>
      <c r="B286" s="1785" t="s">
        <v>902</v>
      </c>
      <c r="C286" s="1163" t="s">
        <v>4567</v>
      </c>
      <c r="D286" s="1114" t="s">
        <v>4568</v>
      </c>
      <c r="E286" s="1258" t="s">
        <v>4569</v>
      </c>
      <c r="F286" s="1258" t="s">
        <v>4570</v>
      </c>
      <c r="G286" s="1258" t="s">
        <v>4571</v>
      </c>
      <c r="H286" s="1258" t="s">
        <v>4572</v>
      </c>
      <c r="I286" s="1258" t="s">
        <v>4573</v>
      </c>
      <c r="J286" s="1258" t="s">
        <v>4574</v>
      </c>
      <c r="K286" s="1258" t="s">
        <v>4575</v>
      </c>
      <c r="L286" s="1258" t="s">
        <v>4576</v>
      </c>
      <c r="M286" s="1258" t="s">
        <v>4577</v>
      </c>
      <c r="N286" s="1258" t="s">
        <v>4578</v>
      </c>
      <c r="O286" s="1258" t="s">
        <v>4579</v>
      </c>
      <c r="P286" s="1258" t="s">
        <v>4580</v>
      </c>
      <c r="Q286" s="1258" t="s">
        <v>4581</v>
      </c>
      <c r="R286" s="1258" t="s">
        <v>4582</v>
      </c>
      <c r="S286" s="1258" t="s">
        <v>4583</v>
      </c>
      <c r="T286" s="387" t="s">
        <v>4584</v>
      </c>
    </row>
    <row r="287" spans="1:20" ht="18" customHeight="1" x14ac:dyDescent="0.25">
      <c r="B287" s="13" t="s">
        <v>3518</v>
      </c>
      <c r="C287" s="13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</row>
    <row r="288" spans="1:20" x14ac:dyDescent="0.25">
      <c r="B288" s="7671" t="s">
        <v>3519</v>
      </c>
      <c r="C288" s="7701" t="s">
        <v>77</v>
      </c>
      <c r="D288" s="7291" t="s">
        <v>3520</v>
      </c>
      <c r="E288" s="7298"/>
      <c r="F288" s="7298"/>
      <c r="G288" s="7298"/>
      <c r="H288" s="7298"/>
      <c r="I288" s="7298"/>
      <c r="J288" s="7298"/>
      <c r="K288" s="7298"/>
      <c r="L288" s="7298"/>
      <c r="M288" s="7298"/>
      <c r="N288" s="7298"/>
      <c r="O288" s="7298"/>
      <c r="P288" s="7298"/>
      <c r="Q288" s="7298"/>
      <c r="R288" s="7298"/>
      <c r="S288" s="7298"/>
      <c r="T288" s="7244"/>
    </row>
    <row r="289" spans="1:20" x14ac:dyDescent="0.25">
      <c r="B289" s="7672"/>
      <c r="C289" s="7702"/>
      <c r="D289" s="4933" t="s">
        <v>343</v>
      </c>
      <c r="E289" s="4934" t="s">
        <v>326</v>
      </c>
      <c r="F289" s="4934" t="s">
        <v>94</v>
      </c>
      <c r="G289" s="4934" t="s">
        <v>44</v>
      </c>
      <c r="H289" s="4934" t="s">
        <v>45</v>
      </c>
      <c r="I289" s="4934" t="s">
        <v>974</v>
      </c>
      <c r="J289" s="4934" t="s">
        <v>629</v>
      </c>
      <c r="K289" s="4934" t="s">
        <v>48</v>
      </c>
      <c r="L289" s="4934" t="s">
        <v>49</v>
      </c>
      <c r="M289" s="4934" t="s">
        <v>975</v>
      </c>
      <c r="N289" s="4934" t="s">
        <v>51</v>
      </c>
      <c r="O289" s="4934" t="s">
        <v>52</v>
      </c>
      <c r="P289" s="4934" t="s">
        <v>53</v>
      </c>
      <c r="Q289" s="4934" t="s">
        <v>54</v>
      </c>
      <c r="R289" s="4934" t="s">
        <v>55</v>
      </c>
      <c r="S289" s="4934" t="s">
        <v>56</v>
      </c>
      <c r="T289" s="4538" t="s">
        <v>57</v>
      </c>
    </row>
    <row r="290" spans="1:20" x14ac:dyDescent="0.25">
      <c r="A290" s="5818">
        <v>28022790</v>
      </c>
      <c r="B290" s="1432" t="s">
        <v>3335</v>
      </c>
      <c r="C290" s="1218" t="s">
        <v>4567</v>
      </c>
      <c r="D290" s="531" t="s">
        <v>4568</v>
      </c>
      <c r="E290" s="531" t="s">
        <v>4569</v>
      </c>
      <c r="F290" s="531" t="s">
        <v>4570</v>
      </c>
      <c r="G290" s="531" t="s">
        <v>4571</v>
      </c>
      <c r="H290" s="531" t="s">
        <v>4572</v>
      </c>
      <c r="I290" s="531" t="s">
        <v>4573</v>
      </c>
      <c r="J290" s="531" t="s">
        <v>4574</v>
      </c>
      <c r="K290" s="531" t="s">
        <v>4575</v>
      </c>
      <c r="L290" s="531" t="s">
        <v>4576</v>
      </c>
      <c r="M290" s="531" t="s">
        <v>4577</v>
      </c>
      <c r="N290" s="531" t="s">
        <v>4578</v>
      </c>
      <c r="O290" s="531" t="s">
        <v>4579</v>
      </c>
      <c r="P290" s="531" t="s">
        <v>4580</v>
      </c>
      <c r="Q290" s="531" t="s">
        <v>4581</v>
      </c>
      <c r="R290" s="531" t="s">
        <v>4582</v>
      </c>
      <c r="S290" s="531" t="s">
        <v>4583</v>
      </c>
      <c r="T290" s="107" t="s">
        <v>4584</v>
      </c>
    </row>
    <row r="291" spans="1:20" x14ac:dyDescent="0.25">
      <c r="A291" s="5818">
        <v>28022800</v>
      </c>
      <c r="B291" s="4915" t="s">
        <v>3340</v>
      </c>
      <c r="C291" s="1218" t="s">
        <v>4567</v>
      </c>
      <c r="D291" s="1253" t="s">
        <v>4568</v>
      </c>
      <c r="E291" s="1253" t="s">
        <v>4569</v>
      </c>
      <c r="F291" s="1253" t="s">
        <v>4570</v>
      </c>
      <c r="G291" s="1253" t="s">
        <v>4571</v>
      </c>
      <c r="H291" s="1253" t="s">
        <v>4572</v>
      </c>
      <c r="I291" s="1253" t="s">
        <v>4573</v>
      </c>
      <c r="J291" s="1253" t="s">
        <v>4574</v>
      </c>
      <c r="K291" s="1253" t="s">
        <v>4575</v>
      </c>
      <c r="L291" s="1253" t="s">
        <v>4576</v>
      </c>
      <c r="M291" s="1253" t="s">
        <v>4577</v>
      </c>
      <c r="N291" s="1253" t="s">
        <v>4578</v>
      </c>
      <c r="O291" s="1253" t="s">
        <v>4579</v>
      </c>
      <c r="P291" s="1253" t="s">
        <v>4580</v>
      </c>
      <c r="Q291" s="1253" t="s">
        <v>4581</v>
      </c>
      <c r="R291" s="1253" t="s">
        <v>4582</v>
      </c>
      <c r="S291" s="1253" t="s">
        <v>4583</v>
      </c>
      <c r="T291" s="1090" t="s">
        <v>4584</v>
      </c>
    </row>
    <row r="292" spans="1:20" x14ac:dyDescent="0.25">
      <c r="A292" s="5818">
        <v>28022810</v>
      </c>
      <c r="B292" s="1435" t="s">
        <v>3336</v>
      </c>
      <c r="C292" s="1218" t="s">
        <v>4567</v>
      </c>
      <c r="D292" s="1253" t="s">
        <v>4568</v>
      </c>
      <c r="E292" s="1253" t="s">
        <v>4569</v>
      </c>
      <c r="F292" s="1253" t="s">
        <v>4570</v>
      </c>
      <c r="G292" s="1253" t="s">
        <v>4571</v>
      </c>
      <c r="H292" s="1253" t="s">
        <v>4572</v>
      </c>
      <c r="I292" s="1253" t="s">
        <v>4573</v>
      </c>
      <c r="J292" s="1253" t="s">
        <v>4574</v>
      </c>
      <c r="K292" s="1253" t="s">
        <v>4575</v>
      </c>
      <c r="L292" s="1253" t="s">
        <v>4576</v>
      </c>
      <c r="M292" s="1253" t="s">
        <v>4577</v>
      </c>
      <c r="N292" s="1253" t="s">
        <v>4578</v>
      </c>
      <c r="O292" s="1253" t="s">
        <v>4579</v>
      </c>
      <c r="P292" s="1253" t="s">
        <v>4580</v>
      </c>
      <c r="Q292" s="1253" t="s">
        <v>4581</v>
      </c>
      <c r="R292" s="1253" t="s">
        <v>4582</v>
      </c>
      <c r="S292" s="1253" t="s">
        <v>4583</v>
      </c>
      <c r="T292" s="1090" t="s">
        <v>4584</v>
      </c>
    </row>
    <row r="293" spans="1:20" x14ac:dyDescent="0.25">
      <c r="A293" s="5818">
        <v>29101674</v>
      </c>
      <c r="B293" s="1435" t="s">
        <v>3334</v>
      </c>
      <c r="C293" s="1218" t="s">
        <v>4567</v>
      </c>
      <c r="D293" s="1253" t="s">
        <v>4568</v>
      </c>
      <c r="E293" s="1253" t="s">
        <v>4569</v>
      </c>
      <c r="F293" s="1253" t="s">
        <v>4570</v>
      </c>
      <c r="G293" s="1253" t="s">
        <v>4571</v>
      </c>
      <c r="H293" s="1253" t="s">
        <v>4572</v>
      </c>
      <c r="I293" s="1253" t="s">
        <v>4573</v>
      </c>
      <c r="J293" s="1253" t="s">
        <v>4574</v>
      </c>
      <c r="K293" s="1253" t="s">
        <v>4575</v>
      </c>
      <c r="L293" s="1253" t="s">
        <v>4576</v>
      </c>
      <c r="M293" s="1253" t="s">
        <v>4577</v>
      </c>
      <c r="N293" s="1253" t="s">
        <v>4578</v>
      </c>
      <c r="O293" s="1253" t="s">
        <v>4579</v>
      </c>
      <c r="P293" s="1253" t="s">
        <v>4580</v>
      </c>
      <c r="Q293" s="1253" t="s">
        <v>4581</v>
      </c>
      <c r="R293" s="1253" t="s">
        <v>4582</v>
      </c>
      <c r="S293" s="1253" t="s">
        <v>4583</v>
      </c>
      <c r="T293" s="1090" t="s">
        <v>4584</v>
      </c>
    </row>
    <row r="294" spans="1:20" x14ac:dyDescent="0.25">
      <c r="A294" s="5818">
        <v>28022850</v>
      </c>
      <c r="B294" s="4915" t="s">
        <v>3431</v>
      </c>
      <c r="C294" s="1218" t="s">
        <v>4567</v>
      </c>
      <c r="D294" s="1253" t="s">
        <v>4568</v>
      </c>
      <c r="E294" s="1253" t="s">
        <v>4569</v>
      </c>
      <c r="F294" s="1253" t="s">
        <v>4570</v>
      </c>
      <c r="G294" s="1253" t="s">
        <v>4571</v>
      </c>
      <c r="H294" s="1253" t="s">
        <v>4572</v>
      </c>
      <c r="I294" s="1253" t="s">
        <v>4573</v>
      </c>
      <c r="J294" s="1253" t="s">
        <v>4574</v>
      </c>
      <c r="K294" s="1253" t="s">
        <v>4575</v>
      </c>
      <c r="L294" s="1253" t="s">
        <v>4576</v>
      </c>
      <c r="M294" s="1253" t="s">
        <v>4577</v>
      </c>
      <c r="N294" s="1253" t="s">
        <v>4578</v>
      </c>
      <c r="O294" s="1253" t="s">
        <v>4579</v>
      </c>
      <c r="P294" s="1253" t="s">
        <v>4580</v>
      </c>
      <c r="Q294" s="1253" t="s">
        <v>4581</v>
      </c>
      <c r="R294" s="1253" t="s">
        <v>4582</v>
      </c>
      <c r="S294" s="1253" t="s">
        <v>4583</v>
      </c>
      <c r="T294" s="1090" t="s">
        <v>4584</v>
      </c>
    </row>
    <row r="295" spans="1:20" x14ac:dyDescent="0.25">
      <c r="A295" s="5818">
        <v>28022860</v>
      </c>
      <c r="B295" s="4877" t="s">
        <v>3337</v>
      </c>
      <c r="C295" s="1218" t="s">
        <v>4567</v>
      </c>
      <c r="D295" s="1253" t="s">
        <v>4568</v>
      </c>
      <c r="E295" s="1253" t="s">
        <v>4569</v>
      </c>
      <c r="F295" s="1253" t="s">
        <v>4570</v>
      </c>
      <c r="G295" s="1253" t="s">
        <v>4571</v>
      </c>
      <c r="H295" s="1253" t="s">
        <v>4572</v>
      </c>
      <c r="I295" s="1253" t="s">
        <v>4573</v>
      </c>
      <c r="J295" s="1253" t="s">
        <v>4574</v>
      </c>
      <c r="K295" s="1253" t="s">
        <v>4575</v>
      </c>
      <c r="L295" s="1253" t="s">
        <v>4576</v>
      </c>
      <c r="M295" s="1253" t="s">
        <v>4577</v>
      </c>
      <c r="N295" s="1253" t="s">
        <v>4578</v>
      </c>
      <c r="O295" s="1253" t="s">
        <v>4579</v>
      </c>
      <c r="P295" s="1253" t="s">
        <v>4580</v>
      </c>
      <c r="Q295" s="1253" t="s">
        <v>4581</v>
      </c>
      <c r="R295" s="1253" t="s">
        <v>4582</v>
      </c>
      <c r="S295" s="1253" t="s">
        <v>4583</v>
      </c>
      <c r="T295" s="1090" t="s">
        <v>4584</v>
      </c>
    </row>
    <row r="296" spans="1:20" x14ac:dyDescent="0.25">
      <c r="A296" s="5818">
        <v>28022870</v>
      </c>
      <c r="B296" s="4877" t="s">
        <v>3521</v>
      </c>
      <c r="C296" s="1218" t="s">
        <v>4567</v>
      </c>
      <c r="D296" s="1253" t="s">
        <v>4568</v>
      </c>
      <c r="E296" s="1253" t="s">
        <v>4569</v>
      </c>
      <c r="F296" s="1253" t="s">
        <v>4570</v>
      </c>
      <c r="G296" s="1253" t="s">
        <v>4571</v>
      </c>
      <c r="H296" s="1253" t="s">
        <v>4572</v>
      </c>
      <c r="I296" s="1253" t="s">
        <v>4573</v>
      </c>
      <c r="J296" s="1253" t="s">
        <v>4574</v>
      </c>
      <c r="K296" s="1253" t="s">
        <v>4575</v>
      </c>
      <c r="L296" s="1253" t="s">
        <v>4576</v>
      </c>
      <c r="M296" s="1253" t="s">
        <v>4577</v>
      </c>
      <c r="N296" s="1253" t="s">
        <v>4578</v>
      </c>
      <c r="O296" s="1253" t="s">
        <v>4579</v>
      </c>
      <c r="P296" s="1253" t="s">
        <v>4580</v>
      </c>
      <c r="Q296" s="1253" t="s">
        <v>4581</v>
      </c>
      <c r="R296" s="1253" t="s">
        <v>4582</v>
      </c>
      <c r="S296" s="1253" t="s">
        <v>4583</v>
      </c>
      <c r="T296" s="1090" t="s">
        <v>4584</v>
      </c>
    </row>
    <row r="297" spans="1:20" x14ac:dyDescent="0.25">
      <c r="A297" s="5818">
        <v>28022880</v>
      </c>
      <c r="B297" s="4877" t="s">
        <v>3429</v>
      </c>
      <c r="C297" s="1218" t="s">
        <v>4567</v>
      </c>
      <c r="D297" s="1253" t="s">
        <v>4568</v>
      </c>
      <c r="E297" s="1253" t="s">
        <v>4569</v>
      </c>
      <c r="F297" s="1253" t="s">
        <v>4570</v>
      </c>
      <c r="G297" s="1253" t="s">
        <v>4571</v>
      </c>
      <c r="H297" s="1253" t="s">
        <v>4572</v>
      </c>
      <c r="I297" s="1253" t="s">
        <v>4573</v>
      </c>
      <c r="J297" s="1253" t="s">
        <v>4574</v>
      </c>
      <c r="K297" s="1253" t="s">
        <v>4575</v>
      </c>
      <c r="L297" s="1253" t="s">
        <v>4576</v>
      </c>
      <c r="M297" s="1253" t="s">
        <v>4577</v>
      </c>
      <c r="N297" s="1253" t="s">
        <v>4578</v>
      </c>
      <c r="O297" s="1253" t="s">
        <v>4579</v>
      </c>
      <c r="P297" s="1253" t="s">
        <v>4580</v>
      </c>
      <c r="Q297" s="1253" t="s">
        <v>4581</v>
      </c>
      <c r="R297" s="1253" t="s">
        <v>4582</v>
      </c>
      <c r="S297" s="1253" t="s">
        <v>4583</v>
      </c>
      <c r="T297" s="1090" t="s">
        <v>4584</v>
      </c>
    </row>
    <row r="298" spans="1:20" x14ac:dyDescent="0.25">
      <c r="A298" s="5818">
        <v>29101675</v>
      </c>
      <c r="B298" s="4915" t="s">
        <v>3436</v>
      </c>
      <c r="C298" s="1218" t="s">
        <v>4567</v>
      </c>
      <c r="D298" s="1253" t="s">
        <v>4568</v>
      </c>
      <c r="E298" s="1253" t="s">
        <v>4569</v>
      </c>
      <c r="F298" s="1253" t="s">
        <v>4570</v>
      </c>
      <c r="G298" s="1253" t="s">
        <v>4571</v>
      </c>
      <c r="H298" s="1253" t="s">
        <v>4572</v>
      </c>
      <c r="I298" s="1253" t="s">
        <v>4573</v>
      </c>
      <c r="J298" s="1253" t="s">
        <v>4574</v>
      </c>
      <c r="K298" s="1253" t="s">
        <v>4575</v>
      </c>
      <c r="L298" s="1253" t="s">
        <v>4576</v>
      </c>
      <c r="M298" s="1253" t="s">
        <v>4577</v>
      </c>
      <c r="N298" s="1253" t="s">
        <v>4578</v>
      </c>
      <c r="O298" s="1253" t="s">
        <v>4579</v>
      </c>
      <c r="P298" s="1253" t="s">
        <v>4580</v>
      </c>
      <c r="Q298" s="1253" t="s">
        <v>4581</v>
      </c>
      <c r="R298" s="1253" t="s">
        <v>4582</v>
      </c>
      <c r="S298" s="1253" t="s">
        <v>4583</v>
      </c>
      <c r="T298" s="1090" t="s">
        <v>4584</v>
      </c>
    </row>
    <row r="299" spans="1:20" x14ac:dyDescent="0.25">
      <c r="A299" s="5818">
        <v>28101800</v>
      </c>
      <c r="B299" s="4877" t="s">
        <v>3522</v>
      </c>
      <c r="C299" s="1218" t="s">
        <v>4567</v>
      </c>
      <c r="D299" s="1253" t="s">
        <v>4568</v>
      </c>
      <c r="E299" s="1253" t="s">
        <v>4569</v>
      </c>
      <c r="F299" s="1253" t="s">
        <v>4570</v>
      </c>
      <c r="G299" s="1253" t="s">
        <v>4571</v>
      </c>
      <c r="H299" s="1253" t="s">
        <v>4572</v>
      </c>
      <c r="I299" s="1253" t="s">
        <v>4573</v>
      </c>
      <c r="J299" s="1253" t="s">
        <v>4574</v>
      </c>
      <c r="K299" s="1253" t="s">
        <v>4575</v>
      </c>
      <c r="L299" s="1253" t="s">
        <v>4576</v>
      </c>
      <c r="M299" s="1253" t="s">
        <v>4577</v>
      </c>
      <c r="N299" s="1253" t="s">
        <v>4578</v>
      </c>
      <c r="O299" s="1253" t="s">
        <v>4579</v>
      </c>
      <c r="P299" s="1253" t="s">
        <v>4580</v>
      </c>
      <c r="Q299" s="1253" t="s">
        <v>4581</v>
      </c>
      <c r="R299" s="1253" t="s">
        <v>4582</v>
      </c>
      <c r="S299" s="1253" t="s">
        <v>4583</v>
      </c>
      <c r="T299" s="1090" t="s">
        <v>4584</v>
      </c>
    </row>
    <row r="300" spans="1:20" x14ac:dyDescent="0.25">
      <c r="A300" s="5818">
        <v>29101676</v>
      </c>
      <c r="B300" s="4915" t="s">
        <v>3344</v>
      </c>
      <c r="C300" s="1218" t="s">
        <v>4567</v>
      </c>
      <c r="D300" s="1253" t="s">
        <v>4568</v>
      </c>
      <c r="E300" s="1253" t="s">
        <v>4569</v>
      </c>
      <c r="F300" s="1253" t="s">
        <v>4570</v>
      </c>
      <c r="G300" s="1253" t="s">
        <v>4571</v>
      </c>
      <c r="H300" s="1253" t="s">
        <v>4572</v>
      </c>
      <c r="I300" s="1253" t="s">
        <v>4573</v>
      </c>
      <c r="J300" s="1253" t="s">
        <v>4574</v>
      </c>
      <c r="K300" s="1253" t="s">
        <v>4575</v>
      </c>
      <c r="L300" s="1253" t="s">
        <v>4576</v>
      </c>
      <c r="M300" s="1253" t="s">
        <v>4577</v>
      </c>
      <c r="N300" s="1253" t="s">
        <v>4578</v>
      </c>
      <c r="O300" s="1253" t="s">
        <v>4579</v>
      </c>
      <c r="P300" s="1253" t="s">
        <v>4580</v>
      </c>
      <c r="Q300" s="1253" t="s">
        <v>4581</v>
      </c>
      <c r="R300" s="1253" t="s">
        <v>4582</v>
      </c>
      <c r="S300" s="1253" t="s">
        <v>4583</v>
      </c>
      <c r="T300" s="1090" t="s">
        <v>4584</v>
      </c>
    </row>
    <row r="301" spans="1:20" x14ac:dyDescent="0.25">
      <c r="A301" s="5818">
        <v>28022940</v>
      </c>
      <c r="B301" s="4877" t="s">
        <v>3111</v>
      </c>
      <c r="C301" s="1218" t="s">
        <v>4567</v>
      </c>
      <c r="D301" s="1253" t="s">
        <v>4568</v>
      </c>
      <c r="E301" s="1253" t="s">
        <v>4569</v>
      </c>
      <c r="F301" s="1253" t="s">
        <v>4570</v>
      </c>
      <c r="G301" s="1253" t="s">
        <v>4571</v>
      </c>
      <c r="H301" s="1253" t="s">
        <v>4572</v>
      </c>
      <c r="I301" s="1253" t="s">
        <v>4573</v>
      </c>
      <c r="J301" s="1253" t="s">
        <v>4574</v>
      </c>
      <c r="K301" s="1253" t="s">
        <v>4575</v>
      </c>
      <c r="L301" s="1253" t="s">
        <v>4576</v>
      </c>
      <c r="M301" s="1253" t="s">
        <v>4577</v>
      </c>
      <c r="N301" s="1253" t="s">
        <v>4578</v>
      </c>
      <c r="O301" s="1253" t="s">
        <v>4579</v>
      </c>
      <c r="P301" s="1253" t="s">
        <v>4580</v>
      </c>
      <c r="Q301" s="1253" t="s">
        <v>4581</v>
      </c>
      <c r="R301" s="1253" t="s">
        <v>4582</v>
      </c>
      <c r="S301" s="1253" t="s">
        <v>4583</v>
      </c>
      <c r="T301" s="1090" t="s">
        <v>4584</v>
      </c>
    </row>
    <row r="302" spans="1:20" x14ac:dyDescent="0.25">
      <c r="A302" s="5818">
        <v>29101677</v>
      </c>
      <c r="B302" s="4915" t="s">
        <v>3345</v>
      </c>
      <c r="C302" s="1218" t="s">
        <v>4567</v>
      </c>
      <c r="D302" s="531" t="s">
        <v>4568</v>
      </c>
      <c r="E302" s="531" t="s">
        <v>4569</v>
      </c>
      <c r="F302" s="531" t="s">
        <v>4570</v>
      </c>
      <c r="G302" s="531" t="s">
        <v>4571</v>
      </c>
      <c r="H302" s="531" t="s">
        <v>4572</v>
      </c>
      <c r="I302" s="531" t="s">
        <v>4573</v>
      </c>
      <c r="J302" s="531" t="s">
        <v>4574</v>
      </c>
      <c r="K302" s="531" t="s">
        <v>4575</v>
      </c>
      <c r="L302" s="531" t="s">
        <v>4576</v>
      </c>
      <c r="M302" s="531" t="s">
        <v>4577</v>
      </c>
      <c r="N302" s="531" t="s">
        <v>4578</v>
      </c>
      <c r="O302" s="531" t="s">
        <v>4579</v>
      </c>
      <c r="P302" s="531" t="s">
        <v>4580</v>
      </c>
      <c r="Q302" s="531" t="s">
        <v>4581</v>
      </c>
      <c r="R302" s="531" t="s">
        <v>4582</v>
      </c>
      <c r="S302" s="531" t="s">
        <v>4583</v>
      </c>
      <c r="T302" s="107" t="s">
        <v>4584</v>
      </c>
    </row>
    <row r="303" spans="1:20" x14ac:dyDescent="0.25">
      <c r="A303" s="5818">
        <v>28022970</v>
      </c>
      <c r="B303" s="4877" t="s">
        <v>3523</v>
      </c>
      <c r="C303" s="1218" t="s">
        <v>4567</v>
      </c>
      <c r="D303" s="531" t="s">
        <v>4568</v>
      </c>
      <c r="E303" s="531" t="s">
        <v>4569</v>
      </c>
      <c r="F303" s="531" t="s">
        <v>4570</v>
      </c>
      <c r="G303" s="531" t="s">
        <v>4571</v>
      </c>
      <c r="H303" s="531" t="s">
        <v>4572</v>
      </c>
      <c r="I303" s="531" t="s">
        <v>4573</v>
      </c>
      <c r="J303" s="531" t="s">
        <v>4574</v>
      </c>
      <c r="K303" s="531" t="s">
        <v>4575</v>
      </c>
      <c r="L303" s="531" t="s">
        <v>4576</v>
      </c>
      <c r="M303" s="531" t="s">
        <v>4577</v>
      </c>
      <c r="N303" s="531" t="s">
        <v>4578</v>
      </c>
      <c r="O303" s="531" t="s">
        <v>4579</v>
      </c>
      <c r="P303" s="531" t="s">
        <v>4580</v>
      </c>
      <c r="Q303" s="531" t="s">
        <v>4581</v>
      </c>
      <c r="R303" s="531" t="s">
        <v>4582</v>
      </c>
      <c r="S303" s="531" t="s">
        <v>4583</v>
      </c>
      <c r="T303" s="107" t="s">
        <v>4584</v>
      </c>
    </row>
    <row r="304" spans="1:20" x14ac:dyDescent="0.25">
      <c r="A304" s="5818">
        <v>28022980</v>
      </c>
      <c r="B304" s="4877" t="s">
        <v>3524</v>
      </c>
      <c r="C304" s="1218" t="s">
        <v>4567</v>
      </c>
      <c r="D304" s="531" t="s">
        <v>4568</v>
      </c>
      <c r="E304" s="531" t="s">
        <v>4569</v>
      </c>
      <c r="F304" s="531" t="s">
        <v>4570</v>
      </c>
      <c r="G304" s="531" t="s">
        <v>4571</v>
      </c>
      <c r="H304" s="531" t="s">
        <v>4572</v>
      </c>
      <c r="I304" s="531" t="s">
        <v>4573</v>
      </c>
      <c r="J304" s="531" t="s">
        <v>4574</v>
      </c>
      <c r="K304" s="531" t="s">
        <v>4575</v>
      </c>
      <c r="L304" s="531" t="s">
        <v>4576</v>
      </c>
      <c r="M304" s="531" t="s">
        <v>4577</v>
      </c>
      <c r="N304" s="531" t="s">
        <v>4578</v>
      </c>
      <c r="O304" s="531" t="s">
        <v>4579</v>
      </c>
      <c r="P304" s="531" t="s">
        <v>4580</v>
      </c>
      <c r="Q304" s="531" t="s">
        <v>4581</v>
      </c>
      <c r="R304" s="531" t="s">
        <v>4582</v>
      </c>
      <c r="S304" s="531" t="s">
        <v>4583</v>
      </c>
      <c r="T304" s="107" t="s">
        <v>4584</v>
      </c>
    </row>
    <row r="305" spans="1:20" x14ac:dyDescent="0.25">
      <c r="A305" s="5818">
        <v>29101678</v>
      </c>
      <c r="B305" s="4915" t="s">
        <v>3346</v>
      </c>
      <c r="C305" s="1218" t="s">
        <v>4567</v>
      </c>
      <c r="D305" s="1253" t="s">
        <v>4568</v>
      </c>
      <c r="E305" s="1253" t="s">
        <v>4569</v>
      </c>
      <c r="F305" s="1253" t="s">
        <v>4570</v>
      </c>
      <c r="G305" s="1253" t="s">
        <v>4571</v>
      </c>
      <c r="H305" s="1253" t="s">
        <v>4572</v>
      </c>
      <c r="I305" s="1253" t="s">
        <v>4573</v>
      </c>
      <c r="J305" s="1253" t="s">
        <v>4574</v>
      </c>
      <c r="K305" s="1253" t="s">
        <v>4575</v>
      </c>
      <c r="L305" s="1253" t="s">
        <v>4576</v>
      </c>
      <c r="M305" s="1253" t="s">
        <v>4577</v>
      </c>
      <c r="N305" s="1253" t="s">
        <v>4578</v>
      </c>
      <c r="O305" s="1253" t="s">
        <v>4579</v>
      </c>
      <c r="P305" s="1253" t="s">
        <v>4580</v>
      </c>
      <c r="Q305" s="1253" t="s">
        <v>4581</v>
      </c>
      <c r="R305" s="1253" t="s">
        <v>4582</v>
      </c>
      <c r="S305" s="1253" t="s">
        <v>4583</v>
      </c>
      <c r="T305" s="1090" t="s">
        <v>4584</v>
      </c>
    </row>
    <row r="306" spans="1:20" x14ac:dyDescent="0.25">
      <c r="A306" s="5818">
        <v>29101679</v>
      </c>
      <c r="B306" s="4761" t="s">
        <v>3433</v>
      </c>
      <c r="C306" s="1218" t="s">
        <v>4567</v>
      </c>
      <c r="D306" s="1253" t="s">
        <v>4568</v>
      </c>
      <c r="E306" s="1253" t="s">
        <v>4569</v>
      </c>
      <c r="F306" s="1253" t="s">
        <v>4570</v>
      </c>
      <c r="G306" s="1253" t="s">
        <v>4571</v>
      </c>
      <c r="H306" s="1253" t="s">
        <v>4572</v>
      </c>
      <c r="I306" s="1253" t="s">
        <v>4573</v>
      </c>
      <c r="J306" s="1253" t="s">
        <v>4574</v>
      </c>
      <c r="K306" s="1253" t="s">
        <v>4575</v>
      </c>
      <c r="L306" s="1253" t="s">
        <v>4576</v>
      </c>
      <c r="M306" s="1253" t="s">
        <v>4577</v>
      </c>
      <c r="N306" s="1253" t="s">
        <v>4578</v>
      </c>
      <c r="O306" s="1253" t="s">
        <v>4579</v>
      </c>
      <c r="P306" s="1253" t="s">
        <v>4580</v>
      </c>
      <c r="Q306" s="1253" t="s">
        <v>4581</v>
      </c>
      <c r="R306" s="1253" t="s">
        <v>4582</v>
      </c>
      <c r="S306" s="1253" t="s">
        <v>4583</v>
      </c>
      <c r="T306" s="1090" t="s">
        <v>4584</v>
      </c>
    </row>
    <row r="307" spans="1:20" x14ac:dyDescent="0.25">
      <c r="A307" s="5818">
        <v>29101680</v>
      </c>
      <c r="B307" s="1198" t="s">
        <v>3525</v>
      </c>
      <c r="C307" s="1218" t="s">
        <v>4567</v>
      </c>
      <c r="D307" s="1253" t="s">
        <v>4568</v>
      </c>
      <c r="E307" s="1253" t="s">
        <v>4569</v>
      </c>
      <c r="F307" s="1253" t="s">
        <v>4570</v>
      </c>
      <c r="G307" s="1253" t="s">
        <v>4571</v>
      </c>
      <c r="H307" s="1253" t="s">
        <v>4572</v>
      </c>
      <c r="I307" s="1253" t="s">
        <v>4573</v>
      </c>
      <c r="J307" s="1253" t="s">
        <v>4574</v>
      </c>
      <c r="K307" s="1253" t="s">
        <v>4575</v>
      </c>
      <c r="L307" s="1253" t="s">
        <v>4576</v>
      </c>
      <c r="M307" s="1253" t="s">
        <v>4577</v>
      </c>
      <c r="N307" s="1253" t="s">
        <v>4578</v>
      </c>
      <c r="O307" s="1253" t="s">
        <v>4579</v>
      </c>
      <c r="P307" s="1253" t="s">
        <v>4580</v>
      </c>
      <c r="Q307" s="1253" t="s">
        <v>4581</v>
      </c>
      <c r="R307" s="1253" t="s">
        <v>4582</v>
      </c>
      <c r="S307" s="1253" t="s">
        <v>4583</v>
      </c>
      <c r="T307" s="1090" t="s">
        <v>4584</v>
      </c>
    </row>
    <row r="308" spans="1:20" x14ac:dyDescent="0.25">
      <c r="A308" s="5818">
        <v>29101681</v>
      </c>
      <c r="B308" s="1198" t="s">
        <v>3332</v>
      </c>
      <c r="C308" s="1218" t="s">
        <v>4567</v>
      </c>
      <c r="D308" s="1253" t="s">
        <v>4568</v>
      </c>
      <c r="E308" s="1253" t="s">
        <v>4569</v>
      </c>
      <c r="F308" s="1253" t="s">
        <v>4570</v>
      </c>
      <c r="G308" s="1253" t="s">
        <v>4571</v>
      </c>
      <c r="H308" s="1253" t="s">
        <v>4572</v>
      </c>
      <c r="I308" s="1253" t="s">
        <v>4573</v>
      </c>
      <c r="J308" s="1253" t="s">
        <v>4574</v>
      </c>
      <c r="K308" s="1253" t="s">
        <v>4575</v>
      </c>
      <c r="L308" s="1253" t="s">
        <v>4576</v>
      </c>
      <c r="M308" s="1253" t="s">
        <v>4577</v>
      </c>
      <c r="N308" s="1253" t="s">
        <v>4578</v>
      </c>
      <c r="O308" s="1253" t="s">
        <v>4579</v>
      </c>
      <c r="P308" s="1253" t="s">
        <v>4580</v>
      </c>
      <c r="Q308" s="1253" t="s">
        <v>4581</v>
      </c>
      <c r="R308" s="1253" t="s">
        <v>4582</v>
      </c>
      <c r="S308" s="1253" t="s">
        <v>4583</v>
      </c>
      <c r="T308" s="1090" t="s">
        <v>4584</v>
      </c>
    </row>
    <row r="309" spans="1:20" x14ac:dyDescent="0.25">
      <c r="A309" s="5818">
        <v>29101682</v>
      </c>
      <c r="B309" s="1198" t="s">
        <v>3437</v>
      </c>
      <c r="C309" s="3585" t="s">
        <v>4567</v>
      </c>
      <c r="D309" s="580" t="s">
        <v>4568</v>
      </c>
      <c r="E309" s="580" t="s">
        <v>4569</v>
      </c>
      <c r="F309" s="580" t="s">
        <v>4570</v>
      </c>
      <c r="G309" s="580" t="s">
        <v>4571</v>
      </c>
      <c r="H309" s="580" t="s">
        <v>4572</v>
      </c>
      <c r="I309" s="580" t="s">
        <v>4573</v>
      </c>
      <c r="J309" s="580" t="s">
        <v>4574</v>
      </c>
      <c r="K309" s="580" t="s">
        <v>4575</v>
      </c>
      <c r="L309" s="580" t="s">
        <v>4576</v>
      </c>
      <c r="M309" s="580" t="s">
        <v>4577</v>
      </c>
      <c r="N309" s="580" t="s">
        <v>4578</v>
      </c>
      <c r="O309" s="580" t="s">
        <v>4579</v>
      </c>
      <c r="P309" s="580" t="s">
        <v>4580</v>
      </c>
      <c r="Q309" s="580" t="s">
        <v>4581</v>
      </c>
      <c r="R309" s="580" t="s">
        <v>4582</v>
      </c>
      <c r="S309" s="580" t="s">
        <v>4583</v>
      </c>
      <c r="T309" s="2" t="s">
        <v>4584</v>
      </c>
    </row>
    <row r="310" spans="1:20" x14ac:dyDescent="0.25">
      <c r="A310" s="5818">
        <v>28022990</v>
      </c>
      <c r="B310" s="4998" t="s">
        <v>3526</v>
      </c>
      <c r="C310" s="1225" t="s">
        <v>4567</v>
      </c>
      <c r="D310" s="1258" t="s">
        <v>4568</v>
      </c>
      <c r="E310" s="1258" t="s">
        <v>4569</v>
      </c>
      <c r="F310" s="1258" t="s">
        <v>4570</v>
      </c>
      <c r="G310" s="1258" t="s">
        <v>4571</v>
      </c>
      <c r="H310" s="1258" t="s">
        <v>4572</v>
      </c>
      <c r="I310" s="1258" t="s">
        <v>4573</v>
      </c>
      <c r="J310" s="1258" t="s">
        <v>4574</v>
      </c>
      <c r="K310" s="1258" t="s">
        <v>4575</v>
      </c>
      <c r="L310" s="1258" t="s">
        <v>4576</v>
      </c>
      <c r="M310" s="1258" t="s">
        <v>4577</v>
      </c>
      <c r="N310" s="1258" t="s">
        <v>4578</v>
      </c>
      <c r="O310" s="1258" t="s">
        <v>4579</v>
      </c>
      <c r="P310" s="1258" t="s">
        <v>4580</v>
      </c>
      <c r="Q310" s="1258" t="s">
        <v>4581</v>
      </c>
      <c r="R310" s="1258" t="s">
        <v>4582</v>
      </c>
      <c r="S310" s="1258" t="s">
        <v>4583</v>
      </c>
      <c r="T310" s="387" t="s">
        <v>4584</v>
      </c>
    </row>
    <row r="313" spans="1:20" x14ac:dyDescent="0.25">
      <c r="A313" t="s">
        <v>4777</v>
      </c>
    </row>
    <row r="314" spans="1:20" x14ac:dyDescent="0.25">
      <c r="A314" s="5812">
        <v>28022210</v>
      </c>
    </row>
    <row r="315" spans="1:20" x14ac:dyDescent="0.25">
      <c r="A315" s="5812">
        <v>28022220</v>
      </c>
    </row>
    <row r="316" spans="1:20" x14ac:dyDescent="0.25">
      <c r="A316" t="s">
        <v>4566</v>
      </c>
    </row>
    <row r="317" spans="1:20" x14ac:dyDescent="0.25">
      <c r="A317" s="5813">
        <v>28201001</v>
      </c>
    </row>
    <row r="318" spans="1:20" x14ac:dyDescent="0.25">
      <c r="A318" s="5813">
        <v>28201002</v>
      </c>
    </row>
    <row r="319" spans="1:20" x14ac:dyDescent="0.25">
      <c r="A319" s="5813">
        <v>28201003</v>
      </c>
    </row>
    <row r="350" spans="2:3" hidden="1" x14ac:dyDescent="0.25">
      <c r="B350" s="4999">
        <f>SUM(C13:C24,C29:C52,C56:C60,C65:C68,C73:C76,C97:F97,C105:F105,C113:F113,C117:C118,C122:C124,D128:M143,C149:C177,C179:C183,C188:C194,C200:C205,C211:C214,C218:C221,C249,C254:C256,C260:C286,C290:C310)</f>
        <v>0</v>
      </c>
      <c r="C350" s="4999" t="e">
        <f>SUM(CN13:CR214)</f>
        <v>#VALUE!</v>
      </c>
    </row>
  </sheetData>
  <mergeCells count="138">
    <mergeCell ref="U197:Y197"/>
    <mergeCell ref="U198:W198"/>
    <mergeCell ref="X198:Y198"/>
    <mergeCell ref="B185:B187"/>
    <mergeCell ref="C185:C187"/>
    <mergeCell ref="D185:T186"/>
    <mergeCell ref="U185:Y185"/>
    <mergeCell ref="U186:W186"/>
    <mergeCell ref="X186:Y186"/>
    <mergeCell ref="B197:B199"/>
    <mergeCell ref="C197:C199"/>
    <mergeCell ref="D197:T198"/>
    <mergeCell ref="B288:B289"/>
    <mergeCell ref="C288:C289"/>
    <mergeCell ref="D288:T288"/>
    <mergeCell ref="B252:B253"/>
    <mergeCell ref="C252:C253"/>
    <mergeCell ref="B208:B210"/>
    <mergeCell ref="C208:C210"/>
    <mergeCell ref="D208:T209"/>
    <mergeCell ref="U208:Y208"/>
    <mergeCell ref="U209:W209"/>
    <mergeCell ref="X209:Y209"/>
    <mergeCell ref="D252:T252"/>
    <mergeCell ref="B258:B259"/>
    <mergeCell ref="C258:C259"/>
    <mergeCell ref="D258:T258"/>
    <mergeCell ref="AN146:AP146"/>
    <mergeCell ref="F147:G147"/>
    <mergeCell ref="H147:I147"/>
    <mergeCell ref="J147:K147"/>
    <mergeCell ref="L147:M147"/>
    <mergeCell ref="N147:O147"/>
    <mergeCell ref="P147:Q147"/>
    <mergeCell ref="R147:S147"/>
    <mergeCell ref="T147:U147"/>
    <mergeCell ref="V147:W147"/>
    <mergeCell ref="AO147:AP147"/>
    <mergeCell ref="AJ147:AK147"/>
    <mergeCell ref="AL147:AM147"/>
    <mergeCell ref="AN147:AN148"/>
    <mergeCell ref="AD147:AE147"/>
    <mergeCell ref="AF147:AG147"/>
    <mergeCell ref="AH147:AI147"/>
    <mergeCell ref="B137:B142"/>
    <mergeCell ref="B146:B148"/>
    <mergeCell ref="C146:E147"/>
    <mergeCell ref="F146:AM146"/>
    <mergeCell ref="X147:Y147"/>
    <mergeCell ref="Z147:AA147"/>
    <mergeCell ref="AB147:AC147"/>
    <mergeCell ref="B120:B121"/>
    <mergeCell ref="C120:C121"/>
    <mergeCell ref="D120:F120"/>
    <mergeCell ref="G120:G121"/>
    <mergeCell ref="H120:H121"/>
    <mergeCell ref="I120:L120"/>
    <mergeCell ref="B126:B127"/>
    <mergeCell ref="C126:C127"/>
    <mergeCell ref="D126:E126"/>
    <mergeCell ref="F126:G126"/>
    <mergeCell ref="H126:I126"/>
    <mergeCell ref="J126:K126"/>
    <mergeCell ref="L126:M126"/>
    <mergeCell ref="B128:B131"/>
    <mergeCell ref="B132:B136"/>
    <mergeCell ref="B115:B116"/>
    <mergeCell ref="C115:C116"/>
    <mergeCell ref="D115:G115"/>
    <mergeCell ref="H115:I115"/>
    <mergeCell ref="B63:B64"/>
    <mergeCell ref="C63:C64"/>
    <mergeCell ref="D63:T63"/>
    <mergeCell ref="B54:B55"/>
    <mergeCell ref="C54:C55"/>
    <mergeCell ref="D54:G54"/>
    <mergeCell ref="B71:B72"/>
    <mergeCell ref="C71:C72"/>
    <mergeCell ref="D71:T71"/>
    <mergeCell ref="U71:X71"/>
    <mergeCell ref="Y71:AA71"/>
    <mergeCell ref="V27:W27"/>
    <mergeCell ref="X27:Y27"/>
    <mergeCell ref="Z27:AA27"/>
    <mergeCell ref="H54:I54"/>
    <mergeCell ref="AJ27:AK27"/>
    <mergeCell ref="AL27:AM27"/>
    <mergeCell ref="AN27:AN28"/>
    <mergeCell ref="U63:X63"/>
    <mergeCell ref="Y63:AA63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S10:AS12"/>
    <mergeCell ref="AT10:AT12"/>
    <mergeCell ref="F11:G11"/>
    <mergeCell ref="H11:I11"/>
    <mergeCell ref="J11:K11"/>
    <mergeCell ref="L11:M11"/>
    <mergeCell ref="N11:O11"/>
    <mergeCell ref="P11:Q11"/>
    <mergeCell ref="R11:S11"/>
    <mergeCell ref="T11:U11"/>
    <mergeCell ref="AD11:AE11"/>
    <mergeCell ref="AF11:AG11"/>
    <mergeCell ref="AH11:AI11"/>
    <mergeCell ref="AJ11:AK11"/>
    <mergeCell ref="AL11:AM11"/>
    <mergeCell ref="AN11:AN12"/>
    <mergeCell ref="AO11:AO12"/>
    <mergeCell ref="AP11:AP12"/>
    <mergeCell ref="AQ11:AQ12"/>
    <mergeCell ref="B6:O6"/>
    <mergeCell ref="B10:B12"/>
    <mergeCell ref="C10:E11"/>
    <mergeCell ref="F10:AM10"/>
    <mergeCell ref="AN10:AQ10"/>
    <mergeCell ref="AR10:AR12"/>
    <mergeCell ref="V11:W11"/>
    <mergeCell ref="X11:Y11"/>
    <mergeCell ref="Z11:AA11"/>
    <mergeCell ref="AB11:AC11"/>
  </mergeCells>
  <dataValidations count="6">
    <dataValidation allowBlank="1" showInputMessage="1" showErrorMessage="1" error="Valor no Permitido" sqref="U64 U72" xr:uid="{00000000-0002-0000-1400-000000000000}"/>
    <dataValidation type="whole" operator="greaterThanOrEqual" allowBlank="1" showInputMessage="1" showErrorMessage="1" error="Valor no Permitido" sqref="D122:L124 D260:T286 D290:T310 D65:AA68 C108:F112 D117:I118 D73:AA76 D128:M143 D211:Y214 C218:C221 C224:C248 D254:T256 D56:I60 C13:AT24 C80:F97 C100:F105 F149:AP183 D188:Y195 D200:Y206 F29:AQ44 F46:AQ52" xr:uid="{00000000-0002-0000-1400-000002000000}">
      <formula1>0</formula1>
    </dataValidation>
    <dataValidation allowBlank="1" sqref="CB6:CF6 CM53 CB53:CF53 CM6 CB29:CG52" xr:uid="{00000000-0002-0000-1400-000003000000}"/>
    <dataValidation type="whole" allowBlank="1" showInputMessage="1" showErrorMessage="1" error="Valor no Permitido" sqref="G62 D61 G70 D179:E183 D146:E177 C144:C177 F148:AM148 X63 U77:AA77 CN6:CU6 CN28 CR29 CN53:CR53 CN29:CQ52" xr:uid="{00000000-0002-0000-1400-000004000000}">
      <formula1>0</formula1>
      <formula2>1E+30</formula2>
    </dataValidation>
    <dataValidation type="whole" operator="equal" allowBlank="1" showInputMessage="1" showErrorMessage="1" error="Valor no Permitido" sqref="F45:AQ45" xr:uid="{A32120D0-91CB-42B2-9784-94D689F3ED11}">
      <formula1>0</formula1>
    </dataValidation>
    <dataValidation operator="greaterThanOrEqual" allowBlank="1" showInputMessage="1" showErrorMessage="1" error="Valor no Permitido" sqref="A13:A18 A20:A24 A37:A40 A43 A50:A52 A314:A315 A56:A60 A65:A69 A73:A77 A80 A82:A88 A91:A92 A100:A105 A108:A113 A117:A118 A122:A124 A128:A143 A149:A153 A156 A159 A174:A175 A168 A163 A170 A177 A179:A183 A188:A193 A200:A204 A211:A214 A218:A220 A239 A243 A255 A290:A292 A294:A297 A303 A45:A46 A317:A319" xr:uid="{8A7A7E07-4855-4C62-BE94-97CCD33D0EAF}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G202"/>
  <sheetViews>
    <sheetView showGridLines="0" zoomScaleNormal="100" workbookViewId="0"/>
  </sheetViews>
  <sheetFormatPr baseColWidth="10" defaultColWidth="11.42578125" defaultRowHeight="15" x14ac:dyDescent="0.25"/>
  <cols>
    <col min="1" max="1" width="19.5703125" customWidth="1"/>
    <col min="2" max="2" width="71.28515625" customWidth="1"/>
    <col min="3" max="3" width="35.42578125" customWidth="1"/>
    <col min="4" max="4" width="19.140625" customWidth="1"/>
    <col min="5" max="5" width="18" customWidth="1"/>
    <col min="6" max="6" width="13.42578125" customWidth="1"/>
    <col min="7" max="7" width="12.5703125" customWidth="1"/>
    <col min="8" max="8" width="12.7109375" customWidth="1"/>
    <col min="13" max="13" width="13.7109375" customWidth="1"/>
    <col min="14" max="14" width="12.28515625" customWidth="1"/>
    <col min="15" max="15" width="15" customWidth="1"/>
    <col min="16" max="17" width="14.7109375" customWidth="1"/>
    <col min="74" max="78" width="13.28515625" customWidth="1"/>
    <col min="79" max="79" width="12" customWidth="1"/>
    <col min="80" max="85" width="11.42578125" hidden="1" customWidth="1"/>
    <col min="86" max="105" width="11.42578125" customWidth="1"/>
    <col min="106" max="106" width="12" customWidth="1"/>
  </cols>
  <sheetData>
    <row r="1" spans="1:85" x14ac:dyDescent="0.25">
      <c r="B1" s="50" t="s">
        <v>23</v>
      </c>
    </row>
    <row r="2" spans="1:85" x14ac:dyDescent="0.25">
      <c r="B2" s="50" t="str">
        <f>CONCATENATE("COMUNA: ",NOMBRE!B2, " (",NOMBRE!C2,NOMBRE!D2,NOMBRE!E2,NOMBRE!F2,NOMBRE!G2,")")</f>
        <v>COMUNA:  ()</v>
      </c>
    </row>
    <row r="3" spans="1:85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B4" s="50" t="str">
        <f>CONCATENATE("MES: ",NOMBRE!B6, " (",NOMBRE!C6,NOMBRE!D6,")")</f>
        <v>MES:  ()</v>
      </c>
    </row>
    <row r="5" spans="1:85" x14ac:dyDescent="0.25">
      <c r="B5" s="50" t="str">
        <f>CONCATENATE("AÑO: ",NOMBRE!B7)</f>
        <v>AÑO: 2025</v>
      </c>
    </row>
    <row r="6" spans="1:85" s="9" customFormat="1" ht="18" customHeight="1" x14ac:dyDescent="0.2">
      <c r="B6" s="6087" t="s">
        <v>3527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CB6" s="89"/>
      <c r="CC6" s="89"/>
      <c r="CD6" s="89"/>
      <c r="CE6" s="89"/>
      <c r="CF6" s="89"/>
      <c r="CG6" s="89"/>
    </row>
    <row r="8" spans="1:85" ht="18" customHeight="1" x14ac:dyDescent="0.25">
      <c r="B8" s="897" t="s">
        <v>3528</v>
      </c>
      <c r="C8" s="8"/>
      <c r="D8" s="4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85" ht="50.25" customHeight="1" x14ac:dyDescent="0.25">
      <c r="B9" s="7682" t="s">
        <v>3529</v>
      </c>
      <c r="C9" s="7291" t="s">
        <v>77</v>
      </c>
      <c r="D9" s="7298"/>
      <c r="E9" s="7244"/>
      <c r="F9" s="7719" t="s">
        <v>3530</v>
      </c>
      <c r="G9" s="7719"/>
      <c r="H9" s="7719" t="s">
        <v>44</v>
      </c>
      <c r="I9" s="7719"/>
      <c r="J9" s="7719" t="s">
        <v>3087</v>
      </c>
      <c r="K9" s="7719"/>
      <c r="L9" s="7719" t="s">
        <v>664</v>
      </c>
      <c r="M9" s="7720"/>
      <c r="N9" s="7721" t="s">
        <v>3531</v>
      </c>
      <c r="O9" s="7722"/>
      <c r="P9" s="7722" t="s">
        <v>3532</v>
      </c>
      <c r="Q9" s="7722"/>
      <c r="R9" s="7722" t="s">
        <v>3533</v>
      </c>
      <c r="S9" s="7723"/>
      <c r="T9" s="7724" t="s">
        <v>36</v>
      </c>
      <c r="U9" s="7725" t="s">
        <v>37</v>
      </c>
    </row>
    <row r="10" spans="1:85" ht="21" x14ac:dyDescent="0.25">
      <c r="B10" s="7659"/>
      <c r="C10" s="1286" t="s">
        <v>79</v>
      </c>
      <c r="D10" s="982" t="s">
        <v>58</v>
      </c>
      <c r="E10" s="921" t="s">
        <v>59</v>
      </c>
      <c r="F10" s="1287" t="s">
        <v>58</v>
      </c>
      <c r="G10" s="921" t="s">
        <v>59</v>
      </c>
      <c r="H10" s="1287" t="s">
        <v>58</v>
      </c>
      <c r="I10" s="921" t="s">
        <v>59</v>
      </c>
      <c r="J10" s="1287" t="s">
        <v>58</v>
      </c>
      <c r="K10" s="921" t="s">
        <v>59</v>
      </c>
      <c r="L10" s="1287" t="s">
        <v>58</v>
      </c>
      <c r="M10" s="984" t="s">
        <v>59</v>
      </c>
      <c r="N10" s="1288" t="s">
        <v>3534</v>
      </c>
      <c r="O10" s="1210" t="s">
        <v>2391</v>
      </c>
      <c r="P10" s="1289" t="s">
        <v>3534</v>
      </c>
      <c r="Q10" s="1210" t="s">
        <v>2391</v>
      </c>
      <c r="R10" s="1289" t="s">
        <v>3535</v>
      </c>
      <c r="S10" s="1290" t="s">
        <v>3536</v>
      </c>
      <c r="T10" s="6172"/>
      <c r="U10" s="7178"/>
    </row>
    <row r="11" spans="1:85" x14ac:dyDescent="0.25">
      <c r="A11" s="5951"/>
      <c r="B11" s="1291" t="s">
        <v>3537</v>
      </c>
      <c r="C11" s="7292"/>
      <c r="D11" s="7293"/>
      <c r="E11" s="7293"/>
      <c r="F11" s="7293"/>
      <c r="G11" s="7293"/>
      <c r="H11" s="7293"/>
      <c r="I11" s="7293"/>
      <c r="J11" s="7293"/>
      <c r="K11" s="7293"/>
      <c r="L11" s="7293"/>
      <c r="M11" s="7293"/>
      <c r="N11" s="7293"/>
      <c r="O11" s="7293"/>
      <c r="P11" s="7293"/>
      <c r="Q11" s="7293"/>
      <c r="R11" s="7293"/>
      <c r="S11" s="7293"/>
      <c r="T11" s="7293"/>
      <c r="U11" s="7294"/>
      <c r="V11" s="7"/>
    </row>
    <row r="12" spans="1:85" x14ac:dyDescent="0.25">
      <c r="A12" s="5952">
        <v>29000000</v>
      </c>
      <c r="B12" s="1117" t="s">
        <v>3538</v>
      </c>
      <c r="C12" s="1292" t="s">
        <v>4567</v>
      </c>
      <c r="D12" s="639" t="s">
        <v>4568</v>
      </c>
      <c r="E12" s="1293" t="s">
        <v>4569</v>
      </c>
      <c r="F12" s="1081" t="s">
        <v>4570</v>
      </c>
      <c r="G12" s="1082" t="s">
        <v>4571</v>
      </c>
      <c r="H12" s="1081" t="s">
        <v>4572</v>
      </c>
      <c r="I12" s="1082" t="s">
        <v>4573</v>
      </c>
      <c r="J12" s="1081" t="s">
        <v>4574</v>
      </c>
      <c r="K12" s="1082" t="s">
        <v>4575</v>
      </c>
      <c r="L12" s="1081" t="s">
        <v>4576</v>
      </c>
      <c r="M12" s="1259" t="s">
        <v>4577</v>
      </c>
      <c r="N12" s="1294" t="s">
        <v>4578</v>
      </c>
      <c r="O12" s="107" t="s">
        <v>4579</v>
      </c>
      <c r="P12" s="1081" t="s">
        <v>4580</v>
      </c>
      <c r="Q12" s="107" t="s">
        <v>4581</v>
      </c>
      <c r="R12" s="1081" t="s">
        <v>4582</v>
      </c>
      <c r="S12" s="1259" t="s">
        <v>4583</v>
      </c>
      <c r="T12" s="1294" t="s">
        <v>4584</v>
      </c>
      <c r="U12" s="107" t="s">
        <v>4585</v>
      </c>
      <c r="V12" s="1864" t="str">
        <f>CB12&amp;CC12</f>
        <v xml:space="preserve">* La variable Pueblos Originarios no puede superar el Total Ambos Sexos. * La variable Migrantes no puede superar el Total Ambos Sexos. </v>
      </c>
      <c r="BA12" s="1936"/>
      <c r="BB12" s="1936"/>
      <c r="BC12" s="1936"/>
      <c r="BD12" s="1936"/>
      <c r="BE12" s="1936"/>
      <c r="BF12" s="1936"/>
      <c r="BG12" s="1936"/>
      <c r="BH12" s="1936"/>
      <c r="BI12" s="1936"/>
      <c r="BJ12" s="1936"/>
      <c r="BK12" s="1936"/>
      <c r="BL12" s="1936"/>
      <c r="BM12" s="1936"/>
      <c r="BN12" s="1936"/>
      <c r="BO12" s="1936"/>
      <c r="BP12" s="1936"/>
      <c r="BQ12" s="1936"/>
      <c r="BR12" s="1936"/>
      <c r="BS12" s="1936"/>
      <c r="BT12" s="1936"/>
      <c r="BU12" s="1936"/>
      <c r="BV12" s="1936"/>
      <c r="BW12" s="1936"/>
      <c r="BX12" s="1936"/>
      <c r="BY12" s="1936"/>
      <c r="BZ12" s="1936"/>
      <c r="CA12" s="1936"/>
      <c r="CB12" s="1865" t="str">
        <f>IF(AND($C12&lt;&gt;0,T12=""),"* No olvide digitar la variable "&amp;T$9&amp;""&amp;". Digite CERO si no tiene. ",IF(T12&gt;$C12,"* La variable Pueblos Originarios no puede superar el Total Ambos Sexos. ",""))</f>
        <v xml:space="preserve">* La variable Pueblos Originarios no puede superar el Total Ambos Sexos. </v>
      </c>
      <c r="CC12" s="1865" t="str">
        <f>IF(AND($C12&lt;&gt;0,U12=""),"* No olvide digitar la variable "&amp;U$9&amp;""&amp;". Digite CERO si no tiene. ",IF(U12&gt;$C12,"* La variable Migrantes no puede superar el Total Ambos Sexos. ",""))</f>
        <v xml:space="preserve">* La variable Migrantes no puede superar el Total Ambos Sexos. </v>
      </c>
      <c r="CD12" s="1936"/>
      <c r="CE12" s="1936"/>
      <c r="CF12" s="1867">
        <f>IF(AND($C12&lt;&gt;0,T12=""),1,IF(T12&gt;$C12,1,0))</f>
        <v>1</v>
      </c>
      <c r="CG12" s="1867">
        <f>IF(AND($C12&lt;&gt;0,U12=""),1,IF(U12&gt;$C12,1,0))</f>
        <v>1</v>
      </c>
    </row>
    <row r="13" spans="1:85" x14ac:dyDescent="0.25">
      <c r="A13" s="5952">
        <v>29000001</v>
      </c>
      <c r="B13" s="936" t="s">
        <v>3539</v>
      </c>
      <c r="C13" s="200" t="s">
        <v>4567</v>
      </c>
      <c r="D13" s="374" t="s">
        <v>4568</v>
      </c>
      <c r="E13" s="52" t="s">
        <v>4569</v>
      </c>
      <c r="F13" s="192" t="s">
        <v>4570</v>
      </c>
      <c r="G13" s="2" t="s">
        <v>4571</v>
      </c>
      <c r="H13" s="192" t="s">
        <v>4572</v>
      </c>
      <c r="I13" s="2" t="s">
        <v>4573</v>
      </c>
      <c r="J13" s="192" t="s">
        <v>4574</v>
      </c>
      <c r="K13" s="2" t="s">
        <v>4575</v>
      </c>
      <c r="L13" s="192" t="s">
        <v>4576</v>
      </c>
      <c r="M13" s="375" t="s">
        <v>4577</v>
      </c>
      <c r="N13" s="376" t="s">
        <v>4578</v>
      </c>
      <c r="O13" s="2" t="s">
        <v>4579</v>
      </c>
      <c r="P13" s="192" t="s">
        <v>4580</v>
      </c>
      <c r="Q13" s="2" t="s">
        <v>4581</v>
      </c>
      <c r="R13" s="1089" t="s">
        <v>4582</v>
      </c>
      <c r="S13" s="1295" t="s">
        <v>4583</v>
      </c>
      <c r="T13" s="376" t="s">
        <v>4584</v>
      </c>
      <c r="U13" s="2" t="s">
        <v>4585</v>
      </c>
      <c r="V13" s="1864" t="str">
        <f t="shared" ref="V13:V15" si="0">CB13&amp;CC13</f>
        <v xml:space="preserve">* La variable Pueblos Originarios no puede superar el Total Ambos Sexos. * La variable Migrantes no puede superar el Total Ambos Sexos. </v>
      </c>
      <c r="BA13" s="1936"/>
      <c r="BB13" s="1936"/>
      <c r="BC13" s="1936"/>
      <c r="BD13" s="1936"/>
      <c r="BE13" s="1936"/>
      <c r="BF13" s="1936"/>
      <c r="BG13" s="1936"/>
      <c r="BH13" s="1936"/>
      <c r="BI13" s="1936"/>
      <c r="BJ13" s="1936"/>
      <c r="BK13" s="1936"/>
      <c r="BL13" s="1936"/>
      <c r="BM13" s="1936"/>
      <c r="BN13" s="1936"/>
      <c r="BO13" s="1936"/>
      <c r="BP13" s="1936"/>
      <c r="BQ13" s="1936"/>
      <c r="BR13" s="1936"/>
      <c r="BS13" s="1936"/>
      <c r="BT13" s="1936"/>
      <c r="BU13" s="1936"/>
      <c r="BV13" s="1936"/>
      <c r="BW13" s="1936"/>
      <c r="BX13" s="1936"/>
      <c r="BY13" s="1936"/>
      <c r="BZ13" s="1936"/>
      <c r="CA13" s="1936"/>
      <c r="CB13" s="1865" t="str">
        <f t="shared" ref="CB13:CB15" si="1">IF(AND($C13&lt;&gt;0,T13=""),"* No olvide digitar la variable "&amp;T$9&amp;""&amp;". Digite CERO si no tiene. ",IF(T13&gt;$C13,"* La variable Pueblos Originarios no puede superar el Total Ambos Sexos. ",""))</f>
        <v xml:space="preserve">* La variable Pueblos Originarios no puede superar el Total Ambos Sexos. </v>
      </c>
      <c r="CC13" s="1865" t="str">
        <f t="shared" ref="CC13:CC15" si="2">IF(AND($C13&lt;&gt;0,U13=""),"* No olvide digitar la variable "&amp;U$9&amp;""&amp;". Digite CERO si no tiene. ",IF(U13&gt;$C13,"* La variable Migrantes no puede superar el Total Ambos Sexos. ",""))</f>
        <v xml:space="preserve">* La variable Migrantes no puede superar el Total Ambos Sexos. </v>
      </c>
      <c r="CD13" s="1936"/>
      <c r="CE13" s="1936"/>
      <c r="CF13" s="1867">
        <f t="shared" ref="CF13:CG15" si="3">IF(AND($C13&lt;&gt;0,T13=""),1,IF(T13&gt;$C13,1,0))</f>
        <v>1</v>
      </c>
      <c r="CG13" s="1867">
        <f t="shared" si="3"/>
        <v>1</v>
      </c>
    </row>
    <row r="14" spans="1:85" x14ac:dyDescent="0.25">
      <c r="A14" s="5952">
        <v>29101140</v>
      </c>
      <c r="B14" s="936" t="s">
        <v>3540</v>
      </c>
      <c r="C14" s="1296" t="s">
        <v>4567</v>
      </c>
      <c r="D14" s="1297" t="s">
        <v>4568</v>
      </c>
      <c r="E14" s="1298" t="s">
        <v>4569</v>
      </c>
      <c r="F14" s="1089" t="s">
        <v>4570</v>
      </c>
      <c r="G14" s="1090" t="s">
        <v>4571</v>
      </c>
      <c r="H14" s="1089" t="s">
        <v>4572</v>
      </c>
      <c r="I14" s="1090" t="s">
        <v>4573</v>
      </c>
      <c r="J14" s="1089" t="s">
        <v>4574</v>
      </c>
      <c r="K14" s="1090" t="s">
        <v>4575</v>
      </c>
      <c r="L14" s="1089" t="s">
        <v>4576</v>
      </c>
      <c r="M14" s="1295" t="s">
        <v>4577</v>
      </c>
      <c r="N14" s="1299" t="s">
        <v>4578</v>
      </c>
      <c r="O14" s="1090" t="s">
        <v>4579</v>
      </c>
      <c r="P14" s="1089" t="s">
        <v>4580</v>
      </c>
      <c r="Q14" s="1090" t="s">
        <v>4581</v>
      </c>
      <c r="R14" s="1089" t="s">
        <v>4582</v>
      </c>
      <c r="S14" s="1300" t="s">
        <v>4583</v>
      </c>
      <c r="T14" s="1299" t="s">
        <v>4584</v>
      </c>
      <c r="U14" s="1090" t="s">
        <v>4585</v>
      </c>
      <c r="V14" s="1864" t="str">
        <f t="shared" si="0"/>
        <v xml:space="preserve">* La variable Pueblos Originarios no puede superar el Total Ambos Sexos. * La variable Migrantes no puede superar el Total Ambos Sexos. </v>
      </c>
      <c r="BA14" s="1936"/>
      <c r="BB14" s="1936"/>
      <c r="BC14" s="1936"/>
      <c r="BD14" s="1936"/>
      <c r="BE14" s="1936"/>
      <c r="BF14" s="1936"/>
      <c r="BG14" s="1936"/>
      <c r="BH14" s="1936"/>
      <c r="BI14" s="1936"/>
      <c r="BJ14" s="1936"/>
      <c r="BK14" s="1936"/>
      <c r="BL14" s="1936"/>
      <c r="BM14" s="1936"/>
      <c r="BN14" s="1936"/>
      <c r="BO14" s="1936"/>
      <c r="BP14" s="1936"/>
      <c r="BQ14" s="1936"/>
      <c r="BR14" s="1936"/>
      <c r="BS14" s="1936"/>
      <c r="BT14" s="1936"/>
      <c r="BU14" s="1936"/>
      <c r="BV14" s="1936"/>
      <c r="BW14" s="1936"/>
      <c r="BX14" s="1936"/>
      <c r="BY14" s="1936"/>
      <c r="BZ14" s="1936"/>
      <c r="CA14" s="1936"/>
      <c r="CB14" s="1865" t="str">
        <f t="shared" si="1"/>
        <v xml:space="preserve">* La variable Pueblos Originarios no puede superar el Total Ambos Sexos. </v>
      </c>
      <c r="CC14" s="1865" t="str">
        <f t="shared" si="2"/>
        <v xml:space="preserve">* La variable Migrantes no puede superar el Total Ambos Sexos. </v>
      </c>
      <c r="CD14" s="1936"/>
      <c r="CE14" s="1936"/>
      <c r="CF14" s="1867">
        <f t="shared" si="3"/>
        <v>1</v>
      </c>
      <c r="CG14" s="1867">
        <f t="shared" si="3"/>
        <v>1</v>
      </c>
    </row>
    <row r="15" spans="1:85" x14ac:dyDescent="0.25">
      <c r="A15" s="5952">
        <v>29101150</v>
      </c>
      <c r="B15" s="936" t="s">
        <v>3541</v>
      </c>
      <c r="C15" s="1301" t="s">
        <v>4567</v>
      </c>
      <c r="D15" s="1302" t="s">
        <v>4568</v>
      </c>
      <c r="E15" s="52" t="s">
        <v>4569</v>
      </c>
      <c r="F15" s="192" t="s">
        <v>4570</v>
      </c>
      <c r="G15" s="2" t="s">
        <v>4571</v>
      </c>
      <c r="H15" s="192" t="s">
        <v>4572</v>
      </c>
      <c r="I15" s="2" t="s">
        <v>4573</v>
      </c>
      <c r="J15" s="192" t="s">
        <v>4574</v>
      </c>
      <c r="K15" s="2" t="s">
        <v>4575</v>
      </c>
      <c r="L15" s="192" t="s">
        <v>4576</v>
      </c>
      <c r="M15" s="375" t="s">
        <v>4577</v>
      </c>
      <c r="N15" s="1303" t="s">
        <v>4578</v>
      </c>
      <c r="O15" s="2" t="s">
        <v>4579</v>
      </c>
      <c r="P15" s="1114" t="s">
        <v>4580</v>
      </c>
      <c r="Q15" s="2" t="s">
        <v>4581</v>
      </c>
      <c r="R15" s="1114" t="s">
        <v>4582</v>
      </c>
      <c r="S15" s="380" t="s">
        <v>4583</v>
      </c>
      <c r="T15" s="1303" t="s">
        <v>4584</v>
      </c>
      <c r="U15" s="2" t="s">
        <v>4585</v>
      </c>
      <c r="V15" s="1864" t="str">
        <f t="shared" si="0"/>
        <v xml:space="preserve">* La variable Pueblos Originarios no puede superar el Total Ambos Sexos. * La variable Migrantes no puede superar el Total Ambos Sexos. </v>
      </c>
      <c r="BA15" s="1936"/>
      <c r="BB15" s="1936"/>
      <c r="BC15" s="1936"/>
      <c r="BD15" s="1936"/>
      <c r="BE15" s="1936"/>
      <c r="BF15" s="1936"/>
      <c r="BG15" s="1936"/>
      <c r="BH15" s="1936"/>
      <c r="BI15" s="1936"/>
      <c r="BJ15" s="1936"/>
      <c r="BK15" s="1936"/>
      <c r="BL15" s="1936"/>
      <c r="BM15" s="1936"/>
      <c r="BN15" s="1936"/>
      <c r="BO15" s="1936"/>
      <c r="BP15" s="1936"/>
      <c r="BQ15" s="1936"/>
      <c r="BR15" s="1936"/>
      <c r="BS15" s="1936"/>
      <c r="BT15" s="1936"/>
      <c r="BU15" s="1936"/>
      <c r="BV15" s="1936"/>
      <c r="BW15" s="1936"/>
      <c r="BX15" s="1936"/>
      <c r="BY15" s="1936"/>
      <c r="BZ15" s="1936"/>
      <c r="CA15" s="1936"/>
      <c r="CB15" s="1865" t="str">
        <f t="shared" si="1"/>
        <v xml:space="preserve">* La variable Pueblos Originarios no puede superar el Total Ambos Sexos. </v>
      </c>
      <c r="CC15" s="1865" t="str">
        <f t="shared" si="2"/>
        <v xml:space="preserve">* La variable Migrantes no puede superar el Total Ambos Sexos. </v>
      </c>
      <c r="CD15" s="1936"/>
      <c r="CE15" s="1936"/>
      <c r="CF15" s="1867">
        <f t="shared" si="3"/>
        <v>1</v>
      </c>
      <c r="CG15" s="1867">
        <f t="shared" si="3"/>
        <v>1</v>
      </c>
    </row>
    <row r="16" spans="1:85" x14ac:dyDescent="0.25">
      <c r="A16" s="5953"/>
      <c r="B16" s="1291" t="s">
        <v>3542</v>
      </c>
      <c r="C16" s="7292"/>
      <c r="D16" s="7293"/>
      <c r="E16" s="7293"/>
      <c r="F16" s="7293"/>
      <c r="G16" s="7293"/>
      <c r="H16" s="7293"/>
      <c r="I16" s="7293"/>
      <c r="J16" s="7293"/>
      <c r="K16" s="7293"/>
      <c r="L16" s="7293"/>
      <c r="M16" s="7293"/>
      <c r="N16" s="7293"/>
      <c r="O16" s="7293"/>
      <c r="P16" s="7293"/>
      <c r="Q16" s="7293"/>
      <c r="R16" s="7293"/>
      <c r="S16" s="7293"/>
      <c r="T16" s="7293"/>
      <c r="U16" s="7294"/>
    </row>
    <row r="17" spans="1:85" x14ac:dyDescent="0.25">
      <c r="A17" s="5944" t="s">
        <v>6029</v>
      </c>
      <c r="B17" s="1142" t="s">
        <v>3543</v>
      </c>
      <c r="C17" s="1292" t="s">
        <v>4567</v>
      </c>
      <c r="D17" s="639" t="s">
        <v>4568</v>
      </c>
      <c r="E17" s="108" t="s">
        <v>4569</v>
      </c>
      <c r="F17" s="290" t="s">
        <v>4570</v>
      </c>
      <c r="G17" s="107" t="s">
        <v>4571</v>
      </c>
      <c r="H17" s="290" t="s">
        <v>4572</v>
      </c>
      <c r="I17" s="107" t="s">
        <v>4573</v>
      </c>
      <c r="J17" s="290" t="s">
        <v>4574</v>
      </c>
      <c r="K17" s="107" t="s">
        <v>4575</v>
      </c>
      <c r="L17" s="290" t="s">
        <v>4576</v>
      </c>
      <c r="M17" s="61" t="s">
        <v>4577</v>
      </c>
      <c r="N17" s="1304" t="s">
        <v>4578</v>
      </c>
      <c r="O17" s="130" t="s">
        <v>4579</v>
      </c>
      <c r="P17" s="1305" t="s">
        <v>4580</v>
      </c>
      <c r="Q17" s="130" t="s">
        <v>4581</v>
      </c>
      <c r="R17" s="1081" t="s">
        <v>4582</v>
      </c>
      <c r="S17" s="240" t="s">
        <v>4583</v>
      </c>
      <c r="T17" s="1294" t="s">
        <v>4584</v>
      </c>
      <c r="U17" s="107" t="s">
        <v>4585</v>
      </c>
      <c r="V17" s="1864" t="str">
        <f t="shared" ref="V17:V22" si="4">CB17&amp;CC17</f>
        <v xml:space="preserve">* La variable Pueblos Originarios no puede superar el Total Ambos Sexos. * La variable Migrantes no puede superar el Total Ambos Sexos. </v>
      </c>
      <c r="BA17" s="1936"/>
      <c r="BB17" s="1936"/>
      <c r="BC17" s="1936"/>
      <c r="BD17" s="1936"/>
      <c r="BE17" s="1936"/>
      <c r="BF17" s="1936"/>
      <c r="BG17" s="1936"/>
      <c r="BH17" s="1936"/>
      <c r="BI17" s="1936"/>
      <c r="BJ17" s="1936"/>
      <c r="BK17" s="1936"/>
      <c r="BL17" s="1936"/>
      <c r="BM17" s="1936"/>
      <c r="BN17" s="1936"/>
      <c r="BO17" s="1936"/>
      <c r="BP17" s="1936"/>
      <c r="BQ17" s="1936"/>
      <c r="BR17" s="1936"/>
      <c r="BS17" s="1936"/>
      <c r="BT17" s="1936"/>
      <c r="BU17" s="1936"/>
      <c r="BV17" s="1936"/>
      <c r="BW17" s="1936"/>
      <c r="BX17" s="1936"/>
      <c r="BY17" s="1936"/>
      <c r="BZ17" s="1936"/>
      <c r="CA17" s="1936"/>
      <c r="CB17" s="1865" t="str">
        <f t="shared" ref="CB17:CB22" si="5">IF(AND($C17&lt;&gt;0,T17=""),"* No olvide digitar la variable "&amp;T$9&amp;""&amp;". Digite CERO si no tiene. ",IF(T17&gt;$C17,"* La variable Pueblos Originarios no puede superar el Total Ambos Sexos. ",""))</f>
        <v xml:space="preserve">* La variable Pueblos Originarios no puede superar el Total Ambos Sexos. </v>
      </c>
      <c r="CC17" s="1865" t="str">
        <f t="shared" ref="CC17:CC22" si="6">IF(AND($C17&lt;&gt;0,U17=""),"* No olvide digitar la variable "&amp;U$9&amp;""&amp;". Digite CERO si no tiene. ",IF(U17&gt;$C17,"* La variable Migrantes no puede superar el Total Ambos Sexos. ",""))</f>
        <v xml:space="preserve">* La variable Migrantes no puede superar el Total Ambos Sexos. </v>
      </c>
      <c r="CD17" s="1936"/>
      <c r="CE17" s="1936"/>
      <c r="CF17" s="1867">
        <f t="shared" ref="CF17:CG22" si="7">IF(AND($C17&lt;&gt;0,T17=""),1,IF(T17&gt;$C17,1,0))</f>
        <v>1</v>
      </c>
      <c r="CG17" s="1867">
        <f t="shared" si="7"/>
        <v>1</v>
      </c>
    </row>
    <row r="18" spans="1:85" x14ac:dyDescent="0.25">
      <c r="A18" s="5944" t="s">
        <v>6030</v>
      </c>
      <c r="B18" s="1306" t="s">
        <v>3544</v>
      </c>
      <c r="C18" s="1296" t="s">
        <v>4567</v>
      </c>
      <c r="D18" s="1297" t="s">
        <v>4568</v>
      </c>
      <c r="E18" s="1298" t="s">
        <v>4569</v>
      </c>
      <c r="F18" s="1089" t="s">
        <v>4570</v>
      </c>
      <c r="G18" s="1090" t="s">
        <v>4571</v>
      </c>
      <c r="H18" s="1089" t="s">
        <v>4572</v>
      </c>
      <c r="I18" s="1090" t="s">
        <v>4573</v>
      </c>
      <c r="J18" s="1089" t="s">
        <v>4574</v>
      </c>
      <c r="K18" s="1090" t="s">
        <v>4575</v>
      </c>
      <c r="L18" s="1089" t="s">
        <v>4576</v>
      </c>
      <c r="M18" s="1295" t="s">
        <v>4577</v>
      </c>
      <c r="N18" s="1307" t="s">
        <v>4578</v>
      </c>
      <c r="O18" s="1308" t="s">
        <v>4579</v>
      </c>
      <c r="P18" s="1309" t="s">
        <v>4580</v>
      </c>
      <c r="Q18" s="1308" t="s">
        <v>4581</v>
      </c>
      <c r="R18" s="1089" t="s">
        <v>4582</v>
      </c>
      <c r="S18" s="1300" t="s">
        <v>4583</v>
      </c>
      <c r="T18" s="1299" t="s">
        <v>4584</v>
      </c>
      <c r="U18" s="1090" t="s">
        <v>4585</v>
      </c>
      <c r="V18" s="1864" t="str">
        <f t="shared" si="4"/>
        <v xml:space="preserve">* La variable Pueblos Originarios no puede superar el Total Ambos Sexos. * La variable Migrantes no puede superar el Total Ambos Sexos. </v>
      </c>
      <c r="BA18" s="1936"/>
      <c r="BB18" s="1936"/>
      <c r="BC18" s="1936"/>
      <c r="BD18" s="1936"/>
      <c r="BE18" s="1936"/>
      <c r="BF18" s="1936"/>
      <c r="BG18" s="1936"/>
      <c r="BH18" s="1936"/>
      <c r="BI18" s="1936"/>
      <c r="BJ18" s="1936"/>
      <c r="BK18" s="1936"/>
      <c r="BL18" s="1936"/>
      <c r="BM18" s="1936"/>
      <c r="BN18" s="1936"/>
      <c r="BO18" s="1936"/>
      <c r="BP18" s="1936"/>
      <c r="BQ18" s="1936"/>
      <c r="BR18" s="1936"/>
      <c r="BS18" s="1936"/>
      <c r="BT18" s="1936"/>
      <c r="BU18" s="1936"/>
      <c r="BV18" s="1936"/>
      <c r="BW18" s="1936"/>
      <c r="BX18" s="1936"/>
      <c r="BY18" s="1936"/>
      <c r="BZ18" s="1936"/>
      <c r="CA18" s="1936"/>
      <c r="CB18" s="1865" t="str">
        <f t="shared" si="5"/>
        <v xml:space="preserve">* La variable Pueblos Originarios no puede superar el Total Ambos Sexos. </v>
      </c>
      <c r="CC18" s="1865" t="str">
        <f t="shared" si="6"/>
        <v xml:space="preserve">* La variable Migrantes no puede superar el Total Ambos Sexos. </v>
      </c>
      <c r="CD18" s="1936"/>
      <c r="CE18" s="1936"/>
      <c r="CF18" s="1867">
        <f t="shared" si="7"/>
        <v>1</v>
      </c>
      <c r="CG18" s="1867">
        <f t="shared" si="7"/>
        <v>1</v>
      </c>
    </row>
    <row r="19" spans="1:85" x14ac:dyDescent="0.25">
      <c r="A19" s="5944">
        <v>29000070</v>
      </c>
      <c r="B19" s="1306" t="s">
        <v>3545</v>
      </c>
      <c r="C19" s="1296" t="s">
        <v>4567</v>
      </c>
      <c r="D19" s="1297" t="s">
        <v>4568</v>
      </c>
      <c r="E19" s="1310" t="s">
        <v>4569</v>
      </c>
      <c r="F19" s="1089" t="s">
        <v>4570</v>
      </c>
      <c r="G19" s="1311" t="s">
        <v>4571</v>
      </c>
      <c r="H19" s="1089" t="s">
        <v>4572</v>
      </c>
      <c r="I19" s="1311" t="s">
        <v>4573</v>
      </c>
      <c r="J19" s="1089" t="s">
        <v>4574</v>
      </c>
      <c r="K19" s="1311" t="s">
        <v>4575</v>
      </c>
      <c r="L19" s="1089" t="s">
        <v>4576</v>
      </c>
      <c r="M19" s="1295" t="s">
        <v>4577</v>
      </c>
      <c r="N19" s="1307" t="s">
        <v>4578</v>
      </c>
      <c r="O19" s="1308" t="s">
        <v>4579</v>
      </c>
      <c r="P19" s="1309" t="s">
        <v>4580</v>
      </c>
      <c r="Q19" s="1308" t="s">
        <v>4581</v>
      </c>
      <c r="R19" s="1089" t="s">
        <v>4582</v>
      </c>
      <c r="S19" s="1300" t="s">
        <v>4583</v>
      </c>
      <c r="T19" s="1299" t="s">
        <v>4584</v>
      </c>
      <c r="U19" s="1090" t="s">
        <v>4585</v>
      </c>
      <c r="V19" s="1864" t="str">
        <f t="shared" si="4"/>
        <v xml:space="preserve">* La variable Pueblos Originarios no puede superar el Total Ambos Sexos. * La variable Migrantes no puede superar el Total Ambos Sexos. </v>
      </c>
      <c r="BA19" s="1936"/>
      <c r="BB19" s="1936"/>
      <c r="BC19" s="1936"/>
      <c r="BD19" s="1936"/>
      <c r="BE19" s="1936"/>
      <c r="BF19" s="1936"/>
      <c r="BG19" s="1936"/>
      <c r="BH19" s="1936"/>
      <c r="BI19" s="1936"/>
      <c r="BJ19" s="1936"/>
      <c r="BK19" s="1936"/>
      <c r="BL19" s="1936"/>
      <c r="BM19" s="1936"/>
      <c r="BN19" s="1936"/>
      <c r="BO19" s="1936"/>
      <c r="BP19" s="1936"/>
      <c r="BQ19" s="1936"/>
      <c r="BR19" s="1936"/>
      <c r="BS19" s="1936"/>
      <c r="BT19" s="1936"/>
      <c r="BU19" s="1936"/>
      <c r="BV19" s="1936"/>
      <c r="BW19" s="1936"/>
      <c r="BX19" s="1936"/>
      <c r="BY19" s="1936"/>
      <c r="BZ19" s="1936"/>
      <c r="CA19" s="1936"/>
      <c r="CB19" s="1865" t="str">
        <f t="shared" si="5"/>
        <v xml:space="preserve">* La variable Pueblos Originarios no puede superar el Total Ambos Sexos. </v>
      </c>
      <c r="CC19" s="1865" t="str">
        <f t="shared" si="6"/>
        <v xml:space="preserve">* La variable Migrantes no puede superar el Total Ambos Sexos. </v>
      </c>
      <c r="CD19" s="1936"/>
      <c r="CE19" s="1936"/>
      <c r="CF19" s="1867">
        <f t="shared" si="7"/>
        <v>1</v>
      </c>
      <c r="CG19" s="1867">
        <f t="shared" si="7"/>
        <v>1</v>
      </c>
    </row>
    <row r="20" spans="1:85" x14ac:dyDescent="0.25">
      <c r="A20" s="5944">
        <v>29000071</v>
      </c>
      <c r="B20" s="1306" t="s">
        <v>3546</v>
      </c>
      <c r="C20" s="1296" t="s">
        <v>4567</v>
      </c>
      <c r="D20" s="1297" t="s">
        <v>4568</v>
      </c>
      <c r="E20" s="1298" t="s">
        <v>4569</v>
      </c>
      <c r="F20" s="1089" t="s">
        <v>4570</v>
      </c>
      <c r="G20" s="1093" t="s">
        <v>4571</v>
      </c>
      <c r="H20" s="1089" t="s">
        <v>4572</v>
      </c>
      <c r="I20" s="1093" t="s">
        <v>4573</v>
      </c>
      <c r="J20" s="1089" t="s">
        <v>4574</v>
      </c>
      <c r="K20" s="1093" t="s">
        <v>4575</v>
      </c>
      <c r="L20" s="1089" t="s">
        <v>4576</v>
      </c>
      <c r="M20" s="1095" t="s">
        <v>4577</v>
      </c>
      <c r="N20" s="1307" t="s">
        <v>4578</v>
      </c>
      <c r="O20" s="1308" t="s">
        <v>4579</v>
      </c>
      <c r="P20" s="1309" t="s">
        <v>4580</v>
      </c>
      <c r="Q20" s="1308" t="s">
        <v>4581</v>
      </c>
      <c r="R20" s="1089" t="s">
        <v>4582</v>
      </c>
      <c r="S20" s="1300" t="s">
        <v>4583</v>
      </c>
      <c r="T20" s="1299" t="s">
        <v>4584</v>
      </c>
      <c r="U20" s="1090" t="s">
        <v>4585</v>
      </c>
      <c r="V20" s="1864" t="str">
        <f t="shared" si="4"/>
        <v xml:space="preserve">* La variable Pueblos Originarios no puede superar el Total Ambos Sexos. * La variable Migrantes no puede superar el Total Ambos Sexos. </v>
      </c>
      <c r="BA20" s="1936"/>
      <c r="BB20" s="1936"/>
      <c r="BC20" s="1936"/>
      <c r="BD20" s="1936"/>
      <c r="BE20" s="1936"/>
      <c r="BF20" s="1936"/>
      <c r="BG20" s="1936"/>
      <c r="BH20" s="1936"/>
      <c r="BI20" s="1936"/>
      <c r="BJ20" s="1936"/>
      <c r="BK20" s="1936"/>
      <c r="BL20" s="1936"/>
      <c r="BM20" s="1936"/>
      <c r="BN20" s="1936"/>
      <c r="BO20" s="1936"/>
      <c r="BP20" s="1936"/>
      <c r="BQ20" s="1936"/>
      <c r="BR20" s="1936"/>
      <c r="BS20" s="1936"/>
      <c r="BT20" s="1936"/>
      <c r="BU20" s="1936"/>
      <c r="BV20" s="1936"/>
      <c r="BW20" s="1936"/>
      <c r="BX20" s="1936"/>
      <c r="BY20" s="1936"/>
      <c r="BZ20" s="1936"/>
      <c r="CA20" s="1936"/>
      <c r="CB20" s="1865" t="str">
        <f t="shared" si="5"/>
        <v xml:space="preserve">* La variable Pueblos Originarios no puede superar el Total Ambos Sexos. </v>
      </c>
      <c r="CC20" s="1865" t="str">
        <f t="shared" si="6"/>
        <v xml:space="preserve">* La variable Migrantes no puede superar el Total Ambos Sexos. </v>
      </c>
      <c r="CD20" s="1936"/>
      <c r="CE20" s="1936"/>
      <c r="CF20" s="1867">
        <f t="shared" si="7"/>
        <v>1</v>
      </c>
      <c r="CG20" s="1867">
        <f t="shared" si="7"/>
        <v>1</v>
      </c>
    </row>
    <row r="21" spans="1:85" x14ac:dyDescent="0.25">
      <c r="A21" s="5944">
        <v>29101010</v>
      </c>
      <c r="B21" s="1312" t="s">
        <v>3547</v>
      </c>
      <c r="C21" s="1296" t="s">
        <v>4567</v>
      </c>
      <c r="D21" s="1297" t="s">
        <v>4568</v>
      </c>
      <c r="E21" s="1298" t="s">
        <v>4569</v>
      </c>
      <c r="F21" s="1089" t="s">
        <v>4570</v>
      </c>
      <c r="G21" s="1093" t="s">
        <v>4571</v>
      </c>
      <c r="H21" s="1089" t="s">
        <v>4572</v>
      </c>
      <c r="I21" s="1093" t="s">
        <v>4573</v>
      </c>
      <c r="J21" s="1089" t="s">
        <v>4574</v>
      </c>
      <c r="K21" s="1093" t="s">
        <v>4575</v>
      </c>
      <c r="L21" s="1089" t="s">
        <v>4576</v>
      </c>
      <c r="M21" s="1095" t="s">
        <v>4577</v>
      </c>
      <c r="N21" s="1307" t="s">
        <v>4578</v>
      </c>
      <c r="O21" s="1308" t="s">
        <v>4579</v>
      </c>
      <c r="P21" s="1309" t="s">
        <v>4580</v>
      </c>
      <c r="Q21" s="1308" t="s">
        <v>4581</v>
      </c>
      <c r="R21" s="1089" t="s">
        <v>4582</v>
      </c>
      <c r="S21" s="1300" t="s">
        <v>4583</v>
      </c>
      <c r="T21" s="1299" t="s">
        <v>4584</v>
      </c>
      <c r="U21" s="1090" t="s">
        <v>4585</v>
      </c>
      <c r="V21" s="1864" t="str">
        <f t="shared" si="4"/>
        <v xml:space="preserve">* La variable Pueblos Originarios no puede superar el Total Ambos Sexos. * La variable Migrantes no puede superar el Total Ambos Sexos. </v>
      </c>
      <c r="BA21" s="1936"/>
      <c r="BB21" s="1936"/>
      <c r="BC21" s="1936"/>
      <c r="BD21" s="1936"/>
      <c r="BE21" s="1936"/>
      <c r="BF21" s="1936"/>
      <c r="BG21" s="1936"/>
      <c r="BH21" s="1936"/>
      <c r="BI21" s="1936"/>
      <c r="BJ21" s="1936"/>
      <c r="BK21" s="1936"/>
      <c r="BL21" s="1936"/>
      <c r="BM21" s="1936"/>
      <c r="BN21" s="1936"/>
      <c r="BO21" s="1936"/>
      <c r="BP21" s="1936"/>
      <c r="BQ21" s="1936"/>
      <c r="BR21" s="1936"/>
      <c r="BS21" s="1936"/>
      <c r="BT21" s="1936"/>
      <c r="BU21" s="1936"/>
      <c r="BV21" s="1936"/>
      <c r="BW21" s="1936"/>
      <c r="BX21" s="1936"/>
      <c r="BY21" s="1936"/>
      <c r="BZ21" s="1936"/>
      <c r="CA21" s="1936"/>
      <c r="CB21" s="1865" t="str">
        <f t="shared" si="5"/>
        <v xml:space="preserve">* La variable Pueblos Originarios no puede superar el Total Ambos Sexos. </v>
      </c>
      <c r="CC21" s="1865" t="str">
        <f t="shared" si="6"/>
        <v xml:space="preserve">* La variable Migrantes no puede superar el Total Ambos Sexos. </v>
      </c>
      <c r="CD21" s="1936"/>
      <c r="CE21" s="1936"/>
      <c r="CF21" s="1867">
        <f t="shared" si="7"/>
        <v>1</v>
      </c>
      <c r="CG21" s="1867">
        <f t="shared" si="7"/>
        <v>1</v>
      </c>
    </row>
    <row r="22" spans="1:85" x14ac:dyDescent="0.25">
      <c r="A22" s="5944">
        <v>29101020</v>
      </c>
      <c r="B22" s="381" t="s">
        <v>1037</v>
      </c>
      <c r="C22" s="1301" t="s">
        <v>4567</v>
      </c>
      <c r="D22" s="1302" t="s">
        <v>4568</v>
      </c>
      <c r="E22" s="52" t="s">
        <v>4569</v>
      </c>
      <c r="F22" s="192" t="s">
        <v>4570</v>
      </c>
      <c r="G22" s="382" t="s">
        <v>4571</v>
      </c>
      <c r="H22" s="192" t="s">
        <v>4572</v>
      </c>
      <c r="I22" s="382" t="s">
        <v>4573</v>
      </c>
      <c r="J22" s="192" t="s">
        <v>4574</v>
      </c>
      <c r="K22" s="382" t="s">
        <v>4575</v>
      </c>
      <c r="L22" s="192" t="s">
        <v>4576</v>
      </c>
      <c r="M22" s="383" t="s">
        <v>4577</v>
      </c>
      <c r="N22" s="1313" t="s">
        <v>4578</v>
      </c>
      <c r="O22" s="131" t="s">
        <v>4579</v>
      </c>
      <c r="P22" s="1314" t="s">
        <v>4580</v>
      </c>
      <c r="Q22" s="131" t="s">
        <v>4581</v>
      </c>
      <c r="R22" s="1314" t="s">
        <v>4582</v>
      </c>
      <c r="S22" s="380" t="s">
        <v>4583</v>
      </c>
      <c r="T22" s="1303" t="s">
        <v>4584</v>
      </c>
      <c r="U22" s="2" t="s">
        <v>4585</v>
      </c>
      <c r="V22" s="1864" t="str">
        <f t="shared" si="4"/>
        <v xml:space="preserve">* La variable Pueblos Originarios no puede superar el Total Ambos Sexos. * La variable Migrantes no puede superar el Total Ambos Sexos. </v>
      </c>
      <c r="BA22" s="1936"/>
      <c r="BB22" s="1936"/>
      <c r="BC22" s="1936"/>
      <c r="BD22" s="1936"/>
      <c r="BE22" s="1936"/>
      <c r="BF22" s="1936"/>
      <c r="BG22" s="1936"/>
      <c r="BH22" s="1936"/>
      <c r="BI22" s="1936"/>
      <c r="BJ22" s="1936"/>
      <c r="BK22" s="1936"/>
      <c r="BL22" s="1936"/>
      <c r="BM22" s="1936"/>
      <c r="BN22" s="1936"/>
      <c r="BO22" s="1936"/>
      <c r="BP22" s="1936"/>
      <c r="BQ22" s="1936"/>
      <c r="BR22" s="1936"/>
      <c r="BS22" s="1936"/>
      <c r="BT22" s="1936"/>
      <c r="BU22" s="1936"/>
      <c r="BV22" s="1936"/>
      <c r="BW22" s="1936"/>
      <c r="BX22" s="1936"/>
      <c r="BY22" s="1936"/>
      <c r="BZ22" s="1936"/>
      <c r="CA22" s="1936"/>
      <c r="CB22" s="1865" t="str">
        <f t="shared" si="5"/>
        <v xml:space="preserve">* La variable Pueblos Originarios no puede superar el Total Ambos Sexos. </v>
      </c>
      <c r="CC22" s="1865" t="str">
        <f t="shared" si="6"/>
        <v xml:space="preserve">* La variable Migrantes no puede superar el Total Ambos Sexos. </v>
      </c>
      <c r="CD22" s="1936"/>
      <c r="CE22" s="1936"/>
      <c r="CF22" s="1867">
        <f t="shared" si="7"/>
        <v>1</v>
      </c>
      <c r="CG22" s="1867">
        <f t="shared" si="7"/>
        <v>1</v>
      </c>
    </row>
    <row r="23" spans="1:85" x14ac:dyDescent="0.25">
      <c r="A23" s="5953"/>
      <c r="B23" s="1315" t="s">
        <v>3548</v>
      </c>
      <c r="C23" s="7292"/>
      <c r="D23" s="7293"/>
      <c r="E23" s="7293"/>
      <c r="F23" s="7293"/>
      <c r="G23" s="7293"/>
      <c r="H23" s="7293"/>
      <c r="I23" s="7293"/>
      <c r="J23" s="7293"/>
      <c r="K23" s="7293"/>
      <c r="L23" s="7293"/>
      <c r="M23" s="7293"/>
      <c r="N23" s="7293"/>
      <c r="O23" s="7293"/>
      <c r="P23" s="7293"/>
      <c r="Q23" s="7293"/>
      <c r="R23" s="7293"/>
      <c r="S23" s="7293"/>
      <c r="T23" s="7293"/>
      <c r="U23" s="7294"/>
    </row>
    <row r="24" spans="1:85" x14ac:dyDescent="0.25">
      <c r="A24" s="5944" t="s">
        <v>6031</v>
      </c>
      <c r="B24" s="1316" t="s">
        <v>3549</v>
      </c>
      <c r="C24" s="1317" t="s">
        <v>4567</v>
      </c>
      <c r="D24" s="1318" t="s">
        <v>4568</v>
      </c>
      <c r="E24" s="1319" t="s">
        <v>4569</v>
      </c>
      <c r="F24" s="1320" t="s">
        <v>4570</v>
      </c>
      <c r="G24" s="1321" t="s">
        <v>4571</v>
      </c>
      <c r="H24" s="1320" t="s">
        <v>4572</v>
      </c>
      <c r="I24" s="1321" t="s">
        <v>4573</v>
      </c>
      <c r="J24" s="1320" t="s">
        <v>4574</v>
      </c>
      <c r="K24" s="1321" t="s">
        <v>4575</v>
      </c>
      <c r="L24" s="1320" t="s">
        <v>4576</v>
      </c>
      <c r="M24" s="1322" t="s">
        <v>4577</v>
      </c>
      <c r="N24" s="1304" t="s">
        <v>4578</v>
      </c>
      <c r="O24" s="130" t="s">
        <v>4579</v>
      </c>
      <c r="P24" s="1305" t="s">
        <v>4580</v>
      </c>
      <c r="Q24" s="130" t="s">
        <v>4581</v>
      </c>
      <c r="R24" s="1081" t="s">
        <v>4582</v>
      </c>
      <c r="S24" s="240" t="s">
        <v>4583</v>
      </c>
      <c r="T24" s="1294" t="s">
        <v>4584</v>
      </c>
      <c r="U24" s="107" t="s">
        <v>4585</v>
      </c>
      <c r="V24" s="1864" t="str">
        <f t="shared" ref="V24:V25" si="8">CB24&amp;CC24</f>
        <v xml:space="preserve">* La variable Pueblos Originarios no puede superar el Total Ambos Sexos. * La variable Migrantes no puede superar el Total Ambos Sexos. </v>
      </c>
      <c r="BA24" s="1936"/>
      <c r="BB24" s="1936"/>
      <c r="BC24" s="1936"/>
      <c r="BD24" s="1936"/>
      <c r="BE24" s="1936"/>
      <c r="BF24" s="1936"/>
      <c r="BG24" s="1936"/>
      <c r="BH24" s="1936"/>
      <c r="BI24" s="1936"/>
      <c r="BJ24" s="1936"/>
      <c r="BK24" s="1936"/>
      <c r="BL24" s="1936"/>
      <c r="BM24" s="1936"/>
      <c r="BN24" s="1936"/>
      <c r="BO24" s="1936"/>
      <c r="BP24" s="1936"/>
      <c r="BQ24" s="1936"/>
      <c r="BR24" s="1936"/>
      <c r="BS24" s="1936"/>
      <c r="BT24" s="1936"/>
      <c r="BU24" s="1936"/>
      <c r="BV24" s="1936"/>
      <c r="BW24" s="1936"/>
      <c r="BX24" s="1936"/>
      <c r="BY24" s="1936"/>
      <c r="BZ24" s="1936"/>
      <c r="CA24" s="1936"/>
      <c r="CB24" s="1865" t="str">
        <f t="shared" ref="CB24:CB25" si="9">IF(AND($C24&lt;&gt;0,T24=""),"* No olvide digitar la variable "&amp;T$9&amp;""&amp;". Digite CERO si no tiene. ",IF(T24&gt;$C24,"* La variable Pueblos Originarios no puede superar el Total Ambos Sexos. ",""))</f>
        <v xml:space="preserve">* La variable Pueblos Originarios no puede superar el Total Ambos Sexos. </v>
      </c>
      <c r="CC24" s="1865" t="str">
        <f t="shared" ref="CC24:CC25" si="10">IF(AND($C24&lt;&gt;0,U24=""),"* No olvide digitar la variable "&amp;U$9&amp;""&amp;". Digite CERO si no tiene. ",IF(U24&gt;$C24,"* La variable Migrantes no puede superar el Total Ambos Sexos. ",""))</f>
        <v xml:space="preserve">* La variable Migrantes no puede superar el Total Ambos Sexos. </v>
      </c>
      <c r="CD24" s="1936"/>
      <c r="CE24" s="1936"/>
      <c r="CF24" s="1867">
        <f t="shared" ref="CF24:CG25" si="11">IF(AND($C24&lt;&gt;0,T24=""),1,IF(T24&gt;$C24,1,0))</f>
        <v>1</v>
      </c>
      <c r="CG24" s="1867">
        <f t="shared" si="11"/>
        <v>1</v>
      </c>
    </row>
    <row r="25" spans="1:85" x14ac:dyDescent="0.25">
      <c r="A25" s="5944" t="s">
        <v>6032</v>
      </c>
      <c r="B25" s="7" t="s">
        <v>3550</v>
      </c>
      <c r="C25" s="1301" t="s">
        <v>4567</v>
      </c>
      <c r="D25" s="1302" t="s">
        <v>4568</v>
      </c>
      <c r="E25" s="52" t="s">
        <v>4569</v>
      </c>
      <c r="F25" s="192" t="s">
        <v>4570</v>
      </c>
      <c r="G25" s="2" t="s">
        <v>4571</v>
      </c>
      <c r="H25" s="192" t="s">
        <v>4572</v>
      </c>
      <c r="I25" s="2" t="s">
        <v>4573</v>
      </c>
      <c r="J25" s="192" t="s">
        <v>4574</v>
      </c>
      <c r="K25" s="2" t="s">
        <v>4575</v>
      </c>
      <c r="L25" s="192" t="s">
        <v>4576</v>
      </c>
      <c r="M25" s="375" t="s">
        <v>4577</v>
      </c>
      <c r="N25" s="1313" t="s">
        <v>4578</v>
      </c>
      <c r="O25" s="131" t="s">
        <v>4579</v>
      </c>
      <c r="P25" s="1314" t="s">
        <v>4580</v>
      </c>
      <c r="Q25" s="131" t="s">
        <v>4581</v>
      </c>
      <c r="R25" s="1314" t="s">
        <v>4582</v>
      </c>
      <c r="S25" s="380" t="s">
        <v>4583</v>
      </c>
      <c r="T25" s="1303" t="s">
        <v>4584</v>
      </c>
      <c r="U25" s="2" t="s">
        <v>4585</v>
      </c>
      <c r="V25" s="1864" t="str">
        <f t="shared" si="8"/>
        <v xml:space="preserve">* La variable Pueblos Originarios no puede superar el Total Ambos Sexos. * La variable Migrantes no puede superar el Total Ambos Sexos. </v>
      </c>
      <c r="BA25" s="1936"/>
      <c r="BB25" s="1936"/>
      <c r="BC25" s="1936"/>
      <c r="BD25" s="1936"/>
      <c r="BE25" s="1936"/>
      <c r="BF25" s="1936"/>
      <c r="BG25" s="1936"/>
      <c r="BH25" s="1936"/>
      <c r="BI25" s="1936"/>
      <c r="BJ25" s="1936"/>
      <c r="BK25" s="1936"/>
      <c r="BL25" s="1936"/>
      <c r="BM25" s="1936"/>
      <c r="BN25" s="1936"/>
      <c r="BO25" s="1936"/>
      <c r="BP25" s="1936"/>
      <c r="BQ25" s="1936"/>
      <c r="BR25" s="1936"/>
      <c r="BS25" s="1936"/>
      <c r="BT25" s="1936"/>
      <c r="BU25" s="1936"/>
      <c r="BV25" s="1936"/>
      <c r="BW25" s="1936"/>
      <c r="BX25" s="1936"/>
      <c r="BY25" s="1936"/>
      <c r="BZ25" s="1936"/>
      <c r="CA25" s="1936"/>
      <c r="CB25" s="1865" t="str">
        <f t="shared" si="9"/>
        <v xml:space="preserve">* La variable Pueblos Originarios no puede superar el Total Ambos Sexos. </v>
      </c>
      <c r="CC25" s="1865" t="str">
        <f t="shared" si="10"/>
        <v xml:space="preserve">* La variable Migrantes no puede superar el Total Ambos Sexos. </v>
      </c>
      <c r="CD25" s="1936"/>
      <c r="CE25" s="1936"/>
      <c r="CF25" s="1867">
        <f t="shared" si="11"/>
        <v>1</v>
      </c>
      <c r="CG25" s="1867">
        <f t="shared" si="11"/>
        <v>1</v>
      </c>
    </row>
    <row r="26" spans="1:85" x14ac:dyDescent="0.25">
      <c r="A26" s="5953"/>
      <c r="B26" s="1315" t="s">
        <v>3551</v>
      </c>
      <c r="C26" s="7292"/>
      <c r="D26" s="7293"/>
      <c r="E26" s="7293"/>
      <c r="F26" s="7293"/>
      <c r="G26" s="7293"/>
      <c r="H26" s="7293"/>
      <c r="I26" s="7293"/>
      <c r="J26" s="7293"/>
      <c r="K26" s="7293"/>
      <c r="L26" s="7293"/>
      <c r="M26" s="7293"/>
      <c r="N26" s="7293"/>
      <c r="O26" s="7293"/>
      <c r="P26" s="7293"/>
      <c r="Q26" s="7293"/>
      <c r="R26" s="7293"/>
      <c r="S26" s="7293"/>
      <c r="T26" s="7293"/>
      <c r="U26" s="7294"/>
    </row>
    <row r="27" spans="1:85" x14ac:dyDescent="0.25">
      <c r="A27" s="5944">
        <v>29101030</v>
      </c>
      <c r="B27" s="1316" t="s">
        <v>3552</v>
      </c>
      <c r="C27" s="1292" t="s">
        <v>4567</v>
      </c>
      <c r="D27" s="1318" t="s">
        <v>4568</v>
      </c>
      <c r="E27" s="67" t="s">
        <v>4569</v>
      </c>
      <c r="F27" s="290" t="s">
        <v>4570</v>
      </c>
      <c r="G27" s="107" t="s">
        <v>4571</v>
      </c>
      <c r="H27" s="22" t="s">
        <v>4572</v>
      </c>
      <c r="I27" s="107" t="s">
        <v>4573</v>
      </c>
      <c r="J27" s="290" t="s">
        <v>4574</v>
      </c>
      <c r="K27" s="107" t="s">
        <v>4575</v>
      </c>
      <c r="L27" s="290" t="s">
        <v>4576</v>
      </c>
      <c r="M27" s="61" t="s">
        <v>4577</v>
      </c>
      <c r="N27" s="1304" t="s">
        <v>4578</v>
      </c>
      <c r="O27" s="130" t="s">
        <v>4579</v>
      </c>
      <c r="P27" s="1305" t="s">
        <v>4580</v>
      </c>
      <c r="Q27" s="130" t="s">
        <v>4581</v>
      </c>
      <c r="R27" s="1081" t="s">
        <v>4582</v>
      </c>
      <c r="S27" s="61" t="s">
        <v>4583</v>
      </c>
      <c r="T27" s="1294" t="s">
        <v>4584</v>
      </c>
      <c r="U27" s="107" t="s">
        <v>4585</v>
      </c>
      <c r="V27" s="1864" t="str">
        <f t="shared" ref="V27:V28" si="12">CB27&amp;CC27</f>
        <v xml:space="preserve">* La variable Pueblos Originarios no puede superar el Total Ambos Sexos. * La variable Migrantes no puede superar el Total Ambos Sexos. </v>
      </c>
      <c r="BA27" s="1936"/>
      <c r="BB27" s="1936"/>
      <c r="BC27" s="1936"/>
      <c r="BD27" s="1936"/>
      <c r="BE27" s="1936"/>
      <c r="BF27" s="1936"/>
      <c r="BG27" s="1936"/>
      <c r="BH27" s="1936"/>
      <c r="BI27" s="1936"/>
      <c r="BJ27" s="1936"/>
      <c r="BK27" s="1936"/>
      <c r="BL27" s="1936"/>
      <c r="BM27" s="1936"/>
      <c r="BN27" s="1936"/>
      <c r="BO27" s="1936"/>
      <c r="BP27" s="1936"/>
      <c r="BQ27" s="1936"/>
      <c r="BR27" s="1936"/>
      <c r="BS27" s="1936"/>
      <c r="BT27" s="1936"/>
      <c r="BU27" s="1936"/>
      <c r="BV27" s="1936"/>
      <c r="BW27" s="1936"/>
      <c r="BX27" s="1936"/>
      <c r="BY27" s="1936"/>
      <c r="BZ27" s="1936"/>
      <c r="CA27" s="1936"/>
      <c r="CB27" s="1865" t="str">
        <f>IF(AND($C27&lt;&gt;0,T27=""),"* No olvide digitar la variable "&amp;T$9&amp;""&amp;". Digite CERO si no tiene. ",IF(T27&gt;$C27,"* La variable Pueblos Originarios no puede superar el Total Ambos Sexos. ",""))</f>
        <v xml:space="preserve">* La variable Pueblos Originarios no puede superar el Total Ambos Sexos. </v>
      </c>
      <c r="CC27" s="1865" t="str">
        <f t="shared" ref="CC27" si="13">IF(AND($C27&lt;&gt;0,U27=""),"* No olvide digitar la variable "&amp;U$9&amp;""&amp;". Digite CERO si no tiene. ",IF(U27&gt;$C27,"* La variable Migrantes no puede superar el Total Ambos Sexos. ",""))</f>
        <v xml:space="preserve">* La variable Migrantes no puede superar el Total Ambos Sexos. </v>
      </c>
      <c r="CD27" s="1936"/>
      <c r="CE27" s="1936"/>
      <c r="CF27" s="1867">
        <f t="shared" ref="CF27:CG28" si="14">IF(AND($C27&lt;&gt;0,T27=""),1,IF(T27&gt;$C27,1,0))</f>
        <v>1</v>
      </c>
      <c r="CG27" s="1867">
        <f t="shared" si="14"/>
        <v>1</v>
      </c>
    </row>
    <row r="28" spans="1:85" x14ac:dyDescent="0.25">
      <c r="A28" s="5944">
        <v>29101040</v>
      </c>
      <c r="B28" s="381" t="s">
        <v>3553</v>
      </c>
      <c r="C28" s="1323" t="s">
        <v>4567</v>
      </c>
      <c r="D28" s="1302" t="s">
        <v>4568</v>
      </c>
      <c r="E28" s="386" t="s">
        <v>4569</v>
      </c>
      <c r="F28" s="1114" t="s">
        <v>4570</v>
      </c>
      <c r="G28" s="387" t="s">
        <v>4571</v>
      </c>
      <c r="H28" s="1114" t="s">
        <v>4572</v>
      </c>
      <c r="I28" s="1115" t="s">
        <v>4573</v>
      </c>
      <c r="J28" s="1114" t="s">
        <v>4574</v>
      </c>
      <c r="K28" s="1115" t="s">
        <v>4575</v>
      </c>
      <c r="L28" s="1114" t="s">
        <v>4576</v>
      </c>
      <c r="M28" s="1324" t="s">
        <v>4577</v>
      </c>
      <c r="N28" s="1313" t="s">
        <v>4578</v>
      </c>
      <c r="O28" s="390" t="s">
        <v>4579</v>
      </c>
      <c r="P28" s="1314" t="s">
        <v>4580</v>
      </c>
      <c r="Q28" s="390" t="s">
        <v>4581</v>
      </c>
      <c r="R28" s="1114" t="s">
        <v>4582</v>
      </c>
      <c r="S28" s="391" t="s">
        <v>4583</v>
      </c>
      <c r="T28" s="1303" t="s">
        <v>4584</v>
      </c>
      <c r="U28" s="387" t="s">
        <v>4585</v>
      </c>
      <c r="V28" s="1864" t="str">
        <f t="shared" si="12"/>
        <v xml:space="preserve">* La variable Pueblos Originarios no puede superar el Total Ambos Sexos. * La variable Migrantes no puede superar el Total Ambos Sexos. </v>
      </c>
      <c r="BA28" s="1936"/>
      <c r="BB28" s="1936"/>
      <c r="BC28" s="1936"/>
      <c r="BD28" s="1936"/>
      <c r="BE28" s="1936"/>
      <c r="BF28" s="1936"/>
      <c r="BG28" s="1936"/>
      <c r="BH28" s="1936"/>
      <c r="BI28" s="1936"/>
      <c r="BJ28" s="1936"/>
      <c r="BK28" s="1936"/>
      <c r="BL28" s="1936"/>
      <c r="BM28" s="1936"/>
      <c r="BN28" s="1936"/>
      <c r="BO28" s="1936"/>
      <c r="BP28" s="1936"/>
      <c r="BQ28" s="1936"/>
      <c r="BR28" s="1936"/>
      <c r="BS28" s="1936"/>
      <c r="BT28" s="1936"/>
      <c r="BU28" s="1936"/>
      <c r="BV28" s="1936"/>
      <c r="BW28" s="1936"/>
      <c r="BX28" s="1936"/>
      <c r="BY28" s="1936"/>
      <c r="BZ28" s="1936"/>
      <c r="CA28" s="1936"/>
      <c r="CB28" s="1865" t="str">
        <f t="shared" ref="CB28" si="15">IF(AND($C28&lt;&gt;0,T28=""),"* No olvide digitar la variable "&amp;T$9&amp;""&amp;". Digite CERO si no tiene. ",IF(T28&gt;$C28,"* La variable Pueblos Originarios no puede superar el Total Ambos Sexos. ",""))</f>
        <v xml:space="preserve">* La variable Pueblos Originarios no puede superar el Total Ambos Sexos. </v>
      </c>
      <c r="CC28" s="1865" t="str">
        <f>IF(AND($C28&lt;&gt;0,U28=""),"* No olvide digitar la variable "&amp;U$9&amp;""&amp;". Digite CERO si no tiene. ",IF(U28&gt;$C28,"* La variable Migrantes no puede superar el Total Ambos Sexos. ",""))</f>
        <v xml:space="preserve">* La variable Migrantes no puede superar el Total Ambos Sexos. </v>
      </c>
      <c r="CD28" s="1936"/>
      <c r="CE28" s="1936"/>
      <c r="CF28" s="1867">
        <f t="shared" si="14"/>
        <v>1</v>
      </c>
      <c r="CG28" s="1867">
        <f t="shared" si="14"/>
        <v>1</v>
      </c>
    </row>
    <row r="29" spans="1:85" ht="18" customHeight="1" x14ac:dyDescent="0.25">
      <c r="B29" s="897" t="s">
        <v>3554</v>
      </c>
      <c r="C29" s="8"/>
      <c r="D29" s="4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</row>
    <row r="30" spans="1:85" x14ac:dyDescent="0.25">
      <c r="B30" s="7687" t="s">
        <v>3555</v>
      </c>
      <c r="C30" s="7676"/>
      <c r="D30" s="7687" t="s">
        <v>77</v>
      </c>
      <c r="E30" s="7291" t="s">
        <v>3278</v>
      </c>
      <c r="F30" s="7298"/>
      <c r="G30" s="7298"/>
      <c r="H30" s="7298"/>
      <c r="I30" s="7298"/>
      <c r="J30" s="7298"/>
      <c r="K30" s="7298"/>
      <c r="L30" s="7298"/>
      <c r="M30" s="7339"/>
      <c r="N30" s="7258" t="s">
        <v>3556</v>
      </c>
      <c r="O30" s="7258"/>
      <c r="P30" s="7259"/>
      <c r="Q30" s="7724" t="s">
        <v>36</v>
      </c>
      <c r="R30" s="7725" t="s">
        <v>37</v>
      </c>
    </row>
    <row r="31" spans="1:85" ht="21" x14ac:dyDescent="0.25">
      <c r="B31" s="6399"/>
      <c r="C31" s="6331"/>
      <c r="D31" s="7726"/>
      <c r="E31" s="1287" t="s">
        <v>3557</v>
      </c>
      <c r="F31" s="982" t="s">
        <v>3558</v>
      </c>
      <c r="G31" s="1213" t="s">
        <v>51</v>
      </c>
      <c r="H31" s="1213" t="s">
        <v>52</v>
      </c>
      <c r="I31" s="1213" t="s">
        <v>53</v>
      </c>
      <c r="J31" s="1213" t="s">
        <v>54</v>
      </c>
      <c r="K31" s="1213" t="s">
        <v>55</v>
      </c>
      <c r="L31" s="1213" t="s">
        <v>56</v>
      </c>
      <c r="M31" s="1326" t="s">
        <v>57</v>
      </c>
      <c r="N31" s="917" t="s">
        <v>3559</v>
      </c>
      <c r="O31" s="918" t="s">
        <v>3560</v>
      </c>
      <c r="P31" s="1326" t="s">
        <v>3561</v>
      </c>
      <c r="Q31" s="6172"/>
      <c r="R31" s="7178"/>
    </row>
    <row r="32" spans="1:85" x14ac:dyDescent="0.25">
      <c r="A32" s="5944">
        <v>29000007</v>
      </c>
      <c r="B32" s="7718" t="s">
        <v>3562</v>
      </c>
      <c r="C32" s="1105" t="s">
        <v>2899</v>
      </c>
      <c r="D32" s="1327" t="s">
        <v>4567</v>
      </c>
      <c r="E32" s="1328" t="s">
        <v>4568</v>
      </c>
      <c r="F32" s="1329" t="s">
        <v>4569</v>
      </c>
      <c r="G32" s="1329" t="s">
        <v>4570</v>
      </c>
      <c r="H32" s="1329" t="s">
        <v>4571</v>
      </c>
      <c r="I32" s="1329" t="s">
        <v>4572</v>
      </c>
      <c r="J32" s="1329" t="s">
        <v>4573</v>
      </c>
      <c r="K32" s="1329" t="s">
        <v>4574</v>
      </c>
      <c r="L32" s="1329" t="s">
        <v>4575</v>
      </c>
      <c r="M32" s="1330" t="s">
        <v>4576</v>
      </c>
      <c r="N32" s="1331" t="s">
        <v>4577</v>
      </c>
      <c r="O32" s="1332" t="s">
        <v>4578</v>
      </c>
      <c r="P32" s="1333" t="s">
        <v>4579</v>
      </c>
      <c r="Q32" s="1334" t="s">
        <v>4580</v>
      </c>
      <c r="R32" s="1335" t="s">
        <v>4581</v>
      </c>
      <c r="S32" s="1864" t="str">
        <f>CB32&amp;CC32</f>
        <v xml:space="preserve">* La variable Pueblos Originarios no puede superar el Total. * La variable  Migrantes no puede superar el Total. </v>
      </c>
      <c r="AX32" s="1936"/>
      <c r="AY32" s="1936"/>
      <c r="AZ32" s="1936"/>
      <c r="BA32" s="1936"/>
      <c r="BB32" s="1936"/>
      <c r="BC32" s="1936"/>
      <c r="BD32" s="1936"/>
      <c r="BE32" s="1936"/>
      <c r="BF32" s="1936"/>
      <c r="BG32" s="1936"/>
      <c r="BH32" s="1936"/>
      <c r="BI32" s="1936"/>
      <c r="BJ32" s="1936"/>
      <c r="BK32" s="1936"/>
      <c r="BL32" s="1936"/>
      <c r="BM32" s="1936"/>
      <c r="BN32" s="1936"/>
      <c r="BO32" s="1936"/>
      <c r="BP32" s="1936"/>
      <c r="BQ32" s="1936"/>
      <c r="BR32" s="1936"/>
      <c r="BS32" s="1936"/>
      <c r="BT32" s="1936"/>
      <c r="BU32" s="1936"/>
      <c r="BV32" s="1936"/>
      <c r="BW32" s="1936"/>
      <c r="BX32" s="1936"/>
      <c r="BY32" s="1936"/>
      <c r="BZ32" s="1936"/>
      <c r="CA32" s="1936"/>
      <c r="CB32" s="1865" t="str">
        <f>IF(AND($D32&lt;&gt;0,Q32=""),"* No olvide digitar la variable "&amp;Q$30&amp;""&amp;". Digite CERO si no tiene. ",IF(Q32&gt;$D32,"* La variable Pueblos Originarios no puede superar el Total. ",""))</f>
        <v xml:space="preserve">* La variable Pueblos Originarios no puede superar el Total. </v>
      </c>
      <c r="CC32" s="1865" t="str">
        <f>IF(AND($D32&lt;&gt;0,R32=""),"* No olvide digitar la variable "&amp;R$30&amp;""&amp;". Digite CERO si no tiene. ",IF(R32&gt;$D32,"* La variable  Migrantes no puede superar el Total. ",""))</f>
        <v xml:space="preserve">* La variable  Migrantes no puede superar el Total. </v>
      </c>
      <c r="CD32" s="1936"/>
      <c r="CE32" s="1936"/>
      <c r="CF32" s="1867">
        <f>IF(AND($D32&lt;&gt;0,Q32=""),1,IF(Q32&gt;$D32,1,0))</f>
        <v>1</v>
      </c>
      <c r="CG32" s="1867">
        <f>IF(AND($D32&lt;&gt;0,R32=""),1,IF(R32&gt;$D32,1,0))</f>
        <v>1</v>
      </c>
    </row>
    <row r="33" spans="1:85" x14ac:dyDescent="0.25">
      <c r="A33" s="5944">
        <v>29000008</v>
      </c>
      <c r="B33" s="7431"/>
      <c r="C33" s="1336" t="s">
        <v>3563</v>
      </c>
      <c r="D33" s="1336" t="s">
        <v>4567</v>
      </c>
      <c r="E33" s="1337" t="s">
        <v>4568</v>
      </c>
      <c r="F33" s="1338" t="s">
        <v>4569</v>
      </c>
      <c r="G33" s="1338" t="s">
        <v>4570</v>
      </c>
      <c r="H33" s="1338" t="s">
        <v>4571</v>
      </c>
      <c r="I33" s="1338" t="s">
        <v>4572</v>
      </c>
      <c r="J33" s="1338" t="s">
        <v>4573</v>
      </c>
      <c r="K33" s="1338" t="s">
        <v>4574</v>
      </c>
      <c r="L33" s="1338" t="s">
        <v>4575</v>
      </c>
      <c r="M33" s="1339" t="s">
        <v>4576</v>
      </c>
      <c r="N33" s="1334" t="s">
        <v>4577</v>
      </c>
      <c r="O33" s="1340" t="s">
        <v>4578</v>
      </c>
      <c r="P33" s="1341" t="s">
        <v>4579</v>
      </c>
      <c r="Q33" s="1334" t="s">
        <v>4580</v>
      </c>
      <c r="R33" s="1335" t="s">
        <v>4581</v>
      </c>
      <c r="S33" s="1864" t="str">
        <f t="shared" ref="S33:S64" si="16">CB33&amp;CC33</f>
        <v/>
      </c>
      <c r="AX33" s="1936"/>
      <c r="AY33" s="1936"/>
      <c r="AZ33" s="1936"/>
      <c r="BA33" s="1936"/>
      <c r="BB33" s="1936"/>
      <c r="BC33" s="1936"/>
      <c r="BD33" s="1936"/>
      <c r="BE33" s="1936"/>
      <c r="BF33" s="1936"/>
      <c r="BG33" s="1936"/>
      <c r="BH33" s="1936"/>
      <c r="BI33" s="1936"/>
      <c r="BJ33" s="1936"/>
      <c r="BK33" s="1936"/>
      <c r="BL33" s="1936"/>
      <c r="BM33" s="1936"/>
      <c r="BN33" s="1936"/>
      <c r="BO33" s="1936"/>
      <c r="BP33" s="1936"/>
      <c r="BQ33" s="1936"/>
      <c r="BR33" s="1936"/>
      <c r="BS33" s="1936"/>
      <c r="BT33" s="1936"/>
      <c r="BU33" s="1936"/>
      <c r="BV33" s="1936"/>
      <c r="BW33" s="1936"/>
      <c r="BX33" s="1936"/>
      <c r="BY33" s="1936"/>
      <c r="BZ33" s="1936"/>
      <c r="CA33" s="1936"/>
      <c r="CB33" s="1936"/>
      <c r="CC33" s="1936"/>
      <c r="CD33" s="1936"/>
      <c r="CE33" s="1936"/>
    </row>
    <row r="34" spans="1:85" x14ac:dyDescent="0.25">
      <c r="A34" s="5944">
        <v>29000009</v>
      </c>
      <c r="B34" s="7431"/>
      <c r="C34" s="295" t="s">
        <v>3564</v>
      </c>
      <c r="D34" s="392" t="s">
        <v>4567</v>
      </c>
      <c r="E34" s="393" t="s">
        <v>4568</v>
      </c>
      <c r="F34" s="1342" t="s">
        <v>4569</v>
      </c>
      <c r="G34" s="1342" t="s">
        <v>4570</v>
      </c>
      <c r="H34" s="1342" t="s">
        <v>4571</v>
      </c>
      <c r="I34" s="1342" t="s">
        <v>4572</v>
      </c>
      <c r="J34" s="1342" t="s">
        <v>4573</v>
      </c>
      <c r="K34" s="1342" t="s">
        <v>4574</v>
      </c>
      <c r="L34" s="1342" t="s">
        <v>4575</v>
      </c>
      <c r="M34" s="101" t="s">
        <v>4576</v>
      </c>
      <c r="N34" s="394" t="s">
        <v>4577</v>
      </c>
      <c r="O34" s="1343" t="s">
        <v>4578</v>
      </c>
      <c r="P34" s="236" t="s">
        <v>4579</v>
      </c>
      <c r="Q34" s="1334" t="s">
        <v>4580</v>
      </c>
      <c r="R34" s="1335" t="s">
        <v>4581</v>
      </c>
      <c r="S34" s="1864" t="str">
        <f t="shared" si="16"/>
        <v xml:space="preserve">* La variable Pueblos Originarios no puede superar el Total. * La variable Migrantes no puede superar el Total. </v>
      </c>
      <c r="AX34" s="1936"/>
      <c r="AY34" s="1936"/>
      <c r="AZ34" s="1936"/>
      <c r="BA34" s="1936"/>
      <c r="BB34" s="1936"/>
      <c r="BC34" s="1936"/>
      <c r="BD34" s="1936"/>
      <c r="BE34" s="1936"/>
      <c r="BF34" s="1936"/>
      <c r="BG34" s="1936"/>
      <c r="BH34" s="1936"/>
      <c r="BI34" s="1936"/>
      <c r="BJ34" s="1936"/>
      <c r="BK34" s="1936"/>
      <c r="BL34" s="1936"/>
      <c r="BM34" s="1936"/>
      <c r="BN34" s="1936"/>
      <c r="BO34" s="1936"/>
      <c r="BP34" s="1936"/>
      <c r="BQ34" s="1936"/>
      <c r="BR34" s="1936"/>
      <c r="BS34" s="1936"/>
      <c r="BT34" s="1936"/>
      <c r="BU34" s="1936"/>
      <c r="BV34" s="1936"/>
      <c r="BW34" s="1936"/>
      <c r="BX34" s="1936"/>
      <c r="BY34" s="1936"/>
      <c r="BZ34" s="1936"/>
      <c r="CA34" s="1936"/>
      <c r="CB34" s="1865" t="str">
        <f>IF(AND($D34&lt;&gt;0,Q34=""),"* No olvide digitar la variable "&amp;Q$30&amp;""&amp;". Digite CERO si no tiene. ",IF(Q34&gt;$D34,"* La variable Pueblos Originarios no puede superar el Total. ",""))</f>
        <v xml:space="preserve">* La variable Pueblos Originarios no puede superar el Total. </v>
      </c>
      <c r="CC34" s="1865" t="str">
        <f>IF(AND($D34&lt;&gt;0,R34=""),"* No olvide digitar la variable "&amp;R$30&amp;""&amp;". Digite CERO si no tiene. ",IF(R34&gt;$D34,"* La variable Migrantes no puede superar el Total. ",""))</f>
        <v xml:space="preserve">* La variable Migrantes no puede superar el Total. </v>
      </c>
      <c r="CD34" s="1936"/>
      <c r="CE34" s="1936"/>
      <c r="CF34" s="1867">
        <f t="shared" ref="CF34:CG63" si="17">IF(AND($D34&lt;&gt;0,Q34=""),1,IF(Q34&gt;$D34,1,0))</f>
        <v>1</v>
      </c>
      <c r="CG34" s="1867">
        <f t="shared" si="17"/>
        <v>1</v>
      </c>
    </row>
    <row r="35" spans="1:85" x14ac:dyDescent="0.25">
      <c r="A35" s="5944">
        <v>29000010</v>
      </c>
      <c r="B35" s="7431"/>
      <c r="C35" s="1162" t="s">
        <v>3565</v>
      </c>
      <c r="D35" s="1161" t="s">
        <v>4567</v>
      </c>
      <c r="E35" s="1344" t="s">
        <v>4568</v>
      </c>
      <c r="F35" s="1340" t="s">
        <v>4569</v>
      </c>
      <c r="G35" s="1340" t="s">
        <v>4570</v>
      </c>
      <c r="H35" s="1340" t="s">
        <v>4571</v>
      </c>
      <c r="I35" s="1340" t="s">
        <v>4572</v>
      </c>
      <c r="J35" s="1340" t="s">
        <v>4573</v>
      </c>
      <c r="K35" s="1340" t="s">
        <v>4574</v>
      </c>
      <c r="L35" s="1340" t="s">
        <v>4575</v>
      </c>
      <c r="M35" s="1341" t="s">
        <v>4576</v>
      </c>
      <c r="N35" s="1345" t="s">
        <v>4577</v>
      </c>
      <c r="O35" s="1346" t="s">
        <v>4578</v>
      </c>
      <c r="P35" s="1347" t="s">
        <v>4579</v>
      </c>
      <c r="Q35" s="1334" t="s">
        <v>4580</v>
      </c>
      <c r="R35" s="1335" t="s">
        <v>4581</v>
      </c>
      <c r="S35" s="1864" t="str">
        <f t="shared" si="16"/>
        <v xml:space="preserve">* La variable Pueblos Originarios no puede superar el Total. * La variable Migrantes no puede superar el Total. </v>
      </c>
      <c r="AX35" s="1936"/>
      <c r="AY35" s="1936"/>
      <c r="AZ35" s="1936"/>
      <c r="BA35" s="1936"/>
      <c r="BB35" s="1936"/>
      <c r="BC35" s="1936"/>
      <c r="BD35" s="1936"/>
      <c r="BE35" s="1936"/>
      <c r="BF35" s="1936"/>
      <c r="BG35" s="1936"/>
      <c r="BH35" s="1936"/>
      <c r="BI35" s="1936"/>
      <c r="BJ35" s="1936"/>
      <c r="BK35" s="1936"/>
      <c r="BL35" s="1936"/>
      <c r="BM35" s="1936"/>
      <c r="BN35" s="1936"/>
      <c r="BO35" s="1936"/>
      <c r="BP35" s="1936"/>
      <c r="BQ35" s="1936"/>
      <c r="BR35" s="1936"/>
      <c r="BS35" s="1936"/>
      <c r="BT35" s="1936"/>
      <c r="BU35" s="1936"/>
      <c r="BV35" s="1936"/>
      <c r="BW35" s="1936"/>
      <c r="BX35" s="1936"/>
      <c r="BY35" s="1936"/>
      <c r="BZ35" s="1936"/>
      <c r="CA35" s="1936"/>
      <c r="CB35" s="1865" t="str">
        <f t="shared" ref="CB35:CB58" si="18">IF(AND($D35&lt;&gt;0,Q35=""),"* No olvide digitar la variable "&amp;Q$30&amp;""&amp;". Digite CERO si no tiene. ",IF(Q35&gt;$D35,"* La variable Pueblos Originarios no puede superar el Total. ",""))</f>
        <v xml:space="preserve">* La variable Pueblos Originarios no puede superar el Total. </v>
      </c>
      <c r="CC35" s="1865" t="str">
        <f t="shared" ref="CC35:CC59" si="19">IF(AND($D35&lt;&gt;0,R35=""),"* No olvide digitar la variable "&amp;R$30&amp;""&amp;". Digite CERO si no tiene. ",IF(R35&gt;$D35,"* La variable Migrantes no puede superar el Total. ",""))</f>
        <v xml:space="preserve">* La variable Migrantes no puede superar el Total. </v>
      </c>
      <c r="CD35" s="1936"/>
      <c r="CE35" s="1936"/>
      <c r="CF35" s="1867">
        <f t="shared" si="17"/>
        <v>1</v>
      </c>
      <c r="CG35" s="1867">
        <f t="shared" si="17"/>
        <v>1</v>
      </c>
    </row>
    <row r="36" spans="1:85" x14ac:dyDescent="0.25">
      <c r="A36" s="5944">
        <v>29000011</v>
      </c>
      <c r="B36" s="7431"/>
      <c r="C36" s="1162" t="s">
        <v>3566</v>
      </c>
      <c r="D36" s="1161" t="s">
        <v>4567</v>
      </c>
      <c r="E36" s="1348" t="s">
        <v>4568</v>
      </c>
      <c r="F36" s="1349" t="s">
        <v>4569</v>
      </c>
      <c r="G36" s="1349" t="s">
        <v>4570</v>
      </c>
      <c r="H36" s="1349" t="s">
        <v>4571</v>
      </c>
      <c r="I36" s="1349" t="s">
        <v>4572</v>
      </c>
      <c r="J36" s="1349" t="s">
        <v>4573</v>
      </c>
      <c r="K36" s="1349" t="s">
        <v>4574</v>
      </c>
      <c r="L36" s="1349" t="s">
        <v>4575</v>
      </c>
      <c r="M36" s="1350" t="s">
        <v>4576</v>
      </c>
      <c r="N36" s="1351" t="s">
        <v>4577</v>
      </c>
      <c r="O36" s="1352" t="s">
        <v>4578</v>
      </c>
      <c r="P36" s="1353" t="s">
        <v>4579</v>
      </c>
      <c r="Q36" s="1334" t="s">
        <v>4580</v>
      </c>
      <c r="R36" s="1335" t="s">
        <v>4581</v>
      </c>
      <c r="S36" s="1864" t="str">
        <f t="shared" si="16"/>
        <v xml:space="preserve">* La variable Pueblos Originarios no puede superar el Total. * La variable Migrantes no puede superar el Total. </v>
      </c>
      <c r="AX36" s="1936"/>
      <c r="AY36" s="1936"/>
      <c r="AZ36" s="1936"/>
      <c r="BA36" s="1936"/>
      <c r="BB36" s="1936"/>
      <c r="BC36" s="1936"/>
      <c r="BD36" s="1936"/>
      <c r="BE36" s="1936"/>
      <c r="BF36" s="1936"/>
      <c r="BG36" s="1936"/>
      <c r="BH36" s="1936"/>
      <c r="BI36" s="1936"/>
      <c r="BJ36" s="1936"/>
      <c r="BK36" s="1936"/>
      <c r="BL36" s="1936"/>
      <c r="BM36" s="1936"/>
      <c r="BN36" s="1936"/>
      <c r="BO36" s="1936"/>
      <c r="BP36" s="1936"/>
      <c r="BQ36" s="1936"/>
      <c r="BR36" s="1936"/>
      <c r="BS36" s="1936"/>
      <c r="BT36" s="1936"/>
      <c r="BU36" s="1936"/>
      <c r="BV36" s="1936"/>
      <c r="BW36" s="1936"/>
      <c r="BX36" s="1936"/>
      <c r="BY36" s="1936"/>
      <c r="BZ36" s="1936"/>
      <c r="CA36" s="1936"/>
      <c r="CB36" s="1865" t="str">
        <f t="shared" si="18"/>
        <v xml:space="preserve">* La variable Pueblos Originarios no puede superar el Total. </v>
      </c>
      <c r="CC36" s="1865" t="str">
        <f t="shared" si="19"/>
        <v xml:space="preserve">* La variable Migrantes no puede superar el Total. </v>
      </c>
      <c r="CD36" s="1936"/>
      <c r="CE36" s="1936"/>
      <c r="CF36" s="1867">
        <f t="shared" si="17"/>
        <v>1</v>
      </c>
      <c r="CG36" s="1867">
        <f t="shared" si="17"/>
        <v>1</v>
      </c>
    </row>
    <row r="37" spans="1:85" x14ac:dyDescent="0.25">
      <c r="A37" s="5944">
        <v>29000012</v>
      </c>
      <c r="B37" s="7431"/>
      <c r="C37" s="1162" t="s">
        <v>3567</v>
      </c>
      <c r="D37" s="1161" t="s">
        <v>4567</v>
      </c>
      <c r="E37" s="1354" t="s">
        <v>4568</v>
      </c>
      <c r="F37" s="1355" t="s">
        <v>4569</v>
      </c>
      <c r="G37" s="1355" t="s">
        <v>4570</v>
      </c>
      <c r="H37" s="1355" t="s">
        <v>4571</v>
      </c>
      <c r="I37" s="1355" t="s">
        <v>4572</v>
      </c>
      <c r="J37" s="1355" t="s">
        <v>4573</v>
      </c>
      <c r="K37" s="1355" t="s">
        <v>4574</v>
      </c>
      <c r="L37" s="1355" t="s">
        <v>4575</v>
      </c>
      <c r="M37" s="1356" t="s">
        <v>4576</v>
      </c>
      <c r="N37" s="1357" t="s">
        <v>4577</v>
      </c>
      <c r="O37" s="1358" t="s">
        <v>4578</v>
      </c>
      <c r="P37" s="1359" t="s">
        <v>4579</v>
      </c>
      <c r="Q37" s="1334" t="s">
        <v>4580</v>
      </c>
      <c r="R37" s="1335" t="s">
        <v>4581</v>
      </c>
      <c r="S37" s="1864" t="str">
        <f t="shared" si="16"/>
        <v xml:space="preserve">* La variable Pueblos Originarios no puede superar el Total. * La variable Migrantes no puede superar el Total. </v>
      </c>
      <c r="AX37" s="1936"/>
      <c r="AY37" s="1936"/>
      <c r="AZ37" s="1936"/>
      <c r="BA37" s="1936"/>
      <c r="BB37" s="1936"/>
      <c r="BC37" s="1936"/>
      <c r="BD37" s="1936"/>
      <c r="BE37" s="1936"/>
      <c r="BF37" s="1936"/>
      <c r="BG37" s="1936"/>
      <c r="BH37" s="1936"/>
      <c r="BI37" s="1936"/>
      <c r="BJ37" s="1936"/>
      <c r="BK37" s="1936"/>
      <c r="BL37" s="1936"/>
      <c r="BM37" s="1936"/>
      <c r="BN37" s="1936"/>
      <c r="BO37" s="1936"/>
      <c r="BP37" s="1936"/>
      <c r="BQ37" s="1936"/>
      <c r="BR37" s="1936"/>
      <c r="BS37" s="1936"/>
      <c r="BT37" s="1936"/>
      <c r="BU37" s="1936"/>
      <c r="BV37" s="1936"/>
      <c r="BW37" s="1936"/>
      <c r="BX37" s="1936"/>
      <c r="BY37" s="1936"/>
      <c r="BZ37" s="1936"/>
      <c r="CA37" s="1936"/>
      <c r="CB37" s="1865" t="str">
        <f t="shared" si="18"/>
        <v xml:space="preserve">* La variable Pueblos Originarios no puede superar el Total. </v>
      </c>
      <c r="CC37" s="1865" t="str">
        <f t="shared" si="19"/>
        <v xml:space="preserve">* La variable Migrantes no puede superar el Total. </v>
      </c>
      <c r="CD37" s="1936"/>
      <c r="CE37" s="1936"/>
      <c r="CF37" s="1867">
        <f t="shared" si="17"/>
        <v>1</v>
      </c>
      <c r="CG37" s="1867">
        <f t="shared" si="17"/>
        <v>1</v>
      </c>
    </row>
    <row r="38" spans="1:85" x14ac:dyDescent="0.25">
      <c r="A38" s="5944">
        <v>29000013</v>
      </c>
      <c r="B38" s="7431"/>
      <c r="C38" s="1162" t="s">
        <v>3568</v>
      </c>
      <c r="D38" s="1161" t="s">
        <v>4567</v>
      </c>
      <c r="E38" s="1344" t="s">
        <v>4568</v>
      </c>
      <c r="F38" s="1340" t="s">
        <v>4569</v>
      </c>
      <c r="G38" s="1340" t="s">
        <v>4570</v>
      </c>
      <c r="H38" s="1340" t="s">
        <v>4571</v>
      </c>
      <c r="I38" s="1340" t="s">
        <v>4572</v>
      </c>
      <c r="J38" s="1340" t="s">
        <v>4573</v>
      </c>
      <c r="K38" s="1340" t="s">
        <v>4574</v>
      </c>
      <c r="L38" s="1340" t="s">
        <v>4575</v>
      </c>
      <c r="M38" s="1341" t="s">
        <v>4576</v>
      </c>
      <c r="N38" s="1345" t="s">
        <v>4577</v>
      </c>
      <c r="O38" s="1346" t="s">
        <v>4578</v>
      </c>
      <c r="P38" s="1347" t="s">
        <v>4579</v>
      </c>
      <c r="Q38" s="1334" t="s">
        <v>4580</v>
      </c>
      <c r="R38" s="1335" t="s">
        <v>4581</v>
      </c>
      <c r="S38" s="1864" t="str">
        <f t="shared" si="16"/>
        <v xml:space="preserve">* La variable Pueblos Originarios no puede superar el Total. * La variable Migrantes no puede superar el Total. </v>
      </c>
      <c r="AX38" s="1936"/>
      <c r="AY38" s="1936"/>
      <c r="AZ38" s="1936"/>
      <c r="BA38" s="1936"/>
      <c r="BB38" s="1936"/>
      <c r="BC38" s="1936"/>
      <c r="BD38" s="1936"/>
      <c r="BE38" s="1936"/>
      <c r="BF38" s="1936"/>
      <c r="BG38" s="1936"/>
      <c r="BH38" s="1936"/>
      <c r="BI38" s="1936"/>
      <c r="BJ38" s="1936"/>
      <c r="BK38" s="1936"/>
      <c r="BL38" s="1936"/>
      <c r="BM38" s="1936"/>
      <c r="BN38" s="1936"/>
      <c r="BO38" s="1936"/>
      <c r="BP38" s="1936"/>
      <c r="BQ38" s="1936"/>
      <c r="BR38" s="1936"/>
      <c r="BS38" s="1936"/>
      <c r="BT38" s="1936"/>
      <c r="BU38" s="1936"/>
      <c r="BV38" s="1936"/>
      <c r="BW38" s="1936"/>
      <c r="BX38" s="1936"/>
      <c r="BY38" s="1936"/>
      <c r="BZ38" s="1936"/>
      <c r="CA38" s="1936"/>
      <c r="CB38" s="1865" t="str">
        <f t="shared" si="18"/>
        <v xml:space="preserve">* La variable Pueblos Originarios no puede superar el Total. </v>
      </c>
      <c r="CC38" s="1865" t="str">
        <f t="shared" si="19"/>
        <v xml:space="preserve">* La variable Migrantes no puede superar el Total. </v>
      </c>
      <c r="CD38" s="1936"/>
      <c r="CE38" s="1936"/>
      <c r="CF38" s="1867">
        <f t="shared" si="17"/>
        <v>1</v>
      </c>
      <c r="CG38" s="1867">
        <f t="shared" si="17"/>
        <v>1</v>
      </c>
    </row>
    <row r="39" spans="1:85" x14ac:dyDescent="0.25">
      <c r="A39" s="5944">
        <v>29000048</v>
      </c>
      <c r="B39" s="7359"/>
      <c r="C39" s="1162" t="s">
        <v>3569</v>
      </c>
      <c r="D39" s="1161" t="s">
        <v>4567</v>
      </c>
      <c r="E39" s="1360" t="s">
        <v>4568</v>
      </c>
      <c r="F39" s="102" t="s">
        <v>4569</v>
      </c>
      <c r="G39" s="102" t="s">
        <v>4570</v>
      </c>
      <c r="H39" s="102" t="s">
        <v>4571</v>
      </c>
      <c r="I39" s="102" t="s">
        <v>4572</v>
      </c>
      <c r="J39" s="102" t="s">
        <v>4573</v>
      </c>
      <c r="K39" s="102" t="s">
        <v>4574</v>
      </c>
      <c r="L39" s="102" t="s">
        <v>4575</v>
      </c>
      <c r="M39" s="103" t="s">
        <v>4576</v>
      </c>
      <c r="N39" s="238" t="s">
        <v>4577</v>
      </c>
      <c r="O39" s="239" t="s">
        <v>4578</v>
      </c>
      <c r="P39" s="237" t="s">
        <v>4579</v>
      </c>
      <c r="Q39" s="1361" t="s">
        <v>4580</v>
      </c>
      <c r="R39" s="395" t="s">
        <v>4581</v>
      </c>
      <c r="S39" s="1864" t="str">
        <f t="shared" si="16"/>
        <v xml:space="preserve">* La variable Pueblos Originarios no puede superar el Total. * La variable Migrantes no puede superar el Total. </v>
      </c>
      <c r="AX39" s="1936"/>
      <c r="AY39" s="1936"/>
      <c r="AZ39" s="1936"/>
      <c r="BA39" s="1936"/>
      <c r="BB39" s="1936"/>
      <c r="BC39" s="1936"/>
      <c r="BD39" s="1936"/>
      <c r="BE39" s="1936"/>
      <c r="BF39" s="1936"/>
      <c r="BG39" s="1936"/>
      <c r="BH39" s="1936"/>
      <c r="BI39" s="1936"/>
      <c r="BJ39" s="1936"/>
      <c r="BK39" s="1936"/>
      <c r="BL39" s="1936"/>
      <c r="BM39" s="1936"/>
      <c r="BN39" s="1936"/>
      <c r="BO39" s="1936"/>
      <c r="BP39" s="1936"/>
      <c r="BQ39" s="1936"/>
      <c r="BR39" s="1936"/>
      <c r="BS39" s="1936"/>
      <c r="BT39" s="1936"/>
      <c r="BU39" s="1936"/>
      <c r="BV39" s="1936"/>
      <c r="BW39" s="1936"/>
      <c r="BX39" s="1936"/>
      <c r="BY39" s="1936"/>
      <c r="BZ39" s="1936"/>
      <c r="CA39" s="1936"/>
      <c r="CB39" s="1865" t="str">
        <f t="shared" si="18"/>
        <v xml:space="preserve">* La variable Pueblos Originarios no puede superar el Total. </v>
      </c>
      <c r="CC39" s="1865" t="str">
        <f t="shared" si="19"/>
        <v xml:space="preserve">* La variable Migrantes no puede superar el Total. </v>
      </c>
      <c r="CD39" s="1936"/>
      <c r="CE39" s="1936"/>
      <c r="CF39" s="1867">
        <f t="shared" si="17"/>
        <v>1</v>
      </c>
      <c r="CG39" s="1867">
        <f t="shared" si="17"/>
        <v>1</v>
      </c>
    </row>
    <row r="40" spans="1:85" x14ac:dyDescent="0.25">
      <c r="A40" s="5944">
        <v>29000014</v>
      </c>
      <c r="B40" s="7685" t="s">
        <v>3570</v>
      </c>
      <c r="C40" s="1159" t="s">
        <v>2899</v>
      </c>
      <c r="D40" s="1362" t="s">
        <v>4567</v>
      </c>
      <c r="E40" s="393" t="s">
        <v>4568</v>
      </c>
      <c r="F40" s="1363" t="s">
        <v>4569</v>
      </c>
      <c r="G40" s="1363" t="s">
        <v>4570</v>
      </c>
      <c r="H40" s="1363" t="s">
        <v>4571</v>
      </c>
      <c r="I40" s="1363" t="s">
        <v>4572</v>
      </c>
      <c r="J40" s="1363" t="s">
        <v>4573</v>
      </c>
      <c r="K40" s="1363" t="s">
        <v>4574</v>
      </c>
      <c r="L40" s="1363" t="s">
        <v>4575</v>
      </c>
      <c r="M40" s="1364" t="s">
        <v>4576</v>
      </c>
      <c r="N40" s="1365" t="s">
        <v>4577</v>
      </c>
      <c r="O40" s="1366" t="s">
        <v>4578</v>
      </c>
      <c r="P40" s="1367" t="s">
        <v>4579</v>
      </c>
      <c r="Q40" s="396" t="s">
        <v>4580</v>
      </c>
      <c r="R40" s="218" t="s">
        <v>4581</v>
      </c>
      <c r="S40" s="1864" t="str">
        <f t="shared" si="16"/>
        <v xml:space="preserve">* La variable Pueblos Originarios no puede superar el Total. * La variable Migrantes no puede superar el Total. </v>
      </c>
      <c r="AX40" s="1936"/>
      <c r="AY40" s="1936"/>
      <c r="AZ40" s="1936"/>
      <c r="BA40" s="1936"/>
      <c r="BB40" s="1936"/>
      <c r="BC40" s="1936"/>
      <c r="BD40" s="1936"/>
      <c r="BE40" s="1936"/>
      <c r="BF40" s="1936"/>
      <c r="BG40" s="1936"/>
      <c r="BH40" s="1936"/>
      <c r="BI40" s="1936"/>
      <c r="BJ40" s="1936"/>
      <c r="BK40" s="1936"/>
      <c r="BL40" s="1936"/>
      <c r="BM40" s="1936"/>
      <c r="BN40" s="1936"/>
      <c r="BO40" s="1936"/>
      <c r="BP40" s="1936"/>
      <c r="BQ40" s="1936"/>
      <c r="BR40" s="1936"/>
      <c r="BS40" s="1936"/>
      <c r="BT40" s="1936"/>
      <c r="BU40" s="1936"/>
      <c r="BV40" s="1936"/>
      <c r="BW40" s="1936"/>
      <c r="BX40" s="1936"/>
      <c r="BY40" s="1936"/>
      <c r="BZ40" s="1936"/>
      <c r="CA40" s="1936"/>
      <c r="CB40" s="1865" t="str">
        <f t="shared" si="18"/>
        <v xml:space="preserve">* La variable Pueblos Originarios no puede superar el Total. </v>
      </c>
      <c r="CC40" s="1865" t="str">
        <f t="shared" si="19"/>
        <v xml:space="preserve">* La variable Migrantes no puede superar el Total. </v>
      </c>
      <c r="CD40" s="1936"/>
      <c r="CE40" s="1936"/>
      <c r="CF40" s="1867">
        <f t="shared" si="17"/>
        <v>1</v>
      </c>
      <c r="CG40" s="1867">
        <f t="shared" si="17"/>
        <v>1</v>
      </c>
    </row>
    <row r="41" spans="1:85" x14ac:dyDescent="0.25">
      <c r="A41" s="5944">
        <v>29000015</v>
      </c>
      <c r="B41" s="6112"/>
      <c r="C41" s="295" t="s">
        <v>3563</v>
      </c>
      <c r="D41" s="392" t="s">
        <v>4567</v>
      </c>
      <c r="E41" s="1344" t="s">
        <v>4568</v>
      </c>
      <c r="F41" s="1340" t="s">
        <v>4569</v>
      </c>
      <c r="G41" s="1340" t="s">
        <v>4570</v>
      </c>
      <c r="H41" s="1340" t="s">
        <v>4571</v>
      </c>
      <c r="I41" s="1340" t="s">
        <v>4572</v>
      </c>
      <c r="J41" s="1340" t="s">
        <v>4573</v>
      </c>
      <c r="K41" s="1340" t="s">
        <v>4574</v>
      </c>
      <c r="L41" s="1340" t="s">
        <v>4575</v>
      </c>
      <c r="M41" s="1341" t="s">
        <v>4576</v>
      </c>
      <c r="N41" s="1334" t="s">
        <v>4577</v>
      </c>
      <c r="O41" s="1340" t="s">
        <v>4578</v>
      </c>
      <c r="P41" s="1341" t="s">
        <v>4579</v>
      </c>
      <c r="Q41" s="1334" t="s">
        <v>4580</v>
      </c>
      <c r="R41" s="1335" t="s">
        <v>4581</v>
      </c>
      <c r="S41" s="1864" t="str">
        <f t="shared" si="16"/>
        <v xml:space="preserve">* La variable Pueblos Originarios no puede superar el Total. * La variable Migrantes no puede superar el Total. </v>
      </c>
      <c r="AX41" s="1936"/>
      <c r="AY41" s="1936"/>
      <c r="AZ41" s="1936"/>
      <c r="BA41" s="1936"/>
      <c r="BB41" s="1936"/>
      <c r="BC41" s="1936"/>
      <c r="BD41" s="1936"/>
      <c r="BE41" s="1936"/>
      <c r="BF41" s="1936"/>
      <c r="BG41" s="1936"/>
      <c r="BH41" s="1936"/>
      <c r="BI41" s="1936"/>
      <c r="BJ41" s="1936"/>
      <c r="BK41" s="1936"/>
      <c r="BL41" s="1936"/>
      <c r="BM41" s="1936"/>
      <c r="BN41" s="1936"/>
      <c r="BO41" s="1936"/>
      <c r="BP41" s="1936"/>
      <c r="BQ41" s="1936"/>
      <c r="BR41" s="1936"/>
      <c r="BS41" s="1936"/>
      <c r="BT41" s="1936"/>
      <c r="BU41" s="1936"/>
      <c r="BV41" s="1936"/>
      <c r="BW41" s="1936"/>
      <c r="BX41" s="1936"/>
      <c r="BY41" s="1936"/>
      <c r="BZ41" s="1936"/>
      <c r="CA41" s="1936"/>
      <c r="CB41" s="1865" t="str">
        <f t="shared" si="18"/>
        <v xml:space="preserve">* La variable Pueblos Originarios no puede superar el Total. </v>
      </c>
      <c r="CC41" s="1865" t="str">
        <f t="shared" si="19"/>
        <v xml:space="preserve">* La variable Migrantes no puede superar el Total. </v>
      </c>
      <c r="CD41" s="1936"/>
      <c r="CE41" s="1936"/>
      <c r="CF41" s="1867">
        <f t="shared" si="17"/>
        <v>1</v>
      </c>
      <c r="CG41" s="1867">
        <f t="shared" si="17"/>
        <v>1</v>
      </c>
    </row>
    <row r="42" spans="1:85" x14ac:dyDescent="0.25">
      <c r="A42" s="5944">
        <v>29000016</v>
      </c>
      <c r="B42" s="6842"/>
      <c r="C42" s="1368" t="s">
        <v>3571</v>
      </c>
      <c r="D42" s="1369" t="s">
        <v>4567</v>
      </c>
      <c r="E42" s="1370" t="s">
        <v>4568</v>
      </c>
      <c r="F42" s="263" t="s">
        <v>4569</v>
      </c>
      <c r="G42" s="263" t="s">
        <v>4570</v>
      </c>
      <c r="H42" s="263" t="s">
        <v>4571</v>
      </c>
      <c r="I42" s="263" t="s">
        <v>4572</v>
      </c>
      <c r="J42" s="263" t="s">
        <v>4573</v>
      </c>
      <c r="K42" s="263" t="s">
        <v>4574</v>
      </c>
      <c r="L42" s="263" t="s">
        <v>4575</v>
      </c>
      <c r="M42" s="1371" t="s">
        <v>4576</v>
      </c>
      <c r="N42" s="264" t="s">
        <v>4577</v>
      </c>
      <c r="O42" s="265" t="s">
        <v>4578</v>
      </c>
      <c r="P42" s="1372" t="s">
        <v>4579</v>
      </c>
      <c r="Q42" s="1361" t="s">
        <v>4580</v>
      </c>
      <c r="R42" s="395" t="s">
        <v>4581</v>
      </c>
      <c r="S42" s="1864" t="str">
        <f t="shared" si="16"/>
        <v xml:space="preserve">* La variable Pueblos Originarios no puede superar el Total. * La variable Migrantes no puede superar el Total. </v>
      </c>
      <c r="AX42" s="1936"/>
      <c r="AY42" s="1936"/>
      <c r="AZ42" s="1936"/>
      <c r="BA42" s="1936"/>
      <c r="BB42" s="1936"/>
      <c r="BC42" s="1936"/>
      <c r="BD42" s="1936"/>
      <c r="BE42" s="1936"/>
      <c r="BF42" s="1936"/>
      <c r="BG42" s="1936"/>
      <c r="BH42" s="1936"/>
      <c r="BI42" s="1936"/>
      <c r="BJ42" s="1936"/>
      <c r="BK42" s="1936"/>
      <c r="BL42" s="1936"/>
      <c r="BM42" s="1936"/>
      <c r="BN42" s="1936"/>
      <c r="BO42" s="1936"/>
      <c r="BP42" s="1936"/>
      <c r="BQ42" s="1936"/>
      <c r="BR42" s="1936"/>
      <c r="BS42" s="1936"/>
      <c r="BT42" s="1936"/>
      <c r="BU42" s="1936"/>
      <c r="BV42" s="1936"/>
      <c r="BW42" s="1936"/>
      <c r="BX42" s="1936"/>
      <c r="BY42" s="1936"/>
      <c r="BZ42" s="1936"/>
      <c r="CA42" s="1936"/>
      <c r="CB42" s="1865" t="str">
        <f t="shared" si="18"/>
        <v xml:space="preserve">* La variable Pueblos Originarios no puede superar el Total. </v>
      </c>
      <c r="CC42" s="1865" t="str">
        <f t="shared" si="19"/>
        <v xml:space="preserve">* La variable Migrantes no puede superar el Total. </v>
      </c>
      <c r="CD42" s="1936"/>
      <c r="CE42" s="1936"/>
      <c r="CF42" s="1867">
        <f t="shared" si="17"/>
        <v>1</v>
      </c>
      <c r="CG42" s="1867">
        <f t="shared" si="17"/>
        <v>1</v>
      </c>
    </row>
    <row r="43" spans="1:85" x14ac:dyDescent="0.25">
      <c r="A43" s="5944">
        <v>29000017</v>
      </c>
      <c r="B43" s="7685" t="s">
        <v>3572</v>
      </c>
      <c r="C43" s="1373" t="s">
        <v>2899</v>
      </c>
      <c r="D43" s="392" t="s">
        <v>4567</v>
      </c>
      <c r="E43" s="1374" t="s">
        <v>4568</v>
      </c>
      <c r="F43" s="1363" t="s">
        <v>4569</v>
      </c>
      <c r="G43" s="1363" t="s">
        <v>4570</v>
      </c>
      <c r="H43" s="1363" t="s">
        <v>4571</v>
      </c>
      <c r="I43" s="1363" t="s">
        <v>4572</v>
      </c>
      <c r="J43" s="1363" t="s">
        <v>4573</v>
      </c>
      <c r="K43" s="1363" t="s">
        <v>4574</v>
      </c>
      <c r="L43" s="1363" t="s">
        <v>4575</v>
      </c>
      <c r="M43" s="1364" t="s">
        <v>4576</v>
      </c>
      <c r="N43" s="1365" t="s">
        <v>4577</v>
      </c>
      <c r="O43" s="1366" t="s">
        <v>4578</v>
      </c>
      <c r="P43" s="1367" t="s">
        <v>4579</v>
      </c>
      <c r="Q43" s="396" t="s">
        <v>4580</v>
      </c>
      <c r="R43" s="218" t="s">
        <v>4581</v>
      </c>
      <c r="S43" s="1864" t="str">
        <f t="shared" si="16"/>
        <v xml:space="preserve">* La variable Pueblos Originarios no puede superar el Total. * La variable Migrantes no puede superar el Total. </v>
      </c>
      <c r="AX43" s="1936"/>
      <c r="AY43" s="1936"/>
      <c r="AZ43" s="1936"/>
      <c r="BA43" s="1936"/>
      <c r="BB43" s="1936"/>
      <c r="BC43" s="1936"/>
      <c r="BD43" s="1936"/>
      <c r="BE43" s="1936"/>
      <c r="BF43" s="1936"/>
      <c r="BG43" s="1936"/>
      <c r="BH43" s="1936"/>
      <c r="BI43" s="1936"/>
      <c r="BJ43" s="1936"/>
      <c r="BK43" s="1936"/>
      <c r="BL43" s="1936"/>
      <c r="BM43" s="1936"/>
      <c r="BN43" s="1936"/>
      <c r="BO43" s="1936"/>
      <c r="BP43" s="1936"/>
      <c r="BQ43" s="1936"/>
      <c r="BR43" s="1936"/>
      <c r="BS43" s="1936"/>
      <c r="BT43" s="1936"/>
      <c r="BU43" s="1936"/>
      <c r="BV43" s="1936"/>
      <c r="BW43" s="1936"/>
      <c r="BX43" s="1936"/>
      <c r="BY43" s="1936"/>
      <c r="BZ43" s="1936"/>
      <c r="CA43" s="1936"/>
      <c r="CB43" s="1865" t="str">
        <f t="shared" si="18"/>
        <v xml:space="preserve">* La variable Pueblos Originarios no puede superar el Total. </v>
      </c>
      <c r="CC43" s="1865" t="str">
        <f t="shared" si="19"/>
        <v xml:space="preserve">* La variable Migrantes no puede superar el Total. </v>
      </c>
      <c r="CD43" s="1936"/>
      <c r="CE43" s="1936"/>
      <c r="CF43" s="1867">
        <f t="shared" si="17"/>
        <v>1</v>
      </c>
      <c r="CG43" s="1867">
        <f t="shared" si="17"/>
        <v>1</v>
      </c>
    </row>
    <row r="44" spans="1:85" x14ac:dyDescent="0.25">
      <c r="A44" s="5944">
        <v>29000018</v>
      </c>
      <c r="B44" s="6112"/>
      <c r="C44" s="193" t="s">
        <v>3563</v>
      </c>
      <c r="D44" s="1161" t="s">
        <v>4567</v>
      </c>
      <c r="E44" s="1344" t="s">
        <v>4568</v>
      </c>
      <c r="F44" s="1340" t="s">
        <v>4569</v>
      </c>
      <c r="G44" s="1340" t="s">
        <v>4570</v>
      </c>
      <c r="H44" s="1340" t="s">
        <v>4571</v>
      </c>
      <c r="I44" s="1340" t="s">
        <v>4572</v>
      </c>
      <c r="J44" s="1340" t="s">
        <v>4573</v>
      </c>
      <c r="K44" s="1340" t="s">
        <v>4574</v>
      </c>
      <c r="L44" s="1340" t="s">
        <v>4575</v>
      </c>
      <c r="M44" s="1341" t="s">
        <v>4576</v>
      </c>
      <c r="N44" s="1334" t="s">
        <v>4577</v>
      </c>
      <c r="O44" s="1340" t="s">
        <v>4578</v>
      </c>
      <c r="P44" s="1341" t="s">
        <v>4579</v>
      </c>
      <c r="Q44" s="1334" t="s">
        <v>4580</v>
      </c>
      <c r="R44" s="1335" t="s">
        <v>4581</v>
      </c>
      <c r="S44" s="1864" t="str">
        <f t="shared" si="16"/>
        <v xml:space="preserve">* La variable Pueblos Originarios no puede superar el Total. * La variable Migrantes no puede superar el Total. </v>
      </c>
      <c r="AX44" s="1936"/>
      <c r="AY44" s="1936"/>
      <c r="AZ44" s="1936"/>
      <c r="BA44" s="1936"/>
      <c r="BB44" s="1936"/>
      <c r="BC44" s="1936"/>
      <c r="BD44" s="1936"/>
      <c r="BE44" s="1936"/>
      <c r="BF44" s="1936"/>
      <c r="BG44" s="1936"/>
      <c r="BH44" s="1936"/>
      <c r="BI44" s="1936"/>
      <c r="BJ44" s="1936"/>
      <c r="BK44" s="1936"/>
      <c r="BL44" s="1936"/>
      <c r="BM44" s="1936"/>
      <c r="BN44" s="1936"/>
      <c r="BO44" s="1936"/>
      <c r="BP44" s="1936"/>
      <c r="BQ44" s="1936"/>
      <c r="BR44" s="1936"/>
      <c r="BS44" s="1936"/>
      <c r="BT44" s="1936"/>
      <c r="BU44" s="1936"/>
      <c r="BV44" s="1936"/>
      <c r="BW44" s="1936"/>
      <c r="BX44" s="1936"/>
      <c r="BY44" s="1936"/>
      <c r="BZ44" s="1936"/>
      <c r="CA44" s="1936"/>
      <c r="CB44" s="1865" t="str">
        <f t="shared" si="18"/>
        <v xml:space="preserve">* La variable Pueblos Originarios no puede superar el Total. </v>
      </c>
      <c r="CC44" s="1865" t="str">
        <f t="shared" si="19"/>
        <v xml:space="preserve">* La variable Migrantes no puede superar el Total. </v>
      </c>
      <c r="CD44" s="1936"/>
      <c r="CE44" s="1936"/>
      <c r="CF44" s="1867">
        <f t="shared" si="17"/>
        <v>1</v>
      </c>
      <c r="CG44" s="1867">
        <f t="shared" si="17"/>
        <v>1</v>
      </c>
    </row>
    <row r="45" spans="1:85" x14ac:dyDescent="0.25">
      <c r="A45" s="5944">
        <v>29000019</v>
      </c>
      <c r="B45" s="6842"/>
      <c r="C45" s="1163" t="s">
        <v>3573</v>
      </c>
      <c r="D45" s="1375" t="s">
        <v>4567</v>
      </c>
      <c r="E45" s="1370" t="s">
        <v>4568</v>
      </c>
      <c r="F45" s="263" t="s">
        <v>4569</v>
      </c>
      <c r="G45" s="263" t="s">
        <v>4570</v>
      </c>
      <c r="H45" s="263" t="s">
        <v>4571</v>
      </c>
      <c r="I45" s="263" t="s">
        <v>4572</v>
      </c>
      <c r="J45" s="263" t="s">
        <v>4573</v>
      </c>
      <c r="K45" s="263" t="s">
        <v>4574</v>
      </c>
      <c r="L45" s="263" t="s">
        <v>4575</v>
      </c>
      <c r="M45" s="1371" t="s">
        <v>4576</v>
      </c>
      <c r="N45" s="264" t="s">
        <v>4577</v>
      </c>
      <c r="O45" s="265" t="s">
        <v>4578</v>
      </c>
      <c r="P45" s="1372" t="s">
        <v>4579</v>
      </c>
      <c r="Q45" s="1361" t="s">
        <v>4580</v>
      </c>
      <c r="R45" s="395" t="s">
        <v>4581</v>
      </c>
      <c r="S45" s="1864" t="str">
        <f t="shared" si="16"/>
        <v xml:space="preserve">* La variable Pueblos Originarios no puede superar el Total. * La variable Migrantes no puede superar el Total. </v>
      </c>
      <c r="AX45" s="1936"/>
      <c r="AY45" s="1936"/>
      <c r="AZ45" s="1936"/>
      <c r="BA45" s="1936"/>
      <c r="BB45" s="1936"/>
      <c r="BC45" s="1936"/>
      <c r="BD45" s="1936"/>
      <c r="BE45" s="1936"/>
      <c r="BF45" s="1936"/>
      <c r="BG45" s="1936"/>
      <c r="BH45" s="1936"/>
      <c r="BI45" s="1936"/>
      <c r="BJ45" s="1936"/>
      <c r="BK45" s="1936"/>
      <c r="BL45" s="1936"/>
      <c r="BM45" s="1936"/>
      <c r="BN45" s="1936"/>
      <c r="BO45" s="1936"/>
      <c r="BP45" s="1936"/>
      <c r="BQ45" s="1936"/>
      <c r="BR45" s="1936"/>
      <c r="BS45" s="1936"/>
      <c r="BT45" s="1936"/>
      <c r="BU45" s="1936"/>
      <c r="BV45" s="1936"/>
      <c r="BW45" s="1936"/>
      <c r="BX45" s="1936"/>
      <c r="BY45" s="1936"/>
      <c r="BZ45" s="1936"/>
      <c r="CA45" s="1936"/>
      <c r="CB45" s="1865" t="str">
        <f t="shared" si="18"/>
        <v xml:space="preserve">* La variable Pueblos Originarios no puede superar el Total. </v>
      </c>
      <c r="CC45" s="1865" t="str">
        <f t="shared" si="19"/>
        <v xml:space="preserve">* La variable Migrantes no puede superar el Total. </v>
      </c>
      <c r="CD45" s="1936"/>
      <c r="CE45" s="1936"/>
      <c r="CF45" s="1867">
        <f t="shared" si="17"/>
        <v>1</v>
      </c>
      <c r="CG45" s="1867">
        <f t="shared" si="17"/>
        <v>1</v>
      </c>
    </row>
    <row r="46" spans="1:85" x14ac:dyDescent="0.25">
      <c r="A46" s="5944">
        <v>29101170</v>
      </c>
      <c r="B46" s="7685" t="s">
        <v>3574</v>
      </c>
      <c r="C46" s="1373" t="s">
        <v>2899</v>
      </c>
      <c r="D46" s="1362" t="s">
        <v>4567</v>
      </c>
      <c r="E46" s="1374" t="s">
        <v>4568</v>
      </c>
      <c r="F46" s="1363" t="s">
        <v>4569</v>
      </c>
      <c r="G46" s="1363" t="s">
        <v>4570</v>
      </c>
      <c r="H46" s="1363" t="s">
        <v>4571</v>
      </c>
      <c r="I46" s="1363" t="s">
        <v>4572</v>
      </c>
      <c r="J46" s="1363" t="s">
        <v>4573</v>
      </c>
      <c r="K46" s="1363" t="s">
        <v>4574</v>
      </c>
      <c r="L46" s="1363" t="s">
        <v>4575</v>
      </c>
      <c r="M46" s="1364" t="s">
        <v>4576</v>
      </c>
      <c r="N46" s="1365" t="s">
        <v>4577</v>
      </c>
      <c r="O46" s="1366" t="s">
        <v>4578</v>
      </c>
      <c r="P46" s="1367" t="s">
        <v>4579</v>
      </c>
      <c r="Q46" s="396" t="s">
        <v>4580</v>
      </c>
      <c r="R46" s="218" t="s">
        <v>4581</v>
      </c>
      <c r="S46" s="1864" t="str">
        <f t="shared" si="16"/>
        <v xml:space="preserve">* La variable Pueblos Originarios no puede superar el Total. * La variable Migrantes no puede superar el Total. </v>
      </c>
      <c r="AX46" s="1936"/>
      <c r="AY46" s="1936"/>
      <c r="AZ46" s="1936"/>
      <c r="BA46" s="1936"/>
      <c r="BB46" s="1936"/>
      <c r="BC46" s="1936"/>
      <c r="BD46" s="1936"/>
      <c r="BE46" s="1936"/>
      <c r="BF46" s="1936"/>
      <c r="BG46" s="1936"/>
      <c r="BH46" s="1936"/>
      <c r="BI46" s="1936"/>
      <c r="BJ46" s="1936"/>
      <c r="BK46" s="1936"/>
      <c r="BL46" s="1936"/>
      <c r="BM46" s="1936"/>
      <c r="BN46" s="1936"/>
      <c r="BO46" s="1936"/>
      <c r="BP46" s="1936"/>
      <c r="BQ46" s="1936"/>
      <c r="BR46" s="1936"/>
      <c r="BS46" s="1936"/>
      <c r="BT46" s="1936"/>
      <c r="BU46" s="1936"/>
      <c r="BV46" s="1936"/>
      <c r="BW46" s="1936"/>
      <c r="BX46" s="1936"/>
      <c r="BY46" s="1936"/>
      <c r="BZ46" s="1936"/>
      <c r="CA46" s="1936"/>
      <c r="CB46" s="1865" t="str">
        <f t="shared" si="18"/>
        <v xml:space="preserve">* La variable Pueblos Originarios no puede superar el Total. </v>
      </c>
      <c r="CC46" s="1865" t="str">
        <f t="shared" si="19"/>
        <v xml:space="preserve">* La variable Migrantes no puede superar el Total. </v>
      </c>
      <c r="CD46" s="1936"/>
      <c r="CE46" s="1936"/>
      <c r="CF46" s="1867">
        <f t="shared" si="17"/>
        <v>1</v>
      </c>
      <c r="CG46" s="1867">
        <f t="shared" si="17"/>
        <v>1</v>
      </c>
    </row>
    <row r="47" spans="1:85" x14ac:dyDescent="0.25">
      <c r="A47" s="5944">
        <v>29101180</v>
      </c>
      <c r="B47" s="6112"/>
      <c r="C47" s="1162" t="s">
        <v>3563</v>
      </c>
      <c r="D47" s="1161" t="s">
        <v>4567</v>
      </c>
      <c r="E47" s="1344" t="s">
        <v>4568</v>
      </c>
      <c r="F47" s="1340" t="s">
        <v>4569</v>
      </c>
      <c r="G47" s="1340" t="s">
        <v>4570</v>
      </c>
      <c r="H47" s="1340" t="s">
        <v>4571</v>
      </c>
      <c r="I47" s="1340" t="s">
        <v>4572</v>
      </c>
      <c r="J47" s="1340" t="s">
        <v>4573</v>
      </c>
      <c r="K47" s="1340" t="s">
        <v>4574</v>
      </c>
      <c r="L47" s="1340" t="s">
        <v>4575</v>
      </c>
      <c r="M47" s="1341" t="s">
        <v>4576</v>
      </c>
      <c r="N47" s="1334" t="s">
        <v>4577</v>
      </c>
      <c r="O47" s="1340" t="s">
        <v>4578</v>
      </c>
      <c r="P47" s="1341" t="s">
        <v>4579</v>
      </c>
      <c r="Q47" s="1334" t="s">
        <v>4580</v>
      </c>
      <c r="R47" s="1335" t="s">
        <v>4581</v>
      </c>
      <c r="S47" s="1864" t="str">
        <f t="shared" si="16"/>
        <v xml:space="preserve">* La variable Pueblos Originarios no puede superar el Total. * La variable Migrantes no puede superar el Total. </v>
      </c>
      <c r="AX47" s="1936"/>
      <c r="AY47" s="1936"/>
      <c r="AZ47" s="1936"/>
      <c r="BA47" s="1936"/>
      <c r="BB47" s="1936"/>
      <c r="BC47" s="1936"/>
      <c r="BD47" s="1936"/>
      <c r="BE47" s="1936"/>
      <c r="BF47" s="1936"/>
      <c r="BG47" s="1936"/>
      <c r="BH47" s="1936"/>
      <c r="BI47" s="1936"/>
      <c r="BJ47" s="1936"/>
      <c r="BK47" s="1936"/>
      <c r="BL47" s="1936"/>
      <c r="BM47" s="1936"/>
      <c r="BN47" s="1936"/>
      <c r="BO47" s="1936"/>
      <c r="BP47" s="1936"/>
      <c r="BQ47" s="1936"/>
      <c r="BR47" s="1936"/>
      <c r="BS47" s="1936"/>
      <c r="BT47" s="1936"/>
      <c r="BU47" s="1936"/>
      <c r="BV47" s="1936"/>
      <c r="BW47" s="1936"/>
      <c r="BX47" s="1936"/>
      <c r="BY47" s="1936"/>
      <c r="BZ47" s="1936"/>
      <c r="CA47" s="1936"/>
      <c r="CB47" s="1865" t="str">
        <f t="shared" si="18"/>
        <v xml:space="preserve">* La variable Pueblos Originarios no puede superar el Total. </v>
      </c>
      <c r="CC47" s="1865" t="str">
        <f t="shared" si="19"/>
        <v xml:space="preserve">* La variable Migrantes no puede superar el Total. </v>
      </c>
      <c r="CD47" s="1936"/>
      <c r="CE47" s="1936"/>
      <c r="CF47" s="1867">
        <f t="shared" si="17"/>
        <v>1</v>
      </c>
      <c r="CG47" s="1867">
        <f t="shared" si="17"/>
        <v>1</v>
      </c>
    </row>
    <row r="48" spans="1:85" ht="21" customHeight="1" x14ac:dyDescent="0.25">
      <c r="A48" s="5944">
        <v>29101190</v>
      </c>
      <c r="B48" s="6842"/>
      <c r="C48" s="1368" t="s">
        <v>3575</v>
      </c>
      <c r="D48" s="217" t="s">
        <v>4567</v>
      </c>
      <c r="E48" s="104" t="s">
        <v>4568</v>
      </c>
      <c r="F48" s="102" t="s">
        <v>4569</v>
      </c>
      <c r="G48" s="102" t="s">
        <v>4570</v>
      </c>
      <c r="H48" s="102" t="s">
        <v>4571</v>
      </c>
      <c r="I48" s="102" t="s">
        <v>4572</v>
      </c>
      <c r="J48" s="102" t="s">
        <v>4573</v>
      </c>
      <c r="K48" s="102" t="s">
        <v>4574</v>
      </c>
      <c r="L48" s="102" t="s">
        <v>4575</v>
      </c>
      <c r="M48" s="103" t="s">
        <v>4576</v>
      </c>
      <c r="N48" s="238" t="s">
        <v>4577</v>
      </c>
      <c r="O48" s="239" t="s">
        <v>4578</v>
      </c>
      <c r="P48" s="237" t="s">
        <v>4579</v>
      </c>
      <c r="Q48" s="1361" t="s">
        <v>4580</v>
      </c>
      <c r="R48" s="395" t="s">
        <v>4581</v>
      </c>
      <c r="S48" s="1864" t="str">
        <f t="shared" si="16"/>
        <v xml:space="preserve">* La variable Pueblos Originarios no puede superar el Total. * La variable Migrantes no puede superar el Total. </v>
      </c>
      <c r="AX48" s="1936"/>
      <c r="AY48" s="1936"/>
      <c r="AZ48" s="1936"/>
      <c r="BA48" s="1936"/>
      <c r="BB48" s="1936"/>
      <c r="BC48" s="1936"/>
      <c r="BD48" s="1936"/>
      <c r="BE48" s="1936"/>
      <c r="BF48" s="1936"/>
      <c r="BG48" s="1936"/>
      <c r="BH48" s="1936"/>
      <c r="BI48" s="1936"/>
      <c r="BJ48" s="1936"/>
      <c r="BK48" s="1936"/>
      <c r="BL48" s="1936"/>
      <c r="BM48" s="1936"/>
      <c r="BN48" s="1936"/>
      <c r="BO48" s="1936"/>
      <c r="BP48" s="1936"/>
      <c r="BQ48" s="1936"/>
      <c r="BR48" s="1936"/>
      <c r="BS48" s="1936"/>
      <c r="BT48" s="1936"/>
      <c r="BU48" s="1936"/>
      <c r="BV48" s="1936"/>
      <c r="BW48" s="1936"/>
      <c r="BX48" s="1936"/>
      <c r="BY48" s="1936"/>
      <c r="BZ48" s="1936"/>
      <c r="CA48" s="1936"/>
      <c r="CB48" s="1865" t="str">
        <f t="shared" si="18"/>
        <v xml:space="preserve">* La variable Pueblos Originarios no puede superar el Total. </v>
      </c>
      <c r="CC48" s="1865" t="str">
        <f t="shared" si="19"/>
        <v xml:space="preserve">* La variable Migrantes no puede superar el Total. </v>
      </c>
      <c r="CD48" s="1936"/>
      <c r="CE48" s="1936"/>
      <c r="CF48" s="1867">
        <f t="shared" si="17"/>
        <v>1</v>
      </c>
      <c r="CG48" s="1867">
        <f t="shared" si="17"/>
        <v>1</v>
      </c>
    </row>
    <row r="49" spans="1:85" x14ac:dyDescent="0.25">
      <c r="A49" s="5944">
        <v>29000020</v>
      </c>
      <c r="B49" s="7685" t="s">
        <v>3576</v>
      </c>
      <c r="C49" s="1373" t="s">
        <v>2899</v>
      </c>
      <c r="D49" s="1362" t="s">
        <v>4567</v>
      </c>
      <c r="E49" s="1376" t="s">
        <v>4568</v>
      </c>
      <c r="F49" s="1377" t="s">
        <v>4569</v>
      </c>
      <c r="G49" s="1377" t="s">
        <v>4570</v>
      </c>
      <c r="H49" s="1377" t="s">
        <v>4571</v>
      </c>
      <c r="I49" s="1377" t="s">
        <v>4572</v>
      </c>
      <c r="J49" s="1377" t="s">
        <v>4573</v>
      </c>
      <c r="K49" s="1377" t="s">
        <v>4574</v>
      </c>
      <c r="L49" s="1377" t="s">
        <v>4575</v>
      </c>
      <c r="M49" s="1378" t="s">
        <v>4576</v>
      </c>
      <c r="N49" s="1379" t="s">
        <v>4577</v>
      </c>
      <c r="O49" s="1380" t="s">
        <v>4578</v>
      </c>
      <c r="P49" s="1381" t="s">
        <v>4579</v>
      </c>
      <c r="Q49" s="396" t="s">
        <v>4580</v>
      </c>
      <c r="R49" s="218" t="s">
        <v>4581</v>
      </c>
      <c r="S49" s="1864" t="str">
        <f t="shared" si="16"/>
        <v xml:space="preserve">* La variable Pueblos Originarios no puede superar el Total. * La variable Migrantes no puede superar el Total. </v>
      </c>
      <c r="AX49" s="1936"/>
      <c r="AY49" s="1936"/>
      <c r="AZ49" s="1936"/>
      <c r="BA49" s="1936"/>
      <c r="BB49" s="1936"/>
      <c r="BC49" s="1936"/>
      <c r="BD49" s="1936"/>
      <c r="BE49" s="1936"/>
      <c r="BF49" s="1936"/>
      <c r="BG49" s="1936"/>
      <c r="BH49" s="1936"/>
      <c r="BI49" s="1936"/>
      <c r="BJ49" s="1936"/>
      <c r="BK49" s="1936"/>
      <c r="BL49" s="1936"/>
      <c r="BM49" s="1936"/>
      <c r="BN49" s="1936"/>
      <c r="BO49" s="1936"/>
      <c r="BP49" s="1936"/>
      <c r="BQ49" s="1936"/>
      <c r="BR49" s="1936"/>
      <c r="BS49" s="1936"/>
      <c r="BT49" s="1936"/>
      <c r="BU49" s="1936"/>
      <c r="BV49" s="1936"/>
      <c r="BW49" s="1936"/>
      <c r="BX49" s="1936"/>
      <c r="BY49" s="1936"/>
      <c r="BZ49" s="1936"/>
      <c r="CA49" s="1936"/>
      <c r="CB49" s="1865" t="str">
        <f t="shared" si="18"/>
        <v xml:space="preserve">* La variable Pueblos Originarios no puede superar el Total. </v>
      </c>
      <c r="CC49" s="1865" t="str">
        <f t="shared" si="19"/>
        <v xml:space="preserve">* La variable Migrantes no puede superar el Total. </v>
      </c>
      <c r="CD49" s="1936"/>
      <c r="CE49" s="1936"/>
      <c r="CF49" s="1867">
        <f t="shared" si="17"/>
        <v>1</v>
      </c>
      <c r="CG49" s="1867">
        <f t="shared" si="17"/>
        <v>1</v>
      </c>
    </row>
    <row r="50" spans="1:85" x14ac:dyDescent="0.25">
      <c r="A50" s="5944">
        <v>29000021</v>
      </c>
      <c r="B50" s="6112"/>
      <c r="C50" s="193" t="s">
        <v>3563</v>
      </c>
      <c r="D50" s="392" t="s">
        <v>4567</v>
      </c>
      <c r="E50" s="1354" t="s">
        <v>4568</v>
      </c>
      <c r="F50" s="1355" t="s">
        <v>4569</v>
      </c>
      <c r="G50" s="1355" t="s">
        <v>4570</v>
      </c>
      <c r="H50" s="1355" t="s">
        <v>4571</v>
      </c>
      <c r="I50" s="1355" t="s">
        <v>4572</v>
      </c>
      <c r="J50" s="1355" t="s">
        <v>4573</v>
      </c>
      <c r="K50" s="1355" t="s">
        <v>4574</v>
      </c>
      <c r="L50" s="1355" t="s">
        <v>4575</v>
      </c>
      <c r="M50" s="1356" t="s">
        <v>4576</v>
      </c>
      <c r="N50" s="1382" t="s">
        <v>4577</v>
      </c>
      <c r="O50" s="1355" t="s">
        <v>4578</v>
      </c>
      <c r="P50" s="1356" t="s">
        <v>4579</v>
      </c>
      <c r="Q50" s="1334" t="s">
        <v>4580</v>
      </c>
      <c r="R50" s="1335" t="s">
        <v>4581</v>
      </c>
      <c r="S50" s="1864" t="str">
        <f t="shared" si="16"/>
        <v xml:space="preserve">* La variable Pueblos Originarios no puede superar el Total. * La variable Migrantes no puede superar el Total. </v>
      </c>
      <c r="AX50" s="1936"/>
      <c r="AY50" s="1936"/>
      <c r="AZ50" s="1936"/>
      <c r="BA50" s="1936"/>
      <c r="BB50" s="1936"/>
      <c r="BC50" s="1936"/>
      <c r="BD50" s="1936"/>
      <c r="BE50" s="1936"/>
      <c r="BF50" s="1936"/>
      <c r="BG50" s="1936"/>
      <c r="BH50" s="1936"/>
      <c r="BI50" s="1936"/>
      <c r="BJ50" s="1936"/>
      <c r="BK50" s="1936"/>
      <c r="BL50" s="1936"/>
      <c r="BM50" s="1936"/>
      <c r="BN50" s="1936"/>
      <c r="BO50" s="1936"/>
      <c r="BP50" s="1936"/>
      <c r="BQ50" s="1936"/>
      <c r="BR50" s="1936"/>
      <c r="BS50" s="1936"/>
      <c r="BT50" s="1936"/>
      <c r="BU50" s="1936"/>
      <c r="BV50" s="1936"/>
      <c r="BW50" s="1936"/>
      <c r="BX50" s="1936"/>
      <c r="BY50" s="1936"/>
      <c r="BZ50" s="1936"/>
      <c r="CA50" s="1936"/>
      <c r="CB50" s="1865" t="str">
        <f t="shared" si="18"/>
        <v xml:space="preserve">* La variable Pueblos Originarios no puede superar el Total. </v>
      </c>
      <c r="CC50" s="1865" t="str">
        <f t="shared" si="19"/>
        <v xml:space="preserve">* La variable Migrantes no puede superar el Total. </v>
      </c>
      <c r="CD50" s="1936"/>
      <c r="CE50" s="1936"/>
      <c r="CF50" s="1867">
        <f t="shared" si="17"/>
        <v>1</v>
      </c>
      <c r="CG50" s="1867">
        <f t="shared" si="17"/>
        <v>1</v>
      </c>
    </row>
    <row r="51" spans="1:85" x14ac:dyDescent="0.25">
      <c r="A51" s="5944">
        <v>29000022</v>
      </c>
      <c r="B51" s="6112"/>
      <c r="C51" s="1162" t="s">
        <v>3577</v>
      </c>
      <c r="D51" s="1161" t="s">
        <v>4567</v>
      </c>
      <c r="E51" s="1344" t="s">
        <v>4568</v>
      </c>
      <c r="F51" s="1340" t="s">
        <v>4569</v>
      </c>
      <c r="G51" s="1340" t="s">
        <v>4570</v>
      </c>
      <c r="H51" s="1340" t="s">
        <v>4571</v>
      </c>
      <c r="I51" s="1340" t="s">
        <v>4572</v>
      </c>
      <c r="J51" s="1340" t="s">
        <v>4573</v>
      </c>
      <c r="K51" s="1340" t="s">
        <v>4574</v>
      </c>
      <c r="L51" s="1340" t="s">
        <v>4575</v>
      </c>
      <c r="M51" s="1341" t="s">
        <v>4576</v>
      </c>
      <c r="N51" s="1345" t="s">
        <v>4577</v>
      </c>
      <c r="O51" s="1346" t="s">
        <v>4578</v>
      </c>
      <c r="P51" s="1347" t="s">
        <v>4579</v>
      </c>
      <c r="Q51" s="1334" t="s">
        <v>4580</v>
      </c>
      <c r="R51" s="1335" t="s">
        <v>4581</v>
      </c>
      <c r="S51" s="1864" t="str">
        <f t="shared" si="16"/>
        <v xml:space="preserve">* La variable Pueblos Originarios no puede superar el Total. * La variable Migrantes no puede superar el Total. </v>
      </c>
      <c r="AX51" s="1936"/>
      <c r="AY51" s="1936"/>
      <c r="AZ51" s="1936"/>
      <c r="BA51" s="1936"/>
      <c r="BB51" s="1936"/>
      <c r="BC51" s="1936"/>
      <c r="BD51" s="1936"/>
      <c r="BE51" s="1936"/>
      <c r="BF51" s="1936"/>
      <c r="BG51" s="1936"/>
      <c r="BH51" s="1936"/>
      <c r="BI51" s="1936"/>
      <c r="BJ51" s="1936"/>
      <c r="BK51" s="1936"/>
      <c r="BL51" s="1936"/>
      <c r="BM51" s="1936"/>
      <c r="BN51" s="1936"/>
      <c r="BO51" s="1936"/>
      <c r="BP51" s="1936"/>
      <c r="BQ51" s="1936"/>
      <c r="BR51" s="1936"/>
      <c r="BS51" s="1936"/>
      <c r="BT51" s="1936"/>
      <c r="BU51" s="1936"/>
      <c r="BV51" s="1936"/>
      <c r="BW51" s="1936"/>
      <c r="BX51" s="1936"/>
      <c r="BY51" s="1936"/>
      <c r="BZ51" s="1936"/>
      <c r="CA51" s="1936"/>
      <c r="CB51" s="1865" t="str">
        <f t="shared" si="18"/>
        <v xml:space="preserve">* La variable Pueblos Originarios no puede superar el Total. </v>
      </c>
      <c r="CC51" s="1865" t="str">
        <f t="shared" si="19"/>
        <v xml:space="preserve">* La variable Migrantes no puede superar el Total. </v>
      </c>
      <c r="CD51" s="1936"/>
      <c r="CE51" s="1936"/>
      <c r="CF51" s="1867">
        <f t="shared" si="17"/>
        <v>1</v>
      </c>
      <c r="CG51" s="1867">
        <f t="shared" si="17"/>
        <v>1</v>
      </c>
    </row>
    <row r="52" spans="1:85" x14ac:dyDescent="0.25">
      <c r="A52" s="5944">
        <v>29000023</v>
      </c>
      <c r="B52" s="6112"/>
      <c r="C52" s="990" t="s">
        <v>3571</v>
      </c>
      <c r="D52" s="1161" t="s">
        <v>4567</v>
      </c>
      <c r="E52" s="1344" t="s">
        <v>4568</v>
      </c>
      <c r="F52" s="1340" t="s">
        <v>4569</v>
      </c>
      <c r="G52" s="1340" t="s">
        <v>4570</v>
      </c>
      <c r="H52" s="1340" t="s">
        <v>4571</v>
      </c>
      <c r="I52" s="1340" t="s">
        <v>4572</v>
      </c>
      <c r="J52" s="1340" t="s">
        <v>4573</v>
      </c>
      <c r="K52" s="1340" t="s">
        <v>4574</v>
      </c>
      <c r="L52" s="1340" t="s">
        <v>4575</v>
      </c>
      <c r="M52" s="1341" t="s">
        <v>4576</v>
      </c>
      <c r="N52" s="1345" t="s">
        <v>4577</v>
      </c>
      <c r="O52" s="1346" t="s">
        <v>4578</v>
      </c>
      <c r="P52" s="1347" t="s">
        <v>4579</v>
      </c>
      <c r="Q52" s="1334" t="s">
        <v>4580</v>
      </c>
      <c r="R52" s="1335" t="s">
        <v>4581</v>
      </c>
      <c r="S52" s="1864" t="str">
        <f t="shared" si="16"/>
        <v xml:space="preserve">* La variable Pueblos Originarios no puede superar el Total. * La variable Migrantes no puede superar el Total. </v>
      </c>
      <c r="AX52" s="1936"/>
      <c r="AY52" s="1936"/>
      <c r="AZ52" s="1936"/>
      <c r="BA52" s="1936"/>
      <c r="BB52" s="1936"/>
      <c r="BC52" s="1936"/>
      <c r="BD52" s="1936"/>
      <c r="BE52" s="1936"/>
      <c r="BF52" s="1936"/>
      <c r="BG52" s="1936"/>
      <c r="BH52" s="1936"/>
      <c r="BI52" s="1936"/>
      <c r="BJ52" s="1936"/>
      <c r="BK52" s="1936"/>
      <c r="BL52" s="1936"/>
      <c r="BM52" s="1936"/>
      <c r="BN52" s="1936"/>
      <c r="BO52" s="1936"/>
      <c r="BP52" s="1936"/>
      <c r="BQ52" s="1936"/>
      <c r="BR52" s="1936"/>
      <c r="BS52" s="1936"/>
      <c r="BT52" s="1936"/>
      <c r="BU52" s="1936"/>
      <c r="BV52" s="1936"/>
      <c r="BW52" s="1936"/>
      <c r="BX52" s="1936"/>
      <c r="BY52" s="1936"/>
      <c r="BZ52" s="1936"/>
      <c r="CA52" s="1936"/>
      <c r="CB52" s="1865" t="str">
        <f t="shared" si="18"/>
        <v xml:space="preserve">* La variable Pueblos Originarios no puede superar el Total. </v>
      </c>
      <c r="CC52" s="1865" t="str">
        <f t="shared" si="19"/>
        <v xml:space="preserve">* La variable Migrantes no puede superar el Total. </v>
      </c>
      <c r="CD52" s="1936"/>
      <c r="CE52" s="1936"/>
      <c r="CF52" s="1867">
        <f t="shared" si="17"/>
        <v>1</v>
      </c>
      <c r="CG52" s="1867">
        <f t="shared" si="17"/>
        <v>1</v>
      </c>
    </row>
    <row r="53" spans="1:85" x14ac:dyDescent="0.25">
      <c r="A53" s="5944">
        <v>29000024</v>
      </c>
      <c r="B53" s="6112"/>
      <c r="C53" s="1162" t="s">
        <v>3578</v>
      </c>
      <c r="D53" s="392" t="s">
        <v>4567</v>
      </c>
      <c r="E53" s="393" t="s">
        <v>4568</v>
      </c>
      <c r="F53" s="1342" t="s">
        <v>4569</v>
      </c>
      <c r="G53" s="1342" t="s">
        <v>4570</v>
      </c>
      <c r="H53" s="1342" t="s">
        <v>4571</v>
      </c>
      <c r="I53" s="1342" t="s">
        <v>4572</v>
      </c>
      <c r="J53" s="1342" t="s">
        <v>4573</v>
      </c>
      <c r="K53" s="1342" t="s">
        <v>4574</v>
      </c>
      <c r="L53" s="1342" t="s">
        <v>4575</v>
      </c>
      <c r="M53" s="101" t="s">
        <v>4576</v>
      </c>
      <c r="N53" s="394" t="s">
        <v>4577</v>
      </c>
      <c r="O53" s="1343" t="s">
        <v>4578</v>
      </c>
      <c r="P53" s="236" t="s">
        <v>4579</v>
      </c>
      <c r="Q53" s="1334" t="s">
        <v>4580</v>
      </c>
      <c r="R53" s="1335" t="s">
        <v>4581</v>
      </c>
      <c r="S53" s="1864" t="str">
        <f t="shared" si="16"/>
        <v xml:space="preserve">* La variable Pueblos Originarios no puede superar el Total. * La variable Migrantes no puede superar el Total. </v>
      </c>
      <c r="AX53" s="1936"/>
      <c r="AY53" s="1936"/>
      <c r="AZ53" s="1936"/>
      <c r="BA53" s="1936"/>
      <c r="BB53" s="1936"/>
      <c r="BC53" s="1936"/>
      <c r="BD53" s="1936"/>
      <c r="BE53" s="1936"/>
      <c r="BF53" s="1936"/>
      <c r="BG53" s="1936"/>
      <c r="BH53" s="1936"/>
      <c r="BI53" s="1936"/>
      <c r="BJ53" s="1936"/>
      <c r="BK53" s="1936"/>
      <c r="BL53" s="1936"/>
      <c r="BM53" s="1936"/>
      <c r="BN53" s="1936"/>
      <c r="BO53" s="1936"/>
      <c r="BP53" s="1936"/>
      <c r="BQ53" s="1936"/>
      <c r="BR53" s="1936"/>
      <c r="BS53" s="1936"/>
      <c r="BT53" s="1936"/>
      <c r="BU53" s="1936"/>
      <c r="BV53" s="1936"/>
      <c r="BW53" s="1936"/>
      <c r="BX53" s="1936"/>
      <c r="BY53" s="1936"/>
      <c r="BZ53" s="1936"/>
      <c r="CA53" s="1936"/>
      <c r="CB53" s="1865" t="str">
        <f t="shared" si="18"/>
        <v xml:space="preserve">* La variable Pueblos Originarios no puede superar el Total. </v>
      </c>
      <c r="CC53" s="1865" t="str">
        <f t="shared" si="19"/>
        <v xml:space="preserve">* La variable Migrantes no puede superar el Total. </v>
      </c>
      <c r="CD53" s="1936"/>
      <c r="CE53" s="1936"/>
      <c r="CF53" s="1867">
        <f t="shared" si="17"/>
        <v>1</v>
      </c>
      <c r="CG53" s="1867">
        <f t="shared" si="17"/>
        <v>1</v>
      </c>
    </row>
    <row r="54" spans="1:85" x14ac:dyDescent="0.25">
      <c r="A54" s="5944">
        <v>29000025</v>
      </c>
      <c r="B54" s="6842"/>
      <c r="C54" s="1375" t="s">
        <v>3579</v>
      </c>
      <c r="D54" s="1369" t="s">
        <v>4567</v>
      </c>
      <c r="E54" s="1370" t="s">
        <v>4568</v>
      </c>
      <c r="F54" s="263" t="s">
        <v>4569</v>
      </c>
      <c r="G54" s="263" t="s">
        <v>4570</v>
      </c>
      <c r="H54" s="263" t="s">
        <v>4571</v>
      </c>
      <c r="I54" s="263" t="s">
        <v>4572</v>
      </c>
      <c r="J54" s="263" t="s">
        <v>4573</v>
      </c>
      <c r="K54" s="263" t="s">
        <v>4574</v>
      </c>
      <c r="L54" s="263" t="s">
        <v>4575</v>
      </c>
      <c r="M54" s="1371" t="s">
        <v>4576</v>
      </c>
      <c r="N54" s="264" t="s">
        <v>4577</v>
      </c>
      <c r="O54" s="265" t="s">
        <v>4578</v>
      </c>
      <c r="P54" s="1372" t="s">
        <v>4579</v>
      </c>
      <c r="Q54" s="1361" t="s">
        <v>4580</v>
      </c>
      <c r="R54" s="395" t="s">
        <v>4581</v>
      </c>
      <c r="S54" s="1864" t="str">
        <f t="shared" si="16"/>
        <v xml:space="preserve">* La variable Pueblos Originarios no puede superar el Total. * La variable Migrantes no puede superar el Total. </v>
      </c>
      <c r="AX54" s="1936"/>
      <c r="AY54" s="1936"/>
      <c r="AZ54" s="1936"/>
      <c r="BA54" s="1936"/>
      <c r="BB54" s="1936"/>
      <c r="BC54" s="1936"/>
      <c r="BD54" s="1936"/>
      <c r="BE54" s="1936"/>
      <c r="BF54" s="1936"/>
      <c r="BG54" s="1936"/>
      <c r="BH54" s="1936"/>
      <c r="BI54" s="1936"/>
      <c r="BJ54" s="1936"/>
      <c r="BK54" s="1936"/>
      <c r="BL54" s="1936"/>
      <c r="BM54" s="1936"/>
      <c r="BN54" s="1936"/>
      <c r="BO54" s="1936"/>
      <c r="BP54" s="1936"/>
      <c r="BQ54" s="1936"/>
      <c r="BR54" s="1936"/>
      <c r="BS54" s="1936"/>
      <c r="BT54" s="1936"/>
      <c r="BU54" s="1936"/>
      <c r="BV54" s="1936"/>
      <c r="BW54" s="1936"/>
      <c r="BX54" s="1936"/>
      <c r="BY54" s="1936"/>
      <c r="BZ54" s="1936"/>
      <c r="CA54" s="1936"/>
      <c r="CB54" s="1865" t="str">
        <f t="shared" si="18"/>
        <v xml:space="preserve">* La variable Pueblos Originarios no puede superar el Total. </v>
      </c>
      <c r="CC54" s="1865" t="str">
        <f t="shared" si="19"/>
        <v xml:space="preserve">* La variable Migrantes no puede superar el Total. </v>
      </c>
      <c r="CD54" s="1936"/>
      <c r="CE54" s="1936"/>
      <c r="CF54" s="1867">
        <f t="shared" si="17"/>
        <v>1</v>
      </c>
      <c r="CG54" s="1867">
        <f t="shared" si="17"/>
        <v>1</v>
      </c>
    </row>
    <row r="55" spans="1:85" x14ac:dyDescent="0.25">
      <c r="A55" s="5944">
        <v>29000026</v>
      </c>
      <c r="B55" s="7728" t="s">
        <v>3580</v>
      </c>
      <c r="C55" s="1383" t="s">
        <v>2899</v>
      </c>
      <c r="D55" s="1362" t="s">
        <v>4567</v>
      </c>
      <c r="E55" s="1374" t="s">
        <v>4568</v>
      </c>
      <c r="F55" s="1363" t="s">
        <v>4569</v>
      </c>
      <c r="G55" s="1363" t="s">
        <v>4570</v>
      </c>
      <c r="H55" s="1363" t="s">
        <v>4571</v>
      </c>
      <c r="I55" s="1363" t="s">
        <v>4572</v>
      </c>
      <c r="J55" s="1363" t="s">
        <v>4573</v>
      </c>
      <c r="K55" s="1363" t="s">
        <v>4574</v>
      </c>
      <c r="L55" s="1363" t="s">
        <v>4575</v>
      </c>
      <c r="M55" s="1364" t="s">
        <v>4576</v>
      </c>
      <c r="N55" s="1365" t="s">
        <v>4577</v>
      </c>
      <c r="O55" s="1366" t="s">
        <v>4578</v>
      </c>
      <c r="P55" s="1367" t="s">
        <v>4579</v>
      </c>
      <c r="Q55" s="396" t="s">
        <v>4580</v>
      </c>
      <c r="R55" s="218" t="s">
        <v>4581</v>
      </c>
      <c r="S55" s="1864" t="str">
        <f t="shared" si="16"/>
        <v xml:space="preserve">* La variable Pueblos Originarios no puede superar el Total. * La variable Migrantes no puede superar el Total. </v>
      </c>
      <c r="AX55" s="1936"/>
      <c r="AY55" s="1936"/>
      <c r="AZ55" s="1936"/>
      <c r="BA55" s="1936"/>
      <c r="BB55" s="1936"/>
      <c r="BC55" s="1936"/>
      <c r="BD55" s="1936"/>
      <c r="BE55" s="1936"/>
      <c r="BF55" s="1936"/>
      <c r="BG55" s="1936"/>
      <c r="BH55" s="1936"/>
      <c r="BI55" s="1936"/>
      <c r="BJ55" s="1936"/>
      <c r="BK55" s="1936"/>
      <c r="BL55" s="1936"/>
      <c r="BM55" s="1936"/>
      <c r="BN55" s="1936"/>
      <c r="BO55" s="1936"/>
      <c r="BP55" s="1936"/>
      <c r="BQ55" s="1936"/>
      <c r="BR55" s="1936"/>
      <c r="BS55" s="1936"/>
      <c r="BT55" s="1936"/>
      <c r="BU55" s="1936"/>
      <c r="BV55" s="1936"/>
      <c r="BW55" s="1936"/>
      <c r="BX55" s="1936"/>
      <c r="BY55" s="1936"/>
      <c r="BZ55" s="1936"/>
      <c r="CA55" s="1936"/>
      <c r="CB55" s="1865" t="str">
        <f t="shared" si="18"/>
        <v xml:space="preserve">* La variable Pueblos Originarios no puede superar el Total. </v>
      </c>
      <c r="CC55" s="1865" t="str">
        <f t="shared" si="19"/>
        <v xml:space="preserve">* La variable Migrantes no puede superar el Total. </v>
      </c>
      <c r="CD55" s="1936"/>
      <c r="CE55" s="1936"/>
      <c r="CF55" s="1867">
        <f t="shared" si="17"/>
        <v>1</v>
      </c>
      <c r="CG55" s="1867">
        <f t="shared" si="17"/>
        <v>1</v>
      </c>
    </row>
    <row r="56" spans="1:85" x14ac:dyDescent="0.25">
      <c r="A56" s="5944">
        <v>29000027</v>
      </c>
      <c r="B56" s="6112"/>
      <c r="C56" s="193" t="s">
        <v>3581</v>
      </c>
      <c r="D56" s="1161" t="s">
        <v>4567</v>
      </c>
      <c r="E56" s="1344" t="s">
        <v>4568</v>
      </c>
      <c r="F56" s="1340" t="s">
        <v>4569</v>
      </c>
      <c r="G56" s="1340" t="s">
        <v>4570</v>
      </c>
      <c r="H56" s="1340" t="s">
        <v>4571</v>
      </c>
      <c r="I56" s="1340" t="s">
        <v>4572</v>
      </c>
      <c r="J56" s="1340" t="s">
        <v>4573</v>
      </c>
      <c r="K56" s="1340" t="s">
        <v>4574</v>
      </c>
      <c r="L56" s="1340" t="s">
        <v>4575</v>
      </c>
      <c r="M56" s="1341" t="s">
        <v>4576</v>
      </c>
      <c r="N56" s="1334" t="s">
        <v>4577</v>
      </c>
      <c r="O56" s="1340" t="s">
        <v>4578</v>
      </c>
      <c r="P56" s="1341" t="s">
        <v>4579</v>
      </c>
      <c r="Q56" s="1334" t="s">
        <v>4580</v>
      </c>
      <c r="R56" s="1335" t="s">
        <v>4581</v>
      </c>
      <c r="S56" s="1864" t="str">
        <f t="shared" si="16"/>
        <v xml:space="preserve">* La variable Pueblos Originarios no puede superar el Total. * La variable Migrantes no puede superar el Total. </v>
      </c>
      <c r="AX56" s="1936"/>
      <c r="AY56" s="1936"/>
      <c r="AZ56" s="1936"/>
      <c r="BA56" s="1936"/>
      <c r="BB56" s="1936"/>
      <c r="BC56" s="1936"/>
      <c r="BD56" s="1936"/>
      <c r="BE56" s="1936"/>
      <c r="BF56" s="1936"/>
      <c r="BG56" s="1936"/>
      <c r="BH56" s="1936"/>
      <c r="BI56" s="1936"/>
      <c r="BJ56" s="1936"/>
      <c r="BK56" s="1936"/>
      <c r="BL56" s="1936"/>
      <c r="BM56" s="1936"/>
      <c r="BN56" s="1936"/>
      <c r="BO56" s="1936"/>
      <c r="BP56" s="1936"/>
      <c r="BQ56" s="1936"/>
      <c r="BR56" s="1936"/>
      <c r="BS56" s="1936"/>
      <c r="BT56" s="1936"/>
      <c r="BU56" s="1936"/>
      <c r="BV56" s="1936"/>
      <c r="BW56" s="1936"/>
      <c r="BX56" s="1936"/>
      <c r="BY56" s="1936"/>
      <c r="BZ56" s="1936"/>
      <c r="CA56" s="1936"/>
      <c r="CB56" s="1865" t="str">
        <f t="shared" si="18"/>
        <v xml:space="preserve">* La variable Pueblos Originarios no puede superar el Total. </v>
      </c>
      <c r="CC56" s="1865" t="str">
        <f t="shared" si="19"/>
        <v xml:space="preserve">* La variable Migrantes no puede superar el Total. </v>
      </c>
      <c r="CD56" s="1936"/>
      <c r="CE56" s="1936"/>
      <c r="CF56" s="1867">
        <f t="shared" si="17"/>
        <v>1</v>
      </c>
      <c r="CG56" s="1867">
        <f t="shared" si="17"/>
        <v>1</v>
      </c>
    </row>
    <row r="57" spans="1:85" ht="24" customHeight="1" x14ac:dyDescent="0.25">
      <c r="A57" s="5944">
        <v>29000028</v>
      </c>
      <c r="B57" s="6112"/>
      <c r="C57" s="990" t="s">
        <v>3582</v>
      </c>
      <c r="D57" s="1161" t="s">
        <v>4567</v>
      </c>
      <c r="E57" s="393" t="s">
        <v>4568</v>
      </c>
      <c r="F57" s="1342" t="s">
        <v>4569</v>
      </c>
      <c r="G57" s="1342" t="s">
        <v>4570</v>
      </c>
      <c r="H57" s="1342" t="s">
        <v>4571</v>
      </c>
      <c r="I57" s="1342" t="s">
        <v>4572</v>
      </c>
      <c r="J57" s="1342" t="s">
        <v>4573</v>
      </c>
      <c r="K57" s="1342" t="s">
        <v>4574</v>
      </c>
      <c r="L57" s="1342" t="s">
        <v>4575</v>
      </c>
      <c r="M57" s="101" t="s">
        <v>4576</v>
      </c>
      <c r="N57" s="394" t="s">
        <v>4577</v>
      </c>
      <c r="O57" s="1343" t="s">
        <v>4578</v>
      </c>
      <c r="P57" s="236" t="s">
        <v>4579</v>
      </c>
      <c r="Q57" s="1334" t="s">
        <v>4580</v>
      </c>
      <c r="R57" s="1335" t="s">
        <v>4581</v>
      </c>
      <c r="S57" s="1864" t="str">
        <f t="shared" si="16"/>
        <v xml:space="preserve">* La variable Pueblos Originarios no puede superar el Total. * La variable Migrantes no puede superar el Total. </v>
      </c>
      <c r="AX57" s="1936"/>
      <c r="AY57" s="1936"/>
      <c r="AZ57" s="1936"/>
      <c r="BA57" s="1936"/>
      <c r="BB57" s="1936"/>
      <c r="BC57" s="1936"/>
      <c r="BD57" s="1936"/>
      <c r="BE57" s="1936"/>
      <c r="BF57" s="1936"/>
      <c r="BG57" s="1936"/>
      <c r="BH57" s="1936"/>
      <c r="BI57" s="1936"/>
      <c r="BJ57" s="1936"/>
      <c r="BK57" s="1936"/>
      <c r="BL57" s="1936"/>
      <c r="BM57" s="1936"/>
      <c r="BN57" s="1936"/>
      <c r="BO57" s="1936"/>
      <c r="BP57" s="1936"/>
      <c r="BQ57" s="1936"/>
      <c r="BR57" s="1936"/>
      <c r="BS57" s="1936"/>
      <c r="BT57" s="1936"/>
      <c r="BU57" s="1936"/>
      <c r="BV57" s="1936"/>
      <c r="BW57" s="1936"/>
      <c r="BX57" s="1936"/>
      <c r="BY57" s="1936"/>
      <c r="BZ57" s="1936"/>
      <c r="CA57" s="1936"/>
      <c r="CB57" s="1865" t="str">
        <f t="shared" si="18"/>
        <v xml:space="preserve">* La variable Pueblos Originarios no puede superar el Total. </v>
      </c>
      <c r="CC57" s="1865" t="str">
        <f t="shared" si="19"/>
        <v xml:space="preserve">* La variable Migrantes no puede superar el Total. </v>
      </c>
      <c r="CD57" s="1936"/>
      <c r="CE57" s="1936"/>
      <c r="CF57" s="1867">
        <f t="shared" si="17"/>
        <v>1</v>
      </c>
      <c r="CG57" s="1867">
        <f t="shared" si="17"/>
        <v>1</v>
      </c>
    </row>
    <row r="58" spans="1:85" ht="21.75" customHeight="1" x14ac:dyDescent="0.25">
      <c r="A58" s="5944">
        <v>29000029</v>
      </c>
      <c r="B58" s="6842"/>
      <c r="C58" s="1384" t="s">
        <v>3583</v>
      </c>
      <c r="D58" s="1375" t="s">
        <v>4567</v>
      </c>
      <c r="E58" s="104" t="s">
        <v>4568</v>
      </c>
      <c r="F58" s="102" t="s">
        <v>4569</v>
      </c>
      <c r="G58" s="102" t="s">
        <v>4570</v>
      </c>
      <c r="H58" s="102" t="s">
        <v>4571</v>
      </c>
      <c r="I58" s="102" t="s">
        <v>4572</v>
      </c>
      <c r="J58" s="102" t="s">
        <v>4573</v>
      </c>
      <c r="K58" s="102" t="s">
        <v>4574</v>
      </c>
      <c r="L58" s="102" t="s">
        <v>4575</v>
      </c>
      <c r="M58" s="103" t="s">
        <v>4576</v>
      </c>
      <c r="N58" s="238" t="s">
        <v>4577</v>
      </c>
      <c r="O58" s="239" t="s">
        <v>4578</v>
      </c>
      <c r="P58" s="237" t="s">
        <v>4579</v>
      </c>
      <c r="Q58" s="1361" t="s">
        <v>4580</v>
      </c>
      <c r="R58" s="395" t="s">
        <v>4581</v>
      </c>
      <c r="S58" s="1864" t="str">
        <f t="shared" si="16"/>
        <v xml:space="preserve">* La variable Pueblos Originarios no puede superar el Total. * La variable Migrantes no puede superar el Total. </v>
      </c>
      <c r="AX58" s="1936"/>
      <c r="AY58" s="1936"/>
      <c r="AZ58" s="1936"/>
      <c r="BA58" s="1936"/>
      <c r="BB58" s="1936"/>
      <c r="BC58" s="1936"/>
      <c r="BD58" s="1936"/>
      <c r="BE58" s="1936"/>
      <c r="BF58" s="1936"/>
      <c r="BG58" s="1936"/>
      <c r="BH58" s="1936"/>
      <c r="BI58" s="1936"/>
      <c r="BJ58" s="1936"/>
      <c r="BK58" s="1936"/>
      <c r="BL58" s="1936"/>
      <c r="BM58" s="1936"/>
      <c r="BN58" s="1936"/>
      <c r="BO58" s="1936"/>
      <c r="BP58" s="1936"/>
      <c r="BQ58" s="1936"/>
      <c r="BR58" s="1936"/>
      <c r="BS58" s="1936"/>
      <c r="BT58" s="1936"/>
      <c r="BU58" s="1936"/>
      <c r="BV58" s="1936"/>
      <c r="BW58" s="1936"/>
      <c r="BX58" s="1936"/>
      <c r="BY58" s="1936"/>
      <c r="BZ58" s="1936"/>
      <c r="CA58" s="1936"/>
      <c r="CB58" s="1865" t="str">
        <f t="shared" si="18"/>
        <v xml:space="preserve">* La variable Pueblos Originarios no puede superar el Total. </v>
      </c>
      <c r="CC58" s="1865" t="str">
        <f t="shared" si="19"/>
        <v xml:space="preserve">* La variable Migrantes no puede superar el Total. </v>
      </c>
      <c r="CD58" s="1936"/>
      <c r="CE58" s="1936"/>
      <c r="CF58" s="1867">
        <f t="shared" si="17"/>
        <v>1</v>
      </c>
      <c r="CG58" s="1867">
        <f t="shared" si="17"/>
        <v>1</v>
      </c>
    </row>
    <row r="59" spans="1:85" x14ac:dyDescent="0.25">
      <c r="A59" s="5944">
        <v>29000049</v>
      </c>
      <c r="B59" s="7728" t="s">
        <v>3584</v>
      </c>
      <c r="C59" s="1336" t="s">
        <v>2899</v>
      </c>
      <c r="D59" s="1385" t="s">
        <v>4567</v>
      </c>
      <c r="E59" s="1386" t="s">
        <v>4568</v>
      </c>
      <c r="F59" s="1387" t="s">
        <v>4569</v>
      </c>
      <c r="G59" s="1387" t="s">
        <v>4570</v>
      </c>
      <c r="H59" s="1387" t="s">
        <v>4571</v>
      </c>
      <c r="I59" s="1387" t="s">
        <v>4572</v>
      </c>
      <c r="J59" s="1387" t="s">
        <v>4573</v>
      </c>
      <c r="K59" s="1387" t="s">
        <v>4574</v>
      </c>
      <c r="L59" s="1387" t="s">
        <v>4575</v>
      </c>
      <c r="M59" s="1388" t="s">
        <v>4576</v>
      </c>
      <c r="N59" s="1389" t="s">
        <v>4577</v>
      </c>
      <c r="O59" s="1387" t="s">
        <v>4578</v>
      </c>
      <c r="P59" s="1388" t="s">
        <v>4579</v>
      </c>
      <c r="Q59" s="396" t="s">
        <v>4580</v>
      </c>
      <c r="R59" s="218" t="s">
        <v>4581</v>
      </c>
      <c r="S59" s="1864" t="str">
        <f t="shared" si="16"/>
        <v xml:space="preserve">* La variable Pueblos Originarios no puede superar el Total. * La variable Migrantes no puede superar el Total. </v>
      </c>
      <c r="AX59" s="1936"/>
      <c r="AY59" s="1936"/>
      <c r="AZ59" s="1936"/>
      <c r="BA59" s="1936"/>
      <c r="BB59" s="1936"/>
      <c r="BC59" s="1936"/>
      <c r="BD59" s="1936"/>
      <c r="BE59" s="1936"/>
      <c r="BF59" s="1936"/>
      <c r="BG59" s="1936"/>
      <c r="BH59" s="1936"/>
      <c r="BI59" s="1936"/>
      <c r="BJ59" s="1936"/>
      <c r="BK59" s="1936"/>
      <c r="BL59" s="1936"/>
      <c r="BM59" s="1936"/>
      <c r="BN59" s="1936"/>
      <c r="BO59" s="1936"/>
      <c r="BP59" s="1936"/>
      <c r="BQ59" s="1936"/>
      <c r="BR59" s="1936"/>
      <c r="BS59" s="1936"/>
      <c r="BT59" s="1936"/>
      <c r="BU59" s="1936"/>
      <c r="BV59" s="1936"/>
      <c r="BW59" s="1936"/>
      <c r="BX59" s="1936"/>
      <c r="BY59" s="1936"/>
      <c r="BZ59" s="1936"/>
      <c r="CA59" s="1936"/>
      <c r="CB59" s="1865" t="str">
        <f>IF(AND($D59&lt;&gt;0,Q59=""),"* No olvide digitar la variable "&amp;Q$30&amp;""&amp;". Digite CERO si no tiene. ",IF(Q59&gt;$D59,"* La variable Pueblos Originarios no puede superar el Total. ",""))</f>
        <v xml:space="preserve">* La variable Pueblos Originarios no puede superar el Total. </v>
      </c>
      <c r="CC59" s="1865" t="str">
        <f t="shared" si="19"/>
        <v xml:space="preserve">* La variable Migrantes no puede superar el Total. </v>
      </c>
      <c r="CD59" s="1936"/>
      <c r="CE59" s="1936"/>
      <c r="CF59" s="1867">
        <f t="shared" si="17"/>
        <v>1</v>
      </c>
      <c r="CG59" s="1867">
        <f t="shared" si="17"/>
        <v>1</v>
      </c>
    </row>
    <row r="60" spans="1:85" x14ac:dyDescent="0.25">
      <c r="A60" s="5944">
        <v>29000050</v>
      </c>
      <c r="B60" s="6112"/>
      <c r="C60" s="1336" t="s">
        <v>3581</v>
      </c>
      <c r="D60" s="1336" t="s">
        <v>4567</v>
      </c>
      <c r="E60" s="1337" t="s">
        <v>4568</v>
      </c>
      <c r="F60" s="1338" t="s">
        <v>4569</v>
      </c>
      <c r="G60" s="1338" t="s">
        <v>4570</v>
      </c>
      <c r="H60" s="1338" t="s">
        <v>4571</v>
      </c>
      <c r="I60" s="1338" t="s">
        <v>4572</v>
      </c>
      <c r="J60" s="1338" t="s">
        <v>4573</v>
      </c>
      <c r="K60" s="1338" t="s">
        <v>4574</v>
      </c>
      <c r="L60" s="1338" t="s">
        <v>4575</v>
      </c>
      <c r="M60" s="1339" t="s">
        <v>4576</v>
      </c>
      <c r="N60" s="1390" t="s">
        <v>4577</v>
      </c>
      <c r="O60" s="1329" t="s">
        <v>4578</v>
      </c>
      <c r="P60" s="1330" t="s">
        <v>4579</v>
      </c>
      <c r="Q60" s="1334" t="s">
        <v>4580</v>
      </c>
      <c r="R60" s="1335" t="s">
        <v>4581</v>
      </c>
      <c r="S60" s="1864" t="str">
        <f t="shared" si="16"/>
        <v/>
      </c>
      <c r="AX60" s="1936"/>
      <c r="AY60" s="1936"/>
      <c r="AZ60" s="1936"/>
      <c r="BA60" s="1936"/>
      <c r="BB60" s="1936"/>
      <c r="BC60" s="1936"/>
      <c r="BD60" s="1936"/>
      <c r="BE60" s="1936"/>
      <c r="BF60" s="1936"/>
      <c r="BG60" s="1936"/>
      <c r="BH60" s="1936"/>
      <c r="BI60" s="1936"/>
      <c r="BJ60" s="1936"/>
      <c r="BK60" s="1936"/>
      <c r="BL60" s="1936"/>
      <c r="BM60" s="1936"/>
      <c r="BN60" s="1936"/>
      <c r="BO60" s="1936"/>
      <c r="BP60" s="1936"/>
      <c r="BQ60" s="1936"/>
      <c r="BR60" s="1936"/>
      <c r="BS60" s="1936"/>
      <c r="BT60" s="1936"/>
      <c r="BU60" s="1936"/>
      <c r="BV60" s="1936"/>
      <c r="BW60" s="1936"/>
      <c r="BX60" s="1936"/>
      <c r="BY60" s="1936"/>
      <c r="BZ60" s="1936"/>
      <c r="CA60" s="1936"/>
      <c r="CB60" s="1936"/>
      <c r="CC60" s="1936"/>
      <c r="CD60" s="1936"/>
      <c r="CE60" s="1936"/>
    </row>
    <row r="61" spans="1:85" x14ac:dyDescent="0.25">
      <c r="A61" s="5944">
        <v>29000051</v>
      </c>
      <c r="B61" s="6112"/>
      <c r="C61" s="399" t="s">
        <v>3585</v>
      </c>
      <c r="D61" s="146" t="s">
        <v>4567</v>
      </c>
      <c r="E61" s="393" t="s">
        <v>4568</v>
      </c>
      <c r="F61" s="1342" t="s">
        <v>4569</v>
      </c>
      <c r="G61" s="1342" t="s">
        <v>4570</v>
      </c>
      <c r="H61" s="1342" t="s">
        <v>4571</v>
      </c>
      <c r="I61" s="1342" t="s">
        <v>4572</v>
      </c>
      <c r="J61" s="1342" t="s">
        <v>4573</v>
      </c>
      <c r="K61" s="1342" t="s">
        <v>4574</v>
      </c>
      <c r="L61" s="1342" t="s">
        <v>4575</v>
      </c>
      <c r="M61" s="101" t="s">
        <v>4576</v>
      </c>
      <c r="N61" s="394" t="s">
        <v>4577</v>
      </c>
      <c r="O61" s="1343" t="s">
        <v>4578</v>
      </c>
      <c r="P61" s="236" t="s">
        <v>4579</v>
      </c>
      <c r="Q61" s="1334" t="s">
        <v>4580</v>
      </c>
      <c r="R61" s="1335" t="s">
        <v>4581</v>
      </c>
      <c r="S61" s="1864" t="str">
        <f t="shared" si="16"/>
        <v xml:space="preserve">* La variable Pueblos Originarios no puede superar el Total. * La variable Migrantes no puede superar el Total. </v>
      </c>
      <c r="AX61" s="1936"/>
      <c r="AY61" s="1936"/>
      <c r="AZ61" s="1936"/>
      <c r="BA61" s="1936"/>
      <c r="BB61" s="1936"/>
      <c r="BC61" s="1936"/>
      <c r="BD61" s="1936"/>
      <c r="BE61" s="1936"/>
      <c r="BF61" s="1936"/>
      <c r="BG61" s="1936"/>
      <c r="BH61" s="1936"/>
      <c r="BI61" s="1936"/>
      <c r="BJ61" s="1936"/>
      <c r="BK61" s="1936"/>
      <c r="BL61" s="1936"/>
      <c r="BM61" s="1936"/>
      <c r="BN61" s="1936"/>
      <c r="BO61" s="1936"/>
      <c r="BP61" s="1936"/>
      <c r="BQ61" s="1936"/>
      <c r="BR61" s="1936"/>
      <c r="BS61" s="1936"/>
      <c r="BT61" s="1936"/>
      <c r="BU61" s="1936"/>
      <c r="BV61" s="1936"/>
      <c r="BW61" s="1936"/>
      <c r="BX61" s="1936"/>
      <c r="BY61" s="1936"/>
      <c r="BZ61" s="1936"/>
      <c r="CA61" s="1936"/>
      <c r="CB61" s="1865" t="str">
        <f t="shared" ref="CB61:CB68" si="20">IF(AND($D61&lt;&gt;0,Q61=""),"* No olvide digitar la variable "&amp;Q$30&amp;""&amp;". Digite CERO si no tiene. ",IF(Q61&gt;$D61,"* La variable Pueblos Originarios no puede superar el Total. ",""))</f>
        <v xml:space="preserve">* La variable Pueblos Originarios no puede superar el Total. </v>
      </c>
      <c r="CC61" s="1865" t="str">
        <f t="shared" ref="CC61:CC68" si="21">IF(AND($D61&lt;&gt;0,R61=""),"* No olvide digitar la variable "&amp;R$30&amp;""&amp;". Digite CERO si no tiene. ",IF(R61&gt;$D61,"* La variable Migrantes no puede superar el Total. ",""))</f>
        <v xml:space="preserve">* La variable Migrantes no puede superar el Total. </v>
      </c>
      <c r="CD61" s="1936"/>
      <c r="CE61" s="1936"/>
      <c r="CF61" s="1867">
        <f t="shared" si="17"/>
        <v>1</v>
      </c>
      <c r="CG61" s="1867">
        <f t="shared" si="17"/>
        <v>1</v>
      </c>
    </row>
    <row r="62" spans="1:85" x14ac:dyDescent="0.25">
      <c r="A62" s="5944">
        <v>29000052</v>
      </c>
      <c r="B62" s="6842"/>
      <c r="C62" s="195" t="s">
        <v>3586</v>
      </c>
      <c r="D62" s="1263" t="s">
        <v>4567</v>
      </c>
      <c r="E62" s="1370" t="s">
        <v>4568</v>
      </c>
      <c r="F62" s="263" t="s">
        <v>4569</v>
      </c>
      <c r="G62" s="263" t="s">
        <v>4570</v>
      </c>
      <c r="H62" s="263" t="s">
        <v>4571</v>
      </c>
      <c r="I62" s="263" t="s">
        <v>4572</v>
      </c>
      <c r="J62" s="263" t="s">
        <v>4573</v>
      </c>
      <c r="K62" s="263" t="s">
        <v>4574</v>
      </c>
      <c r="L62" s="263" t="s">
        <v>4575</v>
      </c>
      <c r="M62" s="1371" t="s">
        <v>4576</v>
      </c>
      <c r="N62" s="264" t="s">
        <v>4577</v>
      </c>
      <c r="O62" s="265" t="s">
        <v>4578</v>
      </c>
      <c r="P62" s="1372" t="s">
        <v>4579</v>
      </c>
      <c r="Q62" s="1361" t="s">
        <v>4580</v>
      </c>
      <c r="R62" s="395" t="s">
        <v>4581</v>
      </c>
      <c r="S62" s="1864" t="str">
        <f t="shared" si="16"/>
        <v xml:space="preserve">* La variable Pueblos Originarios no puede superar el Total. * La variable Migrantes no puede superar el Total. </v>
      </c>
      <c r="AX62" s="1936"/>
      <c r="AY62" s="1936"/>
      <c r="AZ62" s="1936"/>
      <c r="BA62" s="1936"/>
      <c r="BB62" s="1936"/>
      <c r="BC62" s="1936"/>
      <c r="BD62" s="1936"/>
      <c r="BE62" s="1936"/>
      <c r="BF62" s="1936"/>
      <c r="BG62" s="1936"/>
      <c r="BH62" s="1936"/>
      <c r="BI62" s="1936"/>
      <c r="BJ62" s="1936"/>
      <c r="BK62" s="1936"/>
      <c r="BL62" s="1936"/>
      <c r="BM62" s="1936"/>
      <c r="BN62" s="1936"/>
      <c r="BO62" s="1936"/>
      <c r="BP62" s="1936"/>
      <c r="BQ62" s="1936"/>
      <c r="BR62" s="1936"/>
      <c r="BS62" s="1936"/>
      <c r="BT62" s="1936"/>
      <c r="BU62" s="1936"/>
      <c r="BV62" s="1936"/>
      <c r="BW62" s="1936"/>
      <c r="BX62" s="1936"/>
      <c r="BY62" s="1936"/>
      <c r="BZ62" s="1936"/>
      <c r="CA62" s="1936"/>
      <c r="CB62" s="1865" t="str">
        <f t="shared" si="20"/>
        <v xml:space="preserve">* La variable Pueblos Originarios no puede superar el Total. </v>
      </c>
      <c r="CC62" s="1865" t="str">
        <f t="shared" si="21"/>
        <v xml:space="preserve">* La variable Migrantes no puede superar el Total. </v>
      </c>
      <c r="CD62" s="1936"/>
      <c r="CE62" s="1936"/>
      <c r="CF62" s="1867">
        <f t="shared" si="17"/>
        <v>1</v>
      </c>
      <c r="CG62" s="1867">
        <f t="shared" si="17"/>
        <v>1</v>
      </c>
    </row>
    <row r="63" spans="1:85" x14ac:dyDescent="0.25">
      <c r="A63" s="5944">
        <v>29000030</v>
      </c>
      <c r="B63" s="7728" t="s">
        <v>3587</v>
      </c>
      <c r="C63" s="1383" t="s">
        <v>2899</v>
      </c>
      <c r="D63" s="1344" t="s">
        <v>4567</v>
      </c>
      <c r="E63" s="1391" t="s">
        <v>4568</v>
      </c>
      <c r="F63" s="1366" t="s">
        <v>4569</v>
      </c>
      <c r="G63" s="1366" t="s">
        <v>4570</v>
      </c>
      <c r="H63" s="1366" t="s">
        <v>4571</v>
      </c>
      <c r="I63" s="1366" t="s">
        <v>4572</v>
      </c>
      <c r="J63" s="1366" t="s">
        <v>4573</v>
      </c>
      <c r="K63" s="1366" t="s">
        <v>4574</v>
      </c>
      <c r="L63" s="1366" t="s">
        <v>4575</v>
      </c>
      <c r="M63" s="1367" t="s">
        <v>4576</v>
      </c>
      <c r="N63" s="1365" t="s">
        <v>4577</v>
      </c>
      <c r="O63" s="1366" t="s">
        <v>4578</v>
      </c>
      <c r="P63" s="1367" t="s">
        <v>4579</v>
      </c>
      <c r="Q63" s="396" t="s">
        <v>4580</v>
      </c>
      <c r="R63" s="218" t="s">
        <v>4581</v>
      </c>
      <c r="S63" s="1864" t="str">
        <f t="shared" si="16"/>
        <v xml:space="preserve">* La variable Pueblos Originarios no puede superar el Total. * La variable Migrantes no puede superar el Total. </v>
      </c>
      <c r="AX63" s="1936"/>
      <c r="AY63" s="1936"/>
      <c r="AZ63" s="1936"/>
      <c r="BA63" s="1936"/>
      <c r="BB63" s="1936"/>
      <c r="BC63" s="1936"/>
      <c r="BD63" s="1936"/>
      <c r="BE63" s="1936"/>
      <c r="BF63" s="1936"/>
      <c r="BG63" s="1936"/>
      <c r="BH63" s="1936"/>
      <c r="BI63" s="1936"/>
      <c r="BJ63" s="1936"/>
      <c r="BK63" s="1936"/>
      <c r="BL63" s="1936"/>
      <c r="BM63" s="1936"/>
      <c r="BN63" s="1936"/>
      <c r="BO63" s="1936"/>
      <c r="BP63" s="1936"/>
      <c r="BQ63" s="1936"/>
      <c r="BR63" s="1936"/>
      <c r="BS63" s="1936"/>
      <c r="BT63" s="1936"/>
      <c r="BU63" s="1936"/>
      <c r="BV63" s="1936"/>
      <c r="BW63" s="1936"/>
      <c r="BX63" s="1936"/>
      <c r="BY63" s="1936"/>
      <c r="BZ63" s="1936"/>
      <c r="CA63" s="1936"/>
      <c r="CB63" s="1865" t="str">
        <f t="shared" si="20"/>
        <v xml:space="preserve">* La variable Pueblos Originarios no puede superar el Total. </v>
      </c>
      <c r="CC63" s="1865" t="str">
        <f t="shared" si="21"/>
        <v xml:space="preserve">* La variable Migrantes no puede superar el Total. </v>
      </c>
      <c r="CD63" s="1936"/>
      <c r="CE63" s="1936"/>
      <c r="CF63" s="1867">
        <f t="shared" si="17"/>
        <v>1</v>
      </c>
      <c r="CG63" s="1867">
        <f t="shared" si="17"/>
        <v>1</v>
      </c>
    </row>
    <row r="64" spans="1:85" x14ac:dyDescent="0.25">
      <c r="A64" s="5944">
        <v>29000031</v>
      </c>
      <c r="B64" s="6842"/>
      <c r="C64" s="1163" t="s">
        <v>3563</v>
      </c>
      <c r="D64" s="1370" t="s">
        <v>4567</v>
      </c>
      <c r="E64" s="1392" t="s">
        <v>4568</v>
      </c>
      <c r="F64" s="1393" t="s">
        <v>4569</v>
      </c>
      <c r="G64" s="1393" t="s">
        <v>4570</v>
      </c>
      <c r="H64" s="1393" t="s">
        <v>4571</v>
      </c>
      <c r="I64" s="1393" t="s">
        <v>4572</v>
      </c>
      <c r="J64" s="1393" t="s">
        <v>4573</v>
      </c>
      <c r="K64" s="1393" t="s">
        <v>4574</v>
      </c>
      <c r="L64" s="1393" t="s">
        <v>4575</v>
      </c>
      <c r="M64" s="1394" t="s">
        <v>4576</v>
      </c>
      <c r="N64" s="1361" t="s">
        <v>4577</v>
      </c>
      <c r="O64" s="1395" t="s">
        <v>4578</v>
      </c>
      <c r="P64" s="400" t="s">
        <v>4579</v>
      </c>
      <c r="Q64" s="1361" t="s">
        <v>4580</v>
      </c>
      <c r="R64" s="395" t="s">
        <v>4581</v>
      </c>
      <c r="S64" s="1864" t="str">
        <f t="shared" si="16"/>
        <v xml:space="preserve">* La variable Pueblos Originarios no puede superar el Total. * La variable Migrantes no puede superar el Total. </v>
      </c>
      <c r="AX64" s="1936"/>
      <c r="AY64" s="1936"/>
      <c r="AZ64" s="1936"/>
      <c r="BA64" s="1936"/>
      <c r="BB64" s="1936"/>
      <c r="BC64" s="1936"/>
      <c r="BD64" s="1936"/>
      <c r="BE64" s="1936"/>
      <c r="BF64" s="1936"/>
      <c r="BG64" s="1936"/>
      <c r="BH64" s="1936"/>
      <c r="BI64" s="1936"/>
      <c r="BJ64" s="1936"/>
      <c r="BK64" s="1936"/>
      <c r="BL64" s="1936"/>
      <c r="BM64" s="1936"/>
      <c r="BN64" s="1936"/>
      <c r="BO64" s="1936"/>
      <c r="BP64" s="1936"/>
      <c r="BQ64" s="1936"/>
      <c r="BR64" s="1936"/>
      <c r="BS64" s="1936"/>
      <c r="BT64" s="1936"/>
      <c r="BU64" s="1936"/>
      <c r="BV64" s="1936"/>
      <c r="BW64" s="1936"/>
      <c r="BX64" s="1936"/>
      <c r="BY64" s="1936"/>
      <c r="BZ64" s="1936"/>
      <c r="CA64" s="1936"/>
      <c r="CB64" s="1865" t="str">
        <f t="shared" si="20"/>
        <v xml:space="preserve">* La variable Pueblos Originarios no puede superar el Total. </v>
      </c>
      <c r="CC64" s="1865" t="str">
        <f t="shared" si="21"/>
        <v xml:space="preserve">* La variable Migrantes no puede superar el Total. </v>
      </c>
      <c r="CD64" s="1936"/>
      <c r="CE64" s="1936"/>
      <c r="CF64" s="1867">
        <f>IF(AND($D64&lt;&gt;0,Q64=""),1,IF(Q64&gt;$D64,1,0))</f>
        <v>1</v>
      </c>
      <c r="CG64" s="1867">
        <f>IF(AND($D64&lt;&gt;0,R64=""),1,IF(R64&gt;$D64,1,0))</f>
        <v>1</v>
      </c>
    </row>
    <row r="65" spans="1:85" x14ac:dyDescent="0.25">
      <c r="A65" s="5825">
        <v>29201010</v>
      </c>
      <c r="B65" s="7730" t="s">
        <v>3588</v>
      </c>
      <c r="C65" s="5001" t="s">
        <v>2899</v>
      </c>
      <c r="D65" s="1396" t="s">
        <v>4567</v>
      </c>
      <c r="E65" s="5002" t="s">
        <v>4568</v>
      </c>
      <c r="F65" s="5003" t="s">
        <v>4569</v>
      </c>
      <c r="G65" s="5003" t="s">
        <v>4570</v>
      </c>
      <c r="H65" s="5003" t="s">
        <v>4571</v>
      </c>
      <c r="I65" s="5003" t="s">
        <v>4572</v>
      </c>
      <c r="J65" s="5003" t="s">
        <v>4573</v>
      </c>
      <c r="K65" s="5003" t="s">
        <v>4574</v>
      </c>
      <c r="L65" s="5003" t="s">
        <v>4575</v>
      </c>
      <c r="M65" s="5004" t="s">
        <v>4576</v>
      </c>
      <c r="N65" s="5005" t="s">
        <v>4577</v>
      </c>
      <c r="O65" s="5003" t="s">
        <v>4578</v>
      </c>
      <c r="P65" s="5006" t="s">
        <v>4579</v>
      </c>
      <c r="Q65" s="5005" t="s">
        <v>4580</v>
      </c>
      <c r="R65" s="5007" t="s">
        <v>4581</v>
      </c>
      <c r="S65" s="1864"/>
      <c r="AX65" s="1936"/>
      <c r="AY65" s="1936"/>
      <c r="AZ65" s="1936"/>
      <c r="BA65" s="1936"/>
      <c r="BB65" s="1936"/>
      <c r="BC65" s="1936"/>
      <c r="BD65" s="1936"/>
      <c r="BE65" s="1936"/>
      <c r="BF65" s="1936"/>
      <c r="BG65" s="1936"/>
      <c r="BH65" s="1936"/>
      <c r="BI65" s="1936"/>
      <c r="BJ65" s="1936"/>
      <c r="BK65" s="1936"/>
      <c r="BL65" s="1936"/>
      <c r="BM65" s="1936"/>
      <c r="BN65" s="1936"/>
      <c r="BO65" s="1936"/>
      <c r="BP65" s="1936"/>
      <c r="BQ65" s="1936"/>
      <c r="BR65" s="1936"/>
      <c r="BS65" s="1936"/>
      <c r="BT65" s="1936"/>
      <c r="BU65" s="1936"/>
      <c r="BV65" s="1936"/>
      <c r="BW65" s="1936"/>
      <c r="BX65" s="1936"/>
      <c r="BY65" s="1936"/>
      <c r="BZ65" s="1936"/>
      <c r="CA65" s="1936"/>
      <c r="CB65" s="1865" t="str">
        <f>IF(AND($D65&lt;&gt;0,Q65=""),"* No olvide digitar la variable "&amp;Q$30&amp;""&amp;". Digite CERO si no tiene. ",IF(Q65&gt;$D65,"* La variable Pueblos Originarios no puede superar el Total. ",""))</f>
        <v xml:space="preserve">* La variable Pueblos Originarios no puede superar el Total. </v>
      </c>
      <c r="CC65" s="1865" t="str">
        <f t="shared" si="21"/>
        <v xml:space="preserve">* La variable Migrantes no puede superar el Total. </v>
      </c>
      <c r="CD65" s="1936"/>
      <c r="CE65" s="1936"/>
      <c r="CF65" s="1867">
        <f t="shared" ref="CF65:CF68" si="22">IF(AND($D65&lt;&gt;0,Q65=""),1,IF(Q65&gt;$D65,1,0))</f>
        <v>1</v>
      </c>
      <c r="CG65" s="1867">
        <f t="shared" ref="CG65:CG68" si="23">IF(AND($D65&lt;&gt;0,R65=""),1,IF(R65&gt;$D65,1,0))</f>
        <v>1</v>
      </c>
    </row>
    <row r="66" spans="1:85" x14ac:dyDescent="0.25">
      <c r="A66" s="5825">
        <v>29201011</v>
      </c>
      <c r="B66" s="7731"/>
      <c r="C66" s="5008" t="s">
        <v>3563</v>
      </c>
      <c r="D66" s="401" t="s">
        <v>4567</v>
      </c>
      <c r="E66" s="5009" t="s">
        <v>4568</v>
      </c>
      <c r="F66" s="5010" t="s">
        <v>4569</v>
      </c>
      <c r="G66" s="5010" t="s">
        <v>4570</v>
      </c>
      <c r="H66" s="5010" t="s">
        <v>4571</v>
      </c>
      <c r="I66" s="5010" t="s">
        <v>4572</v>
      </c>
      <c r="J66" s="5010" t="s">
        <v>4573</v>
      </c>
      <c r="K66" s="5010" t="s">
        <v>4574</v>
      </c>
      <c r="L66" s="5010" t="s">
        <v>4575</v>
      </c>
      <c r="M66" s="5011" t="s">
        <v>4576</v>
      </c>
      <c r="N66" s="5012" t="s">
        <v>4577</v>
      </c>
      <c r="O66" s="5010" t="s">
        <v>4578</v>
      </c>
      <c r="P66" s="5013" t="s">
        <v>4579</v>
      </c>
      <c r="Q66" s="5012" t="s">
        <v>4580</v>
      </c>
      <c r="R66" s="5014" t="s">
        <v>4581</v>
      </c>
      <c r="S66" s="1864"/>
      <c r="AX66" s="1936"/>
      <c r="AY66" s="1936"/>
      <c r="AZ66" s="1936"/>
      <c r="BA66" s="1936"/>
      <c r="BB66" s="1936"/>
      <c r="BC66" s="1936"/>
      <c r="BD66" s="1936"/>
      <c r="BE66" s="1936"/>
      <c r="BF66" s="1936"/>
      <c r="BG66" s="1936"/>
      <c r="BH66" s="1936"/>
      <c r="BI66" s="1936"/>
      <c r="BJ66" s="1936"/>
      <c r="BK66" s="1936"/>
      <c r="BL66" s="1936"/>
      <c r="BM66" s="1936"/>
      <c r="BN66" s="1936"/>
      <c r="BO66" s="1936"/>
      <c r="BP66" s="1936"/>
      <c r="BQ66" s="1936"/>
      <c r="BR66" s="1936"/>
      <c r="BS66" s="1936"/>
      <c r="BT66" s="1936"/>
      <c r="BU66" s="1936"/>
      <c r="BV66" s="1936"/>
      <c r="BW66" s="1936"/>
      <c r="BX66" s="1936"/>
      <c r="BY66" s="1936"/>
      <c r="BZ66" s="1936"/>
      <c r="CA66" s="1936"/>
      <c r="CB66" s="1865" t="str">
        <f t="shared" si="20"/>
        <v xml:space="preserve">* La variable Pueblos Originarios no puede superar el Total. </v>
      </c>
      <c r="CC66" s="1865" t="str">
        <f t="shared" si="21"/>
        <v xml:space="preserve">* La variable Migrantes no puede superar el Total. </v>
      </c>
      <c r="CD66" s="1936"/>
      <c r="CE66" s="1936"/>
      <c r="CF66" s="1867">
        <f t="shared" si="22"/>
        <v>1</v>
      </c>
      <c r="CG66" s="1867">
        <f t="shared" si="23"/>
        <v>1</v>
      </c>
    </row>
    <row r="67" spans="1:85" x14ac:dyDescent="0.25">
      <c r="A67" s="5825">
        <v>29201012</v>
      </c>
      <c r="B67" s="7730" t="s">
        <v>3589</v>
      </c>
      <c r="C67" s="5001" t="s">
        <v>2899</v>
      </c>
      <c r="D67" s="1396" t="s">
        <v>4567</v>
      </c>
      <c r="E67" s="5015" t="s">
        <v>4568</v>
      </c>
      <c r="F67" s="5003" t="s">
        <v>4569</v>
      </c>
      <c r="G67" s="5003" t="s">
        <v>4570</v>
      </c>
      <c r="H67" s="5003" t="s">
        <v>4571</v>
      </c>
      <c r="I67" s="5003" t="s">
        <v>4572</v>
      </c>
      <c r="J67" s="5003" t="s">
        <v>4573</v>
      </c>
      <c r="K67" s="5003" t="s">
        <v>4574</v>
      </c>
      <c r="L67" s="5003" t="s">
        <v>4575</v>
      </c>
      <c r="M67" s="5004" t="s">
        <v>4576</v>
      </c>
      <c r="N67" s="5005" t="s">
        <v>4577</v>
      </c>
      <c r="O67" s="5003" t="s">
        <v>4578</v>
      </c>
      <c r="P67" s="5006" t="s">
        <v>4579</v>
      </c>
      <c r="Q67" s="5005" t="s">
        <v>4580</v>
      </c>
      <c r="R67" s="5007" t="s">
        <v>4581</v>
      </c>
      <c r="S67" s="1864"/>
      <c r="AX67" s="1936"/>
      <c r="AY67" s="1936"/>
      <c r="AZ67" s="1936"/>
      <c r="BA67" s="1936"/>
      <c r="BB67" s="1936"/>
      <c r="BC67" s="1936"/>
      <c r="BD67" s="1936"/>
      <c r="BE67" s="1936"/>
      <c r="BF67" s="1936"/>
      <c r="BG67" s="1936"/>
      <c r="BH67" s="1936"/>
      <c r="BI67" s="1936"/>
      <c r="BJ67" s="1936"/>
      <c r="BK67" s="1936"/>
      <c r="BL67" s="1936"/>
      <c r="BM67" s="1936"/>
      <c r="BN67" s="1936"/>
      <c r="BO67" s="1936"/>
      <c r="BP67" s="1936"/>
      <c r="BQ67" s="1936"/>
      <c r="BR67" s="1936"/>
      <c r="BS67" s="1936"/>
      <c r="BT67" s="1936"/>
      <c r="BU67" s="1936"/>
      <c r="BV67" s="1936"/>
      <c r="BW67" s="1936"/>
      <c r="BX67" s="1936"/>
      <c r="BY67" s="1936"/>
      <c r="BZ67" s="1936"/>
      <c r="CA67" s="1936"/>
      <c r="CB67" s="1865" t="str">
        <f t="shared" si="20"/>
        <v xml:space="preserve">* La variable Pueblos Originarios no puede superar el Total. </v>
      </c>
      <c r="CC67" s="1865" t="str">
        <f t="shared" si="21"/>
        <v xml:space="preserve">* La variable Migrantes no puede superar el Total. </v>
      </c>
      <c r="CD67" s="1936"/>
      <c r="CE67" s="1936"/>
      <c r="CF67" s="1867">
        <f t="shared" si="22"/>
        <v>1</v>
      </c>
      <c r="CG67" s="1867">
        <f t="shared" si="23"/>
        <v>1</v>
      </c>
    </row>
    <row r="68" spans="1:85" x14ac:dyDescent="0.25">
      <c r="A68" s="5825">
        <v>29201013</v>
      </c>
      <c r="B68" s="7731"/>
      <c r="C68" s="5008" t="s">
        <v>3563</v>
      </c>
      <c r="D68" s="401" t="s">
        <v>4567</v>
      </c>
      <c r="E68" s="5016" t="s">
        <v>4568</v>
      </c>
      <c r="F68" s="5010" t="s">
        <v>4569</v>
      </c>
      <c r="G68" s="5010" t="s">
        <v>4570</v>
      </c>
      <c r="H68" s="5010" t="s">
        <v>4571</v>
      </c>
      <c r="I68" s="5010" t="s">
        <v>4572</v>
      </c>
      <c r="J68" s="5010" t="s">
        <v>4573</v>
      </c>
      <c r="K68" s="5010" t="s">
        <v>4574</v>
      </c>
      <c r="L68" s="5010" t="s">
        <v>4575</v>
      </c>
      <c r="M68" s="5011" t="s">
        <v>4576</v>
      </c>
      <c r="N68" s="5012" t="s">
        <v>4577</v>
      </c>
      <c r="O68" s="5010" t="s">
        <v>4578</v>
      </c>
      <c r="P68" s="5013" t="s">
        <v>4579</v>
      </c>
      <c r="Q68" s="5012" t="s">
        <v>4580</v>
      </c>
      <c r="R68" s="5014" t="s">
        <v>4581</v>
      </c>
      <c r="S68" s="1864"/>
      <c r="AX68" s="1936"/>
      <c r="AY68" s="1936"/>
      <c r="AZ68" s="1936"/>
      <c r="BA68" s="1936"/>
      <c r="BB68" s="1936"/>
      <c r="BC68" s="1936"/>
      <c r="BD68" s="1936"/>
      <c r="BE68" s="1936"/>
      <c r="BF68" s="1936"/>
      <c r="BG68" s="1936"/>
      <c r="BH68" s="1936"/>
      <c r="BI68" s="1936"/>
      <c r="BJ68" s="1936"/>
      <c r="BK68" s="1936"/>
      <c r="BL68" s="1936"/>
      <c r="BM68" s="1936"/>
      <c r="BN68" s="1936"/>
      <c r="BO68" s="1936"/>
      <c r="BP68" s="1936"/>
      <c r="BQ68" s="1936"/>
      <c r="BR68" s="1936"/>
      <c r="BS68" s="1936"/>
      <c r="BT68" s="1936"/>
      <c r="BU68" s="1936"/>
      <c r="BV68" s="1936"/>
      <c r="BW68" s="1936"/>
      <c r="BX68" s="1936"/>
      <c r="BY68" s="1936"/>
      <c r="BZ68" s="1936"/>
      <c r="CA68" s="1936"/>
      <c r="CB68" s="1865" t="str">
        <f t="shared" si="20"/>
        <v xml:space="preserve">* La variable Pueblos Originarios no puede superar el Total. </v>
      </c>
      <c r="CC68" s="1865" t="str">
        <f t="shared" si="21"/>
        <v xml:space="preserve">* La variable Migrantes no puede superar el Total. </v>
      </c>
      <c r="CD68" s="1936"/>
      <c r="CE68" s="1936"/>
      <c r="CF68" s="1867">
        <f t="shared" si="22"/>
        <v>1</v>
      </c>
      <c r="CG68" s="1867">
        <f t="shared" si="23"/>
        <v>1</v>
      </c>
    </row>
    <row r="69" spans="1:85" ht="18" customHeight="1" x14ac:dyDescent="0.25">
      <c r="B69" s="897" t="s">
        <v>3590</v>
      </c>
      <c r="C69" s="8"/>
      <c r="D69" s="4"/>
      <c r="E69" s="8"/>
    </row>
    <row r="70" spans="1:85" ht="42" x14ac:dyDescent="0.25">
      <c r="B70" s="1285" t="s">
        <v>3591</v>
      </c>
      <c r="C70" s="1397" t="s">
        <v>2485</v>
      </c>
      <c r="D70" s="1398" t="s">
        <v>3592</v>
      </c>
      <c r="E70" s="1398" t="s">
        <v>3593</v>
      </c>
    </row>
    <row r="71" spans="1:85" ht="22.5" x14ac:dyDescent="0.25">
      <c r="A71" s="5944">
        <v>29000034</v>
      </c>
      <c r="B71" s="7736" t="s">
        <v>1237</v>
      </c>
      <c r="C71" s="1399" t="s">
        <v>3594</v>
      </c>
      <c r="D71" s="1400" t="s">
        <v>4567</v>
      </c>
      <c r="E71" s="1400" t="s">
        <v>4568</v>
      </c>
    </row>
    <row r="72" spans="1:85" ht="22.5" x14ac:dyDescent="0.25">
      <c r="A72" s="5944">
        <v>29000035</v>
      </c>
      <c r="B72" s="7431"/>
      <c r="C72" s="1401" t="s">
        <v>3595</v>
      </c>
      <c r="D72" s="1402" t="s">
        <v>4567</v>
      </c>
      <c r="E72" s="1402" t="s">
        <v>4568</v>
      </c>
    </row>
    <row r="73" spans="1:85" x14ac:dyDescent="0.25">
      <c r="A73" s="5944">
        <v>29000036</v>
      </c>
      <c r="B73" s="7431"/>
      <c r="C73" s="1401" t="s">
        <v>3596</v>
      </c>
      <c r="D73" s="1402" t="s">
        <v>4567</v>
      </c>
      <c r="E73" s="1402" t="s">
        <v>4568</v>
      </c>
    </row>
    <row r="74" spans="1:85" ht="22.5" x14ac:dyDescent="0.25">
      <c r="A74" s="5944">
        <v>29000037</v>
      </c>
      <c r="B74" s="7431"/>
      <c r="C74" s="1401" t="s">
        <v>3597</v>
      </c>
      <c r="D74" s="1402" t="s">
        <v>4567</v>
      </c>
      <c r="E74" s="1402" t="s">
        <v>4568</v>
      </c>
    </row>
    <row r="75" spans="1:85" ht="22.5" x14ac:dyDescent="0.25">
      <c r="A75" s="5944">
        <v>29101683</v>
      </c>
      <c r="B75" s="7431"/>
      <c r="C75" s="1401" t="s">
        <v>3598</v>
      </c>
      <c r="D75" s="1402" t="s">
        <v>4567</v>
      </c>
      <c r="E75" s="1402" t="s">
        <v>4568</v>
      </c>
    </row>
    <row r="76" spans="1:85" x14ac:dyDescent="0.25">
      <c r="A76" s="5944">
        <v>29000039</v>
      </c>
      <c r="B76" s="7431"/>
      <c r="C76" s="1265" t="s">
        <v>3599</v>
      </c>
      <c r="D76" s="1402" t="s">
        <v>4567</v>
      </c>
      <c r="E76" s="1402" t="s">
        <v>4568</v>
      </c>
    </row>
    <row r="77" spans="1:85" ht="22.5" x14ac:dyDescent="0.25">
      <c r="A77" s="5944">
        <v>29000040</v>
      </c>
      <c r="B77" s="7431"/>
      <c r="C77" s="1401" t="s">
        <v>3600</v>
      </c>
      <c r="D77" s="1402" t="s">
        <v>4567</v>
      </c>
      <c r="E77" s="1402" t="s">
        <v>4568</v>
      </c>
    </row>
    <row r="78" spans="1:85" ht="22.5" x14ac:dyDescent="0.25">
      <c r="A78" s="5944">
        <v>29101684</v>
      </c>
      <c r="B78" s="7431"/>
      <c r="C78" s="1401" t="s">
        <v>3601</v>
      </c>
      <c r="D78" s="1402" t="s">
        <v>4567</v>
      </c>
      <c r="E78" s="1402" t="s">
        <v>4568</v>
      </c>
    </row>
    <row r="79" spans="1:85" x14ac:dyDescent="0.25">
      <c r="A79" s="5944">
        <v>29000042</v>
      </c>
      <c r="B79" s="7431"/>
      <c r="C79" s="1265" t="s">
        <v>3602</v>
      </c>
      <c r="D79" s="1402" t="s">
        <v>4567</v>
      </c>
      <c r="E79" s="1402" t="s">
        <v>4568</v>
      </c>
    </row>
    <row r="80" spans="1:85" ht="22.5" x14ac:dyDescent="0.25">
      <c r="A80" s="5944">
        <v>29000043</v>
      </c>
      <c r="B80" s="7431"/>
      <c r="C80" s="1401" t="s">
        <v>3603</v>
      </c>
      <c r="D80" s="1402" t="s">
        <v>4567</v>
      </c>
      <c r="E80" s="1402" t="s">
        <v>4568</v>
      </c>
    </row>
    <row r="81" spans="1:5" x14ac:dyDescent="0.25">
      <c r="A81" s="5944">
        <v>29101050</v>
      </c>
      <c r="B81" s="7431"/>
      <c r="C81" s="1265" t="s">
        <v>3604</v>
      </c>
      <c r="D81" s="1403" t="s">
        <v>4567</v>
      </c>
      <c r="E81" s="1403" t="s">
        <v>4568</v>
      </c>
    </row>
    <row r="82" spans="1:5" x14ac:dyDescent="0.25">
      <c r="A82" s="5944">
        <v>29101060</v>
      </c>
      <c r="B82" s="7431"/>
      <c r="C82" s="1265" t="s">
        <v>3605</v>
      </c>
      <c r="D82" s="1403" t="s">
        <v>4567</v>
      </c>
      <c r="E82" s="1403" t="s">
        <v>4568</v>
      </c>
    </row>
    <row r="83" spans="1:5" x14ac:dyDescent="0.25">
      <c r="A83" s="5944">
        <v>29000054</v>
      </c>
      <c r="B83" s="7431"/>
      <c r="C83" s="1265" t="s">
        <v>3606</v>
      </c>
      <c r="D83" s="1403" t="s">
        <v>4567</v>
      </c>
      <c r="E83" s="1403" t="s">
        <v>4568</v>
      </c>
    </row>
    <row r="84" spans="1:5" x14ac:dyDescent="0.25">
      <c r="A84" s="5944">
        <v>29000055</v>
      </c>
      <c r="B84" s="7431"/>
      <c r="C84" s="1265" t="s">
        <v>3607</v>
      </c>
      <c r="D84" s="1403" t="s">
        <v>4567</v>
      </c>
      <c r="E84" s="1403" t="s">
        <v>4568</v>
      </c>
    </row>
    <row r="85" spans="1:5" x14ac:dyDescent="0.25">
      <c r="A85" s="5944">
        <v>29000056</v>
      </c>
      <c r="B85" s="7431"/>
      <c r="C85" s="1265" t="s">
        <v>3608</v>
      </c>
      <c r="D85" s="1403" t="s">
        <v>4567</v>
      </c>
      <c r="E85" s="1403" t="s">
        <v>4568</v>
      </c>
    </row>
    <row r="86" spans="1:5" ht="22.5" x14ac:dyDescent="0.25">
      <c r="A86" s="5944">
        <v>29101070</v>
      </c>
      <c r="B86" s="7431"/>
      <c r="C86" s="1401" t="s">
        <v>3609</v>
      </c>
      <c r="D86" s="1403" t="s">
        <v>4567</v>
      </c>
      <c r="E86" s="1403" t="s">
        <v>4568</v>
      </c>
    </row>
    <row r="87" spans="1:5" ht="22.5" x14ac:dyDescent="0.25">
      <c r="A87" s="5944">
        <v>29101080</v>
      </c>
      <c r="B87" s="7431"/>
      <c r="C87" s="1401" t="s">
        <v>3610</v>
      </c>
      <c r="D87" s="1403" t="s">
        <v>4567</v>
      </c>
      <c r="E87" s="1403" t="s">
        <v>4568</v>
      </c>
    </row>
    <row r="88" spans="1:5" x14ac:dyDescent="0.25">
      <c r="A88" s="5944">
        <v>29101090</v>
      </c>
      <c r="B88" s="7431"/>
      <c r="C88" s="1265" t="s">
        <v>3611</v>
      </c>
      <c r="D88" s="1403" t="s">
        <v>4567</v>
      </c>
      <c r="E88" s="1403" t="s">
        <v>4568</v>
      </c>
    </row>
    <row r="89" spans="1:5" x14ac:dyDescent="0.25">
      <c r="A89" s="5944">
        <v>29101100</v>
      </c>
      <c r="B89" s="7431"/>
      <c r="C89" s="1265" t="s">
        <v>3612</v>
      </c>
      <c r="D89" s="1403" t="s">
        <v>4567</v>
      </c>
      <c r="E89" s="1403" t="s">
        <v>4568</v>
      </c>
    </row>
    <row r="90" spans="1:5" ht="22.5" x14ac:dyDescent="0.25">
      <c r="A90" s="5944">
        <v>29101110</v>
      </c>
      <c r="B90" s="7359"/>
      <c r="C90" s="1404" t="s">
        <v>3613</v>
      </c>
      <c r="D90" s="1405" t="s">
        <v>4567</v>
      </c>
      <c r="E90" s="1405" t="s">
        <v>4568</v>
      </c>
    </row>
    <row r="91" spans="1:5" x14ac:dyDescent="0.25">
      <c r="A91" s="5944">
        <v>29000045</v>
      </c>
      <c r="B91" s="7735" t="s">
        <v>1238</v>
      </c>
      <c r="C91" s="1399" t="s">
        <v>3614</v>
      </c>
      <c r="D91" s="1406" t="s">
        <v>4567</v>
      </c>
      <c r="E91" s="1406" t="s">
        <v>4568</v>
      </c>
    </row>
    <row r="92" spans="1:5" x14ac:dyDescent="0.25">
      <c r="A92" s="5944">
        <v>29000046</v>
      </c>
      <c r="B92" s="6230"/>
      <c r="C92" s="1401" t="s">
        <v>3615</v>
      </c>
      <c r="D92" s="1402" t="s">
        <v>4567</v>
      </c>
      <c r="E92" s="1402" t="s">
        <v>4568</v>
      </c>
    </row>
    <row r="93" spans="1:5" x14ac:dyDescent="0.25">
      <c r="A93" s="5944">
        <v>29000060</v>
      </c>
      <c r="B93" s="6230"/>
      <c r="C93" s="1401" t="s">
        <v>3616</v>
      </c>
      <c r="D93" s="1403" t="s">
        <v>4567</v>
      </c>
      <c r="E93" s="1403" t="s">
        <v>4568</v>
      </c>
    </row>
    <row r="94" spans="1:5" x14ac:dyDescent="0.25">
      <c r="A94" s="5944">
        <v>29000047</v>
      </c>
      <c r="B94" s="6230"/>
      <c r="C94" s="1401" t="s">
        <v>3617</v>
      </c>
      <c r="D94" s="1403" t="s">
        <v>4567</v>
      </c>
      <c r="E94" s="1403" t="s">
        <v>4568</v>
      </c>
    </row>
    <row r="95" spans="1:5" ht="22.5" x14ac:dyDescent="0.25">
      <c r="A95" s="5944">
        <v>29101200</v>
      </c>
      <c r="B95" s="6230"/>
      <c r="C95" s="1401" t="s">
        <v>3618</v>
      </c>
      <c r="D95" s="1407" t="s">
        <v>4567</v>
      </c>
      <c r="E95" s="1407" t="s">
        <v>4568</v>
      </c>
    </row>
    <row r="96" spans="1:5" x14ac:dyDescent="0.25">
      <c r="A96" s="5944">
        <v>29000061</v>
      </c>
      <c r="B96" s="6230"/>
      <c r="C96" s="1401" t="s">
        <v>3619</v>
      </c>
      <c r="D96" s="1408" t="s">
        <v>4567</v>
      </c>
      <c r="E96" s="1409" t="s">
        <v>4568</v>
      </c>
    </row>
    <row r="97" spans="1:5" x14ac:dyDescent="0.25">
      <c r="A97" s="5944">
        <v>29101685</v>
      </c>
      <c r="B97" s="6230"/>
      <c r="C97" s="1401" t="s">
        <v>3620</v>
      </c>
      <c r="D97" s="1408" t="s">
        <v>4567</v>
      </c>
      <c r="E97" s="1409" t="s">
        <v>4568</v>
      </c>
    </row>
    <row r="98" spans="1:5" x14ac:dyDescent="0.25">
      <c r="A98" s="5944">
        <v>29101686</v>
      </c>
      <c r="B98" s="6230"/>
      <c r="C98" s="1401" t="s">
        <v>3621</v>
      </c>
      <c r="D98" s="1408" t="s">
        <v>4567</v>
      </c>
      <c r="E98" s="1409" t="s">
        <v>4568</v>
      </c>
    </row>
    <row r="99" spans="1:5" x14ac:dyDescent="0.25">
      <c r="A99" s="5944">
        <v>29101687</v>
      </c>
      <c r="B99" s="6230"/>
      <c r="C99" s="1401" t="s">
        <v>3622</v>
      </c>
      <c r="D99" s="1408" t="s">
        <v>4567</v>
      </c>
      <c r="E99" s="1409" t="s">
        <v>4568</v>
      </c>
    </row>
    <row r="100" spans="1:5" x14ac:dyDescent="0.25">
      <c r="A100" s="5944">
        <v>29101688</v>
      </c>
      <c r="B100" s="6230"/>
      <c r="C100" s="1401" t="s">
        <v>3623</v>
      </c>
      <c r="D100" s="1408" t="s">
        <v>4567</v>
      </c>
      <c r="E100" s="1409" t="s">
        <v>4568</v>
      </c>
    </row>
    <row r="101" spans="1:5" x14ac:dyDescent="0.25">
      <c r="A101" s="5944">
        <v>29101689</v>
      </c>
      <c r="B101" s="6230"/>
      <c r="C101" s="1401" t="s">
        <v>3624</v>
      </c>
      <c r="D101" s="1408" t="s">
        <v>4567</v>
      </c>
      <c r="E101" s="1409" t="s">
        <v>4568</v>
      </c>
    </row>
    <row r="102" spans="1:5" ht="22.5" x14ac:dyDescent="0.25">
      <c r="A102" s="5944">
        <v>29101690</v>
      </c>
      <c r="B102" s="6230"/>
      <c r="C102" s="1401" t="s">
        <v>3625</v>
      </c>
      <c r="D102" s="1408" t="s">
        <v>4567</v>
      </c>
      <c r="E102" s="1409" t="s">
        <v>4568</v>
      </c>
    </row>
    <row r="103" spans="1:5" x14ac:dyDescent="0.25">
      <c r="A103" s="5944">
        <v>29101691</v>
      </c>
      <c r="B103" s="6230"/>
      <c r="C103" s="1018" t="s">
        <v>3626</v>
      </c>
      <c r="D103" s="1408" t="s">
        <v>4567</v>
      </c>
      <c r="E103" s="1409" t="s">
        <v>4568</v>
      </c>
    </row>
    <row r="104" spans="1:5" x14ac:dyDescent="0.25">
      <c r="A104" s="5944">
        <v>29101692</v>
      </c>
      <c r="B104" s="6922"/>
      <c r="C104" s="1404" t="s">
        <v>3627</v>
      </c>
      <c r="D104" s="1410" t="s">
        <v>4567</v>
      </c>
      <c r="E104" s="1411" t="s">
        <v>4568</v>
      </c>
    </row>
    <row r="105" spans="1:5" ht="18" customHeight="1" x14ac:dyDescent="0.25">
      <c r="B105" s="897" t="s">
        <v>3628</v>
      </c>
      <c r="C105" s="8"/>
      <c r="D105" s="4"/>
      <c r="E105" s="8"/>
    </row>
    <row r="106" spans="1:5" x14ac:dyDescent="0.25">
      <c r="B106" s="7729" t="s">
        <v>285</v>
      </c>
      <c r="C106" s="7729" t="s">
        <v>77</v>
      </c>
      <c r="D106" s="7291" t="s">
        <v>3629</v>
      </c>
      <c r="E106" s="7727"/>
    </row>
    <row r="107" spans="1:5" x14ac:dyDescent="0.25">
      <c r="B107" s="6733"/>
      <c r="C107" s="6733"/>
      <c r="D107" s="1287" t="s">
        <v>58</v>
      </c>
      <c r="E107" s="921" t="s">
        <v>59</v>
      </c>
    </row>
    <row r="108" spans="1:5" ht="15" customHeight="1" x14ac:dyDescent="0.25">
      <c r="A108" s="5944">
        <v>29101120</v>
      </c>
      <c r="B108" s="1117" t="s">
        <v>3630</v>
      </c>
      <c r="C108" s="1362" t="s">
        <v>4567</v>
      </c>
      <c r="D108" s="1413" t="s">
        <v>4568</v>
      </c>
      <c r="E108" s="1414" t="s">
        <v>4569</v>
      </c>
    </row>
    <row r="109" spans="1:5" ht="15" customHeight="1" x14ac:dyDescent="0.25">
      <c r="A109" s="5944">
        <v>29101130</v>
      </c>
      <c r="B109" s="1415" t="s">
        <v>3631</v>
      </c>
      <c r="C109" s="1369" t="s">
        <v>4567</v>
      </c>
      <c r="D109" s="1370" t="s">
        <v>4568</v>
      </c>
      <c r="E109" s="1416" t="s">
        <v>4569</v>
      </c>
    </row>
    <row r="110" spans="1:5" ht="18" customHeight="1" x14ac:dyDescent="0.25">
      <c r="A110" s="9"/>
      <c r="B110" s="897" t="s">
        <v>3632</v>
      </c>
      <c r="C110" s="8"/>
    </row>
    <row r="111" spans="1:5" ht="17.25" customHeight="1" x14ac:dyDescent="0.25">
      <c r="A111" s="9"/>
      <c r="B111" s="1417" t="s">
        <v>3633</v>
      </c>
      <c r="C111" s="1417" t="s">
        <v>919</v>
      </c>
    </row>
    <row r="112" spans="1:5" x14ac:dyDescent="0.25">
      <c r="A112" s="5944">
        <v>29101220</v>
      </c>
      <c r="B112" s="1418" t="s">
        <v>3634</v>
      </c>
      <c r="C112" s="1419" t="s">
        <v>4567</v>
      </c>
    </row>
    <row r="113" spans="1:3" x14ac:dyDescent="0.25">
      <c r="A113" s="5944">
        <v>29101230</v>
      </c>
      <c r="B113" s="1420" t="s">
        <v>3635</v>
      </c>
      <c r="C113" s="402" t="s">
        <v>4567</v>
      </c>
    </row>
    <row r="114" spans="1:3" x14ac:dyDescent="0.25">
      <c r="A114" s="5944">
        <v>29101240</v>
      </c>
      <c r="B114" s="1420" t="s">
        <v>3636</v>
      </c>
      <c r="C114" s="1421" t="s">
        <v>4567</v>
      </c>
    </row>
    <row r="115" spans="1:3" x14ac:dyDescent="0.25">
      <c r="A115" s="5944">
        <v>29101250</v>
      </c>
      <c r="B115" s="1420" t="s">
        <v>3637</v>
      </c>
      <c r="C115" s="1421" t="s">
        <v>4567</v>
      </c>
    </row>
    <row r="116" spans="1:3" x14ac:dyDescent="0.25">
      <c r="A116" s="5944">
        <v>29101260</v>
      </c>
      <c r="B116" s="1420" t="s">
        <v>3638</v>
      </c>
      <c r="C116" s="1421" t="s">
        <v>4567</v>
      </c>
    </row>
    <row r="117" spans="1:3" x14ac:dyDescent="0.25">
      <c r="A117" s="5944">
        <v>29101270</v>
      </c>
      <c r="B117" s="1420" t="s">
        <v>3639</v>
      </c>
      <c r="C117" s="1421" t="s">
        <v>4567</v>
      </c>
    </row>
    <row r="118" spans="1:3" x14ac:dyDescent="0.25">
      <c r="A118" s="5944">
        <v>29101280</v>
      </c>
      <c r="B118" s="1420" t="s">
        <v>3640</v>
      </c>
      <c r="C118" s="1421" t="s">
        <v>4567</v>
      </c>
    </row>
    <row r="119" spans="1:3" x14ac:dyDescent="0.25">
      <c r="A119" s="5944">
        <v>29101290</v>
      </c>
      <c r="B119" s="1420" t="s">
        <v>3641</v>
      </c>
      <c r="C119" s="1421" t="s">
        <v>4567</v>
      </c>
    </row>
    <row r="120" spans="1:3" x14ac:dyDescent="0.25">
      <c r="A120" s="5944">
        <v>29101300</v>
      </c>
      <c r="B120" s="1420" t="s">
        <v>3642</v>
      </c>
      <c r="C120" s="1421" t="s">
        <v>4567</v>
      </c>
    </row>
    <row r="121" spans="1:3" x14ac:dyDescent="0.25">
      <c r="A121" s="5944">
        <v>29101310</v>
      </c>
      <c r="B121" s="1420" t="s">
        <v>3643</v>
      </c>
      <c r="C121" s="1421" t="s">
        <v>4567</v>
      </c>
    </row>
    <row r="122" spans="1:3" x14ac:dyDescent="0.25">
      <c r="A122" s="5944">
        <v>29101320</v>
      </c>
      <c r="B122" s="1420" t="s">
        <v>3644</v>
      </c>
      <c r="C122" s="1421" t="s">
        <v>4567</v>
      </c>
    </row>
    <row r="123" spans="1:3" x14ac:dyDescent="0.25">
      <c r="A123" s="5944">
        <v>29101330</v>
      </c>
      <c r="B123" s="1420" t="s">
        <v>3645</v>
      </c>
      <c r="C123" s="1421" t="s">
        <v>4567</v>
      </c>
    </row>
    <row r="124" spans="1:3" x14ac:dyDescent="0.25">
      <c r="A124" s="5944">
        <v>29101340</v>
      </c>
      <c r="B124" s="1420" t="s">
        <v>3646</v>
      </c>
      <c r="C124" s="1421" t="s">
        <v>4567</v>
      </c>
    </row>
    <row r="125" spans="1:3" x14ac:dyDescent="0.25">
      <c r="A125" s="5944">
        <v>29101350</v>
      </c>
      <c r="B125" s="1420" t="s">
        <v>3647</v>
      </c>
      <c r="C125" s="1421" t="s">
        <v>4567</v>
      </c>
    </row>
    <row r="126" spans="1:3" x14ac:dyDescent="0.25">
      <c r="A126" s="5944">
        <v>29101360</v>
      </c>
      <c r="B126" s="1420" t="s">
        <v>4325</v>
      </c>
      <c r="C126" s="1421" t="s">
        <v>4567</v>
      </c>
    </row>
    <row r="127" spans="1:3" x14ac:dyDescent="0.25">
      <c r="A127" s="5944">
        <v>29101370</v>
      </c>
      <c r="B127" s="1420" t="s">
        <v>3648</v>
      </c>
      <c r="C127" s="1421" t="s">
        <v>4567</v>
      </c>
    </row>
    <row r="128" spans="1:3" x14ac:dyDescent="0.25">
      <c r="A128" s="5944">
        <v>29101380</v>
      </c>
      <c r="B128" s="1422" t="s">
        <v>3649</v>
      </c>
      <c r="C128" s="1423" t="s">
        <v>4567</v>
      </c>
    </row>
    <row r="129" spans="1:6" x14ac:dyDescent="0.25">
      <c r="A129" s="5861"/>
      <c r="B129" s="1424" t="s">
        <v>77</v>
      </c>
      <c r="C129" s="1425">
        <f>SUM(C112:C128)</f>
        <v>0</v>
      </c>
    </row>
    <row r="130" spans="1:6" ht="18" customHeight="1" x14ac:dyDescent="0.25">
      <c r="B130" s="897" t="s">
        <v>3650</v>
      </c>
      <c r="C130" s="8"/>
      <c r="D130" s="4"/>
      <c r="E130" s="8"/>
      <c r="F130" s="8"/>
    </row>
    <row r="131" spans="1:6" ht="27.75" customHeight="1" x14ac:dyDescent="0.25">
      <c r="B131" s="1417" t="s">
        <v>3651</v>
      </c>
      <c r="C131" s="1417" t="s">
        <v>1592</v>
      </c>
      <c r="D131" s="1417" t="s">
        <v>77</v>
      </c>
      <c r="E131" s="1286" t="s">
        <v>3652</v>
      </c>
      <c r="F131" s="1433" t="s">
        <v>3653</v>
      </c>
    </row>
    <row r="132" spans="1:6" x14ac:dyDescent="0.25">
      <c r="A132" s="5825">
        <v>29201014</v>
      </c>
      <c r="B132" s="7732" t="s">
        <v>3654</v>
      </c>
      <c r="C132" s="1202" t="s">
        <v>3655</v>
      </c>
      <c r="D132" s="1419" t="s">
        <v>4567</v>
      </c>
      <c r="E132" s="1426" t="s">
        <v>4568</v>
      </c>
      <c r="F132" s="1427" t="s">
        <v>4569</v>
      </c>
    </row>
    <row r="133" spans="1:6" x14ac:dyDescent="0.25">
      <c r="A133" s="5825">
        <v>29201015</v>
      </c>
      <c r="B133" s="7733"/>
      <c r="C133" s="1199" t="s">
        <v>3656</v>
      </c>
      <c r="D133" s="1423" t="s">
        <v>4567</v>
      </c>
      <c r="E133" s="1428" t="s">
        <v>4568</v>
      </c>
      <c r="F133" s="403" t="s">
        <v>4569</v>
      </c>
    </row>
    <row r="134" spans="1:6" x14ac:dyDescent="0.25">
      <c r="A134" s="5825">
        <v>29201016</v>
      </c>
      <c r="B134" s="4962" t="s">
        <v>3657</v>
      </c>
      <c r="C134" s="1429" t="s">
        <v>3658</v>
      </c>
      <c r="D134" s="402" t="s">
        <v>4567</v>
      </c>
      <c r="E134" s="404" t="s">
        <v>4568</v>
      </c>
      <c r="F134" s="234" t="s">
        <v>4569</v>
      </c>
    </row>
    <row r="135" spans="1:6" x14ac:dyDescent="0.25">
      <c r="A135" s="5944">
        <v>29101696</v>
      </c>
      <c r="B135" s="7734" t="s">
        <v>3659</v>
      </c>
      <c r="C135" s="318" t="s">
        <v>3660</v>
      </c>
      <c r="D135" s="1421" t="s">
        <v>4567</v>
      </c>
      <c r="E135" s="1430" t="s">
        <v>4568</v>
      </c>
      <c r="F135" s="1431" t="s">
        <v>4569</v>
      </c>
    </row>
    <row r="136" spans="1:6" ht="21" x14ac:dyDescent="0.25">
      <c r="A136" s="5944">
        <v>29101697</v>
      </c>
      <c r="B136" s="7733"/>
      <c r="C136" s="1199" t="s">
        <v>3661</v>
      </c>
      <c r="D136" s="1423" t="s">
        <v>4567</v>
      </c>
      <c r="E136" s="1360" t="s">
        <v>4568</v>
      </c>
      <c r="F136" s="395" t="s">
        <v>4569</v>
      </c>
    </row>
    <row r="137" spans="1:6" x14ac:dyDescent="0.25">
      <c r="A137" s="5944">
        <v>29101698</v>
      </c>
      <c r="B137" s="7732" t="s">
        <v>3662</v>
      </c>
      <c r="C137" s="318" t="s">
        <v>3660</v>
      </c>
      <c r="D137" s="1419" t="s">
        <v>4567</v>
      </c>
      <c r="E137" s="1374" t="s">
        <v>4568</v>
      </c>
      <c r="F137" s="1427" t="s">
        <v>4569</v>
      </c>
    </row>
    <row r="138" spans="1:6" ht="21" x14ac:dyDescent="0.25">
      <c r="A138" s="5944">
        <v>29101699</v>
      </c>
      <c r="B138" s="7733"/>
      <c r="C138" s="1199" t="s">
        <v>3661</v>
      </c>
      <c r="D138" s="1423" t="s">
        <v>4567</v>
      </c>
      <c r="E138" s="1360" t="s">
        <v>4568</v>
      </c>
      <c r="F138" s="403" t="s">
        <v>4569</v>
      </c>
    </row>
    <row r="139" spans="1:6" x14ac:dyDescent="0.25">
      <c r="A139" s="5825">
        <v>29201017</v>
      </c>
      <c r="B139" s="7732" t="s">
        <v>3663</v>
      </c>
      <c r="C139" s="1202" t="s">
        <v>3535</v>
      </c>
      <c r="D139" s="1419" t="s">
        <v>4567</v>
      </c>
      <c r="E139" s="1426" t="s">
        <v>4568</v>
      </c>
      <c r="F139" s="1427" t="s">
        <v>4569</v>
      </c>
    </row>
    <row r="140" spans="1:6" x14ac:dyDescent="0.25">
      <c r="A140" s="5825">
        <v>29201018</v>
      </c>
      <c r="B140" s="7733"/>
      <c r="C140" s="1199" t="s">
        <v>3536</v>
      </c>
      <c r="D140" s="1423" t="s">
        <v>4567</v>
      </c>
      <c r="E140" s="1428" t="s">
        <v>4568</v>
      </c>
      <c r="F140" s="403" t="s">
        <v>4569</v>
      </c>
    </row>
    <row r="141" spans="1:6" ht="18" customHeight="1" x14ac:dyDescent="0.25">
      <c r="B141" s="897" t="s">
        <v>3664</v>
      </c>
      <c r="C141" s="8"/>
      <c r="D141" s="4"/>
      <c r="E141" s="8"/>
    </row>
    <row r="142" spans="1:6" ht="21" x14ac:dyDescent="0.25">
      <c r="B142" s="1417" t="s">
        <v>1093</v>
      </c>
      <c r="C142" s="1417" t="s">
        <v>3665</v>
      </c>
      <c r="D142" s="1286" t="s">
        <v>3666</v>
      </c>
      <c r="E142" s="1433" t="s">
        <v>3667</v>
      </c>
    </row>
    <row r="143" spans="1:6" x14ac:dyDescent="0.25">
      <c r="A143" s="5944">
        <v>29101702</v>
      </c>
      <c r="B143" s="1432" t="s">
        <v>3668</v>
      </c>
      <c r="C143" s="1419" t="s">
        <v>4567</v>
      </c>
      <c r="D143" s="1374" t="s">
        <v>4568</v>
      </c>
      <c r="E143" s="1434" t="s">
        <v>4569</v>
      </c>
    </row>
    <row r="144" spans="1:6" x14ac:dyDescent="0.25">
      <c r="A144" s="5944">
        <v>29101703</v>
      </c>
      <c r="B144" s="1435" t="s">
        <v>3669</v>
      </c>
      <c r="C144" s="1421" t="s">
        <v>4567</v>
      </c>
      <c r="D144" s="1344" t="s">
        <v>4568</v>
      </c>
      <c r="E144" s="1335" t="s">
        <v>4569</v>
      </c>
    </row>
    <row r="145" spans="1:14" x14ac:dyDescent="0.25">
      <c r="A145" s="5944">
        <v>29101704</v>
      </c>
      <c r="B145" s="1435" t="s">
        <v>3670</v>
      </c>
      <c r="C145" s="1421" t="s">
        <v>4567</v>
      </c>
      <c r="D145" s="1430" t="s">
        <v>4568</v>
      </c>
      <c r="E145" s="1431" t="s">
        <v>4569</v>
      </c>
    </row>
    <row r="146" spans="1:14" x14ac:dyDescent="0.25">
      <c r="A146" s="5944">
        <v>29101705</v>
      </c>
      <c r="B146" s="1435" t="s">
        <v>3671</v>
      </c>
      <c r="C146" s="1421" t="s">
        <v>4567</v>
      </c>
      <c r="D146" s="1430" t="s">
        <v>4568</v>
      </c>
      <c r="E146" s="1431" t="s">
        <v>4569</v>
      </c>
    </row>
    <row r="147" spans="1:14" x14ac:dyDescent="0.25">
      <c r="A147" s="5944">
        <v>29101706</v>
      </c>
      <c r="B147" s="1435" t="s">
        <v>3672</v>
      </c>
      <c r="C147" s="1421" t="s">
        <v>4567</v>
      </c>
      <c r="D147" s="1344" t="s">
        <v>4568</v>
      </c>
      <c r="E147" s="1335" t="s">
        <v>4569</v>
      </c>
    </row>
    <row r="148" spans="1:14" x14ac:dyDescent="0.25">
      <c r="A148" s="5944">
        <v>29101707</v>
      </c>
      <c r="B148" s="1002" t="s">
        <v>3673</v>
      </c>
      <c r="C148" s="1436" t="s">
        <v>4567</v>
      </c>
      <c r="D148" s="1370" t="s">
        <v>4568</v>
      </c>
      <c r="E148" s="1416" t="s">
        <v>4569</v>
      </c>
    </row>
    <row r="149" spans="1:14" ht="18" customHeight="1" x14ac:dyDescent="0.25">
      <c r="B149" s="897" t="s">
        <v>3674</v>
      </c>
      <c r="C149" s="8"/>
      <c r="D149" s="4"/>
      <c r="E149" s="8"/>
      <c r="F149" s="8"/>
      <c r="G149" s="8"/>
      <c r="H149" s="8"/>
      <c r="I149" s="8"/>
      <c r="J149" s="8"/>
      <c r="K149" s="8"/>
      <c r="L149" s="8"/>
      <c r="M149" s="8"/>
      <c r="N149" s="8"/>
    </row>
    <row r="150" spans="1:14" x14ac:dyDescent="0.25">
      <c r="B150" s="7729" t="s">
        <v>3675</v>
      </c>
      <c r="C150" s="7729" t="s">
        <v>77</v>
      </c>
      <c r="D150" s="7719" t="s">
        <v>3530</v>
      </c>
      <c r="E150" s="7719"/>
      <c r="F150" s="7291" t="s">
        <v>44</v>
      </c>
      <c r="G150" s="7727"/>
      <c r="H150" s="7719" t="s">
        <v>3087</v>
      </c>
      <c r="I150" s="7719"/>
      <c r="J150" s="7719" t="s">
        <v>664</v>
      </c>
      <c r="K150" s="7720"/>
      <c r="L150" s="7737" t="s">
        <v>4324</v>
      </c>
      <c r="M150" s="7738"/>
      <c r="N150" s="7738"/>
    </row>
    <row r="151" spans="1:14" x14ac:dyDescent="0.25">
      <c r="B151" s="7659"/>
      <c r="C151" s="7659"/>
      <c r="D151" s="1287" t="s">
        <v>58</v>
      </c>
      <c r="E151" s="1412" t="s">
        <v>59</v>
      </c>
      <c r="F151" s="1287" t="s">
        <v>58</v>
      </c>
      <c r="G151" s="1412" t="s">
        <v>59</v>
      </c>
      <c r="H151" s="1287" t="s">
        <v>58</v>
      </c>
      <c r="I151" s="1412" t="s">
        <v>59</v>
      </c>
      <c r="J151" s="1287" t="s">
        <v>58</v>
      </c>
      <c r="K151" s="984" t="s">
        <v>59</v>
      </c>
      <c r="L151" s="1437" t="s">
        <v>3559</v>
      </c>
      <c r="M151" s="1438" t="s">
        <v>3676</v>
      </c>
      <c r="N151" s="1439" t="s">
        <v>3677</v>
      </c>
    </row>
    <row r="152" spans="1:14" x14ac:dyDescent="0.25">
      <c r="A152" s="5944">
        <v>29101708</v>
      </c>
      <c r="B152" s="1012" t="s">
        <v>3678</v>
      </c>
      <c r="C152" s="1440" t="s">
        <v>4567</v>
      </c>
      <c r="D152" s="1441" t="s">
        <v>4568</v>
      </c>
      <c r="E152" s="1442" t="s">
        <v>4569</v>
      </c>
      <c r="F152" s="1441" t="s">
        <v>4570</v>
      </c>
      <c r="G152" s="1442" t="s">
        <v>4571</v>
      </c>
      <c r="H152" s="1441" t="s">
        <v>4572</v>
      </c>
      <c r="I152" s="1442" t="s">
        <v>4573</v>
      </c>
      <c r="J152" s="1441" t="s">
        <v>4574</v>
      </c>
      <c r="K152" s="1443" t="s">
        <v>4575</v>
      </c>
      <c r="L152" s="1294" t="s">
        <v>4576</v>
      </c>
      <c r="M152" s="750" t="s">
        <v>4577</v>
      </c>
      <c r="N152" s="1082" t="s">
        <v>4578</v>
      </c>
    </row>
    <row r="153" spans="1:14" x14ac:dyDescent="0.25">
      <c r="A153" s="5944">
        <v>29101709</v>
      </c>
      <c r="B153" s="1015" t="s">
        <v>3679</v>
      </c>
      <c r="C153" s="1444" t="s">
        <v>4567</v>
      </c>
      <c r="D153" s="1089" t="s">
        <v>4568</v>
      </c>
      <c r="E153" s="1090" t="s">
        <v>4569</v>
      </c>
      <c r="F153" s="1089" t="s">
        <v>4570</v>
      </c>
      <c r="G153" s="1090" t="s">
        <v>4571</v>
      </c>
      <c r="H153" s="1089" t="s">
        <v>4572</v>
      </c>
      <c r="I153" s="1090" t="s">
        <v>4573</v>
      </c>
      <c r="J153" s="1089" t="s">
        <v>4574</v>
      </c>
      <c r="K153" s="1295" t="s">
        <v>4575</v>
      </c>
      <c r="L153" s="1299" t="s">
        <v>4576</v>
      </c>
      <c r="M153" s="1253" t="s">
        <v>4577</v>
      </c>
      <c r="N153" s="1090" t="s">
        <v>4578</v>
      </c>
    </row>
    <row r="154" spans="1:14" x14ac:dyDescent="0.25">
      <c r="A154" s="5944">
        <v>29101710</v>
      </c>
      <c r="B154" s="1445" t="s">
        <v>3680</v>
      </c>
      <c r="C154" s="1446" t="s">
        <v>4567</v>
      </c>
      <c r="D154" s="1264" t="s">
        <v>4568</v>
      </c>
      <c r="E154" s="1447" t="s">
        <v>4569</v>
      </c>
      <c r="F154" s="1264" t="s">
        <v>4570</v>
      </c>
      <c r="G154" s="1447" t="s">
        <v>4571</v>
      </c>
      <c r="H154" s="1264" t="s">
        <v>4572</v>
      </c>
      <c r="I154" s="1447" t="s">
        <v>4573</v>
      </c>
      <c r="J154" s="1264" t="s">
        <v>4574</v>
      </c>
      <c r="K154" s="1448" t="s">
        <v>4575</v>
      </c>
      <c r="L154" s="266" t="s">
        <v>4576</v>
      </c>
      <c r="M154" s="262" t="s">
        <v>4577</v>
      </c>
      <c r="N154" s="1447" t="s">
        <v>4578</v>
      </c>
    </row>
    <row r="155" spans="1:14" ht="18" customHeight="1" x14ac:dyDescent="0.25">
      <c r="B155" s="897" t="s">
        <v>3681</v>
      </c>
      <c r="C155" s="8"/>
      <c r="D155" s="4"/>
      <c r="E155" s="8"/>
      <c r="F155" s="8"/>
      <c r="G155" s="8"/>
      <c r="H155" s="8"/>
      <c r="I155" s="8"/>
    </row>
    <row r="156" spans="1:14" x14ac:dyDescent="0.25">
      <c r="B156" s="7729" t="s">
        <v>3675</v>
      </c>
      <c r="C156" s="7729" t="s">
        <v>77</v>
      </c>
      <c r="D156" s="7739" t="s">
        <v>29</v>
      </c>
      <c r="E156" s="7740"/>
      <c r="F156" s="7741"/>
      <c r="G156" s="7743" t="s">
        <v>3556</v>
      </c>
      <c r="H156" s="7743"/>
      <c r="I156" s="7743"/>
      <c r="J156" s="7744"/>
    </row>
    <row r="157" spans="1:14" ht="15" customHeight="1" x14ac:dyDescent="0.25">
      <c r="B157" s="6350"/>
      <c r="C157" s="6350"/>
      <c r="D157" s="6853"/>
      <c r="E157" s="7169"/>
      <c r="F157" s="7742"/>
      <c r="G157" s="7688" t="s">
        <v>3559</v>
      </c>
      <c r="H157" s="7688"/>
      <c r="I157" s="7688" t="s">
        <v>3682</v>
      </c>
      <c r="J157" s="7688"/>
    </row>
    <row r="158" spans="1:14" x14ac:dyDescent="0.25">
      <c r="B158" s="7659"/>
      <c r="C158" s="7659"/>
      <c r="D158" s="1287" t="s">
        <v>630</v>
      </c>
      <c r="E158" s="982" t="s">
        <v>367</v>
      </c>
      <c r="F158" s="984" t="s">
        <v>664</v>
      </c>
      <c r="G158" s="1449" t="s">
        <v>3535</v>
      </c>
      <c r="H158" s="1325" t="s">
        <v>1324</v>
      </c>
      <c r="I158" s="1287" t="s">
        <v>3535</v>
      </c>
      <c r="J158" s="1412" t="s">
        <v>1324</v>
      </c>
    </row>
    <row r="159" spans="1:14" ht="15" customHeight="1" x14ac:dyDescent="0.25">
      <c r="A159" s="5944">
        <v>29101711</v>
      </c>
      <c r="B159" s="1012" t="s">
        <v>3683</v>
      </c>
      <c r="C159" s="1450" t="s">
        <v>4567</v>
      </c>
      <c r="D159" s="1081" t="s">
        <v>4568</v>
      </c>
      <c r="E159" s="750" t="s">
        <v>4569</v>
      </c>
      <c r="F159" s="1259" t="s">
        <v>4570</v>
      </c>
      <c r="G159" s="1294" t="s">
        <v>4571</v>
      </c>
      <c r="H159" s="748" t="s">
        <v>4572</v>
      </c>
      <c r="I159" s="1081" t="s">
        <v>4573</v>
      </c>
      <c r="J159" s="748" t="s">
        <v>4574</v>
      </c>
    </row>
    <row r="160" spans="1:14" ht="15" customHeight="1" x14ac:dyDescent="0.25">
      <c r="A160" s="5944">
        <v>29101712</v>
      </c>
      <c r="B160" s="936" t="s">
        <v>3684</v>
      </c>
      <c r="C160" s="1451" t="s">
        <v>4567</v>
      </c>
      <c r="D160" s="1089" t="s">
        <v>4568</v>
      </c>
      <c r="E160" s="1253" t="s">
        <v>4569</v>
      </c>
      <c r="F160" s="1295" t="s">
        <v>4570</v>
      </c>
      <c r="G160" s="1299" t="s">
        <v>4571</v>
      </c>
      <c r="H160" s="1452" t="s">
        <v>4572</v>
      </c>
      <c r="I160" s="1089" t="s">
        <v>4573</v>
      </c>
      <c r="J160" s="1452" t="s">
        <v>4574</v>
      </c>
    </row>
    <row r="161" spans="1:10" ht="15" customHeight="1" x14ac:dyDescent="0.25">
      <c r="A161" s="5944">
        <v>29101713</v>
      </c>
      <c r="B161" s="1453" t="s">
        <v>3685</v>
      </c>
      <c r="C161" s="1454" t="s">
        <v>4567</v>
      </c>
      <c r="D161" s="1264" t="s">
        <v>4568</v>
      </c>
      <c r="E161" s="262" t="s">
        <v>4569</v>
      </c>
      <c r="F161" s="1448" t="s">
        <v>4570</v>
      </c>
      <c r="G161" s="266" t="s">
        <v>4571</v>
      </c>
      <c r="H161" s="1455" t="s">
        <v>4572</v>
      </c>
      <c r="I161" s="1264" t="s">
        <v>4573</v>
      </c>
      <c r="J161" s="1455" t="s">
        <v>4574</v>
      </c>
    </row>
    <row r="164" spans="1:10" x14ac:dyDescent="0.25">
      <c r="A164" t="s">
        <v>4777</v>
      </c>
    </row>
    <row r="165" spans="1:10" x14ac:dyDescent="0.25">
      <c r="A165" s="5954">
        <v>29101693</v>
      </c>
    </row>
    <row r="166" spans="1:10" x14ac:dyDescent="0.25">
      <c r="A166" s="5954">
        <v>29101694</v>
      </c>
    </row>
    <row r="167" spans="1:10" x14ac:dyDescent="0.25">
      <c r="A167" s="5954">
        <v>29101695</v>
      </c>
    </row>
    <row r="168" spans="1:10" x14ac:dyDescent="0.25">
      <c r="A168" s="5954">
        <v>29101700</v>
      </c>
    </row>
    <row r="169" spans="1:10" x14ac:dyDescent="0.25">
      <c r="A169" s="5954">
        <v>29101701</v>
      </c>
    </row>
    <row r="170" spans="1:10" x14ac:dyDescent="0.25">
      <c r="A170" t="s">
        <v>4566</v>
      </c>
    </row>
    <row r="171" spans="1:10" x14ac:dyDescent="0.25">
      <c r="A171" s="5617">
        <v>29201010</v>
      </c>
    </row>
    <row r="172" spans="1:10" x14ac:dyDescent="0.25">
      <c r="A172" s="5617">
        <v>29201011</v>
      </c>
    </row>
    <row r="173" spans="1:10" x14ac:dyDescent="0.25">
      <c r="A173" s="5617">
        <v>29201012</v>
      </c>
    </row>
    <row r="174" spans="1:10" x14ac:dyDescent="0.25">
      <c r="A174" s="5617">
        <v>29201013</v>
      </c>
    </row>
    <row r="175" spans="1:10" x14ac:dyDescent="0.25">
      <c r="A175" s="5617">
        <v>29201014</v>
      </c>
    </row>
    <row r="176" spans="1:10" x14ac:dyDescent="0.25">
      <c r="A176" s="5617">
        <v>29201015</v>
      </c>
    </row>
    <row r="177" spans="1:1" x14ac:dyDescent="0.25">
      <c r="A177" s="5617">
        <v>29201016</v>
      </c>
    </row>
    <row r="178" spans="1:1" x14ac:dyDescent="0.25">
      <c r="A178" s="5617">
        <v>29201017</v>
      </c>
    </row>
    <row r="179" spans="1:1" x14ac:dyDescent="0.25">
      <c r="A179" s="5617">
        <v>29201018</v>
      </c>
    </row>
    <row r="202" spans="2:3" hidden="1" x14ac:dyDescent="0.25">
      <c r="B202" s="105">
        <f>SUM(C12:C28,D32:D68,D71:E104,C108:C109,C129,D132:F140,C143:E148,C153:C154,C159:C161)</f>
        <v>0</v>
      </c>
      <c r="C202" s="105">
        <f>SUM(CF12:CG68)</f>
        <v>98</v>
      </c>
    </row>
  </sheetData>
  <mergeCells count="54">
    <mergeCell ref="G157:H157"/>
    <mergeCell ref="I157:J157"/>
    <mergeCell ref="B150:B151"/>
    <mergeCell ref="J150:K150"/>
    <mergeCell ref="L150:N150"/>
    <mergeCell ref="B156:B158"/>
    <mergeCell ref="C156:C158"/>
    <mergeCell ref="C150:C151"/>
    <mergeCell ref="D150:E150"/>
    <mergeCell ref="F150:G150"/>
    <mergeCell ref="H150:I150"/>
    <mergeCell ref="D156:F157"/>
    <mergeCell ref="G156:J156"/>
    <mergeCell ref="B40:B42"/>
    <mergeCell ref="B132:B133"/>
    <mergeCell ref="B135:B136"/>
    <mergeCell ref="B137:B138"/>
    <mergeCell ref="B139:B140"/>
    <mergeCell ref="B49:B54"/>
    <mergeCell ref="B91:B104"/>
    <mergeCell ref="B43:B45"/>
    <mergeCell ref="B46:B48"/>
    <mergeCell ref="B71:B90"/>
    <mergeCell ref="D106:E106"/>
    <mergeCell ref="B55:B58"/>
    <mergeCell ref="B59:B62"/>
    <mergeCell ref="B63:B64"/>
    <mergeCell ref="B106:B107"/>
    <mergeCell ref="C106:C107"/>
    <mergeCell ref="B65:B66"/>
    <mergeCell ref="B67:B68"/>
    <mergeCell ref="N30:P30"/>
    <mergeCell ref="Q30:Q31"/>
    <mergeCell ref="C11:U11"/>
    <mergeCell ref="C16:U16"/>
    <mergeCell ref="C23:U23"/>
    <mergeCell ref="C26:U26"/>
    <mergeCell ref="R30:R31"/>
    <mergeCell ref="B32:B39"/>
    <mergeCell ref="B6:U6"/>
    <mergeCell ref="B9:B10"/>
    <mergeCell ref="C9:E9"/>
    <mergeCell ref="F9:G9"/>
    <mergeCell ref="H9:I9"/>
    <mergeCell ref="J9:K9"/>
    <mergeCell ref="L9:M9"/>
    <mergeCell ref="N9:O9"/>
    <mergeCell ref="P9:Q9"/>
    <mergeCell ref="R9:S9"/>
    <mergeCell ref="T9:T10"/>
    <mergeCell ref="U9:U10"/>
    <mergeCell ref="B30:C31"/>
    <mergeCell ref="D30:D31"/>
    <mergeCell ref="E30:M30"/>
  </mergeCells>
  <dataValidations count="6">
    <dataValidation allowBlank="1" showInputMessage="1" showErrorMessage="1" error="Valor no Permitido" sqref="A6:XFD6 B11:B13 T9:U9 B15:B46 R10:S10 D12:E15 G156 D9:Q10 D105:E107 D27:E28 D17:E22 C108:C109 B202:C202 D8:U8 B8:B9 V11 Q29:R30 B49:B64 C69:C96 E69 B91 C129:C142 B105:B106 C98:C106 C149:C150 E33:M33 G150 G149:I149 D149:E151 H150:I151 J149:N151 F149:F150 D155:I155 E60:M60 D65:D70 C8:C64 D24:E25 B69:B71 D130:F131 D60:D62 D141:E142 B108:B150 D70:E70 D156 I157:J158 E29:P31 C153:C161 D29:D58 B152:B161 D158:H158" xr:uid="{00000000-0002-0000-1500-000000000000}"/>
    <dataValidation type="whole" operator="greaterThanOrEqual" allowBlank="1" showInputMessage="1" showErrorMessage="1" error="Valor no Permitido" sqref="D59 D63:D64 D108:E109 C112:C128 D71:E104" xr:uid="{00000000-0002-0000-1500-000001000000}">
      <formula1>0</formula1>
    </dataValidation>
    <dataValidation type="whole" allowBlank="1" showInputMessage="1" showErrorMessage="1" sqref="F12:U15 F17:U22 F24:U25 F27:U28 N32:R68 D132:F140" xr:uid="{CFDECB1D-CA3E-4B8A-BBC7-3EA8D6E47BF7}">
      <formula1>0</formula1>
      <formula2>9.99999999999999E+34</formula2>
    </dataValidation>
    <dataValidation type="whole" allowBlank="1" showInputMessage="1" showErrorMessage="1" sqref="E32:M32 E34:M59 E61:M68" xr:uid="{59B7CA33-D1AD-46E6-946B-051BD34BD7DD}">
      <formula1>0</formula1>
      <formula2>9.99999999999999E+36</formula2>
    </dataValidation>
    <dataValidation type="whole" allowBlank="1" showInputMessage="1" showErrorMessage="1" sqref="C143:E148 D152:N154 C152" xr:uid="{95B22149-6657-4FD8-9483-84090C39CC49}">
      <formula1>0</formula1>
      <formula2>9.99999999999999E+38</formula2>
    </dataValidation>
    <dataValidation type="whole" allowBlank="1" showInputMessage="1" showErrorMessage="1" error="Valor no Permitido" sqref="D159:J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V184"/>
  <sheetViews>
    <sheetView showGridLines="0" zoomScaleNormal="100" workbookViewId="0"/>
  </sheetViews>
  <sheetFormatPr baseColWidth="10" defaultColWidth="11.42578125" defaultRowHeight="15" x14ac:dyDescent="0.25"/>
  <cols>
    <col min="1" max="1" width="20.140625" customWidth="1"/>
    <col min="2" max="2" width="66.42578125" style="106" customWidth="1"/>
    <col min="3" max="3" width="13.5703125" style="106" customWidth="1"/>
    <col min="4" max="6" width="11.42578125" style="106"/>
    <col min="7" max="7" width="13.28515625" style="106" customWidth="1"/>
    <col min="8" max="8" width="12.140625" style="106" customWidth="1"/>
    <col min="9" max="9" width="13.7109375" style="106" customWidth="1"/>
    <col min="10" max="10" width="13.42578125" style="106" customWidth="1"/>
    <col min="11" max="11" width="13.28515625" style="106" bestFit="1" customWidth="1"/>
    <col min="12" max="18" width="11.42578125" style="106"/>
    <col min="19" max="20" width="13.7109375" style="106" customWidth="1"/>
    <col min="21" max="21" width="14.42578125" style="106" customWidth="1"/>
    <col min="22" max="24" width="11.42578125" style="106"/>
    <col min="25" max="25" width="11.28515625" style="106" customWidth="1"/>
    <col min="26" max="26" width="12" style="106" customWidth="1"/>
    <col min="27" max="41" width="11.42578125" style="106"/>
  </cols>
  <sheetData>
    <row r="1" spans="1:48" x14ac:dyDescent="0.25">
      <c r="B1" s="50" t="s">
        <v>23</v>
      </c>
    </row>
    <row r="2" spans="1:48" x14ac:dyDescent="0.25">
      <c r="B2" s="50" t="str">
        <f>CONCATENATE("COMUNA: ",NOMBRE!B2, " (",NOMBRE!C2,NOMBRE!D2,NOMBRE!E2,NOMBRE!F2,NOMBRE!G2,")")</f>
        <v>COMUNA:  ()</v>
      </c>
    </row>
    <row r="3" spans="1:48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48" x14ac:dyDescent="0.25">
      <c r="B4" s="50" t="str">
        <f>CONCATENATE("MES: ",NOMBRE!B6, " (",NOMBRE!C6,NOMBRE!D6,")")</f>
        <v>MES:  ()</v>
      </c>
    </row>
    <row r="5" spans="1:48" x14ac:dyDescent="0.25">
      <c r="B5" s="50" t="str">
        <f>CONCATENATE("AÑO: ",NOMBRE!B7)</f>
        <v>AÑO: 2025</v>
      </c>
    </row>
    <row r="6" spans="1:48" s="9" customFormat="1" ht="18" customHeight="1" x14ac:dyDescent="0.2">
      <c r="B6" s="7266" t="s">
        <v>4326</v>
      </c>
      <c r="C6" s="7266"/>
      <c r="D6" s="7266"/>
      <c r="E6" s="7266"/>
      <c r="F6" s="7266"/>
      <c r="G6" s="7266"/>
      <c r="H6" s="7266"/>
      <c r="I6" s="7266"/>
      <c r="J6" s="7266"/>
      <c r="K6" s="7266"/>
      <c r="L6" s="7266"/>
      <c r="M6" s="7266"/>
      <c r="N6" s="7266"/>
      <c r="O6" s="7266"/>
      <c r="P6" s="7266"/>
      <c r="Q6" s="7266"/>
      <c r="R6" s="7266"/>
      <c r="S6" s="7266"/>
      <c r="T6" s="7266"/>
      <c r="U6" s="7266"/>
      <c r="V6" s="7266"/>
      <c r="W6" s="7266"/>
      <c r="X6" s="7266"/>
      <c r="Y6" s="7266"/>
      <c r="Z6" s="7266"/>
      <c r="AA6" s="3879"/>
      <c r="AB6" s="3879"/>
      <c r="AC6" s="3879"/>
      <c r="AD6" s="3879"/>
      <c r="AE6" s="3879"/>
      <c r="AF6" s="3879"/>
      <c r="AG6" s="7"/>
      <c r="AH6" s="7"/>
    </row>
    <row r="7" spans="1:48" s="9" customFormat="1" x14ac:dyDescent="0.2">
      <c r="B7" s="501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48" s="8" customFormat="1" ht="18" customHeight="1" x14ac:dyDescent="0.15">
      <c r="B8" s="15" t="s">
        <v>3686</v>
      </c>
      <c r="C8" s="15"/>
      <c r="D8" s="15"/>
      <c r="E8" s="15"/>
      <c r="F8" s="15"/>
      <c r="G8" s="15"/>
      <c r="H8" s="15"/>
    </row>
    <row r="9" spans="1:48" s="7" customFormat="1" ht="24.95" customHeight="1" x14ac:dyDescent="0.15">
      <c r="B9" s="7671" t="s">
        <v>3687</v>
      </c>
      <c r="C9" s="7257" t="s">
        <v>3688</v>
      </c>
      <c r="D9" s="7746"/>
      <c r="E9" s="7746"/>
      <c r="F9" s="7746"/>
      <c r="G9" s="7746"/>
      <c r="H9" s="7746"/>
      <c r="I9" s="7746"/>
      <c r="J9" s="7759"/>
      <c r="K9" s="7257" t="s">
        <v>3689</v>
      </c>
      <c r="L9" s="7746"/>
      <c r="M9" s="7746"/>
      <c r="N9" s="7746"/>
      <c r="O9" s="7746"/>
      <c r="P9" s="7746"/>
      <c r="Q9" s="7746"/>
      <c r="R9" s="7759"/>
      <c r="S9" s="7257" t="s">
        <v>3690</v>
      </c>
      <c r="T9" s="7746"/>
      <c r="U9" s="7746"/>
      <c r="V9" s="7746"/>
      <c r="W9" s="7746"/>
      <c r="X9" s="7746"/>
      <c r="Y9" s="7746"/>
      <c r="Z9" s="7259"/>
      <c r="AA9" s="7745" t="s">
        <v>3533</v>
      </c>
      <c r="AB9" s="7745"/>
      <c r="AC9" s="7339"/>
      <c r="AD9" s="7756" t="s">
        <v>3691</v>
      </c>
      <c r="AE9" s="7746"/>
      <c r="AF9" s="7746"/>
      <c r="AG9" s="7746"/>
      <c r="AH9" s="7746"/>
      <c r="AI9" s="7746"/>
      <c r="AJ9" s="7746"/>
      <c r="AK9" s="7259"/>
      <c r="AL9" s="7243" t="s">
        <v>3533</v>
      </c>
      <c r="AM9" s="7745"/>
      <c r="AN9" s="7339"/>
      <c r="AO9" s="7756" t="s">
        <v>3692</v>
      </c>
      <c r="AP9" s="7746"/>
      <c r="AQ9" s="7746"/>
      <c r="AR9" s="7746"/>
      <c r="AS9" s="7746"/>
      <c r="AT9" s="7746"/>
      <c r="AU9" s="7746"/>
      <c r="AV9" s="7759"/>
    </row>
    <row r="10" spans="1:48" s="7" customFormat="1" ht="15" customHeight="1" x14ac:dyDescent="0.15">
      <c r="B10" s="6119"/>
      <c r="C10" s="7745" t="s">
        <v>3140</v>
      </c>
      <c r="D10" s="7727"/>
      <c r="E10" s="7291" t="s">
        <v>1203</v>
      </c>
      <c r="F10" s="7727"/>
      <c r="G10" s="7291" t="s">
        <v>3693</v>
      </c>
      <c r="H10" s="7727"/>
      <c r="I10" s="7291" t="s">
        <v>706</v>
      </c>
      <c r="J10" s="7727"/>
      <c r="K10" s="7745" t="s">
        <v>3140</v>
      </c>
      <c r="L10" s="7727"/>
      <c r="M10" s="7291" t="s">
        <v>1203</v>
      </c>
      <c r="N10" s="7727"/>
      <c r="O10" s="7291" t="s">
        <v>1204</v>
      </c>
      <c r="P10" s="7727"/>
      <c r="Q10" s="7291" t="s">
        <v>706</v>
      </c>
      <c r="R10" s="7727"/>
      <c r="S10" s="7291" t="s">
        <v>3140</v>
      </c>
      <c r="T10" s="7727"/>
      <c r="U10" s="7291" t="s">
        <v>1203</v>
      </c>
      <c r="V10" s="7727"/>
      <c r="W10" s="7291" t="s">
        <v>1276</v>
      </c>
      <c r="X10" s="7727"/>
      <c r="Y10" s="7745" t="s">
        <v>706</v>
      </c>
      <c r="Z10" s="7339"/>
      <c r="AA10" s="7760" t="s">
        <v>3559</v>
      </c>
      <c r="AB10" s="7761" t="s">
        <v>1594</v>
      </c>
      <c r="AC10" s="7259"/>
      <c r="AD10" s="7745" t="s">
        <v>3140</v>
      </c>
      <c r="AE10" s="7727"/>
      <c r="AF10" s="7291" t="s">
        <v>1203</v>
      </c>
      <c r="AG10" s="7727"/>
      <c r="AH10" s="7291" t="s">
        <v>3694</v>
      </c>
      <c r="AI10" s="7727"/>
      <c r="AJ10" s="7745" t="s">
        <v>3695</v>
      </c>
      <c r="AK10" s="7727"/>
      <c r="AL10" s="7301" t="s">
        <v>3559</v>
      </c>
      <c r="AM10" s="7746" t="s">
        <v>1594</v>
      </c>
      <c r="AN10" s="7259"/>
      <c r="AO10" s="7745" t="s">
        <v>3140</v>
      </c>
      <c r="AP10" s="7727"/>
      <c r="AQ10" s="7291" t="s">
        <v>1203</v>
      </c>
      <c r="AR10" s="7727"/>
      <c r="AS10" s="7291" t="s">
        <v>1204</v>
      </c>
      <c r="AT10" s="7727"/>
      <c r="AU10" s="7291" t="s">
        <v>706</v>
      </c>
      <c r="AV10" s="7727"/>
    </row>
    <row r="11" spans="1:48" s="7" customFormat="1" ht="15" customHeight="1" x14ac:dyDescent="0.15">
      <c r="B11" s="6739"/>
      <c r="C11" s="1068" t="s">
        <v>58</v>
      </c>
      <c r="D11" s="1178" t="s">
        <v>59</v>
      </c>
      <c r="E11" s="1287" t="s">
        <v>58</v>
      </c>
      <c r="F11" s="1178" t="s">
        <v>59</v>
      </c>
      <c r="G11" s="1287" t="s">
        <v>58</v>
      </c>
      <c r="H11" s="1178" t="s">
        <v>59</v>
      </c>
      <c r="I11" s="1287" t="s">
        <v>58</v>
      </c>
      <c r="J11" s="1178" t="s">
        <v>59</v>
      </c>
      <c r="K11" s="1287" t="s">
        <v>58</v>
      </c>
      <c r="L11" s="1178" t="s">
        <v>59</v>
      </c>
      <c r="M11" s="1287" t="s">
        <v>58</v>
      </c>
      <c r="N11" s="1178" t="s">
        <v>59</v>
      </c>
      <c r="O11" s="1287" t="s">
        <v>58</v>
      </c>
      <c r="P11" s="1178" t="s">
        <v>59</v>
      </c>
      <c r="Q11" s="1287" t="s">
        <v>58</v>
      </c>
      <c r="R11" s="1178" t="s">
        <v>59</v>
      </c>
      <c r="S11" s="1287" t="s">
        <v>58</v>
      </c>
      <c r="T11" s="1178" t="s">
        <v>59</v>
      </c>
      <c r="U11" s="1287" t="s">
        <v>58</v>
      </c>
      <c r="V11" s="1178" t="s">
        <v>59</v>
      </c>
      <c r="W11" s="1287" t="s">
        <v>58</v>
      </c>
      <c r="X11" s="1178" t="s">
        <v>59</v>
      </c>
      <c r="Y11" s="1068" t="s">
        <v>58</v>
      </c>
      <c r="Z11" s="4805" t="s">
        <v>59</v>
      </c>
      <c r="AA11" s="7675"/>
      <c r="AB11" s="1213" t="s">
        <v>3696</v>
      </c>
      <c r="AC11" s="5018" t="s">
        <v>2503</v>
      </c>
      <c r="AD11" s="4437" t="s">
        <v>58</v>
      </c>
      <c r="AE11" s="1178" t="s">
        <v>59</v>
      </c>
      <c r="AF11" s="1068" t="s">
        <v>58</v>
      </c>
      <c r="AG11" s="1178" t="s">
        <v>59</v>
      </c>
      <c r="AH11" s="1287" t="s">
        <v>58</v>
      </c>
      <c r="AI11" s="1178" t="s">
        <v>59</v>
      </c>
      <c r="AJ11" s="1068" t="s">
        <v>58</v>
      </c>
      <c r="AK11" s="4805" t="s">
        <v>59</v>
      </c>
      <c r="AL11" s="6937"/>
      <c r="AM11" s="1110" t="s">
        <v>3696</v>
      </c>
      <c r="AN11" s="5018" t="s">
        <v>2503</v>
      </c>
      <c r="AO11" s="4437" t="s">
        <v>58</v>
      </c>
      <c r="AP11" s="1178" t="s">
        <v>59</v>
      </c>
      <c r="AQ11" s="1068" t="s">
        <v>58</v>
      </c>
      <c r="AR11" s="1178" t="s">
        <v>59</v>
      </c>
      <c r="AS11" s="1287" t="s">
        <v>58</v>
      </c>
      <c r="AT11" s="1178" t="s">
        <v>59</v>
      </c>
      <c r="AU11" s="1287" t="s">
        <v>58</v>
      </c>
      <c r="AV11" s="1178" t="s">
        <v>59</v>
      </c>
    </row>
    <row r="12" spans="1:48" s="7" customFormat="1" ht="15" customHeight="1" x14ac:dyDescent="0.2">
      <c r="A12" s="5606"/>
      <c r="B12" s="1285" t="s">
        <v>77</v>
      </c>
      <c r="C12" s="3075">
        <f t="shared" ref="C12:AV12" si="0">SUM(C13:C67)</f>
        <v>0</v>
      </c>
      <c r="D12" s="4988">
        <f t="shared" si="0"/>
        <v>0</v>
      </c>
      <c r="E12" s="4989">
        <f t="shared" si="0"/>
        <v>0</v>
      </c>
      <c r="F12" s="4988">
        <f t="shared" si="0"/>
        <v>0</v>
      </c>
      <c r="G12" s="4989">
        <f t="shared" si="0"/>
        <v>0</v>
      </c>
      <c r="H12" s="4988">
        <f t="shared" si="0"/>
        <v>0</v>
      </c>
      <c r="I12" s="4989">
        <f t="shared" si="0"/>
        <v>0</v>
      </c>
      <c r="J12" s="4988">
        <f t="shared" si="0"/>
        <v>0</v>
      </c>
      <c r="K12" s="4989">
        <f t="shared" si="0"/>
        <v>0</v>
      </c>
      <c r="L12" s="4988">
        <f t="shared" si="0"/>
        <v>0</v>
      </c>
      <c r="M12" s="4989">
        <f t="shared" si="0"/>
        <v>0</v>
      </c>
      <c r="N12" s="4988">
        <f t="shared" si="0"/>
        <v>0</v>
      </c>
      <c r="O12" s="4989">
        <f t="shared" si="0"/>
        <v>0</v>
      </c>
      <c r="P12" s="4988">
        <f t="shared" si="0"/>
        <v>0</v>
      </c>
      <c r="Q12" s="4989">
        <f t="shared" si="0"/>
        <v>0</v>
      </c>
      <c r="R12" s="4988">
        <f t="shared" si="0"/>
        <v>0</v>
      </c>
      <c r="S12" s="4989">
        <f t="shared" si="0"/>
        <v>0</v>
      </c>
      <c r="T12" s="4988">
        <f t="shared" si="0"/>
        <v>0</v>
      </c>
      <c r="U12" s="3075">
        <f t="shared" si="0"/>
        <v>0</v>
      </c>
      <c r="V12" s="4988">
        <f t="shared" si="0"/>
        <v>0</v>
      </c>
      <c r="W12" s="4989">
        <f t="shared" si="0"/>
        <v>0</v>
      </c>
      <c r="X12" s="4988">
        <f t="shared" si="0"/>
        <v>0</v>
      </c>
      <c r="Y12" s="3075">
        <f t="shared" si="0"/>
        <v>0</v>
      </c>
      <c r="Z12" s="5019">
        <f t="shared" si="0"/>
        <v>0</v>
      </c>
      <c r="AA12" s="1102">
        <f t="shared" si="0"/>
        <v>0</v>
      </c>
      <c r="AB12" s="3075">
        <f t="shared" si="0"/>
        <v>0</v>
      </c>
      <c r="AC12" s="3113">
        <f t="shared" si="0"/>
        <v>0</v>
      </c>
      <c r="AD12" s="4986">
        <f t="shared" si="0"/>
        <v>0</v>
      </c>
      <c r="AE12" s="4988">
        <f t="shared" si="0"/>
        <v>0</v>
      </c>
      <c r="AF12" s="3075">
        <f t="shared" si="0"/>
        <v>0</v>
      </c>
      <c r="AG12" s="4988">
        <f t="shared" si="0"/>
        <v>0</v>
      </c>
      <c r="AH12" s="4989">
        <f t="shared" si="0"/>
        <v>0</v>
      </c>
      <c r="AI12" s="4988">
        <f t="shared" si="0"/>
        <v>0</v>
      </c>
      <c r="AJ12" s="3075">
        <f t="shared" si="0"/>
        <v>0</v>
      </c>
      <c r="AK12" s="5019">
        <f t="shared" si="0"/>
        <v>0</v>
      </c>
      <c r="AL12" s="4871">
        <f t="shared" si="0"/>
        <v>0</v>
      </c>
      <c r="AM12" s="3075">
        <f t="shared" si="0"/>
        <v>0</v>
      </c>
      <c r="AN12" s="3113">
        <f t="shared" si="0"/>
        <v>0</v>
      </c>
      <c r="AO12" s="4986">
        <f t="shared" si="0"/>
        <v>0</v>
      </c>
      <c r="AP12" s="4988">
        <f t="shared" si="0"/>
        <v>0</v>
      </c>
      <c r="AQ12" s="3075">
        <f t="shared" si="0"/>
        <v>0</v>
      </c>
      <c r="AR12" s="4988">
        <f t="shared" si="0"/>
        <v>0</v>
      </c>
      <c r="AS12" s="4989">
        <f t="shared" si="0"/>
        <v>0</v>
      </c>
      <c r="AT12" s="4988">
        <f t="shared" si="0"/>
        <v>0</v>
      </c>
      <c r="AU12" s="4989">
        <f t="shared" si="0"/>
        <v>0</v>
      </c>
      <c r="AV12" s="4988">
        <f t="shared" si="0"/>
        <v>0</v>
      </c>
    </row>
    <row r="13" spans="1:48" s="7" customFormat="1" ht="15" customHeight="1" x14ac:dyDescent="0.2">
      <c r="A13" s="5944">
        <v>30000000</v>
      </c>
      <c r="B13" s="250" t="s">
        <v>1208</v>
      </c>
      <c r="C13" s="1081" t="s">
        <v>4567</v>
      </c>
      <c r="D13" s="748" t="s">
        <v>4568</v>
      </c>
      <c r="E13" s="1081" t="s">
        <v>4569</v>
      </c>
      <c r="F13" s="748" t="s">
        <v>4570</v>
      </c>
      <c r="G13" s="1081" t="s">
        <v>4571</v>
      </c>
      <c r="H13" s="748" t="s">
        <v>4572</v>
      </c>
      <c r="I13" s="1081" t="s">
        <v>4573</v>
      </c>
      <c r="J13" s="748" t="s">
        <v>4574</v>
      </c>
      <c r="K13" s="1081" t="s">
        <v>4575</v>
      </c>
      <c r="L13" s="748" t="s">
        <v>4576</v>
      </c>
      <c r="M13" s="1081" t="s">
        <v>4577</v>
      </c>
      <c r="N13" s="748" t="s">
        <v>4578</v>
      </c>
      <c r="O13" s="1081" t="s">
        <v>4579</v>
      </c>
      <c r="P13" s="748" t="s">
        <v>4580</v>
      </c>
      <c r="Q13" s="1081" t="s">
        <v>4581</v>
      </c>
      <c r="R13" s="748" t="s">
        <v>4582</v>
      </c>
      <c r="S13" s="5020" t="s">
        <v>4583</v>
      </c>
      <c r="T13" s="2963" t="s">
        <v>4584</v>
      </c>
      <c r="U13" s="5020" t="s">
        <v>4585</v>
      </c>
      <c r="V13" s="2963" t="s">
        <v>4586</v>
      </c>
      <c r="W13" s="1160" t="s">
        <v>4587</v>
      </c>
      <c r="X13" s="2963" t="s">
        <v>4588</v>
      </c>
      <c r="Y13" s="5020" t="s">
        <v>4589</v>
      </c>
      <c r="Z13" s="5021" t="s">
        <v>4590</v>
      </c>
      <c r="AA13" s="1294" t="s">
        <v>4591</v>
      </c>
      <c r="AB13" s="4347" t="s">
        <v>4592</v>
      </c>
      <c r="AC13" s="748" t="s">
        <v>4593</v>
      </c>
      <c r="AD13" s="1294" t="s">
        <v>4594</v>
      </c>
      <c r="AE13" s="748" t="s">
        <v>4595</v>
      </c>
      <c r="AF13" s="1083" t="s">
        <v>4596</v>
      </c>
      <c r="AG13" s="748" t="s">
        <v>4597</v>
      </c>
      <c r="AH13" s="1081" t="s">
        <v>4598</v>
      </c>
      <c r="AI13" s="748" t="s">
        <v>4599</v>
      </c>
      <c r="AJ13" s="1083" t="s">
        <v>4600</v>
      </c>
      <c r="AK13" s="736" t="s">
        <v>4601</v>
      </c>
      <c r="AL13" s="1260" t="s">
        <v>4602</v>
      </c>
      <c r="AM13" s="4347" t="s">
        <v>4603</v>
      </c>
      <c r="AN13" s="748" t="s">
        <v>4604</v>
      </c>
      <c r="AO13" s="5022" t="s">
        <v>4605</v>
      </c>
      <c r="AP13" s="5023" t="s">
        <v>4606</v>
      </c>
      <c r="AQ13" s="5024" t="s">
        <v>4934</v>
      </c>
      <c r="AR13" s="5023" t="s">
        <v>4935</v>
      </c>
      <c r="AS13" s="5025" t="s">
        <v>4936</v>
      </c>
      <c r="AT13" s="5023" t="s">
        <v>4937</v>
      </c>
      <c r="AU13" s="5025" t="s">
        <v>5234</v>
      </c>
      <c r="AV13" s="5023" t="s">
        <v>5235</v>
      </c>
    </row>
    <row r="14" spans="1:48" s="7" customFormat="1" ht="15" customHeight="1" x14ac:dyDescent="0.2">
      <c r="A14" s="5944">
        <v>30000001</v>
      </c>
      <c r="B14" s="1087" t="s">
        <v>3697</v>
      </c>
      <c r="C14" s="192" t="s">
        <v>4567</v>
      </c>
      <c r="D14" s="382" t="s">
        <v>4568</v>
      </c>
      <c r="E14" s="192" t="s">
        <v>4569</v>
      </c>
      <c r="F14" s="382" t="s">
        <v>4570</v>
      </c>
      <c r="G14" s="192" t="s">
        <v>4571</v>
      </c>
      <c r="H14" s="382" t="s">
        <v>4572</v>
      </c>
      <c r="I14" s="192" t="s">
        <v>4573</v>
      </c>
      <c r="J14" s="382" t="s">
        <v>4574</v>
      </c>
      <c r="K14" s="192" t="s">
        <v>4575</v>
      </c>
      <c r="L14" s="382" t="s">
        <v>4576</v>
      </c>
      <c r="M14" s="192" t="s">
        <v>4577</v>
      </c>
      <c r="N14" s="382" t="s">
        <v>4578</v>
      </c>
      <c r="O14" s="192" t="s">
        <v>4579</v>
      </c>
      <c r="P14" s="382" t="s">
        <v>4580</v>
      </c>
      <c r="Q14" s="192" t="s">
        <v>4581</v>
      </c>
      <c r="R14" s="382" t="s">
        <v>4582</v>
      </c>
      <c r="S14" s="485" t="s">
        <v>4583</v>
      </c>
      <c r="T14" s="577" t="s">
        <v>4584</v>
      </c>
      <c r="U14" s="485" t="s">
        <v>4585</v>
      </c>
      <c r="V14" s="577" t="s">
        <v>4586</v>
      </c>
      <c r="W14" s="197" t="s">
        <v>4587</v>
      </c>
      <c r="X14" s="577" t="s">
        <v>4588</v>
      </c>
      <c r="Y14" s="485" t="s">
        <v>4589</v>
      </c>
      <c r="Z14" s="5026" t="s">
        <v>4590</v>
      </c>
      <c r="AA14" s="376" t="s">
        <v>4591</v>
      </c>
      <c r="AB14" s="64" t="s">
        <v>4592</v>
      </c>
      <c r="AC14" s="382" t="s">
        <v>4593</v>
      </c>
      <c r="AD14" s="376" t="s">
        <v>4594</v>
      </c>
      <c r="AE14" s="382" t="s">
        <v>4595</v>
      </c>
      <c r="AF14" s="481" t="s">
        <v>4596</v>
      </c>
      <c r="AG14" s="382" t="s">
        <v>4597</v>
      </c>
      <c r="AH14" s="192" t="s">
        <v>4598</v>
      </c>
      <c r="AI14" s="382" t="s">
        <v>4599</v>
      </c>
      <c r="AJ14" s="481" t="s">
        <v>4600</v>
      </c>
      <c r="AK14" s="383" t="s">
        <v>4601</v>
      </c>
      <c r="AL14" s="4770" t="s">
        <v>4602</v>
      </c>
      <c r="AM14" s="64" t="s">
        <v>4603</v>
      </c>
      <c r="AN14" s="382" t="s">
        <v>4604</v>
      </c>
      <c r="AO14" s="5027" t="s">
        <v>4605</v>
      </c>
      <c r="AP14" s="5028" t="s">
        <v>4606</v>
      </c>
      <c r="AQ14" s="5029" t="s">
        <v>4934</v>
      </c>
      <c r="AR14" s="5028" t="s">
        <v>4935</v>
      </c>
      <c r="AS14" s="5030" t="s">
        <v>4936</v>
      </c>
      <c r="AT14" s="5028" t="s">
        <v>4937</v>
      </c>
      <c r="AU14" s="5030" t="s">
        <v>5234</v>
      </c>
      <c r="AV14" s="5028" t="s">
        <v>5235</v>
      </c>
    </row>
    <row r="15" spans="1:48" s="7" customFormat="1" ht="15" customHeight="1" x14ac:dyDescent="0.2">
      <c r="A15" s="5944">
        <v>30000002</v>
      </c>
      <c r="B15" s="1087" t="s">
        <v>1210</v>
      </c>
      <c r="C15" s="192" t="s">
        <v>4567</v>
      </c>
      <c r="D15" s="382" t="s">
        <v>4568</v>
      </c>
      <c r="E15" s="192" t="s">
        <v>4569</v>
      </c>
      <c r="F15" s="382" t="s">
        <v>4570</v>
      </c>
      <c r="G15" s="192" t="s">
        <v>4571</v>
      </c>
      <c r="H15" s="382" t="s">
        <v>4572</v>
      </c>
      <c r="I15" s="192" t="s">
        <v>4573</v>
      </c>
      <c r="J15" s="382" t="s">
        <v>4574</v>
      </c>
      <c r="K15" s="192" t="s">
        <v>4575</v>
      </c>
      <c r="L15" s="382" t="s">
        <v>4576</v>
      </c>
      <c r="M15" s="192" t="s">
        <v>4577</v>
      </c>
      <c r="N15" s="382" t="s">
        <v>4578</v>
      </c>
      <c r="O15" s="192" t="s">
        <v>4579</v>
      </c>
      <c r="P15" s="382" t="s">
        <v>4580</v>
      </c>
      <c r="Q15" s="192" t="s">
        <v>4581</v>
      </c>
      <c r="R15" s="382" t="s">
        <v>4582</v>
      </c>
      <c r="S15" s="485" t="s">
        <v>4583</v>
      </c>
      <c r="T15" s="577" t="s">
        <v>4584</v>
      </c>
      <c r="U15" s="485" t="s">
        <v>4585</v>
      </c>
      <c r="V15" s="577" t="s">
        <v>4586</v>
      </c>
      <c r="W15" s="197" t="s">
        <v>4587</v>
      </c>
      <c r="X15" s="577" t="s">
        <v>4588</v>
      </c>
      <c r="Y15" s="485" t="s">
        <v>4589</v>
      </c>
      <c r="Z15" s="5026" t="s">
        <v>4590</v>
      </c>
      <c r="AA15" s="376" t="s">
        <v>4591</v>
      </c>
      <c r="AB15" s="64" t="s">
        <v>4592</v>
      </c>
      <c r="AC15" s="382" t="s">
        <v>4593</v>
      </c>
      <c r="AD15" s="376" t="s">
        <v>4594</v>
      </c>
      <c r="AE15" s="382" t="s">
        <v>4595</v>
      </c>
      <c r="AF15" s="481" t="s">
        <v>4596</v>
      </c>
      <c r="AG15" s="382" t="s">
        <v>4597</v>
      </c>
      <c r="AH15" s="192" t="s">
        <v>4598</v>
      </c>
      <c r="AI15" s="382" t="s">
        <v>4599</v>
      </c>
      <c r="AJ15" s="481" t="s">
        <v>4600</v>
      </c>
      <c r="AK15" s="383" t="s">
        <v>4601</v>
      </c>
      <c r="AL15" s="4770" t="s">
        <v>4602</v>
      </c>
      <c r="AM15" s="64" t="s">
        <v>4603</v>
      </c>
      <c r="AN15" s="382" t="s">
        <v>4604</v>
      </c>
      <c r="AO15" s="5027" t="s">
        <v>4605</v>
      </c>
      <c r="AP15" s="5028" t="s">
        <v>4606</v>
      </c>
      <c r="AQ15" s="5029" t="s">
        <v>4934</v>
      </c>
      <c r="AR15" s="5028" t="s">
        <v>4935</v>
      </c>
      <c r="AS15" s="5030" t="s">
        <v>4936</v>
      </c>
      <c r="AT15" s="5028" t="s">
        <v>4937</v>
      </c>
      <c r="AU15" s="5030" t="s">
        <v>5234</v>
      </c>
      <c r="AV15" s="5028" t="s">
        <v>5235</v>
      </c>
    </row>
    <row r="16" spans="1:48" s="7" customFormat="1" ht="15" customHeight="1" x14ac:dyDescent="0.2">
      <c r="A16" s="5944">
        <v>30000003</v>
      </c>
      <c r="B16" s="1087" t="s">
        <v>3698</v>
      </c>
      <c r="C16" s="192" t="s">
        <v>4567</v>
      </c>
      <c r="D16" s="382" t="s">
        <v>4568</v>
      </c>
      <c r="E16" s="192" t="s">
        <v>4569</v>
      </c>
      <c r="F16" s="382" t="s">
        <v>4570</v>
      </c>
      <c r="G16" s="192" t="s">
        <v>4571</v>
      </c>
      <c r="H16" s="382" t="s">
        <v>4572</v>
      </c>
      <c r="I16" s="192" t="s">
        <v>4573</v>
      </c>
      <c r="J16" s="382" t="s">
        <v>4574</v>
      </c>
      <c r="K16" s="192" t="s">
        <v>4575</v>
      </c>
      <c r="L16" s="382" t="s">
        <v>4576</v>
      </c>
      <c r="M16" s="192" t="s">
        <v>4577</v>
      </c>
      <c r="N16" s="382" t="s">
        <v>4578</v>
      </c>
      <c r="O16" s="192" t="s">
        <v>4579</v>
      </c>
      <c r="P16" s="382" t="s">
        <v>4580</v>
      </c>
      <c r="Q16" s="192" t="s">
        <v>4581</v>
      </c>
      <c r="R16" s="382" t="s">
        <v>4582</v>
      </c>
      <c r="S16" s="485" t="s">
        <v>4583</v>
      </c>
      <c r="T16" s="577" t="s">
        <v>4584</v>
      </c>
      <c r="U16" s="485" t="s">
        <v>4585</v>
      </c>
      <c r="V16" s="577" t="s">
        <v>4586</v>
      </c>
      <c r="W16" s="197" t="s">
        <v>4587</v>
      </c>
      <c r="X16" s="577" t="s">
        <v>4588</v>
      </c>
      <c r="Y16" s="485" t="s">
        <v>4589</v>
      </c>
      <c r="Z16" s="5026" t="s">
        <v>4590</v>
      </c>
      <c r="AA16" s="376" t="s">
        <v>4591</v>
      </c>
      <c r="AB16" s="64" t="s">
        <v>4592</v>
      </c>
      <c r="AC16" s="382" t="s">
        <v>4593</v>
      </c>
      <c r="AD16" s="376" t="s">
        <v>4594</v>
      </c>
      <c r="AE16" s="382" t="s">
        <v>4595</v>
      </c>
      <c r="AF16" s="481" t="s">
        <v>4596</v>
      </c>
      <c r="AG16" s="382" t="s">
        <v>4597</v>
      </c>
      <c r="AH16" s="192" t="s">
        <v>4598</v>
      </c>
      <c r="AI16" s="382" t="s">
        <v>4599</v>
      </c>
      <c r="AJ16" s="481" t="s">
        <v>4600</v>
      </c>
      <c r="AK16" s="383" t="s">
        <v>4601</v>
      </c>
      <c r="AL16" s="4770" t="s">
        <v>4602</v>
      </c>
      <c r="AM16" s="64" t="s">
        <v>4603</v>
      </c>
      <c r="AN16" s="382" t="s">
        <v>4604</v>
      </c>
      <c r="AO16" s="5027" t="s">
        <v>4605</v>
      </c>
      <c r="AP16" s="5028" t="s">
        <v>4606</v>
      </c>
      <c r="AQ16" s="5029" t="s">
        <v>4934</v>
      </c>
      <c r="AR16" s="5028" t="s">
        <v>4935</v>
      </c>
      <c r="AS16" s="5030" t="s">
        <v>4936</v>
      </c>
      <c r="AT16" s="5028" t="s">
        <v>4937</v>
      </c>
      <c r="AU16" s="5030" t="s">
        <v>5234</v>
      </c>
      <c r="AV16" s="5028" t="s">
        <v>5235</v>
      </c>
    </row>
    <row r="17" spans="1:48" s="7" customFormat="1" ht="15" customHeight="1" x14ac:dyDescent="0.2">
      <c r="A17" s="5944">
        <v>30000004</v>
      </c>
      <c r="B17" s="1087" t="s">
        <v>3131</v>
      </c>
      <c r="C17" s="192" t="s">
        <v>4567</v>
      </c>
      <c r="D17" s="382" t="s">
        <v>4568</v>
      </c>
      <c r="E17" s="192" t="s">
        <v>4569</v>
      </c>
      <c r="F17" s="382" t="s">
        <v>4570</v>
      </c>
      <c r="G17" s="192" t="s">
        <v>4571</v>
      </c>
      <c r="H17" s="382" t="s">
        <v>4572</v>
      </c>
      <c r="I17" s="192" t="s">
        <v>4573</v>
      </c>
      <c r="J17" s="382" t="s">
        <v>4574</v>
      </c>
      <c r="K17" s="192" t="s">
        <v>4575</v>
      </c>
      <c r="L17" s="382" t="s">
        <v>4576</v>
      </c>
      <c r="M17" s="192" t="s">
        <v>4577</v>
      </c>
      <c r="N17" s="382" t="s">
        <v>4578</v>
      </c>
      <c r="O17" s="192" t="s">
        <v>4579</v>
      </c>
      <c r="P17" s="382" t="s">
        <v>4580</v>
      </c>
      <c r="Q17" s="192" t="s">
        <v>4581</v>
      </c>
      <c r="R17" s="382" t="s">
        <v>4582</v>
      </c>
      <c r="S17" s="485" t="s">
        <v>4583</v>
      </c>
      <c r="T17" s="577" t="s">
        <v>4584</v>
      </c>
      <c r="U17" s="485" t="s">
        <v>4585</v>
      </c>
      <c r="V17" s="577" t="s">
        <v>4586</v>
      </c>
      <c r="W17" s="197" t="s">
        <v>4587</v>
      </c>
      <c r="X17" s="577" t="s">
        <v>4588</v>
      </c>
      <c r="Y17" s="485" t="s">
        <v>4589</v>
      </c>
      <c r="Z17" s="5026" t="s">
        <v>4590</v>
      </c>
      <c r="AA17" s="376" t="s">
        <v>4591</v>
      </c>
      <c r="AB17" s="64" t="s">
        <v>4592</v>
      </c>
      <c r="AC17" s="382" t="s">
        <v>4593</v>
      </c>
      <c r="AD17" s="376" t="s">
        <v>4594</v>
      </c>
      <c r="AE17" s="382" t="s">
        <v>4595</v>
      </c>
      <c r="AF17" s="481" t="s">
        <v>4596</v>
      </c>
      <c r="AG17" s="382" t="s">
        <v>4597</v>
      </c>
      <c r="AH17" s="192" t="s">
        <v>4598</v>
      </c>
      <c r="AI17" s="382" t="s">
        <v>4599</v>
      </c>
      <c r="AJ17" s="481" t="s">
        <v>4600</v>
      </c>
      <c r="AK17" s="383" t="s">
        <v>4601</v>
      </c>
      <c r="AL17" s="4770" t="s">
        <v>4602</v>
      </c>
      <c r="AM17" s="64" t="s">
        <v>4603</v>
      </c>
      <c r="AN17" s="382" t="s">
        <v>4604</v>
      </c>
      <c r="AO17" s="5027" t="s">
        <v>4605</v>
      </c>
      <c r="AP17" s="5028" t="s">
        <v>4606</v>
      </c>
      <c r="AQ17" s="5029" t="s">
        <v>4934</v>
      </c>
      <c r="AR17" s="5028" t="s">
        <v>4935</v>
      </c>
      <c r="AS17" s="5030" t="s">
        <v>4936</v>
      </c>
      <c r="AT17" s="5028" t="s">
        <v>4937</v>
      </c>
      <c r="AU17" s="5030" t="s">
        <v>5234</v>
      </c>
      <c r="AV17" s="5028" t="s">
        <v>5235</v>
      </c>
    </row>
    <row r="18" spans="1:48" s="7" customFormat="1" ht="15" customHeight="1" x14ac:dyDescent="0.2">
      <c r="A18" s="5945">
        <v>30101110</v>
      </c>
      <c r="B18" s="1087" t="s">
        <v>1434</v>
      </c>
      <c r="C18" s="192" t="s">
        <v>4567</v>
      </c>
      <c r="D18" s="382" t="s">
        <v>4568</v>
      </c>
      <c r="E18" s="192" t="s">
        <v>4569</v>
      </c>
      <c r="F18" s="382" t="s">
        <v>4570</v>
      </c>
      <c r="G18" s="192" t="s">
        <v>4571</v>
      </c>
      <c r="H18" s="382" t="s">
        <v>4572</v>
      </c>
      <c r="I18" s="192" t="s">
        <v>4573</v>
      </c>
      <c r="J18" s="382" t="s">
        <v>4574</v>
      </c>
      <c r="K18" s="192" t="s">
        <v>4575</v>
      </c>
      <c r="L18" s="382" t="s">
        <v>4576</v>
      </c>
      <c r="M18" s="192" t="s">
        <v>4577</v>
      </c>
      <c r="N18" s="382" t="s">
        <v>4578</v>
      </c>
      <c r="O18" s="192" t="s">
        <v>4579</v>
      </c>
      <c r="P18" s="382" t="s">
        <v>4580</v>
      </c>
      <c r="Q18" s="192" t="s">
        <v>4581</v>
      </c>
      <c r="R18" s="382" t="s">
        <v>4582</v>
      </c>
      <c r="S18" s="485" t="s">
        <v>4583</v>
      </c>
      <c r="T18" s="577" t="s">
        <v>4584</v>
      </c>
      <c r="U18" s="485" t="s">
        <v>4585</v>
      </c>
      <c r="V18" s="577" t="s">
        <v>4586</v>
      </c>
      <c r="W18" s="197" t="s">
        <v>4587</v>
      </c>
      <c r="X18" s="577" t="s">
        <v>4588</v>
      </c>
      <c r="Y18" s="485" t="s">
        <v>4589</v>
      </c>
      <c r="Z18" s="5026" t="s">
        <v>4590</v>
      </c>
      <c r="AA18" s="376" t="s">
        <v>4591</v>
      </c>
      <c r="AB18" s="64" t="s">
        <v>4592</v>
      </c>
      <c r="AC18" s="382" t="s">
        <v>4593</v>
      </c>
      <c r="AD18" s="376" t="s">
        <v>4594</v>
      </c>
      <c r="AE18" s="382" t="s">
        <v>4595</v>
      </c>
      <c r="AF18" s="481" t="s">
        <v>4596</v>
      </c>
      <c r="AG18" s="382" t="s">
        <v>4597</v>
      </c>
      <c r="AH18" s="192" t="s">
        <v>4598</v>
      </c>
      <c r="AI18" s="382" t="s">
        <v>4599</v>
      </c>
      <c r="AJ18" s="481" t="s">
        <v>4600</v>
      </c>
      <c r="AK18" s="383" t="s">
        <v>4601</v>
      </c>
      <c r="AL18" s="4770" t="s">
        <v>4602</v>
      </c>
      <c r="AM18" s="64" t="s">
        <v>4603</v>
      </c>
      <c r="AN18" s="382" t="s">
        <v>4604</v>
      </c>
      <c r="AO18" s="5027" t="s">
        <v>4605</v>
      </c>
      <c r="AP18" s="5028" t="s">
        <v>4606</v>
      </c>
      <c r="AQ18" s="5029" t="s">
        <v>4934</v>
      </c>
      <c r="AR18" s="5028" t="s">
        <v>4935</v>
      </c>
      <c r="AS18" s="5030" t="s">
        <v>4936</v>
      </c>
      <c r="AT18" s="5028" t="s">
        <v>4937</v>
      </c>
      <c r="AU18" s="5030" t="s">
        <v>5234</v>
      </c>
      <c r="AV18" s="5028" t="s">
        <v>5235</v>
      </c>
    </row>
    <row r="19" spans="1:48" s="7" customFormat="1" ht="15" customHeight="1" x14ac:dyDescent="0.2">
      <c r="A19" s="5945">
        <v>30101111</v>
      </c>
      <c r="B19" s="1087" t="s">
        <v>4308</v>
      </c>
      <c r="C19" s="192" t="s">
        <v>4567</v>
      </c>
      <c r="D19" s="382" t="s">
        <v>4568</v>
      </c>
      <c r="E19" s="192" t="s">
        <v>4569</v>
      </c>
      <c r="F19" s="382" t="s">
        <v>4570</v>
      </c>
      <c r="G19" s="192" t="s">
        <v>4571</v>
      </c>
      <c r="H19" s="382" t="s">
        <v>4572</v>
      </c>
      <c r="I19" s="192" t="s">
        <v>4573</v>
      </c>
      <c r="J19" s="382" t="s">
        <v>4574</v>
      </c>
      <c r="K19" s="192" t="s">
        <v>4575</v>
      </c>
      <c r="L19" s="382" t="s">
        <v>4576</v>
      </c>
      <c r="M19" s="192" t="s">
        <v>4577</v>
      </c>
      <c r="N19" s="382" t="s">
        <v>4578</v>
      </c>
      <c r="O19" s="192" t="s">
        <v>4579</v>
      </c>
      <c r="P19" s="382" t="s">
        <v>4580</v>
      </c>
      <c r="Q19" s="192" t="s">
        <v>4581</v>
      </c>
      <c r="R19" s="382" t="s">
        <v>4582</v>
      </c>
      <c r="S19" s="485" t="s">
        <v>4583</v>
      </c>
      <c r="T19" s="577" t="s">
        <v>4584</v>
      </c>
      <c r="U19" s="485" t="s">
        <v>4585</v>
      </c>
      <c r="V19" s="577" t="s">
        <v>4586</v>
      </c>
      <c r="W19" s="197" t="s">
        <v>4587</v>
      </c>
      <c r="X19" s="577" t="s">
        <v>4588</v>
      </c>
      <c r="Y19" s="485" t="s">
        <v>4589</v>
      </c>
      <c r="Z19" s="5026" t="s">
        <v>4590</v>
      </c>
      <c r="AA19" s="376" t="s">
        <v>4591</v>
      </c>
      <c r="AB19" s="64" t="s">
        <v>4592</v>
      </c>
      <c r="AC19" s="382" t="s">
        <v>4593</v>
      </c>
      <c r="AD19" s="376" t="s">
        <v>4594</v>
      </c>
      <c r="AE19" s="382" t="s">
        <v>4595</v>
      </c>
      <c r="AF19" s="481" t="s">
        <v>4596</v>
      </c>
      <c r="AG19" s="382" t="s">
        <v>4597</v>
      </c>
      <c r="AH19" s="192" t="s">
        <v>4598</v>
      </c>
      <c r="AI19" s="382" t="s">
        <v>4599</v>
      </c>
      <c r="AJ19" s="481" t="s">
        <v>4600</v>
      </c>
      <c r="AK19" s="383" t="s">
        <v>4601</v>
      </c>
      <c r="AL19" s="4770" t="s">
        <v>4602</v>
      </c>
      <c r="AM19" s="64" t="s">
        <v>4603</v>
      </c>
      <c r="AN19" s="382" t="s">
        <v>4604</v>
      </c>
      <c r="AO19" s="5027" t="s">
        <v>4605</v>
      </c>
      <c r="AP19" s="5028" t="s">
        <v>4606</v>
      </c>
      <c r="AQ19" s="5029" t="s">
        <v>4934</v>
      </c>
      <c r="AR19" s="5028" t="s">
        <v>4935</v>
      </c>
      <c r="AS19" s="5030" t="s">
        <v>4936</v>
      </c>
      <c r="AT19" s="5028" t="s">
        <v>4937</v>
      </c>
      <c r="AU19" s="5030" t="s">
        <v>5234</v>
      </c>
      <c r="AV19" s="5028" t="s">
        <v>5235</v>
      </c>
    </row>
    <row r="20" spans="1:48" s="7" customFormat="1" ht="15" customHeight="1" x14ac:dyDescent="0.2">
      <c r="A20" s="5944">
        <v>30000007</v>
      </c>
      <c r="B20" s="1087" t="s">
        <v>3699</v>
      </c>
      <c r="C20" s="192" t="s">
        <v>4567</v>
      </c>
      <c r="D20" s="382" t="s">
        <v>4568</v>
      </c>
      <c r="E20" s="192" t="s">
        <v>4569</v>
      </c>
      <c r="F20" s="382" t="s">
        <v>4570</v>
      </c>
      <c r="G20" s="192" t="s">
        <v>4571</v>
      </c>
      <c r="H20" s="382" t="s">
        <v>4572</v>
      </c>
      <c r="I20" s="192" t="s">
        <v>4573</v>
      </c>
      <c r="J20" s="382" t="s">
        <v>4574</v>
      </c>
      <c r="K20" s="192" t="s">
        <v>4575</v>
      </c>
      <c r="L20" s="382" t="s">
        <v>4576</v>
      </c>
      <c r="M20" s="192" t="s">
        <v>4577</v>
      </c>
      <c r="N20" s="382" t="s">
        <v>4578</v>
      </c>
      <c r="O20" s="192" t="s">
        <v>4579</v>
      </c>
      <c r="P20" s="382" t="s">
        <v>4580</v>
      </c>
      <c r="Q20" s="192" t="s">
        <v>4581</v>
      </c>
      <c r="R20" s="382" t="s">
        <v>4582</v>
      </c>
      <c r="S20" s="485" t="s">
        <v>4583</v>
      </c>
      <c r="T20" s="577" t="s">
        <v>4584</v>
      </c>
      <c r="U20" s="485" t="s">
        <v>4585</v>
      </c>
      <c r="V20" s="577" t="s">
        <v>4586</v>
      </c>
      <c r="W20" s="197" t="s">
        <v>4587</v>
      </c>
      <c r="X20" s="577" t="s">
        <v>4588</v>
      </c>
      <c r="Y20" s="485" t="s">
        <v>4589</v>
      </c>
      <c r="Z20" s="5026" t="s">
        <v>4590</v>
      </c>
      <c r="AA20" s="376" t="s">
        <v>4591</v>
      </c>
      <c r="AB20" s="64" t="s">
        <v>4592</v>
      </c>
      <c r="AC20" s="382" t="s">
        <v>4593</v>
      </c>
      <c r="AD20" s="376" t="s">
        <v>4594</v>
      </c>
      <c r="AE20" s="382" t="s">
        <v>4595</v>
      </c>
      <c r="AF20" s="481" t="s">
        <v>4596</v>
      </c>
      <c r="AG20" s="382" t="s">
        <v>4597</v>
      </c>
      <c r="AH20" s="192" t="s">
        <v>4598</v>
      </c>
      <c r="AI20" s="382" t="s">
        <v>4599</v>
      </c>
      <c r="AJ20" s="481" t="s">
        <v>4600</v>
      </c>
      <c r="AK20" s="383" t="s">
        <v>4601</v>
      </c>
      <c r="AL20" s="4770" t="s">
        <v>4602</v>
      </c>
      <c r="AM20" s="64" t="s">
        <v>4603</v>
      </c>
      <c r="AN20" s="382" t="s">
        <v>4604</v>
      </c>
      <c r="AO20" s="5027" t="s">
        <v>4605</v>
      </c>
      <c r="AP20" s="5028" t="s">
        <v>4606</v>
      </c>
      <c r="AQ20" s="5029" t="s">
        <v>4934</v>
      </c>
      <c r="AR20" s="5028" t="s">
        <v>4935</v>
      </c>
      <c r="AS20" s="5030" t="s">
        <v>4936</v>
      </c>
      <c r="AT20" s="5028" t="s">
        <v>4937</v>
      </c>
      <c r="AU20" s="5030" t="s">
        <v>5234</v>
      </c>
      <c r="AV20" s="5028" t="s">
        <v>5235</v>
      </c>
    </row>
    <row r="21" spans="1:48" s="7" customFormat="1" ht="15" customHeight="1" x14ac:dyDescent="0.2">
      <c r="A21" s="5944">
        <v>30000008</v>
      </c>
      <c r="B21" s="1087" t="s">
        <v>3133</v>
      </c>
      <c r="C21" s="192" t="s">
        <v>4567</v>
      </c>
      <c r="D21" s="382" t="s">
        <v>4568</v>
      </c>
      <c r="E21" s="192" t="s">
        <v>4569</v>
      </c>
      <c r="F21" s="382" t="s">
        <v>4570</v>
      </c>
      <c r="G21" s="192" t="s">
        <v>4571</v>
      </c>
      <c r="H21" s="382" t="s">
        <v>4572</v>
      </c>
      <c r="I21" s="192" t="s">
        <v>4573</v>
      </c>
      <c r="J21" s="382" t="s">
        <v>4574</v>
      </c>
      <c r="K21" s="192" t="s">
        <v>4575</v>
      </c>
      <c r="L21" s="382" t="s">
        <v>4576</v>
      </c>
      <c r="M21" s="192" t="s">
        <v>4577</v>
      </c>
      <c r="N21" s="382" t="s">
        <v>4578</v>
      </c>
      <c r="O21" s="192" t="s">
        <v>4579</v>
      </c>
      <c r="P21" s="382" t="s">
        <v>4580</v>
      </c>
      <c r="Q21" s="192" t="s">
        <v>4581</v>
      </c>
      <c r="R21" s="382" t="s">
        <v>4582</v>
      </c>
      <c r="S21" s="485" t="s">
        <v>4583</v>
      </c>
      <c r="T21" s="577" t="s">
        <v>4584</v>
      </c>
      <c r="U21" s="485" t="s">
        <v>4585</v>
      </c>
      <c r="V21" s="577" t="s">
        <v>4586</v>
      </c>
      <c r="W21" s="197" t="s">
        <v>4587</v>
      </c>
      <c r="X21" s="577" t="s">
        <v>4588</v>
      </c>
      <c r="Y21" s="485" t="s">
        <v>4589</v>
      </c>
      <c r="Z21" s="5026" t="s">
        <v>4590</v>
      </c>
      <c r="AA21" s="376" t="s">
        <v>4591</v>
      </c>
      <c r="AB21" s="64" t="s">
        <v>4592</v>
      </c>
      <c r="AC21" s="382" t="s">
        <v>4593</v>
      </c>
      <c r="AD21" s="376" t="s">
        <v>4594</v>
      </c>
      <c r="AE21" s="382" t="s">
        <v>4595</v>
      </c>
      <c r="AF21" s="481" t="s">
        <v>4596</v>
      </c>
      <c r="AG21" s="382" t="s">
        <v>4597</v>
      </c>
      <c r="AH21" s="192" t="s">
        <v>4598</v>
      </c>
      <c r="AI21" s="382" t="s">
        <v>4599</v>
      </c>
      <c r="AJ21" s="481" t="s">
        <v>4600</v>
      </c>
      <c r="AK21" s="383" t="s">
        <v>4601</v>
      </c>
      <c r="AL21" s="4770" t="s">
        <v>4602</v>
      </c>
      <c r="AM21" s="64" t="s">
        <v>4603</v>
      </c>
      <c r="AN21" s="382" t="s">
        <v>4604</v>
      </c>
      <c r="AO21" s="5027" t="s">
        <v>4605</v>
      </c>
      <c r="AP21" s="5028" t="s">
        <v>4606</v>
      </c>
      <c r="AQ21" s="5029" t="s">
        <v>4934</v>
      </c>
      <c r="AR21" s="5028" t="s">
        <v>4935</v>
      </c>
      <c r="AS21" s="5030" t="s">
        <v>4936</v>
      </c>
      <c r="AT21" s="5028" t="s">
        <v>4937</v>
      </c>
      <c r="AU21" s="5030" t="s">
        <v>5234</v>
      </c>
      <c r="AV21" s="5028" t="s">
        <v>5235</v>
      </c>
    </row>
    <row r="22" spans="1:48" s="7" customFormat="1" ht="15" customHeight="1" x14ac:dyDescent="0.2">
      <c r="A22" s="5944">
        <v>30000009</v>
      </c>
      <c r="B22" s="1087" t="s">
        <v>3700</v>
      </c>
      <c r="C22" s="192" t="s">
        <v>4567</v>
      </c>
      <c r="D22" s="382" t="s">
        <v>4568</v>
      </c>
      <c r="E22" s="192" t="s">
        <v>4569</v>
      </c>
      <c r="F22" s="382" t="s">
        <v>4570</v>
      </c>
      <c r="G22" s="192" t="s">
        <v>4571</v>
      </c>
      <c r="H22" s="382" t="s">
        <v>4572</v>
      </c>
      <c r="I22" s="192" t="s">
        <v>4573</v>
      </c>
      <c r="J22" s="382" t="s">
        <v>4574</v>
      </c>
      <c r="K22" s="192" t="s">
        <v>4575</v>
      </c>
      <c r="L22" s="382" t="s">
        <v>4576</v>
      </c>
      <c r="M22" s="192" t="s">
        <v>4577</v>
      </c>
      <c r="N22" s="382" t="s">
        <v>4578</v>
      </c>
      <c r="O22" s="192" t="s">
        <v>4579</v>
      </c>
      <c r="P22" s="382" t="s">
        <v>4580</v>
      </c>
      <c r="Q22" s="192" t="s">
        <v>4581</v>
      </c>
      <c r="R22" s="382" t="s">
        <v>4582</v>
      </c>
      <c r="S22" s="485" t="s">
        <v>4583</v>
      </c>
      <c r="T22" s="577" t="s">
        <v>4584</v>
      </c>
      <c r="U22" s="485" t="s">
        <v>4585</v>
      </c>
      <c r="V22" s="577" t="s">
        <v>4586</v>
      </c>
      <c r="W22" s="197" t="s">
        <v>4587</v>
      </c>
      <c r="X22" s="577" t="s">
        <v>4588</v>
      </c>
      <c r="Y22" s="485" t="s">
        <v>4589</v>
      </c>
      <c r="Z22" s="5026" t="s">
        <v>4590</v>
      </c>
      <c r="AA22" s="376" t="s">
        <v>4591</v>
      </c>
      <c r="AB22" s="64" t="s">
        <v>4592</v>
      </c>
      <c r="AC22" s="382" t="s">
        <v>4593</v>
      </c>
      <c r="AD22" s="376" t="s">
        <v>4594</v>
      </c>
      <c r="AE22" s="382" t="s">
        <v>4595</v>
      </c>
      <c r="AF22" s="481" t="s">
        <v>4596</v>
      </c>
      <c r="AG22" s="382" t="s">
        <v>4597</v>
      </c>
      <c r="AH22" s="192" t="s">
        <v>4598</v>
      </c>
      <c r="AI22" s="382" t="s">
        <v>4599</v>
      </c>
      <c r="AJ22" s="481" t="s">
        <v>4600</v>
      </c>
      <c r="AK22" s="383" t="s">
        <v>4601</v>
      </c>
      <c r="AL22" s="4770" t="s">
        <v>4602</v>
      </c>
      <c r="AM22" s="64" t="s">
        <v>4603</v>
      </c>
      <c r="AN22" s="382" t="s">
        <v>4604</v>
      </c>
      <c r="AO22" s="5027" t="s">
        <v>4605</v>
      </c>
      <c r="AP22" s="5028" t="s">
        <v>4606</v>
      </c>
      <c r="AQ22" s="5029" t="s">
        <v>4934</v>
      </c>
      <c r="AR22" s="5028" t="s">
        <v>4935</v>
      </c>
      <c r="AS22" s="5030" t="s">
        <v>4936</v>
      </c>
      <c r="AT22" s="5028" t="s">
        <v>4937</v>
      </c>
      <c r="AU22" s="5030" t="s">
        <v>5234</v>
      </c>
      <c r="AV22" s="5028" t="s">
        <v>5235</v>
      </c>
    </row>
    <row r="23" spans="1:48" s="7" customFormat="1" ht="15" customHeight="1" x14ac:dyDescent="0.2">
      <c r="A23" s="5944">
        <v>30000010</v>
      </c>
      <c r="B23" s="1087" t="s">
        <v>3701</v>
      </c>
      <c r="C23" s="192" t="s">
        <v>4567</v>
      </c>
      <c r="D23" s="382" t="s">
        <v>4568</v>
      </c>
      <c r="E23" s="192" t="s">
        <v>4569</v>
      </c>
      <c r="F23" s="382" t="s">
        <v>4570</v>
      </c>
      <c r="G23" s="192" t="s">
        <v>4571</v>
      </c>
      <c r="H23" s="382" t="s">
        <v>4572</v>
      </c>
      <c r="I23" s="192" t="s">
        <v>4573</v>
      </c>
      <c r="J23" s="382" t="s">
        <v>4574</v>
      </c>
      <c r="K23" s="192" t="s">
        <v>4575</v>
      </c>
      <c r="L23" s="382" t="s">
        <v>4576</v>
      </c>
      <c r="M23" s="192" t="s">
        <v>4577</v>
      </c>
      <c r="N23" s="382" t="s">
        <v>4578</v>
      </c>
      <c r="O23" s="192" t="s">
        <v>4579</v>
      </c>
      <c r="P23" s="382" t="s">
        <v>4580</v>
      </c>
      <c r="Q23" s="192" t="s">
        <v>4581</v>
      </c>
      <c r="R23" s="382" t="s">
        <v>4582</v>
      </c>
      <c r="S23" s="485" t="s">
        <v>4583</v>
      </c>
      <c r="T23" s="577" t="s">
        <v>4584</v>
      </c>
      <c r="U23" s="485" t="s">
        <v>4585</v>
      </c>
      <c r="V23" s="577" t="s">
        <v>4586</v>
      </c>
      <c r="W23" s="197" t="s">
        <v>4587</v>
      </c>
      <c r="X23" s="577" t="s">
        <v>4588</v>
      </c>
      <c r="Y23" s="485" t="s">
        <v>4589</v>
      </c>
      <c r="Z23" s="5026" t="s">
        <v>4590</v>
      </c>
      <c r="AA23" s="376" t="s">
        <v>4591</v>
      </c>
      <c r="AB23" s="64" t="s">
        <v>4592</v>
      </c>
      <c r="AC23" s="382" t="s">
        <v>4593</v>
      </c>
      <c r="AD23" s="376" t="s">
        <v>4594</v>
      </c>
      <c r="AE23" s="382" t="s">
        <v>4595</v>
      </c>
      <c r="AF23" s="481" t="s">
        <v>4596</v>
      </c>
      <c r="AG23" s="382" t="s">
        <v>4597</v>
      </c>
      <c r="AH23" s="192" t="s">
        <v>4598</v>
      </c>
      <c r="AI23" s="382" t="s">
        <v>4599</v>
      </c>
      <c r="AJ23" s="481" t="s">
        <v>4600</v>
      </c>
      <c r="AK23" s="383" t="s">
        <v>4601</v>
      </c>
      <c r="AL23" s="4770" t="s">
        <v>4602</v>
      </c>
      <c r="AM23" s="64" t="s">
        <v>4603</v>
      </c>
      <c r="AN23" s="382" t="s">
        <v>4604</v>
      </c>
      <c r="AO23" s="5027" t="s">
        <v>4605</v>
      </c>
      <c r="AP23" s="5028" t="s">
        <v>4606</v>
      </c>
      <c r="AQ23" s="5029" t="s">
        <v>4934</v>
      </c>
      <c r="AR23" s="5028" t="s">
        <v>4935</v>
      </c>
      <c r="AS23" s="5030" t="s">
        <v>4936</v>
      </c>
      <c r="AT23" s="5028" t="s">
        <v>4937</v>
      </c>
      <c r="AU23" s="5030" t="s">
        <v>5234</v>
      </c>
      <c r="AV23" s="5028" t="s">
        <v>5235</v>
      </c>
    </row>
    <row r="24" spans="1:48" s="7" customFormat="1" ht="15" customHeight="1" x14ac:dyDescent="0.2">
      <c r="A24" s="5944">
        <v>30000011</v>
      </c>
      <c r="B24" s="1087" t="s">
        <v>3702</v>
      </c>
      <c r="C24" s="192" t="s">
        <v>4567</v>
      </c>
      <c r="D24" s="382" t="s">
        <v>4568</v>
      </c>
      <c r="E24" s="192" t="s">
        <v>4569</v>
      </c>
      <c r="F24" s="382" t="s">
        <v>4570</v>
      </c>
      <c r="G24" s="192" t="s">
        <v>4571</v>
      </c>
      <c r="H24" s="382" t="s">
        <v>4572</v>
      </c>
      <c r="I24" s="192" t="s">
        <v>4573</v>
      </c>
      <c r="J24" s="382" t="s">
        <v>4574</v>
      </c>
      <c r="K24" s="192" t="s">
        <v>4575</v>
      </c>
      <c r="L24" s="382" t="s">
        <v>4576</v>
      </c>
      <c r="M24" s="192" t="s">
        <v>4577</v>
      </c>
      <c r="N24" s="382" t="s">
        <v>4578</v>
      </c>
      <c r="O24" s="192" t="s">
        <v>4579</v>
      </c>
      <c r="P24" s="382" t="s">
        <v>4580</v>
      </c>
      <c r="Q24" s="192" t="s">
        <v>4581</v>
      </c>
      <c r="R24" s="382" t="s">
        <v>4582</v>
      </c>
      <c r="S24" s="485" t="s">
        <v>4583</v>
      </c>
      <c r="T24" s="577" t="s">
        <v>4584</v>
      </c>
      <c r="U24" s="485" t="s">
        <v>4585</v>
      </c>
      <c r="V24" s="577" t="s">
        <v>4586</v>
      </c>
      <c r="W24" s="197" t="s">
        <v>4587</v>
      </c>
      <c r="X24" s="577" t="s">
        <v>4588</v>
      </c>
      <c r="Y24" s="485" t="s">
        <v>4589</v>
      </c>
      <c r="Z24" s="5026" t="s">
        <v>4590</v>
      </c>
      <c r="AA24" s="376" t="s">
        <v>4591</v>
      </c>
      <c r="AB24" s="64" t="s">
        <v>4592</v>
      </c>
      <c r="AC24" s="382" t="s">
        <v>4593</v>
      </c>
      <c r="AD24" s="376" t="s">
        <v>4594</v>
      </c>
      <c r="AE24" s="382" t="s">
        <v>4595</v>
      </c>
      <c r="AF24" s="481" t="s">
        <v>4596</v>
      </c>
      <c r="AG24" s="382" t="s">
        <v>4597</v>
      </c>
      <c r="AH24" s="192" t="s">
        <v>4598</v>
      </c>
      <c r="AI24" s="382" t="s">
        <v>4599</v>
      </c>
      <c r="AJ24" s="481" t="s">
        <v>4600</v>
      </c>
      <c r="AK24" s="383" t="s">
        <v>4601</v>
      </c>
      <c r="AL24" s="4770" t="s">
        <v>4602</v>
      </c>
      <c r="AM24" s="64" t="s">
        <v>4603</v>
      </c>
      <c r="AN24" s="382" t="s">
        <v>4604</v>
      </c>
      <c r="AO24" s="5027" t="s">
        <v>4605</v>
      </c>
      <c r="AP24" s="5028" t="s">
        <v>4606</v>
      </c>
      <c r="AQ24" s="5029" t="s">
        <v>4934</v>
      </c>
      <c r="AR24" s="5028" t="s">
        <v>4935</v>
      </c>
      <c r="AS24" s="5030" t="s">
        <v>4936</v>
      </c>
      <c r="AT24" s="5028" t="s">
        <v>4937</v>
      </c>
      <c r="AU24" s="5030" t="s">
        <v>5234</v>
      </c>
      <c r="AV24" s="5028" t="s">
        <v>5235</v>
      </c>
    </row>
    <row r="25" spans="1:48" s="7" customFormat="1" ht="15" customHeight="1" x14ac:dyDescent="0.2">
      <c r="A25" s="5945">
        <v>30101112</v>
      </c>
      <c r="B25" s="1087" t="s">
        <v>4409</v>
      </c>
      <c r="C25" s="192" t="s">
        <v>4567</v>
      </c>
      <c r="D25" s="382" t="s">
        <v>4568</v>
      </c>
      <c r="E25" s="192" t="s">
        <v>4569</v>
      </c>
      <c r="F25" s="382" t="s">
        <v>4570</v>
      </c>
      <c r="G25" s="192" t="s">
        <v>4571</v>
      </c>
      <c r="H25" s="382" t="s">
        <v>4572</v>
      </c>
      <c r="I25" s="192" t="s">
        <v>4573</v>
      </c>
      <c r="J25" s="382" t="s">
        <v>4574</v>
      </c>
      <c r="K25" s="192" t="s">
        <v>4575</v>
      </c>
      <c r="L25" s="382" t="s">
        <v>4576</v>
      </c>
      <c r="M25" s="192" t="s">
        <v>4577</v>
      </c>
      <c r="N25" s="382" t="s">
        <v>4578</v>
      </c>
      <c r="O25" s="192" t="s">
        <v>4579</v>
      </c>
      <c r="P25" s="382" t="s">
        <v>4580</v>
      </c>
      <c r="Q25" s="192" t="s">
        <v>4581</v>
      </c>
      <c r="R25" s="382" t="s">
        <v>4582</v>
      </c>
      <c r="S25" s="485" t="s">
        <v>4583</v>
      </c>
      <c r="T25" s="577" t="s">
        <v>4584</v>
      </c>
      <c r="U25" s="485" t="s">
        <v>4585</v>
      </c>
      <c r="V25" s="577" t="s">
        <v>4586</v>
      </c>
      <c r="W25" s="197" t="s">
        <v>4587</v>
      </c>
      <c r="X25" s="577" t="s">
        <v>4588</v>
      </c>
      <c r="Y25" s="485" t="s">
        <v>4589</v>
      </c>
      <c r="Z25" s="5026" t="s">
        <v>4590</v>
      </c>
      <c r="AA25" s="376" t="s">
        <v>4591</v>
      </c>
      <c r="AB25" s="64" t="s">
        <v>4592</v>
      </c>
      <c r="AC25" s="382" t="s">
        <v>4593</v>
      </c>
      <c r="AD25" s="376" t="s">
        <v>4594</v>
      </c>
      <c r="AE25" s="382" t="s">
        <v>4595</v>
      </c>
      <c r="AF25" s="481" t="s">
        <v>4596</v>
      </c>
      <c r="AG25" s="382" t="s">
        <v>4597</v>
      </c>
      <c r="AH25" s="192" t="s">
        <v>4598</v>
      </c>
      <c r="AI25" s="382" t="s">
        <v>4599</v>
      </c>
      <c r="AJ25" s="481" t="s">
        <v>4600</v>
      </c>
      <c r="AK25" s="383" t="s">
        <v>4601</v>
      </c>
      <c r="AL25" s="4770" t="s">
        <v>4602</v>
      </c>
      <c r="AM25" s="64" t="s">
        <v>4603</v>
      </c>
      <c r="AN25" s="382" t="s">
        <v>4604</v>
      </c>
      <c r="AO25" s="5027" t="s">
        <v>4605</v>
      </c>
      <c r="AP25" s="5028" t="s">
        <v>4606</v>
      </c>
      <c r="AQ25" s="5029" t="s">
        <v>4934</v>
      </c>
      <c r="AR25" s="5028" t="s">
        <v>4935</v>
      </c>
      <c r="AS25" s="5030" t="s">
        <v>4936</v>
      </c>
      <c r="AT25" s="5028" t="s">
        <v>4937</v>
      </c>
      <c r="AU25" s="5030" t="s">
        <v>5234</v>
      </c>
      <c r="AV25" s="5028" t="s">
        <v>5235</v>
      </c>
    </row>
    <row r="26" spans="1:48" s="7" customFormat="1" ht="15" customHeight="1" x14ac:dyDescent="0.2">
      <c r="A26" s="5945">
        <v>30101113</v>
      </c>
      <c r="B26" s="3067" t="s">
        <v>4314</v>
      </c>
      <c r="C26" s="192" t="s">
        <v>4567</v>
      </c>
      <c r="D26" s="382" t="s">
        <v>4568</v>
      </c>
      <c r="E26" s="192" t="s">
        <v>4569</v>
      </c>
      <c r="F26" s="382" t="s">
        <v>4570</v>
      </c>
      <c r="G26" s="192" t="s">
        <v>4571</v>
      </c>
      <c r="H26" s="382" t="s">
        <v>4572</v>
      </c>
      <c r="I26" s="192" t="s">
        <v>4573</v>
      </c>
      <c r="J26" s="382" t="s">
        <v>4574</v>
      </c>
      <c r="K26" s="192" t="s">
        <v>4575</v>
      </c>
      <c r="L26" s="382" t="s">
        <v>4576</v>
      </c>
      <c r="M26" s="192" t="s">
        <v>4577</v>
      </c>
      <c r="N26" s="382" t="s">
        <v>4578</v>
      </c>
      <c r="O26" s="192" t="s">
        <v>4579</v>
      </c>
      <c r="P26" s="382" t="s">
        <v>4580</v>
      </c>
      <c r="Q26" s="192" t="s">
        <v>4581</v>
      </c>
      <c r="R26" s="382" t="s">
        <v>4582</v>
      </c>
      <c r="S26" s="485" t="s">
        <v>4583</v>
      </c>
      <c r="T26" s="577" t="s">
        <v>4584</v>
      </c>
      <c r="U26" s="485" t="s">
        <v>4585</v>
      </c>
      <c r="V26" s="577" t="s">
        <v>4586</v>
      </c>
      <c r="W26" s="197" t="s">
        <v>4587</v>
      </c>
      <c r="X26" s="577" t="s">
        <v>4588</v>
      </c>
      <c r="Y26" s="485" t="s">
        <v>4589</v>
      </c>
      <c r="Z26" s="5026" t="s">
        <v>4590</v>
      </c>
      <c r="AA26" s="376" t="s">
        <v>4591</v>
      </c>
      <c r="AB26" s="64" t="s">
        <v>4592</v>
      </c>
      <c r="AC26" s="382" t="s">
        <v>4593</v>
      </c>
      <c r="AD26" s="376" t="s">
        <v>4594</v>
      </c>
      <c r="AE26" s="382" t="s">
        <v>4595</v>
      </c>
      <c r="AF26" s="481" t="s">
        <v>4596</v>
      </c>
      <c r="AG26" s="382" t="s">
        <v>4597</v>
      </c>
      <c r="AH26" s="192" t="s">
        <v>4598</v>
      </c>
      <c r="AI26" s="382" t="s">
        <v>4599</v>
      </c>
      <c r="AJ26" s="481" t="s">
        <v>4600</v>
      </c>
      <c r="AK26" s="383" t="s">
        <v>4601</v>
      </c>
      <c r="AL26" s="4770" t="s">
        <v>4602</v>
      </c>
      <c r="AM26" s="64" t="s">
        <v>4603</v>
      </c>
      <c r="AN26" s="382" t="s">
        <v>4604</v>
      </c>
      <c r="AO26" s="5027" t="s">
        <v>4605</v>
      </c>
      <c r="AP26" s="5028" t="s">
        <v>4606</v>
      </c>
      <c r="AQ26" s="5029" t="s">
        <v>4934</v>
      </c>
      <c r="AR26" s="5028" t="s">
        <v>4935</v>
      </c>
      <c r="AS26" s="5030" t="s">
        <v>4936</v>
      </c>
      <c r="AT26" s="5028" t="s">
        <v>4937</v>
      </c>
      <c r="AU26" s="5030" t="s">
        <v>5234</v>
      </c>
      <c r="AV26" s="5028" t="s">
        <v>5235</v>
      </c>
    </row>
    <row r="27" spans="1:48" s="7" customFormat="1" ht="15" customHeight="1" x14ac:dyDescent="0.2">
      <c r="A27" s="5944">
        <v>30000014</v>
      </c>
      <c r="B27" s="1087" t="s">
        <v>3703</v>
      </c>
      <c r="C27" s="192" t="s">
        <v>4567</v>
      </c>
      <c r="D27" s="382" t="s">
        <v>4568</v>
      </c>
      <c r="E27" s="192" t="s">
        <v>4569</v>
      </c>
      <c r="F27" s="382" t="s">
        <v>4570</v>
      </c>
      <c r="G27" s="192" t="s">
        <v>4571</v>
      </c>
      <c r="H27" s="382" t="s">
        <v>4572</v>
      </c>
      <c r="I27" s="192" t="s">
        <v>4573</v>
      </c>
      <c r="J27" s="382" t="s">
        <v>4574</v>
      </c>
      <c r="K27" s="192" t="s">
        <v>4575</v>
      </c>
      <c r="L27" s="382" t="s">
        <v>4576</v>
      </c>
      <c r="M27" s="192" t="s">
        <v>4577</v>
      </c>
      <c r="N27" s="382" t="s">
        <v>4578</v>
      </c>
      <c r="O27" s="192" t="s">
        <v>4579</v>
      </c>
      <c r="P27" s="382" t="s">
        <v>4580</v>
      </c>
      <c r="Q27" s="192" t="s">
        <v>4581</v>
      </c>
      <c r="R27" s="382" t="s">
        <v>4582</v>
      </c>
      <c r="S27" s="485" t="s">
        <v>4583</v>
      </c>
      <c r="T27" s="577" t="s">
        <v>4584</v>
      </c>
      <c r="U27" s="485" t="s">
        <v>4585</v>
      </c>
      <c r="V27" s="577" t="s">
        <v>4586</v>
      </c>
      <c r="W27" s="197" t="s">
        <v>4587</v>
      </c>
      <c r="X27" s="577" t="s">
        <v>4588</v>
      </c>
      <c r="Y27" s="485" t="s">
        <v>4589</v>
      </c>
      <c r="Z27" s="5026" t="s">
        <v>4590</v>
      </c>
      <c r="AA27" s="376" t="s">
        <v>4591</v>
      </c>
      <c r="AB27" s="64" t="s">
        <v>4592</v>
      </c>
      <c r="AC27" s="382" t="s">
        <v>4593</v>
      </c>
      <c r="AD27" s="376" t="s">
        <v>4594</v>
      </c>
      <c r="AE27" s="382" t="s">
        <v>4595</v>
      </c>
      <c r="AF27" s="481" t="s">
        <v>4596</v>
      </c>
      <c r="AG27" s="382" t="s">
        <v>4597</v>
      </c>
      <c r="AH27" s="192" t="s">
        <v>4598</v>
      </c>
      <c r="AI27" s="382" t="s">
        <v>4599</v>
      </c>
      <c r="AJ27" s="481" t="s">
        <v>4600</v>
      </c>
      <c r="AK27" s="383" t="s">
        <v>4601</v>
      </c>
      <c r="AL27" s="4770" t="s">
        <v>4602</v>
      </c>
      <c r="AM27" s="64" t="s">
        <v>4603</v>
      </c>
      <c r="AN27" s="382" t="s">
        <v>4604</v>
      </c>
      <c r="AO27" s="5027" t="s">
        <v>4605</v>
      </c>
      <c r="AP27" s="5028" t="s">
        <v>4606</v>
      </c>
      <c r="AQ27" s="5029" t="s">
        <v>4934</v>
      </c>
      <c r="AR27" s="5028" t="s">
        <v>4935</v>
      </c>
      <c r="AS27" s="5030" t="s">
        <v>4936</v>
      </c>
      <c r="AT27" s="5028" t="s">
        <v>4937</v>
      </c>
      <c r="AU27" s="5030" t="s">
        <v>5234</v>
      </c>
      <c r="AV27" s="5028" t="s">
        <v>5235</v>
      </c>
    </row>
    <row r="28" spans="1:48" s="7" customFormat="1" ht="15" customHeight="1" x14ac:dyDescent="0.2">
      <c r="A28" s="5944">
        <v>30000015</v>
      </c>
      <c r="B28" s="1087" t="s">
        <v>3704</v>
      </c>
      <c r="C28" s="192" t="s">
        <v>4567</v>
      </c>
      <c r="D28" s="382" t="s">
        <v>4568</v>
      </c>
      <c r="E28" s="192" t="s">
        <v>4569</v>
      </c>
      <c r="F28" s="382" t="s">
        <v>4570</v>
      </c>
      <c r="G28" s="192" t="s">
        <v>4571</v>
      </c>
      <c r="H28" s="382" t="s">
        <v>4572</v>
      </c>
      <c r="I28" s="192" t="s">
        <v>4573</v>
      </c>
      <c r="J28" s="382" t="s">
        <v>4574</v>
      </c>
      <c r="K28" s="192" t="s">
        <v>4575</v>
      </c>
      <c r="L28" s="382" t="s">
        <v>4576</v>
      </c>
      <c r="M28" s="192" t="s">
        <v>4577</v>
      </c>
      <c r="N28" s="382" t="s">
        <v>4578</v>
      </c>
      <c r="O28" s="192" t="s">
        <v>4579</v>
      </c>
      <c r="P28" s="382" t="s">
        <v>4580</v>
      </c>
      <c r="Q28" s="192" t="s">
        <v>4581</v>
      </c>
      <c r="R28" s="382" t="s">
        <v>4582</v>
      </c>
      <c r="S28" s="485" t="s">
        <v>4583</v>
      </c>
      <c r="T28" s="577" t="s">
        <v>4584</v>
      </c>
      <c r="U28" s="485" t="s">
        <v>4585</v>
      </c>
      <c r="V28" s="577" t="s">
        <v>4586</v>
      </c>
      <c r="W28" s="197" t="s">
        <v>4587</v>
      </c>
      <c r="X28" s="577" t="s">
        <v>4588</v>
      </c>
      <c r="Y28" s="485" t="s">
        <v>4589</v>
      </c>
      <c r="Z28" s="5026" t="s">
        <v>4590</v>
      </c>
      <c r="AA28" s="376" t="s">
        <v>4591</v>
      </c>
      <c r="AB28" s="64" t="s">
        <v>4592</v>
      </c>
      <c r="AC28" s="382" t="s">
        <v>4593</v>
      </c>
      <c r="AD28" s="376" t="s">
        <v>4594</v>
      </c>
      <c r="AE28" s="382" t="s">
        <v>4595</v>
      </c>
      <c r="AF28" s="481" t="s">
        <v>4596</v>
      </c>
      <c r="AG28" s="382" t="s">
        <v>4597</v>
      </c>
      <c r="AH28" s="192" t="s">
        <v>4598</v>
      </c>
      <c r="AI28" s="382" t="s">
        <v>4599</v>
      </c>
      <c r="AJ28" s="481" t="s">
        <v>4600</v>
      </c>
      <c r="AK28" s="383" t="s">
        <v>4601</v>
      </c>
      <c r="AL28" s="4770" t="s">
        <v>4602</v>
      </c>
      <c r="AM28" s="64" t="s">
        <v>4603</v>
      </c>
      <c r="AN28" s="382" t="s">
        <v>4604</v>
      </c>
      <c r="AO28" s="5027" t="s">
        <v>4605</v>
      </c>
      <c r="AP28" s="5028" t="s">
        <v>4606</v>
      </c>
      <c r="AQ28" s="5029" t="s">
        <v>4934</v>
      </c>
      <c r="AR28" s="5028" t="s">
        <v>4935</v>
      </c>
      <c r="AS28" s="5030" t="s">
        <v>4936</v>
      </c>
      <c r="AT28" s="5028" t="s">
        <v>4937</v>
      </c>
      <c r="AU28" s="5030" t="s">
        <v>5234</v>
      </c>
      <c r="AV28" s="5028" t="s">
        <v>5235</v>
      </c>
    </row>
    <row r="29" spans="1:48" s="7" customFormat="1" ht="15" customHeight="1" x14ac:dyDescent="0.2">
      <c r="A29" s="5945">
        <v>30101114</v>
      </c>
      <c r="B29" s="1087" t="s">
        <v>4307</v>
      </c>
      <c r="C29" s="192" t="s">
        <v>4567</v>
      </c>
      <c r="D29" s="382" t="s">
        <v>4568</v>
      </c>
      <c r="E29" s="192" t="s">
        <v>4569</v>
      </c>
      <c r="F29" s="382" t="s">
        <v>4570</v>
      </c>
      <c r="G29" s="192" t="s">
        <v>4571</v>
      </c>
      <c r="H29" s="382" t="s">
        <v>4572</v>
      </c>
      <c r="I29" s="192" t="s">
        <v>4573</v>
      </c>
      <c r="J29" s="382" t="s">
        <v>4574</v>
      </c>
      <c r="K29" s="192" t="s">
        <v>4575</v>
      </c>
      <c r="L29" s="382" t="s">
        <v>4576</v>
      </c>
      <c r="M29" s="192" t="s">
        <v>4577</v>
      </c>
      <c r="N29" s="382" t="s">
        <v>4578</v>
      </c>
      <c r="O29" s="192" t="s">
        <v>4579</v>
      </c>
      <c r="P29" s="382" t="s">
        <v>4580</v>
      </c>
      <c r="Q29" s="192" t="s">
        <v>4581</v>
      </c>
      <c r="R29" s="382" t="s">
        <v>4582</v>
      </c>
      <c r="S29" s="485" t="s">
        <v>4583</v>
      </c>
      <c r="T29" s="577" t="s">
        <v>4584</v>
      </c>
      <c r="U29" s="485" t="s">
        <v>4585</v>
      </c>
      <c r="V29" s="577" t="s">
        <v>4586</v>
      </c>
      <c r="W29" s="197" t="s">
        <v>4587</v>
      </c>
      <c r="X29" s="577" t="s">
        <v>4588</v>
      </c>
      <c r="Y29" s="485" t="s">
        <v>4589</v>
      </c>
      <c r="Z29" s="5026" t="s">
        <v>4590</v>
      </c>
      <c r="AA29" s="376" t="s">
        <v>4591</v>
      </c>
      <c r="AB29" s="64" t="s">
        <v>4592</v>
      </c>
      <c r="AC29" s="382" t="s">
        <v>4593</v>
      </c>
      <c r="AD29" s="376" t="s">
        <v>4594</v>
      </c>
      <c r="AE29" s="382" t="s">
        <v>4595</v>
      </c>
      <c r="AF29" s="481" t="s">
        <v>4596</v>
      </c>
      <c r="AG29" s="382" t="s">
        <v>4597</v>
      </c>
      <c r="AH29" s="192" t="s">
        <v>4598</v>
      </c>
      <c r="AI29" s="382" t="s">
        <v>4599</v>
      </c>
      <c r="AJ29" s="481" t="s">
        <v>4600</v>
      </c>
      <c r="AK29" s="383" t="s">
        <v>4601</v>
      </c>
      <c r="AL29" s="4770" t="s">
        <v>4602</v>
      </c>
      <c r="AM29" s="64" t="s">
        <v>4603</v>
      </c>
      <c r="AN29" s="382" t="s">
        <v>4604</v>
      </c>
      <c r="AO29" s="5027" t="s">
        <v>4605</v>
      </c>
      <c r="AP29" s="5028" t="s">
        <v>4606</v>
      </c>
      <c r="AQ29" s="5029" t="s">
        <v>4934</v>
      </c>
      <c r="AR29" s="5028" t="s">
        <v>4935</v>
      </c>
      <c r="AS29" s="5030" t="s">
        <v>4936</v>
      </c>
      <c r="AT29" s="5028" t="s">
        <v>4937</v>
      </c>
      <c r="AU29" s="5030" t="s">
        <v>5234</v>
      </c>
      <c r="AV29" s="5028" t="s">
        <v>5235</v>
      </c>
    </row>
    <row r="30" spans="1:48" s="7" customFormat="1" ht="15" customHeight="1" x14ac:dyDescent="0.2">
      <c r="A30" s="5945">
        <v>30101115</v>
      </c>
      <c r="B30" s="1087" t="s">
        <v>4309</v>
      </c>
      <c r="C30" s="192" t="s">
        <v>4567</v>
      </c>
      <c r="D30" s="382" t="s">
        <v>4568</v>
      </c>
      <c r="E30" s="192" t="s">
        <v>4569</v>
      </c>
      <c r="F30" s="382" t="s">
        <v>4570</v>
      </c>
      <c r="G30" s="192" t="s">
        <v>4571</v>
      </c>
      <c r="H30" s="382" t="s">
        <v>4572</v>
      </c>
      <c r="I30" s="192" t="s">
        <v>4573</v>
      </c>
      <c r="J30" s="382" t="s">
        <v>4574</v>
      </c>
      <c r="K30" s="192" t="s">
        <v>4575</v>
      </c>
      <c r="L30" s="382" t="s">
        <v>4576</v>
      </c>
      <c r="M30" s="192" t="s">
        <v>4577</v>
      </c>
      <c r="N30" s="382" t="s">
        <v>4578</v>
      </c>
      <c r="O30" s="192" t="s">
        <v>4579</v>
      </c>
      <c r="P30" s="382" t="s">
        <v>4580</v>
      </c>
      <c r="Q30" s="192" t="s">
        <v>4581</v>
      </c>
      <c r="R30" s="382" t="s">
        <v>4582</v>
      </c>
      <c r="S30" s="485" t="s">
        <v>4583</v>
      </c>
      <c r="T30" s="577" t="s">
        <v>4584</v>
      </c>
      <c r="U30" s="485" t="s">
        <v>4585</v>
      </c>
      <c r="V30" s="577" t="s">
        <v>4586</v>
      </c>
      <c r="W30" s="197" t="s">
        <v>4587</v>
      </c>
      <c r="X30" s="577" t="s">
        <v>4588</v>
      </c>
      <c r="Y30" s="485" t="s">
        <v>4589</v>
      </c>
      <c r="Z30" s="5026" t="s">
        <v>4590</v>
      </c>
      <c r="AA30" s="376" t="s">
        <v>4591</v>
      </c>
      <c r="AB30" s="64" t="s">
        <v>4592</v>
      </c>
      <c r="AC30" s="382" t="s">
        <v>4593</v>
      </c>
      <c r="AD30" s="376" t="s">
        <v>4594</v>
      </c>
      <c r="AE30" s="382" t="s">
        <v>4595</v>
      </c>
      <c r="AF30" s="481" t="s">
        <v>4596</v>
      </c>
      <c r="AG30" s="382" t="s">
        <v>4597</v>
      </c>
      <c r="AH30" s="192" t="s">
        <v>4598</v>
      </c>
      <c r="AI30" s="382" t="s">
        <v>4599</v>
      </c>
      <c r="AJ30" s="481" t="s">
        <v>4600</v>
      </c>
      <c r="AK30" s="383" t="s">
        <v>4601</v>
      </c>
      <c r="AL30" s="4770" t="s">
        <v>4602</v>
      </c>
      <c r="AM30" s="64" t="s">
        <v>4603</v>
      </c>
      <c r="AN30" s="382" t="s">
        <v>4604</v>
      </c>
      <c r="AO30" s="5027" t="s">
        <v>4605</v>
      </c>
      <c r="AP30" s="5028" t="s">
        <v>4606</v>
      </c>
      <c r="AQ30" s="5029" t="s">
        <v>4934</v>
      </c>
      <c r="AR30" s="5028" t="s">
        <v>4935</v>
      </c>
      <c r="AS30" s="5030" t="s">
        <v>4936</v>
      </c>
      <c r="AT30" s="5028" t="s">
        <v>4937</v>
      </c>
      <c r="AU30" s="5030" t="s">
        <v>5234</v>
      </c>
      <c r="AV30" s="5028" t="s">
        <v>5235</v>
      </c>
    </row>
    <row r="31" spans="1:48" s="7" customFormat="1" ht="15" customHeight="1" x14ac:dyDescent="0.2">
      <c r="A31" s="5945">
        <v>30101116</v>
      </c>
      <c r="B31" s="1087" t="s">
        <v>3790</v>
      </c>
      <c r="C31" s="192" t="s">
        <v>4567</v>
      </c>
      <c r="D31" s="382" t="s">
        <v>4568</v>
      </c>
      <c r="E31" s="192" t="s">
        <v>4569</v>
      </c>
      <c r="F31" s="382" t="s">
        <v>4570</v>
      </c>
      <c r="G31" s="192" t="s">
        <v>4571</v>
      </c>
      <c r="H31" s="382" t="s">
        <v>4572</v>
      </c>
      <c r="I31" s="192" t="s">
        <v>4573</v>
      </c>
      <c r="J31" s="382" t="s">
        <v>4574</v>
      </c>
      <c r="K31" s="192" t="s">
        <v>4575</v>
      </c>
      <c r="L31" s="382" t="s">
        <v>4576</v>
      </c>
      <c r="M31" s="192" t="s">
        <v>4577</v>
      </c>
      <c r="N31" s="382" t="s">
        <v>4578</v>
      </c>
      <c r="O31" s="192" t="s">
        <v>4579</v>
      </c>
      <c r="P31" s="382" t="s">
        <v>4580</v>
      </c>
      <c r="Q31" s="192" t="s">
        <v>4581</v>
      </c>
      <c r="R31" s="382" t="s">
        <v>4582</v>
      </c>
      <c r="S31" s="485" t="s">
        <v>4583</v>
      </c>
      <c r="T31" s="577" t="s">
        <v>4584</v>
      </c>
      <c r="U31" s="485" t="s">
        <v>4585</v>
      </c>
      <c r="V31" s="577" t="s">
        <v>4586</v>
      </c>
      <c r="W31" s="197" t="s">
        <v>4587</v>
      </c>
      <c r="X31" s="577" t="s">
        <v>4588</v>
      </c>
      <c r="Y31" s="485" t="s">
        <v>4589</v>
      </c>
      <c r="Z31" s="5026" t="s">
        <v>4590</v>
      </c>
      <c r="AA31" s="376" t="s">
        <v>4591</v>
      </c>
      <c r="AB31" s="64" t="s">
        <v>4592</v>
      </c>
      <c r="AC31" s="382" t="s">
        <v>4593</v>
      </c>
      <c r="AD31" s="376" t="s">
        <v>4594</v>
      </c>
      <c r="AE31" s="382" t="s">
        <v>4595</v>
      </c>
      <c r="AF31" s="481" t="s">
        <v>4596</v>
      </c>
      <c r="AG31" s="382" t="s">
        <v>4597</v>
      </c>
      <c r="AH31" s="192" t="s">
        <v>4598</v>
      </c>
      <c r="AI31" s="382" t="s">
        <v>4599</v>
      </c>
      <c r="AJ31" s="481" t="s">
        <v>4600</v>
      </c>
      <c r="AK31" s="383" t="s">
        <v>4601</v>
      </c>
      <c r="AL31" s="4770" t="s">
        <v>4602</v>
      </c>
      <c r="AM31" s="64" t="s">
        <v>4603</v>
      </c>
      <c r="AN31" s="382" t="s">
        <v>4604</v>
      </c>
      <c r="AO31" s="5027" t="s">
        <v>4605</v>
      </c>
      <c r="AP31" s="5028" t="s">
        <v>4606</v>
      </c>
      <c r="AQ31" s="5029" t="s">
        <v>4934</v>
      </c>
      <c r="AR31" s="5028" t="s">
        <v>4935</v>
      </c>
      <c r="AS31" s="5030" t="s">
        <v>4936</v>
      </c>
      <c r="AT31" s="5028" t="s">
        <v>4937</v>
      </c>
      <c r="AU31" s="5030" t="s">
        <v>5234</v>
      </c>
      <c r="AV31" s="5028" t="s">
        <v>5235</v>
      </c>
    </row>
    <row r="32" spans="1:48" s="7" customFormat="1" ht="15" customHeight="1" x14ac:dyDescent="0.2">
      <c r="A32" s="5945">
        <v>30101117</v>
      </c>
      <c r="B32" s="3068" t="s">
        <v>4412</v>
      </c>
      <c r="C32" s="192" t="s">
        <v>4567</v>
      </c>
      <c r="D32" s="382" t="s">
        <v>4568</v>
      </c>
      <c r="E32" s="192" t="s">
        <v>4569</v>
      </c>
      <c r="F32" s="382" t="s">
        <v>4570</v>
      </c>
      <c r="G32" s="192" t="s">
        <v>4571</v>
      </c>
      <c r="H32" s="382" t="s">
        <v>4572</v>
      </c>
      <c r="I32" s="192" t="s">
        <v>4573</v>
      </c>
      <c r="J32" s="382" t="s">
        <v>4574</v>
      </c>
      <c r="K32" s="192" t="s">
        <v>4575</v>
      </c>
      <c r="L32" s="382" t="s">
        <v>4576</v>
      </c>
      <c r="M32" s="192" t="s">
        <v>4577</v>
      </c>
      <c r="N32" s="382" t="s">
        <v>4578</v>
      </c>
      <c r="O32" s="192" t="s">
        <v>4579</v>
      </c>
      <c r="P32" s="382" t="s">
        <v>4580</v>
      </c>
      <c r="Q32" s="192" t="s">
        <v>4581</v>
      </c>
      <c r="R32" s="382" t="s">
        <v>4582</v>
      </c>
      <c r="S32" s="485" t="s">
        <v>4583</v>
      </c>
      <c r="T32" s="577" t="s">
        <v>4584</v>
      </c>
      <c r="U32" s="485" t="s">
        <v>4585</v>
      </c>
      <c r="V32" s="577" t="s">
        <v>4586</v>
      </c>
      <c r="W32" s="197" t="s">
        <v>4587</v>
      </c>
      <c r="X32" s="577" t="s">
        <v>4588</v>
      </c>
      <c r="Y32" s="485" t="s">
        <v>4589</v>
      </c>
      <c r="Z32" s="5026" t="s">
        <v>4590</v>
      </c>
      <c r="AA32" s="376" t="s">
        <v>4591</v>
      </c>
      <c r="AB32" s="64" t="s">
        <v>4592</v>
      </c>
      <c r="AC32" s="382" t="s">
        <v>4593</v>
      </c>
      <c r="AD32" s="376" t="s">
        <v>4594</v>
      </c>
      <c r="AE32" s="382" t="s">
        <v>4595</v>
      </c>
      <c r="AF32" s="481" t="s">
        <v>4596</v>
      </c>
      <c r="AG32" s="382" t="s">
        <v>4597</v>
      </c>
      <c r="AH32" s="192" t="s">
        <v>4598</v>
      </c>
      <c r="AI32" s="382" t="s">
        <v>4599</v>
      </c>
      <c r="AJ32" s="481" t="s">
        <v>4600</v>
      </c>
      <c r="AK32" s="383" t="s">
        <v>4601</v>
      </c>
      <c r="AL32" s="4770" t="s">
        <v>4602</v>
      </c>
      <c r="AM32" s="64" t="s">
        <v>4603</v>
      </c>
      <c r="AN32" s="382" t="s">
        <v>4604</v>
      </c>
      <c r="AO32" s="5027" t="s">
        <v>4605</v>
      </c>
      <c r="AP32" s="5028" t="s">
        <v>4606</v>
      </c>
      <c r="AQ32" s="5029" t="s">
        <v>4934</v>
      </c>
      <c r="AR32" s="5028" t="s">
        <v>4935</v>
      </c>
      <c r="AS32" s="5030" t="s">
        <v>4936</v>
      </c>
      <c r="AT32" s="5028" t="s">
        <v>4937</v>
      </c>
      <c r="AU32" s="5030" t="s">
        <v>5234</v>
      </c>
      <c r="AV32" s="5028" t="s">
        <v>5235</v>
      </c>
    </row>
    <row r="33" spans="1:48" s="7" customFormat="1" ht="15" customHeight="1" x14ac:dyDescent="0.2">
      <c r="A33" s="5944">
        <v>30000020</v>
      </c>
      <c r="B33" s="1087" t="s">
        <v>1220</v>
      </c>
      <c r="C33" s="192" t="s">
        <v>4567</v>
      </c>
      <c r="D33" s="382" t="s">
        <v>4568</v>
      </c>
      <c r="E33" s="192" t="s">
        <v>4569</v>
      </c>
      <c r="F33" s="382" t="s">
        <v>4570</v>
      </c>
      <c r="G33" s="192" t="s">
        <v>4571</v>
      </c>
      <c r="H33" s="382" t="s">
        <v>4572</v>
      </c>
      <c r="I33" s="192" t="s">
        <v>4573</v>
      </c>
      <c r="J33" s="382" t="s">
        <v>4574</v>
      </c>
      <c r="K33" s="192" t="s">
        <v>4575</v>
      </c>
      <c r="L33" s="382" t="s">
        <v>4576</v>
      </c>
      <c r="M33" s="192" t="s">
        <v>4577</v>
      </c>
      <c r="N33" s="382" t="s">
        <v>4578</v>
      </c>
      <c r="O33" s="192" t="s">
        <v>4579</v>
      </c>
      <c r="P33" s="382" t="s">
        <v>4580</v>
      </c>
      <c r="Q33" s="192" t="s">
        <v>4581</v>
      </c>
      <c r="R33" s="382" t="s">
        <v>4582</v>
      </c>
      <c r="S33" s="485" t="s">
        <v>4583</v>
      </c>
      <c r="T33" s="577" t="s">
        <v>4584</v>
      </c>
      <c r="U33" s="485" t="s">
        <v>4585</v>
      </c>
      <c r="V33" s="577" t="s">
        <v>4586</v>
      </c>
      <c r="W33" s="197" t="s">
        <v>4587</v>
      </c>
      <c r="X33" s="577" t="s">
        <v>4588</v>
      </c>
      <c r="Y33" s="485" t="s">
        <v>4589</v>
      </c>
      <c r="Z33" s="5026" t="s">
        <v>4590</v>
      </c>
      <c r="AA33" s="376" t="s">
        <v>4591</v>
      </c>
      <c r="AB33" s="64" t="s">
        <v>4592</v>
      </c>
      <c r="AC33" s="382" t="s">
        <v>4593</v>
      </c>
      <c r="AD33" s="376" t="s">
        <v>4594</v>
      </c>
      <c r="AE33" s="382" t="s">
        <v>4595</v>
      </c>
      <c r="AF33" s="481" t="s">
        <v>4596</v>
      </c>
      <c r="AG33" s="382" t="s">
        <v>4597</v>
      </c>
      <c r="AH33" s="192" t="s">
        <v>4598</v>
      </c>
      <c r="AI33" s="382" t="s">
        <v>4599</v>
      </c>
      <c r="AJ33" s="481" t="s">
        <v>4600</v>
      </c>
      <c r="AK33" s="383" t="s">
        <v>4601</v>
      </c>
      <c r="AL33" s="4770" t="s">
        <v>4602</v>
      </c>
      <c r="AM33" s="64" t="s">
        <v>4603</v>
      </c>
      <c r="AN33" s="382" t="s">
        <v>4604</v>
      </c>
      <c r="AO33" s="5027" t="s">
        <v>4605</v>
      </c>
      <c r="AP33" s="5028" t="s">
        <v>4606</v>
      </c>
      <c r="AQ33" s="5029" t="s">
        <v>4934</v>
      </c>
      <c r="AR33" s="5028" t="s">
        <v>4935</v>
      </c>
      <c r="AS33" s="5030" t="s">
        <v>4936</v>
      </c>
      <c r="AT33" s="5028" t="s">
        <v>4937</v>
      </c>
      <c r="AU33" s="5030" t="s">
        <v>5234</v>
      </c>
      <c r="AV33" s="5028" t="s">
        <v>5235</v>
      </c>
    </row>
    <row r="34" spans="1:48" s="7" customFormat="1" ht="15" customHeight="1" x14ac:dyDescent="0.2">
      <c r="A34" s="5945">
        <v>30101118</v>
      </c>
      <c r="B34" s="1087" t="s">
        <v>4418</v>
      </c>
      <c r="C34" s="192" t="s">
        <v>4567</v>
      </c>
      <c r="D34" s="382" t="s">
        <v>4568</v>
      </c>
      <c r="E34" s="192" t="s">
        <v>4569</v>
      </c>
      <c r="F34" s="382" t="s">
        <v>4570</v>
      </c>
      <c r="G34" s="192" t="s">
        <v>4571</v>
      </c>
      <c r="H34" s="382" t="s">
        <v>4572</v>
      </c>
      <c r="I34" s="192" t="s">
        <v>4573</v>
      </c>
      <c r="J34" s="382" t="s">
        <v>4574</v>
      </c>
      <c r="K34" s="192" t="s">
        <v>4575</v>
      </c>
      <c r="L34" s="382" t="s">
        <v>4576</v>
      </c>
      <c r="M34" s="192" t="s">
        <v>4577</v>
      </c>
      <c r="N34" s="382" t="s">
        <v>4578</v>
      </c>
      <c r="O34" s="192" t="s">
        <v>4579</v>
      </c>
      <c r="P34" s="382" t="s">
        <v>4580</v>
      </c>
      <c r="Q34" s="192" t="s">
        <v>4581</v>
      </c>
      <c r="R34" s="382" t="s">
        <v>4582</v>
      </c>
      <c r="S34" s="485" t="s">
        <v>4583</v>
      </c>
      <c r="T34" s="577" t="s">
        <v>4584</v>
      </c>
      <c r="U34" s="485" t="s">
        <v>4585</v>
      </c>
      <c r="V34" s="577" t="s">
        <v>4586</v>
      </c>
      <c r="W34" s="197" t="s">
        <v>4587</v>
      </c>
      <c r="X34" s="577" t="s">
        <v>4588</v>
      </c>
      <c r="Y34" s="485" t="s">
        <v>4589</v>
      </c>
      <c r="Z34" s="5026" t="s">
        <v>4590</v>
      </c>
      <c r="AA34" s="376" t="s">
        <v>4591</v>
      </c>
      <c r="AB34" s="64" t="s">
        <v>4592</v>
      </c>
      <c r="AC34" s="382" t="s">
        <v>4593</v>
      </c>
      <c r="AD34" s="376" t="s">
        <v>4594</v>
      </c>
      <c r="AE34" s="382" t="s">
        <v>4595</v>
      </c>
      <c r="AF34" s="481" t="s">
        <v>4596</v>
      </c>
      <c r="AG34" s="382" t="s">
        <v>4597</v>
      </c>
      <c r="AH34" s="192" t="s">
        <v>4598</v>
      </c>
      <c r="AI34" s="382" t="s">
        <v>4599</v>
      </c>
      <c r="AJ34" s="481" t="s">
        <v>4600</v>
      </c>
      <c r="AK34" s="383" t="s">
        <v>4601</v>
      </c>
      <c r="AL34" s="4770" t="s">
        <v>4602</v>
      </c>
      <c r="AM34" s="64" t="s">
        <v>4603</v>
      </c>
      <c r="AN34" s="382" t="s">
        <v>4604</v>
      </c>
      <c r="AO34" s="5027" t="s">
        <v>4605</v>
      </c>
      <c r="AP34" s="5028" t="s">
        <v>4606</v>
      </c>
      <c r="AQ34" s="5029" t="s">
        <v>4934</v>
      </c>
      <c r="AR34" s="5028" t="s">
        <v>4935</v>
      </c>
      <c r="AS34" s="5030" t="s">
        <v>4936</v>
      </c>
      <c r="AT34" s="5028" t="s">
        <v>4937</v>
      </c>
      <c r="AU34" s="5030" t="s">
        <v>5234</v>
      </c>
      <c r="AV34" s="5028" t="s">
        <v>5235</v>
      </c>
    </row>
    <row r="35" spans="1:48" s="7" customFormat="1" ht="15" customHeight="1" x14ac:dyDescent="0.2">
      <c r="A35" s="5944">
        <v>30000023</v>
      </c>
      <c r="B35" s="1087" t="s">
        <v>1221</v>
      </c>
      <c r="C35" s="192" t="s">
        <v>4567</v>
      </c>
      <c r="D35" s="382" t="s">
        <v>4568</v>
      </c>
      <c r="E35" s="192" t="s">
        <v>4569</v>
      </c>
      <c r="F35" s="382" t="s">
        <v>4570</v>
      </c>
      <c r="G35" s="192" t="s">
        <v>4571</v>
      </c>
      <c r="H35" s="382" t="s">
        <v>4572</v>
      </c>
      <c r="I35" s="192" t="s">
        <v>4573</v>
      </c>
      <c r="J35" s="382" t="s">
        <v>4574</v>
      </c>
      <c r="K35" s="192" t="s">
        <v>4575</v>
      </c>
      <c r="L35" s="382" t="s">
        <v>4576</v>
      </c>
      <c r="M35" s="192" t="s">
        <v>4577</v>
      </c>
      <c r="N35" s="382" t="s">
        <v>4578</v>
      </c>
      <c r="O35" s="192" t="s">
        <v>4579</v>
      </c>
      <c r="P35" s="382" t="s">
        <v>4580</v>
      </c>
      <c r="Q35" s="192" t="s">
        <v>4581</v>
      </c>
      <c r="R35" s="382" t="s">
        <v>4582</v>
      </c>
      <c r="S35" s="485" t="s">
        <v>4583</v>
      </c>
      <c r="T35" s="577" t="s">
        <v>4584</v>
      </c>
      <c r="U35" s="485" t="s">
        <v>4585</v>
      </c>
      <c r="V35" s="577" t="s">
        <v>4586</v>
      </c>
      <c r="W35" s="197" t="s">
        <v>4587</v>
      </c>
      <c r="X35" s="577" t="s">
        <v>4588</v>
      </c>
      <c r="Y35" s="485" t="s">
        <v>4589</v>
      </c>
      <c r="Z35" s="5026" t="s">
        <v>4590</v>
      </c>
      <c r="AA35" s="376" t="s">
        <v>4591</v>
      </c>
      <c r="AB35" s="64" t="s">
        <v>4592</v>
      </c>
      <c r="AC35" s="382" t="s">
        <v>4593</v>
      </c>
      <c r="AD35" s="376" t="s">
        <v>4594</v>
      </c>
      <c r="AE35" s="382" t="s">
        <v>4595</v>
      </c>
      <c r="AF35" s="481" t="s">
        <v>4596</v>
      </c>
      <c r="AG35" s="382" t="s">
        <v>4597</v>
      </c>
      <c r="AH35" s="192" t="s">
        <v>4598</v>
      </c>
      <c r="AI35" s="382" t="s">
        <v>4599</v>
      </c>
      <c r="AJ35" s="481" t="s">
        <v>4600</v>
      </c>
      <c r="AK35" s="383" t="s">
        <v>4601</v>
      </c>
      <c r="AL35" s="4770" t="s">
        <v>4602</v>
      </c>
      <c r="AM35" s="64" t="s">
        <v>4603</v>
      </c>
      <c r="AN35" s="382" t="s">
        <v>4604</v>
      </c>
      <c r="AO35" s="5027" t="s">
        <v>4605</v>
      </c>
      <c r="AP35" s="5028" t="s">
        <v>4606</v>
      </c>
      <c r="AQ35" s="5029" t="s">
        <v>4934</v>
      </c>
      <c r="AR35" s="5028" t="s">
        <v>4935</v>
      </c>
      <c r="AS35" s="5030" t="s">
        <v>4936</v>
      </c>
      <c r="AT35" s="5028" t="s">
        <v>4937</v>
      </c>
      <c r="AU35" s="5030" t="s">
        <v>5234</v>
      </c>
      <c r="AV35" s="5028" t="s">
        <v>5235</v>
      </c>
    </row>
    <row r="36" spans="1:48" s="7" customFormat="1" ht="15" customHeight="1" x14ac:dyDescent="0.2">
      <c r="A36" s="5944">
        <v>30000024</v>
      </c>
      <c r="B36" s="1087" t="s">
        <v>1222</v>
      </c>
      <c r="C36" s="192" t="s">
        <v>4567</v>
      </c>
      <c r="D36" s="382" t="s">
        <v>4568</v>
      </c>
      <c r="E36" s="192" t="s">
        <v>4569</v>
      </c>
      <c r="F36" s="382" t="s">
        <v>4570</v>
      </c>
      <c r="G36" s="192" t="s">
        <v>4571</v>
      </c>
      <c r="H36" s="382" t="s">
        <v>4572</v>
      </c>
      <c r="I36" s="192" t="s">
        <v>4573</v>
      </c>
      <c r="J36" s="382" t="s">
        <v>4574</v>
      </c>
      <c r="K36" s="192" t="s">
        <v>4575</v>
      </c>
      <c r="L36" s="382" t="s">
        <v>4576</v>
      </c>
      <c r="M36" s="192" t="s">
        <v>4577</v>
      </c>
      <c r="N36" s="382" t="s">
        <v>4578</v>
      </c>
      <c r="O36" s="192" t="s">
        <v>4579</v>
      </c>
      <c r="P36" s="382" t="s">
        <v>4580</v>
      </c>
      <c r="Q36" s="192" t="s">
        <v>4581</v>
      </c>
      <c r="R36" s="382" t="s">
        <v>4582</v>
      </c>
      <c r="S36" s="485" t="s">
        <v>4583</v>
      </c>
      <c r="T36" s="577" t="s">
        <v>4584</v>
      </c>
      <c r="U36" s="485" t="s">
        <v>4585</v>
      </c>
      <c r="V36" s="577" t="s">
        <v>4586</v>
      </c>
      <c r="W36" s="197" t="s">
        <v>4587</v>
      </c>
      <c r="X36" s="577" t="s">
        <v>4588</v>
      </c>
      <c r="Y36" s="485" t="s">
        <v>4589</v>
      </c>
      <c r="Z36" s="5026" t="s">
        <v>4590</v>
      </c>
      <c r="AA36" s="376" t="s">
        <v>4591</v>
      </c>
      <c r="AB36" s="64" t="s">
        <v>4592</v>
      </c>
      <c r="AC36" s="382" t="s">
        <v>4593</v>
      </c>
      <c r="AD36" s="376" t="s">
        <v>4594</v>
      </c>
      <c r="AE36" s="382" t="s">
        <v>4595</v>
      </c>
      <c r="AF36" s="481" t="s">
        <v>4596</v>
      </c>
      <c r="AG36" s="382" t="s">
        <v>4597</v>
      </c>
      <c r="AH36" s="192" t="s">
        <v>4598</v>
      </c>
      <c r="AI36" s="382" t="s">
        <v>4599</v>
      </c>
      <c r="AJ36" s="481" t="s">
        <v>4600</v>
      </c>
      <c r="AK36" s="383" t="s">
        <v>4601</v>
      </c>
      <c r="AL36" s="4770" t="s">
        <v>4602</v>
      </c>
      <c r="AM36" s="64" t="s">
        <v>4603</v>
      </c>
      <c r="AN36" s="382" t="s">
        <v>4604</v>
      </c>
      <c r="AO36" s="5027" t="s">
        <v>4605</v>
      </c>
      <c r="AP36" s="5028" t="s">
        <v>4606</v>
      </c>
      <c r="AQ36" s="5029" t="s">
        <v>4934</v>
      </c>
      <c r="AR36" s="5028" t="s">
        <v>4935</v>
      </c>
      <c r="AS36" s="5030" t="s">
        <v>4936</v>
      </c>
      <c r="AT36" s="5028" t="s">
        <v>4937</v>
      </c>
      <c r="AU36" s="5030" t="s">
        <v>5234</v>
      </c>
      <c r="AV36" s="5028" t="s">
        <v>5235</v>
      </c>
    </row>
    <row r="37" spans="1:48" s="7" customFormat="1" ht="15" customHeight="1" x14ac:dyDescent="0.2">
      <c r="A37" s="5945">
        <v>30101119</v>
      </c>
      <c r="B37" s="1087" t="s">
        <v>4311</v>
      </c>
      <c r="C37" s="192" t="s">
        <v>4567</v>
      </c>
      <c r="D37" s="382" t="s">
        <v>4568</v>
      </c>
      <c r="E37" s="192" t="s">
        <v>4569</v>
      </c>
      <c r="F37" s="382" t="s">
        <v>4570</v>
      </c>
      <c r="G37" s="192" t="s">
        <v>4571</v>
      </c>
      <c r="H37" s="382" t="s">
        <v>4572</v>
      </c>
      <c r="I37" s="192" t="s">
        <v>4573</v>
      </c>
      <c r="J37" s="382" t="s">
        <v>4574</v>
      </c>
      <c r="K37" s="192" t="s">
        <v>4575</v>
      </c>
      <c r="L37" s="382" t="s">
        <v>4576</v>
      </c>
      <c r="M37" s="192" t="s">
        <v>4577</v>
      </c>
      <c r="N37" s="382" t="s">
        <v>4578</v>
      </c>
      <c r="O37" s="192" t="s">
        <v>4579</v>
      </c>
      <c r="P37" s="382" t="s">
        <v>4580</v>
      </c>
      <c r="Q37" s="192" t="s">
        <v>4581</v>
      </c>
      <c r="R37" s="382" t="s">
        <v>4582</v>
      </c>
      <c r="S37" s="485" t="s">
        <v>4583</v>
      </c>
      <c r="T37" s="577" t="s">
        <v>4584</v>
      </c>
      <c r="U37" s="485" t="s">
        <v>4585</v>
      </c>
      <c r="V37" s="577" t="s">
        <v>4586</v>
      </c>
      <c r="W37" s="197" t="s">
        <v>4587</v>
      </c>
      <c r="X37" s="577" t="s">
        <v>4588</v>
      </c>
      <c r="Y37" s="485" t="s">
        <v>4589</v>
      </c>
      <c r="Z37" s="5026" t="s">
        <v>4590</v>
      </c>
      <c r="AA37" s="376" t="s">
        <v>4591</v>
      </c>
      <c r="AB37" s="64" t="s">
        <v>4592</v>
      </c>
      <c r="AC37" s="382" t="s">
        <v>4593</v>
      </c>
      <c r="AD37" s="376" t="s">
        <v>4594</v>
      </c>
      <c r="AE37" s="382" t="s">
        <v>4595</v>
      </c>
      <c r="AF37" s="481" t="s">
        <v>4596</v>
      </c>
      <c r="AG37" s="382" t="s">
        <v>4597</v>
      </c>
      <c r="AH37" s="192" t="s">
        <v>4598</v>
      </c>
      <c r="AI37" s="382" t="s">
        <v>4599</v>
      </c>
      <c r="AJ37" s="481" t="s">
        <v>4600</v>
      </c>
      <c r="AK37" s="383" t="s">
        <v>4601</v>
      </c>
      <c r="AL37" s="4770" t="s">
        <v>4602</v>
      </c>
      <c r="AM37" s="64" t="s">
        <v>4603</v>
      </c>
      <c r="AN37" s="382" t="s">
        <v>4604</v>
      </c>
      <c r="AO37" s="5027" t="s">
        <v>4605</v>
      </c>
      <c r="AP37" s="5028" t="s">
        <v>4606</v>
      </c>
      <c r="AQ37" s="5029" t="s">
        <v>4934</v>
      </c>
      <c r="AR37" s="5028" t="s">
        <v>4935</v>
      </c>
      <c r="AS37" s="5030" t="s">
        <v>4936</v>
      </c>
      <c r="AT37" s="5028" t="s">
        <v>4937</v>
      </c>
      <c r="AU37" s="5030" t="s">
        <v>5234</v>
      </c>
      <c r="AV37" s="5028" t="s">
        <v>5235</v>
      </c>
    </row>
    <row r="38" spans="1:48" s="7" customFormat="1" ht="15" customHeight="1" x14ac:dyDescent="0.2">
      <c r="A38" s="5945">
        <v>30101120</v>
      </c>
      <c r="B38" s="3068" t="s">
        <v>4411</v>
      </c>
      <c r="C38" s="192" t="s">
        <v>4567</v>
      </c>
      <c r="D38" s="382" t="s">
        <v>4568</v>
      </c>
      <c r="E38" s="192" t="s">
        <v>4569</v>
      </c>
      <c r="F38" s="382" t="s">
        <v>4570</v>
      </c>
      <c r="G38" s="192" t="s">
        <v>4571</v>
      </c>
      <c r="H38" s="382" t="s">
        <v>4572</v>
      </c>
      <c r="I38" s="192" t="s">
        <v>4573</v>
      </c>
      <c r="J38" s="382" t="s">
        <v>4574</v>
      </c>
      <c r="K38" s="192" t="s">
        <v>4575</v>
      </c>
      <c r="L38" s="382" t="s">
        <v>4576</v>
      </c>
      <c r="M38" s="192" t="s">
        <v>4577</v>
      </c>
      <c r="N38" s="382" t="s">
        <v>4578</v>
      </c>
      <c r="O38" s="192" t="s">
        <v>4579</v>
      </c>
      <c r="P38" s="382" t="s">
        <v>4580</v>
      </c>
      <c r="Q38" s="192" t="s">
        <v>4581</v>
      </c>
      <c r="R38" s="382" t="s">
        <v>4582</v>
      </c>
      <c r="S38" s="485" t="s">
        <v>4583</v>
      </c>
      <c r="T38" s="577" t="s">
        <v>4584</v>
      </c>
      <c r="U38" s="485" t="s">
        <v>4585</v>
      </c>
      <c r="V38" s="577" t="s">
        <v>4586</v>
      </c>
      <c r="W38" s="197" t="s">
        <v>4587</v>
      </c>
      <c r="X38" s="577" t="s">
        <v>4588</v>
      </c>
      <c r="Y38" s="485" t="s">
        <v>4589</v>
      </c>
      <c r="Z38" s="5026" t="s">
        <v>4590</v>
      </c>
      <c r="AA38" s="376" t="s">
        <v>4591</v>
      </c>
      <c r="AB38" s="64" t="s">
        <v>4592</v>
      </c>
      <c r="AC38" s="382" t="s">
        <v>4593</v>
      </c>
      <c r="AD38" s="376" t="s">
        <v>4594</v>
      </c>
      <c r="AE38" s="382" t="s">
        <v>4595</v>
      </c>
      <c r="AF38" s="481" t="s">
        <v>4596</v>
      </c>
      <c r="AG38" s="382" t="s">
        <v>4597</v>
      </c>
      <c r="AH38" s="192" t="s">
        <v>4598</v>
      </c>
      <c r="AI38" s="382" t="s">
        <v>4599</v>
      </c>
      <c r="AJ38" s="481" t="s">
        <v>4600</v>
      </c>
      <c r="AK38" s="383" t="s">
        <v>4601</v>
      </c>
      <c r="AL38" s="4770" t="s">
        <v>4602</v>
      </c>
      <c r="AM38" s="64" t="s">
        <v>4603</v>
      </c>
      <c r="AN38" s="382" t="s">
        <v>4604</v>
      </c>
      <c r="AO38" s="5027" t="s">
        <v>4605</v>
      </c>
      <c r="AP38" s="5028" t="s">
        <v>4606</v>
      </c>
      <c r="AQ38" s="5029" t="s">
        <v>4934</v>
      </c>
      <c r="AR38" s="5028" t="s">
        <v>4935</v>
      </c>
      <c r="AS38" s="5030" t="s">
        <v>4936</v>
      </c>
      <c r="AT38" s="5028" t="s">
        <v>4937</v>
      </c>
      <c r="AU38" s="5030" t="s">
        <v>5234</v>
      </c>
      <c r="AV38" s="5028" t="s">
        <v>5235</v>
      </c>
    </row>
    <row r="39" spans="1:48" s="7" customFormat="1" ht="15" customHeight="1" x14ac:dyDescent="0.2">
      <c r="A39" s="5944">
        <v>30000027</v>
      </c>
      <c r="B39" s="1087" t="s">
        <v>3705</v>
      </c>
      <c r="C39" s="192" t="s">
        <v>4567</v>
      </c>
      <c r="D39" s="382" t="s">
        <v>4568</v>
      </c>
      <c r="E39" s="192" t="s">
        <v>4569</v>
      </c>
      <c r="F39" s="382" t="s">
        <v>4570</v>
      </c>
      <c r="G39" s="192" t="s">
        <v>4571</v>
      </c>
      <c r="H39" s="382" t="s">
        <v>4572</v>
      </c>
      <c r="I39" s="192" t="s">
        <v>4573</v>
      </c>
      <c r="J39" s="382" t="s">
        <v>4574</v>
      </c>
      <c r="K39" s="192" t="s">
        <v>4575</v>
      </c>
      <c r="L39" s="382" t="s">
        <v>4576</v>
      </c>
      <c r="M39" s="192" t="s">
        <v>4577</v>
      </c>
      <c r="N39" s="382" t="s">
        <v>4578</v>
      </c>
      <c r="O39" s="192" t="s">
        <v>4579</v>
      </c>
      <c r="P39" s="382" t="s">
        <v>4580</v>
      </c>
      <c r="Q39" s="192" t="s">
        <v>4581</v>
      </c>
      <c r="R39" s="382" t="s">
        <v>4582</v>
      </c>
      <c r="S39" s="485" t="s">
        <v>4583</v>
      </c>
      <c r="T39" s="577" t="s">
        <v>4584</v>
      </c>
      <c r="U39" s="485" t="s">
        <v>4585</v>
      </c>
      <c r="V39" s="577" t="s">
        <v>4586</v>
      </c>
      <c r="W39" s="197" t="s">
        <v>4587</v>
      </c>
      <c r="X39" s="577" t="s">
        <v>4588</v>
      </c>
      <c r="Y39" s="485" t="s">
        <v>4589</v>
      </c>
      <c r="Z39" s="5026" t="s">
        <v>4590</v>
      </c>
      <c r="AA39" s="376" t="s">
        <v>4591</v>
      </c>
      <c r="AB39" s="64" t="s">
        <v>4592</v>
      </c>
      <c r="AC39" s="382" t="s">
        <v>4593</v>
      </c>
      <c r="AD39" s="376" t="s">
        <v>4594</v>
      </c>
      <c r="AE39" s="382" t="s">
        <v>4595</v>
      </c>
      <c r="AF39" s="481" t="s">
        <v>4596</v>
      </c>
      <c r="AG39" s="382" t="s">
        <v>4597</v>
      </c>
      <c r="AH39" s="192" t="s">
        <v>4598</v>
      </c>
      <c r="AI39" s="382" t="s">
        <v>4599</v>
      </c>
      <c r="AJ39" s="481" t="s">
        <v>4600</v>
      </c>
      <c r="AK39" s="383" t="s">
        <v>4601</v>
      </c>
      <c r="AL39" s="4770" t="s">
        <v>4602</v>
      </c>
      <c r="AM39" s="64" t="s">
        <v>4603</v>
      </c>
      <c r="AN39" s="382" t="s">
        <v>4604</v>
      </c>
      <c r="AO39" s="5027" t="s">
        <v>4605</v>
      </c>
      <c r="AP39" s="5028" t="s">
        <v>4606</v>
      </c>
      <c r="AQ39" s="5029" t="s">
        <v>4934</v>
      </c>
      <c r="AR39" s="5028" t="s">
        <v>4935</v>
      </c>
      <c r="AS39" s="5030" t="s">
        <v>4936</v>
      </c>
      <c r="AT39" s="5028" t="s">
        <v>4937</v>
      </c>
      <c r="AU39" s="5030" t="s">
        <v>5234</v>
      </c>
      <c r="AV39" s="5028" t="s">
        <v>5235</v>
      </c>
    </row>
    <row r="40" spans="1:48" s="7" customFormat="1" ht="15" customHeight="1" x14ac:dyDescent="0.2">
      <c r="A40" s="5944">
        <v>30000028</v>
      </c>
      <c r="B40" s="1087" t="s">
        <v>3706</v>
      </c>
      <c r="C40" s="192" t="s">
        <v>4567</v>
      </c>
      <c r="D40" s="382" t="s">
        <v>4568</v>
      </c>
      <c r="E40" s="192" t="s">
        <v>4569</v>
      </c>
      <c r="F40" s="382" t="s">
        <v>4570</v>
      </c>
      <c r="G40" s="192" t="s">
        <v>4571</v>
      </c>
      <c r="H40" s="382" t="s">
        <v>4572</v>
      </c>
      <c r="I40" s="192" t="s">
        <v>4573</v>
      </c>
      <c r="J40" s="382" t="s">
        <v>4574</v>
      </c>
      <c r="K40" s="192" t="s">
        <v>4575</v>
      </c>
      <c r="L40" s="382" t="s">
        <v>4576</v>
      </c>
      <c r="M40" s="192" t="s">
        <v>4577</v>
      </c>
      <c r="N40" s="382" t="s">
        <v>4578</v>
      </c>
      <c r="O40" s="192" t="s">
        <v>4579</v>
      </c>
      <c r="P40" s="382" t="s">
        <v>4580</v>
      </c>
      <c r="Q40" s="192" t="s">
        <v>4581</v>
      </c>
      <c r="R40" s="382" t="s">
        <v>4582</v>
      </c>
      <c r="S40" s="485" t="s">
        <v>4583</v>
      </c>
      <c r="T40" s="577" t="s">
        <v>4584</v>
      </c>
      <c r="U40" s="485" t="s">
        <v>4585</v>
      </c>
      <c r="V40" s="577" t="s">
        <v>4586</v>
      </c>
      <c r="W40" s="197" t="s">
        <v>4587</v>
      </c>
      <c r="X40" s="577" t="s">
        <v>4588</v>
      </c>
      <c r="Y40" s="485" t="s">
        <v>4589</v>
      </c>
      <c r="Z40" s="5026" t="s">
        <v>4590</v>
      </c>
      <c r="AA40" s="376" t="s">
        <v>4591</v>
      </c>
      <c r="AB40" s="64" t="s">
        <v>4592</v>
      </c>
      <c r="AC40" s="382" t="s">
        <v>4593</v>
      </c>
      <c r="AD40" s="376" t="s">
        <v>4594</v>
      </c>
      <c r="AE40" s="382" t="s">
        <v>4595</v>
      </c>
      <c r="AF40" s="481" t="s">
        <v>4596</v>
      </c>
      <c r="AG40" s="382" t="s">
        <v>4597</v>
      </c>
      <c r="AH40" s="192" t="s">
        <v>4598</v>
      </c>
      <c r="AI40" s="382" t="s">
        <v>4599</v>
      </c>
      <c r="AJ40" s="481" t="s">
        <v>4600</v>
      </c>
      <c r="AK40" s="383" t="s">
        <v>4601</v>
      </c>
      <c r="AL40" s="4770" t="s">
        <v>4602</v>
      </c>
      <c r="AM40" s="64" t="s">
        <v>4603</v>
      </c>
      <c r="AN40" s="382" t="s">
        <v>4604</v>
      </c>
      <c r="AO40" s="5027" t="s">
        <v>4605</v>
      </c>
      <c r="AP40" s="5028" t="s">
        <v>4606</v>
      </c>
      <c r="AQ40" s="5029" t="s">
        <v>4934</v>
      </c>
      <c r="AR40" s="5028" t="s">
        <v>4935</v>
      </c>
      <c r="AS40" s="5030" t="s">
        <v>4936</v>
      </c>
      <c r="AT40" s="5028" t="s">
        <v>4937</v>
      </c>
      <c r="AU40" s="5030" t="s">
        <v>5234</v>
      </c>
      <c r="AV40" s="5028" t="s">
        <v>5235</v>
      </c>
    </row>
    <row r="41" spans="1:48" s="7" customFormat="1" ht="15" customHeight="1" x14ac:dyDescent="0.2">
      <c r="A41" s="5944">
        <v>30000029</v>
      </c>
      <c r="B41" s="1087" t="s">
        <v>3707</v>
      </c>
      <c r="C41" s="192" t="s">
        <v>4567</v>
      </c>
      <c r="D41" s="382" t="s">
        <v>4568</v>
      </c>
      <c r="E41" s="192" t="s">
        <v>4569</v>
      </c>
      <c r="F41" s="382" t="s">
        <v>4570</v>
      </c>
      <c r="G41" s="192" t="s">
        <v>4571</v>
      </c>
      <c r="H41" s="382" t="s">
        <v>4572</v>
      </c>
      <c r="I41" s="192" t="s">
        <v>4573</v>
      </c>
      <c r="J41" s="382" t="s">
        <v>4574</v>
      </c>
      <c r="K41" s="192" t="s">
        <v>4575</v>
      </c>
      <c r="L41" s="382" t="s">
        <v>4576</v>
      </c>
      <c r="M41" s="192" t="s">
        <v>4577</v>
      </c>
      <c r="N41" s="382" t="s">
        <v>4578</v>
      </c>
      <c r="O41" s="192" t="s">
        <v>4579</v>
      </c>
      <c r="P41" s="382" t="s">
        <v>4580</v>
      </c>
      <c r="Q41" s="192" t="s">
        <v>4581</v>
      </c>
      <c r="R41" s="382" t="s">
        <v>4582</v>
      </c>
      <c r="S41" s="485" t="s">
        <v>4583</v>
      </c>
      <c r="T41" s="577" t="s">
        <v>4584</v>
      </c>
      <c r="U41" s="485" t="s">
        <v>4585</v>
      </c>
      <c r="V41" s="577" t="s">
        <v>4586</v>
      </c>
      <c r="W41" s="197" t="s">
        <v>4587</v>
      </c>
      <c r="X41" s="577" t="s">
        <v>4588</v>
      </c>
      <c r="Y41" s="485" t="s">
        <v>4589</v>
      </c>
      <c r="Z41" s="5026" t="s">
        <v>4590</v>
      </c>
      <c r="AA41" s="376" t="s">
        <v>4591</v>
      </c>
      <c r="AB41" s="64" t="s">
        <v>4592</v>
      </c>
      <c r="AC41" s="382" t="s">
        <v>4593</v>
      </c>
      <c r="AD41" s="376" t="s">
        <v>4594</v>
      </c>
      <c r="AE41" s="382" t="s">
        <v>4595</v>
      </c>
      <c r="AF41" s="481" t="s">
        <v>4596</v>
      </c>
      <c r="AG41" s="382" t="s">
        <v>4597</v>
      </c>
      <c r="AH41" s="192" t="s">
        <v>4598</v>
      </c>
      <c r="AI41" s="382" t="s">
        <v>4599</v>
      </c>
      <c r="AJ41" s="481" t="s">
        <v>4600</v>
      </c>
      <c r="AK41" s="383" t="s">
        <v>4601</v>
      </c>
      <c r="AL41" s="4770" t="s">
        <v>4602</v>
      </c>
      <c r="AM41" s="64" t="s">
        <v>4603</v>
      </c>
      <c r="AN41" s="382" t="s">
        <v>4604</v>
      </c>
      <c r="AO41" s="5027" t="s">
        <v>4605</v>
      </c>
      <c r="AP41" s="5028" t="s">
        <v>4606</v>
      </c>
      <c r="AQ41" s="5029" t="s">
        <v>4934</v>
      </c>
      <c r="AR41" s="5028" t="s">
        <v>4935</v>
      </c>
      <c r="AS41" s="5030" t="s">
        <v>4936</v>
      </c>
      <c r="AT41" s="5028" t="s">
        <v>4937</v>
      </c>
      <c r="AU41" s="5030" t="s">
        <v>5234</v>
      </c>
      <c r="AV41" s="5028" t="s">
        <v>5235</v>
      </c>
    </row>
    <row r="42" spans="1:48" s="7" customFormat="1" ht="15" customHeight="1" x14ac:dyDescent="0.2">
      <c r="A42" s="5944">
        <v>30000030</v>
      </c>
      <c r="B42" s="1087" t="s">
        <v>3708</v>
      </c>
      <c r="C42" s="192" t="s">
        <v>4567</v>
      </c>
      <c r="D42" s="382" t="s">
        <v>4568</v>
      </c>
      <c r="E42" s="192" t="s">
        <v>4569</v>
      </c>
      <c r="F42" s="382" t="s">
        <v>4570</v>
      </c>
      <c r="G42" s="192" t="s">
        <v>4571</v>
      </c>
      <c r="H42" s="382" t="s">
        <v>4572</v>
      </c>
      <c r="I42" s="192" t="s">
        <v>4573</v>
      </c>
      <c r="J42" s="382" t="s">
        <v>4574</v>
      </c>
      <c r="K42" s="192" t="s">
        <v>4575</v>
      </c>
      <c r="L42" s="382" t="s">
        <v>4576</v>
      </c>
      <c r="M42" s="192" t="s">
        <v>4577</v>
      </c>
      <c r="N42" s="382" t="s">
        <v>4578</v>
      </c>
      <c r="O42" s="192" t="s">
        <v>4579</v>
      </c>
      <c r="P42" s="382" t="s">
        <v>4580</v>
      </c>
      <c r="Q42" s="192" t="s">
        <v>4581</v>
      </c>
      <c r="R42" s="382" t="s">
        <v>4582</v>
      </c>
      <c r="S42" s="485" t="s">
        <v>4583</v>
      </c>
      <c r="T42" s="577" t="s">
        <v>4584</v>
      </c>
      <c r="U42" s="485" t="s">
        <v>4585</v>
      </c>
      <c r="V42" s="577" t="s">
        <v>4586</v>
      </c>
      <c r="W42" s="197" t="s">
        <v>4587</v>
      </c>
      <c r="X42" s="577" t="s">
        <v>4588</v>
      </c>
      <c r="Y42" s="485" t="s">
        <v>4589</v>
      </c>
      <c r="Z42" s="5026" t="s">
        <v>4590</v>
      </c>
      <c r="AA42" s="376" t="s">
        <v>4591</v>
      </c>
      <c r="AB42" s="64" t="s">
        <v>4592</v>
      </c>
      <c r="AC42" s="382" t="s">
        <v>4593</v>
      </c>
      <c r="AD42" s="376" t="s">
        <v>4594</v>
      </c>
      <c r="AE42" s="382" t="s">
        <v>4595</v>
      </c>
      <c r="AF42" s="481" t="s">
        <v>4596</v>
      </c>
      <c r="AG42" s="382" t="s">
        <v>4597</v>
      </c>
      <c r="AH42" s="192" t="s">
        <v>4598</v>
      </c>
      <c r="AI42" s="382" t="s">
        <v>4599</v>
      </c>
      <c r="AJ42" s="481" t="s">
        <v>4600</v>
      </c>
      <c r="AK42" s="383" t="s">
        <v>4601</v>
      </c>
      <c r="AL42" s="4770" t="s">
        <v>4602</v>
      </c>
      <c r="AM42" s="64" t="s">
        <v>4603</v>
      </c>
      <c r="AN42" s="382" t="s">
        <v>4604</v>
      </c>
      <c r="AO42" s="5027" t="s">
        <v>4605</v>
      </c>
      <c r="AP42" s="5028" t="s">
        <v>4606</v>
      </c>
      <c r="AQ42" s="5029" t="s">
        <v>4934</v>
      </c>
      <c r="AR42" s="5028" t="s">
        <v>4935</v>
      </c>
      <c r="AS42" s="5030" t="s">
        <v>4936</v>
      </c>
      <c r="AT42" s="5028" t="s">
        <v>4937</v>
      </c>
      <c r="AU42" s="5030" t="s">
        <v>5234</v>
      </c>
      <c r="AV42" s="5028" t="s">
        <v>5235</v>
      </c>
    </row>
    <row r="43" spans="1:48" s="7" customFormat="1" ht="15" customHeight="1" x14ac:dyDescent="0.2">
      <c r="A43" s="5944">
        <v>30000031</v>
      </c>
      <c r="B43" s="1087" t="s">
        <v>3709</v>
      </c>
      <c r="C43" s="192" t="s">
        <v>4567</v>
      </c>
      <c r="D43" s="382" t="s">
        <v>4568</v>
      </c>
      <c r="E43" s="192" t="s">
        <v>4569</v>
      </c>
      <c r="F43" s="382" t="s">
        <v>4570</v>
      </c>
      <c r="G43" s="192" t="s">
        <v>4571</v>
      </c>
      <c r="H43" s="382" t="s">
        <v>4572</v>
      </c>
      <c r="I43" s="192" t="s">
        <v>4573</v>
      </c>
      <c r="J43" s="382" t="s">
        <v>4574</v>
      </c>
      <c r="K43" s="192" t="s">
        <v>4575</v>
      </c>
      <c r="L43" s="382" t="s">
        <v>4576</v>
      </c>
      <c r="M43" s="192" t="s">
        <v>4577</v>
      </c>
      <c r="N43" s="382" t="s">
        <v>4578</v>
      </c>
      <c r="O43" s="192" t="s">
        <v>4579</v>
      </c>
      <c r="P43" s="382" t="s">
        <v>4580</v>
      </c>
      <c r="Q43" s="192" t="s">
        <v>4581</v>
      </c>
      <c r="R43" s="382" t="s">
        <v>4582</v>
      </c>
      <c r="S43" s="485" t="s">
        <v>4583</v>
      </c>
      <c r="T43" s="577" t="s">
        <v>4584</v>
      </c>
      <c r="U43" s="485" t="s">
        <v>4585</v>
      </c>
      <c r="V43" s="577" t="s">
        <v>4586</v>
      </c>
      <c r="W43" s="197" t="s">
        <v>4587</v>
      </c>
      <c r="X43" s="577" t="s">
        <v>4588</v>
      </c>
      <c r="Y43" s="485" t="s">
        <v>4589</v>
      </c>
      <c r="Z43" s="5026" t="s">
        <v>4590</v>
      </c>
      <c r="AA43" s="376" t="s">
        <v>4591</v>
      </c>
      <c r="AB43" s="64" t="s">
        <v>4592</v>
      </c>
      <c r="AC43" s="382" t="s">
        <v>4593</v>
      </c>
      <c r="AD43" s="376" t="s">
        <v>4594</v>
      </c>
      <c r="AE43" s="382" t="s">
        <v>4595</v>
      </c>
      <c r="AF43" s="481" t="s">
        <v>4596</v>
      </c>
      <c r="AG43" s="382" t="s">
        <v>4597</v>
      </c>
      <c r="AH43" s="192" t="s">
        <v>4598</v>
      </c>
      <c r="AI43" s="382" t="s">
        <v>4599</v>
      </c>
      <c r="AJ43" s="481" t="s">
        <v>4600</v>
      </c>
      <c r="AK43" s="383" t="s">
        <v>4601</v>
      </c>
      <c r="AL43" s="4770" t="s">
        <v>4602</v>
      </c>
      <c r="AM43" s="64" t="s">
        <v>4603</v>
      </c>
      <c r="AN43" s="382" t="s">
        <v>4604</v>
      </c>
      <c r="AO43" s="5027" t="s">
        <v>4605</v>
      </c>
      <c r="AP43" s="5028" t="s">
        <v>4606</v>
      </c>
      <c r="AQ43" s="5029" t="s">
        <v>4934</v>
      </c>
      <c r="AR43" s="5028" t="s">
        <v>4935</v>
      </c>
      <c r="AS43" s="5030" t="s">
        <v>4936</v>
      </c>
      <c r="AT43" s="5028" t="s">
        <v>4937</v>
      </c>
      <c r="AU43" s="5030" t="s">
        <v>5234</v>
      </c>
      <c r="AV43" s="5028" t="s">
        <v>5235</v>
      </c>
    </row>
    <row r="44" spans="1:48" s="7" customFormat="1" ht="15" customHeight="1" x14ac:dyDescent="0.2">
      <c r="A44" s="5944">
        <v>30000032</v>
      </c>
      <c r="B44" s="1087" t="s">
        <v>3710</v>
      </c>
      <c r="C44" s="192" t="s">
        <v>4567</v>
      </c>
      <c r="D44" s="382" t="s">
        <v>4568</v>
      </c>
      <c r="E44" s="192" t="s">
        <v>4569</v>
      </c>
      <c r="F44" s="382" t="s">
        <v>4570</v>
      </c>
      <c r="G44" s="192" t="s">
        <v>4571</v>
      </c>
      <c r="H44" s="382" t="s">
        <v>4572</v>
      </c>
      <c r="I44" s="192" t="s">
        <v>4573</v>
      </c>
      <c r="J44" s="382" t="s">
        <v>4574</v>
      </c>
      <c r="K44" s="192" t="s">
        <v>4575</v>
      </c>
      <c r="L44" s="382" t="s">
        <v>4576</v>
      </c>
      <c r="M44" s="192" t="s">
        <v>4577</v>
      </c>
      <c r="N44" s="382" t="s">
        <v>4578</v>
      </c>
      <c r="O44" s="192" t="s">
        <v>4579</v>
      </c>
      <c r="P44" s="382" t="s">
        <v>4580</v>
      </c>
      <c r="Q44" s="192" t="s">
        <v>4581</v>
      </c>
      <c r="R44" s="382" t="s">
        <v>4582</v>
      </c>
      <c r="S44" s="485" t="s">
        <v>4583</v>
      </c>
      <c r="T44" s="577" t="s">
        <v>4584</v>
      </c>
      <c r="U44" s="485" t="s">
        <v>4585</v>
      </c>
      <c r="V44" s="577" t="s">
        <v>4586</v>
      </c>
      <c r="W44" s="197" t="s">
        <v>4587</v>
      </c>
      <c r="X44" s="577" t="s">
        <v>4588</v>
      </c>
      <c r="Y44" s="485" t="s">
        <v>4589</v>
      </c>
      <c r="Z44" s="5026" t="s">
        <v>4590</v>
      </c>
      <c r="AA44" s="376" t="s">
        <v>4591</v>
      </c>
      <c r="AB44" s="64" t="s">
        <v>4592</v>
      </c>
      <c r="AC44" s="382" t="s">
        <v>4593</v>
      </c>
      <c r="AD44" s="376" t="s">
        <v>4594</v>
      </c>
      <c r="AE44" s="382" t="s">
        <v>4595</v>
      </c>
      <c r="AF44" s="481" t="s">
        <v>4596</v>
      </c>
      <c r="AG44" s="382" t="s">
        <v>4597</v>
      </c>
      <c r="AH44" s="192" t="s">
        <v>4598</v>
      </c>
      <c r="AI44" s="382" t="s">
        <v>4599</v>
      </c>
      <c r="AJ44" s="481" t="s">
        <v>4600</v>
      </c>
      <c r="AK44" s="383" t="s">
        <v>4601</v>
      </c>
      <c r="AL44" s="4770" t="s">
        <v>4602</v>
      </c>
      <c r="AM44" s="64" t="s">
        <v>4603</v>
      </c>
      <c r="AN44" s="382" t="s">
        <v>4604</v>
      </c>
      <c r="AO44" s="5027" t="s">
        <v>4605</v>
      </c>
      <c r="AP44" s="5028" t="s">
        <v>4606</v>
      </c>
      <c r="AQ44" s="5029" t="s">
        <v>4934</v>
      </c>
      <c r="AR44" s="5028" t="s">
        <v>4935</v>
      </c>
      <c r="AS44" s="5030" t="s">
        <v>4936</v>
      </c>
      <c r="AT44" s="5028" t="s">
        <v>4937</v>
      </c>
      <c r="AU44" s="5030" t="s">
        <v>5234</v>
      </c>
      <c r="AV44" s="5028" t="s">
        <v>5235</v>
      </c>
    </row>
    <row r="45" spans="1:48" s="7" customFormat="1" ht="15" customHeight="1" x14ac:dyDescent="0.2">
      <c r="A45" s="5945">
        <v>30101121</v>
      </c>
      <c r="B45" s="1087" t="s">
        <v>4312</v>
      </c>
      <c r="C45" s="192" t="s">
        <v>4567</v>
      </c>
      <c r="D45" s="382" t="s">
        <v>4568</v>
      </c>
      <c r="E45" s="192" t="s">
        <v>4569</v>
      </c>
      <c r="F45" s="382" t="s">
        <v>4570</v>
      </c>
      <c r="G45" s="192" t="s">
        <v>4571</v>
      </c>
      <c r="H45" s="382" t="s">
        <v>4572</v>
      </c>
      <c r="I45" s="192" t="s">
        <v>4573</v>
      </c>
      <c r="J45" s="382" t="s">
        <v>4574</v>
      </c>
      <c r="K45" s="192" t="s">
        <v>4575</v>
      </c>
      <c r="L45" s="382" t="s">
        <v>4576</v>
      </c>
      <c r="M45" s="192" t="s">
        <v>4577</v>
      </c>
      <c r="N45" s="382" t="s">
        <v>4578</v>
      </c>
      <c r="O45" s="192" t="s">
        <v>4579</v>
      </c>
      <c r="P45" s="382" t="s">
        <v>4580</v>
      </c>
      <c r="Q45" s="192" t="s">
        <v>4581</v>
      </c>
      <c r="R45" s="382" t="s">
        <v>4582</v>
      </c>
      <c r="S45" s="485" t="s">
        <v>4583</v>
      </c>
      <c r="T45" s="577" t="s">
        <v>4584</v>
      </c>
      <c r="U45" s="485" t="s">
        <v>4585</v>
      </c>
      <c r="V45" s="577" t="s">
        <v>4586</v>
      </c>
      <c r="W45" s="197" t="s">
        <v>4587</v>
      </c>
      <c r="X45" s="577" t="s">
        <v>4588</v>
      </c>
      <c r="Y45" s="485" t="s">
        <v>4589</v>
      </c>
      <c r="Z45" s="5026" t="s">
        <v>4590</v>
      </c>
      <c r="AA45" s="376" t="s">
        <v>4591</v>
      </c>
      <c r="AB45" s="64" t="s">
        <v>4592</v>
      </c>
      <c r="AC45" s="382" t="s">
        <v>4593</v>
      </c>
      <c r="AD45" s="376" t="s">
        <v>4594</v>
      </c>
      <c r="AE45" s="382" t="s">
        <v>4595</v>
      </c>
      <c r="AF45" s="481" t="s">
        <v>4596</v>
      </c>
      <c r="AG45" s="382" t="s">
        <v>4597</v>
      </c>
      <c r="AH45" s="192" t="s">
        <v>4598</v>
      </c>
      <c r="AI45" s="382" t="s">
        <v>4599</v>
      </c>
      <c r="AJ45" s="481" t="s">
        <v>4600</v>
      </c>
      <c r="AK45" s="383" t="s">
        <v>4601</v>
      </c>
      <c r="AL45" s="4770" t="s">
        <v>4602</v>
      </c>
      <c r="AM45" s="64" t="s">
        <v>4603</v>
      </c>
      <c r="AN45" s="382" t="s">
        <v>4604</v>
      </c>
      <c r="AO45" s="5027" t="s">
        <v>4605</v>
      </c>
      <c r="AP45" s="5028" t="s">
        <v>4606</v>
      </c>
      <c r="AQ45" s="5029" t="s">
        <v>4934</v>
      </c>
      <c r="AR45" s="5028" t="s">
        <v>4935</v>
      </c>
      <c r="AS45" s="5030" t="s">
        <v>4936</v>
      </c>
      <c r="AT45" s="5028" t="s">
        <v>4937</v>
      </c>
      <c r="AU45" s="5030" t="s">
        <v>5234</v>
      </c>
      <c r="AV45" s="5028" t="s">
        <v>5235</v>
      </c>
    </row>
    <row r="46" spans="1:48" s="7" customFormat="1" ht="15" customHeight="1" x14ac:dyDescent="0.2">
      <c r="A46" s="5944">
        <v>30000034</v>
      </c>
      <c r="B46" s="24" t="s">
        <v>3711</v>
      </c>
      <c r="C46" s="192" t="s">
        <v>4567</v>
      </c>
      <c r="D46" s="382" t="s">
        <v>4568</v>
      </c>
      <c r="E46" s="192" t="s">
        <v>4569</v>
      </c>
      <c r="F46" s="382" t="s">
        <v>4570</v>
      </c>
      <c r="G46" s="192" t="s">
        <v>4571</v>
      </c>
      <c r="H46" s="382" t="s">
        <v>4572</v>
      </c>
      <c r="I46" s="192" t="s">
        <v>4573</v>
      </c>
      <c r="J46" s="382" t="s">
        <v>4574</v>
      </c>
      <c r="K46" s="192" t="s">
        <v>4575</v>
      </c>
      <c r="L46" s="382" t="s">
        <v>4576</v>
      </c>
      <c r="M46" s="192" t="s">
        <v>4577</v>
      </c>
      <c r="N46" s="382" t="s">
        <v>4578</v>
      </c>
      <c r="O46" s="192" t="s">
        <v>4579</v>
      </c>
      <c r="P46" s="382" t="s">
        <v>4580</v>
      </c>
      <c r="Q46" s="192" t="s">
        <v>4581</v>
      </c>
      <c r="R46" s="382" t="s">
        <v>4582</v>
      </c>
      <c r="S46" s="485" t="s">
        <v>4583</v>
      </c>
      <c r="T46" s="577" t="s">
        <v>4584</v>
      </c>
      <c r="U46" s="485" t="s">
        <v>4585</v>
      </c>
      <c r="V46" s="577" t="s">
        <v>4586</v>
      </c>
      <c r="W46" s="197" t="s">
        <v>4587</v>
      </c>
      <c r="X46" s="577" t="s">
        <v>4588</v>
      </c>
      <c r="Y46" s="485" t="s">
        <v>4589</v>
      </c>
      <c r="Z46" s="5026" t="s">
        <v>4590</v>
      </c>
      <c r="AA46" s="376" t="s">
        <v>4591</v>
      </c>
      <c r="AB46" s="64" t="s">
        <v>4592</v>
      </c>
      <c r="AC46" s="382" t="s">
        <v>4593</v>
      </c>
      <c r="AD46" s="376" t="s">
        <v>4594</v>
      </c>
      <c r="AE46" s="382" t="s">
        <v>4595</v>
      </c>
      <c r="AF46" s="481" t="s">
        <v>4596</v>
      </c>
      <c r="AG46" s="382" t="s">
        <v>4597</v>
      </c>
      <c r="AH46" s="192" t="s">
        <v>4598</v>
      </c>
      <c r="AI46" s="382" t="s">
        <v>4599</v>
      </c>
      <c r="AJ46" s="481" t="s">
        <v>4600</v>
      </c>
      <c r="AK46" s="383" t="s">
        <v>4601</v>
      </c>
      <c r="AL46" s="4770" t="s">
        <v>4602</v>
      </c>
      <c r="AM46" s="64" t="s">
        <v>4603</v>
      </c>
      <c r="AN46" s="382" t="s">
        <v>4604</v>
      </c>
      <c r="AO46" s="5027" t="s">
        <v>4605</v>
      </c>
      <c r="AP46" s="5028" t="s">
        <v>4606</v>
      </c>
      <c r="AQ46" s="5029" t="s">
        <v>4934</v>
      </c>
      <c r="AR46" s="5028" t="s">
        <v>4935</v>
      </c>
      <c r="AS46" s="5030" t="s">
        <v>4936</v>
      </c>
      <c r="AT46" s="5028" t="s">
        <v>4937</v>
      </c>
      <c r="AU46" s="5030" t="s">
        <v>5234</v>
      </c>
      <c r="AV46" s="5028" t="s">
        <v>5235</v>
      </c>
    </row>
    <row r="47" spans="1:48" s="7" customFormat="1" ht="15" customHeight="1" x14ac:dyDescent="0.2">
      <c r="A47" s="5944">
        <v>30000035</v>
      </c>
      <c r="B47" s="5031" t="s">
        <v>3712</v>
      </c>
      <c r="C47" s="192" t="s">
        <v>4567</v>
      </c>
      <c r="D47" s="382" t="s">
        <v>4568</v>
      </c>
      <c r="E47" s="192" t="s">
        <v>4569</v>
      </c>
      <c r="F47" s="382" t="s">
        <v>4570</v>
      </c>
      <c r="G47" s="192" t="s">
        <v>4571</v>
      </c>
      <c r="H47" s="382" t="s">
        <v>4572</v>
      </c>
      <c r="I47" s="192" t="s">
        <v>4573</v>
      </c>
      <c r="J47" s="382" t="s">
        <v>4574</v>
      </c>
      <c r="K47" s="192" t="s">
        <v>4575</v>
      </c>
      <c r="L47" s="382" t="s">
        <v>4576</v>
      </c>
      <c r="M47" s="192" t="s">
        <v>4577</v>
      </c>
      <c r="N47" s="382" t="s">
        <v>4578</v>
      </c>
      <c r="O47" s="192" t="s">
        <v>4579</v>
      </c>
      <c r="P47" s="382" t="s">
        <v>4580</v>
      </c>
      <c r="Q47" s="192" t="s">
        <v>4581</v>
      </c>
      <c r="R47" s="382" t="s">
        <v>4582</v>
      </c>
      <c r="S47" s="485" t="s">
        <v>4583</v>
      </c>
      <c r="T47" s="577" t="s">
        <v>4584</v>
      </c>
      <c r="U47" s="485" t="s">
        <v>4585</v>
      </c>
      <c r="V47" s="577" t="s">
        <v>4586</v>
      </c>
      <c r="W47" s="197" t="s">
        <v>4587</v>
      </c>
      <c r="X47" s="577" t="s">
        <v>4588</v>
      </c>
      <c r="Y47" s="485" t="s">
        <v>4589</v>
      </c>
      <c r="Z47" s="5026" t="s">
        <v>4590</v>
      </c>
      <c r="AA47" s="376" t="s">
        <v>4591</v>
      </c>
      <c r="AB47" s="64" t="s">
        <v>4592</v>
      </c>
      <c r="AC47" s="382" t="s">
        <v>4593</v>
      </c>
      <c r="AD47" s="376" t="s">
        <v>4594</v>
      </c>
      <c r="AE47" s="382" t="s">
        <v>4595</v>
      </c>
      <c r="AF47" s="481" t="s">
        <v>4596</v>
      </c>
      <c r="AG47" s="382" t="s">
        <v>4597</v>
      </c>
      <c r="AH47" s="192" t="s">
        <v>4598</v>
      </c>
      <c r="AI47" s="382" t="s">
        <v>4599</v>
      </c>
      <c r="AJ47" s="481" t="s">
        <v>4600</v>
      </c>
      <c r="AK47" s="383" t="s">
        <v>4601</v>
      </c>
      <c r="AL47" s="4770" t="s">
        <v>4602</v>
      </c>
      <c r="AM47" s="64" t="s">
        <v>4603</v>
      </c>
      <c r="AN47" s="382" t="s">
        <v>4604</v>
      </c>
      <c r="AO47" s="5027" t="s">
        <v>4605</v>
      </c>
      <c r="AP47" s="5028" t="s">
        <v>4606</v>
      </c>
      <c r="AQ47" s="5029" t="s">
        <v>4934</v>
      </c>
      <c r="AR47" s="5028" t="s">
        <v>4935</v>
      </c>
      <c r="AS47" s="5030" t="s">
        <v>4936</v>
      </c>
      <c r="AT47" s="5028" t="s">
        <v>4937</v>
      </c>
      <c r="AU47" s="5030" t="s">
        <v>5234</v>
      </c>
      <c r="AV47" s="5028" t="s">
        <v>5235</v>
      </c>
    </row>
    <row r="48" spans="1:48" s="7" customFormat="1" ht="15" customHeight="1" x14ac:dyDescent="0.2">
      <c r="A48" s="5945">
        <v>30101122</v>
      </c>
      <c r="B48" s="1087" t="s">
        <v>4313</v>
      </c>
      <c r="C48" s="192" t="s">
        <v>4567</v>
      </c>
      <c r="D48" s="382" t="s">
        <v>4568</v>
      </c>
      <c r="E48" s="192" t="s">
        <v>4569</v>
      </c>
      <c r="F48" s="382" t="s">
        <v>4570</v>
      </c>
      <c r="G48" s="192" t="s">
        <v>4571</v>
      </c>
      <c r="H48" s="382" t="s">
        <v>4572</v>
      </c>
      <c r="I48" s="192" t="s">
        <v>4573</v>
      </c>
      <c r="J48" s="382" t="s">
        <v>4574</v>
      </c>
      <c r="K48" s="192" t="s">
        <v>4575</v>
      </c>
      <c r="L48" s="382" t="s">
        <v>4576</v>
      </c>
      <c r="M48" s="192" t="s">
        <v>4577</v>
      </c>
      <c r="N48" s="382" t="s">
        <v>4578</v>
      </c>
      <c r="O48" s="192" t="s">
        <v>4579</v>
      </c>
      <c r="P48" s="382" t="s">
        <v>4580</v>
      </c>
      <c r="Q48" s="192" t="s">
        <v>4581</v>
      </c>
      <c r="R48" s="382" t="s">
        <v>4582</v>
      </c>
      <c r="S48" s="485" t="s">
        <v>4583</v>
      </c>
      <c r="T48" s="577" t="s">
        <v>4584</v>
      </c>
      <c r="U48" s="485" t="s">
        <v>4585</v>
      </c>
      <c r="V48" s="577" t="s">
        <v>4586</v>
      </c>
      <c r="W48" s="197" t="s">
        <v>4587</v>
      </c>
      <c r="X48" s="577" t="s">
        <v>4588</v>
      </c>
      <c r="Y48" s="485" t="s">
        <v>4589</v>
      </c>
      <c r="Z48" s="5026" t="s">
        <v>4590</v>
      </c>
      <c r="AA48" s="376" t="s">
        <v>4591</v>
      </c>
      <c r="AB48" s="64" t="s">
        <v>4592</v>
      </c>
      <c r="AC48" s="382" t="s">
        <v>4593</v>
      </c>
      <c r="AD48" s="376" t="s">
        <v>4594</v>
      </c>
      <c r="AE48" s="382" t="s">
        <v>4595</v>
      </c>
      <c r="AF48" s="481" t="s">
        <v>4596</v>
      </c>
      <c r="AG48" s="382" t="s">
        <v>4597</v>
      </c>
      <c r="AH48" s="192" t="s">
        <v>4598</v>
      </c>
      <c r="AI48" s="382" t="s">
        <v>4599</v>
      </c>
      <c r="AJ48" s="481" t="s">
        <v>4600</v>
      </c>
      <c r="AK48" s="383" t="s">
        <v>4601</v>
      </c>
      <c r="AL48" s="4770" t="s">
        <v>4602</v>
      </c>
      <c r="AM48" s="64" t="s">
        <v>4603</v>
      </c>
      <c r="AN48" s="382" t="s">
        <v>4604</v>
      </c>
      <c r="AO48" s="5027" t="s">
        <v>4605</v>
      </c>
      <c r="AP48" s="5028" t="s">
        <v>4606</v>
      </c>
      <c r="AQ48" s="5029" t="s">
        <v>4934</v>
      </c>
      <c r="AR48" s="5028" t="s">
        <v>4935</v>
      </c>
      <c r="AS48" s="5030" t="s">
        <v>4936</v>
      </c>
      <c r="AT48" s="5028" t="s">
        <v>4937</v>
      </c>
      <c r="AU48" s="5030" t="s">
        <v>5234</v>
      </c>
      <c r="AV48" s="5028" t="s">
        <v>5235</v>
      </c>
    </row>
    <row r="49" spans="1:48" s="7" customFormat="1" ht="15" customHeight="1" x14ac:dyDescent="0.2">
      <c r="A49" s="5945">
        <v>30101123</v>
      </c>
      <c r="B49" s="1087" t="s">
        <v>4315</v>
      </c>
      <c r="C49" s="192" t="s">
        <v>4567</v>
      </c>
      <c r="D49" s="382" t="s">
        <v>4568</v>
      </c>
      <c r="E49" s="192" t="s">
        <v>4569</v>
      </c>
      <c r="F49" s="382" t="s">
        <v>4570</v>
      </c>
      <c r="G49" s="192" t="s">
        <v>4571</v>
      </c>
      <c r="H49" s="382" t="s">
        <v>4572</v>
      </c>
      <c r="I49" s="192" t="s">
        <v>4573</v>
      </c>
      <c r="J49" s="382" t="s">
        <v>4574</v>
      </c>
      <c r="K49" s="192" t="s">
        <v>4575</v>
      </c>
      <c r="L49" s="382" t="s">
        <v>4576</v>
      </c>
      <c r="M49" s="192" t="s">
        <v>4577</v>
      </c>
      <c r="N49" s="382" t="s">
        <v>4578</v>
      </c>
      <c r="O49" s="192" t="s">
        <v>4579</v>
      </c>
      <c r="P49" s="382" t="s">
        <v>4580</v>
      </c>
      <c r="Q49" s="192" t="s">
        <v>4581</v>
      </c>
      <c r="R49" s="382" t="s">
        <v>4582</v>
      </c>
      <c r="S49" s="485" t="s">
        <v>4583</v>
      </c>
      <c r="T49" s="577" t="s">
        <v>4584</v>
      </c>
      <c r="U49" s="485" t="s">
        <v>4585</v>
      </c>
      <c r="V49" s="577" t="s">
        <v>4586</v>
      </c>
      <c r="W49" s="197" t="s">
        <v>4587</v>
      </c>
      <c r="X49" s="577" t="s">
        <v>4588</v>
      </c>
      <c r="Y49" s="485" t="s">
        <v>4589</v>
      </c>
      <c r="Z49" s="5026" t="s">
        <v>4590</v>
      </c>
      <c r="AA49" s="376" t="s">
        <v>4591</v>
      </c>
      <c r="AB49" s="64" t="s">
        <v>4592</v>
      </c>
      <c r="AC49" s="382" t="s">
        <v>4593</v>
      </c>
      <c r="AD49" s="376" t="s">
        <v>4594</v>
      </c>
      <c r="AE49" s="382" t="s">
        <v>4595</v>
      </c>
      <c r="AF49" s="481" t="s">
        <v>4596</v>
      </c>
      <c r="AG49" s="382" t="s">
        <v>4597</v>
      </c>
      <c r="AH49" s="192" t="s">
        <v>4598</v>
      </c>
      <c r="AI49" s="382" t="s">
        <v>4599</v>
      </c>
      <c r="AJ49" s="481" t="s">
        <v>4600</v>
      </c>
      <c r="AK49" s="383" t="s">
        <v>4601</v>
      </c>
      <c r="AL49" s="4770" t="s">
        <v>4602</v>
      </c>
      <c r="AM49" s="64" t="s">
        <v>4603</v>
      </c>
      <c r="AN49" s="382" t="s">
        <v>4604</v>
      </c>
      <c r="AO49" s="5027" t="s">
        <v>4605</v>
      </c>
      <c r="AP49" s="5028" t="s">
        <v>4606</v>
      </c>
      <c r="AQ49" s="5029" t="s">
        <v>4934</v>
      </c>
      <c r="AR49" s="5028" t="s">
        <v>4935</v>
      </c>
      <c r="AS49" s="5030" t="s">
        <v>4936</v>
      </c>
      <c r="AT49" s="5028" t="s">
        <v>4937</v>
      </c>
      <c r="AU49" s="5030" t="s">
        <v>5234</v>
      </c>
      <c r="AV49" s="5028" t="s">
        <v>5235</v>
      </c>
    </row>
    <row r="50" spans="1:48" s="7" customFormat="1" ht="15" customHeight="1" x14ac:dyDescent="0.2">
      <c r="A50" s="5944">
        <v>30000038</v>
      </c>
      <c r="B50" s="1087" t="s">
        <v>3713</v>
      </c>
      <c r="C50" s="192" t="s">
        <v>4567</v>
      </c>
      <c r="D50" s="382" t="s">
        <v>4568</v>
      </c>
      <c r="E50" s="192" t="s">
        <v>4569</v>
      </c>
      <c r="F50" s="382" t="s">
        <v>4570</v>
      </c>
      <c r="G50" s="192" t="s">
        <v>4571</v>
      </c>
      <c r="H50" s="382" t="s">
        <v>4572</v>
      </c>
      <c r="I50" s="192" t="s">
        <v>4573</v>
      </c>
      <c r="J50" s="382" t="s">
        <v>4574</v>
      </c>
      <c r="K50" s="192" t="s">
        <v>4575</v>
      </c>
      <c r="L50" s="382" t="s">
        <v>4576</v>
      </c>
      <c r="M50" s="192" t="s">
        <v>4577</v>
      </c>
      <c r="N50" s="382" t="s">
        <v>4578</v>
      </c>
      <c r="O50" s="192" t="s">
        <v>4579</v>
      </c>
      <c r="P50" s="382" t="s">
        <v>4580</v>
      </c>
      <c r="Q50" s="192" t="s">
        <v>4581</v>
      </c>
      <c r="R50" s="382" t="s">
        <v>4582</v>
      </c>
      <c r="S50" s="485" t="s">
        <v>4583</v>
      </c>
      <c r="T50" s="577" t="s">
        <v>4584</v>
      </c>
      <c r="U50" s="485" t="s">
        <v>4585</v>
      </c>
      <c r="V50" s="577" t="s">
        <v>4586</v>
      </c>
      <c r="W50" s="197" t="s">
        <v>4587</v>
      </c>
      <c r="X50" s="577" t="s">
        <v>4588</v>
      </c>
      <c r="Y50" s="485" t="s">
        <v>4589</v>
      </c>
      <c r="Z50" s="5026" t="s">
        <v>4590</v>
      </c>
      <c r="AA50" s="376" t="s">
        <v>4591</v>
      </c>
      <c r="AB50" s="64" t="s">
        <v>4592</v>
      </c>
      <c r="AC50" s="382" t="s">
        <v>4593</v>
      </c>
      <c r="AD50" s="376" t="s">
        <v>4594</v>
      </c>
      <c r="AE50" s="382" t="s">
        <v>4595</v>
      </c>
      <c r="AF50" s="481" t="s">
        <v>4596</v>
      </c>
      <c r="AG50" s="382" t="s">
        <v>4597</v>
      </c>
      <c r="AH50" s="192" t="s">
        <v>4598</v>
      </c>
      <c r="AI50" s="382" t="s">
        <v>4599</v>
      </c>
      <c r="AJ50" s="481" t="s">
        <v>4600</v>
      </c>
      <c r="AK50" s="383" t="s">
        <v>4601</v>
      </c>
      <c r="AL50" s="4770" t="s">
        <v>4602</v>
      </c>
      <c r="AM50" s="64" t="s">
        <v>4603</v>
      </c>
      <c r="AN50" s="382" t="s">
        <v>4604</v>
      </c>
      <c r="AO50" s="5027" t="s">
        <v>4605</v>
      </c>
      <c r="AP50" s="5028" t="s">
        <v>4606</v>
      </c>
      <c r="AQ50" s="5029" t="s">
        <v>4934</v>
      </c>
      <c r="AR50" s="5028" t="s">
        <v>4935</v>
      </c>
      <c r="AS50" s="5030" t="s">
        <v>4936</v>
      </c>
      <c r="AT50" s="5028" t="s">
        <v>4937</v>
      </c>
      <c r="AU50" s="5030" t="s">
        <v>5234</v>
      </c>
      <c r="AV50" s="5028" t="s">
        <v>5235</v>
      </c>
    </row>
    <row r="51" spans="1:48" s="7" customFormat="1" ht="15" customHeight="1" x14ac:dyDescent="0.2">
      <c r="A51" s="5944">
        <v>30000039</v>
      </c>
      <c r="B51" s="1087" t="s">
        <v>3714</v>
      </c>
      <c r="C51" s="192" t="s">
        <v>4567</v>
      </c>
      <c r="D51" s="382" t="s">
        <v>4568</v>
      </c>
      <c r="E51" s="192" t="s">
        <v>4569</v>
      </c>
      <c r="F51" s="382" t="s">
        <v>4570</v>
      </c>
      <c r="G51" s="192" t="s">
        <v>4571</v>
      </c>
      <c r="H51" s="382" t="s">
        <v>4572</v>
      </c>
      <c r="I51" s="192" t="s">
        <v>4573</v>
      </c>
      <c r="J51" s="382" t="s">
        <v>4574</v>
      </c>
      <c r="K51" s="192" t="s">
        <v>4575</v>
      </c>
      <c r="L51" s="382" t="s">
        <v>4576</v>
      </c>
      <c r="M51" s="192" t="s">
        <v>4577</v>
      </c>
      <c r="N51" s="382" t="s">
        <v>4578</v>
      </c>
      <c r="O51" s="192" t="s">
        <v>4579</v>
      </c>
      <c r="P51" s="382" t="s">
        <v>4580</v>
      </c>
      <c r="Q51" s="192" t="s">
        <v>4581</v>
      </c>
      <c r="R51" s="382" t="s">
        <v>4582</v>
      </c>
      <c r="S51" s="485" t="s">
        <v>4583</v>
      </c>
      <c r="T51" s="577" t="s">
        <v>4584</v>
      </c>
      <c r="U51" s="485" t="s">
        <v>4585</v>
      </c>
      <c r="V51" s="577" t="s">
        <v>4586</v>
      </c>
      <c r="W51" s="197" t="s">
        <v>4587</v>
      </c>
      <c r="X51" s="577" t="s">
        <v>4588</v>
      </c>
      <c r="Y51" s="485" t="s">
        <v>4589</v>
      </c>
      <c r="Z51" s="5026" t="s">
        <v>4590</v>
      </c>
      <c r="AA51" s="376" t="s">
        <v>4591</v>
      </c>
      <c r="AB51" s="64" t="s">
        <v>4592</v>
      </c>
      <c r="AC51" s="382" t="s">
        <v>4593</v>
      </c>
      <c r="AD51" s="376" t="s">
        <v>4594</v>
      </c>
      <c r="AE51" s="382" t="s">
        <v>4595</v>
      </c>
      <c r="AF51" s="481" t="s">
        <v>4596</v>
      </c>
      <c r="AG51" s="382" t="s">
        <v>4597</v>
      </c>
      <c r="AH51" s="192" t="s">
        <v>4598</v>
      </c>
      <c r="AI51" s="382" t="s">
        <v>4599</v>
      </c>
      <c r="AJ51" s="481" t="s">
        <v>4600</v>
      </c>
      <c r="AK51" s="383" t="s">
        <v>4601</v>
      </c>
      <c r="AL51" s="4770" t="s">
        <v>4602</v>
      </c>
      <c r="AM51" s="64" t="s">
        <v>4603</v>
      </c>
      <c r="AN51" s="382" t="s">
        <v>4604</v>
      </c>
      <c r="AO51" s="5027" t="s">
        <v>4605</v>
      </c>
      <c r="AP51" s="5028" t="s">
        <v>4606</v>
      </c>
      <c r="AQ51" s="5029" t="s">
        <v>4934</v>
      </c>
      <c r="AR51" s="5028" t="s">
        <v>4935</v>
      </c>
      <c r="AS51" s="5030" t="s">
        <v>4936</v>
      </c>
      <c r="AT51" s="5028" t="s">
        <v>4937</v>
      </c>
      <c r="AU51" s="5030" t="s">
        <v>5234</v>
      </c>
      <c r="AV51" s="5028" t="s">
        <v>5235</v>
      </c>
    </row>
    <row r="52" spans="1:48" s="7" customFormat="1" ht="15" customHeight="1" x14ac:dyDescent="0.2">
      <c r="A52" s="5944">
        <v>30000040</v>
      </c>
      <c r="B52" s="1087" t="s">
        <v>3715</v>
      </c>
      <c r="C52" s="192" t="s">
        <v>4567</v>
      </c>
      <c r="D52" s="382" t="s">
        <v>4568</v>
      </c>
      <c r="E52" s="192" t="s">
        <v>4569</v>
      </c>
      <c r="F52" s="382" t="s">
        <v>4570</v>
      </c>
      <c r="G52" s="192" t="s">
        <v>4571</v>
      </c>
      <c r="H52" s="382" t="s">
        <v>4572</v>
      </c>
      <c r="I52" s="192" t="s">
        <v>4573</v>
      </c>
      <c r="J52" s="382" t="s">
        <v>4574</v>
      </c>
      <c r="K52" s="192" t="s">
        <v>4575</v>
      </c>
      <c r="L52" s="382" t="s">
        <v>4576</v>
      </c>
      <c r="M52" s="192" t="s">
        <v>4577</v>
      </c>
      <c r="N52" s="382" t="s">
        <v>4578</v>
      </c>
      <c r="O52" s="192" t="s">
        <v>4579</v>
      </c>
      <c r="P52" s="382" t="s">
        <v>4580</v>
      </c>
      <c r="Q52" s="192" t="s">
        <v>4581</v>
      </c>
      <c r="R52" s="382" t="s">
        <v>4582</v>
      </c>
      <c r="S52" s="485" t="s">
        <v>4583</v>
      </c>
      <c r="T52" s="577" t="s">
        <v>4584</v>
      </c>
      <c r="U52" s="485" t="s">
        <v>4585</v>
      </c>
      <c r="V52" s="577" t="s">
        <v>4586</v>
      </c>
      <c r="W52" s="197" t="s">
        <v>4587</v>
      </c>
      <c r="X52" s="577" t="s">
        <v>4588</v>
      </c>
      <c r="Y52" s="485" t="s">
        <v>4589</v>
      </c>
      <c r="Z52" s="5026" t="s">
        <v>4590</v>
      </c>
      <c r="AA52" s="376" t="s">
        <v>4591</v>
      </c>
      <c r="AB52" s="64" t="s">
        <v>4592</v>
      </c>
      <c r="AC52" s="382" t="s">
        <v>4593</v>
      </c>
      <c r="AD52" s="376" t="s">
        <v>4594</v>
      </c>
      <c r="AE52" s="382" t="s">
        <v>4595</v>
      </c>
      <c r="AF52" s="481" t="s">
        <v>4596</v>
      </c>
      <c r="AG52" s="382" t="s">
        <v>4597</v>
      </c>
      <c r="AH52" s="192" t="s">
        <v>4598</v>
      </c>
      <c r="AI52" s="382" t="s">
        <v>4599</v>
      </c>
      <c r="AJ52" s="481" t="s">
        <v>4600</v>
      </c>
      <c r="AK52" s="383" t="s">
        <v>4601</v>
      </c>
      <c r="AL52" s="4770" t="s">
        <v>4602</v>
      </c>
      <c r="AM52" s="64" t="s">
        <v>4603</v>
      </c>
      <c r="AN52" s="382" t="s">
        <v>4604</v>
      </c>
      <c r="AO52" s="5027" t="s">
        <v>4605</v>
      </c>
      <c r="AP52" s="5028" t="s">
        <v>4606</v>
      </c>
      <c r="AQ52" s="5029" t="s">
        <v>4934</v>
      </c>
      <c r="AR52" s="5028" t="s">
        <v>4935</v>
      </c>
      <c r="AS52" s="5030" t="s">
        <v>4936</v>
      </c>
      <c r="AT52" s="5028" t="s">
        <v>4937</v>
      </c>
      <c r="AU52" s="5030" t="s">
        <v>5234</v>
      </c>
      <c r="AV52" s="5028" t="s">
        <v>5235</v>
      </c>
    </row>
    <row r="53" spans="1:48" s="7" customFormat="1" ht="15" customHeight="1" x14ac:dyDescent="0.2">
      <c r="A53" s="5944">
        <v>30000041</v>
      </c>
      <c r="B53" s="1087" t="s">
        <v>1234</v>
      </c>
      <c r="C53" s="192" t="s">
        <v>4567</v>
      </c>
      <c r="D53" s="382" t="s">
        <v>4568</v>
      </c>
      <c r="E53" s="192" t="s">
        <v>4569</v>
      </c>
      <c r="F53" s="382" t="s">
        <v>4570</v>
      </c>
      <c r="G53" s="192" t="s">
        <v>4571</v>
      </c>
      <c r="H53" s="382" t="s">
        <v>4572</v>
      </c>
      <c r="I53" s="192" t="s">
        <v>4573</v>
      </c>
      <c r="J53" s="382" t="s">
        <v>4574</v>
      </c>
      <c r="K53" s="192" t="s">
        <v>4575</v>
      </c>
      <c r="L53" s="382" t="s">
        <v>4576</v>
      </c>
      <c r="M53" s="192" t="s">
        <v>4577</v>
      </c>
      <c r="N53" s="382" t="s">
        <v>4578</v>
      </c>
      <c r="O53" s="192" t="s">
        <v>4579</v>
      </c>
      <c r="P53" s="382" t="s">
        <v>4580</v>
      </c>
      <c r="Q53" s="192" t="s">
        <v>4581</v>
      </c>
      <c r="R53" s="382" t="s">
        <v>4582</v>
      </c>
      <c r="S53" s="485" t="s">
        <v>4583</v>
      </c>
      <c r="T53" s="577" t="s">
        <v>4584</v>
      </c>
      <c r="U53" s="485" t="s">
        <v>4585</v>
      </c>
      <c r="V53" s="577" t="s">
        <v>4586</v>
      </c>
      <c r="W53" s="197" t="s">
        <v>4587</v>
      </c>
      <c r="X53" s="577" t="s">
        <v>4588</v>
      </c>
      <c r="Y53" s="485" t="s">
        <v>4589</v>
      </c>
      <c r="Z53" s="5026" t="s">
        <v>4590</v>
      </c>
      <c r="AA53" s="376" t="s">
        <v>4591</v>
      </c>
      <c r="AB53" s="64" t="s">
        <v>4592</v>
      </c>
      <c r="AC53" s="382" t="s">
        <v>4593</v>
      </c>
      <c r="AD53" s="376" t="s">
        <v>4594</v>
      </c>
      <c r="AE53" s="382" t="s">
        <v>4595</v>
      </c>
      <c r="AF53" s="481" t="s">
        <v>4596</v>
      </c>
      <c r="AG53" s="382" t="s">
        <v>4597</v>
      </c>
      <c r="AH53" s="192" t="s">
        <v>4598</v>
      </c>
      <c r="AI53" s="382" t="s">
        <v>4599</v>
      </c>
      <c r="AJ53" s="481" t="s">
        <v>4600</v>
      </c>
      <c r="AK53" s="383" t="s">
        <v>4601</v>
      </c>
      <c r="AL53" s="4770" t="s">
        <v>4602</v>
      </c>
      <c r="AM53" s="64" t="s">
        <v>4603</v>
      </c>
      <c r="AN53" s="382" t="s">
        <v>4604</v>
      </c>
      <c r="AO53" s="5027" t="s">
        <v>4605</v>
      </c>
      <c r="AP53" s="5028" t="s">
        <v>4606</v>
      </c>
      <c r="AQ53" s="5029" t="s">
        <v>4934</v>
      </c>
      <c r="AR53" s="5028" t="s">
        <v>4935</v>
      </c>
      <c r="AS53" s="5030" t="s">
        <v>4936</v>
      </c>
      <c r="AT53" s="5028" t="s">
        <v>4937</v>
      </c>
      <c r="AU53" s="5030" t="s">
        <v>5234</v>
      </c>
      <c r="AV53" s="5028" t="s">
        <v>5235</v>
      </c>
    </row>
    <row r="54" spans="1:48" s="7" customFormat="1" ht="15" customHeight="1" x14ac:dyDescent="0.2">
      <c r="A54" s="5944">
        <v>30000042</v>
      </c>
      <c r="B54" s="1087" t="s">
        <v>3716</v>
      </c>
      <c r="C54" s="192" t="s">
        <v>4567</v>
      </c>
      <c r="D54" s="382" t="s">
        <v>4568</v>
      </c>
      <c r="E54" s="192" t="s">
        <v>4569</v>
      </c>
      <c r="F54" s="382" t="s">
        <v>4570</v>
      </c>
      <c r="G54" s="192" t="s">
        <v>4571</v>
      </c>
      <c r="H54" s="382" t="s">
        <v>4572</v>
      </c>
      <c r="I54" s="192" t="s">
        <v>4573</v>
      </c>
      <c r="J54" s="382" t="s">
        <v>4574</v>
      </c>
      <c r="K54" s="192" t="s">
        <v>4575</v>
      </c>
      <c r="L54" s="382" t="s">
        <v>4576</v>
      </c>
      <c r="M54" s="192" t="s">
        <v>4577</v>
      </c>
      <c r="N54" s="382" t="s">
        <v>4578</v>
      </c>
      <c r="O54" s="192" t="s">
        <v>4579</v>
      </c>
      <c r="P54" s="382" t="s">
        <v>4580</v>
      </c>
      <c r="Q54" s="192" t="s">
        <v>4581</v>
      </c>
      <c r="R54" s="382" t="s">
        <v>4582</v>
      </c>
      <c r="S54" s="485" t="s">
        <v>4583</v>
      </c>
      <c r="T54" s="577" t="s">
        <v>4584</v>
      </c>
      <c r="U54" s="485" t="s">
        <v>4585</v>
      </c>
      <c r="V54" s="577" t="s">
        <v>4586</v>
      </c>
      <c r="W54" s="197" t="s">
        <v>4587</v>
      </c>
      <c r="X54" s="577" t="s">
        <v>4588</v>
      </c>
      <c r="Y54" s="485" t="s">
        <v>4589</v>
      </c>
      <c r="Z54" s="5026" t="s">
        <v>4590</v>
      </c>
      <c r="AA54" s="376" t="s">
        <v>4591</v>
      </c>
      <c r="AB54" s="64" t="s">
        <v>4592</v>
      </c>
      <c r="AC54" s="382" t="s">
        <v>4593</v>
      </c>
      <c r="AD54" s="376" t="s">
        <v>4594</v>
      </c>
      <c r="AE54" s="382" t="s">
        <v>4595</v>
      </c>
      <c r="AF54" s="481" t="s">
        <v>4596</v>
      </c>
      <c r="AG54" s="382" t="s">
        <v>4597</v>
      </c>
      <c r="AH54" s="192" t="s">
        <v>4598</v>
      </c>
      <c r="AI54" s="382" t="s">
        <v>4599</v>
      </c>
      <c r="AJ54" s="481" t="s">
        <v>4600</v>
      </c>
      <c r="AK54" s="383" t="s">
        <v>4601</v>
      </c>
      <c r="AL54" s="4770" t="s">
        <v>4602</v>
      </c>
      <c r="AM54" s="64" t="s">
        <v>4603</v>
      </c>
      <c r="AN54" s="382" t="s">
        <v>4604</v>
      </c>
      <c r="AO54" s="5027" t="s">
        <v>4605</v>
      </c>
      <c r="AP54" s="5028" t="s">
        <v>4606</v>
      </c>
      <c r="AQ54" s="5029" t="s">
        <v>4934</v>
      </c>
      <c r="AR54" s="5028" t="s">
        <v>4935</v>
      </c>
      <c r="AS54" s="5030" t="s">
        <v>4936</v>
      </c>
      <c r="AT54" s="5028" t="s">
        <v>4937</v>
      </c>
      <c r="AU54" s="5030" t="s">
        <v>5234</v>
      </c>
      <c r="AV54" s="5028" t="s">
        <v>5235</v>
      </c>
    </row>
    <row r="55" spans="1:48" s="7" customFormat="1" ht="15" customHeight="1" x14ac:dyDescent="0.2">
      <c r="A55" s="5944">
        <v>30000043</v>
      </c>
      <c r="B55" s="250" t="s">
        <v>1236</v>
      </c>
      <c r="C55" s="192" t="s">
        <v>4567</v>
      </c>
      <c r="D55" s="382" t="s">
        <v>4568</v>
      </c>
      <c r="E55" s="192" t="s">
        <v>4569</v>
      </c>
      <c r="F55" s="382" t="s">
        <v>4570</v>
      </c>
      <c r="G55" s="192" t="s">
        <v>4571</v>
      </c>
      <c r="H55" s="382" t="s">
        <v>4572</v>
      </c>
      <c r="I55" s="192" t="s">
        <v>4573</v>
      </c>
      <c r="J55" s="382" t="s">
        <v>4574</v>
      </c>
      <c r="K55" s="192" t="s">
        <v>4575</v>
      </c>
      <c r="L55" s="382" t="s">
        <v>4576</v>
      </c>
      <c r="M55" s="192" t="s">
        <v>4577</v>
      </c>
      <c r="N55" s="382" t="s">
        <v>4578</v>
      </c>
      <c r="O55" s="192" t="s">
        <v>4579</v>
      </c>
      <c r="P55" s="382" t="s">
        <v>4580</v>
      </c>
      <c r="Q55" s="192" t="s">
        <v>4581</v>
      </c>
      <c r="R55" s="382" t="s">
        <v>4582</v>
      </c>
      <c r="S55" s="485" t="s">
        <v>4583</v>
      </c>
      <c r="T55" s="577" t="s">
        <v>4584</v>
      </c>
      <c r="U55" s="485" t="s">
        <v>4585</v>
      </c>
      <c r="V55" s="577" t="s">
        <v>4586</v>
      </c>
      <c r="W55" s="197" t="s">
        <v>4587</v>
      </c>
      <c r="X55" s="577" t="s">
        <v>4588</v>
      </c>
      <c r="Y55" s="485" t="s">
        <v>4589</v>
      </c>
      <c r="Z55" s="5026" t="s">
        <v>4590</v>
      </c>
      <c r="AA55" s="376" t="s">
        <v>4591</v>
      </c>
      <c r="AB55" s="64" t="s">
        <v>4592</v>
      </c>
      <c r="AC55" s="382" t="s">
        <v>4593</v>
      </c>
      <c r="AD55" s="376" t="s">
        <v>4594</v>
      </c>
      <c r="AE55" s="382" t="s">
        <v>4595</v>
      </c>
      <c r="AF55" s="481" t="s">
        <v>4596</v>
      </c>
      <c r="AG55" s="382" t="s">
        <v>4597</v>
      </c>
      <c r="AH55" s="192" t="s">
        <v>4598</v>
      </c>
      <c r="AI55" s="382" t="s">
        <v>4599</v>
      </c>
      <c r="AJ55" s="481" t="s">
        <v>4600</v>
      </c>
      <c r="AK55" s="383" t="s">
        <v>4601</v>
      </c>
      <c r="AL55" s="4770" t="s">
        <v>4602</v>
      </c>
      <c r="AM55" s="64" t="s">
        <v>4603</v>
      </c>
      <c r="AN55" s="382" t="s">
        <v>4604</v>
      </c>
      <c r="AO55" s="5027" t="s">
        <v>4605</v>
      </c>
      <c r="AP55" s="5028" t="s">
        <v>4606</v>
      </c>
      <c r="AQ55" s="5029" t="s">
        <v>4934</v>
      </c>
      <c r="AR55" s="5028" t="s">
        <v>4935</v>
      </c>
      <c r="AS55" s="5030" t="s">
        <v>4936</v>
      </c>
      <c r="AT55" s="5028" t="s">
        <v>4937</v>
      </c>
      <c r="AU55" s="5030" t="s">
        <v>5234</v>
      </c>
      <c r="AV55" s="5028" t="s">
        <v>5235</v>
      </c>
    </row>
    <row r="56" spans="1:48" s="7" customFormat="1" ht="15" customHeight="1" x14ac:dyDescent="0.2">
      <c r="A56" s="5945">
        <v>30101124</v>
      </c>
      <c r="B56" s="5031" t="s">
        <v>1427</v>
      </c>
      <c r="C56" s="192" t="s">
        <v>4567</v>
      </c>
      <c r="D56" s="382" t="s">
        <v>4568</v>
      </c>
      <c r="E56" s="192" t="s">
        <v>4569</v>
      </c>
      <c r="F56" s="382" t="s">
        <v>4570</v>
      </c>
      <c r="G56" s="192" t="s">
        <v>4571</v>
      </c>
      <c r="H56" s="382" t="s">
        <v>4572</v>
      </c>
      <c r="I56" s="192" t="s">
        <v>4573</v>
      </c>
      <c r="J56" s="382" t="s">
        <v>4574</v>
      </c>
      <c r="K56" s="192" t="s">
        <v>4575</v>
      </c>
      <c r="L56" s="382" t="s">
        <v>4576</v>
      </c>
      <c r="M56" s="192" t="s">
        <v>4577</v>
      </c>
      <c r="N56" s="382" t="s">
        <v>4578</v>
      </c>
      <c r="O56" s="192" t="s">
        <v>4579</v>
      </c>
      <c r="P56" s="382" t="s">
        <v>4580</v>
      </c>
      <c r="Q56" s="192" t="s">
        <v>4581</v>
      </c>
      <c r="R56" s="382" t="s">
        <v>4582</v>
      </c>
      <c r="S56" s="485" t="s">
        <v>4583</v>
      </c>
      <c r="T56" s="577" t="s">
        <v>4584</v>
      </c>
      <c r="U56" s="485" t="s">
        <v>4585</v>
      </c>
      <c r="V56" s="577" t="s">
        <v>4586</v>
      </c>
      <c r="W56" s="197" t="s">
        <v>4587</v>
      </c>
      <c r="X56" s="577" t="s">
        <v>4588</v>
      </c>
      <c r="Y56" s="485" t="s">
        <v>4589</v>
      </c>
      <c r="Z56" s="5026" t="s">
        <v>4590</v>
      </c>
      <c r="AA56" s="376" t="s">
        <v>4591</v>
      </c>
      <c r="AB56" s="64" t="s">
        <v>4592</v>
      </c>
      <c r="AC56" s="382" t="s">
        <v>4593</v>
      </c>
      <c r="AD56" s="376" t="s">
        <v>4594</v>
      </c>
      <c r="AE56" s="382" t="s">
        <v>4595</v>
      </c>
      <c r="AF56" s="481" t="s">
        <v>4596</v>
      </c>
      <c r="AG56" s="382" t="s">
        <v>4597</v>
      </c>
      <c r="AH56" s="192" t="s">
        <v>4598</v>
      </c>
      <c r="AI56" s="382" t="s">
        <v>4599</v>
      </c>
      <c r="AJ56" s="481" t="s">
        <v>4600</v>
      </c>
      <c r="AK56" s="383" t="s">
        <v>4601</v>
      </c>
      <c r="AL56" s="4770" t="s">
        <v>4602</v>
      </c>
      <c r="AM56" s="64" t="s">
        <v>4603</v>
      </c>
      <c r="AN56" s="382" t="s">
        <v>4604</v>
      </c>
      <c r="AO56" s="5027" t="s">
        <v>4605</v>
      </c>
      <c r="AP56" s="5028" t="s">
        <v>4606</v>
      </c>
      <c r="AQ56" s="5029" t="s">
        <v>4934</v>
      </c>
      <c r="AR56" s="5028" t="s">
        <v>4935</v>
      </c>
      <c r="AS56" s="5030" t="s">
        <v>4936</v>
      </c>
      <c r="AT56" s="5028" t="s">
        <v>4937</v>
      </c>
      <c r="AU56" s="5030" t="s">
        <v>5234</v>
      </c>
      <c r="AV56" s="5028" t="s">
        <v>5235</v>
      </c>
    </row>
    <row r="57" spans="1:48" s="7" customFormat="1" ht="15" customHeight="1" x14ac:dyDescent="0.2">
      <c r="A57" s="5945">
        <v>30101125</v>
      </c>
      <c r="B57" s="5031" t="s">
        <v>4306</v>
      </c>
      <c r="C57" s="192" t="s">
        <v>4567</v>
      </c>
      <c r="D57" s="382" t="s">
        <v>4568</v>
      </c>
      <c r="E57" s="192" t="s">
        <v>4569</v>
      </c>
      <c r="F57" s="382" t="s">
        <v>4570</v>
      </c>
      <c r="G57" s="192" t="s">
        <v>4571</v>
      </c>
      <c r="H57" s="382" t="s">
        <v>4572</v>
      </c>
      <c r="I57" s="192" t="s">
        <v>4573</v>
      </c>
      <c r="J57" s="382" t="s">
        <v>4574</v>
      </c>
      <c r="K57" s="192" t="s">
        <v>4575</v>
      </c>
      <c r="L57" s="382" t="s">
        <v>4576</v>
      </c>
      <c r="M57" s="192" t="s">
        <v>4577</v>
      </c>
      <c r="N57" s="382" t="s">
        <v>4578</v>
      </c>
      <c r="O57" s="192" t="s">
        <v>4579</v>
      </c>
      <c r="P57" s="382" t="s">
        <v>4580</v>
      </c>
      <c r="Q57" s="192" t="s">
        <v>4581</v>
      </c>
      <c r="R57" s="382" t="s">
        <v>4582</v>
      </c>
      <c r="S57" s="485" t="s">
        <v>4583</v>
      </c>
      <c r="T57" s="577" t="s">
        <v>4584</v>
      </c>
      <c r="U57" s="485" t="s">
        <v>4585</v>
      </c>
      <c r="V57" s="577" t="s">
        <v>4586</v>
      </c>
      <c r="W57" s="197" t="s">
        <v>4587</v>
      </c>
      <c r="X57" s="577" t="s">
        <v>4588</v>
      </c>
      <c r="Y57" s="485" t="s">
        <v>4589</v>
      </c>
      <c r="Z57" s="5026" t="s">
        <v>4590</v>
      </c>
      <c r="AA57" s="376" t="s">
        <v>4591</v>
      </c>
      <c r="AB57" s="64" t="s">
        <v>4592</v>
      </c>
      <c r="AC57" s="382" t="s">
        <v>4593</v>
      </c>
      <c r="AD57" s="376" t="s">
        <v>4594</v>
      </c>
      <c r="AE57" s="382" t="s">
        <v>4595</v>
      </c>
      <c r="AF57" s="481" t="s">
        <v>4596</v>
      </c>
      <c r="AG57" s="382" t="s">
        <v>4597</v>
      </c>
      <c r="AH57" s="192" t="s">
        <v>4598</v>
      </c>
      <c r="AI57" s="382" t="s">
        <v>4599</v>
      </c>
      <c r="AJ57" s="481" t="s">
        <v>4600</v>
      </c>
      <c r="AK57" s="383" t="s">
        <v>4601</v>
      </c>
      <c r="AL57" s="4770" t="s">
        <v>4602</v>
      </c>
      <c r="AM57" s="64" t="s">
        <v>4603</v>
      </c>
      <c r="AN57" s="382" t="s">
        <v>4604</v>
      </c>
      <c r="AO57" s="5027" t="s">
        <v>4605</v>
      </c>
      <c r="AP57" s="5028" t="s">
        <v>4606</v>
      </c>
      <c r="AQ57" s="5029" t="s">
        <v>4934</v>
      </c>
      <c r="AR57" s="5028" t="s">
        <v>4935</v>
      </c>
      <c r="AS57" s="5030" t="s">
        <v>4936</v>
      </c>
      <c r="AT57" s="5028" t="s">
        <v>4937</v>
      </c>
      <c r="AU57" s="5030" t="s">
        <v>5234</v>
      </c>
      <c r="AV57" s="5028" t="s">
        <v>5235</v>
      </c>
    </row>
    <row r="58" spans="1:48" s="7" customFormat="1" ht="15" customHeight="1" x14ac:dyDescent="0.2">
      <c r="A58" s="5945">
        <v>30101126</v>
      </c>
      <c r="B58" s="3068" t="s">
        <v>4319</v>
      </c>
      <c r="C58" s="192" t="s">
        <v>4567</v>
      </c>
      <c r="D58" s="382" t="s">
        <v>4568</v>
      </c>
      <c r="E58" s="192" t="s">
        <v>4569</v>
      </c>
      <c r="F58" s="382" t="s">
        <v>4570</v>
      </c>
      <c r="G58" s="192" t="s">
        <v>4571</v>
      </c>
      <c r="H58" s="382" t="s">
        <v>4572</v>
      </c>
      <c r="I58" s="192" t="s">
        <v>4573</v>
      </c>
      <c r="J58" s="382" t="s">
        <v>4574</v>
      </c>
      <c r="K58" s="192" t="s">
        <v>4575</v>
      </c>
      <c r="L58" s="382" t="s">
        <v>4576</v>
      </c>
      <c r="M58" s="192" t="s">
        <v>4577</v>
      </c>
      <c r="N58" s="382" t="s">
        <v>4578</v>
      </c>
      <c r="O58" s="192" t="s">
        <v>4579</v>
      </c>
      <c r="P58" s="382" t="s">
        <v>4580</v>
      </c>
      <c r="Q58" s="192" t="s">
        <v>4581</v>
      </c>
      <c r="R58" s="382" t="s">
        <v>4582</v>
      </c>
      <c r="S58" s="485" t="s">
        <v>4583</v>
      </c>
      <c r="T58" s="577" t="s">
        <v>4584</v>
      </c>
      <c r="U58" s="485" t="s">
        <v>4585</v>
      </c>
      <c r="V58" s="577" t="s">
        <v>4586</v>
      </c>
      <c r="W58" s="197" t="s">
        <v>4587</v>
      </c>
      <c r="X58" s="577" t="s">
        <v>4588</v>
      </c>
      <c r="Y58" s="485" t="s">
        <v>4589</v>
      </c>
      <c r="Z58" s="5026" t="s">
        <v>4590</v>
      </c>
      <c r="AA58" s="376" t="s">
        <v>4591</v>
      </c>
      <c r="AB58" s="64" t="s">
        <v>4592</v>
      </c>
      <c r="AC58" s="382" t="s">
        <v>4593</v>
      </c>
      <c r="AD58" s="376" t="s">
        <v>4594</v>
      </c>
      <c r="AE58" s="382" t="s">
        <v>4595</v>
      </c>
      <c r="AF58" s="481" t="s">
        <v>4596</v>
      </c>
      <c r="AG58" s="382" t="s">
        <v>4597</v>
      </c>
      <c r="AH58" s="192" t="s">
        <v>4598</v>
      </c>
      <c r="AI58" s="382" t="s">
        <v>4599</v>
      </c>
      <c r="AJ58" s="481" t="s">
        <v>4600</v>
      </c>
      <c r="AK58" s="383" t="s">
        <v>4601</v>
      </c>
      <c r="AL58" s="4770" t="s">
        <v>4602</v>
      </c>
      <c r="AM58" s="64" t="s">
        <v>4603</v>
      </c>
      <c r="AN58" s="382" t="s">
        <v>4604</v>
      </c>
      <c r="AO58" s="5027" t="s">
        <v>4605</v>
      </c>
      <c r="AP58" s="5028" t="s">
        <v>4606</v>
      </c>
      <c r="AQ58" s="5029" t="s">
        <v>4934</v>
      </c>
      <c r="AR58" s="5028" t="s">
        <v>4935</v>
      </c>
      <c r="AS58" s="5030" t="s">
        <v>4936</v>
      </c>
      <c r="AT58" s="5028" t="s">
        <v>4937</v>
      </c>
      <c r="AU58" s="5030" t="s">
        <v>5234</v>
      </c>
      <c r="AV58" s="5028" t="s">
        <v>5235</v>
      </c>
    </row>
    <row r="59" spans="1:48" s="7" customFormat="1" ht="15" customHeight="1" x14ac:dyDescent="0.2">
      <c r="A59" s="5944">
        <v>30000047</v>
      </c>
      <c r="B59" s="1087" t="s">
        <v>1237</v>
      </c>
      <c r="C59" s="192" t="s">
        <v>4567</v>
      </c>
      <c r="D59" s="382" t="s">
        <v>4568</v>
      </c>
      <c r="E59" s="192" t="s">
        <v>4569</v>
      </c>
      <c r="F59" s="382" t="s">
        <v>4570</v>
      </c>
      <c r="G59" s="192" t="s">
        <v>4571</v>
      </c>
      <c r="H59" s="382" t="s">
        <v>4572</v>
      </c>
      <c r="I59" s="192" t="s">
        <v>4573</v>
      </c>
      <c r="J59" s="382" t="s">
        <v>4574</v>
      </c>
      <c r="K59" s="192" t="s">
        <v>4575</v>
      </c>
      <c r="L59" s="382" t="s">
        <v>4576</v>
      </c>
      <c r="M59" s="192" t="s">
        <v>4577</v>
      </c>
      <c r="N59" s="382" t="s">
        <v>4578</v>
      </c>
      <c r="O59" s="192" t="s">
        <v>4579</v>
      </c>
      <c r="P59" s="382" t="s">
        <v>4580</v>
      </c>
      <c r="Q59" s="192" t="s">
        <v>4581</v>
      </c>
      <c r="R59" s="382" t="s">
        <v>4582</v>
      </c>
      <c r="S59" s="485" t="s">
        <v>4583</v>
      </c>
      <c r="T59" s="577" t="s">
        <v>4584</v>
      </c>
      <c r="U59" s="485" t="s">
        <v>4585</v>
      </c>
      <c r="V59" s="577" t="s">
        <v>4586</v>
      </c>
      <c r="W59" s="197" t="s">
        <v>4587</v>
      </c>
      <c r="X59" s="577" t="s">
        <v>4588</v>
      </c>
      <c r="Y59" s="485" t="s">
        <v>4589</v>
      </c>
      <c r="Z59" s="5026" t="s">
        <v>4590</v>
      </c>
      <c r="AA59" s="376" t="s">
        <v>4591</v>
      </c>
      <c r="AB59" s="64" t="s">
        <v>4592</v>
      </c>
      <c r="AC59" s="382" t="s">
        <v>4593</v>
      </c>
      <c r="AD59" s="376" t="s">
        <v>4594</v>
      </c>
      <c r="AE59" s="382" t="s">
        <v>4595</v>
      </c>
      <c r="AF59" s="481" t="s">
        <v>4596</v>
      </c>
      <c r="AG59" s="382" t="s">
        <v>4597</v>
      </c>
      <c r="AH59" s="192" t="s">
        <v>4598</v>
      </c>
      <c r="AI59" s="382" t="s">
        <v>4599</v>
      </c>
      <c r="AJ59" s="481" t="s">
        <v>4600</v>
      </c>
      <c r="AK59" s="383" t="s">
        <v>4601</v>
      </c>
      <c r="AL59" s="4770" t="s">
        <v>4602</v>
      </c>
      <c r="AM59" s="64" t="s">
        <v>4603</v>
      </c>
      <c r="AN59" s="382" t="s">
        <v>4604</v>
      </c>
      <c r="AO59" s="5027" t="s">
        <v>4605</v>
      </c>
      <c r="AP59" s="5028" t="s">
        <v>4606</v>
      </c>
      <c r="AQ59" s="5029" t="s">
        <v>4934</v>
      </c>
      <c r="AR59" s="5028" t="s">
        <v>4935</v>
      </c>
      <c r="AS59" s="5030" t="s">
        <v>4936</v>
      </c>
      <c r="AT59" s="5028" t="s">
        <v>4937</v>
      </c>
      <c r="AU59" s="5030" t="s">
        <v>5234</v>
      </c>
      <c r="AV59" s="5028" t="s">
        <v>5235</v>
      </c>
    </row>
    <row r="60" spans="1:48" s="7" customFormat="1" ht="15" customHeight="1" x14ac:dyDescent="0.2">
      <c r="A60" s="5944">
        <v>30000048</v>
      </c>
      <c r="B60" s="1087" t="s">
        <v>1238</v>
      </c>
      <c r="C60" s="192" t="s">
        <v>4567</v>
      </c>
      <c r="D60" s="382" t="s">
        <v>4568</v>
      </c>
      <c r="E60" s="192" t="s">
        <v>4569</v>
      </c>
      <c r="F60" s="382" t="s">
        <v>4570</v>
      </c>
      <c r="G60" s="192" t="s">
        <v>4571</v>
      </c>
      <c r="H60" s="382" t="s">
        <v>4572</v>
      </c>
      <c r="I60" s="192" t="s">
        <v>4573</v>
      </c>
      <c r="J60" s="382" t="s">
        <v>4574</v>
      </c>
      <c r="K60" s="192" t="s">
        <v>4575</v>
      </c>
      <c r="L60" s="382" t="s">
        <v>4576</v>
      </c>
      <c r="M60" s="192" t="s">
        <v>4577</v>
      </c>
      <c r="N60" s="382" t="s">
        <v>4578</v>
      </c>
      <c r="O60" s="192" t="s">
        <v>4579</v>
      </c>
      <c r="P60" s="382" t="s">
        <v>4580</v>
      </c>
      <c r="Q60" s="192" t="s">
        <v>4581</v>
      </c>
      <c r="R60" s="382" t="s">
        <v>4582</v>
      </c>
      <c r="S60" s="485" t="s">
        <v>4583</v>
      </c>
      <c r="T60" s="577" t="s">
        <v>4584</v>
      </c>
      <c r="U60" s="485" t="s">
        <v>4585</v>
      </c>
      <c r="V60" s="577" t="s">
        <v>4586</v>
      </c>
      <c r="W60" s="197" t="s">
        <v>4587</v>
      </c>
      <c r="X60" s="577" t="s">
        <v>4588</v>
      </c>
      <c r="Y60" s="485" t="s">
        <v>4589</v>
      </c>
      <c r="Z60" s="5026" t="s">
        <v>4590</v>
      </c>
      <c r="AA60" s="376" t="s">
        <v>4591</v>
      </c>
      <c r="AB60" s="64" t="s">
        <v>4592</v>
      </c>
      <c r="AC60" s="382" t="s">
        <v>4593</v>
      </c>
      <c r="AD60" s="376" t="s">
        <v>4594</v>
      </c>
      <c r="AE60" s="382" t="s">
        <v>4595</v>
      </c>
      <c r="AF60" s="481" t="s">
        <v>4596</v>
      </c>
      <c r="AG60" s="382" t="s">
        <v>4597</v>
      </c>
      <c r="AH60" s="192" t="s">
        <v>4598</v>
      </c>
      <c r="AI60" s="382" t="s">
        <v>4599</v>
      </c>
      <c r="AJ60" s="481" t="s">
        <v>4600</v>
      </c>
      <c r="AK60" s="383" t="s">
        <v>4601</v>
      </c>
      <c r="AL60" s="4770" t="s">
        <v>4602</v>
      </c>
      <c r="AM60" s="64" t="s">
        <v>4603</v>
      </c>
      <c r="AN60" s="382" t="s">
        <v>4604</v>
      </c>
      <c r="AO60" s="5027" t="s">
        <v>4605</v>
      </c>
      <c r="AP60" s="5028" t="s">
        <v>4606</v>
      </c>
      <c r="AQ60" s="5029" t="s">
        <v>4934</v>
      </c>
      <c r="AR60" s="5028" t="s">
        <v>4935</v>
      </c>
      <c r="AS60" s="5030" t="s">
        <v>4936</v>
      </c>
      <c r="AT60" s="5028" t="s">
        <v>4937</v>
      </c>
      <c r="AU60" s="5030" t="s">
        <v>5234</v>
      </c>
      <c r="AV60" s="5028" t="s">
        <v>5235</v>
      </c>
    </row>
    <row r="61" spans="1:48" s="7" customFormat="1" ht="15" customHeight="1" x14ac:dyDescent="0.2">
      <c r="A61" s="5945">
        <v>30101127</v>
      </c>
      <c r="B61" s="1087" t="s">
        <v>1428</v>
      </c>
      <c r="C61" s="192" t="s">
        <v>4567</v>
      </c>
      <c r="D61" s="382" t="s">
        <v>4568</v>
      </c>
      <c r="E61" s="192" t="s">
        <v>4569</v>
      </c>
      <c r="F61" s="382" t="s">
        <v>4570</v>
      </c>
      <c r="G61" s="192" t="s">
        <v>4571</v>
      </c>
      <c r="H61" s="382" t="s">
        <v>4572</v>
      </c>
      <c r="I61" s="192" t="s">
        <v>4573</v>
      </c>
      <c r="J61" s="382" t="s">
        <v>4574</v>
      </c>
      <c r="K61" s="192" t="s">
        <v>4575</v>
      </c>
      <c r="L61" s="382" t="s">
        <v>4576</v>
      </c>
      <c r="M61" s="192" t="s">
        <v>4577</v>
      </c>
      <c r="N61" s="382" t="s">
        <v>4578</v>
      </c>
      <c r="O61" s="192" t="s">
        <v>4579</v>
      </c>
      <c r="P61" s="382" t="s">
        <v>4580</v>
      </c>
      <c r="Q61" s="192" t="s">
        <v>4581</v>
      </c>
      <c r="R61" s="382" t="s">
        <v>4582</v>
      </c>
      <c r="S61" s="485" t="s">
        <v>4583</v>
      </c>
      <c r="T61" s="577" t="s">
        <v>4584</v>
      </c>
      <c r="U61" s="485" t="s">
        <v>4585</v>
      </c>
      <c r="V61" s="577" t="s">
        <v>4586</v>
      </c>
      <c r="W61" s="197" t="s">
        <v>4587</v>
      </c>
      <c r="X61" s="577" t="s">
        <v>4588</v>
      </c>
      <c r="Y61" s="485" t="s">
        <v>4589</v>
      </c>
      <c r="Z61" s="5026" t="s">
        <v>4590</v>
      </c>
      <c r="AA61" s="376" t="s">
        <v>4591</v>
      </c>
      <c r="AB61" s="64" t="s">
        <v>4592</v>
      </c>
      <c r="AC61" s="382" t="s">
        <v>4593</v>
      </c>
      <c r="AD61" s="376" t="s">
        <v>4594</v>
      </c>
      <c r="AE61" s="382" t="s">
        <v>4595</v>
      </c>
      <c r="AF61" s="481" t="s">
        <v>4596</v>
      </c>
      <c r="AG61" s="382" t="s">
        <v>4597</v>
      </c>
      <c r="AH61" s="192" t="s">
        <v>4598</v>
      </c>
      <c r="AI61" s="382" t="s">
        <v>4599</v>
      </c>
      <c r="AJ61" s="481" t="s">
        <v>4600</v>
      </c>
      <c r="AK61" s="383" t="s">
        <v>4601</v>
      </c>
      <c r="AL61" s="4770" t="s">
        <v>4602</v>
      </c>
      <c r="AM61" s="64" t="s">
        <v>4603</v>
      </c>
      <c r="AN61" s="382" t="s">
        <v>4604</v>
      </c>
      <c r="AO61" s="5027" t="s">
        <v>4605</v>
      </c>
      <c r="AP61" s="5028" t="s">
        <v>4606</v>
      </c>
      <c r="AQ61" s="5029" t="s">
        <v>4934</v>
      </c>
      <c r="AR61" s="5028" t="s">
        <v>4935</v>
      </c>
      <c r="AS61" s="5030" t="s">
        <v>4936</v>
      </c>
      <c r="AT61" s="5028" t="s">
        <v>4937</v>
      </c>
      <c r="AU61" s="5030" t="s">
        <v>5234</v>
      </c>
      <c r="AV61" s="5028" t="s">
        <v>5235</v>
      </c>
    </row>
    <row r="62" spans="1:48" s="7" customFormat="1" ht="15" customHeight="1" x14ac:dyDescent="0.2">
      <c r="A62" s="5945">
        <v>30101128</v>
      </c>
      <c r="B62" s="1087" t="s">
        <v>1431</v>
      </c>
      <c r="C62" s="192" t="s">
        <v>4567</v>
      </c>
      <c r="D62" s="382" t="s">
        <v>4568</v>
      </c>
      <c r="E62" s="192" t="s">
        <v>4569</v>
      </c>
      <c r="F62" s="382" t="s">
        <v>4570</v>
      </c>
      <c r="G62" s="192" t="s">
        <v>4571</v>
      </c>
      <c r="H62" s="382" t="s">
        <v>4572</v>
      </c>
      <c r="I62" s="192" t="s">
        <v>4573</v>
      </c>
      <c r="J62" s="382" t="s">
        <v>4574</v>
      </c>
      <c r="K62" s="192" t="s">
        <v>4575</v>
      </c>
      <c r="L62" s="382" t="s">
        <v>4576</v>
      </c>
      <c r="M62" s="192" t="s">
        <v>4577</v>
      </c>
      <c r="N62" s="382" t="s">
        <v>4578</v>
      </c>
      <c r="O62" s="192" t="s">
        <v>4579</v>
      </c>
      <c r="P62" s="382" t="s">
        <v>4580</v>
      </c>
      <c r="Q62" s="192" t="s">
        <v>4581</v>
      </c>
      <c r="R62" s="382" t="s">
        <v>4582</v>
      </c>
      <c r="S62" s="485" t="s">
        <v>4583</v>
      </c>
      <c r="T62" s="577" t="s">
        <v>4584</v>
      </c>
      <c r="U62" s="485" t="s">
        <v>4585</v>
      </c>
      <c r="V62" s="577" t="s">
        <v>4586</v>
      </c>
      <c r="W62" s="197" t="s">
        <v>4587</v>
      </c>
      <c r="X62" s="577" t="s">
        <v>4588</v>
      </c>
      <c r="Y62" s="485" t="s">
        <v>4589</v>
      </c>
      <c r="Z62" s="5026" t="s">
        <v>4590</v>
      </c>
      <c r="AA62" s="376" t="s">
        <v>4591</v>
      </c>
      <c r="AB62" s="64" t="s">
        <v>4592</v>
      </c>
      <c r="AC62" s="382" t="s">
        <v>4593</v>
      </c>
      <c r="AD62" s="376" t="s">
        <v>4594</v>
      </c>
      <c r="AE62" s="382" t="s">
        <v>4595</v>
      </c>
      <c r="AF62" s="481" t="s">
        <v>4596</v>
      </c>
      <c r="AG62" s="382" t="s">
        <v>4597</v>
      </c>
      <c r="AH62" s="192" t="s">
        <v>4598</v>
      </c>
      <c r="AI62" s="382" t="s">
        <v>4599</v>
      </c>
      <c r="AJ62" s="481" t="s">
        <v>4600</v>
      </c>
      <c r="AK62" s="383" t="s">
        <v>4601</v>
      </c>
      <c r="AL62" s="4770" t="s">
        <v>4602</v>
      </c>
      <c r="AM62" s="64" t="s">
        <v>4603</v>
      </c>
      <c r="AN62" s="382" t="s">
        <v>4604</v>
      </c>
      <c r="AO62" s="5027" t="s">
        <v>4605</v>
      </c>
      <c r="AP62" s="5028" t="s">
        <v>4606</v>
      </c>
      <c r="AQ62" s="5029" t="s">
        <v>4934</v>
      </c>
      <c r="AR62" s="5028" t="s">
        <v>4935</v>
      </c>
      <c r="AS62" s="5030" t="s">
        <v>4936</v>
      </c>
      <c r="AT62" s="5028" t="s">
        <v>4937</v>
      </c>
      <c r="AU62" s="5030" t="s">
        <v>5234</v>
      </c>
      <c r="AV62" s="5028" t="s">
        <v>5235</v>
      </c>
    </row>
    <row r="63" spans="1:48" s="7" customFormat="1" ht="15" customHeight="1" x14ac:dyDescent="0.2">
      <c r="A63" s="5944">
        <v>30000054</v>
      </c>
      <c r="B63" s="1087" t="s">
        <v>3717</v>
      </c>
      <c r="C63" s="192" t="s">
        <v>4567</v>
      </c>
      <c r="D63" s="382" t="s">
        <v>4568</v>
      </c>
      <c r="E63" s="192" t="s">
        <v>4569</v>
      </c>
      <c r="F63" s="382" t="s">
        <v>4570</v>
      </c>
      <c r="G63" s="192" t="s">
        <v>4571</v>
      </c>
      <c r="H63" s="382" t="s">
        <v>4572</v>
      </c>
      <c r="I63" s="192" t="s">
        <v>4573</v>
      </c>
      <c r="J63" s="382" t="s">
        <v>4574</v>
      </c>
      <c r="K63" s="192" t="s">
        <v>4575</v>
      </c>
      <c r="L63" s="382" t="s">
        <v>4576</v>
      </c>
      <c r="M63" s="192" t="s">
        <v>4577</v>
      </c>
      <c r="N63" s="382" t="s">
        <v>4578</v>
      </c>
      <c r="O63" s="192" t="s">
        <v>4579</v>
      </c>
      <c r="P63" s="382" t="s">
        <v>4580</v>
      </c>
      <c r="Q63" s="192" t="s">
        <v>4581</v>
      </c>
      <c r="R63" s="382" t="s">
        <v>4582</v>
      </c>
      <c r="S63" s="485" t="s">
        <v>4583</v>
      </c>
      <c r="T63" s="577" t="s">
        <v>4584</v>
      </c>
      <c r="U63" s="485" t="s">
        <v>4585</v>
      </c>
      <c r="V63" s="577" t="s">
        <v>4586</v>
      </c>
      <c r="W63" s="197" t="s">
        <v>4587</v>
      </c>
      <c r="X63" s="577" t="s">
        <v>4588</v>
      </c>
      <c r="Y63" s="485" t="s">
        <v>4589</v>
      </c>
      <c r="Z63" s="5026" t="s">
        <v>4590</v>
      </c>
      <c r="AA63" s="376" t="s">
        <v>4591</v>
      </c>
      <c r="AB63" s="64" t="s">
        <v>4592</v>
      </c>
      <c r="AC63" s="382" t="s">
        <v>4593</v>
      </c>
      <c r="AD63" s="376" t="s">
        <v>4594</v>
      </c>
      <c r="AE63" s="382" t="s">
        <v>4595</v>
      </c>
      <c r="AF63" s="481" t="s">
        <v>4596</v>
      </c>
      <c r="AG63" s="382" t="s">
        <v>4597</v>
      </c>
      <c r="AH63" s="192" t="s">
        <v>4598</v>
      </c>
      <c r="AI63" s="382" t="s">
        <v>4599</v>
      </c>
      <c r="AJ63" s="481" t="s">
        <v>4600</v>
      </c>
      <c r="AK63" s="383" t="s">
        <v>4601</v>
      </c>
      <c r="AL63" s="4770" t="s">
        <v>4602</v>
      </c>
      <c r="AM63" s="64" t="s">
        <v>4603</v>
      </c>
      <c r="AN63" s="382" t="s">
        <v>4604</v>
      </c>
      <c r="AO63" s="5027" t="s">
        <v>4605</v>
      </c>
      <c r="AP63" s="5028" t="s">
        <v>4606</v>
      </c>
      <c r="AQ63" s="5029" t="s">
        <v>4934</v>
      </c>
      <c r="AR63" s="5028" t="s">
        <v>4935</v>
      </c>
      <c r="AS63" s="5030" t="s">
        <v>4936</v>
      </c>
      <c r="AT63" s="5028" t="s">
        <v>4937</v>
      </c>
      <c r="AU63" s="5030" t="s">
        <v>5234</v>
      </c>
      <c r="AV63" s="5028" t="s">
        <v>5235</v>
      </c>
    </row>
    <row r="64" spans="1:48" s="7" customFormat="1" ht="15" customHeight="1" x14ac:dyDescent="0.2">
      <c r="A64" s="5944">
        <v>30000055</v>
      </c>
      <c r="B64" s="1087" t="s">
        <v>1240</v>
      </c>
      <c r="C64" s="192" t="s">
        <v>4567</v>
      </c>
      <c r="D64" s="382" t="s">
        <v>4568</v>
      </c>
      <c r="E64" s="192" t="s">
        <v>4569</v>
      </c>
      <c r="F64" s="382" t="s">
        <v>4570</v>
      </c>
      <c r="G64" s="192" t="s">
        <v>4571</v>
      </c>
      <c r="H64" s="382" t="s">
        <v>4572</v>
      </c>
      <c r="I64" s="192" t="s">
        <v>4573</v>
      </c>
      <c r="J64" s="382" t="s">
        <v>4574</v>
      </c>
      <c r="K64" s="192" t="s">
        <v>4575</v>
      </c>
      <c r="L64" s="382" t="s">
        <v>4576</v>
      </c>
      <c r="M64" s="192" t="s">
        <v>4577</v>
      </c>
      <c r="N64" s="382" t="s">
        <v>4578</v>
      </c>
      <c r="O64" s="192" t="s">
        <v>4579</v>
      </c>
      <c r="P64" s="382" t="s">
        <v>4580</v>
      </c>
      <c r="Q64" s="192" t="s">
        <v>4581</v>
      </c>
      <c r="R64" s="382" t="s">
        <v>4582</v>
      </c>
      <c r="S64" s="485" t="s">
        <v>4583</v>
      </c>
      <c r="T64" s="577" t="s">
        <v>4584</v>
      </c>
      <c r="U64" s="485" t="s">
        <v>4585</v>
      </c>
      <c r="V64" s="577" t="s">
        <v>4586</v>
      </c>
      <c r="W64" s="197" t="s">
        <v>4587</v>
      </c>
      <c r="X64" s="577" t="s">
        <v>4588</v>
      </c>
      <c r="Y64" s="485" t="s">
        <v>4589</v>
      </c>
      <c r="Z64" s="5026" t="s">
        <v>4590</v>
      </c>
      <c r="AA64" s="376" t="s">
        <v>4591</v>
      </c>
      <c r="AB64" s="64" t="s">
        <v>4592</v>
      </c>
      <c r="AC64" s="382" t="s">
        <v>4593</v>
      </c>
      <c r="AD64" s="376" t="s">
        <v>4594</v>
      </c>
      <c r="AE64" s="382" t="s">
        <v>4595</v>
      </c>
      <c r="AF64" s="481" t="s">
        <v>4596</v>
      </c>
      <c r="AG64" s="382" t="s">
        <v>4597</v>
      </c>
      <c r="AH64" s="192" t="s">
        <v>4598</v>
      </c>
      <c r="AI64" s="382" t="s">
        <v>4599</v>
      </c>
      <c r="AJ64" s="481" t="s">
        <v>4600</v>
      </c>
      <c r="AK64" s="383" t="s">
        <v>4601</v>
      </c>
      <c r="AL64" s="4770" t="s">
        <v>4602</v>
      </c>
      <c r="AM64" s="64" t="s">
        <v>4603</v>
      </c>
      <c r="AN64" s="382" t="s">
        <v>4604</v>
      </c>
      <c r="AO64" s="5027" t="s">
        <v>4605</v>
      </c>
      <c r="AP64" s="5028" t="s">
        <v>4606</v>
      </c>
      <c r="AQ64" s="5029" t="s">
        <v>4934</v>
      </c>
      <c r="AR64" s="5028" t="s">
        <v>4935</v>
      </c>
      <c r="AS64" s="5030" t="s">
        <v>4936</v>
      </c>
      <c r="AT64" s="5028" t="s">
        <v>4937</v>
      </c>
      <c r="AU64" s="5030" t="s">
        <v>5234</v>
      </c>
      <c r="AV64" s="5028" t="s">
        <v>5235</v>
      </c>
    </row>
    <row r="65" spans="1:48" s="7" customFormat="1" ht="15" customHeight="1" x14ac:dyDescent="0.2">
      <c r="A65" s="5944">
        <v>30000056</v>
      </c>
      <c r="B65" s="1162" t="s">
        <v>3718</v>
      </c>
      <c r="C65" s="1089" t="s">
        <v>4567</v>
      </c>
      <c r="D65" s="1093" t="s">
        <v>4568</v>
      </c>
      <c r="E65" s="1089" t="s">
        <v>4569</v>
      </c>
      <c r="F65" s="1093" t="s">
        <v>4570</v>
      </c>
      <c r="G65" s="1089" t="s">
        <v>4571</v>
      </c>
      <c r="H65" s="1093" t="s">
        <v>4572</v>
      </c>
      <c r="I65" s="1089" t="s">
        <v>4573</v>
      </c>
      <c r="J65" s="1093" t="s">
        <v>4574</v>
      </c>
      <c r="K65" s="1089" t="s">
        <v>4575</v>
      </c>
      <c r="L65" s="1093" t="s">
        <v>4576</v>
      </c>
      <c r="M65" s="1089" t="s">
        <v>4577</v>
      </c>
      <c r="N65" s="1093" t="s">
        <v>4578</v>
      </c>
      <c r="O65" s="1089" t="s">
        <v>4579</v>
      </c>
      <c r="P65" s="1093" t="s">
        <v>4580</v>
      </c>
      <c r="Q65" s="1089" t="s">
        <v>4581</v>
      </c>
      <c r="R65" s="1093" t="s">
        <v>4582</v>
      </c>
      <c r="S65" s="5032" t="s">
        <v>4583</v>
      </c>
      <c r="T65" s="4898" t="s">
        <v>4584</v>
      </c>
      <c r="U65" s="5032" t="s">
        <v>4585</v>
      </c>
      <c r="V65" s="4898" t="s">
        <v>4586</v>
      </c>
      <c r="W65" s="5033" t="s">
        <v>4587</v>
      </c>
      <c r="X65" s="4898" t="s">
        <v>4588</v>
      </c>
      <c r="Y65" s="5032" t="s">
        <v>4589</v>
      </c>
      <c r="Z65" s="5034" t="s">
        <v>4590</v>
      </c>
      <c r="AA65" s="1299" t="s">
        <v>4591</v>
      </c>
      <c r="AB65" s="1311" t="s">
        <v>4592</v>
      </c>
      <c r="AC65" s="1093" t="s">
        <v>4593</v>
      </c>
      <c r="AD65" s="1299" t="s">
        <v>4594</v>
      </c>
      <c r="AE65" s="1093" t="s">
        <v>4595</v>
      </c>
      <c r="AF65" s="1091" t="s">
        <v>4596</v>
      </c>
      <c r="AG65" s="1093" t="s">
        <v>4597</v>
      </c>
      <c r="AH65" s="1089" t="s">
        <v>4598</v>
      </c>
      <c r="AI65" s="1093" t="s">
        <v>4599</v>
      </c>
      <c r="AJ65" s="1091" t="s">
        <v>4600</v>
      </c>
      <c r="AK65" s="1095" t="s">
        <v>4601</v>
      </c>
      <c r="AL65" s="1250" t="s">
        <v>4602</v>
      </c>
      <c r="AM65" s="1311" t="s">
        <v>4603</v>
      </c>
      <c r="AN65" s="1093" t="s">
        <v>4604</v>
      </c>
      <c r="AO65" s="5035" t="s">
        <v>4605</v>
      </c>
      <c r="AP65" s="5036" t="s">
        <v>4606</v>
      </c>
      <c r="AQ65" s="5037" t="s">
        <v>4934</v>
      </c>
      <c r="AR65" s="5036" t="s">
        <v>4935</v>
      </c>
      <c r="AS65" s="5038" t="s">
        <v>4936</v>
      </c>
      <c r="AT65" s="5036" t="s">
        <v>4937</v>
      </c>
      <c r="AU65" s="5038" t="s">
        <v>5234</v>
      </c>
      <c r="AV65" s="5036" t="s">
        <v>5235</v>
      </c>
    </row>
    <row r="66" spans="1:48" s="7" customFormat="1" ht="15" customHeight="1" x14ac:dyDescent="0.2">
      <c r="A66" s="5944">
        <v>30000087</v>
      </c>
      <c r="B66" s="250" t="s">
        <v>1242</v>
      </c>
      <c r="C66" s="1089" t="s">
        <v>4567</v>
      </c>
      <c r="D66" s="1093" t="s">
        <v>4568</v>
      </c>
      <c r="E66" s="1089" t="s">
        <v>4569</v>
      </c>
      <c r="F66" s="1093" t="s">
        <v>4570</v>
      </c>
      <c r="G66" s="1089" t="s">
        <v>4571</v>
      </c>
      <c r="H66" s="1093" t="s">
        <v>4572</v>
      </c>
      <c r="I66" s="1089" t="s">
        <v>4573</v>
      </c>
      <c r="J66" s="1093" t="s">
        <v>4574</v>
      </c>
      <c r="K66" s="1089" t="s">
        <v>4575</v>
      </c>
      <c r="L66" s="1093" t="s">
        <v>4576</v>
      </c>
      <c r="M66" s="1089" t="s">
        <v>4577</v>
      </c>
      <c r="N66" s="1093" t="s">
        <v>4578</v>
      </c>
      <c r="O66" s="1089" t="s">
        <v>4579</v>
      </c>
      <c r="P66" s="1093" t="s">
        <v>4580</v>
      </c>
      <c r="Q66" s="1089" t="s">
        <v>4581</v>
      </c>
      <c r="R66" s="1093" t="s">
        <v>4582</v>
      </c>
      <c r="S66" s="5032" t="s">
        <v>4583</v>
      </c>
      <c r="T66" s="4898" t="s">
        <v>4584</v>
      </c>
      <c r="U66" s="5032" t="s">
        <v>4585</v>
      </c>
      <c r="V66" s="4898" t="s">
        <v>4586</v>
      </c>
      <c r="W66" s="5033" t="s">
        <v>4587</v>
      </c>
      <c r="X66" s="4898" t="s">
        <v>4588</v>
      </c>
      <c r="Y66" s="5032" t="s">
        <v>4589</v>
      </c>
      <c r="Z66" s="5034" t="s">
        <v>4590</v>
      </c>
      <c r="AA66" s="1299" t="s">
        <v>4591</v>
      </c>
      <c r="AB66" s="1311" t="s">
        <v>4592</v>
      </c>
      <c r="AC66" s="1093" t="s">
        <v>4593</v>
      </c>
      <c r="AD66" s="1299" t="s">
        <v>4594</v>
      </c>
      <c r="AE66" s="1093" t="s">
        <v>4595</v>
      </c>
      <c r="AF66" s="1091" t="s">
        <v>4596</v>
      </c>
      <c r="AG66" s="1093" t="s">
        <v>4597</v>
      </c>
      <c r="AH66" s="1089" t="s">
        <v>4598</v>
      </c>
      <c r="AI66" s="1093" t="s">
        <v>4599</v>
      </c>
      <c r="AJ66" s="1091" t="s">
        <v>4600</v>
      </c>
      <c r="AK66" s="1095" t="s">
        <v>4601</v>
      </c>
      <c r="AL66" s="1250" t="s">
        <v>4602</v>
      </c>
      <c r="AM66" s="1311" t="s">
        <v>4603</v>
      </c>
      <c r="AN66" s="1093" t="s">
        <v>4604</v>
      </c>
      <c r="AO66" s="5035" t="s">
        <v>4605</v>
      </c>
      <c r="AP66" s="5036" t="s">
        <v>4606</v>
      </c>
      <c r="AQ66" s="5037" t="s">
        <v>4934</v>
      </c>
      <c r="AR66" s="5036" t="s">
        <v>4935</v>
      </c>
      <c r="AS66" s="5038" t="s">
        <v>4936</v>
      </c>
      <c r="AT66" s="5036" t="s">
        <v>4937</v>
      </c>
      <c r="AU66" s="5038" t="s">
        <v>5234</v>
      </c>
      <c r="AV66" s="5036" t="s">
        <v>5235</v>
      </c>
    </row>
    <row r="67" spans="1:48" s="7" customFormat="1" ht="15" customHeight="1" x14ac:dyDescent="0.2">
      <c r="A67" s="5944">
        <v>30000088</v>
      </c>
      <c r="B67" s="1163" t="s">
        <v>3719</v>
      </c>
      <c r="C67" s="1114" t="s">
        <v>4567</v>
      </c>
      <c r="D67" s="1115" t="s">
        <v>4568</v>
      </c>
      <c r="E67" s="1114" t="s">
        <v>4569</v>
      </c>
      <c r="F67" s="1115" t="s">
        <v>4570</v>
      </c>
      <c r="G67" s="1114" t="s">
        <v>4571</v>
      </c>
      <c r="H67" s="1115" t="s">
        <v>4572</v>
      </c>
      <c r="I67" s="1114" t="s">
        <v>4573</v>
      </c>
      <c r="J67" s="1115" t="s">
        <v>4574</v>
      </c>
      <c r="K67" s="1114" t="s">
        <v>4575</v>
      </c>
      <c r="L67" s="1115" t="s">
        <v>4576</v>
      </c>
      <c r="M67" s="1114" t="s">
        <v>4577</v>
      </c>
      <c r="N67" s="1115" t="s">
        <v>4578</v>
      </c>
      <c r="O67" s="1114" t="s">
        <v>4579</v>
      </c>
      <c r="P67" s="1115" t="s">
        <v>4580</v>
      </c>
      <c r="Q67" s="1114" t="s">
        <v>4581</v>
      </c>
      <c r="R67" s="1115" t="s">
        <v>4582</v>
      </c>
      <c r="S67" s="3075" t="s">
        <v>4583</v>
      </c>
      <c r="T67" s="4988" t="s">
        <v>4584</v>
      </c>
      <c r="U67" s="3075" t="s">
        <v>4585</v>
      </c>
      <c r="V67" s="4988" t="s">
        <v>4586</v>
      </c>
      <c r="W67" s="4989" t="s">
        <v>4587</v>
      </c>
      <c r="X67" s="4988" t="s">
        <v>4588</v>
      </c>
      <c r="Y67" s="3075" t="s">
        <v>4589</v>
      </c>
      <c r="Z67" s="5039" t="s">
        <v>4590</v>
      </c>
      <c r="AA67" s="1303" t="s">
        <v>4591</v>
      </c>
      <c r="AB67" s="557" t="s">
        <v>4592</v>
      </c>
      <c r="AC67" s="1115" t="s">
        <v>4593</v>
      </c>
      <c r="AD67" s="1303" t="s">
        <v>4594</v>
      </c>
      <c r="AE67" s="1115" t="s">
        <v>4595</v>
      </c>
      <c r="AF67" s="1127" t="s">
        <v>4596</v>
      </c>
      <c r="AG67" s="1115" t="s">
        <v>4597</v>
      </c>
      <c r="AH67" s="1114" t="s">
        <v>4598</v>
      </c>
      <c r="AI67" s="1115" t="s">
        <v>4599</v>
      </c>
      <c r="AJ67" s="1127" t="s">
        <v>4600</v>
      </c>
      <c r="AK67" s="1324" t="s">
        <v>4601</v>
      </c>
      <c r="AL67" s="1255" t="s">
        <v>4602</v>
      </c>
      <c r="AM67" s="557" t="s">
        <v>4603</v>
      </c>
      <c r="AN67" s="1115" t="s">
        <v>4604</v>
      </c>
      <c r="AO67" s="5040" t="s">
        <v>4605</v>
      </c>
      <c r="AP67" s="5041" t="s">
        <v>4606</v>
      </c>
      <c r="AQ67" s="5042" t="s">
        <v>4934</v>
      </c>
      <c r="AR67" s="5041" t="s">
        <v>4935</v>
      </c>
      <c r="AS67" s="5043" t="s">
        <v>4936</v>
      </c>
      <c r="AT67" s="5041" t="s">
        <v>4937</v>
      </c>
      <c r="AU67" s="5043" t="s">
        <v>5234</v>
      </c>
      <c r="AV67" s="5041" t="s">
        <v>5235</v>
      </c>
    </row>
    <row r="68" spans="1:48" s="8" customFormat="1" ht="18" customHeight="1" x14ac:dyDescent="0.15">
      <c r="B68" s="15" t="s">
        <v>3720</v>
      </c>
      <c r="C68" s="15"/>
      <c r="D68" s="15"/>
      <c r="E68" s="15"/>
      <c r="F68" s="15"/>
      <c r="G68" s="15"/>
      <c r="H68" s="15"/>
    </row>
    <row r="69" spans="1:48" s="9" customFormat="1" ht="24.75" customHeight="1" x14ac:dyDescent="0.2">
      <c r="B69" s="7682" t="s">
        <v>3721</v>
      </c>
      <c r="C69" s="7257" t="s">
        <v>3722</v>
      </c>
      <c r="D69" s="7746"/>
      <c r="E69" s="7746"/>
      <c r="F69" s="7746"/>
      <c r="G69" s="7746"/>
      <c r="H69" s="7746"/>
      <c r="I69" s="7746"/>
      <c r="J69" s="7259"/>
      <c r="K69" s="7745" t="s">
        <v>3533</v>
      </c>
      <c r="L69" s="7745"/>
      <c r="M69" s="7339"/>
      <c r="N69" s="7756" t="s">
        <v>3692</v>
      </c>
      <c r="O69" s="7746"/>
      <c r="P69" s="7746"/>
      <c r="Q69" s="7746"/>
      <c r="R69" s="7746"/>
      <c r="S69" s="7746"/>
      <c r="T69" s="7746"/>
      <c r="U69" s="7759"/>
    </row>
    <row r="70" spans="1:48" s="9" customFormat="1" ht="15" customHeight="1" x14ac:dyDescent="0.2">
      <c r="B70" s="6350"/>
      <c r="C70" s="7745" t="s">
        <v>3140</v>
      </c>
      <c r="D70" s="7727"/>
      <c r="E70" s="7291" t="s">
        <v>1203</v>
      </c>
      <c r="F70" s="7727"/>
      <c r="G70" s="7291" t="s">
        <v>1204</v>
      </c>
      <c r="H70" s="7727"/>
      <c r="I70" s="7291" t="s">
        <v>706</v>
      </c>
      <c r="J70" s="7339"/>
      <c r="K70" s="1433" t="s">
        <v>3723</v>
      </c>
      <c r="L70" s="7257" t="s">
        <v>1594</v>
      </c>
      <c r="M70" s="7259"/>
      <c r="N70" s="7745" t="s">
        <v>3140</v>
      </c>
      <c r="O70" s="7727"/>
      <c r="P70" s="7291" t="s">
        <v>1203</v>
      </c>
      <c r="Q70" s="7727"/>
      <c r="R70" s="7291" t="s">
        <v>1204</v>
      </c>
      <c r="S70" s="7727"/>
      <c r="T70" s="7291" t="s">
        <v>706</v>
      </c>
      <c r="U70" s="7727"/>
    </row>
    <row r="71" spans="1:48" s="9" customFormat="1" ht="23.25" customHeight="1" x14ac:dyDescent="0.2">
      <c r="B71" s="6733"/>
      <c r="C71" s="1068" t="s">
        <v>461</v>
      </c>
      <c r="D71" s="1178" t="s">
        <v>59</v>
      </c>
      <c r="E71" s="1287" t="s">
        <v>58</v>
      </c>
      <c r="F71" s="1178" t="s">
        <v>59</v>
      </c>
      <c r="G71" s="1287" t="s">
        <v>58</v>
      </c>
      <c r="H71" s="1178" t="s">
        <v>59</v>
      </c>
      <c r="I71" s="1068" t="s">
        <v>58</v>
      </c>
      <c r="J71" s="4805" t="s">
        <v>59</v>
      </c>
      <c r="K71" s="1433" t="s">
        <v>3724</v>
      </c>
      <c r="L71" s="1286" t="s">
        <v>3696</v>
      </c>
      <c r="M71" s="1433" t="s">
        <v>2503</v>
      </c>
      <c r="N71" s="4437" t="s">
        <v>58</v>
      </c>
      <c r="O71" s="1178" t="s">
        <v>59</v>
      </c>
      <c r="P71" s="1068" t="s">
        <v>58</v>
      </c>
      <c r="Q71" s="1178" t="s">
        <v>59</v>
      </c>
      <c r="R71" s="1068" t="s">
        <v>58</v>
      </c>
      <c r="S71" s="1178" t="s">
        <v>59</v>
      </c>
      <c r="T71" s="1287" t="s">
        <v>58</v>
      </c>
      <c r="U71" s="1178" t="s">
        <v>59</v>
      </c>
    </row>
    <row r="72" spans="1:48" s="9" customFormat="1" ht="15" customHeight="1" x14ac:dyDescent="0.2">
      <c r="A72" s="5944">
        <v>30000089</v>
      </c>
      <c r="B72" s="1432" t="s">
        <v>3725</v>
      </c>
      <c r="C72" s="1081" t="s">
        <v>4567</v>
      </c>
      <c r="D72" s="748" t="s">
        <v>4568</v>
      </c>
      <c r="E72" s="1081" t="s">
        <v>4569</v>
      </c>
      <c r="F72" s="748" t="s">
        <v>4570</v>
      </c>
      <c r="G72" s="1081" t="s">
        <v>4571</v>
      </c>
      <c r="H72" s="748" t="s">
        <v>4572</v>
      </c>
      <c r="I72" s="1083" t="s">
        <v>4573</v>
      </c>
      <c r="J72" s="736" t="s">
        <v>4574</v>
      </c>
      <c r="K72" s="1082" t="s">
        <v>4575</v>
      </c>
      <c r="L72" s="1081" t="s">
        <v>4576</v>
      </c>
      <c r="M72" s="748" t="s">
        <v>4577</v>
      </c>
      <c r="N72" s="1294" t="s">
        <v>4578</v>
      </c>
      <c r="O72" s="748" t="s">
        <v>4579</v>
      </c>
      <c r="P72" s="1083" t="s">
        <v>4580</v>
      </c>
      <c r="Q72" s="748" t="s">
        <v>4581</v>
      </c>
      <c r="R72" s="1083" t="s">
        <v>4582</v>
      </c>
      <c r="S72" s="748" t="s">
        <v>4583</v>
      </c>
      <c r="T72" s="1081" t="s">
        <v>4584</v>
      </c>
      <c r="U72" s="748" t="s">
        <v>4585</v>
      </c>
    </row>
    <row r="73" spans="1:48" s="9" customFormat="1" ht="15" customHeight="1" x14ac:dyDescent="0.2">
      <c r="A73" s="5944">
        <v>30000090</v>
      </c>
      <c r="B73" s="1435" t="s">
        <v>3726</v>
      </c>
      <c r="C73" s="1089" t="s">
        <v>4567</v>
      </c>
      <c r="D73" s="1093" t="s">
        <v>4568</v>
      </c>
      <c r="E73" s="1089" t="s">
        <v>4569</v>
      </c>
      <c r="F73" s="1093" t="s">
        <v>4570</v>
      </c>
      <c r="G73" s="1089" t="s">
        <v>4571</v>
      </c>
      <c r="H73" s="1093" t="s">
        <v>4572</v>
      </c>
      <c r="I73" s="1091" t="s">
        <v>4573</v>
      </c>
      <c r="J73" s="1095" t="s">
        <v>4574</v>
      </c>
      <c r="K73" s="1093" t="s">
        <v>4575</v>
      </c>
      <c r="L73" s="1089" t="s">
        <v>4576</v>
      </c>
      <c r="M73" s="1093" t="s">
        <v>4577</v>
      </c>
      <c r="N73" s="1299" t="s">
        <v>4578</v>
      </c>
      <c r="O73" s="1093" t="s">
        <v>4579</v>
      </c>
      <c r="P73" s="1091" t="s">
        <v>4580</v>
      </c>
      <c r="Q73" s="1093" t="s">
        <v>4581</v>
      </c>
      <c r="R73" s="1091" t="s">
        <v>4582</v>
      </c>
      <c r="S73" s="1093" t="s">
        <v>4583</v>
      </c>
      <c r="T73" s="1089" t="s">
        <v>4584</v>
      </c>
      <c r="U73" s="1093" t="s">
        <v>4585</v>
      </c>
    </row>
    <row r="74" spans="1:48" s="9" customFormat="1" ht="15" customHeight="1" x14ac:dyDescent="0.2">
      <c r="A74" s="5944">
        <v>30000091</v>
      </c>
      <c r="B74" s="870" t="s">
        <v>3345</v>
      </c>
      <c r="C74" s="4957" t="s">
        <v>4567</v>
      </c>
      <c r="D74" s="310" t="s">
        <v>4568</v>
      </c>
      <c r="E74" s="1264" t="s">
        <v>4569</v>
      </c>
      <c r="F74" s="310" t="s">
        <v>4570</v>
      </c>
      <c r="G74" s="1264" t="s">
        <v>4571</v>
      </c>
      <c r="H74" s="310" t="s">
        <v>4572</v>
      </c>
      <c r="I74" s="4957" t="s">
        <v>4573</v>
      </c>
      <c r="J74" s="297" t="s">
        <v>4574</v>
      </c>
      <c r="K74" s="310" t="s">
        <v>4575</v>
      </c>
      <c r="L74" s="1264" t="s">
        <v>4576</v>
      </c>
      <c r="M74" s="310" t="s">
        <v>4577</v>
      </c>
      <c r="N74" s="266" t="s">
        <v>4578</v>
      </c>
      <c r="O74" s="310" t="s">
        <v>4579</v>
      </c>
      <c r="P74" s="4957" t="s">
        <v>4580</v>
      </c>
      <c r="Q74" s="310" t="s">
        <v>4581</v>
      </c>
      <c r="R74" s="4957" t="s">
        <v>4582</v>
      </c>
      <c r="S74" s="310" t="s">
        <v>4583</v>
      </c>
      <c r="T74" s="1264" t="s">
        <v>4584</v>
      </c>
      <c r="U74" s="310" t="s">
        <v>4585</v>
      </c>
    </row>
    <row r="75" spans="1:48" s="8" customFormat="1" ht="18" customHeight="1" x14ac:dyDescent="0.2">
      <c r="A75" s="5608"/>
      <c r="B75" s="15" t="s">
        <v>3727</v>
      </c>
      <c r="C75" s="15"/>
      <c r="D75" s="15"/>
      <c r="E75" s="15"/>
      <c r="F75" s="15"/>
      <c r="G75" s="15"/>
      <c r="H75" s="15"/>
    </row>
    <row r="76" spans="1:48" s="9" customFormat="1" ht="15" customHeight="1" x14ac:dyDescent="0.2">
      <c r="A76" s="5608"/>
      <c r="B76" s="7750" t="s">
        <v>3728</v>
      </c>
      <c r="C76" s="7257" t="s">
        <v>3729</v>
      </c>
      <c r="D76" s="7746"/>
      <c r="E76" s="7746"/>
      <c r="F76" s="7746"/>
      <c r="G76" s="7746"/>
      <c r="H76" s="7746"/>
      <c r="I76" s="7746"/>
      <c r="J76" s="7746"/>
      <c r="K76" s="5044"/>
      <c r="L76" s="5044"/>
      <c r="M76" s="5045"/>
      <c r="N76" s="7756" t="s">
        <v>3730</v>
      </c>
      <c r="O76" s="7746"/>
      <c r="P76" s="7746"/>
      <c r="Q76" s="7746"/>
      <c r="R76" s="7746"/>
      <c r="S76" s="7746"/>
      <c r="T76" s="7746"/>
      <c r="U76" s="7746"/>
      <c r="V76" s="7746"/>
      <c r="W76" s="7746"/>
      <c r="X76" s="7259"/>
      <c r="Y76" s="7757" t="s">
        <v>3731</v>
      </c>
      <c r="Z76" s="7758"/>
      <c r="AA76" s="5046"/>
      <c r="AB76" s="5046"/>
      <c r="AC76" s="5046"/>
      <c r="AD76" s="5046"/>
      <c r="AE76" s="5046"/>
      <c r="AF76" s="5046"/>
      <c r="AG76" s="5046"/>
      <c r="AH76" s="5046"/>
      <c r="AI76" s="5046"/>
      <c r="AJ76" s="5046"/>
      <c r="AK76" s="5046"/>
      <c r="AL76" s="5046"/>
      <c r="AM76" s="5046"/>
      <c r="AN76" s="5046"/>
      <c r="AO76" s="5046"/>
      <c r="AP76" s="5046"/>
    </row>
    <row r="77" spans="1:48" s="9" customFormat="1" ht="15" customHeight="1" x14ac:dyDescent="0.2">
      <c r="A77" s="5608"/>
      <c r="B77" s="7751"/>
      <c r="C77" s="7745" t="s">
        <v>3140</v>
      </c>
      <c r="D77" s="7727"/>
      <c r="E77" s="7291" t="s">
        <v>1203</v>
      </c>
      <c r="F77" s="7727"/>
      <c r="G77" s="7291" t="s">
        <v>1204</v>
      </c>
      <c r="H77" s="7727"/>
      <c r="I77" s="7291" t="s">
        <v>706</v>
      </c>
      <c r="J77" s="7727"/>
      <c r="K77" s="7243" t="s">
        <v>3533</v>
      </c>
      <c r="L77" s="7745"/>
      <c r="M77" s="7339"/>
      <c r="N77" s="7745" t="s">
        <v>3140</v>
      </c>
      <c r="O77" s="7727"/>
      <c r="P77" s="7291" t="s">
        <v>1203</v>
      </c>
      <c r="Q77" s="7727"/>
      <c r="R77" s="7291" t="s">
        <v>1204</v>
      </c>
      <c r="S77" s="7727"/>
      <c r="T77" s="7291" t="s">
        <v>706</v>
      </c>
      <c r="U77" s="7727"/>
      <c r="V77" s="7243" t="s">
        <v>3533</v>
      </c>
      <c r="W77" s="7745"/>
      <c r="X77" s="7339"/>
      <c r="Y77" s="7757"/>
      <c r="Z77" s="7758"/>
      <c r="AA77" s="5046"/>
      <c r="AB77" s="5046"/>
      <c r="AC77" s="5046"/>
      <c r="AD77" s="5046"/>
      <c r="AE77" s="5046"/>
      <c r="AF77" s="5046"/>
      <c r="AG77" s="5046"/>
      <c r="AH77" s="5046"/>
      <c r="AI77" s="5046"/>
      <c r="AJ77" s="5046"/>
      <c r="AK77" s="5046"/>
      <c r="AL77" s="5046"/>
      <c r="AM77" s="5046"/>
      <c r="AN77" s="5046"/>
      <c r="AO77" s="5046"/>
      <c r="AP77" s="5046"/>
    </row>
    <row r="78" spans="1:48" s="9" customFormat="1" ht="15" customHeight="1" x14ac:dyDescent="0.2">
      <c r="A78" s="5608"/>
      <c r="B78" s="7751"/>
      <c r="C78" s="7754" t="s">
        <v>58</v>
      </c>
      <c r="D78" s="7676" t="s">
        <v>59</v>
      </c>
      <c r="E78" s="7754" t="s">
        <v>58</v>
      </c>
      <c r="F78" s="7676" t="s">
        <v>59</v>
      </c>
      <c r="G78" s="7754" t="s">
        <v>58</v>
      </c>
      <c r="H78" s="7676" t="s">
        <v>59</v>
      </c>
      <c r="I78" s="7764" t="s">
        <v>58</v>
      </c>
      <c r="J78" s="7767" t="s">
        <v>59</v>
      </c>
      <c r="K78" s="7753" t="s">
        <v>3559</v>
      </c>
      <c r="L78" s="7759" t="s">
        <v>1594</v>
      </c>
      <c r="M78" s="7766"/>
      <c r="N78" s="7764" t="s">
        <v>58</v>
      </c>
      <c r="O78" s="7676" t="s">
        <v>59</v>
      </c>
      <c r="P78" s="7764" t="s">
        <v>58</v>
      </c>
      <c r="Q78" s="7676" t="s">
        <v>59</v>
      </c>
      <c r="R78" s="7764" t="s">
        <v>58</v>
      </c>
      <c r="S78" s="7676" t="s">
        <v>59</v>
      </c>
      <c r="T78" s="7754" t="s">
        <v>58</v>
      </c>
      <c r="U78" s="7762" t="s">
        <v>59</v>
      </c>
      <c r="V78" s="7301" t="s">
        <v>3559</v>
      </c>
      <c r="W78" s="7746" t="s">
        <v>1594</v>
      </c>
      <c r="X78" s="7259"/>
      <c r="Y78" s="7772" t="s">
        <v>3732</v>
      </c>
      <c r="Z78" s="7774" t="s">
        <v>3733</v>
      </c>
      <c r="AA78" s="5046"/>
      <c r="AB78" s="5046"/>
      <c r="AC78" s="5046"/>
      <c r="AD78" s="5046"/>
      <c r="AE78" s="5046"/>
      <c r="AF78" s="5046"/>
      <c r="AG78" s="5046"/>
      <c r="AH78" s="5046"/>
      <c r="AI78" s="5046"/>
      <c r="AJ78" s="5046"/>
      <c r="AK78" s="5046"/>
      <c r="AL78" s="5046"/>
      <c r="AM78" s="5046"/>
      <c r="AN78" s="5046"/>
      <c r="AO78" s="5046"/>
      <c r="AP78" s="5046"/>
    </row>
    <row r="79" spans="1:48" s="9" customFormat="1" ht="30" customHeight="1" x14ac:dyDescent="0.2">
      <c r="A79" s="5608"/>
      <c r="B79" s="7752"/>
      <c r="C79" s="7755"/>
      <c r="D79" s="6913"/>
      <c r="E79" s="7755"/>
      <c r="F79" s="6913"/>
      <c r="G79" s="7755"/>
      <c r="H79" s="6913"/>
      <c r="I79" s="7765"/>
      <c r="J79" s="7768"/>
      <c r="K79" s="7753"/>
      <c r="L79" s="1110" t="s">
        <v>3696</v>
      </c>
      <c r="M79" s="1111" t="s">
        <v>2503</v>
      </c>
      <c r="N79" s="7765"/>
      <c r="O79" s="6913"/>
      <c r="P79" s="7765"/>
      <c r="Q79" s="6913"/>
      <c r="R79" s="7765"/>
      <c r="S79" s="6913"/>
      <c r="T79" s="7755"/>
      <c r="U79" s="7204"/>
      <c r="V79" s="6937"/>
      <c r="W79" s="1798" t="s">
        <v>3696</v>
      </c>
      <c r="X79" s="5050" t="s">
        <v>2503</v>
      </c>
      <c r="Y79" s="7772"/>
      <c r="Z79" s="7774"/>
      <c r="AA79" s="5046"/>
      <c r="AB79" s="5046"/>
      <c r="AC79" s="5046"/>
      <c r="AD79" s="5046"/>
      <c r="AE79" s="5046"/>
      <c r="AF79" s="5046"/>
      <c r="AG79" s="5046"/>
      <c r="AH79" s="5046"/>
      <c r="AI79" s="5046"/>
      <c r="AJ79" s="5046"/>
      <c r="AK79" s="5046"/>
      <c r="AL79" s="5046"/>
      <c r="AM79" s="5046"/>
      <c r="AN79" s="5046"/>
      <c r="AO79" s="5046"/>
      <c r="AP79" s="5046"/>
    </row>
    <row r="80" spans="1:48" s="9" customFormat="1" ht="15" customHeight="1" x14ac:dyDescent="0.2">
      <c r="A80" s="5863"/>
      <c r="B80" s="5051" t="s">
        <v>3734</v>
      </c>
      <c r="C80" s="4891" t="e">
        <f t="shared" ref="C80:M80" si="1">C81+C82+C83+C84+C85+C86+C87+C88+C89+C92+C93</f>
        <v>#VALUE!</v>
      </c>
      <c r="D80" s="1102" t="e">
        <f t="shared" si="1"/>
        <v>#VALUE!</v>
      </c>
      <c r="E80" s="4891" t="e">
        <f t="shared" si="1"/>
        <v>#VALUE!</v>
      </c>
      <c r="F80" s="1102" t="e">
        <f t="shared" si="1"/>
        <v>#VALUE!</v>
      </c>
      <c r="G80" s="4891" t="e">
        <f t="shared" si="1"/>
        <v>#VALUE!</v>
      </c>
      <c r="H80" s="1102" t="e">
        <f t="shared" si="1"/>
        <v>#VALUE!</v>
      </c>
      <c r="I80" s="4891" t="e">
        <f t="shared" si="1"/>
        <v>#VALUE!</v>
      </c>
      <c r="J80" s="4870" t="e">
        <f t="shared" si="1"/>
        <v>#VALUE!</v>
      </c>
      <c r="K80" s="4871" t="e">
        <f t="shared" si="1"/>
        <v>#VALUE!</v>
      </c>
      <c r="L80" s="1102" t="e">
        <f t="shared" si="1"/>
        <v>#VALUE!</v>
      </c>
      <c r="M80" s="4870" t="e">
        <f t="shared" si="1"/>
        <v>#VALUE!</v>
      </c>
      <c r="N80" s="4945">
        <f>SUM(N81:N93)</f>
        <v>0</v>
      </c>
      <c r="O80" s="1456">
        <f>SUM(O81:O93)</f>
        <v>0</v>
      </c>
      <c r="P80" s="4946">
        <f t="shared" ref="P80:X80" si="2">SUM(P81:P93)</f>
        <v>0</v>
      </c>
      <c r="Q80" s="1456">
        <f t="shared" si="2"/>
        <v>0</v>
      </c>
      <c r="R80" s="4946">
        <f t="shared" ref="R80:S80" si="3">SUM(R81:R93)</f>
        <v>0</v>
      </c>
      <c r="S80" s="1456">
        <f t="shared" si="3"/>
        <v>0</v>
      </c>
      <c r="T80" s="1102">
        <f t="shared" si="2"/>
        <v>0</v>
      </c>
      <c r="U80" s="1106">
        <f t="shared" si="2"/>
        <v>0</v>
      </c>
      <c r="V80" s="4871">
        <f t="shared" si="2"/>
        <v>0</v>
      </c>
      <c r="W80" s="1102">
        <f t="shared" si="2"/>
        <v>0</v>
      </c>
      <c r="X80" s="1106">
        <f t="shared" si="2"/>
        <v>0</v>
      </c>
      <c r="Y80" s="1456">
        <f>SUM(Y81:Y93)</f>
        <v>0</v>
      </c>
      <c r="Z80" s="1456">
        <f>SUM(Z81:Z93)</f>
        <v>0</v>
      </c>
      <c r="AA80" s="5046"/>
      <c r="AB80" s="5046"/>
      <c r="AC80" s="7"/>
      <c r="AD80" s="5046"/>
      <c r="AE80" s="5046"/>
      <c r="AF80" s="5046"/>
      <c r="AG80" s="5046"/>
      <c r="AH80" s="5046"/>
      <c r="AI80" s="5046"/>
      <c r="AJ80" s="5046"/>
      <c r="AK80" s="5046"/>
      <c r="AL80" s="5046"/>
      <c r="AM80" s="5046"/>
      <c r="AN80" s="5046"/>
      <c r="AO80" s="5046"/>
      <c r="AP80" s="5046"/>
    </row>
    <row r="81" spans="1:46" s="9" customFormat="1" ht="15" customHeight="1" x14ac:dyDescent="0.2">
      <c r="A81" s="5944">
        <v>30000058</v>
      </c>
      <c r="B81" s="990" t="s">
        <v>3735</v>
      </c>
      <c r="C81" s="47" t="s">
        <v>4567</v>
      </c>
      <c r="D81" s="95" t="s">
        <v>4568</v>
      </c>
      <c r="E81" s="47" t="s">
        <v>4569</v>
      </c>
      <c r="F81" s="95" t="s">
        <v>4570</v>
      </c>
      <c r="G81" s="47" t="s">
        <v>4571</v>
      </c>
      <c r="H81" s="95" t="s">
        <v>4572</v>
      </c>
      <c r="I81" s="4517" t="s">
        <v>4573</v>
      </c>
      <c r="J81" s="4519" t="s">
        <v>4574</v>
      </c>
      <c r="K81" s="4777" t="s">
        <v>4575</v>
      </c>
      <c r="L81" s="66" t="s">
        <v>4576</v>
      </c>
      <c r="M81" s="4519" t="s">
        <v>4577</v>
      </c>
      <c r="N81" s="4517" t="s">
        <v>4578</v>
      </c>
      <c r="O81" s="95" t="s">
        <v>4579</v>
      </c>
      <c r="P81" s="4517" t="s">
        <v>4580</v>
      </c>
      <c r="Q81" s="95" t="s">
        <v>4581</v>
      </c>
      <c r="R81" s="4517" t="s">
        <v>4582</v>
      </c>
      <c r="S81" s="95" t="s">
        <v>4583</v>
      </c>
      <c r="T81" s="47" t="s">
        <v>4584</v>
      </c>
      <c r="U81" s="4519" t="s">
        <v>4585</v>
      </c>
      <c r="V81" s="4777" t="s">
        <v>4586</v>
      </c>
      <c r="W81" s="5052" t="s">
        <v>4587</v>
      </c>
      <c r="X81" s="75" t="s">
        <v>4588</v>
      </c>
      <c r="Y81" s="1082" t="s">
        <v>4589</v>
      </c>
      <c r="Z81" s="4348" t="s">
        <v>4590</v>
      </c>
      <c r="AA81" s="5046"/>
      <c r="AB81" s="5046"/>
      <c r="AC81" s="7"/>
      <c r="AD81" s="5046"/>
      <c r="AE81" s="5046"/>
      <c r="AF81" s="5046"/>
      <c r="AG81" s="5046"/>
      <c r="AH81" s="5046"/>
      <c r="AI81" s="5046"/>
      <c r="AJ81" s="5046"/>
      <c r="AK81" s="5046"/>
      <c r="AL81" s="5046"/>
      <c r="AM81" s="5046"/>
      <c r="AN81" s="5046"/>
      <c r="AO81" s="5046"/>
      <c r="AP81" s="5046"/>
    </row>
    <row r="82" spans="1:46" s="9" customFormat="1" ht="15" customHeight="1" x14ac:dyDescent="0.2">
      <c r="A82" s="5944">
        <v>30000059</v>
      </c>
      <c r="B82" s="990" t="s">
        <v>3736</v>
      </c>
      <c r="C82" s="192" t="s">
        <v>4567</v>
      </c>
      <c r="D82" s="382" t="s">
        <v>4568</v>
      </c>
      <c r="E82" s="192" t="s">
        <v>4569</v>
      </c>
      <c r="F82" s="382" t="s">
        <v>4570</v>
      </c>
      <c r="G82" s="192" t="s">
        <v>4571</v>
      </c>
      <c r="H82" s="382" t="s">
        <v>4572</v>
      </c>
      <c r="I82" s="481" t="s">
        <v>4573</v>
      </c>
      <c r="J82" s="383" t="s">
        <v>4574</v>
      </c>
      <c r="K82" s="4770" t="s">
        <v>4575</v>
      </c>
      <c r="L82" s="64" t="s">
        <v>4576</v>
      </c>
      <c r="M82" s="383" t="s">
        <v>4577</v>
      </c>
      <c r="N82" s="376" t="s">
        <v>4578</v>
      </c>
      <c r="O82" s="382" t="s">
        <v>4579</v>
      </c>
      <c r="P82" s="481" t="s">
        <v>4580</v>
      </c>
      <c r="Q82" s="382" t="s">
        <v>4581</v>
      </c>
      <c r="R82" s="481" t="s">
        <v>4582</v>
      </c>
      <c r="S82" s="382" t="s">
        <v>4583</v>
      </c>
      <c r="T82" s="192" t="s">
        <v>4584</v>
      </c>
      <c r="U82" s="383" t="s">
        <v>4585</v>
      </c>
      <c r="V82" s="4770" t="s">
        <v>4586</v>
      </c>
      <c r="W82" s="481" t="s">
        <v>4587</v>
      </c>
      <c r="X82" s="375" t="s">
        <v>4588</v>
      </c>
      <c r="Y82" s="1090" t="s">
        <v>4589</v>
      </c>
      <c r="Z82" s="4505" t="s">
        <v>4590</v>
      </c>
      <c r="AA82" s="5046"/>
      <c r="AB82" s="5046"/>
      <c r="AC82" s="7"/>
      <c r="AD82" s="5046"/>
      <c r="AE82" s="5046"/>
      <c r="AF82" s="5046"/>
      <c r="AG82" s="5046"/>
      <c r="AH82" s="5046"/>
      <c r="AI82" s="5046"/>
      <c r="AJ82" s="5046"/>
      <c r="AK82" s="5046"/>
      <c r="AL82" s="5046"/>
      <c r="AM82" s="5046"/>
      <c r="AN82" s="5046"/>
      <c r="AO82" s="5046"/>
      <c r="AP82" s="5046"/>
    </row>
    <row r="83" spans="1:46" s="9" customFormat="1" ht="15" customHeight="1" x14ac:dyDescent="0.2">
      <c r="A83" s="5944">
        <v>30000060</v>
      </c>
      <c r="B83" s="990" t="s">
        <v>3737</v>
      </c>
      <c r="C83" s="192" t="s">
        <v>4567</v>
      </c>
      <c r="D83" s="382" t="s">
        <v>4568</v>
      </c>
      <c r="E83" s="192" t="s">
        <v>4569</v>
      </c>
      <c r="F83" s="382" t="s">
        <v>4570</v>
      </c>
      <c r="G83" s="192" t="s">
        <v>4571</v>
      </c>
      <c r="H83" s="382" t="s">
        <v>4572</v>
      </c>
      <c r="I83" s="481" t="s">
        <v>4573</v>
      </c>
      <c r="J83" s="383" t="s">
        <v>4574</v>
      </c>
      <c r="K83" s="4770" t="s">
        <v>4575</v>
      </c>
      <c r="L83" s="64" t="s">
        <v>4576</v>
      </c>
      <c r="M83" s="383" t="s">
        <v>4577</v>
      </c>
      <c r="N83" s="376" t="s">
        <v>4578</v>
      </c>
      <c r="O83" s="382" t="s">
        <v>4579</v>
      </c>
      <c r="P83" s="481" t="s">
        <v>4580</v>
      </c>
      <c r="Q83" s="382" t="s">
        <v>4581</v>
      </c>
      <c r="R83" s="481" t="s">
        <v>4582</v>
      </c>
      <c r="S83" s="382" t="s">
        <v>4583</v>
      </c>
      <c r="T83" s="192" t="s">
        <v>4584</v>
      </c>
      <c r="U83" s="383" t="s">
        <v>4585</v>
      </c>
      <c r="V83" s="4770" t="s">
        <v>4586</v>
      </c>
      <c r="W83" s="481" t="s">
        <v>4587</v>
      </c>
      <c r="X83" s="375" t="s">
        <v>4588</v>
      </c>
      <c r="Y83" s="1090" t="s">
        <v>4589</v>
      </c>
      <c r="Z83" s="4505" t="s">
        <v>4590</v>
      </c>
      <c r="AA83" s="5046"/>
      <c r="AB83" s="5046"/>
      <c r="AC83" s="7"/>
      <c r="AD83" s="5046"/>
      <c r="AE83" s="5046"/>
      <c r="AF83" s="5046"/>
      <c r="AG83" s="5046"/>
      <c r="AH83" s="5046"/>
      <c r="AI83" s="5046"/>
      <c r="AJ83" s="5046"/>
      <c r="AK83" s="5046"/>
      <c r="AL83" s="5046"/>
      <c r="AM83" s="5046"/>
      <c r="AN83" s="5046"/>
      <c r="AO83" s="5046"/>
      <c r="AP83" s="5046"/>
    </row>
    <row r="84" spans="1:46" s="9" customFormat="1" ht="15" customHeight="1" x14ac:dyDescent="0.2">
      <c r="A84" s="5944">
        <v>30000061</v>
      </c>
      <c r="B84" s="990" t="s">
        <v>3738</v>
      </c>
      <c r="C84" s="192" t="s">
        <v>4567</v>
      </c>
      <c r="D84" s="382" t="s">
        <v>4568</v>
      </c>
      <c r="E84" s="192" t="s">
        <v>4569</v>
      </c>
      <c r="F84" s="382" t="s">
        <v>4570</v>
      </c>
      <c r="G84" s="192" t="s">
        <v>4571</v>
      </c>
      <c r="H84" s="382" t="s">
        <v>4572</v>
      </c>
      <c r="I84" s="481" t="s">
        <v>4573</v>
      </c>
      <c r="J84" s="383" t="s">
        <v>4574</v>
      </c>
      <c r="K84" s="4770" t="s">
        <v>4575</v>
      </c>
      <c r="L84" s="64" t="s">
        <v>4576</v>
      </c>
      <c r="M84" s="383" t="s">
        <v>4577</v>
      </c>
      <c r="N84" s="376" t="s">
        <v>4578</v>
      </c>
      <c r="O84" s="382" t="s">
        <v>4579</v>
      </c>
      <c r="P84" s="481" t="s">
        <v>4580</v>
      </c>
      <c r="Q84" s="382" t="s">
        <v>4581</v>
      </c>
      <c r="R84" s="481" t="s">
        <v>4582</v>
      </c>
      <c r="S84" s="382" t="s">
        <v>4583</v>
      </c>
      <c r="T84" s="192" t="s">
        <v>4584</v>
      </c>
      <c r="U84" s="383" t="s">
        <v>4585</v>
      </c>
      <c r="V84" s="4770" t="s">
        <v>4586</v>
      </c>
      <c r="W84" s="481" t="s">
        <v>4587</v>
      </c>
      <c r="X84" s="375" t="s">
        <v>4588</v>
      </c>
      <c r="Y84" s="1090" t="s">
        <v>4589</v>
      </c>
      <c r="Z84" s="4505" t="s">
        <v>4590</v>
      </c>
      <c r="AA84" s="5046"/>
      <c r="AB84" s="5046"/>
      <c r="AC84" s="7"/>
      <c r="AD84" s="5046"/>
      <c r="AE84" s="5046"/>
      <c r="AF84" s="5046"/>
      <c r="AG84" s="5046"/>
      <c r="AH84" s="5046"/>
      <c r="AI84" s="5046"/>
      <c r="AJ84" s="5046"/>
      <c r="AK84" s="5046"/>
      <c r="AL84" s="5046"/>
      <c r="AM84" s="5046"/>
      <c r="AN84" s="5046"/>
      <c r="AO84" s="5046"/>
      <c r="AP84" s="5046"/>
    </row>
    <row r="85" spans="1:46" s="9" customFormat="1" ht="15" customHeight="1" x14ac:dyDescent="0.2">
      <c r="A85" s="5944">
        <v>30000062</v>
      </c>
      <c r="B85" s="990" t="s">
        <v>3739</v>
      </c>
      <c r="C85" s="192" t="s">
        <v>4567</v>
      </c>
      <c r="D85" s="382" t="s">
        <v>4568</v>
      </c>
      <c r="E85" s="192" t="s">
        <v>4569</v>
      </c>
      <c r="F85" s="382" t="s">
        <v>4570</v>
      </c>
      <c r="G85" s="192" t="s">
        <v>4571</v>
      </c>
      <c r="H85" s="382" t="s">
        <v>4572</v>
      </c>
      <c r="I85" s="481" t="s">
        <v>4573</v>
      </c>
      <c r="J85" s="383" t="s">
        <v>4574</v>
      </c>
      <c r="K85" s="4770" t="s">
        <v>4575</v>
      </c>
      <c r="L85" s="64" t="s">
        <v>4576</v>
      </c>
      <c r="M85" s="383" t="s">
        <v>4577</v>
      </c>
      <c r="N85" s="376" t="s">
        <v>4578</v>
      </c>
      <c r="O85" s="382" t="s">
        <v>4579</v>
      </c>
      <c r="P85" s="481" t="s">
        <v>4580</v>
      </c>
      <c r="Q85" s="382" t="s">
        <v>4581</v>
      </c>
      <c r="R85" s="481" t="s">
        <v>4582</v>
      </c>
      <c r="S85" s="382" t="s">
        <v>4583</v>
      </c>
      <c r="T85" s="192" t="s">
        <v>4584</v>
      </c>
      <c r="U85" s="383" t="s">
        <v>4585</v>
      </c>
      <c r="V85" s="4770" t="s">
        <v>4586</v>
      </c>
      <c r="W85" s="481" t="s">
        <v>4587</v>
      </c>
      <c r="X85" s="375" t="s">
        <v>4588</v>
      </c>
      <c r="Y85" s="1090" t="s">
        <v>4589</v>
      </c>
      <c r="Z85" s="4505" t="s">
        <v>4590</v>
      </c>
      <c r="AA85" s="5046"/>
      <c r="AB85" s="5046"/>
      <c r="AC85" s="7"/>
      <c r="AD85" s="5046"/>
      <c r="AE85" s="5046"/>
      <c r="AF85" s="5046"/>
      <c r="AG85" s="5046"/>
      <c r="AH85" s="5046"/>
      <c r="AI85" s="5046"/>
      <c r="AJ85" s="5046"/>
      <c r="AK85" s="5046"/>
      <c r="AL85" s="5046"/>
      <c r="AM85" s="5046"/>
      <c r="AN85" s="5046"/>
      <c r="AO85" s="5046"/>
      <c r="AP85" s="5046"/>
    </row>
    <row r="86" spans="1:46" s="9" customFormat="1" ht="15" customHeight="1" x14ac:dyDescent="0.2">
      <c r="A86" s="5944">
        <v>30000063</v>
      </c>
      <c r="B86" s="990" t="s">
        <v>3740</v>
      </c>
      <c r="C86" s="192" t="s">
        <v>4567</v>
      </c>
      <c r="D86" s="382" t="s">
        <v>4568</v>
      </c>
      <c r="E86" s="192" t="s">
        <v>4569</v>
      </c>
      <c r="F86" s="382" t="s">
        <v>4570</v>
      </c>
      <c r="G86" s="192" t="s">
        <v>4571</v>
      </c>
      <c r="H86" s="382" t="s">
        <v>4572</v>
      </c>
      <c r="I86" s="481" t="s">
        <v>4573</v>
      </c>
      <c r="J86" s="383" t="s">
        <v>4574</v>
      </c>
      <c r="K86" s="4770" t="s">
        <v>4575</v>
      </c>
      <c r="L86" s="64" t="s">
        <v>4576</v>
      </c>
      <c r="M86" s="383" t="s">
        <v>4577</v>
      </c>
      <c r="N86" s="376" t="s">
        <v>4578</v>
      </c>
      <c r="O86" s="382" t="s">
        <v>4579</v>
      </c>
      <c r="P86" s="481" t="s">
        <v>4580</v>
      </c>
      <c r="Q86" s="382" t="s">
        <v>4581</v>
      </c>
      <c r="R86" s="481" t="s">
        <v>4582</v>
      </c>
      <c r="S86" s="382" t="s">
        <v>4583</v>
      </c>
      <c r="T86" s="192" t="s">
        <v>4584</v>
      </c>
      <c r="U86" s="383" t="s">
        <v>4585</v>
      </c>
      <c r="V86" s="4770" t="s">
        <v>4586</v>
      </c>
      <c r="W86" s="481" t="s">
        <v>4587</v>
      </c>
      <c r="X86" s="375" t="s">
        <v>4588</v>
      </c>
      <c r="Y86" s="1090" t="s">
        <v>4589</v>
      </c>
      <c r="Z86" s="4505" t="s">
        <v>4590</v>
      </c>
      <c r="AA86" s="5046"/>
      <c r="AB86" s="5046"/>
      <c r="AC86" s="7"/>
      <c r="AD86" s="5046"/>
      <c r="AE86" s="5046"/>
      <c r="AF86" s="5046"/>
      <c r="AG86" s="5046"/>
      <c r="AH86" s="5046"/>
      <c r="AI86" s="5046"/>
      <c r="AJ86" s="5046"/>
      <c r="AK86" s="5046"/>
      <c r="AL86" s="5046"/>
      <c r="AM86" s="5046"/>
      <c r="AN86" s="5046"/>
      <c r="AO86" s="5046"/>
      <c r="AP86" s="5046"/>
    </row>
    <row r="87" spans="1:46" s="9" customFormat="1" ht="15" customHeight="1" x14ac:dyDescent="0.2">
      <c r="A87" s="5944">
        <v>30000064</v>
      </c>
      <c r="B87" s="990" t="s">
        <v>3741</v>
      </c>
      <c r="C87" s="192" t="s">
        <v>4567</v>
      </c>
      <c r="D87" s="382" t="s">
        <v>4568</v>
      </c>
      <c r="E87" s="192" t="s">
        <v>4569</v>
      </c>
      <c r="F87" s="382" t="s">
        <v>4570</v>
      </c>
      <c r="G87" s="192" t="s">
        <v>4571</v>
      </c>
      <c r="H87" s="382" t="s">
        <v>4572</v>
      </c>
      <c r="I87" s="481" t="s">
        <v>4573</v>
      </c>
      <c r="J87" s="383" t="s">
        <v>4574</v>
      </c>
      <c r="K87" s="4770" t="s">
        <v>4575</v>
      </c>
      <c r="L87" s="64" t="s">
        <v>4576</v>
      </c>
      <c r="M87" s="383" t="s">
        <v>4577</v>
      </c>
      <c r="N87" s="376" t="s">
        <v>4578</v>
      </c>
      <c r="O87" s="382" t="s">
        <v>4579</v>
      </c>
      <c r="P87" s="481" t="s">
        <v>4580</v>
      </c>
      <c r="Q87" s="382" t="s">
        <v>4581</v>
      </c>
      <c r="R87" s="481" t="s">
        <v>4582</v>
      </c>
      <c r="S87" s="382" t="s">
        <v>4583</v>
      </c>
      <c r="T87" s="192" t="s">
        <v>4584</v>
      </c>
      <c r="U87" s="383" t="s">
        <v>4585</v>
      </c>
      <c r="V87" s="4770" t="s">
        <v>4586</v>
      </c>
      <c r="W87" s="481" t="s">
        <v>4587</v>
      </c>
      <c r="X87" s="375" t="s">
        <v>4588</v>
      </c>
      <c r="Y87" s="1090" t="s">
        <v>4589</v>
      </c>
      <c r="Z87" s="4505" t="s">
        <v>4590</v>
      </c>
      <c r="AA87" s="5046"/>
      <c r="AB87" s="5046"/>
      <c r="AC87" s="7"/>
      <c r="AD87" s="5046"/>
      <c r="AE87" s="5046"/>
      <c r="AF87" s="5046"/>
      <c r="AG87" s="5046"/>
      <c r="AH87" s="5046"/>
      <c r="AI87" s="5046"/>
      <c r="AJ87" s="5046"/>
      <c r="AK87" s="5046"/>
      <c r="AL87" s="5046"/>
      <c r="AM87" s="5046"/>
      <c r="AN87" s="5046"/>
      <c r="AO87" s="5046"/>
      <c r="AP87" s="5046"/>
    </row>
    <row r="88" spans="1:46" s="9" customFormat="1" ht="15" customHeight="1" x14ac:dyDescent="0.2">
      <c r="A88" s="5944">
        <v>30000065</v>
      </c>
      <c r="B88" s="990" t="s">
        <v>3742</v>
      </c>
      <c r="C88" s="192" t="s">
        <v>4567</v>
      </c>
      <c r="D88" s="382" t="s">
        <v>4568</v>
      </c>
      <c r="E88" s="192" t="s">
        <v>4569</v>
      </c>
      <c r="F88" s="382" t="s">
        <v>4570</v>
      </c>
      <c r="G88" s="192" t="s">
        <v>4571</v>
      </c>
      <c r="H88" s="382" t="s">
        <v>4572</v>
      </c>
      <c r="I88" s="481" t="s">
        <v>4573</v>
      </c>
      <c r="J88" s="383" t="s">
        <v>4574</v>
      </c>
      <c r="K88" s="4770" t="s">
        <v>4575</v>
      </c>
      <c r="L88" s="64" t="s">
        <v>4576</v>
      </c>
      <c r="M88" s="383" t="s">
        <v>4577</v>
      </c>
      <c r="N88" s="376" t="s">
        <v>4578</v>
      </c>
      <c r="O88" s="382" t="s">
        <v>4579</v>
      </c>
      <c r="P88" s="481" t="s">
        <v>4580</v>
      </c>
      <c r="Q88" s="382" t="s">
        <v>4581</v>
      </c>
      <c r="R88" s="481" t="s">
        <v>4582</v>
      </c>
      <c r="S88" s="382" t="s">
        <v>4583</v>
      </c>
      <c r="T88" s="192" t="s">
        <v>4584</v>
      </c>
      <c r="U88" s="383" t="s">
        <v>4585</v>
      </c>
      <c r="V88" s="4770" t="s">
        <v>4586</v>
      </c>
      <c r="W88" s="481" t="s">
        <v>4587</v>
      </c>
      <c r="X88" s="375" t="s">
        <v>4588</v>
      </c>
      <c r="Y88" s="1090" t="s">
        <v>4589</v>
      </c>
      <c r="Z88" s="4505" t="s">
        <v>4590</v>
      </c>
      <c r="AA88" s="5046"/>
      <c r="AB88" s="5046"/>
      <c r="AC88" s="7"/>
      <c r="AD88" s="5046"/>
      <c r="AE88" s="5046"/>
      <c r="AF88" s="5046"/>
      <c r="AG88" s="5046"/>
      <c r="AH88" s="5046"/>
      <c r="AI88" s="5046"/>
      <c r="AJ88" s="5046"/>
      <c r="AK88" s="5046"/>
      <c r="AL88" s="5046"/>
      <c r="AM88" s="5046"/>
      <c r="AN88" s="5046"/>
      <c r="AO88" s="5046"/>
      <c r="AP88" s="5046"/>
    </row>
    <row r="89" spans="1:46" s="9" customFormat="1" ht="15" customHeight="1" x14ac:dyDescent="0.2">
      <c r="A89" s="5944">
        <v>30000066</v>
      </c>
      <c r="B89" s="990" t="s">
        <v>3743</v>
      </c>
      <c r="C89" s="192" t="s">
        <v>4567</v>
      </c>
      <c r="D89" s="382" t="s">
        <v>4568</v>
      </c>
      <c r="E89" s="192" t="s">
        <v>4569</v>
      </c>
      <c r="F89" s="382" t="s">
        <v>4570</v>
      </c>
      <c r="G89" s="192" t="s">
        <v>4571</v>
      </c>
      <c r="H89" s="382" t="s">
        <v>4572</v>
      </c>
      <c r="I89" s="481" t="s">
        <v>4573</v>
      </c>
      <c r="J89" s="383" t="s">
        <v>4574</v>
      </c>
      <c r="K89" s="1250" t="s">
        <v>4575</v>
      </c>
      <c r="L89" s="1311" t="s">
        <v>4576</v>
      </c>
      <c r="M89" s="1095" t="s">
        <v>4577</v>
      </c>
      <c r="N89" s="376" t="s">
        <v>4578</v>
      </c>
      <c r="O89" s="382" t="s">
        <v>4579</v>
      </c>
      <c r="P89" s="481" t="s">
        <v>4580</v>
      </c>
      <c r="Q89" s="382" t="s">
        <v>4581</v>
      </c>
      <c r="R89" s="481" t="s">
        <v>4582</v>
      </c>
      <c r="S89" s="382" t="s">
        <v>4583</v>
      </c>
      <c r="T89" s="192" t="s">
        <v>4584</v>
      </c>
      <c r="U89" s="383" t="s">
        <v>4585</v>
      </c>
      <c r="V89" s="4770" t="s">
        <v>4586</v>
      </c>
      <c r="W89" s="481" t="s">
        <v>4587</v>
      </c>
      <c r="X89" s="375" t="s">
        <v>4588</v>
      </c>
      <c r="Y89" s="1090" t="s">
        <v>4589</v>
      </c>
      <c r="Z89" s="4505" t="s">
        <v>4590</v>
      </c>
      <c r="AA89" s="5046"/>
      <c r="AB89" s="5046"/>
      <c r="AC89" s="7"/>
      <c r="AD89" s="5046"/>
      <c r="AE89" s="5046"/>
      <c r="AF89" s="5046"/>
      <c r="AG89" s="5046"/>
      <c r="AH89" s="5046"/>
      <c r="AI89" s="5046"/>
      <c r="AJ89" s="5046"/>
      <c r="AK89" s="5046"/>
      <c r="AL89" s="5046"/>
      <c r="AM89" s="5046"/>
      <c r="AN89" s="5046"/>
      <c r="AO89" s="5046"/>
      <c r="AP89" s="5046"/>
    </row>
    <row r="90" spans="1:46" s="9" customFormat="1" ht="15" customHeight="1" x14ac:dyDescent="0.2">
      <c r="A90" s="5944">
        <v>30000067</v>
      </c>
      <c r="B90" s="990" t="s">
        <v>3744</v>
      </c>
      <c r="C90" s="3069" t="s">
        <v>4567</v>
      </c>
      <c r="D90" s="1239" t="s">
        <v>4568</v>
      </c>
      <c r="E90" s="3069" t="s">
        <v>4569</v>
      </c>
      <c r="F90" s="1452" t="s">
        <v>4570</v>
      </c>
      <c r="G90" s="3069" t="s">
        <v>4571</v>
      </c>
      <c r="H90" s="1452" t="s">
        <v>4572</v>
      </c>
      <c r="I90" s="4746" t="s">
        <v>4573</v>
      </c>
      <c r="J90" s="3065" t="s">
        <v>4574</v>
      </c>
      <c r="K90" s="5053" t="s">
        <v>4575</v>
      </c>
      <c r="L90" s="1254" t="s">
        <v>4576</v>
      </c>
      <c r="M90" s="5054" t="s">
        <v>4577</v>
      </c>
      <c r="N90" s="376" t="s">
        <v>4578</v>
      </c>
      <c r="O90" s="382" t="s">
        <v>4579</v>
      </c>
      <c r="P90" s="481" t="s">
        <v>4580</v>
      </c>
      <c r="Q90" s="382" t="s">
        <v>4581</v>
      </c>
      <c r="R90" s="481" t="s">
        <v>4582</v>
      </c>
      <c r="S90" s="382" t="s">
        <v>4583</v>
      </c>
      <c r="T90" s="192" t="s">
        <v>4584</v>
      </c>
      <c r="U90" s="383" t="s">
        <v>4585</v>
      </c>
      <c r="V90" s="4770" t="s">
        <v>4586</v>
      </c>
      <c r="W90" s="481" t="s">
        <v>4587</v>
      </c>
      <c r="X90" s="375" t="s">
        <v>4588</v>
      </c>
      <c r="Y90" s="1090" t="s">
        <v>4589</v>
      </c>
      <c r="Z90" s="4505" t="s">
        <v>4590</v>
      </c>
      <c r="AA90" s="5046"/>
      <c r="AB90" s="5046"/>
      <c r="AC90" s="7"/>
      <c r="AD90" s="5046"/>
      <c r="AE90" s="5046"/>
      <c r="AF90" s="5046"/>
      <c r="AG90" s="5046"/>
      <c r="AH90" s="5046"/>
      <c r="AI90" s="5046"/>
      <c r="AJ90" s="5046"/>
      <c r="AK90" s="5046"/>
      <c r="AL90" s="5046"/>
      <c r="AM90" s="5046"/>
      <c r="AN90" s="5046"/>
      <c r="AO90" s="5046"/>
      <c r="AP90" s="5046"/>
    </row>
    <row r="91" spans="1:46" s="9" customFormat="1" ht="15" customHeight="1" x14ac:dyDescent="0.2">
      <c r="A91" s="5944">
        <v>30000068</v>
      </c>
      <c r="B91" s="4714" t="s">
        <v>3745</v>
      </c>
      <c r="C91" s="4738" t="s">
        <v>4567</v>
      </c>
      <c r="D91" s="621" t="s">
        <v>4568</v>
      </c>
      <c r="E91" s="4738" t="s">
        <v>4569</v>
      </c>
      <c r="F91" s="4750" t="s">
        <v>4570</v>
      </c>
      <c r="G91" s="4738" t="s">
        <v>4571</v>
      </c>
      <c r="H91" s="4750" t="s">
        <v>4572</v>
      </c>
      <c r="I91" s="4749" t="s">
        <v>4573</v>
      </c>
      <c r="J91" s="4751" t="s">
        <v>4574</v>
      </c>
      <c r="K91" s="5055" t="s">
        <v>4575</v>
      </c>
      <c r="L91" s="724" t="s">
        <v>4576</v>
      </c>
      <c r="M91" s="3133" t="s">
        <v>4577</v>
      </c>
      <c r="N91" s="376" t="s">
        <v>4578</v>
      </c>
      <c r="O91" s="382" t="s">
        <v>4579</v>
      </c>
      <c r="P91" s="481" t="s">
        <v>4580</v>
      </c>
      <c r="Q91" s="382" t="s">
        <v>4581</v>
      </c>
      <c r="R91" s="481" t="s">
        <v>4582</v>
      </c>
      <c r="S91" s="382" t="s">
        <v>4583</v>
      </c>
      <c r="T91" s="192" t="s">
        <v>4584</v>
      </c>
      <c r="U91" s="383" t="s">
        <v>4585</v>
      </c>
      <c r="V91" s="4770" t="s">
        <v>4586</v>
      </c>
      <c r="W91" s="481" t="s">
        <v>4587</v>
      </c>
      <c r="X91" s="375" t="s">
        <v>4588</v>
      </c>
      <c r="Y91" s="1090" t="s">
        <v>4589</v>
      </c>
      <c r="Z91" s="4505" t="s">
        <v>4590</v>
      </c>
      <c r="AA91" s="5046"/>
      <c r="AB91" s="5046"/>
      <c r="AC91" s="7"/>
      <c r="AD91" s="5046"/>
      <c r="AE91" s="5046"/>
      <c r="AF91" s="5046"/>
      <c r="AG91" s="5046"/>
      <c r="AH91" s="5046"/>
      <c r="AI91" s="5046"/>
      <c r="AJ91" s="5046"/>
      <c r="AK91" s="5046"/>
      <c r="AL91" s="5046"/>
      <c r="AM91" s="5046"/>
      <c r="AN91" s="5046"/>
      <c r="AO91" s="5046"/>
      <c r="AP91" s="5046"/>
    </row>
    <row r="92" spans="1:46" s="9" customFormat="1" ht="15" customHeight="1" x14ac:dyDescent="0.2">
      <c r="A92" s="5944">
        <v>30000069</v>
      </c>
      <c r="B92" s="4714" t="s">
        <v>3746</v>
      </c>
      <c r="C92" s="192" t="s">
        <v>4567</v>
      </c>
      <c r="D92" s="382" t="s">
        <v>4568</v>
      </c>
      <c r="E92" s="192" t="s">
        <v>4569</v>
      </c>
      <c r="F92" s="382" t="s">
        <v>4570</v>
      </c>
      <c r="G92" s="192" t="s">
        <v>4571</v>
      </c>
      <c r="H92" s="382" t="s">
        <v>4572</v>
      </c>
      <c r="I92" s="481" t="s">
        <v>4573</v>
      </c>
      <c r="J92" s="383" t="s">
        <v>4574</v>
      </c>
      <c r="K92" s="4770" t="s">
        <v>4575</v>
      </c>
      <c r="L92" s="64" t="s">
        <v>4576</v>
      </c>
      <c r="M92" s="383" t="s">
        <v>4577</v>
      </c>
      <c r="N92" s="376" t="s">
        <v>4578</v>
      </c>
      <c r="O92" s="382" t="s">
        <v>4579</v>
      </c>
      <c r="P92" s="481" t="s">
        <v>4580</v>
      </c>
      <c r="Q92" s="382" t="s">
        <v>4581</v>
      </c>
      <c r="R92" s="481" t="s">
        <v>4582</v>
      </c>
      <c r="S92" s="382" t="s">
        <v>4583</v>
      </c>
      <c r="T92" s="192" t="s">
        <v>4584</v>
      </c>
      <c r="U92" s="383" t="s">
        <v>4585</v>
      </c>
      <c r="V92" s="4770" t="s">
        <v>4586</v>
      </c>
      <c r="W92" s="481" t="s">
        <v>4587</v>
      </c>
      <c r="X92" s="375" t="s">
        <v>4588</v>
      </c>
      <c r="Y92" s="1090" t="s">
        <v>4589</v>
      </c>
      <c r="Z92" s="4505" t="s">
        <v>4590</v>
      </c>
      <c r="AA92" s="5046"/>
      <c r="AB92" s="5046"/>
      <c r="AC92" s="5046"/>
      <c r="AD92" s="5046"/>
      <c r="AE92" s="5046"/>
      <c r="AF92" s="5046"/>
      <c r="AG92" s="5046"/>
      <c r="AH92" s="5046"/>
      <c r="AI92" s="5046"/>
      <c r="AJ92" s="5046"/>
      <c r="AK92" s="5046"/>
      <c r="AL92" s="5046"/>
      <c r="AM92" s="5046"/>
      <c r="AN92" s="5046"/>
    </row>
    <row r="93" spans="1:46" s="9" customFormat="1" ht="15" customHeight="1" x14ac:dyDescent="0.2">
      <c r="A93" s="5944">
        <v>30000070</v>
      </c>
      <c r="B93" s="1003" t="s">
        <v>3747</v>
      </c>
      <c r="C93" s="1114" t="s">
        <v>4567</v>
      </c>
      <c r="D93" s="1115" t="s">
        <v>4568</v>
      </c>
      <c r="E93" s="1114" t="s">
        <v>4569</v>
      </c>
      <c r="F93" s="1115" t="s">
        <v>4570</v>
      </c>
      <c r="G93" s="1114" t="s">
        <v>4571</v>
      </c>
      <c r="H93" s="1115" t="s">
        <v>4572</v>
      </c>
      <c r="I93" s="1127" t="s">
        <v>4573</v>
      </c>
      <c r="J93" s="1324" t="s">
        <v>4574</v>
      </c>
      <c r="K93" s="1255" t="s">
        <v>4575</v>
      </c>
      <c r="L93" s="557" t="s">
        <v>4576</v>
      </c>
      <c r="M93" s="1324" t="s">
        <v>4577</v>
      </c>
      <c r="N93" s="1303" t="s">
        <v>4578</v>
      </c>
      <c r="O93" s="1115" t="s">
        <v>4579</v>
      </c>
      <c r="P93" s="1127" t="s">
        <v>4580</v>
      </c>
      <c r="Q93" s="1115" t="s">
        <v>4581</v>
      </c>
      <c r="R93" s="1127" t="s">
        <v>4582</v>
      </c>
      <c r="S93" s="1115" t="s">
        <v>4583</v>
      </c>
      <c r="T93" s="1114" t="s">
        <v>4584</v>
      </c>
      <c r="U93" s="1324" t="s">
        <v>4585</v>
      </c>
      <c r="V93" s="1255" t="s">
        <v>4586</v>
      </c>
      <c r="W93" s="1127" t="s">
        <v>4587</v>
      </c>
      <c r="X93" s="391" t="s">
        <v>4588</v>
      </c>
      <c r="Y93" s="387" t="s">
        <v>4589</v>
      </c>
      <c r="Z93" s="4506" t="s">
        <v>4590</v>
      </c>
      <c r="AA93" s="5046"/>
      <c r="AB93" s="5046"/>
      <c r="AC93" s="5046"/>
      <c r="AD93" s="5046"/>
      <c r="AE93" s="5046"/>
      <c r="AF93" s="5046"/>
      <c r="AG93" s="5046"/>
      <c r="AH93" s="5046"/>
      <c r="AI93" s="5046"/>
      <c r="AJ93" s="5046"/>
      <c r="AK93" s="5046"/>
      <c r="AL93" s="5046"/>
      <c r="AM93" s="5046"/>
      <c r="AN93" s="5046"/>
    </row>
    <row r="94" spans="1:46" s="8" customFormat="1" ht="18" customHeight="1" x14ac:dyDescent="0.2">
      <c r="B94" s="15" t="s">
        <v>4392</v>
      </c>
      <c r="C94" s="15"/>
      <c r="D94" s="15"/>
      <c r="E94" s="15"/>
      <c r="F94" s="15"/>
      <c r="G94" s="15"/>
      <c r="H94" s="15"/>
    </row>
    <row r="95" spans="1:46" s="7" customFormat="1" ht="15" customHeight="1" x14ac:dyDescent="0.15">
      <c r="A95" s="5946"/>
      <c r="B95" s="7747" t="s">
        <v>3748</v>
      </c>
      <c r="C95" s="7257" t="s">
        <v>3749</v>
      </c>
      <c r="D95" s="7746"/>
      <c r="E95" s="7746"/>
      <c r="F95" s="7746"/>
      <c r="G95" s="7746"/>
      <c r="H95" s="7746"/>
      <c r="I95" s="7746"/>
      <c r="J95" s="7759"/>
      <c r="K95" s="7257" t="s">
        <v>3750</v>
      </c>
      <c r="L95" s="7746"/>
      <c r="M95" s="7746"/>
      <c r="N95" s="7746"/>
      <c r="O95" s="7746"/>
      <c r="P95" s="7746"/>
      <c r="Q95" s="7746"/>
      <c r="R95" s="7259"/>
      <c r="S95" s="7756" t="s">
        <v>4393</v>
      </c>
      <c r="T95" s="7746"/>
      <c r="U95" s="7746"/>
      <c r="V95" s="7746"/>
      <c r="W95" s="7746"/>
      <c r="X95" s="7746"/>
      <c r="Y95" s="7746"/>
      <c r="Z95" s="7259"/>
      <c r="AA95" s="7745" t="s">
        <v>3533</v>
      </c>
      <c r="AB95" s="7745"/>
      <c r="AC95" s="7339"/>
      <c r="AD95" s="7756" t="s">
        <v>3751</v>
      </c>
      <c r="AE95" s="7746"/>
      <c r="AF95" s="7746"/>
      <c r="AG95" s="7746"/>
      <c r="AH95" s="7746"/>
      <c r="AI95" s="7746"/>
      <c r="AJ95" s="7746"/>
      <c r="AK95" s="7759"/>
      <c r="AL95" s="5046"/>
      <c r="AM95" s="5046"/>
      <c r="AN95" s="5046"/>
      <c r="AO95" s="5046"/>
      <c r="AP95" s="5046"/>
      <c r="AQ95" s="5046"/>
      <c r="AR95" s="5046"/>
      <c r="AS95" s="5046"/>
      <c r="AT95" s="5046"/>
    </row>
    <row r="96" spans="1:46" s="7" customFormat="1" ht="15" customHeight="1" x14ac:dyDescent="0.15">
      <c r="A96" s="5946"/>
      <c r="B96" s="7748"/>
      <c r="C96" s="7745" t="s">
        <v>3140</v>
      </c>
      <c r="D96" s="7727"/>
      <c r="E96" s="7291" t="s">
        <v>1203</v>
      </c>
      <c r="F96" s="7727"/>
      <c r="G96" s="7291" t="s">
        <v>1204</v>
      </c>
      <c r="H96" s="7727"/>
      <c r="I96" s="7291" t="s">
        <v>706</v>
      </c>
      <c r="J96" s="7727"/>
      <c r="K96" s="7745" t="s">
        <v>3140</v>
      </c>
      <c r="L96" s="7727"/>
      <c r="M96" s="7291" t="s">
        <v>1203</v>
      </c>
      <c r="N96" s="7727"/>
      <c r="O96" s="7291" t="s">
        <v>1204</v>
      </c>
      <c r="P96" s="7727"/>
      <c r="Q96" s="7291" t="s">
        <v>706</v>
      </c>
      <c r="R96" s="7339"/>
      <c r="S96" s="7745" t="s">
        <v>3140</v>
      </c>
      <c r="T96" s="7727"/>
      <c r="U96" s="7291" t="s">
        <v>1203</v>
      </c>
      <c r="V96" s="7727"/>
      <c r="W96" s="7291" t="s">
        <v>1204</v>
      </c>
      <c r="X96" s="7727"/>
      <c r="Y96" s="7291" t="s">
        <v>706</v>
      </c>
      <c r="Z96" s="7339"/>
      <c r="AA96" s="1110" t="s">
        <v>3559</v>
      </c>
      <c r="AB96" s="7746" t="s">
        <v>1594</v>
      </c>
      <c r="AC96" s="7259"/>
      <c r="AD96" s="7745" t="s">
        <v>3140</v>
      </c>
      <c r="AE96" s="7727"/>
      <c r="AF96" s="7291" t="s">
        <v>1203</v>
      </c>
      <c r="AG96" s="7727"/>
      <c r="AH96" s="7291" t="s">
        <v>1300</v>
      </c>
      <c r="AI96" s="7727"/>
      <c r="AJ96" s="7291" t="s">
        <v>706</v>
      </c>
      <c r="AK96" s="7727"/>
      <c r="AL96" s="5046"/>
      <c r="AM96" s="5046"/>
      <c r="AN96" s="5046"/>
      <c r="AO96" s="5046"/>
      <c r="AP96" s="5046"/>
      <c r="AQ96" s="5046"/>
      <c r="AR96" s="5046"/>
      <c r="AS96" s="5046"/>
      <c r="AT96" s="5046"/>
    </row>
    <row r="97" spans="1:46" s="7" customFormat="1" ht="21" customHeight="1" x14ac:dyDescent="0.15">
      <c r="A97" s="5946"/>
      <c r="B97" s="7749"/>
      <c r="C97" s="1068" t="s">
        <v>58</v>
      </c>
      <c r="D97" s="1178" t="s">
        <v>59</v>
      </c>
      <c r="E97" s="1287" t="s">
        <v>58</v>
      </c>
      <c r="F97" s="1178" t="s">
        <v>59</v>
      </c>
      <c r="G97" s="1287" t="s">
        <v>58</v>
      </c>
      <c r="H97" s="1178" t="s">
        <v>59</v>
      </c>
      <c r="I97" s="1287" t="s">
        <v>58</v>
      </c>
      <c r="J97" s="1178" t="s">
        <v>59</v>
      </c>
      <c r="K97" s="1287" t="s">
        <v>58</v>
      </c>
      <c r="L97" s="1178" t="s">
        <v>59</v>
      </c>
      <c r="M97" s="1287" t="s">
        <v>58</v>
      </c>
      <c r="N97" s="1178" t="s">
        <v>59</v>
      </c>
      <c r="O97" s="1287" t="s">
        <v>58</v>
      </c>
      <c r="P97" s="1178" t="s">
        <v>59</v>
      </c>
      <c r="Q97" s="1287" t="s">
        <v>58</v>
      </c>
      <c r="R97" s="4805" t="s">
        <v>59</v>
      </c>
      <c r="S97" s="1068" t="s">
        <v>58</v>
      </c>
      <c r="T97" s="1178" t="s">
        <v>59</v>
      </c>
      <c r="U97" s="1068" t="s">
        <v>58</v>
      </c>
      <c r="V97" s="1178" t="s">
        <v>59</v>
      </c>
      <c r="W97" s="1068" t="s">
        <v>58</v>
      </c>
      <c r="X97" s="1178" t="s">
        <v>59</v>
      </c>
      <c r="Y97" s="1287" t="s">
        <v>58</v>
      </c>
      <c r="Z97" s="4805" t="s">
        <v>59</v>
      </c>
      <c r="AA97" s="1799" t="s">
        <v>3724</v>
      </c>
      <c r="AB97" s="1213" t="s">
        <v>3696</v>
      </c>
      <c r="AC97" s="5018" t="s">
        <v>2503</v>
      </c>
      <c r="AD97" s="4437" t="s">
        <v>58</v>
      </c>
      <c r="AE97" s="1178" t="s">
        <v>59</v>
      </c>
      <c r="AF97" s="1068" t="s">
        <v>58</v>
      </c>
      <c r="AG97" s="1178" t="s">
        <v>59</v>
      </c>
      <c r="AH97" s="1287" t="s">
        <v>58</v>
      </c>
      <c r="AI97" s="1178" t="s">
        <v>59</v>
      </c>
      <c r="AJ97" s="1287" t="s">
        <v>58</v>
      </c>
      <c r="AK97" s="1178" t="s">
        <v>59</v>
      </c>
      <c r="AL97" s="5046"/>
      <c r="AM97" s="5046"/>
      <c r="AN97" s="5046"/>
      <c r="AO97" s="5046"/>
      <c r="AP97" s="5046"/>
      <c r="AQ97" s="5046"/>
      <c r="AR97" s="5046"/>
      <c r="AS97" s="5046"/>
      <c r="AT97" s="5046"/>
    </row>
    <row r="98" spans="1:46" s="7" customFormat="1" ht="15" customHeight="1" x14ac:dyDescent="0.15">
      <c r="A98" s="5947"/>
      <c r="B98" s="1285" t="s">
        <v>77</v>
      </c>
      <c r="C98" s="3075">
        <f t="shared" ref="C98:AK98" si="4">SUM(C99:C108)</f>
        <v>0</v>
      </c>
      <c r="D98" s="1104">
        <f t="shared" si="4"/>
        <v>0</v>
      </c>
      <c r="E98" s="3075">
        <f t="shared" si="4"/>
        <v>0</v>
      </c>
      <c r="F98" s="1104">
        <f t="shared" si="4"/>
        <v>0</v>
      </c>
      <c r="G98" s="3075">
        <f t="shared" si="4"/>
        <v>0</v>
      </c>
      <c r="H98" s="1104">
        <f t="shared" si="4"/>
        <v>0</v>
      </c>
      <c r="I98" s="3075">
        <f t="shared" si="4"/>
        <v>0</v>
      </c>
      <c r="J98" s="1104">
        <f t="shared" si="4"/>
        <v>0</v>
      </c>
      <c r="K98" s="3075">
        <f t="shared" si="4"/>
        <v>0</v>
      </c>
      <c r="L98" s="1104">
        <f t="shared" si="4"/>
        <v>0</v>
      </c>
      <c r="M98" s="3075">
        <f t="shared" si="4"/>
        <v>0</v>
      </c>
      <c r="N98" s="1104">
        <f t="shared" si="4"/>
        <v>0</v>
      </c>
      <c r="O98" s="3075">
        <f t="shared" si="4"/>
        <v>0</v>
      </c>
      <c r="P98" s="1104">
        <f t="shared" si="4"/>
        <v>0</v>
      </c>
      <c r="Q98" s="3075">
        <f t="shared" si="4"/>
        <v>0</v>
      </c>
      <c r="R98" s="3075">
        <f t="shared" si="4"/>
        <v>0</v>
      </c>
      <c r="S98" s="4765">
        <f t="shared" si="4"/>
        <v>0</v>
      </c>
      <c r="T98" s="1103">
        <f t="shared" si="4"/>
        <v>0</v>
      </c>
      <c r="U98" s="4891">
        <f t="shared" si="4"/>
        <v>0</v>
      </c>
      <c r="V98" s="1103">
        <f t="shared" si="4"/>
        <v>0</v>
      </c>
      <c r="W98" s="4891">
        <f t="shared" si="4"/>
        <v>0</v>
      </c>
      <c r="X98" s="1103">
        <f t="shared" si="4"/>
        <v>0</v>
      </c>
      <c r="Y98" s="4891">
        <f t="shared" si="4"/>
        <v>0</v>
      </c>
      <c r="Z98" s="1106">
        <f t="shared" si="4"/>
        <v>0</v>
      </c>
      <c r="AA98" s="4765">
        <f t="shared" si="4"/>
        <v>0</v>
      </c>
      <c r="AB98" s="5056">
        <f t="shared" si="4"/>
        <v>0</v>
      </c>
      <c r="AC98" s="305">
        <f t="shared" si="4"/>
        <v>0</v>
      </c>
      <c r="AD98" s="4986">
        <f t="shared" si="4"/>
        <v>0</v>
      </c>
      <c r="AE98" s="4988">
        <f t="shared" si="4"/>
        <v>0</v>
      </c>
      <c r="AF98" s="3075">
        <f t="shared" si="4"/>
        <v>0</v>
      </c>
      <c r="AG98" s="4988">
        <f t="shared" si="4"/>
        <v>0</v>
      </c>
      <c r="AH98" s="4989">
        <f t="shared" si="4"/>
        <v>0</v>
      </c>
      <c r="AI98" s="4988">
        <f t="shared" si="4"/>
        <v>0</v>
      </c>
      <c r="AJ98" s="4989">
        <f t="shared" si="4"/>
        <v>0</v>
      </c>
      <c r="AK98" s="4988">
        <f t="shared" si="4"/>
        <v>0</v>
      </c>
      <c r="AL98" s="5046"/>
      <c r="AM98" s="5046"/>
      <c r="AN98" s="5046"/>
      <c r="AO98" s="5046"/>
      <c r="AP98" s="5046"/>
      <c r="AQ98" s="5046"/>
      <c r="AR98" s="5046"/>
      <c r="AS98" s="5046"/>
      <c r="AT98" s="5046"/>
    </row>
    <row r="99" spans="1:46" s="7" customFormat="1" ht="15" customHeight="1" x14ac:dyDescent="0.15">
      <c r="A99" s="5818">
        <v>30000072</v>
      </c>
      <c r="B99" s="990" t="s">
        <v>3752</v>
      </c>
      <c r="C99" s="481" t="s">
        <v>4567</v>
      </c>
      <c r="D99" s="382" t="s">
        <v>4568</v>
      </c>
      <c r="E99" s="192" t="s">
        <v>4569</v>
      </c>
      <c r="F99" s="382" t="s">
        <v>4570</v>
      </c>
      <c r="G99" s="192" t="s">
        <v>4571</v>
      </c>
      <c r="H99" s="382" t="s">
        <v>4572</v>
      </c>
      <c r="I99" s="192" t="s">
        <v>4573</v>
      </c>
      <c r="J99" s="382" t="s">
        <v>4574</v>
      </c>
      <c r="K99" s="192" t="s">
        <v>4575</v>
      </c>
      <c r="L99" s="382" t="s">
        <v>4576</v>
      </c>
      <c r="M99" s="192" t="s">
        <v>4577</v>
      </c>
      <c r="N99" s="382" t="s">
        <v>4578</v>
      </c>
      <c r="O99" s="192" t="s">
        <v>4579</v>
      </c>
      <c r="P99" s="382" t="s">
        <v>4580</v>
      </c>
      <c r="Q99" s="192" t="s">
        <v>4581</v>
      </c>
      <c r="R99" s="383" t="s">
        <v>4582</v>
      </c>
      <c r="S99" s="5057" t="s">
        <v>4583</v>
      </c>
      <c r="T99" s="577" t="s">
        <v>4584</v>
      </c>
      <c r="U99" s="485" t="s">
        <v>4585</v>
      </c>
      <c r="V99" s="577" t="s">
        <v>4586</v>
      </c>
      <c r="W99" s="485" t="s">
        <v>4587</v>
      </c>
      <c r="X99" s="577" t="s">
        <v>4588</v>
      </c>
      <c r="Y99" s="197" t="s">
        <v>4589</v>
      </c>
      <c r="Z99" s="5058" t="s">
        <v>4590</v>
      </c>
      <c r="AA99" s="481" t="s">
        <v>4591</v>
      </c>
      <c r="AB99" s="64" t="s">
        <v>4592</v>
      </c>
      <c r="AC99" s="383" t="s">
        <v>4593</v>
      </c>
      <c r="AD99" s="5027" t="s">
        <v>4594</v>
      </c>
      <c r="AE99" s="5028" t="s">
        <v>4595</v>
      </c>
      <c r="AF99" s="5029" t="s">
        <v>4596</v>
      </c>
      <c r="AG99" s="5028" t="s">
        <v>4597</v>
      </c>
      <c r="AH99" s="5030" t="s">
        <v>4598</v>
      </c>
      <c r="AI99" s="5028" t="s">
        <v>4599</v>
      </c>
      <c r="AJ99" s="5030" t="s">
        <v>4600</v>
      </c>
      <c r="AK99" s="5028" t="s">
        <v>4601</v>
      </c>
      <c r="AL99" s="5046"/>
      <c r="AM99" s="5046"/>
      <c r="AN99" s="5046"/>
      <c r="AO99" s="5046"/>
      <c r="AP99" s="5046"/>
      <c r="AQ99" s="5046"/>
      <c r="AR99" s="5046"/>
      <c r="AS99" s="5046"/>
      <c r="AT99" s="5046"/>
    </row>
    <row r="100" spans="1:46" s="7" customFormat="1" ht="15" customHeight="1" x14ac:dyDescent="0.15">
      <c r="A100" s="5818">
        <v>30000073</v>
      </c>
      <c r="B100" s="990" t="s">
        <v>3753</v>
      </c>
      <c r="C100" s="481" t="s">
        <v>4567</v>
      </c>
      <c r="D100" s="382" t="s">
        <v>4568</v>
      </c>
      <c r="E100" s="192" t="s">
        <v>4569</v>
      </c>
      <c r="F100" s="382" t="s">
        <v>4570</v>
      </c>
      <c r="G100" s="192" t="s">
        <v>4571</v>
      </c>
      <c r="H100" s="382" t="s">
        <v>4572</v>
      </c>
      <c r="I100" s="192" t="s">
        <v>4573</v>
      </c>
      <c r="J100" s="382" t="s">
        <v>4574</v>
      </c>
      <c r="K100" s="192" t="s">
        <v>4575</v>
      </c>
      <c r="L100" s="382" t="s">
        <v>4576</v>
      </c>
      <c r="M100" s="192" t="s">
        <v>4577</v>
      </c>
      <c r="N100" s="382" t="s">
        <v>4578</v>
      </c>
      <c r="O100" s="192" t="s">
        <v>4579</v>
      </c>
      <c r="P100" s="382" t="s">
        <v>4580</v>
      </c>
      <c r="Q100" s="192" t="s">
        <v>4581</v>
      </c>
      <c r="R100" s="383" t="s">
        <v>4582</v>
      </c>
      <c r="S100" s="5057" t="s">
        <v>4583</v>
      </c>
      <c r="T100" s="577" t="s">
        <v>4584</v>
      </c>
      <c r="U100" s="485" t="s">
        <v>4585</v>
      </c>
      <c r="V100" s="577" t="s">
        <v>4586</v>
      </c>
      <c r="W100" s="485" t="s">
        <v>4587</v>
      </c>
      <c r="X100" s="577" t="s">
        <v>4588</v>
      </c>
      <c r="Y100" s="197" t="s">
        <v>4589</v>
      </c>
      <c r="Z100" s="5058" t="s">
        <v>4590</v>
      </c>
      <c r="AA100" s="481" t="s">
        <v>4591</v>
      </c>
      <c r="AB100" s="64" t="s">
        <v>4592</v>
      </c>
      <c r="AC100" s="383" t="s">
        <v>4593</v>
      </c>
      <c r="AD100" s="5027" t="s">
        <v>4594</v>
      </c>
      <c r="AE100" s="5028" t="s">
        <v>4595</v>
      </c>
      <c r="AF100" s="5029" t="s">
        <v>4596</v>
      </c>
      <c r="AG100" s="5028" t="s">
        <v>4597</v>
      </c>
      <c r="AH100" s="5030" t="s">
        <v>4598</v>
      </c>
      <c r="AI100" s="5028" t="s">
        <v>4599</v>
      </c>
      <c r="AJ100" s="5030" t="s">
        <v>4600</v>
      </c>
      <c r="AK100" s="5028" t="s">
        <v>4601</v>
      </c>
      <c r="AL100" s="5046"/>
      <c r="AM100" s="5046"/>
      <c r="AN100" s="5046"/>
      <c r="AO100" s="5046"/>
      <c r="AP100" s="5046"/>
      <c r="AQ100" s="5046"/>
      <c r="AR100" s="5046"/>
      <c r="AS100" s="5046"/>
      <c r="AT100" s="5046"/>
    </row>
    <row r="101" spans="1:46" s="7" customFormat="1" ht="15" customHeight="1" x14ac:dyDescent="0.15">
      <c r="A101" s="5818">
        <v>30000074</v>
      </c>
      <c r="B101" s="990" t="s">
        <v>3754</v>
      </c>
      <c r="C101" s="481" t="s">
        <v>4567</v>
      </c>
      <c r="D101" s="382" t="s">
        <v>4568</v>
      </c>
      <c r="E101" s="192" t="s">
        <v>4569</v>
      </c>
      <c r="F101" s="382" t="s">
        <v>4570</v>
      </c>
      <c r="G101" s="192" t="s">
        <v>4571</v>
      </c>
      <c r="H101" s="382" t="s">
        <v>4572</v>
      </c>
      <c r="I101" s="192" t="s">
        <v>4573</v>
      </c>
      <c r="J101" s="382" t="s">
        <v>4574</v>
      </c>
      <c r="K101" s="192" t="s">
        <v>4575</v>
      </c>
      <c r="L101" s="382" t="s">
        <v>4576</v>
      </c>
      <c r="M101" s="192" t="s">
        <v>4577</v>
      </c>
      <c r="N101" s="382" t="s">
        <v>4578</v>
      </c>
      <c r="O101" s="192" t="s">
        <v>4579</v>
      </c>
      <c r="P101" s="382" t="s">
        <v>4580</v>
      </c>
      <c r="Q101" s="192" t="s">
        <v>4581</v>
      </c>
      <c r="R101" s="383" t="s">
        <v>4582</v>
      </c>
      <c r="S101" s="5057" t="s">
        <v>4583</v>
      </c>
      <c r="T101" s="577" t="s">
        <v>4584</v>
      </c>
      <c r="U101" s="485" t="s">
        <v>4585</v>
      </c>
      <c r="V101" s="577" t="s">
        <v>4586</v>
      </c>
      <c r="W101" s="485" t="s">
        <v>4587</v>
      </c>
      <c r="X101" s="577" t="s">
        <v>4588</v>
      </c>
      <c r="Y101" s="197" t="s">
        <v>4589</v>
      </c>
      <c r="Z101" s="5058" t="s">
        <v>4590</v>
      </c>
      <c r="AA101" s="481" t="s">
        <v>4591</v>
      </c>
      <c r="AB101" s="64" t="s">
        <v>4592</v>
      </c>
      <c r="AC101" s="383" t="s">
        <v>4593</v>
      </c>
      <c r="AD101" s="5027" t="s">
        <v>4594</v>
      </c>
      <c r="AE101" s="5028" t="s">
        <v>4595</v>
      </c>
      <c r="AF101" s="5029" t="s">
        <v>4596</v>
      </c>
      <c r="AG101" s="5028" t="s">
        <v>4597</v>
      </c>
      <c r="AH101" s="5030" t="s">
        <v>4598</v>
      </c>
      <c r="AI101" s="5028" t="s">
        <v>4599</v>
      </c>
      <c r="AJ101" s="5030" t="s">
        <v>4600</v>
      </c>
      <c r="AK101" s="5028" t="s">
        <v>4601</v>
      </c>
      <c r="AL101" s="5046"/>
      <c r="AM101" s="5046"/>
      <c r="AN101" s="5046"/>
      <c r="AO101" s="5046"/>
      <c r="AP101" s="5046"/>
      <c r="AQ101" s="5046"/>
      <c r="AR101" s="5046"/>
      <c r="AS101" s="5046"/>
      <c r="AT101" s="5046"/>
    </row>
    <row r="102" spans="1:46" s="7" customFormat="1" ht="15" customHeight="1" x14ac:dyDescent="0.15">
      <c r="A102" s="5818">
        <v>30000075</v>
      </c>
      <c r="B102" s="990" t="s">
        <v>3755</v>
      </c>
      <c r="C102" s="481" t="s">
        <v>4567</v>
      </c>
      <c r="D102" s="382" t="s">
        <v>4568</v>
      </c>
      <c r="E102" s="192" t="s">
        <v>4569</v>
      </c>
      <c r="F102" s="382" t="s">
        <v>4570</v>
      </c>
      <c r="G102" s="192" t="s">
        <v>4571</v>
      </c>
      <c r="H102" s="382" t="s">
        <v>4572</v>
      </c>
      <c r="I102" s="192" t="s">
        <v>4573</v>
      </c>
      <c r="J102" s="382" t="s">
        <v>4574</v>
      </c>
      <c r="K102" s="192" t="s">
        <v>4575</v>
      </c>
      <c r="L102" s="382" t="s">
        <v>4576</v>
      </c>
      <c r="M102" s="192" t="s">
        <v>4577</v>
      </c>
      <c r="N102" s="382" t="s">
        <v>4578</v>
      </c>
      <c r="O102" s="192" t="s">
        <v>4579</v>
      </c>
      <c r="P102" s="382" t="s">
        <v>4580</v>
      </c>
      <c r="Q102" s="192" t="s">
        <v>4581</v>
      </c>
      <c r="R102" s="383" t="s">
        <v>4582</v>
      </c>
      <c r="S102" s="5057" t="s">
        <v>4583</v>
      </c>
      <c r="T102" s="577" t="s">
        <v>4584</v>
      </c>
      <c r="U102" s="485" t="s">
        <v>4585</v>
      </c>
      <c r="V102" s="577" t="s">
        <v>4586</v>
      </c>
      <c r="W102" s="485" t="s">
        <v>4587</v>
      </c>
      <c r="X102" s="577" t="s">
        <v>4588</v>
      </c>
      <c r="Y102" s="197" t="s">
        <v>4589</v>
      </c>
      <c r="Z102" s="5058" t="s">
        <v>4590</v>
      </c>
      <c r="AA102" s="481" t="s">
        <v>4591</v>
      </c>
      <c r="AB102" s="64" t="s">
        <v>4592</v>
      </c>
      <c r="AC102" s="383" t="s">
        <v>4593</v>
      </c>
      <c r="AD102" s="5027" t="s">
        <v>4594</v>
      </c>
      <c r="AE102" s="5028" t="s">
        <v>4595</v>
      </c>
      <c r="AF102" s="5029" t="s">
        <v>4596</v>
      </c>
      <c r="AG102" s="5028" t="s">
        <v>4597</v>
      </c>
      <c r="AH102" s="5030" t="s">
        <v>4598</v>
      </c>
      <c r="AI102" s="5028" t="s">
        <v>4599</v>
      </c>
      <c r="AJ102" s="5030" t="s">
        <v>4600</v>
      </c>
      <c r="AK102" s="5028" t="s">
        <v>4601</v>
      </c>
      <c r="AL102" s="5046"/>
      <c r="AM102" s="5046"/>
      <c r="AN102" s="5046"/>
      <c r="AO102" s="5046"/>
      <c r="AP102" s="5046"/>
      <c r="AQ102" s="5046"/>
      <c r="AR102" s="5046"/>
      <c r="AS102" s="5046"/>
      <c r="AT102" s="5046"/>
    </row>
    <row r="103" spans="1:46" s="7" customFormat="1" ht="15" customHeight="1" x14ac:dyDescent="0.15">
      <c r="A103" s="5818">
        <v>30000076</v>
      </c>
      <c r="B103" s="990" t="s">
        <v>1670</v>
      </c>
      <c r="C103" s="481" t="s">
        <v>4567</v>
      </c>
      <c r="D103" s="382" t="s">
        <v>4568</v>
      </c>
      <c r="E103" s="192" t="s">
        <v>4569</v>
      </c>
      <c r="F103" s="382" t="s">
        <v>4570</v>
      </c>
      <c r="G103" s="192" t="s">
        <v>4571</v>
      </c>
      <c r="H103" s="382" t="s">
        <v>4572</v>
      </c>
      <c r="I103" s="192" t="s">
        <v>4573</v>
      </c>
      <c r="J103" s="382" t="s">
        <v>4574</v>
      </c>
      <c r="K103" s="192" t="s">
        <v>4575</v>
      </c>
      <c r="L103" s="382" t="s">
        <v>4576</v>
      </c>
      <c r="M103" s="192" t="s">
        <v>4577</v>
      </c>
      <c r="N103" s="382" t="s">
        <v>4578</v>
      </c>
      <c r="O103" s="192" t="s">
        <v>4579</v>
      </c>
      <c r="P103" s="382" t="s">
        <v>4580</v>
      </c>
      <c r="Q103" s="192" t="s">
        <v>4581</v>
      </c>
      <c r="R103" s="383" t="s">
        <v>4582</v>
      </c>
      <c r="S103" s="5057" t="s">
        <v>4583</v>
      </c>
      <c r="T103" s="577" t="s">
        <v>4584</v>
      </c>
      <c r="U103" s="485" t="s">
        <v>4585</v>
      </c>
      <c r="V103" s="577" t="s">
        <v>4586</v>
      </c>
      <c r="W103" s="485" t="s">
        <v>4587</v>
      </c>
      <c r="X103" s="577" t="s">
        <v>4588</v>
      </c>
      <c r="Y103" s="197" t="s">
        <v>4589</v>
      </c>
      <c r="Z103" s="5058" t="s">
        <v>4590</v>
      </c>
      <c r="AA103" s="481" t="s">
        <v>4591</v>
      </c>
      <c r="AB103" s="64" t="s">
        <v>4592</v>
      </c>
      <c r="AC103" s="383" t="s">
        <v>4593</v>
      </c>
      <c r="AD103" s="5027" t="s">
        <v>4594</v>
      </c>
      <c r="AE103" s="5028" t="s">
        <v>4595</v>
      </c>
      <c r="AF103" s="5029" t="s">
        <v>4596</v>
      </c>
      <c r="AG103" s="5028" t="s">
        <v>4597</v>
      </c>
      <c r="AH103" s="5030" t="s">
        <v>4598</v>
      </c>
      <c r="AI103" s="5028" t="s">
        <v>4599</v>
      </c>
      <c r="AJ103" s="5030" t="s">
        <v>4600</v>
      </c>
      <c r="AK103" s="5028" t="s">
        <v>4601</v>
      </c>
      <c r="AL103" s="5046"/>
      <c r="AM103" s="5046"/>
      <c r="AN103" s="5046"/>
      <c r="AO103" s="5046"/>
      <c r="AP103" s="5046"/>
      <c r="AQ103" s="5046"/>
      <c r="AR103" s="5046"/>
      <c r="AS103" s="5046"/>
      <c r="AT103" s="5046"/>
    </row>
    <row r="104" spans="1:46" s="7" customFormat="1" ht="15" customHeight="1" x14ac:dyDescent="0.15">
      <c r="A104" s="5818">
        <v>30000077</v>
      </c>
      <c r="B104" s="990" t="s">
        <v>3756</v>
      </c>
      <c r="C104" s="481" t="s">
        <v>4567</v>
      </c>
      <c r="D104" s="382" t="s">
        <v>4568</v>
      </c>
      <c r="E104" s="192" t="s">
        <v>4569</v>
      </c>
      <c r="F104" s="382" t="s">
        <v>4570</v>
      </c>
      <c r="G104" s="192" t="s">
        <v>4571</v>
      </c>
      <c r="H104" s="382" t="s">
        <v>4572</v>
      </c>
      <c r="I104" s="192" t="s">
        <v>4573</v>
      </c>
      <c r="J104" s="382" t="s">
        <v>4574</v>
      </c>
      <c r="K104" s="192" t="s">
        <v>4575</v>
      </c>
      <c r="L104" s="382" t="s">
        <v>4576</v>
      </c>
      <c r="M104" s="192" t="s">
        <v>4577</v>
      </c>
      <c r="N104" s="382" t="s">
        <v>4578</v>
      </c>
      <c r="O104" s="192" t="s">
        <v>4579</v>
      </c>
      <c r="P104" s="382" t="s">
        <v>4580</v>
      </c>
      <c r="Q104" s="192" t="s">
        <v>4581</v>
      </c>
      <c r="R104" s="383" t="s">
        <v>4582</v>
      </c>
      <c r="S104" s="5057" t="s">
        <v>4583</v>
      </c>
      <c r="T104" s="577" t="s">
        <v>4584</v>
      </c>
      <c r="U104" s="485" t="s">
        <v>4585</v>
      </c>
      <c r="V104" s="577" t="s">
        <v>4586</v>
      </c>
      <c r="W104" s="485" t="s">
        <v>4587</v>
      </c>
      <c r="X104" s="577" t="s">
        <v>4588</v>
      </c>
      <c r="Y104" s="197" t="s">
        <v>4589</v>
      </c>
      <c r="Z104" s="5058" t="s">
        <v>4590</v>
      </c>
      <c r="AA104" s="481" t="s">
        <v>4591</v>
      </c>
      <c r="AB104" s="64" t="s">
        <v>4592</v>
      </c>
      <c r="AC104" s="383" t="s">
        <v>4593</v>
      </c>
      <c r="AD104" s="5027" t="s">
        <v>4594</v>
      </c>
      <c r="AE104" s="5028" t="s">
        <v>4595</v>
      </c>
      <c r="AF104" s="5029" t="s">
        <v>4596</v>
      </c>
      <c r="AG104" s="5028" t="s">
        <v>4597</v>
      </c>
      <c r="AH104" s="5030" t="s">
        <v>4598</v>
      </c>
      <c r="AI104" s="5028" t="s">
        <v>4599</v>
      </c>
      <c r="AJ104" s="5030" t="s">
        <v>4600</v>
      </c>
      <c r="AK104" s="5028" t="s">
        <v>4601</v>
      </c>
      <c r="AL104" s="5046"/>
      <c r="AM104" s="5046"/>
      <c r="AN104" s="5046"/>
      <c r="AO104" s="5046"/>
      <c r="AP104" s="5046"/>
      <c r="AQ104" s="5046"/>
      <c r="AR104" s="5046"/>
      <c r="AS104" s="5046"/>
      <c r="AT104" s="5046"/>
    </row>
    <row r="105" spans="1:46" s="7" customFormat="1" ht="15" customHeight="1" x14ac:dyDescent="0.15">
      <c r="A105" s="5818">
        <v>30000078</v>
      </c>
      <c r="B105" s="990" t="s">
        <v>3757</v>
      </c>
      <c r="C105" s="481" t="s">
        <v>4567</v>
      </c>
      <c r="D105" s="382" t="s">
        <v>4568</v>
      </c>
      <c r="E105" s="192" t="s">
        <v>4569</v>
      </c>
      <c r="F105" s="382" t="s">
        <v>4570</v>
      </c>
      <c r="G105" s="192" t="s">
        <v>4571</v>
      </c>
      <c r="H105" s="382" t="s">
        <v>4572</v>
      </c>
      <c r="I105" s="192" t="s">
        <v>4573</v>
      </c>
      <c r="J105" s="382" t="s">
        <v>4574</v>
      </c>
      <c r="K105" s="192" t="s">
        <v>4575</v>
      </c>
      <c r="L105" s="382" t="s">
        <v>4576</v>
      </c>
      <c r="M105" s="192" t="s">
        <v>4577</v>
      </c>
      <c r="N105" s="382" t="s">
        <v>4578</v>
      </c>
      <c r="O105" s="192" t="s">
        <v>4579</v>
      </c>
      <c r="P105" s="382" t="s">
        <v>4580</v>
      </c>
      <c r="Q105" s="192" t="s">
        <v>4581</v>
      </c>
      <c r="R105" s="383" t="s">
        <v>4582</v>
      </c>
      <c r="S105" s="5057" t="s">
        <v>4583</v>
      </c>
      <c r="T105" s="577" t="s">
        <v>4584</v>
      </c>
      <c r="U105" s="485" t="s">
        <v>4585</v>
      </c>
      <c r="V105" s="577" t="s">
        <v>4586</v>
      </c>
      <c r="W105" s="485" t="s">
        <v>4587</v>
      </c>
      <c r="X105" s="577" t="s">
        <v>4588</v>
      </c>
      <c r="Y105" s="197" t="s">
        <v>4589</v>
      </c>
      <c r="Z105" s="5058" t="s">
        <v>4590</v>
      </c>
      <c r="AA105" s="481" t="s">
        <v>4591</v>
      </c>
      <c r="AB105" s="64" t="s">
        <v>4592</v>
      </c>
      <c r="AC105" s="383" t="s">
        <v>4593</v>
      </c>
      <c r="AD105" s="5027" t="s">
        <v>4594</v>
      </c>
      <c r="AE105" s="5028" t="s">
        <v>4595</v>
      </c>
      <c r="AF105" s="5029" t="s">
        <v>4596</v>
      </c>
      <c r="AG105" s="5028" t="s">
        <v>4597</v>
      </c>
      <c r="AH105" s="5030" t="s">
        <v>4598</v>
      </c>
      <c r="AI105" s="5028" t="s">
        <v>4599</v>
      </c>
      <c r="AJ105" s="5030" t="s">
        <v>4600</v>
      </c>
      <c r="AK105" s="5028" t="s">
        <v>4601</v>
      </c>
      <c r="AL105" s="5046"/>
      <c r="AM105" s="5046"/>
      <c r="AN105" s="5046"/>
      <c r="AO105" s="5046"/>
      <c r="AP105" s="5046"/>
      <c r="AQ105" s="5046"/>
      <c r="AR105" s="5046"/>
      <c r="AS105" s="5046"/>
      <c r="AT105" s="5046"/>
    </row>
    <row r="106" spans="1:46" s="7" customFormat="1" ht="15" customHeight="1" x14ac:dyDescent="0.15">
      <c r="A106" s="5818">
        <v>30000079</v>
      </c>
      <c r="B106" s="990" t="s">
        <v>3758</v>
      </c>
      <c r="C106" s="481" t="s">
        <v>4567</v>
      </c>
      <c r="D106" s="382" t="s">
        <v>4568</v>
      </c>
      <c r="E106" s="192" t="s">
        <v>4569</v>
      </c>
      <c r="F106" s="382" t="s">
        <v>4570</v>
      </c>
      <c r="G106" s="192" t="s">
        <v>4571</v>
      </c>
      <c r="H106" s="382" t="s">
        <v>4572</v>
      </c>
      <c r="I106" s="192" t="s">
        <v>4573</v>
      </c>
      <c r="J106" s="382" t="s">
        <v>4574</v>
      </c>
      <c r="K106" s="192" t="s">
        <v>4575</v>
      </c>
      <c r="L106" s="382" t="s">
        <v>4576</v>
      </c>
      <c r="M106" s="192" t="s">
        <v>4577</v>
      </c>
      <c r="N106" s="382" t="s">
        <v>4578</v>
      </c>
      <c r="O106" s="192" t="s">
        <v>4579</v>
      </c>
      <c r="P106" s="382" t="s">
        <v>4580</v>
      </c>
      <c r="Q106" s="192" t="s">
        <v>4581</v>
      </c>
      <c r="R106" s="383" t="s">
        <v>4582</v>
      </c>
      <c r="S106" s="5057" t="s">
        <v>4583</v>
      </c>
      <c r="T106" s="577" t="s">
        <v>4584</v>
      </c>
      <c r="U106" s="485" t="s">
        <v>4585</v>
      </c>
      <c r="V106" s="577" t="s">
        <v>4586</v>
      </c>
      <c r="W106" s="485" t="s">
        <v>4587</v>
      </c>
      <c r="X106" s="577" t="s">
        <v>4588</v>
      </c>
      <c r="Y106" s="197" t="s">
        <v>4589</v>
      </c>
      <c r="Z106" s="5058" t="s">
        <v>4590</v>
      </c>
      <c r="AA106" s="481" t="s">
        <v>4591</v>
      </c>
      <c r="AB106" s="64" t="s">
        <v>4592</v>
      </c>
      <c r="AC106" s="383" t="s">
        <v>4593</v>
      </c>
      <c r="AD106" s="5027" t="s">
        <v>4594</v>
      </c>
      <c r="AE106" s="5028" t="s">
        <v>4595</v>
      </c>
      <c r="AF106" s="5029" t="s">
        <v>4596</v>
      </c>
      <c r="AG106" s="5028" t="s">
        <v>4597</v>
      </c>
      <c r="AH106" s="5030" t="s">
        <v>4598</v>
      </c>
      <c r="AI106" s="5028" t="s">
        <v>4599</v>
      </c>
      <c r="AJ106" s="5030" t="s">
        <v>4600</v>
      </c>
      <c r="AK106" s="5028" t="s">
        <v>4601</v>
      </c>
      <c r="AL106" s="5046"/>
      <c r="AM106" s="5046"/>
      <c r="AN106" s="5046"/>
      <c r="AO106" s="5046"/>
      <c r="AP106" s="5046"/>
      <c r="AQ106" s="5046"/>
      <c r="AR106" s="5046"/>
      <c r="AS106" s="5046"/>
      <c r="AT106" s="5046"/>
    </row>
    <row r="107" spans="1:46" s="7" customFormat="1" ht="15" customHeight="1" x14ac:dyDescent="0.15">
      <c r="A107" s="5818">
        <v>30000080</v>
      </c>
      <c r="B107" s="990" t="s">
        <v>3759</v>
      </c>
      <c r="C107" s="481" t="s">
        <v>4567</v>
      </c>
      <c r="D107" s="382" t="s">
        <v>4568</v>
      </c>
      <c r="E107" s="192" t="s">
        <v>4569</v>
      </c>
      <c r="F107" s="382" t="s">
        <v>4570</v>
      </c>
      <c r="G107" s="192" t="s">
        <v>4571</v>
      </c>
      <c r="H107" s="382" t="s">
        <v>4572</v>
      </c>
      <c r="I107" s="192" t="s">
        <v>4573</v>
      </c>
      <c r="J107" s="382" t="s">
        <v>4574</v>
      </c>
      <c r="K107" s="192" t="s">
        <v>4575</v>
      </c>
      <c r="L107" s="382" t="s">
        <v>4576</v>
      </c>
      <c r="M107" s="192" t="s">
        <v>4577</v>
      </c>
      <c r="N107" s="382" t="s">
        <v>4578</v>
      </c>
      <c r="O107" s="192" t="s">
        <v>4579</v>
      </c>
      <c r="P107" s="382" t="s">
        <v>4580</v>
      </c>
      <c r="Q107" s="192" t="s">
        <v>4581</v>
      </c>
      <c r="R107" s="383" t="s">
        <v>4582</v>
      </c>
      <c r="S107" s="5057" t="s">
        <v>4583</v>
      </c>
      <c r="T107" s="577" t="s">
        <v>4584</v>
      </c>
      <c r="U107" s="485" t="s">
        <v>4585</v>
      </c>
      <c r="V107" s="577" t="s">
        <v>4586</v>
      </c>
      <c r="W107" s="485" t="s">
        <v>4587</v>
      </c>
      <c r="X107" s="577" t="s">
        <v>4588</v>
      </c>
      <c r="Y107" s="197" t="s">
        <v>4589</v>
      </c>
      <c r="Z107" s="5058" t="s">
        <v>4590</v>
      </c>
      <c r="AA107" s="481" t="s">
        <v>4591</v>
      </c>
      <c r="AB107" s="64" t="s">
        <v>4592</v>
      </c>
      <c r="AC107" s="383" t="s">
        <v>4593</v>
      </c>
      <c r="AD107" s="5027" t="s">
        <v>4594</v>
      </c>
      <c r="AE107" s="5028" t="s">
        <v>4595</v>
      </c>
      <c r="AF107" s="5029" t="s">
        <v>4596</v>
      </c>
      <c r="AG107" s="5028" t="s">
        <v>4597</v>
      </c>
      <c r="AH107" s="5030" t="s">
        <v>4598</v>
      </c>
      <c r="AI107" s="5028" t="s">
        <v>4599</v>
      </c>
      <c r="AJ107" s="5030" t="s">
        <v>4600</v>
      </c>
      <c r="AK107" s="5028" t="s">
        <v>4601</v>
      </c>
      <c r="AL107" s="5046"/>
      <c r="AM107" s="5046"/>
      <c r="AN107" s="5046"/>
      <c r="AO107" s="5046"/>
      <c r="AP107" s="5046"/>
      <c r="AQ107" s="5046"/>
      <c r="AR107" s="5046"/>
      <c r="AS107" s="5046"/>
      <c r="AT107" s="5046"/>
    </row>
    <row r="108" spans="1:46" s="7" customFormat="1" ht="15" customHeight="1" x14ac:dyDescent="0.15">
      <c r="A108" s="5818">
        <v>30000081</v>
      </c>
      <c r="B108" s="1003" t="s">
        <v>3760</v>
      </c>
      <c r="C108" s="1127" t="s">
        <v>4567</v>
      </c>
      <c r="D108" s="1115" t="s">
        <v>4568</v>
      </c>
      <c r="E108" s="1114" t="s">
        <v>4569</v>
      </c>
      <c r="F108" s="1115" t="s">
        <v>4570</v>
      </c>
      <c r="G108" s="1114" t="s">
        <v>4571</v>
      </c>
      <c r="H108" s="1115" t="s">
        <v>4572</v>
      </c>
      <c r="I108" s="1114" t="s">
        <v>4573</v>
      </c>
      <c r="J108" s="1115" t="s">
        <v>4574</v>
      </c>
      <c r="K108" s="1114" t="s">
        <v>4575</v>
      </c>
      <c r="L108" s="1115" t="s">
        <v>4576</v>
      </c>
      <c r="M108" s="1114" t="s">
        <v>4577</v>
      </c>
      <c r="N108" s="1115" t="s">
        <v>4578</v>
      </c>
      <c r="O108" s="1114" t="s">
        <v>4579</v>
      </c>
      <c r="P108" s="1115" t="s">
        <v>4580</v>
      </c>
      <c r="Q108" s="1114" t="s">
        <v>4581</v>
      </c>
      <c r="R108" s="1324" t="s">
        <v>4582</v>
      </c>
      <c r="S108" s="4986" t="s">
        <v>4583</v>
      </c>
      <c r="T108" s="4988" t="s">
        <v>4584</v>
      </c>
      <c r="U108" s="3075" t="s">
        <v>4585</v>
      </c>
      <c r="V108" s="4988" t="s">
        <v>4586</v>
      </c>
      <c r="W108" s="3075" t="s">
        <v>4587</v>
      </c>
      <c r="X108" s="4988" t="s">
        <v>4588</v>
      </c>
      <c r="Y108" s="4989" t="s">
        <v>4589</v>
      </c>
      <c r="Z108" s="5019" t="s">
        <v>4590</v>
      </c>
      <c r="AA108" s="1127" t="s">
        <v>4591</v>
      </c>
      <c r="AB108" s="557" t="s">
        <v>4592</v>
      </c>
      <c r="AC108" s="1324" t="s">
        <v>4593</v>
      </c>
      <c r="AD108" s="5040" t="s">
        <v>4594</v>
      </c>
      <c r="AE108" s="5041" t="s">
        <v>4595</v>
      </c>
      <c r="AF108" s="5042" t="s">
        <v>4596</v>
      </c>
      <c r="AG108" s="5041" t="s">
        <v>4597</v>
      </c>
      <c r="AH108" s="5043" t="s">
        <v>4598</v>
      </c>
      <c r="AI108" s="5041" t="s">
        <v>4599</v>
      </c>
      <c r="AJ108" s="5043" t="s">
        <v>4600</v>
      </c>
      <c r="AK108" s="5041" t="s">
        <v>4601</v>
      </c>
      <c r="AL108" s="5046"/>
      <c r="AM108" s="5046"/>
      <c r="AN108" s="5046"/>
      <c r="AO108" s="5046"/>
      <c r="AP108" s="5046"/>
      <c r="AQ108" s="5046"/>
      <c r="AR108" s="5046"/>
      <c r="AS108" s="5046"/>
      <c r="AT108" s="5046"/>
    </row>
    <row r="109" spans="1:46" s="8" customFormat="1" ht="18" customHeight="1" x14ac:dyDescent="0.2">
      <c r="A109" s="5608"/>
      <c r="B109" s="15" t="s">
        <v>3761</v>
      </c>
      <c r="C109" s="15"/>
      <c r="D109" s="15"/>
      <c r="E109" s="15"/>
      <c r="F109" s="15"/>
      <c r="G109" s="15"/>
      <c r="H109" s="15"/>
    </row>
    <row r="110" spans="1:46" s="7" customFormat="1" ht="15" customHeight="1" x14ac:dyDescent="0.2">
      <c r="A110" s="5948"/>
      <c r="B110" s="7747" t="s">
        <v>3762</v>
      </c>
      <c r="C110" s="7257" t="s">
        <v>3730</v>
      </c>
      <c r="D110" s="7746"/>
      <c r="E110" s="7746"/>
      <c r="F110" s="7746"/>
      <c r="G110" s="7746"/>
      <c r="H110" s="7746"/>
      <c r="I110" s="7746"/>
      <c r="J110" s="7746"/>
      <c r="K110" s="7746"/>
      <c r="L110" s="7746"/>
      <c r="M110" s="7259"/>
      <c r="N110" s="7773" t="s">
        <v>3763</v>
      </c>
      <c r="O110" s="7674"/>
      <c r="P110" s="7674"/>
      <c r="Q110" s="7674"/>
      <c r="R110" s="7674"/>
      <c r="S110" s="7674"/>
      <c r="T110" s="7674"/>
      <c r="U110" s="6786"/>
    </row>
    <row r="111" spans="1:46" s="7" customFormat="1" ht="15" customHeight="1" x14ac:dyDescent="0.2">
      <c r="A111" s="5948"/>
      <c r="B111" s="7748"/>
      <c r="C111" s="7745" t="s">
        <v>3140</v>
      </c>
      <c r="D111" s="7727"/>
      <c r="E111" s="7291" t="s">
        <v>1203</v>
      </c>
      <c r="F111" s="7727"/>
      <c r="G111" s="7291" t="s">
        <v>1204</v>
      </c>
      <c r="H111" s="7727"/>
      <c r="I111" s="7291" t="s">
        <v>706</v>
      </c>
      <c r="J111" s="7727"/>
      <c r="K111" s="7243" t="s">
        <v>3533</v>
      </c>
      <c r="L111" s="7745"/>
      <c r="M111" s="7339"/>
      <c r="N111" s="6940"/>
      <c r="O111" s="6735"/>
      <c r="P111" s="6735"/>
      <c r="Q111" s="6735"/>
      <c r="R111" s="6735"/>
      <c r="S111" s="6735"/>
      <c r="T111" s="6735"/>
      <c r="U111" s="6955"/>
    </row>
    <row r="112" spans="1:46" s="7" customFormat="1" ht="15" customHeight="1" x14ac:dyDescent="0.2">
      <c r="A112" s="5948"/>
      <c r="B112" s="7748"/>
      <c r="C112" s="7754" t="s">
        <v>58</v>
      </c>
      <c r="D112" s="7676" t="s">
        <v>59</v>
      </c>
      <c r="E112" s="7754" t="s">
        <v>58</v>
      </c>
      <c r="F112" s="7676" t="s">
        <v>59</v>
      </c>
      <c r="G112" s="7754" t="s">
        <v>58</v>
      </c>
      <c r="H112" s="7676" t="s">
        <v>59</v>
      </c>
      <c r="I112" s="7754" t="s">
        <v>58</v>
      </c>
      <c r="J112" s="7762" t="s">
        <v>59</v>
      </c>
      <c r="K112" s="1433" t="s">
        <v>3559</v>
      </c>
      <c r="L112" s="7257" t="s">
        <v>1594</v>
      </c>
      <c r="M112" s="7259"/>
      <c r="N112" s="7745" t="s">
        <v>3140</v>
      </c>
      <c r="O112" s="7727"/>
      <c r="P112" s="7291" t="s">
        <v>1203</v>
      </c>
      <c r="Q112" s="7727"/>
      <c r="R112" s="7745" t="s">
        <v>1204</v>
      </c>
      <c r="S112" s="7727"/>
      <c r="T112" s="7291" t="s">
        <v>706</v>
      </c>
      <c r="U112" s="7727"/>
    </row>
    <row r="113" spans="1:21" s="7" customFormat="1" ht="20.100000000000001" customHeight="1" x14ac:dyDescent="0.2">
      <c r="A113" s="5948"/>
      <c r="B113" s="7749"/>
      <c r="C113" s="7755"/>
      <c r="D113" s="6913"/>
      <c r="E113" s="7755"/>
      <c r="F113" s="6913"/>
      <c r="G113" s="7755"/>
      <c r="H113" s="6913"/>
      <c r="I113" s="7755"/>
      <c r="J113" s="7204"/>
      <c r="K113" s="1433" t="s">
        <v>3724</v>
      </c>
      <c r="L113" s="1798" t="s">
        <v>3696</v>
      </c>
      <c r="M113" s="5063" t="s">
        <v>2503</v>
      </c>
      <c r="N113" s="4437" t="s">
        <v>58</v>
      </c>
      <c r="O113" s="1178" t="s">
        <v>59</v>
      </c>
      <c r="P113" s="1287" t="s">
        <v>58</v>
      </c>
      <c r="Q113" s="1178" t="s">
        <v>59</v>
      </c>
      <c r="R113" s="1068" t="s">
        <v>58</v>
      </c>
      <c r="S113" s="1178" t="s">
        <v>59</v>
      </c>
      <c r="T113" s="1287" t="s">
        <v>58</v>
      </c>
      <c r="U113" s="1178" t="s">
        <v>59</v>
      </c>
    </row>
    <row r="114" spans="1:21" s="7" customFormat="1" ht="15" customHeight="1" x14ac:dyDescent="0.15">
      <c r="A114" s="5949"/>
      <c r="B114" s="1285" t="s">
        <v>77</v>
      </c>
      <c r="C114" s="1102">
        <f t="shared" ref="C114:H114" si="5">SUM(C115:C118)</f>
        <v>0</v>
      </c>
      <c r="D114" s="1104">
        <f t="shared" si="5"/>
        <v>0</v>
      </c>
      <c r="E114" s="4891">
        <f t="shared" si="5"/>
        <v>0</v>
      </c>
      <c r="F114" s="1104">
        <f t="shared" si="5"/>
        <v>0</v>
      </c>
      <c r="G114" s="4891">
        <f t="shared" si="5"/>
        <v>0</v>
      </c>
      <c r="H114" s="1104">
        <f t="shared" si="5"/>
        <v>0</v>
      </c>
      <c r="I114" s="1102">
        <f t="shared" ref="I114:U114" si="6">SUM(I115:I118)</f>
        <v>0</v>
      </c>
      <c r="J114" s="1106">
        <f t="shared" si="6"/>
        <v>0</v>
      </c>
      <c r="K114" s="1456">
        <f t="shared" si="6"/>
        <v>0</v>
      </c>
      <c r="L114" s="4945">
        <f t="shared" si="6"/>
        <v>0</v>
      </c>
      <c r="M114" s="5064">
        <f t="shared" si="6"/>
        <v>0</v>
      </c>
      <c r="N114" s="4944">
        <f t="shared" si="6"/>
        <v>0</v>
      </c>
      <c r="O114" s="4950">
        <f t="shared" si="6"/>
        <v>0</v>
      </c>
      <c r="P114" s="4946">
        <f t="shared" si="6"/>
        <v>0</v>
      </c>
      <c r="Q114" s="4950">
        <f t="shared" si="6"/>
        <v>0</v>
      </c>
      <c r="R114" s="4945">
        <f t="shared" ref="R114:S114" si="7">SUM(R115:R118)</f>
        <v>0</v>
      </c>
      <c r="S114" s="4690">
        <f t="shared" si="7"/>
        <v>0</v>
      </c>
      <c r="T114" s="4946">
        <f t="shared" si="6"/>
        <v>0</v>
      </c>
      <c r="U114" s="4950">
        <f t="shared" si="6"/>
        <v>0</v>
      </c>
    </row>
    <row r="115" spans="1:21" s="7" customFormat="1" ht="15" customHeight="1" x14ac:dyDescent="0.15">
      <c r="A115" s="5818">
        <v>30000082</v>
      </c>
      <c r="B115" s="990" t="s">
        <v>3764</v>
      </c>
      <c r="C115" s="4517" t="s">
        <v>4567</v>
      </c>
      <c r="D115" s="95" t="s">
        <v>4568</v>
      </c>
      <c r="E115" s="47" t="s">
        <v>4569</v>
      </c>
      <c r="F115" s="95" t="s">
        <v>4570</v>
      </c>
      <c r="G115" s="47" t="s">
        <v>4571</v>
      </c>
      <c r="H115" s="95" t="s">
        <v>4572</v>
      </c>
      <c r="I115" s="4517" t="s">
        <v>4573</v>
      </c>
      <c r="J115" s="4519" t="s">
        <v>4574</v>
      </c>
      <c r="K115" s="42" t="s">
        <v>4575</v>
      </c>
      <c r="L115" s="4517" t="s">
        <v>4576</v>
      </c>
      <c r="M115" s="75" t="s">
        <v>4577</v>
      </c>
      <c r="N115" s="5059" t="s">
        <v>4578</v>
      </c>
      <c r="O115" s="5060" t="s">
        <v>4579</v>
      </c>
      <c r="P115" s="5062" t="s">
        <v>4580</v>
      </c>
      <c r="Q115" s="5060" t="s">
        <v>4581</v>
      </c>
      <c r="R115" s="5061" t="s">
        <v>4582</v>
      </c>
      <c r="S115" s="5060" t="s">
        <v>4583</v>
      </c>
      <c r="T115" s="5062" t="s">
        <v>4584</v>
      </c>
      <c r="U115" s="5028" t="s">
        <v>4585</v>
      </c>
    </row>
    <row r="116" spans="1:21" s="7" customFormat="1" ht="15" customHeight="1" x14ac:dyDescent="0.15">
      <c r="A116" s="5818">
        <v>30000083</v>
      </c>
      <c r="B116" s="990" t="s">
        <v>3765</v>
      </c>
      <c r="C116" s="481" t="s">
        <v>4567</v>
      </c>
      <c r="D116" s="382" t="s">
        <v>4568</v>
      </c>
      <c r="E116" s="192" t="s">
        <v>4569</v>
      </c>
      <c r="F116" s="382" t="s">
        <v>4570</v>
      </c>
      <c r="G116" s="192" t="s">
        <v>4571</v>
      </c>
      <c r="H116" s="382" t="s">
        <v>4572</v>
      </c>
      <c r="I116" s="481" t="s">
        <v>4573</v>
      </c>
      <c r="J116" s="383" t="s">
        <v>4574</v>
      </c>
      <c r="K116" s="2" t="s">
        <v>4575</v>
      </c>
      <c r="L116" s="481" t="s">
        <v>4576</v>
      </c>
      <c r="M116" s="375" t="s">
        <v>4577</v>
      </c>
      <c r="N116" s="5027" t="s">
        <v>4578</v>
      </c>
      <c r="O116" s="5028" t="s">
        <v>4579</v>
      </c>
      <c r="P116" s="5030" t="s">
        <v>4580</v>
      </c>
      <c r="Q116" s="5028" t="s">
        <v>4581</v>
      </c>
      <c r="R116" s="5029" t="s">
        <v>4582</v>
      </c>
      <c r="S116" s="5028" t="s">
        <v>4583</v>
      </c>
      <c r="T116" s="5030" t="s">
        <v>4584</v>
      </c>
      <c r="U116" s="5028" t="s">
        <v>4585</v>
      </c>
    </row>
    <row r="117" spans="1:21" s="7" customFormat="1" ht="15" customHeight="1" x14ac:dyDescent="0.15">
      <c r="A117" s="5818">
        <v>30000084</v>
      </c>
      <c r="B117" s="990" t="s">
        <v>3766</v>
      </c>
      <c r="C117" s="481" t="s">
        <v>4567</v>
      </c>
      <c r="D117" s="382" t="s">
        <v>4568</v>
      </c>
      <c r="E117" s="192" t="s">
        <v>4569</v>
      </c>
      <c r="F117" s="382" t="s">
        <v>4570</v>
      </c>
      <c r="G117" s="192" t="s">
        <v>4571</v>
      </c>
      <c r="H117" s="382" t="s">
        <v>4572</v>
      </c>
      <c r="I117" s="481" t="s">
        <v>4573</v>
      </c>
      <c r="J117" s="383" t="s">
        <v>4574</v>
      </c>
      <c r="K117" s="2" t="s">
        <v>4575</v>
      </c>
      <c r="L117" s="481" t="s">
        <v>4576</v>
      </c>
      <c r="M117" s="375" t="s">
        <v>4577</v>
      </c>
      <c r="N117" s="5027" t="s">
        <v>4578</v>
      </c>
      <c r="O117" s="5028" t="s">
        <v>4579</v>
      </c>
      <c r="P117" s="5030" t="s">
        <v>4580</v>
      </c>
      <c r="Q117" s="5028" t="s">
        <v>4581</v>
      </c>
      <c r="R117" s="5029" t="s">
        <v>4582</v>
      </c>
      <c r="S117" s="5028" t="s">
        <v>4583</v>
      </c>
      <c r="T117" s="5030" t="s">
        <v>4584</v>
      </c>
      <c r="U117" s="5028" t="s">
        <v>4585</v>
      </c>
    </row>
    <row r="118" spans="1:21" s="7" customFormat="1" ht="15" customHeight="1" x14ac:dyDescent="0.15">
      <c r="A118" s="5818">
        <v>30000085</v>
      </c>
      <c r="B118" s="1003" t="s">
        <v>3767</v>
      </c>
      <c r="C118" s="1127" t="s">
        <v>4567</v>
      </c>
      <c r="D118" s="1115" t="s">
        <v>4568</v>
      </c>
      <c r="E118" s="1114" t="s">
        <v>4569</v>
      </c>
      <c r="F118" s="1115" t="s">
        <v>4570</v>
      </c>
      <c r="G118" s="1114" t="s">
        <v>4571</v>
      </c>
      <c r="H118" s="1115" t="s">
        <v>4572</v>
      </c>
      <c r="I118" s="1127" t="s">
        <v>4573</v>
      </c>
      <c r="J118" s="1324" t="s">
        <v>4574</v>
      </c>
      <c r="K118" s="387" t="s">
        <v>4575</v>
      </c>
      <c r="L118" s="1127" t="s">
        <v>4576</v>
      </c>
      <c r="M118" s="391" t="s">
        <v>4577</v>
      </c>
      <c r="N118" s="5040" t="s">
        <v>4578</v>
      </c>
      <c r="O118" s="5041" t="s">
        <v>4579</v>
      </c>
      <c r="P118" s="5043" t="s">
        <v>4580</v>
      </c>
      <c r="Q118" s="5041" t="s">
        <v>4581</v>
      </c>
      <c r="R118" s="5042" t="s">
        <v>4582</v>
      </c>
      <c r="S118" s="5041" t="s">
        <v>4583</v>
      </c>
      <c r="T118" s="5043" t="s">
        <v>4584</v>
      </c>
      <c r="U118" s="5041" t="s">
        <v>4585</v>
      </c>
    </row>
    <row r="119" spans="1:21" s="8" customFormat="1" ht="18" customHeight="1" x14ac:dyDescent="0.15">
      <c r="B119" s="5974" t="s">
        <v>3768</v>
      </c>
      <c r="C119" s="15"/>
      <c r="D119" s="15"/>
      <c r="E119" s="15"/>
      <c r="F119" s="15"/>
      <c r="G119" s="15"/>
      <c r="H119" s="15"/>
    </row>
    <row r="120" spans="1:21" s="9" customFormat="1" ht="20.100000000000001" customHeight="1" x14ac:dyDescent="0.2">
      <c r="B120" s="7688" t="s">
        <v>3769</v>
      </c>
      <c r="C120" s="7671" t="s">
        <v>192</v>
      </c>
      <c r="D120" s="7673" t="s">
        <v>3770</v>
      </c>
      <c r="E120" s="7674"/>
      <c r="F120" s="7674"/>
      <c r="G120" s="6786"/>
      <c r="H120" s="7687" t="s">
        <v>3771</v>
      </c>
      <c r="I120" s="7763"/>
      <c r="J120" s="7762"/>
      <c r="K120" s="7756" t="s">
        <v>3772</v>
      </c>
      <c r="L120" s="7746"/>
      <c r="M120" s="7746"/>
      <c r="N120" s="7746"/>
      <c r="O120" s="7746"/>
      <c r="P120" s="7746"/>
      <c r="Q120" s="7746"/>
      <c r="R120" s="7759"/>
      <c r="S120" s="7769" t="s">
        <v>6040</v>
      </c>
    </row>
    <row r="121" spans="1:21" s="9" customFormat="1" ht="20.100000000000001" customHeight="1" x14ac:dyDescent="0.2">
      <c r="B121" s="7688"/>
      <c r="C121" s="6119"/>
      <c r="D121" s="6734"/>
      <c r="E121" s="6735"/>
      <c r="F121" s="6735"/>
      <c r="G121" s="6955"/>
      <c r="H121" s="6750"/>
      <c r="I121" s="6749"/>
      <c r="J121" s="7204"/>
      <c r="K121" s="7745" t="s">
        <v>3140</v>
      </c>
      <c r="L121" s="7727"/>
      <c r="M121" s="7291" t="s">
        <v>1203</v>
      </c>
      <c r="N121" s="7727"/>
      <c r="O121" s="7291" t="s">
        <v>1204</v>
      </c>
      <c r="P121" s="7727"/>
      <c r="Q121" s="7291" t="s">
        <v>706</v>
      </c>
      <c r="R121" s="7727"/>
      <c r="S121" s="7770"/>
    </row>
    <row r="122" spans="1:21" s="9" customFormat="1" ht="20.100000000000001" customHeight="1" x14ac:dyDescent="0.2">
      <c r="B122" s="7688" t="s">
        <v>3773</v>
      </c>
      <c r="C122" s="6739"/>
      <c r="D122" s="1286" t="s">
        <v>3774</v>
      </c>
      <c r="E122" s="1110" t="s">
        <v>1203</v>
      </c>
      <c r="F122" s="1110" t="s">
        <v>1204</v>
      </c>
      <c r="G122" s="1433" t="s">
        <v>706</v>
      </c>
      <c r="H122" s="5338" t="s">
        <v>79</v>
      </c>
      <c r="I122" s="1068" t="s">
        <v>58</v>
      </c>
      <c r="J122" s="984" t="s">
        <v>59</v>
      </c>
      <c r="K122" s="4437" t="s">
        <v>58</v>
      </c>
      <c r="L122" s="1412" t="s">
        <v>59</v>
      </c>
      <c r="M122" s="1068" t="s">
        <v>58</v>
      </c>
      <c r="N122" s="1412" t="s">
        <v>59</v>
      </c>
      <c r="O122" s="1068" t="s">
        <v>58</v>
      </c>
      <c r="P122" s="1412" t="s">
        <v>59</v>
      </c>
      <c r="Q122" s="1068" t="s">
        <v>58</v>
      </c>
      <c r="R122" s="1178" t="s">
        <v>59</v>
      </c>
      <c r="S122" s="7771"/>
    </row>
    <row r="123" spans="1:21" s="9" customFormat="1" ht="15" customHeight="1" x14ac:dyDescent="0.2">
      <c r="B123" s="7671"/>
      <c r="C123" s="1336">
        <f>SUM(C124:C129)</f>
        <v>0</v>
      </c>
      <c r="D123" s="4891">
        <f t="shared" ref="D123:R123" si="8">SUM(D124:D129)</f>
        <v>0</v>
      </c>
      <c r="E123" s="1102">
        <f t="shared" si="8"/>
        <v>0</v>
      </c>
      <c r="F123" s="1102">
        <f t="shared" ref="F123" si="9">SUM(F124:F129)</f>
        <v>0</v>
      </c>
      <c r="G123" s="5065">
        <f t="shared" si="8"/>
        <v>0</v>
      </c>
      <c r="H123" s="3076">
        <f>SUM(H124:H129)</f>
        <v>0</v>
      </c>
      <c r="I123" s="1102">
        <f>SUM(I124:I129)</f>
        <v>0</v>
      </c>
      <c r="J123" s="4870">
        <f t="shared" si="8"/>
        <v>0</v>
      </c>
      <c r="K123" s="4944">
        <f t="shared" si="8"/>
        <v>0</v>
      </c>
      <c r="L123" s="1456">
        <f t="shared" si="8"/>
        <v>0</v>
      </c>
      <c r="M123" s="4945">
        <f t="shared" si="8"/>
        <v>0</v>
      </c>
      <c r="N123" s="1456">
        <f t="shared" si="8"/>
        <v>0</v>
      </c>
      <c r="O123" s="4945">
        <f t="shared" ref="O123:P123" si="10">SUM(O124:O129)</f>
        <v>0</v>
      </c>
      <c r="P123" s="1456">
        <f t="shared" si="10"/>
        <v>0</v>
      </c>
      <c r="Q123" s="4946">
        <f t="shared" si="8"/>
        <v>0</v>
      </c>
      <c r="R123" s="1456">
        <f t="shared" si="8"/>
        <v>0</v>
      </c>
      <c r="S123" s="5971">
        <f>SUM(S124:S129)</f>
        <v>0</v>
      </c>
    </row>
    <row r="124" spans="1:21" s="9" customFormat="1" ht="15" customHeight="1" x14ac:dyDescent="0.2">
      <c r="A124" s="5818">
        <v>32101521</v>
      </c>
      <c r="B124" s="1457" t="s">
        <v>823</v>
      </c>
      <c r="C124" s="1159" t="s">
        <v>4567</v>
      </c>
      <c r="D124" s="192" t="s">
        <v>4568</v>
      </c>
      <c r="E124" s="481" t="s">
        <v>4569</v>
      </c>
      <c r="F124" s="481" t="s">
        <v>4570</v>
      </c>
      <c r="G124" s="2" t="s">
        <v>4571</v>
      </c>
      <c r="H124" s="1159" t="s">
        <v>4572</v>
      </c>
      <c r="I124" s="481" t="s">
        <v>4573</v>
      </c>
      <c r="J124" s="375" t="s">
        <v>4574</v>
      </c>
      <c r="K124" s="5027" t="s">
        <v>4575</v>
      </c>
      <c r="L124" s="5066" t="s">
        <v>4576</v>
      </c>
      <c r="M124" s="5029" t="s">
        <v>4577</v>
      </c>
      <c r="N124" s="5066" t="s">
        <v>4578</v>
      </c>
      <c r="O124" s="5029" t="s">
        <v>4579</v>
      </c>
      <c r="P124" s="5066" t="s">
        <v>4580</v>
      </c>
      <c r="Q124" s="5030" t="s">
        <v>4581</v>
      </c>
      <c r="R124" s="5066" t="s">
        <v>4582</v>
      </c>
      <c r="S124" s="5973" t="s">
        <v>4583</v>
      </c>
    </row>
    <row r="125" spans="1:21" s="9" customFormat="1" ht="15" customHeight="1" x14ac:dyDescent="0.2">
      <c r="A125" s="5950"/>
      <c r="B125" s="5526" t="s">
        <v>3775</v>
      </c>
      <c r="C125" s="5527"/>
      <c r="D125" s="288"/>
      <c r="E125" s="3651"/>
      <c r="F125" s="3651"/>
      <c r="G125" s="131"/>
      <c r="H125" s="5527"/>
      <c r="I125" s="3651"/>
      <c r="J125" s="380"/>
      <c r="K125" s="3734"/>
      <c r="L125" s="131"/>
      <c r="M125" s="3651"/>
      <c r="N125" s="131"/>
      <c r="O125" s="3651"/>
      <c r="P125" s="131"/>
      <c r="Q125" s="288"/>
      <c r="R125" s="131"/>
      <c r="S125" s="131"/>
    </row>
    <row r="126" spans="1:21" s="9" customFormat="1" ht="15" customHeight="1" x14ac:dyDescent="0.2">
      <c r="A126" s="5950"/>
      <c r="B126" s="5526" t="s">
        <v>3776</v>
      </c>
      <c r="C126" s="5527"/>
      <c r="D126" s="288"/>
      <c r="E126" s="3651"/>
      <c r="F126" s="3651"/>
      <c r="G126" s="131"/>
      <c r="H126" s="5527"/>
      <c r="I126" s="3651"/>
      <c r="J126" s="380"/>
      <c r="K126" s="3734"/>
      <c r="L126" s="131"/>
      <c r="M126" s="3651"/>
      <c r="N126" s="131"/>
      <c r="O126" s="3651"/>
      <c r="P126" s="131"/>
      <c r="Q126" s="288"/>
      <c r="R126" s="131"/>
      <c r="S126" s="131"/>
    </row>
    <row r="127" spans="1:21" s="9" customFormat="1" ht="15" customHeight="1" x14ac:dyDescent="0.2">
      <c r="A127" s="5818">
        <v>32101524</v>
      </c>
      <c r="B127" s="1458" t="s">
        <v>721</v>
      </c>
      <c r="C127" s="1162" t="s">
        <v>4567</v>
      </c>
      <c r="D127" s="192" t="s">
        <v>4568</v>
      </c>
      <c r="E127" s="481" t="s">
        <v>4569</v>
      </c>
      <c r="F127" s="481" t="s">
        <v>4570</v>
      </c>
      <c r="G127" s="2" t="s">
        <v>4571</v>
      </c>
      <c r="H127" s="1162" t="s">
        <v>4572</v>
      </c>
      <c r="I127" s="481" t="s">
        <v>4573</v>
      </c>
      <c r="J127" s="375" t="s">
        <v>4574</v>
      </c>
      <c r="K127" s="5027" t="s">
        <v>4575</v>
      </c>
      <c r="L127" s="5066" t="s">
        <v>4576</v>
      </c>
      <c r="M127" s="5029" t="s">
        <v>4577</v>
      </c>
      <c r="N127" s="5066" t="s">
        <v>4578</v>
      </c>
      <c r="O127" s="5029" t="s">
        <v>4579</v>
      </c>
      <c r="P127" s="5066" t="s">
        <v>4580</v>
      </c>
      <c r="Q127" s="5030" t="s">
        <v>4581</v>
      </c>
      <c r="R127" s="5066" t="s">
        <v>4582</v>
      </c>
      <c r="S127" s="131" t="s">
        <v>4583</v>
      </c>
    </row>
    <row r="128" spans="1:21" s="9" customFormat="1" ht="15" customHeight="1" x14ac:dyDescent="0.2">
      <c r="A128" s="5818">
        <v>32101525</v>
      </c>
      <c r="B128" s="1458" t="s">
        <v>3777</v>
      </c>
      <c r="C128" s="1162" t="s">
        <v>4567</v>
      </c>
      <c r="D128" s="192" t="s">
        <v>4568</v>
      </c>
      <c r="E128" s="481" t="s">
        <v>4569</v>
      </c>
      <c r="F128" s="481" t="s">
        <v>4570</v>
      </c>
      <c r="G128" s="2" t="s">
        <v>4571</v>
      </c>
      <c r="H128" s="1162" t="s">
        <v>4572</v>
      </c>
      <c r="I128" s="481" t="s">
        <v>4573</v>
      </c>
      <c r="J128" s="375" t="s">
        <v>4574</v>
      </c>
      <c r="K128" s="5027" t="s">
        <v>4575</v>
      </c>
      <c r="L128" s="5066" t="s">
        <v>4576</v>
      </c>
      <c r="M128" s="5029" t="s">
        <v>4577</v>
      </c>
      <c r="N128" s="5066" t="s">
        <v>4578</v>
      </c>
      <c r="O128" s="5029" t="s">
        <v>4579</v>
      </c>
      <c r="P128" s="5066" t="s">
        <v>4580</v>
      </c>
      <c r="Q128" s="5030" t="s">
        <v>4581</v>
      </c>
      <c r="R128" s="5066" t="s">
        <v>4582</v>
      </c>
      <c r="S128" s="131" t="s">
        <v>4583</v>
      </c>
    </row>
    <row r="129" spans="1:19" s="9" customFormat="1" ht="15" customHeight="1" x14ac:dyDescent="0.2">
      <c r="A129" s="5818">
        <v>32101526</v>
      </c>
      <c r="B129" s="1459" t="s">
        <v>591</v>
      </c>
      <c r="C129" s="1163" t="s">
        <v>4567</v>
      </c>
      <c r="D129" s="1114" t="s">
        <v>4568</v>
      </c>
      <c r="E129" s="1127" t="s">
        <v>4569</v>
      </c>
      <c r="F129" s="1127" t="s">
        <v>4570</v>
      </c>
      <c r="G129" s="387" t="s">
        <v>4571</v>
      </c>
      <c r="H129" s="1163" t="s">
        <v>4572</v>
      </c>
      <c r="I129" s="1127" t="s">
        <v>4573</v>
      </c>
      <c r="J129" s="391" t="s">
        <v>4574</v>
      </c>
      <c r="K129" s="5040" t="s">
        <v>4575</v>
      </c>
      <c r="L129" s="5067" t="s">
        <v>4576</v>
      </c>
      <c r="M129" s="5042" t="s">
        <v>4577</v>
      </c>
      <c r="N129" s="5067" t="s">
        <v>4578</v>
      </c>
      <c r="O129" s="5042" t="s">
        <v>4579</v>
      </c>
      <c r="P129" s="5067" t="s">
        <v>4580</v>
      </c>
      <c r="Q129" s="5043" t="s">
        <v>4581</v>
      </c>
      <c r="R129" s="5067" t="s">
        <v>4582</v>
      </c>
      <c r="S129" s="5972" t="s">
        <v>4583</v>
      </c>
    </row>
    <row r="130" spans="1:19" s="8" customFormat="1" ht="18" customHeight="1" x14ac:dyDescent="0.15">
      <c r="A130" s="5797"/>
      <c r="B130" s="15" t="s">
        <v>3778</v>
      </c>
      <c r="C130" s="15"/>
      <c r="D130" s="15"/>
      <c r="E130" s="15"/>
      <c r="F130" s="15"/>
      <c r="G130" s="15"/>
      <c r="H130" s="15"/>
    </row>
    <row r="131" spans="1:19" s="9" customFormat="1" ht="15" customHeight="1" x14ac:dyDescent="0.2">
      <c r="A131" s="5608"/>
      <c r="B131" s="7682" t="s">
        <v>3779</v>
      </c>
      <c r="C131" s="7291" t="s">
        <v>3533</v>
      </c>
      <c r="D131" s="7745"/>
      <c r="E131" s="7727"/>
    </row>
    <row r="132" spans="1:19" s="9" customFormat="1" ht="15" customHeight="1" x14ac:dyDescent="0.2">
      <c r="A132" s="5608"/>
      <c r="B132" s="6350"/>
      <c r="C132" s="1108" t="s">
        <v>3559</v>
      </c>
      <c r="D132" s="7688" t="s">
        <v>1594</v>
      </c>
      <c r="E132" s="7688"/>
    </row>
    <row r="133" spans="1:19" s="9" customFormat="1" ht="24" customHeight="1" x14ac:dyDescent="0.2">
      <c r="A133" s="5608"/>
      <c r="B133" s="6733"/>
      <c r="C133" s="1417" t="s">
        <v>3724</v>
      </c>
      <c r="D133" s="1286" t="s">
        <v>3696</v>
      </c>
      <c r="E133" s="1460" t="s">
        <v>2503</v>
      </c>
    </row>
    <row r="134" spans="1:19" s="9" customFormat="1" ht="18" customHeight="1" x14ac:dyDescent="0.2">
      <c r="A134" s="5818">
        <v>30000092</v>
      </c>
      <c r="B134" s="1461" t="s">
        <v>3780</v>
      </c>
      <c r="C134" s="5764" t="s">
        <v>4567</v>
      </c>
      <c r="D134" s="5685" t="s">
        <v>4568</v>
      </c>
      <c r="E134" s="5763" t="s">
        <v>4569</v>
      </c>
    </row>
    <row r="137" spans="1:19" x14ac:dyDescent="0.25">
      <c r="A137" t="s">
        <v>4777</v>
      </c>
    </row>
    <row r="138" spans="1:19" x14ac:dyDescent="0.25">
      <c r="A138" s="5944">
        <v>30000005</v>
      </c>
    </row>
    <row r="139" spans="1:19" x14ac:dyDescent="0.25">
      <c r="A139" s="5944">
        <v>30000006</v>
      </c>
    </row>
    <row r="140" spans="1:19" x14ac:dyDescent="0.25">
      <c r="A140" s="5944">
        <v>30000012</v>
      </c>
    </row>
    <row r="141" spans="1:19" x14ac:dyDescent="0.25">
      <c r="A141" s="5944">
        <v>30000013</v>
      </c>
    </row>
    <row r="142" spans="1:19" x14ac:dyDescent="0.25">
      <c r="A142" s="5944">
        <v>30000016</v>
      </c>
    </row>
    <row r="143" spans="1:19" x14ac:dyDescent="0.25">
      <c r="A143" s="5944">
        <v>30000017</v>
      </c>
    </row>
    <row r="144" spans="1:19" x14ac:dyDescent="0.25">
      <c r="A144" s="5944">
        <v>30000018</v>
      </c>
    </row>
    <row r="145" spans="1:1" x14ac:dyDescent="0.25">
      <c r="A145" s="5944">
        <v>30000019</v>
      </c>
    </row>
    <row r="146" spans="1:1" x14ac:dyDescent="0.25">
      <c r="A146" s="5944">
        <v>30000025</v>
      </c>
    </row>
    <row r="147" spans="1:1" x14ac:dyDescent="0.25">
      <c r="A147" s="5944">
        <v>30000026</v>
      </c>
    </row>
    <row r="148" spans="1:1" x14ac:dyDescent="0.25">
      <c r="A148" s="5944">
        <v>30000033</v>
      </c>
    </row>
    <row r="149" spans="1:1" x14ac:dyDescent="0.25">
      <c r="A149" s="5944">
        <v>30000036</v>
      </c>
    </row>
    <row r="150" spans="1:1" x14ac:dyDescent="0.25">
      <c r="A150" s="5944">
        <v>30000037</v>
      </c>
    </row>
    <row r="151" spans="1:1" x14ac:dyDescent="0.25">
      <c r="A151" s="5944">
        <v>30000044</v>
      </c>
    </row>
    <row r="152" spans="1:1" x14ac:dyDescent="0.25">
      <c r="A152" s="5944">
        <v>30000045</v>
      </c>
    </row>
    <row r="153" spans="1:1" x14ac:dyDescent="0.25">
      <c r="A153" s="5944">
        <v>30000046</v>
      </c>
    </row>
    <row r="154" spans="1:1" x14ac:dyDescent="0.25">
      <c r="A154" s="5944">
        <v>30000049</v>
      </c>
    </row>
    <row r="155" spans="1:1" x14ac:dyDescent="0.25">
      <c r="A155" s="5944">
        <v>30000050</v>
      </c>
    </row>
    <row r="156" spans="1:1" x14ac:dyDescent="0.25">
      <c r="A156" s="5944">
        <v>30000051</v>
      </c>
    </row>
    <row r="157" spans="1:1" x14ac:dyDescent="0.25">
      <c r="A157" s="5944">
        <v>30000052</v>
      </c>
    </row>
    <row r="158" spans="1:1" x14ac:dyDescent="0.25">
      <c r="A158" s="5944">
        <v>30000053</v>
      </c>
    </row>
    <row r="159" spans="1:1" x14ac:dyDescent="0.25">
      <c r="A159" s="5944">
        <v>30000086</v>
      </c>
    </row>
    <row r="160" spans="1:1" x14ac:dyDescent="0.25">
      <c r="A160" s="5944">
        <v>30000021</v>
      </c>
    </row>
    <row r="161" spans="1:3" x14ac:dyDescent="0.25">
      <c r="A161" s="5944">
        <v>30000022</v>
      </c>
    </row>
    <row r="162" spans="1:3" x14ac:dyDescent="0.25">
      <c r="A162" s="5818">
        <v>30000071</v>
      </c>
    </row>
    <row r="163" spans="1:3" x14ac:dyDescent="0.25">
      <c r="A163" s="5944">
        <v>32101522</v>
      </c>
    </row>
    <row r="164" spans="1:3" x14ac:dyDescent="0.25">
      <c r="A164" s="5944">
        <v>32101523</v>
      </c>
    </row>
    <row r="165" spans="1:3" x14ac:dyDescent="0.25">
      <c r="A165" t="s">
        <v>4566</v>
      </c>
    </row>
    <row r="166" spans="1:3" x14ac:dyDescent="0.25">
      <c r="A166" s="5945">
        <v>30101110</v>
      </c>
    </row>
    <row r="167" spans="1:3" x14ac:dyDescent="0.25">
      <c r="A167" s="5945">
        <v>30101111</v>
      </c>
    </row>
    <row r="168" spans="1:3" x14ac:dyDescent="0.25">
      <c r="A168" s="5945">
        <v>30101112</v>
      </c>
    </row>
    <row r="169" spans="1:3" x14ac:dyDescent="0.25">
      <c r="A169" s="5945">
        <v>30101113</v>
      </c>
    </row>
    <row r="170" spans="1:3" x14ac:dyDescent="0.25">
      <c r="A170" s="5945">
        <v>30101114</v>
      </c>
    </row>
    <row r="171" spans="1:3" x14ac:dyDescent="0.25">
      <c r="A171" s="5945">
        <v>30101115</v>
      </c>
    </row>
    <row r="172" spans="1:3" x14ac:dyDescent="0.25">
      <c r="A172" s="5945">
        <v>30101116</v>
      </c>
    </row>
    <row r="173" spans="1:3" x14ac:dyDescent="0.25">
      <c r="A173" s="5945">
        <v>30101117</v>
      </c>
    </row>
    <row r="174" spans="1:3" hidden="1" x14ac:dyDescent="0.25">
      <c r="A174" s="5945">
        <v>30101118</v>
      </c>
      <c r="B174" s="111" t="e">
        <f>SUM(C12:R12,S12:Z67,AA12:AV12,C72:U74,C80:Z80,C98:R98,S98:Z108,AA98:AK98,C114:U114,D123:G123,I123:J123,,K123:R123,C134:E134)</f>
        <v>#VALUE!</v>
      </c>
      <c r="C174" s="88">
        <f>SUM(CF12:CG67)</f>
        <v>0</v>
      </c>
    </row>
    <row r="175" spans="1:3" x14ac:dyDescent="0.25">
      <c r="A175" s="5945">
        <v>30101119</v>
      </c>
    </row>
    <row r="176" spans="1:3" x14ac:dyDescent="0.25">
      <c r="A176" s="5945">
        <v>30101120</v>
      </c>
    </row>
    <row r="177" spans="1:1" x14ac:dyDescent="0.25">
      <c r="A177" s="5945">
        <v>30101121</v>
      </c>
    </row>
    <row r="178" spans="1:1" x14ac:dyDescent="0.25">
      <c r="A178" s="5945">
        <v>30101122</v>
      </c>
    </row>
    <row r="179" spans="1:1" x14ac:dyDescent="0.25">
      <c r="A179" s="5945">
        <v>30101123</v>
      </c>
    </row>
    <row r="180" spans="1:1" x14ac:dyDescent="0.25">
      <c r="A180" s="5945">
        <v>30101124</v>
      </c>
    </row>
    <row r="181" spans="1:1" x14ac:dyDescent="0.25">
      <c r="A181" s="5945">
        <v>30101125</v>
      </c>
    </row>
    <row r="182" spans="1:1" x14ac:dyDescent="0.25">
      <c r="A182" s="5945">
        <v>30101126</v>
      </c>
    </row>
    <row r="183" spans="1:1" x14ac:dyDescent="0.25">
      <c r="A183" s="5945">
        <v>30101127</v>
      </c>
    </row>
    <row r="184" spans="1:1" x14ac:dyDescent="0.25">
      <c r="A184" s="5945">
        <v>30101128</v>
      </c>
    </row>
  </sheetData>
  <mergeCells count="140">
    <mergeCell ref="S120:S122"/>
    <mergeCell ref="Y78:Y79"/>
    <mergeCell ref="G96:H96"/>
    <mergeCell ref="Q96:R96"/>
    <mergeCell ref="T112:U112"/>
    <mergeCell ref="N110:U111"/>
    <mergeCell ref="AD95:AK95"/>
    <mergeCell ref="AH96:AI96"/>
    <mergeCell ref="S95:Z95"/>
    <mergeCell ref="W96:X96"/>
    <mergeCell ref="K95:R95"/>
    <mergeCell ref="O96:P96"/>
    <mergeCell ref="Z78:Z79"/>
    <mergeCell ref="T78:T79"/>
    <mergeCell ref="U78:U79"/>
    <mergeCell ref="R112:S112"/>
    <mergeCell ref="AJ96:AK96"/>
    <mergeCell ref="AB96:AC96"/>
    <mergeCell ref="AD96:AE96"/>
    <mergeCell ref="AF96:AG96"/>
    <mergeCell ref="U96:V96"/>
    <mergeCell ref="Y96:Z96"/>
    <mergeCell ref="AA95:AC95"/>
    <mergeCell ref="S78:S79"/>
    <mergeCell ref="H112:H113"/>
    <mergeCell ref="L70:M70"/>
    <mergeCell ref="R77:S77"/>
    <mergeCell ref="F78:F79"/>
    <mergeCell ref="C78:C79"/>
    <mergeCell ref="D78:D79"/>
    <mergeCell ref="M96:N96"/>
    <mergeCell ref="S96:T96"/>
    <mergeCell ref="W78:X78"/>
    <mergeCell ref="R78:R79"/>
    <mergeCell ref="V78:V79"/>
    <mergeCell ref="H78:H79"/>
    <mergeCell ref="C95:J95"/>
    <mergeCell ref="P78:P79"/>
    <mergeCell ref="Q78:Q79"/>
    <mergeCell ref="L78:M78"/>
    <mergeCell ref="N78:N79"/>
    <mergeCell ref="O78:O79"/>
    <mergeCell ref="I78:I79"/>
    <mergeCell ref="J78:J79"/>
    <mergeCell ref="B131:B133"/>
    <mergeCell ref="C131:E131"/>
    <mergeCell ref="D132:E132"/>
    <mergeCell ref="N112:O112"/>
    <mergeCell ref="P112:Q112"/>
    <mergeCell ref="B110:B113"/>
    <mergeCell ref="C111:D111"/>
    <mergeCell ref="I111:J111"/>
    <mergeCell ref="B120:B121"/>
    <mergeCell ref="C120:C122"/>
    <mergeCell ref="C112:C113"/>
    <mergeCell ref="D112:D113"/>
    <mergeCell ref="I112:I113"/>
    <mergeCell ref="J112:J113"/>
    <mergeCell ref="K111:M111"/>
    <mergeCell ref="L112:M112"/>
    <mergeCell ref="B122:B123"/>
    <mergeCell ref="E112:E113"/>
    <mergeCell ref="F112:F113"/>
    <mergeCell ref="C110:M110"/>
    <mergeCell ref="G111:H111"/>
    <mergeCell ref="G112:G113"/>
    <mergeCell ref="H120:J121"/>
    <mergeCell ref="E111:F111"/>
    <mergeCell ref="K120:R120"/>
    <mergeCell ref="O121:P121"/>
    <mergeCell ref="D120:G121"/>
    <mergeCell ref="K121:L121"/>
    <mergeCell ref="M121:N121"/>
    <mergeCell ref="Q121:R121"/>
    <mergeCell ref="AU10:AV10"/>
    <mergeCell ref="B9:B11"/>
    <mergeCell ref="AJ10:AK10"/>
    <mergeCell ref="Q10:R10"/>
    <mergeCell ref="E10:F10"/>
    <mergeCell ref="C10:D10"/>
    <mergeCell ref="I10:J10"/>
    <mergeCell ref="K10:L10"/>
    <mergeCell ref="AA10:AA11"/>
    <mergeCell ref="AB10:AC10"/>
    <mergeCell ref="M10:N10"/>
    <mergeCell ref="S10:T10"/>
    <mergeCell ref="U10:V10"/>
    <mergeCell ref="Y10:Z10"/>
    <mergeCell ref="AD10:AE10"/>
    <mergeCell ref="AF10:AG10"/>
    <mergeCell ref="AL10:AL11"/>
    <mergeCell ref="AO9:AV9"/>
    <mergeCell ref="AD9:AK9"/>
    <mergeCell ref="AH10:AI10"/>
    <mergeCell ref="S9:Z9"/>
    <mergeCell ref="AA9:AC9"/>
    <mergeCell ref="AL9:AN9"/>
    <mergeCell ref="AS10:AT10"/>
    <mergeCell ref="B6:Z6"/>
    <mergeCell ref="B69:B71"/>
    <mergeCell ref="C70:D70"/>
    <mergeCell ref="I70:J70"/>
    <mergeCell ref="N70:O70"/>
    <mergeCell ref="P70:Q70"/>
    <mergeCell ref="E70:F70"/>
    <mergeCell ref="T70:U70"/>
    <mergeCell ref="C69:J69"/>
    <mergeCell ref="G70:H70"/>
    <mergeCell ref="K69:M69"/>
    <mergeCell ref="C9:J9"/>
    <mergeCell ref="N69:U69"/>
    <mergeCell ref="R70:S70"/>
    <mergeCell ref="W10:X10"/>
    <mergeCell ref="K9:R9"/>
    <mergeCell ref="O10:P10"/>
    <mergeCell ref="G10:H10"/>
    <mergeCell ref="AO10:AP10"/>
    <mergeCell ref="AQ10:AR10"/>
    <mergeCell ref="AM10:AN10"/>
    <mergeCell ref="B95:B97"/>
    <mergeCell ref="E96:F96"/>
    <mergeCell ref="B76:B79"/>
    <mergeCell ref="C77:D77"/>
    <mergeCell ref="I77:J77"/>
    <mergeCell ref="P77:Q77"/>
    <mergeCell ref="K78:K79"/>
    <mergeCell ref="E77:F77"/>
    <mergeCell ref="E78:E79"/>
    <mergeCell ref="G78:G79"/>
    <mergeCell ref="C76:J76"/>
    <mergeCell ref="G77:H77"/>
    <mergeCell ref="C96:D96"/>
    <mergeCell ref="I96:J96"/>
    <mergeCell ref="K96:L96"/>
    <mergeCell ref="N76:X76"/>
    <mergeCell ref="Y76:Z77"/>
    <mergeCell ref="K77:M77"/>
    <mergeCell ref="N77:O77"/>
    <mergeCell ref="V77:X77"/>
    <mergeCell ref="T77:U77"/>
  </mergeCells>
  <phoneticPr fontId="37" type="noConversion"/>
  <dataValidations count="2">
    <dataValidation type="whole" operator="greaterThanOrEqual" allowBlank="1" showInputMessage="1" showErrorMessage="1" sqref="C115:U118 C72:U74 C99:R108 C134:E134 AA13:AV67 C13:R67 AA99:AK108 C124:S129" xr:uid="{D6B16C41-7EE3-4BD7-8E69-3AEC941C175B}">
      <formula1>0</formula1>
    </dataValidation>
    <dataValidation type="whole" allowBlank="1" showInputMessage="1" showErrorMessage="1" sqref="C81:Z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V154"/>
  <sheetViews>
    <sheetView showGridLines="0" zoomScaleNormal="100" workbookViewId="0"/>
  </sheetViews>
  <sheetFormatPr baseColWidth="10" defaultColWidth="11.42578125" defaultRowHeight="15" x14ac:dyDescent="0.25"/>
  <cols>
    <col min="1" max="1" width="18.140625" customWidth="1"/>
    <col min="2" max="2" width="57.42578125" customWidth="1"/>
    <col min="3" max="3" width="11.28515625" customWidth="1"/>
    <col min="4" max="4" width="12.85546875" customWidth="1"/>
    <col min="5" max="5" width="14.28515625" customWidth="1"/>
    <col min="6" max="6" width="14.7109375" customWidth="1"/>
    <col min="7" max="7" width="18.42578125" customWidth="1"/>
    <col min="8" max="8" width="16.140625" customWidth="1"/>
    <col min="9" max="9" width="12" customWidth="1"/>
    <col min="10" max="10" width="11.7109375" customWidth="1"/>
    <col min="11" max="11" width="12" customWidth="1"/>
    <col min="12" max="12" width="11.7109375" customWidth="1"/>
    <col min="14" max="14" width="12.42578125" customWidth="1"/>
    <col min="16" max="16" width="12.28515625" customWidth="1"/>
    <col min="18" max="18" width="11.28515625" customWidth="1"/>
    <col min="19" max="19" width="12" customWidth="1"/>
    <col min="20" max="20" width="11.7109375" customWidth="1"/>
    <col min="22" max="22" width="12.42578125" customWidth="1"/>
    <col min="24" max="24" width="12.28515625" customWidth="1"/>
    <col min="26" max="26" width="11.28515625" customWidth="1"/>
    <col min="29" max="29" width="12.7109375" customWidth="1"/>
    <col min="74" max="97" width="11.7109375" customWidth="1"/>
  </cols>
  <sheetData>
    <row r="1" spans="1:18" x14ac:dyDescent="0.25">
      <c r="B1" s="50" t="s">
        <v>23</v>
      </c>
    </row>
    <row r="2" spans="1:18" x14ac:dyDescent="0.25">
      <c r="B2" s="50" t="str">
        <f>CONCATENATE("COMUNA: ",NOMBRE!B2, " (",NOMBRE!C2,NOMBRE!D2,NOMBRE!E2,NOMBRE!F2,NOMBRE!G2,")")</f>
        <v>COMUNA:  ()</v>
      </c>
    </row>
    <row r="3" spans="1:18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18" x14ac:dyDescent="0.25">
      <c r="B4" s="50" t="str">
        <f>CONCATENATE("MES: ",NOMBRE!B6, " (",NOMBRE!C6,NOMBRE!D6,")")</f>
        <v>MES:  ()</v>
      </c>
    </row>
    <row r="5" spans="1:18" ht="18" customHeight="1" x14ac:dyDescent="0.25">
      <c r="B5" s="2395" t="str">
        <f>CONCATENATE("AÑO: ",NOMBRE!B7)</f>
        <v>AÑO: 2025</v>
      </c>
    </row>
    <row r="6" spans="1:18" s="5068" customFormat="1" ht="18" customHeight="1" x14ac:dyDescent="0.25">
      <c r="B6" s="6807" t="s">
        <v>4394</v>
      </c>
      <c r="C6" s="6807"/>
      <c r="D6" s="6807"/>
      <c r="E6" s="6807"/>
      <c r="F6" s="6807"/>
      <c r="G6" s="6807"/>
      <c r="H6" s="6807"/>
      <c r="I6" s="6807"/>
      <c r="J6" s="6807"/>
      <c r="K6" s="6807"/>
      <c r="L6" s="6807"/>
      <c r="M6" s="6807"/>
      <c r="N6" s="6807"/>
      <c r="O6" s="6807"/>
      <c r="P6" s="6807"/>
      <c r="Q6" s="6807"/>
      <c r="R6" s="6807"/>
    </row>
    <row r="7" spans="1:18" s="5068" customFormat="1" ht="18" customHeight="1" x14ac:dyDescent="0.25">
      <c r="B7" s="6807" t="s">
        <v>3781</v>
      </c>
      <c r="C7" s="6807"/>
      <c r="D7" s="6807"/>
      <c r="E7" s="6807"/>
      <c r="F7" s="6807"/>
      <c r="G7" s="6807"/>
      <c r="H7" s="6807"/>
      <c r="I7" s="6807"/>
      <c r="J7" s="6807"/>
      <c r="K7" s="6807"/>
      <c r="L7" s="6807"/>
      <c r="M7" s="6807"/>
      <c r="N7" s="6807"/>
      <c r="O7" s="6807"/>
      <c r="P7" s="6807"/>
      <c r="Q7" s="6807"/>
      <c r="R7" s="6807"/>
    </row>
    <row r="10" spans="1:18" s="8" customFormat="1" ht="17.100000000000001" customHeight="1" x14ac:dyDescent="0.15">
      <c r="B10" s="1" t="s">
        <v>3782</v>
      </c>
    </row>
    <row r="11" spans="1:18" s="8" customFormat="1" ht="17.100000000000001" customHeight="1" x14ac:dyDescent="0.15">
      <c r="B11" s="1" t="s">
        <v>3783</v>
      </c>
      <c r="C11" s="1"/>
      <c r="D11" s="1"/>
      <c r="E11" s="1"/>
      <c r="F11" s="1"/>
    </row>
    <row r="12" spans="1:18" ht="36" customHeight="1" x14ac:dyDescent="0.25">
      <c r="B12" s="7773" t="s">
        <v>3784</v>
      </c>
      <c r="C12" s="7257" t="s">
        <v>3785</v>
      </c>
      <c r="D12" s="7746"/>
      <c r="E12" s="7746"/>
      <c r="F12" s="7759"/>
      <c r="G12" s="7688" t="s">
        <v>3786</v>
      </c>
      <c r="H12" s="7688"/>
      <c r="I12" s="7688"/>
      <c r="J12" s="7257"/>
      <c r="K12" s="7257" t="s">
        <v>3787</v>
      </c>
      <c r="L12" s="7746"/>
      <c r="M12" s="7746"/>
      <c r="N12" s="7759"/>
      <c r="O12" s="7257" t="s">
        <v>3788</v>
      </c>
      <c r="P12" s="7746"/>
      <c r="Q12" s="7746"/>
      <c r="R12" s="7759"/>
    </row>
    <row r="13" spans="1:18" x14ac:dyDescent="0.25">
      <c r="B13" s="7783"/>
      <c r="C13" s="7291" t="s">
        <v>3789</v>
      </c>
      <c r="D13" s="7727"/>
      <c r="E13" s="7291" t="s">
        <v>2391</v>
      </c>
      <c r="F13" s="7727"/>
      <c r="G13" s="7291" t="s">
        <v>3789</v>
      </c>
      <c r="H13" s="7727"/>
      <c r="I13" s="7291" t="s">
        <v>2391</v>
      </c>
      <c r="J13" s="7727"/>
      <c r="K13" s="7291" t="s">
        <v>3789</v>
      </c>
      <c r="L13" s="7727"/>
      <c r="M13" s="7291" t="s">
        <v>2391</v>
      </c>
      <c r="N13" s="7727"/>
      <c r="O13" s="7291" t="s">
        <v>3789</v>
      </c>
      <c r="P13" s="7727"/>
      <c r="Q13" s="7291" t="s">
        <v>2391</v>
      </c>
      <c r="R13" s="7727"/>
    </row>
    <row r="14" spans="1:18" x14ac:dyDescent="0.25">
      <c r="B14" s="6940"/>
      <c r="C14" s="1287" t="s">
        <v>58</v>
      </c>
      <c r="D14" s="1412" t="s">
        <v>59</v>
      </c>
      <c r="E14" s="1287" t="s">
        <v>58</v>
      </c>
      <c r="F14" s="1412" t="s">
        <v>59</v>
      </c>
      <c r="G14" s="1287" t="s">
        <v>58</v>
      </c>
      <c r="H14" s="1412" t="s">
        <v>59</v>
      </c>
      <c r="I14" s="1287" t="s">
        <v>58</v>
      </c>
      <c r="J14" s="1788" t="s">
        <v>59</v>
      </c>
      <c r="K14" s="1287" t="s">
        <v>58</v>
      </c>
      <c r="L14" s="1178" t="s">
        <v>59</v>
      </c>
      <c r="M14" s="5049" t="s">
        <v>58</v>
      </c>
      <c r="N14" s="921" t="s">
        <v>59</v>
      </c>
      <c r="O14" s="1287" t="s">
        <v>58</v>
      </c>
      <c r="P14" s="1412" t="s">
        <v>59</v>
      </c>
      <c r="Q14" s="1287" t="s">
        <v>58</v>
      </c>
      <c r="R14" s="1412" t="s">
        <v>59</v>
      </c>
    </row>
    <row r="15" spans="1:18" x14ac:dyDescent="0.25">
      <c r="A15" s="5606"/>
      <c r="B15" s="1771" t="s">
        <v>77</v>
      </c>
      <c r="C15" s="5069">
        <f t="shared" ref="C15:R15" si="0">SUM(C16:C27)</f>
        <v>0</v>
      </c>
      <c r="D15" s="5070">
        <f t="shared" si="0"/>
        <v>0</v>
      </c>
      <c r="E15" s="5069">
        <f t="shared" si="0"/>
        <v>0</v>
      </c>
      <c r="F15" s="5070">
        <f t="shared" si="0"/>
        <v>0</v>
      </c>
      <c r="G15" s="5069">
        <f t="shared" si="0"/>
        <v>0</v>
      </c>
      <c r="H15" s="5070">
        <f t="shared" si="0"/>
        <v>0</v>
      </c>
      <c r="I15" s="5069">
        <f t="shared" si="0"/>
        <v>0</v>
      </c>
      <c r="J15" s="5070">
        <f t="shared" si="0"/>
        <v>0</v>
      </c>
      <c r="K15" s="5069">
        <f t="shared" si="0"/>
        <v>0</v>
      </c>
      <c r="L15" s="5070">
        <f t="shared" si="0"/>
        <v>0</v>
      </c>
      <c r="M15" s="4940">
        <f t="shared" si="0"/>
        <v>0</v>
      </c>
      <c r="N15" s="5071">
        <f t="shared" si="0"/>
        <v>0</v>
      </c>
      <c r="O15" s="5069">
        <f t="shared" si="0"/>
        <v>0</v>
      </c>
      <c r="P15" s="5070">
        <f t="shared" si="0"/>
        <v>0</v>
      </c>
      <c r="Q15" s="5069">
        <f t="shared" si="0"/>
        <v>0</v>
      </c>
      <c r="R15" s="5070">
        <f t="shared" si="0"/>
        <v>0</v>
      </c>
    </row>
    <row r="16" spans="1:18" x14ac:dyDescent="0.25">
      <c r="A16" s="5812">
        <v>30100110</v>
      </c>
      <c r="B16" s="4877" t="s">
        <v>1219</v>
      </c>
      <c r="C16" s="1305" t="s">
        <v>4567</v>
      </c>
      <c r="D16" s="3670" t="s">
        <v>4568</v>
      </c>
      <c r="E16" s="5072" t="s">
        <v>4569</v>
      </c>
      <c r="F16" s="4898" t="s">
        <v>4570</v>
      </c>
      <c r="G16" s="1309" t="s">
        <v>4571</v>
      </c>
      <c r="H16" s="4745" t="s">
        <v>4572</v>
      </c>
      <c r="I16" s="1089" t="s">
        <v>4573</v>
      </c>
      <c r="J16" s="1092" t="s">
        <v>4574</v>
      </c>
      <c r="K16" s="1309" t="s">
        <v>4575</v>
      </c>
      <c r="L16" s="4745" t="s">
        <v>4576</v>
      </c>
      <c r="M16" s="4347" t="s">
        <v>4577</v>
      </c>
      <c r="N16" s="748" t="s">
        <v>4578</v>
      </c>
      <c r="O16" s="1309" t="s">
        <v>4579</v>
      </c>
      <c r="P16" s="4745" t="s">
        <v>4580</v>
      </c>
      <c r="Q16" s="5038" t="s">
        <v>4581</v>
      </c>
      <c r="R16" s="5036" t="s">
        <v>4582</v>
      </c>
    </row>
    <row r="17" spans="1:18" x14ac:dyDescent="0.25">
      <c r="A17" s="5812">
        <v>30100120</v>
      </c>
      <c r="B17" s="4877" t="s">
        <v>1220</v>
      </c>
      <c r="C17" s="5033" t="s">
        <v>4567</v>
      </c>
      <c r="D17" s="4898" t="s">
        <v>4568</v>
      </c>
      <c r="E17" s="197" t="s">
        <v>4569</v>
      </c>
      <c r="F17" s="4898" t="s">
        <v>4570</v>
      </c>
      <c r="G17" s="1089" t="s">
        <v>4571</v>
      </c>
      <c r="H17" s="1093" t="s">
        <v>4572</v>
      </c>
      <c r="I17" s="1089" t="s">
        <v>4573</v>
      </c>
      <c r="J17" s="1092" t="s">
        <v>4574</v>
      </c>
      <c r="K17" s="1089" t="s">
        <v>4575</v>
      </c>
      <c r="L17" s="1093" t="s">
        <v>4576</v>
      </c>
      <c r="M17" s="1091" t="s">
        <v>4577</v>
      </c>
      <c r="N17" s="1090" t="s">
        <v>4578</v>
      </c>
      <c r="O17" s="5038" t="s">
        <v>4579</v>
      </c>
      <c r="P17" s="5036" t="s">
        <v>4580</v>
      </c>
      <c r="Q17" s="5038" t="s">
        <v>4581</v>
      </c>
      <c r="R17" s="5036" t="s">
        <v>4582</v>
      </c>
    </row>
    <row r="18" spans="1:18" x14ac:dyDescent="0.25">
      <c r="A18" s="5812">
        <v>30100130</v>
      </c>
      <c r="B18" s="4877" t="s">
        <v>1222</v>
      </c>
      <c r="C18" s="1309" t="s">
        <v>4567</v>
      </c>
      <c r="D18" s="4745" t="s">
        <v>4568</v>
      </c>
      <c r="E18" s="197" t="s">
        <v>4569</v>
      </c>
      <c r="F18" s="4898" t="s">
        <v>4570</v>
      </c>
      <c r="G18" s="1309" t="s">
        <v>4571</v>
      </c>
      <c r="H18" s="4745" t="s">
        <v>4572</v>
      </c>
      <c r="I18" s="1089" t="s">
        <v>4573</v>
      </c>
      <c r="J18" s="1092" t="s">
        <v>4574</v>
      </c>
      <c r="K18" s="1309" t="s">
        <v>4575</v>
      </c>
      <c r="L18" s="4745" t="s">
        <v>4576</v>
      </c>
      <c r="M18" s="1091" t="s">
        <v>4577</v>
      </c>
      <c r="N18" s="1093" t="s">
        <v>4578</v>
      </c>
      <c r="O18" s="1309" t="s">
        <v>4579</v>
      </c>
      <c r="P18" s="4745" t="s">
        <v>4580</v>
      </c>
      <c r="Q18" s="5038" t="s">
        <v>4581</v>
      </c>
      <c r="R18" s="5036" t="s">
        <v>4582</v>
      </c>
    </row>
    <row r="19" spans="1:18" x14ac:dyDescent="0.25">
      <c r="A19" s="5812">
        <v>30100140</v>
      </c>
      <c r="B19" s="4877" t="s">
        <v>1240</v>
      </c>
      <c r="C19" s="1309" t="s">
        <v>4567</v>
      </c>
      <c r="D19" s="4745" t="s">
        <v>4568</v>
      </c>
      <c r="E19" s="197" t="s">
        <v>4569</v>
      </c>
      <c r="F19" s="4898" t="s">
        <v>4570</v>
      </c>
      <c r="G19" s="285" t="s">
        <v>4571</v>
      </c>
      <c r="H19" s="5073" t="s">
        <v>4572</v>
      </c>
      <c r="I19" s="1089" t="s">
        <v>4573</v>
      </c>
      <c r="J19" s="1092" t="s">
        <v>4574</v>
      </c>
      <c r="K19" s="285" t="s">
        <v>4575</v>
      </c>
      <c r="L19" s="5073" t="s">
        <v>4576</v>
      </c>
      <c r="M19" s="1091" t="s">
        <v>4577</v>
      </c>
      <c r="N19" s="1093" t="s">
        <v>4578</v>
      </c>
      <c r="O19" s="288" t="s">
        <v>4579</v>
      </c>
      <c r="P19" s="3726" t="s">
        <v>4580</v>
      </c>
      <c r="Q19" s="5030" t="s">
        <v>4581</v>
      </c>
      <c r="R19" s="5028" t="s">
        <v>4582</v>
      </c>
    </row>
    <row r="20" spans="1:18" x14ac:dyDescent="0.25">
      <c r="A20" s="5812">
        <v>32101679</v>
      </c>
      <c r="B20" s="4877" t="s">
        <v>3136</v>
      </c>
      <c r="C20" s="5033" t="s">
        <v>4567</v>
      </c>
      <c r="D20" s="4898" t="s">
        <v>4568</v>
      </c>
      <c r="E20" s="197" t="s">
        <v>4569</v>
      </c>
      <c r="F20" s="4898" t="s">
        <v>4570</v>
      </c>
      <c r="G20" s="47" t="s">
        <v>4571</v>
      </c>
      <c r="H20" s="95" t="s">
        <v>4572</v>
      </c>
      <c r="I20" s="1089" t="s">
        <v>4573</v>
      </c>
      <c r="J20" s="1092" t="s">
        <v>4574</v>
      </c>
      <c r="K20" s="47" t="s">
        <v>4575</v>
      </c>
      <c r="L20" s="95" t="s">
        <v>4576</v>
      </c>
      <c r="M20" s="1311" t="s">
        <v>4577</v>
      </c>
      <c r="N20" s="1093" t="s">
        <v>4578</v>
      </c>
      <c r="O20" s="5038" t="s">
        <v>4579</v>
      </c>
      <c r="P20" s="5036" t="s">
        <v>4580</v>
      </c>
      <c r="Q20" s="5030" t="s">
        <v>4581</v>
      </c>
      <c r="R20" s="5028" t="s">
        <v>4582</v>
      </c>
    </row>
    <row r="21" spans="1:18" x14ac:dyDescent="0.25">
      <c r="A21" s="5812">
        <v>32101680</v>
      </c>
      <c r="B21" s="4877" t="s">
        <v>3790</v>
      </c>
      <c r="C21" s="1309" t="s">
        <v>4567</v>
      </c>
      <c r="D21" s="4745" t="s">
        <v>4568</v>
      </c>
      <c r="E21" s="197" t="s">
        <v>4569</v>
      </c>
      <c r="F21" s="4898" t="s">
        <v>4570</v>
      </c>
      <c r="G21" s="285" t="s">
        <v>4571</v>
      </c>
      <c r="H21" s="5073" t="s">
        <v>4572</v>
      </c>
      <c r="I21" s="1089" t="s">
        <v>4573</v>
      </c>
      <c r="J21" s="1092" t="s">
        <v>4574</v>
      </c>
      <c r="K21" s="285" t="s">
        <v>4575</v>
      </c>
      <c r="L21" s="5073" t="s">
        <v>4576</v>
      </c>
      <c r="M21" s="1091" t="s">
        <v>4577</v>
      </c>
      <c r="N21" s="1093" t="s">
        <v>4578</v>
      </c>
      <c r="O21" s="288" t="s">
        <v>4579</v>
      </c>
      <c r="P21" s="3726" t="s">
        <v>4580</v>
      </c>
      <c r="Q21" s="5030" t="s">
        <v>4581</v>
      </c>
      <c r="R21" s="5028" t="s">
        <v>4582</v>
      </c>
    </row>
    <row r="22" spans="1:18" x14ac:dyDescent="0.25">
      <c r="A22" s="5812">
        <v>32101681</v>
      </c>
      <c r="B22" s="2636" t="s">
        <v>3791</v>
      </c>
      <c r="C22" s="1309" t="s">
        <v>4567</v>
      </c>
      <c r="D22" s="4745" t="s">
        <v>4568</v>
      </c>
      <c r="E22" s="197" t="s">
        <v>4569</v>
      </c>
      <c r="F22" s="4898" t="s">
        <v>4570</v>
      </c>
      <c r="G22" s="285" t="s">
        <v>4571</v>
      </c>
      <c r="H22" s="5073" t="s">
        <v>4572</v>
      </c>
      <c r="I22" s="1089" t="s">
        <v>4573</v>
      </c>
      <c r="J22" s="1092" t="s">
        <v>4574</v>
      </c>
      <c r="K22" s="285" t="s">
        <v>4575</v>
      </c>
      <c r="L22" s="5073" t="s">
        <v>4576</v>
      </c>
      <c r="M22" s="1091" t="s">
        <v>4577</v>
      </c>
      <c r="N22" s="1090" t="s">
        <v>4578</v>
      </c>
      <c r="O22" s="288" t="s">
        <v>4579</v>
      </c>
      <c r="P22" s="3726" t="s">
        <v>4580</v>
      </c>
      <c r="Q22" s="5030" t="s">
        <v>4581</v>
      </c>
      <c r="R22" s="5028" t="s">
        <v>4582</v>
      </c>
    </row>
    <row r="23" spans="1:18" x14ac:dyDescent="0.25">
      <c r="A23" s="5812">
        <v>32101682</v>
      </c>
      <c r="B23" s="2636" t="s">
        <v>3792</v>
      </c>
      <c r="C23" s="5033" t="s">
        <v>4567</v>
      </c>
      <c r="D23" s="4898" t="s">
        <v>4568</v>
      </c>
      <c r="E23" s="5033" t="s">
        <v>4569</v>
      </c>
      <c r="F23" s="4898" t="s">
        <v>4570</v>
      </c>
      <c r="G23" s="1089" t="s">
        <v>4571</v>
      </c>
      <c r="H23" s="1093" t="s">
        <v>4572</v>
      </c>
      <c r="I23" s="1089" t="s">
        <v>4573</v>
      </c>
      <c r="J23" s="1092" t="s">
        <v>4574</v>
      </c>
      <c r="K23" s="1089" t="s">
        <v>4575</v>
      </c>
      <c r="L23" s="1093" t="s">
        <v>4576</v>
      </c>
      <c r="M23" s="1091" t="s">
        <v>4577</v>
      </c>
      <c r="N23" s="1093" t="s">
        <v>4578</v>
      </c>
      <c r="O23" s="5030" t="s">
        <v>4579</v>
      </c>
      <c r="P23" s="5028" t="s">
        <v>4580</v>
      </c>
      <c r="Q23" s="5030" t="s">
        <v>4581</v>
      </c>
      <c r="R23" s="5028" t="s">
        <v>4582</v>
      </c>
    </row>
    <row r="24" spans="1:18" x14ac:dyDescent="0.25">
      <c r="A24" s="5812">
        <v>32101683</v>
      </c>
      <c r="B24" s="4877" t="s">
        <v>3793</v>
      </c>
      <c r="C24" s="5033" t="s">
        <v>4567</v>
      </c>
      <c r="D24" s="4898" t="s">
        <v>4568</v>
      </c>
      <c r="E24" s="5033" t="s">
        <v>4569</v>
      </c>
      <c r="F24" s="4898" t="s">
        <v>4570</v>
      </c>
      <c r="G24" s="1089" t="s">
        <v>4571</v>
      </c>
      <c r="H24" s="1093" t="s">
        <v>4572</v>
      </c>
      <c r="I24" s="5074" t="s">
        <v>4573</v>
      </c>
      <c r="J24" s="5075" t="s">
        <v>4574</v>
      </c>
      <c r="K24" s="5074" t="s">
        <v>4575</v>
      </c>
      <c r="L24" s="5075" t="s">
        <v>4576</v>
      </c>
      <c r="M24" s="5074" t="s">
        <v>4577</v>
      </c>
      <c r="N24" s="5075" t="s">
        <v>4578</v>
      </c>
      <c r="O24" s="5030" t="s">
        <v>4579</v>
      </c>
      <c r="P24" s="5028" t="s">
        <v>4580</v>
      </c>
      <c r="Q24" s="5076" t="s">
        <v>4581</v>
      </c>
      <c r="R24" s="5077" t="s">
        <v>4582</v>
      </c>
    </row>
    <row r="25" spans="1:18" x14ac:dyDescent="0.25">
      <c r="A25" s="5813">
        <v>30100400</v>
      </c>
      <c r="B25" s="2636" t="s">
        <v>3794</v>
      </c>
      <c r="C25" s="1309" t="s">
        <v>4567</v>
      </c>
      <c r="D25" s="4745" t="s">
        <v>4568</v>
      </c>
      <c r="E25" s="5033" t="s">
        <v>4569</v>
      </c>
      <c r="F25" s="4898" t="s">
        <v>4570</v>
      </c>
      <c r="G25" s="313" t="s">
        <v>4571</v>
      </c>
      <c r="H25" s="5078" t="s">
        <v>4572</v>
      </c>
      <c r="I25" s="5079" t="s">
        <v>4573</v>
      </c>
      <c r="J25" s="5080" t="s">
        <v>4574</v>
      </c>
      <c r="K25" s="313" t="s">
        <v>4575</v>
      </c>
      <c r="L25" s="5078" t="s">
        <v>4576</v>
      </c>
      <c r="M25" s="5079" t="s">
        <v>4577</v>
      </c>
      <c r="N25" s="5080" t="s">
        <v>4578</v>
      </c>
      <c r="O25" s="313" t="s">
        <v>4579</v>
      </c>
      <c r="P25" s="5078" t="s">
        <v>4580</v>
      </c>
      <c r="Q25" s="5081" t="s">
        <v>4581</v>
      </c>
      <c r="R25" s="5028" t="s">
        <v>4582</v>
      </c>
    </row>
    <row r="26" spans="1:18" x14ac:dyDescent="0.25">
      <c r="A26" s="5813">
        <v>30100401</v>
      </c>
      <c r="B26" s="2636" t="s">
        <v>2395</v>
      </c>
      <c r="C26" s="1309" t="s">
        <v>4567</v>
      </c>
      <c r="D26" s="4745" t="s">
        <v>4568</v>
      </c>
      <c r="E26" s="197" t="s">
        <v>4569</v>
      </c>
      <c r="F26" s="4898" t="s">
        <v>4570</v>
      </c>
      <c r="G26" s="285" t="s">
        <v>4571</v>
      </c>
      <c r="H26" s="5073" t="s">
        <v>4572</v>
      </c>
      <c r="I26" s="5082" t="s">
        <v>4573</v>
      </c>
      <c r="J26" s="5083" t="s">
        <v>4574</v>
      </c>
      <c r="K26" s="285" t="s">
        <v>4575</v>
      </c>
      <c r="L26" s="5073" t="s">
        <v>4576</v>
      </c>
      <c r="M26" s="5082" t="s">
        <v>4577</v>
      </c>
      <c r="N26" s="5083" t="s">
        <v>4578</v>
      </c>
      <c r="O26" s="285" t="s">
        <v>4579</v>
      </c>
      <c r="P26" s="5073" t="s">
        <v>4580</v>
      </c>
      <c r="Q26" s="5081" t="s">
        <v>4581</v>
      </c>
      <c r="R26" s="5084" t="s">
        <v>4582</v>
      </c>
    </row>
    <row r="27" spans="1:18" x14ac:dyDescent="0.25">
      <c r="A27" s="5813">
        <v>30100402</v>
      </c>
      <c r="B27" s="2636" t="s">
        <v>3795</v>
      </c>
      <c r="C27" s="197" t="s">
        <v>4567</v>
      </c>
      <c r="D27" s="577" t="s">
        <v>4568</v>
      </c>
      <c r="E27" s="197" t="s">
        <v>4569</v>
      </c>
      <c r="F27" s="577" t="s">
        <v>4570</v>
      </c>
      <c r="G27" s="5074" t="s">
        <v>4571</v>
      </c>
      <c r="H27" s="5085" t="s">
        <v>4572</v>
      </c>
      <c r="I27" s="5086" t="s">
        <v>4573</v>
      </c>
      <c r="J27" s="5085" t="s">
        <v>4574</v>
      </c>
      <c r="K27" s="5086" t="s">
        <v>4575</v>
      </c>
      <c r="L27" s="5085" t="s">
        <v>4576</v>
      </c>
      <c r="M27" s="5086" t="s">
        <v>4577</v>
      </c>
      <c r="N27" s="5085" t="s">
        <v>4578</v>
      </c>
      <c r="O27" s="5087" t="s">
        <v>4579</v>
      </c>
      <c r="P27" s="5088" t="s">
        <v>4580</v>
      </c>
      <c r="Q27" s="5087" t="s">
        <v>4581</v>
      </c>
      <c r="R27" s="5088" t="s">
        <v>4582</v>
      </c>
    </row>
    <row r="28" spans="1:18" s="6" customFormat="1" ht="18" customHeight="1" x14ac:dyDescent="0.2">
      <c r="B28" s="7784" t="s">
        <v>3796</v>
      </c>
      <c r="C28" s="7785"/>
      <c r="D28" s="7785"/>
      <c r="E28" s="7785"/>
      <c r="F28" s="7785"/>
      <c r="G28" s="7785"/>
      <c r="H28" s="903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t="24.75" customHeight="1" x14ac:dyDescent="0.25">
      <c r="B29" s="7671" t="s">
        <v>3784</v>
      </c>
      <c r="C29" s="7688" t="s">
        <v>3797</v>
      </c>
      <c r="D29" s="7688"/>
      <c r="E29" s="7688"/>
      <c r="F29" s="7688"/>
      <c r="G29" s="7688" t="s">
        <v>3798</v>
      </c>
      <c r="H29" s="7688"/>
      <c r="I29" s="7688"/>
      <c r="J29" s="7688"/>
      <c r="K29" s="7688" t="s">
        <v>3799</v>
      </c>
      <c r="L29" s="7688"/>
      <c r="M29" s="7688"/>
      <c r="N29" s="7688"/>
      <c r="O29" s="7257" t="s">
        <v>3800</v>
      </c>
      <c r="P29" s="7746"/>
      <c r="Q29" s="7746"/>
      <c r="R29" s="7759"/>
    </row>
    <row r="30" spans="1:18" x14ac:dyDescent="0.25">
      <c r="B30" s="6119"/>
      <c r="C30" s="7291" t="s">
        <v>3789</v>
      </c>
      <c r="D30" s="7727"/>
      <c r="E30" s="7291" t="s">
        <v>2391</v>
      </c>
      <c r="F30" s="7727"/>
      <c r="G30" s="7291" t="s">
        <v>3789</v>
      </c>
      <c r="H30" s="7727"/>
      <c r="I30" s="7291" t="s">
        <v>2391</v>
      </c>
      <c r="J30" s="7727"/>
      <c r="K30" s="7291" t="s">
        <v>3789</v>
      </c>
      <c r="L30" s="7727"/>
      <c r="M30" s="7291" t="s">
        <v>2391</v>
      </c>
      <c r="N30" s="7727"/>
      <c r="O30" s="7291" t="s">
        <v>3789</v>
      </c>
      <c r="P30" s="7727"/>
      <c r="Q30" s="7291" t="s">
        <v>2391</v>
      </c>
      <c r="R30" s="7727"/>
    </row>
    <row r="31" spans="1:18" x14ac:dyDescent="0.25">
      <c r="B31" s="6739"/>
      <c r="C31" s="1287" t="s">
        <v>58</v>
      </c>
      <c r="D31" s="1412" t="s">
        <v>59</v>
      </c>
      <c r="E31" s="1287" t="s">
        <v>58</v>
      </c>
      <c r="F31" s="1412" t="s">
        <v>59</v>
      </c>
      <c r="G31" s="1287" t="s">
        <v>58</v>
      </c>
      <c r="H31" s="1412" t="s">
        <v>59</v>
      </c>
      <c r="I31" s="1287" t="s">
        <v>58</v>
      </c>
      <c r="J31" s="1412" t="s">
        <v>59</v>
      </c>
      <c r="K31" s="1287" t="s">
        <v>58</v>
      </c>
      <c r="L31" s="1412" t="s">
        <v>59</v>
      </c>
      <c r="M31" s="1287" t="s">
        <v>58</v>
      </c>
      <c r="N31" s="1412" t="s">
        <v>59</v>
      </c>
      <c r="O31" s="1287" t="s">
        <v>58</v>
      </c>
      <c r="P31" s="1412" t="s">
        <v>59</v>
      </c>
      <c r="Q31" s="1287" t="s">
        <v>58</v>
      </c>
      <c r="R31" s="1412" t="s">
        <v>59</v>
      </c>
    </row>
    <row r="32" spans="1:18" x14ac:dyDescent="0.25">
      <c r="A32" s="5606"/>
      <c r="B32" s="1285" t="s">
        <v>77</v>
      </c>
      <c r="C32" s="4940" t="e">
        <f>SUM(C33+C36+C38+C39+C40)</f>
        <v>#VALUE!</v>
      </c>
      <c r="D32" s="5089" t="e">
        <f>SUM(D33+D36+D38+D39+D40)</f>
        <v>#VALUE!</v>
      </c>
      <c r="E32" s="4940">
        <f>SUM(E33:E40)</f>
        <v>0</v>
      </c>
      <c r="F32" s="5089">
        <f>SUM(F33:F40)</f>
        <v>0</v>
      </c>
      <c r="G32" s="4940" t="e">
        <f>SUM(G33+G36+G38+G39+G40+G41+G42+G43)</f>
        <v>#VALUE!</v>
      </c>
      <c r="H32" s="5071" t="e">
        <f>SUM(H33+H36+H38+H39+H40+H41+H42+H43)</f>
        <v>#VALUE!</v>
      </c>
      <c r="I32" s="4940">
        <f>SUM(I33:I43)</f>
        <v>0</v>
      </c>
      <c r="J32" s="5071">
        <f>SUM(J33:J43)</f>
        <v>0</v>
      </c>
      <c r="K32" s="4940" t="e">
        <f>SUM(K33+K36+K38+K39+K40+K41+K42+K43)</f>
        <v>#VALUE!</v>
      </c>
      <c r="L32" s="5071" t="e">
        <f>SUM(L33+L36+L38+L39+L40+L41+L42+L43)</f>
        <v>#VALUE!</v>
      </c>
      <c r="M32" s="4940">
        <f>SUM(M33:M43)</f>
        <v>0</v>
      </c>
      <c r="N32" s="5071">
        <f>SUM(N33:N43)</f>
        <v>0</v>
      </c>
      <c r="O32" s="4940" t="e">
        <f>SUM(O33+O36+O38+O39+O40+O41+O42+O43)</f>
        <v>#VALUE!</v>
      </c>
      <c r="P32" s="5071" t="e">
        <f>SUM(P33+P36+P38+P39+P40+P41+P42+P43)</f>
        <v>#VALUE!</v>
      </c>
      <c r="Q32" s="4940">
        <f>SUM(Q33:Q43)</f>
        <v>0</v>
      </c>
      <c r="R32" s="5089">
        <f>SUM(R33:R43)</f>
        <v>0</v>
      </c>
    </row>
    <row r="33" spans="1:22" x14ac:dyDescent="0.25">
      <c r="A33" s="5818">
        <v>32101684</v>
      </c>
      <c r="B33" s="4922" t="s">
        <v>1220</v>
      </c>
      <c r="C33" s="5090" t="s">
        <v>4567</v>
      </c>
      <c r="D33" s="5091" t="s">
        <v>4568</v>
      </c>
      <c r="E33" s="5090" t="s">
        <v>4569</v>
      </c>
      <c r="F33" s="5091" t="s">
        <v>4570</v>
      </c>
      <c r="G33" s="1081" t="s">
        <v>4571</v>
      </c>
      <c r="H33" s="748" t="s">
        <v>4572</v>
      </c>
      <c r="I33" s="1081" t="s">
        <v>4573</v>
      </c>
      <c r="J33" s="748" t="s">
        <v>4574</v>
      </c>
      <c r="K33" s="1081" t="s">
        <v>4575</v>
      </c>
      <c r="L33" s="748" t="s">
        <v>4576</v>
      </c>
      <c r="M33" s="1081" t="s">
        <v>4577</v>
      </c>
      <c r="N33" s="748" t="s">
        <v>4578</v>
      </c>
      <c r="O33" s="5025" t="s">
        <v>4579</v>
      </c>
      <c r="P33" s="5023" t="s">
        <v>4580</v>
      </c>
      <c r="Q33" s="5025" t="s">
        <v>4581</v>
      </c>
      <c r="R33" s="5023" t="s">
        <v>4582</v>
      </c>
    </row>
    <row r="34" spans="1:22" x14ac:dyDescent="0.25">
      <c r="A34" s="5818">
        <v>32101685</v>
      </c>
      <c r="B34" s="4877" t="s">
        <v>1431</v>
      </c>
      <c r="C34" s="1309" t="s">
        <v>4567</v>
      </c>
      <c r="D34" s="4745" t="s">
        <v>4568</v>
      </c>
      <c r="E34" s="5092" t="s">
        <v>4569</v>
      </c>
      <c r="F34" s="5093" t="s">
        <v>4570</v>
      </c>
      <c r="G34" s="1309" t="s">
        <v>4571</v>
      </c>
      <c r="H34" s="4745" t="s">
        <v>4572</v>
      </c>
      <c r="I34" s="1089" t="s">
        <v>4573</v>
      </c>
      <c r="J34" s="1093" t="s">
        <v>4574</v>
      </c>
      <c r="K34" s="1309" t="s">
        <v>4575</v>
      </c>
      <c r="L34" s="4745" t="s">
        <v>4576</v>
      </c>
      <c r="M34" s="1089" t="s">
        <v>4577</v>
      </c>
      <c r="N34" s="1093" t="s">
        <v>4578</v>
      </c>
      <c r="O34" s="1309" t="s">
        <v>4579</v>
      </c>
      <c r="P34" s="4745" t="s">
        <v>4580</v>
      </c>
      <c r="Q34" s="5038" t="s">
        <v>4581</v>
      </c>
      <c r="R34" s="5036" t="s">
        <v>4582</v>
      </c>
    </row>
    <row r="35" spans="1:22" x14ac:dyDescent="0.25">
      <c r="A35" s="5818">
        <v>32101686</v>
      </c>
      <c r="B35" s="4877" t="s">
        <v>3136</v>
      </c>
      <c r="C35" s="5092" t="s">
        <v>4567</v>
      </c>
      <c r="D35" s="5093" t="s">
        <v>4568</v>
      </c>
      <c r="E35" s="5092" t="s">
        <v>4569</v>
      </c>
      <c r="F35" s="5093" t="s">
        <v>4570</v>
      </c>
      <c r="G35" s="1089" t="s">
        <v>4571</v>
      </c>
      <c r="H35" s="1093" t="s">
        <v>4572</v>
      </c>
      <c r="I35" s="1089" t="s">
        <v>4573</v>
      </c>
      <c r="J35" s="1093" t="s">
        <v>4574</v>
      </c>
      <c r="K35" s="1309" t="s">
        <v>4575</v>
      </c>
      <c r="L35" s="4745" t="s">
        <v>4576</v>
      </c>
      <c r="M35" s="1089" t="s">
        <v>4577</v>
      </c>
      <c r="N35" s="1093" t="s">
        <v>4578</v>
      </c>
      <c r="O35" s="1309" t="s">
        <v>4579</v>
      </c>
      <c r="P35" s="4745" t="s">
        <v>4580</v>
      </c>
      <c r="Q35" s="5038" t="s">
        <v>4581</v>
      </c>
      <c r="R35" s="5036" t="s">
        <v>4582</v>
      </c>
    </row>
    <row r="36" spans="1:22" x14ac:dyDescent="0.25">
      <c r="A36" s="5818">
        <v>32101687</v>
      </c>
      <c r="B36" s="4877" t="s">
        <v>1238</v>
      </c>
      <c r="C36" s="5092" t="s">
        <v>4567</v>
      </c>
      <c r="D36" s="5093" t="s">
        <v>4568</v>
      </c>
      <c r="E36" s="5092" t="s">
        <v>4569</v>
      </c>
      <c r="F36" s="5093" t="s">
        <v>4570</v>
      </c>
      <c r="G36" s="1089" t="s">
        <v>4571</v>
      </c>
      <c r="H36" s="1093" t="s">
        <v>4572</v>
      </c>
      <c r="I36" s="1089" t="s">
        <v>4573</v>
      </c>
      <c r="J36" s="1093" t="s">
        <v>4574</v>
      </c>
      <c r="K36" s="1089" t="s">
        <v>4575</v>
      </c>
      <c r="L36" s="1093" t="s">
        <v>4576</v>
      </c>
      <c r="M36" s="1089" t="s">
        <v>4577</v>
      </c>
      <c r="N36" s="1093" t="s">
        <v>4578</v>
      </c>
      <c r="O36" s="5038" t="s">
        <v>4579</v>
      </c>
      <c r="P36" s="5036" t="s">
        <v>4580</v>
      </c>
      <c r="Q36" s="5038" t="s">
        <v>4581</v>
      </c>
      <c r="R36" s="5036" t="s">
        <v>4582</v>
      </c>
    </row>
    <row r="37" spans="1:22" x14ac:dyDescent="0.25">
      <c r="A37" s="5818">
        <v>32101688</v>
      </c>
      <c r="B37" s="4877" t="s">
        <v>1209</v>
      </c>
      <c r="C37" s="1309" t="s">
        <v>4567</v>
      </c>
      <c r="D37" s="4745" t="s">
        <v>4568</v>
      </c>
      <c r="E37" s="5092" t="s">
        <v>4569</v>
      </c>
      <c r="F37" s="5093" t="s">
        <v>4570</v>
      </c>
      <c r="G37" s="1309" t="s">
        <v>4571</v>
      </c>
      <c r="H37" s="4745" t="s">
        <v>4572</v>
      </c>
      <c r="I37" s="1089" t="s">
        <v>4573</v>
      </c>
      <c r="J37" s="1093" t="s">
        <v>4574</v>
      </c>
      <c r="K37" s="1309" t="s">
        <v>4575</v>
      </c>
      <c r="L37" s="4745" t="s">
        <v>4576</v>
      </c>
      <c r="M37" s="1089" t="s">
        <v>4577</v>
      </c>
      <c r="N37" s="1093" t="s">
        <v>4578</v>
      </c>
      <c r="O37" s="1309" t="s">
        <v>4579</v>
      </c>
      <c r="P37" s="4745" t="s">
        <v>4580</v>
      </c>
      <c r="Q37" s="5038" t="s">
        <v>4581</v>
      </c>
      <c r="R37" s="5036" t="s">
        <v>4582</v>
      </c>
    </row>
    <row r="38" spans="1:22" x14ac:dyDescent="0.25">
      <c r="A38" s="5818">
        <v>32101689</v>
      </c>
      <c r="B38" s="4877" t="s">
        <v>3801</v>
      </c>
      <c r="C38" s="5092" t="s">
        <v>4567</v>
      </c>
      <c r="D38" s="5093" t="s">
        <v>4568</v>
      </c>
      <c r="E38" s="5092" t="s">
        <v>4569</v>
      </c>
      <c r="F38" s="5093" t="s">
        <v>4570</v>
      </c>
      <c r="G38" s="47" t="s">
        <v>4571</v>
      </c>
      <c r="H38" s="95" t="s">
        <v>4572</v>
      </c>
      <c r="I38" s="47" t="s">
        <v>4573</v>
      </c>
      <c r="J38" s="95" t="s">
        <v>4574</v>
      </c>
      <c r="K38" s="47" t="s">
        <v>4575</v>
      </c>
      <c r="L38" s="95" t="s">
        <v>4576</v>
      </c>
      <c r="M38" s="47" t="s">
        <v>4577</v>
      </c>
      <c r="N38" s="95" t="s">
        <v>4578</v>
      </c>
      <c r="O38" s="5030" t="s">
        <v>4579</v>
      </c>
      <c r="P38" s="5036" t="s">
        <v>4580</v>
      </c>
      <c r="Q38" s="5038" t="s">
        <v>4581</v>
      </c>
      <c r="R38" s="5028" t="s">
        <v>4582</v>
      </c>
    </row>
    <row r="39" spans="1:22" x14ac:dyDescent="0.25">
      <c r="A39" s="5818">
        <v>32101690</v>
      </c>
      <c r="B39" s="4877" t="s">
        <v>3793</v>
      </c>
      <c r="C39" s="5092" t="s">
        <v>4567</v>
      </c>
      <c r="D39" s="5093" t="s">
        <v>4568</v>
      </c>
      <c r="E39" s="5092" t="s">
        <v>4569</v>
      </c>
      <c r="F39" s="5093" t="s">
        <v>4570</v>
      </c>
      <c r="G39" s="192" t="s">
        <v>4571</v>
      </c>
      <c r="H39" s="382" t="s">
        <v>4572</v>
      </c>
      <c r="I39" s="192" t="s">
        <v>4573</v>
      </c>
      <c r="J39" s="382" t="s">
        <v>4574</v>
      </c>
      <c r="K39" s="192" t="s">
        <v>4575</v>
      </c>
      <c r="L39" s="382" t="s">
        <v>4576</v>
      </c>
      <c r="M39" s="192" t="s">
        <v>4577</v>
      </c>
      <c r="N39" s="382" t="s">
        <v>4578</v>
      </c>
      <c r="O39" s="5030" t="s">
        <v>4579</v>
      </c>
      <c r="P39" s="5036" t="s">
        <v>4580</v>
      </c>
      <c r="Q39" s="5038" t="s">
        <v>4581</v>
      </c>
      <c r="R39" s="5036" t="s">
        <v>4582</v>
      </c>
    </row>
    <row r="40" spans="1:22" x14ac:dyDescent="0.25">
      <c r="A40" s="5818">
        <v>32101691</v>
      </c>
      <c r="B40" s="4877" t="s">
        <v>2395</v>
      </c>
      <c r="C40" s="5092" t="s">
        <v>4567</v>
      </c>
      <c r="D40" s="5093" t="s">
        <v>4568</v>
      </c>
      <c r="E40" s="5092" t="s">
        <v>4569</v>
      </c>
      <c r="F40" s="5093" t="s">
        <v>4570</v>
      </c>
      <c r="G40" s="192" t="s">
        <v>4571</v>
      </c>
      <c r="H40" s="382" t="s">
        <v>4572</v>
      </c>
      <c r="I40" s="192" t="s">
        <v>4573</v>
      </c>
      <c r="J40" s="382" t="s">
        <v>4574</v>
      </c>
      <c r="K40" s="192" t="s">
        <v>4575</v>
      </c>
      <c r="L40" s="382" t="s">
        <v>4576</v>
      </c>
      <c r="M40" s="192" t="s">
        <v>4577</v>
      </c>
      <c r="N40" s="382" t="s">
        <v>4578</v>
      </c>
      <c r="O40" s="5030" t="s">
        <v>4579</v>
      </c>
      <c r="P40" s="5036" t="s">
        <v>4580</v>
      </c>
      <c r="Q40" s="5094" t="s">
        <v>4581</v>
      </c>
      <c r="R40" s="5036" t="s">
        <v>4582</v>
      </c>
    </row>
    <row r="41" spans="1:22" x14ac:dyDescent="0.25">
      <c r="A41" s="5823">
        <v>30100403</v>
      </c>
      <c r="B41" s="4877" t="s">
        <v>1434</v>
      </c>
      <c r="C41" s="5092" t="s">
        <v>4567</v>
      </c>
      <c r="D41" s="5093" t="s">
        <v>4568</v>
      </c>
      <c r="E41" s="5092" t="s">
        <v>4569</v>
      </c>
      <c r="F41" s="5093" t="s">
        <v>4570</v>
      </c>
      <c r="G41" s="192" t="s">
        <v>4571</v>
      </c>
      <c r="H41" s="2" t="s">
        <v>4572</v>
      </c>
      <c r="I41" s="192" t="s">
        <v>4573</v>
      </c>
      <c r="J41" s="382" t="s">
        <v>4574</v>
      </c>
      <c r="K41" s="481" t="s">
        <v>4575</v>
      </c>
      <c r="L41" s="382" t="s">
        <v>4576</v>
      </c>
      <c r="M41" s="192" t="s">
        <v>4577</v>
      </c>
      <c r="N41" s="382" t="s">
        <v>4578</v>
      </c>
      <c r="O41" s="5029" t="s">
        <v>4579</v>
      </c>
      <c r="P41" s="5036" t="s">
        <v>4580</v>
      </c>
      <c r="Q41" s="5038" t="s">
        <v>4581</v>
      </c>
      <c r="R41" s="5036" t="s">
        <v>4582</v>
      </c>
    </row>
    <row r="42" spans="1:22" x14ac:dyDescent="0.25">
      <c r="A42" s="5823">
        <v>30100404</v>
      </c>
      <c r="B42" s="4877" t="s">
        <v>3791</v>
      </c>
      <c r="C42" s="5092" t="s">
        <v>4567</v>
      </c>
      <c r="D42" s="5093" t="s">
        <v>4568</v>
      </c>
      <c r="E42" s="5092" t="s">
        <v>4569</v>
      </c>
      <c r="F42" s="5093" t="s">
        <v>4570</v>
      </c>
      <c r="G42" s="1089" t="s">
        <v>4571</v>
      </c>
      <c r="H42" s="1090" t="s">
        <v>4572</v>
      </c>
      <c r="I42" s="1089" t="s">
        <v>4573</v>
      </c>
      <c r="J42" s="1093" t="s">
        <v>4574</v>
      </c>
      <c r="K42" s="1091" t="s">
        <v>4575</v>
      </c>
      <c r="L42" s="1093" t="s">
        <v>4576</v>
      </c>
      <c r="M42" s="1089" t="s">
        <v>4577</v>
      </c>
      <c r="N42" s="1093" t="s">
        <v>4578</v>
      </c>
      <c r="O42" s="5029" t="s">
        <v>4579</v>
      </c>
      <c r="P42" s="5036" t="s">
        <v>4580</v>
      </c>
      <c r="Q42" s="5094" t="s">
        <v>4581</v>
      </c>
      <c r="R42" s="5036" t="s">
        <v>4582</v>
      </c>
    </row>
    <row r="43" spans="1:22" x14ac:dyDescent="0.25">
      <c r="A43" s="5823">
        <v>30100405</v>
      </c>
      <c r="B43" s="4439" t="s">
        <v>3802</v>
      </c>
      <c r="C43" s="5095" t="s">
        <v>4567</v>
      </c>
      <c r="D43" s="5096" t="s">
        <v>4568</v>
      </c>
      <c r="E43" s="5095" t="s">
        <v>4569</v>
      </c>
      <c r="F43" s="5096" t="s">
        <v>4570</v>
      </c>
      <c r="G43" s="1264" t="s">
        <v>4571</v>
      </c>
      <c r="H43" s="1447" t="s">
        <v>4572</v>
      </c>
      <c r="I43" s="1264" t="s">
        <v>4573</v>
      </c>
      <c r="J43" s="310" t="s">
        <v>4574</v>
      </c>
      <c r="K43" s="4957" t="s">
        <v>4575</v>
      </c>
      <c r="L43" s="310" t="s">
        <v>4576</v>
      </c>
      <c r="M43" s="1264" t="s">
        <v>4577</v>
      </c>
      <c r="N43" s="310" t="s">
        <v>4578</v>
      </c>
      <c r="O43" s="5097" t="s">
        <v>4579</v>
      </c>
      <c r="P43" s="5098" t="s">
        <v>4580</v>
      </c>
      <c r="Q43" s="5043" t="s">
        <v>4581</v>
      </c>
      <c r="R43" s="5041" t="s">
        <v>4582</v>
      </c>
    </row>
    <row r="44" spans="1:22" s="6" customFormat="1" ht="17.100000000000001" customHeight="1" x14ac:dyDescent="0.2">
      <c r="B44" s="15" t="s">
        <v>3803</v>
      </c>
      <c r="C44" s="4"/>
      <c r="D44" s="4"/>
      <c r="E44" s="4"/>
      <c r="F44" s="4"/>
      <c r="G44" s="8"/>
      <c r="H44" s="8"/>
      <c r="I44" s="8"/>
      <c r="J44" s="8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</row>
    <row r="45" spans="1:22" ht="22.5" customHeight="1" x14ac:dyDescent="0.25">
      <c r="B45" s="7782" t="s">
        <v>3804</v>
      </c>
      <c r="C45" s="7688" t="s">
        <v>3805</v>
      </c>
      <c r="D45" s="7688"/>
      <c r="E45" s="7688"/>
      <c r="F45" s="7688"/>
      <c r="G45" s="7688" t="s">
        <v>3806</v>
      </c>
      <c r="H45" s="7688"/>
      <c r="I45" s="7688"/>
      <c r="J45" s="7688"/>
      <c r="K45" s="7688" t="s">
        <v>4395</v>
      </c>
      <c r="L45" s="7688"/>
      <c r="M45" s="7688"/>
      <c r="N45" s="7257"/>
      <c r="O45" s="7688" t="s">
        <v>3807</v>
      </c>
      <c r="P45" s="7688"/>
      <c r="Q45" s="7688"/>
      <c r="R45" s="7688"/>
      <c r="S45" s="7759" t="s">
        <v>3808</v>
      </c>
      <c r="T45" s="7688"/>
      <c r="U45" s="7688"/>
      <c r="V45" s="7688"/>
    </row>
    <row r="46" spans="1:22" x14ac:dyDescent="0.25">
      <c r="B46" s="7782"/>
      <c r="C46" s="7291" t="s">
        <v>3789</v>
      </c>
      <c r="D46" s="7727"/>
      <c r="E46" s="7291" t="s">
        <v>2391</v>
      </c>
      <c r="F46" s="7727"/>
      <c r="G46" s="7291" t="s">
        <v>3789</v>
      </c>
      <c r="H46" s="7727"/>
      <c r="I46" s="7291" t="s">
        <v>2391</v>
      </c>
      <c r="J46" s="7727"/>
      <c r="K46" s="7291" t="s">
        <v>3789</v>
      </c>
      <c r="L46" s="7727"/>
      <c r="M46" s="7291" t="s">
        <v>2391</v>
      </c>
      <c r="N46" s="7727"/>
      <c r="O46" s="7291" t="s">
        <v>3789</v>
      </c>
      <c r="P46" s="7727"/>
      <c r="Q46" s="7291" t="s">
        <v>2391</v>
      </c>
      <c r="R46" s="7727"/>
      <c r="S46" s="7291" t="s">
        <v>3789</v>
      </c>
      <c r="T46" s="7727"/>
      <c r="U46" s="7291" t="s">
        <v>2391</v>
      </c>
      <c r="V46" s="7727"/>
    </row>
    <row r="47" spans="1:22" x14ac:dyDescent="0.25">
      <c r="B47" s="7782"/>
      <c r="C47" s="1287" t="s">
        <v>58</v>
      </c>
      <c r="D47" s="1412" t="s">
        <v>59</v>
      </c>
      <c r="E47" s="1287" t="s">
        <v>58</v>
      </c>
      <c r="F47" s="1412" t="s">
        <v>59</v>
      </c>
      <c r="G47" s="1287" t="s">
        <v>58</v>
      </c>
      <c r="H47" s="1412" t="s">
        <v>59</v>
      </c>
      <c r="I47" s="1287" t="s">
        <v>58</v>
      </c>
      <c r="J47" s="1412" t="s">
        <v>59</v>
      </c>
      <c r="K47" s="1287" t="s">
        <v>58</v>
      </c>
      <c r="L47" s="1412" t="s">
        <v>59</v>
      </c>
      <c r="M47" s="1287" t="s">
        <v>58</v>
      </c>
      <c r="N47" s="1788" t="s">
        <v>59</v>
      </c>
      <c r="O47" s="1287" t="s">
        <v>58</v>
      </c>
      <c r="P47" s="1412" t="s">
        <v>59</v>
      </c>
      <c r="Q47" s="1287" t="s">
        <v>58</v>
      </c>
      <c r="R47" s="1412" t="s">
        <v>59</v>
      </c>
      <c r="S47" s="1068" t="s">
        <v>58</v>
      </c>
      <c r="T47" s="1412" t="s">
        <v>59</v>
      </c>
      <c r="U47" s="1287" t="s">
        <v>58</v>
      </c>
      <c r="V47" s="1412" t="s">
        <v>59</v>
      </c>
    </row>
    <row r="48" spans="1:22" x14ac:dyDescent="0.25">
      <c r="A48" s="5606"/>
      <c r="B48" s="5099" t="s">
        <v>77</v>
      </c>
      <c r="C48" s="4891">
        <f t="shared" ref="C48:N48" si="1">SUM(C49:C52)</f>
        <v>0</v>
      </c>
      <c r="D48" s="5065">
        <f t="shared" si="1"/>
        <v>0</v>
      </c>
      <c r="E48" s="1102">
        <f t="shared" si="1"/>
        <v>0</v>
      </c>
      <c r="F48" s="5065">
        <f t="shared" si="1"/>
        <v>0</v>
      </c>
      <c r="G48" s="4891">
        <f t="shared" si="1"/>
        <v>0</v>
      </c>
      <c r="H48" s="1102">
        <f t="shared" si="1"/>
        <v>0</v>
      </c>
      <c r="I48" s="4891">
        <f t="shared" si="1"/>
        <v>0</v>
      </c>
      <c r="J48" s="1102">
        <f t="shared" si="1"/>
        <v>0</v>
      </c>
      <c r="K48" s="4891">
        <f t="shared" si="1"/>
        <v>0</v>
      </c>
      <c r="L48" s="1102">
        <f t="shared" si="1"/>
        <v>0</v>
      </c>
      <c r="M48" s="4891">
        <f t="shared" si="1"/>
        <v>0</v>
      </c>
      <c r="N48" s="5100">
        <f t="shared" si="1"/>
        <v>0</v>
      </c>
      <c r="O48" s="4891">
        <f>SUM(O49)</f>
        <v>0</v>
      </c>
      <c r="P48" s="5065">
        <f>SUM(P49)</f>
        <v>0</v>
      </c>
      <c r="Q48" s="1102">
        <f>SUM(Q49)</f>
        <v>0</v>
      </c>
      <c r="R48" s="1104">
        <f>SUM(R49)</f>
        <v>0</v>
      </c>
      <c r="S48" s="1102">
        <f t="shared" ref="S48:V48" si="2">SUM(S49:S52)</f>
        <v>0</v>
      </c>
      <c r="T48" s="5065">
        <f t="shared" si="2"/>
        <v>0</v>
      </c>
      <c r="U48" s="4891">
        <f t="shared" si="2"/>
        <v>0</v>
      </c>
      <c r="V48" s="5065">
        <f t="shared" si="2"/>
        <v>0</v>
      </c>
    </row>
    <row r="49" spans="1:22" x14ac:dyDescent="0.25">
      <c r="A49" s="5818">
        <v>30100160</v>
      </c>
      <c r="B49" s="985" t="s">
        <v>3809</v>
      </c>
      <c r="C49" s="1160" t="s">
        <v>4567</v>
      </c>
      <c r="D49" s="4784" t="s">
        <v>4568</v>
      </c>
      <c r="E49" s="1160" t="s">
        <v>4569</v>
      </c>
      <c r="F49" s="4784" t="s">
        <v>4570</v>
      </c>
      <c r="G49" s="1083" t="s">
        <v>4571</v>
      </c>
      <c r="H49" s="748" t="s">
        <v>4572</v>
      </c>
      <c r="I49" s="1081" t="s">
        <v>4573</v>
      </c>
      <c r="J49" s="748" t="s">
        <v>4574</v>
      </c>
      <c r="K49" s="1081" t="s">
        <v>4575</v>
      </c>
      <c r="L49" s="748" t="s">
        <v>4576</v>
      </c>
      <c r="M49" s="1081" t="s">
        <v>4577</v>
      </c>
      <c r="N49" s="1084" t="s">
        <v>4578</v>
      </c>
      <c r="O49" s="1081" t="s">
        <v>4579</v>
      </c>
      <c r="P49" s="748" t="s">
        <v>4580</v>
      </c>
      <c r="Q49" s="1081" t="s">
        <v>4581</v>
      </c>
      <c r="R49" s="748" t="s">
        <v>4582</v>
      </c>
      <c r="S49" s="1083" t="s">
        <v>4583</v>
      </c>
      <c r="T49" s="748" t="s">
        <v>4584</v>
      </c>
      <c r="U49" s="1081" t="s">
        <v>4585</v>
      </c>
      <c r="V49" s="748" t="s">
        <v>4586</v>
      </c>
    </row>
    <row r="50" spans="1:22" x14ac:dyDescent="0.25">
      <c r="A50" s="5818">
        <v>30100180</v>
      </c>
      <c r="B50" s="990" t="s">
        <v>3810</v>
      </c>
      <c r="C50" s="299" t="s">
        <v>4567</v>
      </c>
      <c r="D50" s="146" t="s">
        <v>4568</v>
      </c>
      <c r="E50" s="299" t="s">
        <v>4569</v>
      </c>
      <c r="F50" s="146" t="s">
        <v>4570</v>
      </c>
      <c r="G50" s="1091" t="s">
        <v>4571</v>
      </c>
      <c r="H50" s="1093" t="s">
        <v>4572</v>
      </c>
      <c r="I50" s="1089" t="s">
        <v>4573</v>
      </c>
      <c r="J50" s="1093" t="s">
        <v>4574</v>
      </c>
      <c r="K50" s="1089" t="s">
        <v>4575</v>
      </c>
      <c r="L50" s="1093" t="s">
        <v>4576</v>
      </c>
      <c r="M50" s="1089" t="s">
        <v>4577</v>
      </c>
      <c r="N50" s="1092" t="s">
        <v>4578</v>
      </c>
      <c r="O50" s="1309" t="s">
        <v>4579</v>
      </c>
      <c r="P50" s="1308" t="s">
        <v>4580</v>
      </c>
      <c r="Q50" s="1309" t="s">
        <v>4581</v>
      </c>
      <c r="R50" s="1308" t="s">
        <v>4582</v>
      </c>
      <c r="S50" s="1091" t="s">
        <v>4583</v>
      </c>
      <c r="T50" s="1093" t="s">
        <v>4584</v>
      </c>
      <c r="U50" s="1089" t="s">
        <v>4585</v>
      </c>
      <c r="V50" s="1093" t="s">
        <v>4586</v>
      </c>
    </row>
    <row r="51" spans="1:22" x14ac:dyDescent="0.25">
      <c r="A51" s="5818">
        <v>32101717</v>
      </c>
      <c r="B51" s="990" t="s">
        <v>3811</v>
      </c>
      <c r="C51" s="299" t="s">
        <v>4567</v>
      </c>
      <c r="D51" s="146" t="s">
        <v>4568</v>
      </c>
      <c r="E51" s="299" t="s">
        <v>4569</v>
      </c>
      <c r="F51" s="146" t="s">
        <v>4570</v>
      </c>
      <c r="G51" s="1091" t="s">
        <v>4571</v>
      </c>
      <c r="H51" s="1093" t="s">
        <v>4572</v>
      </c>
      <c r="I51" s="1089" t="s">
        <v>4573</v>
      </c>
      <c r="J51" s="1093" t="s">
        <v>4574</v>
      </c>
      <c r="K51" s="1089" t="s">
        <v>4575</v>
      </c>
      <c r="L51" s="1093" t="s">
        <v>4576</v>
      </c>
      <c r="M51" s="1089" t="s">
        <v>4577</v>
      </c>
      <c r="N51" s="1092" t="s">
        <v>4578</v>
      </c>
      <c r="O51" s="5101" t="s">
        <v>4579</v>
      </c>
      <c r="P51" s="4745" t="s">
        <v>4580</v>
      </c>
      <c r="Q51" s="5102" t="s">
        <v>4581</v>
      </c>
      <c r="R51" s="4745" t="s">
        <v>4582</v>
      </c>
      <c r="S51" s="1091" t="s">
        <v>4583</v>
      </c>
      <c r="T51" s="1093" t="s">
        <v>4584</v>
      </c>
      <c r="U51" s="1089" t="s">
        <v>4585</v>
      </c>
      <c r="V51" s="1093" t="s">
        <v>4586</v>
      </c>
    </row>
    <row r="52" spans="1:22" x14ac:dyDescent="0.25">
      <c r="A52" s="5818">
        <v>30100190</v>
      </c>
      <c r="B52" s="1368" t="s">
        <v>3812</v>
      </c>
      <c r="C52" s="3109" t="s">
        <v>4567</v>
      </c>
      <c r="D52" s="3414" t="s">
        <v>4568</v>
      </c>
      <c r="E52" s="3109" t="s">
        <v>4569</v>
      </c>
      <c r="F52" s="3414" t="s">
        <v>4570</v>
      </c>
      <c r="G52" s="4957" t="s">
        <v>4571</v>
      </c>
      <c r="H52" s="310" t="s">
        <v>4572</v>
      </c>
      <c r="I52" s="1264" t="s">
        <v>4573</v>
      </c>
      <c r="J52" s="310" t="s">
        <v>4574</v>
      </c>
      <c r="K52" s="1264" t="s">
        <v>4575</v>
      </c>
      <c r="L52" s="310" t="s">
        <v>4576</v>
      </c>
      <c r="M52" s="1264" t="s">
        <v>4577</v>
      </c>
      <c r="N52" s="315" t="s">
        <v>4578</v>
      </c>
      <c r="O52" s="5103" t="s">
        <v>4579</v>
      </c>
      <c r="P52" s="4741" t="s">
        <v>4580</v>
      </c>
      <c r="Q52" s="1314" t="s">
        <v>4581</v>
      </c>
      <c r="R52" s="3589" t="s">
        <v>4582</v>
      </c>
      <c r="S52" s="4957" t="s">
        <v>4583</v>
      </c>
      <c r="T52" s="310" t="s">
        <v>4584</v>
      </c>
      <c r="U52" s="1264" t="s">
        <v>4585</v>
      </c>
      <c r="V52" s="310" t="s">
        <v>4586</v>
      </c>
    </row>
    <row r="53" spans="1:22" s="6" customFormat="1" ht="17.100000000000001" customHeight="1" x14ac:dyDescent="0.2">
      <c r="B53" s="4010" t="s">
        <v>3813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1:22" ht="22.5" customHeight="1" x14ac:dyDescent="0.25">
      <c r="B54" s="7782" t="s">
        <v>3814</v>
      </c>
      <c r="C54" s="7257" t="s">
        <v>3815</v>
      </c>
      <c r="D54" s="7746"/>
      <c r="E54" s="7746"/>
      <c r="F54" s="7759"/>
      <c r="G54" s="7257" t="s">
        <v>3816</v>
      </c>
      <c r="H54" s="7746"/>
      <c r="I54" s="7746"/>
      <c r="J54" s="7759"/>
      <c r="K54" s="7257" t="s">
        <v>3817</v>
      </c>
      <c r="L54" s="7746"/>
      <c r="M54" s="7746"/>
      <c r="N54" s="7759"/>
      <c r="O54" s="7759" t="s">
        <v>3818</v>
      </c>
      <c r="P54" s="7688"/>
      <c r="Q54" s="7688"/>
      <c r="R54" s="7688"/>
    </row>
    <row r="55" spans="1:22" x14ac:dyDescent="0.25">
      <c r="B55" s="7782"/>
      <c r="C55" s="7291" t="s">
        <v>3789</v>
      </c>
      <c r="D55" s="7727"/>
      <c r="E55" s="7291" t="s">
        <v>2391</v>
      </c>
      <c r="F55" s="7727"/>
      <c r="G55" s="7291" t="s">
        <v>3789</v>
      </c>
      <c r="H55" s="7727"/>
      <c r="I55" s="7291" t="s">
        <v>2391</v>
      </c>
      <c r="J55" s="7727"/>
      <c r="K55" s="7291" t="s">
        <v>3789</v>
      </c>
      <c r="L55" s="7727"/>
      <c r="M55" s="7291" t="s">
        <v>2391</v>
      </c>
      <c r="N55" s="7727"/>
      <c r="O55" s="7291" t="s">
        <v>3789</v>
      </c>
      <c r="P55" s="7727"/>
      <c r="Q55" s="7291" t="s">
        <v>2391</v>
      </c>
      <c r="R55" s="7727"/>
    </row>
    <row r="56" spans="1:22" x14ac:dyDescent="0.25">
      <c r="B56" s="7782"/>
      <c r="C56" s="5104" t="s">
        <v>58</v>
      </c>
      <c r="D56" s="1325" t="s">
        <v>59</v>
      </c>
      <c r="E56" s="5047" t="s">
        <v>58</v>
      </c>
      <c r="F56" s="1325" t="s">
        <v>59</v>
      </c>
      <c r="G56" s="5104" t="s">
        <v>58</v>
      </c>
      <c r="H56" s="1325" t="s">
        <v>59</v>
      </c>
      <c r="I56" s="5047" t="s">
        <v>58</v>
      </c>
      <c r="J56" s="1325" t="s">
        <v>59</v>
      </c>
      <c r="K56" s="1287" t="s">
        <v>58</v>
      </c>
      <c r="L56" s="1412" t="s">
        <v>59</v>
      </c>
      <c r="M56" s="1287" t="s">
        <v>58</v>
      </c>
      <c r="N56" s="1412" t="s">
        <v>59</v>
      </c>
      <c r="O56" s="5047" t="s">
        <v>58</v>
      </c>
      <c r="P56" s="1325" t="s">
        <v>59</v>
      </c>
      <c r="Q56" s="5104" t="s">
        <v>58</v>
      </c>
      <c r="R56" s="1325" t="s">
        <v>59</v>
      </c>
    </row>
    <row r="57" spans="1:22" x14ac:dyDescent="0.25">
      <c r="A57" s="5616"/>
      <c r="B57" s="5099" t="s">
        <v>77</v>
      </c>
      <c r="C57" s="5105">
        <f t="shared" ref="C57:F57" si="3">SUM(C58:C62)</f>
        <v>0</v>
      </c>
      <c r="D57" s="1526">
        <f t="shared" si="3"/>
        <v>0</v>
      </c>
      <c r="E57" s="1525">
        <f t="shared" si="3"/>
        <v>0</v>
      </c>
      <c r="F57" s="1526">
        <f t="shared" si="3"/>
        <v>0</v>
      </c>
      <c r="G57" s="5105">
        <f>SUM(G58:G63)</f>
        <v>0</v>
      </c>
      <c r="H57" s="1526">
        <f t="shared" ref="H57:Q57" si="4">SUM(H58:H63)</f>
        <v>0</v>
      </c>
      <c r="I57" s="1525">
        <f t="shared" si="4"/>
        <v>0</v>
      </c>
      <c r="J57" s="1526">
        <f>SUM(J58:J63)</f>
        <v>0</v>
      </c>
      <c r="K57" s="4917">
        <f t="shared" si="4"/>
        <v>0</v>
      </c>
      <c r="L57" s="5106">
        <f t="shared" si="4"/>
        <v>0</v>
      </c>
      <c r="M57" s="1524">
        <f t="shared" si="4"/>
        <v>0</v>
      </c>
      <c r="N57" s="1567">
        <f t="shared" si="4"/>
        <v>0</v>
      </c>
      <c r="O57" s="5107">
        <f>SUM(O58:O63)</f>
        <v>0</v>
      </c>
      <c r="P57" s="1567">
        <f t="shared" si="4"/>
        <v>0</v>
      </c>
      <c r="Q57" s="1525">
        <f t="shared" si="4"/>
        <v>0</v>
      </c>
      <c r="R57" s="1243">
        <f>SUM(R58:R63)</f>
        <v>0</v>
      </c>
    </row>
    <row r="58" spans="1:22" x14ac:dyDescent="0.25">
      <c r="A58" s="5823">
        <v>30100406</v>
      </c>
      <c r="B58" s="5108" t="s">
        <v>3819</v>
      </c>
      <c r="C58" s="1160" t="s">
        <v>4567</v>
      </c>
      <c r="D58" s="2963" t="s">
        <v>4568</v>
      </c>
      <c r="E58" s="5020" t="s">
        <v>4569</v>
      </c>
      <c r="F58" s="2963" t="s">
        <v>4570</v>
      </c>
      <c r="G58" s="1081" t="s">
        <v>4571</v>
      </c>
      <c r="H58" s="1082" t="s">
        <v>4572</v>
      </c>
      <c r="I58" s="1083" t="s">
        <v>4573</v>
      </c>
      <c r="J58" s="1082" t="s">
        <v>4574</v>
      </c>
      <c r="K58" s="1083" t="s">
        <v>4575</v>
      </c>
      <c r="L58" s="1082" t="s">
        <v>4576</v>
      </c>
      <c r="M58" s="1081" t="s">
        <v>4577</v>
      </c>
      <c r="N58" s="1082" t="s">
        <v>4578</v>
      </c>
      <c r="O58" s="5025" t="s">
        <v>4579</v>
      </c>
      <c r="P58" s="5023" t="s">
        <v>4580</v>
      </c>
      <c r="Q58" s="5025" t="s">
        <v>4581</v>
      </c>
      <c r="R58" s="5023" t="s">
        <v>4582</v>
      </c>
    </row>
    <row r="59" spans="1:22" x14ac:dyDescent="0.25">
      <c r="A59" s="5818">
        <v>32101693</v>
      </c>
      <c r="B59" s="990" t="s">
        <v>3753</v>
      </c>
      <c r="C59" s="5033" t="s">
        <v>4567</v>
      </c>
      <c r="D59" s="4898" t="s">
        <v>4568</v>
      </c>
      <c r="E59" s="5032" t="s">
        <v>4569</v>
      </c>
      <c r="F59" s="4898" t="s">
        <v>4570</v>
      </c>
      <c r="G59" s="1089" t="s">
        <v>4571</v>
      </c>
      <c r="H59" s="1093" t="s">
        <v>4572</v>
      </c>
      <c r="I59" s="1091" t="s">
        <v>4573</v>
      </c>
      <c r="J59" s="1093" t="s">
        <v>4574</v>
      </c>
      <c r="K59" s="1091" t="s">
        <v>4575</v>
      </c>
      <c r="L59" s="1093" t="s">
        <v>4576</v>
      </c>
      <c r="M59" s="1089" t="s">
        <v>4577</v>
      </c>
      <c r="N59" s="1093" t="s">
        <v>4578</v>
      </c>
      <c r="O59" s="5038" t="s">
        <v>4579</v>
      </c>
      <c r="P59" s="5036" t="s">
        <v>4580</v>
      </c>
      <c r="Q59" s="5038" t="s">
        <v>4581</v>
      </c>
      <c r="R59" s="5036" t="s">
        <v>4582</v>
      </c>
    </row>
    <row r="60" spans="1:22" x14ac:dyDescent="0.25">
      <c r="A60" s="5818">
        <v>32101694</v>
      </c>
      <c r="B60" s="5109" t="s">
        <v>3820</v>
      </c>
      <c r="C60" s="5033" t="s">
        <v>4567</v>
      </c>
      <c r="D60" s="4898" t="s">
        <v>4568</v>
      </c>
      <c r="E60" s="5032" t="s">
        <v>4569</v>
      </c>
      <c r="F60" s="4898" t="s">
        <v>4570</v>
      </c>
      <c r="G60" s="1089" t="s">
        <v>4571</v>
      </c>
      <c r="H60" s="1090" t="s">
        <v>4572</v>
      </c>
      <c r="I60" s="1091" t="s">
        <v>4573</v>
      </c>
      <c r="J60" s="1090" t="s">
        <v>4574</v>
      </c>
      <c r="K60" s="1091" t="s">
        <v>4575</v>
      </c>
      <c r="L60" s="1090" t="s">
        <v>4576</v>
      </c>
      <c r="M60" s="1089" t="s">
        <v>4577</v>
      </c>
      <c r="N60" s="1090" t="s">
        <v>4578</v>
      </c>
      <c r="O60" s="5038" t="s">
        <v>4579</v>
      </c>
      <c r="P60" s="5036" t="s">
        <v>4580</v>
      </c>
      <c r="Q60" s="5038" t="s">
        <v>4581</v>
      </c>
      <c r="R60" s="5036" t="s">
        <v>4582</v>
      </c>
    </row>
    <row r="61" spans="1:22" x14ac:dyDescent="0.25">
      <c r="A61" s="5818">
        <v>32101695</v>
      </c>
      <c r="B61" s="5109" t="s">
        <v>3821</v>
      </c>
      <c r="C61" s="5033" t="s">
        <v>4567</v>
      </c>
      <c r="D61" s="4898" t="s">
        <v>4568</v>
      </c>
      <c r="E61" s="5032" t="s">
        <v>4569</v>
      </c>
      <c r="F61" s="4898" t="s">
        <v>4570</v>
      </c>
      <c r="G61" s="1089" t="s">
        <v>4571</v>
      </c>
      <c r="H61" s="1090" t="s">
        <v>4572</v>
      </c>
      <c r="I61" s="1091" t="s">
        <v>4573</v>
      </c>
      <c r="J61" s="1090" t="s">
        <v>4574</v>
      </c>
      <c r="K61" s="1091" t="s">
        <v>4575</v>
      </c>
      <c r="L61" s="1090" t="s">
        <v>4576</v>
      </c>
      <c r="M61" s="1089" t="s">
        <v>4577</v>
      </c>
      <c r="N61" s="1090" t="s">
        <v>4578</v>
      </c>
      <c r="O61" s="5038" t="s">
        <v>4579</v>
      </c>
      <c r="P61" s="5036" t="s">
        <v>4580</v>
      </c>
      <c r="Q61" s="5038" t="s">
        <v>4581</v>
      </c>
      <c r="R61" s="5036" t="s">
        <v>4582</v>
      </c>
    </row>
    <row r="62" spans="1:22" x14ac:dyDescent="0.25">
      <c r="A62" s="5818">
        <v>30100200</v>
      </c>
      <c r="B62" s="990" t="s">
        <v>3822</v>
      </c>
      <c r="C62" s="5033" t="s">
        <v>4567</v>
      </c>
      <c r="D62" s="4898" t="s">
        <v>4568</v>
      </c>
      <c r="E62" s="5032" t="s">
        <v>4569</v>
      </c>
      <c r="F62" s="4898" t="s">
        <v>4570</v>
      </c>
      <c r="G62" s="1089" t="s">
        <v>4571</v>
      </c>
      <c r="H62" s="1090" t="s">
        <v>4572</v>
      </c>
      <c r="I62" s="1091" t="s">
        <v>4573</v>
      </c>
      <c r="J62" s="1090" t="s">
        <v>4574</v>
      </c>
      <c r="K62" s="1091" t="s">
        <v>4575</v>
      </c>
      <c r="L62" s="1090" t="s">
        <v>4576</v>
      </c>
      <c r="M62" s="1089" t="s">
        <v>4577</v>
      </c>
      <c r="N62" s="1090" t="s">
        <v>4578</v>
      </c>
      <c r="O62" s="5038" t="s">
        <v>4579</v>
      </c>
      <c r="P62" s="5036" t="s">
        <v>4580</v>
      </c>
      <c r="Q62" s="5038" t="s">
        <v>4581</v>
      </c>
      <c r="R62" s="5036" t="s">
        <v>4582</v>
      </c>
    </row>
    <row r="63" spans="1:22" x14ac:dyDescent="0.25">
      <c r="A63" s="5825">
        <v>30100407</v>
      </c>
      <c r="B63" s="3432" t="s">
        <v>3823</v>
      </c>
      <c r="C63" s="3109" t="s">
        <v>4567</v>
      </c>
      <c r="D63" s="3113" t="s">
        <v>4568</v>
      </c>
      <c r="E63" s="5056" t="s">
        <v>4569</v>
      </c>
      <c r="F63" s="3113" t="s">
        <v>4570</v>
      </c>
      <c r="G63" s="1264" t="s">
        <v>4571</v>
      </c>
      <c r="H63" s="1447" t="s">
        <v>4572</v>
      </c>
      <c r="I63" s="4957" t="s">
        <v>4573</v>
      </c>
      <c r="J63" s="1447" t="s">
        <v>4574</v>
      </c>
      <c r="K63" s="4957" t="s">
        <v>4575</v>
      </c>
      <c r="L63" s="1447" t="s">
        <v>4576</v>
      </c>
      <c r="M63" s="1264" t="s">
        <v>4577</v>
      </c>
      <c r="N63" s="1447" t="s">
        <v>4578</v>
      </c>
      <c r="O63" s="5110" t="s">
        <v>4579</v>
      </c>
      <c r="P63" s="5111" t="s">
        <v>4580</v>
      </c>
      <c r="Q63" s="5110" t="s">
        <v>4581</v>
      </c>
      <c r="R63" s="5111" t="s">
        <v>4582</v>
      </c>
    </row>
    <row r="64" spans="1:22" s="6" customFormat="1" ht="17.100000000000001" customHeight="1" x14ac:dyDescent="0.2">
      <c r="B64" s="3" t="s">
        <v>3824</v>
      </c>
      <c r="C64" s="60"/>
      <c r="D64" s="60"/>
      <c r="E64" s="60"/>
      <c r="F64" s="60"/>
    </row>
    <row r="65" spans="1:10" ht="27" customHeight="1" x14ac:dyDescent="0.25">
      <c r="B65" s="7775" t="s">
        <v>3825</v>
      </c>
      <c r="C65" s="7688" t="s">
        <v>4396</v>
      </c>
      <c r="D65" s="7688"/>
      <c r="E65" s="7688"/>
      <c r="F65" s="7688"/>
      <c r="G65" s="6786" t="s">
        <v>3826</v>
      </c>
      <c r="H65" s="7671" t="s">
        <v>3827</v>
      </c>
    </row>
    <row r="66" spans="1:10" x14ac:dyDescent="0.25">
      <c r="B66" s="7775"/>
      <c r="C66" s="7291" t="s">
        <v>3789</v>
      </c>
      <c r="D66" s="7727"/>
      <c r="E66" s="7291" t="s">
        <v>2391</v>
      </c>
      <c r="F66" s="7727"/>
      <c r="G66" s="6027"/>
      <c r="H66" s="6119"/>
    </row>
    <row r="67" spans="1:10" ht="22.5" customHeight="1" x14ac:dyDescent="0.25">
      <c r="B67" s="7775"/>
      <c r="C67" s="1287" t="s">
        <v>58</v>
      </c>
      <c r="D67" s="1412" t="s">
        <v>59</v>
      </c>
      <c r="E67" s="1287" t="s">
        <v>58</v>
      </c>
      <c r="F67" s="1412" t="s">
        <v>59</v>
      </c>
      <c r="G67" s="6955"/>
      <c r="H67" s="6739"/>
    </row>
    <row r="68" spans="1:10" x14ac:dyDescent="0.25">
      <c r="A68" s="5606"/>
      <c r="B68" s="5112" t="s">
        <v>77</v>
      </c>
      <c r="C68" s="4891">
        <f t="shared" ref="C68:H68" si="5">SUM(C69:C72)</f>
        <v>0</v>
      </c>
      <c r="D68" s="1102">
        <f t="shared" si="5"/>
        <v>0</v>
      </c>
      <c r="E68" s="4891">
        <f t="shared" si="5"/>
        <v>0</v>
      </c>
      <c r="F68" s="1102">
        <f t="shared" si="5"/>
        <v>0</v>
      </c>
      <c r="G68" s="4891">
        <f t="shared" si="5"/>
        <v>0</v>
      </c>
      <c r="H68" s="1336">
        <f t="shared" si="5"/>
        <v>0</v>
      </c>
    </row>
    <row r="69" spans="1:10" x14ac:dyDescent="0.25">
      <c r="A69" s="5818">
        <v>32101696</v>
      </c>
      <c r="B69" s="985" t="s">
        <v>98</v>
      </c>
      <c r="C69" s="290" t="s">
        <v>4567</v>
      </c>
      <c r="D69" s="622" t="s">
        <v>4568</v>
      </c>
      <c r="E69" s="22" t="s">
        <v>4569</v>
      </c>
      <c r="F69" s="622" t="s">
        <v>4570</v>
      </c>
      <c r="G69" s="65" t="s">
        <v>4571</v>
      </c>
      <c r="H69" s="4348" t="s">
        <v>4572</v>
      </c>
    </row>
    <row r="70" spans="1:10" x14ac:dyDescent="0.25">
      <c r="A70" s="5818">
        <v>32101697</v>
      </c>
      <c r="B70" s="1162" t="s">
        <v>3828</v>
      </c>
      <c r="C70" s="1089" t="s">
        <v>4567</v>
      </c>
      <c r="D70" s="1093" t="s">
        <v>4568</v>
      </c>
      <c r="E70" s="1091" t="s">
        <v>4569</v>
      </c>
      <c r="F70" s="1093" t="s">
        <v>4570</v>
      </c>
      <c r="G70" s="1311" t="s">
        <v>4571</v>
      </c>
      <c r="H70" s="4505" t="s">
        <v>4572</v>
      </c>
    </row>
    <row r="71" spans="1:10" x14ac:dyDescent="0.25">
      <c r="A71" s="5818">
        <v>32101698</v>
      </c>
      <c r="B71" s="1162" t="s">
        <v>3829</v>
      </c>
      <c r="C71" s="1089" t="s">
        <v>4567</v>
      </c>
      <c r="D71" s="1093" t="s">
        <v>4568</v>
      </c>
      <c r="E71" s="1091" t="s">
        <v>4569</v>
      </c>
      <c r="F71" s="1093" t="s">
        <v>4570</v>
      </c>
      <c r="G71" s="1311" t="s">
        <v>4571</v>
      </c>
      <c r="H71" s="4505" t="s">
        <v>4572</v>
      </c>
    </row>
    <row r="72" spans="1:10" x14ac:dyDescent="0.25">
      <c r="A72" s="5818">
        <v>32101699</v>
      </c>
      <c r="B72" s="1163" t="s">
        <v>105</v>
      </c>
      <c r="C72" s="1114" t="s">
        <v>4567</v>
      </c>
      <c r="D72" s="1115" t="s">
        <v>4568</v>
      </c>
      <c r="E72" s="1127" t="s">
        <v>4569</v>
      </c>
      <c r="F72" s="1115" t="s">
        <v>4570</v>
      </c>
      <c r="G72" s="557" t="s">
        <v>4571</v>
      </c>
      <c r="H72" s="4506" t="s">
        <v>4572</v>
      </c>
    </row>
    <row r="73" spans="1:10" s="6" customFormat="1" ht="17.100000000000001" customHeight="1" x14ac:dyDescent="0.2">
      <c r="B73" s="4010" t="s">
        <v>3830</v>
      </c>
      <c r="C73" s="1"/>
      <c r="D73" s="1"/>
      <c r="E73" s="1"/>
      <c r="F73" s="1"/>
      <c r="G73" s="1"/>
      <c r="H73" s="1"/>
      <c r="I73" s="1"/>
      <c r="J73" s="1"/>
    </row>
    <row r="74" spans="1:10" ht="22.5" customHeight="1" x14ac:dyDescent="0.25">
      <c r="B74" s="7776" t="s">
        <v>3831</v>
      </c>
      <c r="C74" s="7688" t="s">
        <v>3832</v>
      </c>
      <c r="D74" s="7688"/>
      <c r="E74" s="7688"/>
      <c r="F74" s="7688"/>
      <c r="G74" s="7688" t="s">
        <v>3833</v>
      </c>
      <c r="H74" s="7688"/>
      <c r="I74" s="7688"/>
      <c r="J74" s="7688"/>
    </row>
    <row r="75" spans="1:10" x14ac:dyDescent="0.25">
      <c r="B75" s="7777"/>
      <c r="C75" s="7291" t="s">
        <v>3789</v>
      </c>
      <c r="D75" s="7727"/>
      <c r="E75" s="7291" t="s">
        <v>2391</v>
      </c>
      <c r="F75" s="7727"/>
      <c r="G75" s="7291" t="s">
        <v>3789</v>
      </c>
      <c r="H75" s="7727"/>
      <c r="I75" s="7291" t="s">
        <v>2391</v>
      </c>
      <c r="J75" s="7727"/>
    </row>
    <row r="76" spans="1:10" x14ac:dyDescent="0.25">
      <c r="B76" s="7778"/>
      <c r="C76" s="1287" t="s">
        <v>58</v>
      </c>
      <c r="D76" s="1178" t="s">
        <v>59</v>
      </c>
      <c r="E76" s="1068" t="s">
        <v>58</v>
      </c>
      <c r="F76" s="1412" t="s">
        <v>59</v>
      </c>
      <c r="G76" s="1287" t="s">
        <v>58</v>
      </c>
      <c r="H76" s="1412" t="s">
        <v>59</v>
      </c>
      <c r="I76" s="1287" t="s">
        <v>58</v>
      </c>
      <c r="J76" s="1178" t="s">
        <v>59</v>
      </c>
    </row>
    <row r="77" spans="1:10" x14ac:dyDescent="0.25">
      <c r="A77" s="5606"/>
      <c r="B77" s="5099" t="s">
        <v>77</v>
      </c>
      <c r="C77" s="1524">
        <f t="shared" ref="C77:J77" si="6">SUM(C78:C79)</f>
        <v>0</v>
      </c>
      <c r="D77" s="5107">
        <f t="shared" si="6"/>
        <v>0</v>
      </c>
      <c r="E77" s="1524">
        <f t="shared" si="6"/>
        <v>0</v>
      </c>
      <c r="F77" s="5107">
        <f t="shared" si="6"/>
        <v>0</v>
      </c>
      <c r="G77" s="5113">
        <f t="shared" si="6"/>
        <v>0</v>
      </c>
      <c r="H77" s="1243">
        <f t="shared" si="6"/>
        <v>0</v>
      </c>
      <c r="I77" s="5113">
        <f t="shared" si="6"/>
        <v>0</v>
      </c>
      <c r="J77" s="1243">
        <f t="shared" si="6"/>
        <v>0</v>
      </c>
    </row>
    <row r="78" spans="1:10" x14ac:dyDescent="0.25">
      <c r="A78" s="5818">
        <v>30100250</v>
      </c>
      <c r="B78" s="985" t="s">
        <v>3834</v>
      </c>
      <c r="C78" s="1081" t="s">
        <v>4567</v>
      </c>
      <c r="D78" s="748" t="s">
        <v>4568</v>
      </c>
      <c r="E78" s="1083" t="s">
        <v>4569</v>
      </c>
      <c r="F78" s="1082" t="s">
        <v>4570</v>
      </c>
      <c r="G78" s="5025" t="s">
        <v>4571</v>
      </c>
      <c r="H78" s="5023" t="s">
        <v>4572</v>
      </c>
      <c r="I78" s="5025" t="s">
        <v>4573</v>
      </c>
      <c r="J78" s="5023" t="s">
        <v>4574</v>
      </c>
    </row>
    <row r="79" spans="1:10" x14ac:dyDescent="0.25">
      <c r="A79" s="5818">
        <v>32101704</v>
      </c>
      <c r="B79" s="1003" t="s">
        <v>3835</v>
      </c>
      <c r="C79" s="1264" t="s">
        <v>4567</v>
      </c>
      <c r="D79" s="310" t="s">
        <v>4568</v>
      </c>
      <c r="E79" s="4957" t="s">
        <v>4569</v>
      </c>
      <c r="F79" s="310" t="s">
        <v>4570</v>
      </c>
      <c r="G79" s="5110" t="s">
        <v>4571</v>
      </c>
      <c r="H79" s="5111" t="s">
        <v>4572</v>
      </c>
      <c r="I79" s="5110" t="s">
        <v>4573</v>
      </c>
      <c r="J79" s="5111" t="s">
        <v>4574</v>
      </c>
    </row>
    <row r="80" spans="1:10" s="6" customFormat="1" ht="17.100000000000001" customHeight="1" x14ac:dyDescent="0.2">
      <c r="B80" s="15" t="s">
        <v>3836</v>
      </c>
    </row>
    <row r="81" spans="1:8" s="6" customFormat="1" ht="17.100000000000001" customHeight="1" x14ac:dyDescent="0.2">
      <c r="B81" s="1" t="s">
        <v>3837</v>
      </c>
      <c r="C81" s="15"/>
      <c r="D81" s="5114"/>
      <c r="E81" s="5114"/>
      <c r="F81" s="5114"/>
      <c r="G81" s="5114"/>
      <c r="H81" s="8"/>
    </row>
    <row r="82" spans="1:8" ht="24.75" customHeight="1" x14ac:dyDescent="0.25">
      <c r="B82" s="7750" t="s">
        <v>3838</v>
      </c>
      <c r="C82" s="7759" t="s">
        <v>77</v>
      </c>
      <c r="D82" s="7673" t="s">
        <v>4397</v>
      </c>
      <c r="E82" s="7674"/>
      <c r="F82" s="6786"/>
    </row>
    <row r="83" spans="1:8" ht="11.25" customHeight="1" x14ac:dyDescent="0.25">
      <c r="B83" s="7751"/>
      <c r="C83" s="7759"/>
      <c r="D83" s="6734"/>
      <c r="E83" s="6735"/>
      <c r="F83" s="6955"/>
    </row>
    <row r="84" spans="1:8" ht="21" x14ac:dyDescent="0.25">
      <c r="B84" s="7752"/>
      <c r="C84" s="6786"/>
      <c r="D84" s="1286" t="s">
        <v>3789</v>
      </c>
      <c r="E84" s="5115" t="s">
        <v>2391</v>
      </c>
      <c r="F84" s="5116" t="s">
        <v>3839</v>
      </c>
    </row>
    <row r="85" spans="1:8" x14ac:dyDescent="0.25">
      <c r="A85" s="5818">
        <v>32101705</v>
      </c>
      <c r="B85" s="985" t="s">
        <v>1180</v>
      </c>
      <c r="C85" s="1159" t="s">
        <v>4567</v>
      </c>
      <c r="D85" s="22" t="s">
        <v>4568</v>
      </c>
      <c r="E85" s="622" t="s">
        <v>4569</v>
      </c>
      <c r="F85" s="4348" t="s">
        <v>4570</v>
      </c>
    </row>
    <row r="86" spans="1:8" x14ac:dyDescent="0.25">
      <c r="A86" s="5823">
        <v>30100408</v>
      </c>
      <c r="B86" s="399" t="s">
        <v>3840</v>
      </c>
      <c r="C86" s="3108" t="s">
        <v>4567</v>
      </c>
      <c r="D86" s="4957" t="s">
        <v>4568</v>
      </c>
      <c r="E86" s="310" t="s">
        <v>4569</v>
      </c>
      <c r="F86" s="3367" t="s">
        <v>4570</v>
      </c>
    </row>
    <row r="87" spans="1:8" s="6" customFormat="1" ht="17.100000000000001" customHeight="1" x14ac:dyDescent="0.2">
      <c r="B87" s="5117" t="s">
        <v>3841</v>
      </c>
      <c r="C87" s="5118"/>
      <c r="D87" s="5119"/>
      <c r="E87" s="5119"/>
      <c r="F87" s="5119"/>
      <c r="G87" s="5120"/>
    </row>
    <row r="88" spans="1:8" ht="24.75" customHeight="1" x14ac:dyDescent="0.25">
      <c r="B88" s="7750" t="s">
        <v>3842</v>
      </c>
      <c r="C88" s="7779" t="s">
        <v>77</v>
      </c>
      <c r="D88" s="7257" t="s">
        <v>4398</v>
      </c>
      <c r="E88" s="7259"/>
      <c r="F88" s="7674" t="s">
        <v>4399</v>
      </c>
      <c r="G88" s="6786"/>
    </row>
    <row r="89" spans="1:8" x14ac:dyDescent="0.25">
      <c r="B89" s="7751"/>
      <c r="C89" s="7780"/>
      <c r="D89" s="7291" t="s">
        <v>2391</v>
      </c>
      <c r="E89" s="7339"/>
      <c r="F89" s="6735"/>
      <c r="G89" s="6955"/>
    </row>
    <row r="90" spans="1:8" ht="21" x14ac:dyDescent="0.25">
      <c r="B90" s="7752"/>
      <c r="C90" s="7781"/>
      <c r="D90" s="1286" t="s">
        <v>58</v>
      </c>
      <c r="E90" s="1111" t="s">
        <v>59</v>
      </c>
      <c r="F90" s="1794" t="s">
        <v>3843</v>
      </c>
      <c r="G90" s="1462" t="s">
        <v>3844</v>
      </c>
    </row>
    <row r="91" spans="1:8" x14ac:dyDescent="0.25">
      <c r="A91" s="5818">
        <v>32101707</v>
      </c>
      <c r="B91" s="985" t="s">
        <v>1180</v>
      </c>
      <c r="C91" s="1159" t="s">
        <v>4567</v>
      </c>
      <c r="D91" s="22" t="s">
        <v>4568</v>
      </c>
      <c r="E91" s="430" t="s">
        <v>4569</v>
      </c>
      <c r="F91" s="1294" t="s">
        <v>4570</v>
      </c>
      <c r="G91" s="1082" t="s">
        <v>4571</v>
      </c>
    </row>
    <row r="92" spans="1:8" x14ac:dyDescent="0.25">
      <c r="A92" s="5818">
        <v>32101708</v>
      </c>
      <c r="B92" s="1003" t="s">
        <v>3845</v>
      </c>
      <c r="C92" s="3108" t="s">
        <v>4567</v>
      </c>
      <c r="D92" s="4957" t="s">
        <v>4568</v>
      </c>
      <c r="E92" s="297" t="s">
        <v>4569</v>
      </c>
      <c r="F92" s="266" t="s">
        <v>4570</v>
      </c>
      <c r="G92" s="1447" t="s">
        <v>4571</v>
      </c>
    </row>
    <row r="93" spans="1:8" s="6" customFormat="1" ht="17.100000000000001" customHeight="1" x14ac:dyDescent="0.2">
      <c r="B93" s="15" t="s">
        <v>3846</v>
      </c>
      <c r="C93" s="15"/>
      <c r="D93" s="5114"/>
      <c r="E93" s="5114"/>
      <c r="F93" s="5114"/>
      <c r="G93" s="5114"/>
      <c r="H93" s="8"/>
    </row>
    <row r="94" spans="1:8" ht="37.5" customHeight="1" x14ac:dyDescent="0.25">
      <c r="B94" s="7750" t="s">
        <v>3847</v>
      </c>
      <c r="C94" s="7671" t="s">
        <v>77</v>
      </c>
      <c r="D94" s="7257" t="s">
        <v>4400</v>
      </c>
      <c r="E94" s="7759"/>
    </row>
    <row r="95" spans="1:8" x14ac:dyDescent="0.25">
      <c r="B95" s="7751"/>
      <c r="C95" s="6119"/>
      <c r="D95" s="7291" t="s">
        <v>2391</v>
      </c>
      <c r="E95" s="7727"/>
    </row>
    <row r="96" spans="1:8" x14ac:dyDescent="0.25">
      <c r="B96" s="7752"/>
      <c r="C96" s="6739"/>
      <c r="D96" s="1068" t="s">
        <v>58</v>
      </c>
      <c r="E96" s="1412" t="s">
        <v>59</v>
      </c>
    </row>
    <row r="97" spans="1:10" ht="14.25" customHeight="1" x14ac:dyDescent="0.25">
      <c r="A97" s="5818">
        <v>32101710</v>
      </c>
      <c r="B97" s="985" t="s">
        <v>3848</v>
      </c>
      <c r="C97" s="4814" t="s">
        <v>4567</v>
      </c>
      <c r="D97" s="1083" t="s">
        <v>4568</v>
      </c>
      <c r="E97" s="748" t="s">
        <v>4569</v>
      </c>
      <c r="F97" t="s">
        <v>4570</v>
      </c>
    </row>
    <row r="98" spans="1:10" ht="14.25" customHeight="1" x14ac:dyDescent="0.25">
      <c r="A98" s="5825">
        <v>30100409</v>
      </c>
      <c r="B98" s="3634" t="s">
        <v>3849</v>
      </c>
      <c r="C98" s="3108" t="s">
        <v>4567</v>
      </c>
      <c r="D98" s="4957" t="s">
        <v>4568</v>
      </c>
      <c r="E98" s="310" t="s">
        <v>4569</v>
      </c>
      <c r="F98" t="s">
        <v>4570</v>
      </c>
    </row>
    <row r="99" spans="1:10" s="6" customFormat="1" ht="17.100000000000001" customHeight="1" x14ac:dyDescent="0.2">
      <c r="B99" s="4010" t="s">
        <v>3850</v>
      </c>
      <c r="C99" s="5114"/>
      <c r="D99" s="5114"/>
      <c r="E99" s="5114"/>
      <c r="F99" s="5114"/>
      <c r="G99" s="8"/>
      <c r="H99" s="8"/>
      <c r="I99" s="8"/>
      <c r="J99" s="8"/>
    </row>
    <row r="100" spans="1:10" ht="21.75" customHeight="1" x14ac:dyDescent="0.25">
      <c r="B100" s="7750" t="s">
        <v>3851</v>
      </c>
      <c r="C100" s="7688" t="s">
        <v>3852</v>
      </c>
      <c r="D100" s="7688"/>
      <c r="E100" s="7688"/>
      <c r="F100" s="7688"/>
    </row>
    <row r="101" spans="1:10" x14ac:dyDescent="0.25">
      <c r="B101" s="7751"/>
      <c r="C101" s="7291" t="s">
        <v>3789</v>
      </c>
      <c r="D101" s="7727"/>
      <c r="E101" s="7291" t="s">
        <v>2391</v>
      </c>
      <c r="F101" s="7727"/>
    </row>
    <row r="102" spans="1:10" x14ac:dyDescent="0.25">
      <c r="B102" s="7752"/>
      <c r="C102" s="1287" t="s">
        <v>58</v>
      </c>
      <c r="D102" s="1412" t="s">
        <v>59</v>
      </c>
      <c r="E102" s="1287" t="s">
        <v>58</v>
      </c>
      <c r="F102" s="1412" t="s">
        <v>59</v>
      </c>
    </row>
    <row r="103" spans="1:10" x14ac:dyDescent="0.25">
      <c r="B103" s="5099" t="s">
        <v>77</v>
      </c>
      <c r="C103" s="4940">
        <f>SUM(C104:C106)</f>
        <v>0</v>
      </c>
      <c r="D103" s="5089">
        <f>SUM(D104:D106)</f>
        <v>0</v>
      </c>
      <c r="E103" s="4940">
        <f>SUM(E104:E106)</f>
        <v>0</v>
      </c>
      <c r="F103" s="5089">
        <f>SUM(F104:F106)</f>
        <v>0</v>
      </c>
    </row>
    <row r="104" spans="1:10" x14ac:dyDescent="0.25">
      <c r="A104" s="5818">
        <v>32101711</v>
      </c>
      <c r="B104" s="985" t="s">
        <v>3853</v>
      </c>
      <c r="C104" s="1081" t="s">
        <v>4567</v>
      </c>
      <c r="D104" s="1082" t="s">
        <v>4568</v>
      </c>
      <c r="E104" s="1081" t="s">
        <v>4569</v>
      </c>
      <c r="F104" s="1082" t="s">
        <v>4570</v>
      </c>
    </row>
    <row r="105" spans="1:10" x14ac:dyDescent="0.25">
      <c r="A105" s="5818">
        <v>32101713</v>
      </c>
      <c r="B105" s="990" t="s">
        <v>3854</v>
      </c>
      <c r="C105" s="1089" t="s">
        <v>4567</v>
      </c>
      <c r="D105" s="1090" t="s">
        <v>4568</v>
      </c>
      <c r="E105" s="1089" t="s">
        <v>4569</v>
      </c>
      <c r="F105" s="1090" t="s">
        <v>4570</v>
      </c>
    </row>
    <row r="106" spans="1:10" x14ac:dyDescent="0.25">
      <c r="A106" s="5818">
        <v>32101715</v>
      </c>
      <c r="B106" s="1003" t="s">
        <v>591</v>
      </c>
      <c r="C106" s="1114" t="s">
        <v>4567</v>
      </c>
      <c r="D106" s="387" t="s">
        <v>4568</v>
      </c>
      <c r="E106" s="1114" t="s">
        <v>4569</v>
      </c>
      <c r="F106" s="387" t="s">
        <v>4570</v>
      </c>
    </row>
    <row r="107" spans="1:10" s="6" customFormat="1" ht="17.100000000000001" customHeight="1" x14ac:dyDescent="0.2">
      <c r="B107" s="4010" t="s">
        <v>3855</v>
      </c>
      <c r="C107" s="5114"/>
      <c r="D107" s="5114"/>
      <c r="E107" s="5114"/>
      <c r="F107" s="5114"/>
      <c r="G107" s="8"/>
      <c r="H107" s="8"/>
    </row>
    <row r="108" spans="1:10" x14ac:dyDescent="0.25">
      <c r="B108" s="7750" t="s">
        <v>3856</v>
      </c>
      <c r="C108" s="7682" t="s">
        <v>192</v>
      </c>
      <c r="D108" s="7759" t="s">
        <v>3857</v>
      </c>
      <c r="E108" s="7688"/>
      <c r="F108" s="7688"/>
      <c r="G108" s="7688"/>
      <c r="H108" s="7688"/>
    </row>
    <row r="109" spans="1:10" x14ac:dyDescent="0.25">
      <c r="B109" s="7751"/>
      <c r="C109" s="6350"/>
      <c r="D109" s="7291" t="s">
        <v>3789</v>
      </c>
      <c r="E109" s="7727"/>
      <c r="F109" s="7291" t="s">
        <v>2391</v>
      </c>
      <c r="G109" s="7727"/>
      <c r="H109" s="7671" t="s">
        <v>3858</v>
      </c>
    </row>
    <row r="110" spans="1:10" x14ac:dyDescent="0.25">
      <c r="B110" s="7752"/>
      <c r="C110" s="6733"/>
      <c r="D110" s="1068" t="s">
        <v>58</v>
      </c>
      <c r="E110" s="1412" t="s">
        <v>59</v>
      </c>
      <c r="F110" s="1068" t="s">
        <v>58</v>
      </c>
      <c r="G110" s="1412" t="s">
        <v>59</v>
      </c>
      <c r="H110" s="6739"/>
    </row>
    <row r="111" spans="1:10" x14ac:dyDescent="0.25">
      <c r="A111" s="5818">
        <v>32101716</v>
      </c>
      <c r="B111" s="985" t="s">
        <v>3859</v>
      </c>
      <c r="C111" s="4814" t="s">
        <v>4567</v>
      </c>
      <c r="D111" s="1081" t="s">
        <v>4568</v>
      </c>
      <c r="E111" s="748" t="s">
        <v>4569</v>
      </c>
      <c r="F111" s="1081" t="s">
        <v>4570</v>
      </c>
      <c r="G111" s="748" t="s">
        <v>4571</v>
      </c>
      <c r="H111" s="4348" t="s">
        <v>4572</v>
      </c>
    </row>
    <row r="112" spans="1:10" x14ac:dyDescent="0.25">
      <c r="A112" s="5818">
        <v>32101718</v>
      </c>
      <c r="B112" s="990" t="s">
        <v>3860</v>
      </c>
      <c r="C112" s="4669" t="s">
        <v>4567</v>
      </c>
      <c r="D112" s="1089" t="s">
        <v>4568</v>
      </c>
      <c r="E112" s="1093" t="s">
        <v>4569</v>
      </c>
      <c r="F112" s="1089" t="s">
        <v>4570</v>
      </c>
      <c r="G112" s="1093" t="s">
        <v>4571</v>
      </c>
      <c r="H112" s="4505" t="s">
        <v>4572</v>
      </c>
    </row>
    <row r="113" spans="1:13" x14ac:dyDescent="0.25">
      <c r="A113" s="5818">
        <v>30100310</v>
      </c>
      <c r="B113" s="990" t="s">
        <v>3861</v>
      </c>
      <c r="C113" s="4669" t="s">
        <v>4567</v>
      </c>
      <c r="D113" s="192" t="s">
        <v>4568</v>
      </c>
      <c r="E113" s="382" t="s">
        <v>4569</v>
      </c>
      <c r="F113" s="192" t="s">
        <v>4570</v>
      </c>
      <c r="G113" s="382" t="s">
        <v>4571</v>
      </c>
      <c r="H113" s="3363" t="s">
        <v>4572</v>
      </c>
    </row>
    <row r="114" spans="1:13" x14ac:dyDescent="0.25">
      <c r="A114" s="5823">
        <v>30100410</v>
      </c>
      <c r="B114" s="1368" t="s">
        <v>3862</v>
      </c>
      <c r="C114" s="5121" t="s">
        <v>4567</v>
      </c>
      <c r="D114" s="1114" t="s">
        <v>4568</v>
      </c>
      <c r="E114" s="1115" t="s">
        <v>4569</v>
      </c>
      <c r="F114" s="1114" t="s">
        <v>4570</v>
      </c>
      <c r="G114" s="1115" t="s">
        <v>4571</v>
      </c>
      <c r="H114" s="4506" t="s">
        <v>4572</v>
      </c>
    </row>
    <row r="115" spans="1:13" x14ac:dyDescent="0.25">
      <c r="B115" s="4441" t="s">
        <v>3863</v>
      </c>
      <c r="C115" s="3457"/>
      <c r="D115" s="3457"/>
      <c r="E115" s="24"/>
      <c r="F115" s="24"/>
      <c r="G115" s="24"/>
      <c r="H115" s="24"/>
      <c r="I115" s="2147"/>
      <c r="J115" s="2147"/>
    </row>
    <row r="116" spans="1:13" x14ac:dyDescent="0.25">
      <c r="B116" s="7682" t="s">
        <v>3864</v>
      </c>
      <c r="C116" s="7257" t="s">
        <v>3865</v>
      </c>
      <c r="D116" s="7746"/>
      <c r="E116" s="7746"/>
      <c r="F116" s="7759"/>
      <c r="G116" s="7257" t="s">
        <v>3866</v>
      </c>
      <c r="H116" s="7746"/>
      <c r="I116" s="7746"/>
      <c r="J116" s="7759"/>
      <c r="L116" s="53"/>
      <c r="M116" s="167"/>
    </row>
    <row r="117" spans="1:13" x14ac:dyDescent="0.25">
      <c r="B117" s="6350"/>
      <c r="C117" s="7291" t="s">
        <v>3789</v>
      </c>
      <c r="D117" s="7727"/>
      <c r="E117" s="7291" t="s">
        <v>2391</v>
      </c>
      <c r="F117" s="7727"/>
      <c r="G117" s="7291" t="s">
        <v>3789</v>
      </c>
      <c r="H117" s="7727"/>
      <c r="I117" s="7291" t="s">
        <v>2391</v>
      </c>
      <c r="J117" s="7727"/>
    </row>
    <row r="118" spans="1:13" x14ac:dyDescent="0.25">
      <c r="B118" s="6733"/>
      <c r="C118" s="1287" t="s">
        <v>58</v>
      </c>
      <c r="D118" s="1178" t="s">
        <v>59</v>
      </c>
      <c r="E118" s="1068" t="s">
        <v>58</v>
      </c>
      <c r="F118" s="1178" t="s">
        <v>59</v>
      </c>
      <c r="G118" s="1287" t="s">
        <v>58</v>
      </c>
      <c r="H118" s="1178" t="s">
        <v>59</v>
      </c>
      <c r="I118" s="1068" t="s">
        <v>58</v>
      </c>
      <c r="J118" s="1178" t="s">
        <v>59</v>
      </c>
    </row>
    <row r="119" spans="1:13" x14ac:dyDescent="0.25">
      <c r="A119" s="5823">
        <v>30100411</v>
      </c>
      <c r="B119" s="1435" t="s">
        <v>3334</v>
      </c>
      <c r="C119" s="1309" t="s">
        <v>4567</v>
      </c>
      <c r="D119" s="4745" t="s">
        <v>4568</v>
      </c>
      <c r="E119" s="1083" t="s">
        <v>4569</v>
      </c>
      <c r="F119" s="748" t="s">
        <v>4570</v>
      </c>
      <c r="G119" s="1309" t="s">
        <v>4571</v>
      </c>
      <c r="H119" s="4745" t="s">
        <v>4572</v>
      </c>
      <c r="I119" s="1083" t="s">
        <v>4573</v>
      </c>
      <c r="J119" s="748" t="s">
        <v>4574</v>
      </c>
    </row>
    <row r="120" spans="1:13" x14ac:dyDescent="0.25">
      <c r="A120" s="5823">
        <v>30100412</v>
      </c>
      <c r="B120" s="870" t="s">
        <v>3867</v>
      </c>
      <c r="C120" s="1264" t="s">
        <v>4567</v>
      </c>
      <c r="D120" s="310" t="s">
        <v>4568</v>
      </c>
      <c r="E120" s="4957" t="s">
        <v>4569</v>
      </c>
      <c r="F120" s="310" t="s">
        <v>4570</v>
      </c>
      <c r="G120" s="5122" t="s">
        <v>4571</v>
      </c>
      <c r="H120" s="5123" t="s">
        <v>4572</v>
      </c>
      <c r="I120" s="5124" t="s">
        <v>4573</v>
      </c>
      <c r="J120" s="5123" t="s">
        <v>4574</v>
      </c>
    </row>
    <row r="121" spans="1:13" s="6" customFormat="1" ht="17.100000000000001" customHeight="1" x14ac:dyDescent="0.25">
      <c r="A121"/>
      <c r="B121" s="4441" t="s">
        <v>3868</v>
      </c>
      <c r="C121" s="3457"/>
      <c r="D121" s="3457"/>
      <c r="E121" s="4"/>
      <c r="F121" s="4"/>
      <c r="G121" s="4"/>
      <c r="H121" s="4"/>
      <c r="I121" s="5"/>
      <c r="J121" s="5"/>
    </row>
    <row r="122" spans="1:13" ht="24" customHeight="1" x14ac:dyDescent="0.25">
      <c r="B122" s="7682" t="s">
        <v>3869</v>
      </c>
      <c r="C122" s="7671" t="s">
        <v>3870</v>
      </c>
      <c r="D122" s="7688"/>
      <c r="E122" s="7688" t="s">
        <v>3871</v>
      </c>
      <c r="F122" s="7688"/>
      <c r="G122" s="7688"/>
      <c r="H122" s="9"/>
      <c r="I122" s="9"/>
      <c r="J122" s="9"/>
    </row>
    <row r="123" spans="1:13" x14ac:dyDescent="0.25">
      <c r="B123" s="6750"/>
      <c r="C123" s="1287" t="s">
        <v>58</v>
      </c>
      <c r="D123" s="1412" t="s">
        <v>59</v>
      </c>
      <c r="E123" s="1287" t="s">
        <v>2331</v>
      </c>
      <c r="F123" s="982" t="s">
        <v>3872</v>
      </c>
      <c r="G123" s="1412" t="s">
        <v>3873</v>
      </c>
      <c r="H123" s="9"/>
      <c r="I123" s="9"/>
      <c r="J123" s="9"/>
    </row>
    <row r="124" spans="1:13" x14ac:dyDescent="0.25">
      <c r="A124" s="5823">
        <v>30100413</v>
      </c>
      <c r="B124" s="1202" t="s">
        <v>3874</v>
      </c>
      <c r="C124" s="1083" t="s">
        <v>4567</v>
      </c>
      <c r="D124" s="1084" t="s">
        <v>4568</v>
      </c>
      <c r="E124" s="290" t="s">
        <v>4569</v>
      </c>
      <c r="F124" s="531" t="s">
        <v>4570</v>
      </c>
      <c r="G124" s="65" t="s">
        <v>4571</v>
      </c>
      <c r="H124" s="5125"/>
      <c r="I124" s="9"/>
      <c r="J124" s="9"/>
    </row>
    <row r="125" spans="1:13" x14ac:dyDescent="0.25">
      <c r="A125" s="5823">
        <v>30100414</v>
      </c>
      <c r="B125" s="870" t="s">
        <v>3875</v>
      </c>
      <c r="C125" s="4957" t="s">
        <v>4567</v>
      </c>
      <c r="D125" s="310" t="s">
        <v>4568</v>
      </c>
      <c r="E125" s="1264" t="s">
        <v>4569</v>
      </c>
      <c r="F125" s="262" t="s">
        <v>4570</v>
      </c>
      <c r="G125" s="1447" t="s">
        <v>4571</v>
      </c>
      <c r="H125" s="9"/>
      <c r="I125" s="9"/>
      <c r="J125" s="9"/>
    </row>
    <row r="129" spans="1:3" x14ac:dyDescent="0.25">
      <c r="A129" t="s">
        <v>4777</v>
      </c>
    </row>
    <row r="130" spans="1:3" x14ac:dyDescent="0.25">
      <c r="A130" s="5601">
        <v>32101692</v>
      </c>
    </row>
    <row r="131" spans="1:3" x14ac:dyDescent="0.25">
      <c r="A131" s="5601">
        <v>32101700</v>
      </c>
    </row>
    <row r="132" spans="1:3" x14ac:dyDescent="0.25">
      <c r="A132" s="5601">
        <v>32101701</v>
      </c>
    </row>
    <row r="133" spans="1:3" x14ac:dyDescent="0.25">
      <c r="A133" s="5601">
        <v>32101702</v>
      </c>
    </row>
    <row r="134" spans="1:3" x14ac:dyDescent="0.25">
      <c r="A134" s="5601">
        <v>32101703</v>
      </c>
    </row>
    <row r="135" spans="1:3" x14ac:dyDescent="0.25">
      <c r="A135" s="5601">
        <v>32101706</v>
      </c>
    </row>
    <row r="136" spans="1:3" x14ac:dyDescent="0.25">
      <c r="A136" s="5601">
        <v>32101709</v>
      </c>
    </row>
    <row r="137" spans="1:3" x14ac:dyDescent="0.25">
      <c r="A137" s="5601">
        <v>32101712</v>
      </c>
    </row>
    <row r="138" spans="1:3" hidden="1" x14ac:dyDescent="0.25">
      <c r="A138" s="5601">
        <v>32101714</v>
      </c>
      <c r="B138" s="3032" t="e">
        <f>SUM(C15:F27,O15:R27,C32:F40,O32:R40,C48:F52,O48:V52,C57:F62,C69:H72,O57:R62,C77:J77,C85:C85,C91:C92,C97:C98,C103:F103,C111:C114,C119:J120,C124:G125)</f>
        <v>#VALUE!</v>
      </c>
      <c r="C138">
        <f>SUM(CF12:CG68)</f>
        <v>0</v>
      </c>
    </row>
    <row r="139" spans="1:3" x14ac:dyDescent="0.25">
      <c r="A139" t="s">
        <v>4566</v>
      </c>
    </row>
    <row r="140" spans="1:3" x14ac:dyDescent="0.25">
      <c r="A140" s="5605">
        <v>30100400</v>
      </c>
    </row>
    <row r="141" spans="1:3" x14ac:dyDescent="0.25">
      <c r="A141" s="5605">
        <v>30100401</v>
      </c>
    </row>
    <row r="142" spans="1:3" x14ac:dyDescent="0.25">
      <c r="A142" s="5605">
        <v>30100402</v>
      </c>
    </row>
    <row r="143" spans="1:3" x14ac:dyDescent="0.25">
      <c r="A143" s="5605">
        <v>30100403</v>
      </c>
    </row>
    <row r="144" spans="1:3" x14ac:dyDescent="0.25">
      <c r="A144" s="5605">
        <v>30100404</v>
      </c>
    </row>
    <row r="145" spans="1:1" x14ac:dyDescent="0.25">
      <c r="A145" s="5605">
        <v>30100405</v>
      </c>
    </row>
    <row r="146" spans="1:1" x14ac:dyDescent="0.25">
      <c r="A146" s="5605">
        <v>30100406</v>
      </c>
    </row>
    <row r="147" spans="1:1" x14ac:dyDescent="0.25">
      <c r="A147" s="5605">
        <v>30100407</v>
      </c>
    </row>
    <row r="148" spans="1:1" x14ac:dyDescent="0.25">
      <c r="A148" s="5605">
        <v>30100408</v>
      </c>
    </row>
    <row r="149" spans="1:1" x14ac:dyDescent="0.25">
      <c r="A149" s="5605">
        <v>30100409</v>
      </c>
    </row>
    <row r="150" spans="1:1" x14ac:dyDescent="0.25">
      <c r="A150" s="5605">
        <v>30100410</v>
      </c>
    </row>
    <row r="151" spans="1:1" x14ac:dyDescent="0.25">
      <c r="A151" s="5605">
        <v>30100411</v>
      </c>
    </row>
    <row r="152" spans="1:1" x14ac:dyDescent="0.25">
      <c r="A152" s="5605">
        <v>30100412</v>
      </c>
    </row>
    <row r="153" spans="1:1" x14ac:dyDescent="0.25">
      <c r="A153" s="5605">
        <v>30100413</v>
      </c>
    </row>
    <row r="154" spans="1:1" x14ac:dyDescent="0.25">
      <c r="A154" s="5605">
        <v>30100414</v>
      </c>
    </row>
  </sheetData>
  <mergeCells count="103">
    <mergeCell ref="B116:B118"/>
    <mergeCell ref="B94:B96"/>
    <mergeCell ref="C94:C96"/>
    <mergeCell ref="D94:E94"/>
    <mergeCell ref="D95:E95"/>
    <mergeCell ref="B100:B102"/>
    <mergeCell ref="C100:F100"/>
    <mergeCell ref="C101:D101"/>
    <mergeCell ref="E101:F101"/>
    <mergeCell ref="B108:B110"/>
    <mergeCell ref="C108:C110"/>
    <mergeCell ref="D108:H108"/>
    <mergeCell ref="D109:E109"/>
    <mergeCell ref="F109:G109"/>
    <mergeCell ref="H109:H110"/>
    <mergeCell ref="C116:F116"/>
    <mergeCell ref="G116:J116"/>
    <mergeCell ref="C117:D117"/>
    <mergeCell ref="E117:F117"/>
    <mergeCell ref="G117:H117"/>
    <mergeCell ref="I117:J117"/>
    <mergeCell ref="B28:G28"/>
    <mergeCell ref="B29:B31"/>
    <mergeCell ref="C29:F29"/>
    <mergeCell ref="G29:J29"/>
    <mergeCell ref="K29:N29"/>
    <mergeCell ref="O29:R29"/>
    <mergeCell ref="C30:D30"/>
    <mergeCell ref="E30:F30"/>
    <mergeCell ref="G30:H30"/>
    <mergeCell ref="I30:J30"/>
    <mergeCell ref="K30:L30"/>
    <mergeCell ref="M30:N30"/>
    <mergeCell ref="O30:P30"/>
    <mergeCell ref="Q30:R30"/>
    <mergeCell ref="B7:R7"/>
    <mergeCell ref="B6:R6"/>
    <mergeCell ref="M13:N13"/>
    <mergeCell ref="O13:P13"/>
    <mergeCell ref="Q13:R13"/>
    <mergeCell ref="B12:B14"/>
    <mergeCell ref="C12:F12"/>
    <mergeCell ref="G12:J12"/>
    <mergeCell ref="K12:N12"/>
    <mergeCell ref="O12:R12"/>
    <mergeCell ref="C13:D13"/>
    <mergeCell ref="E13:F13"/>
    <mergeCell ref="G13:H13"/>
    <mergeCell ref="I13:J13"/>
    <mergeCell ref="K13:L13"/>
    <mergeCell ref="B45:B47"/>
    <mergeCell ref="C45:F45"/>
    <mergeCell ref="G45:J45"/>
    <mergeCell ref="K45:N45"/>
    <mergeCell ref="O45:R45"/>
    <mergeCell ref="S45:V45"/>
    <mergeCell ref="C46:D46"/>
    <mergeCell ref="E46:F46"/>
    <mergeCell ref="G46:H46"/>
    <mergeCell ref="I46:J46"/>
    <mergeCell ref="K46:L46"/>
    <mergeCell ref="M46:N46"/>
    <mergeCell ref="O46:P46"/>
    <mergeCell ref="Q46:R46"/>
    <mergeCell ref="S46:T46"/>
    <mergeCell ref="U46:V46"/>
    <mergeCell ref="B54:B56"/>
    <mergeCell ref="C54:F54"/>
    <mergeCell ref="G54:J54"/>
    <mergeCell ref="K54:N54"/>
    <mergeCell ref="O54:R54"/>
    <mergeCell ref="C55:D55"/>
    <mergeCell ref="E55:F55"/>
    <mergeCell ref="G55:H55"/>
    <mergeCell ref="I55:J55"/>
    <mergeCell ref="K55:L55"/>
    <mergeCell ref="M55:N55"/>
    <mergeCell ref="O55:P55"/>
    <mergeCell ref="Q55:R55"/>
    <mergeCell ref="B122:B123"/>
    <mergeCell ref="C122:D122"/>
    <mergeCell ref="E122:G122"/>
    <mergeCell ref="B65:B67"/>
    <mergeCell ref="C65:F65"/>
    <mergeCell ref="G65:G67"/>
    <mergeCell ref="H65:H67"/>
    <mergeCell ref="C66:D66"/>
    <mergeCell ref="E66:F66"/>
    <mergeCell ref="B74:B76"/>
    <mergeCell ref="C74:F74"/>
    <mergeCell ref="G74:J74"/>
    <mergeCell ref="C75:D75"/>
    <mergeCell ref="E75:F75"/>
    <mergeCell ref="G75:H75"/>
    <mergeCell ref="I75:J75"/>
    <mergeCell ref="B82:B84"/>
    <mergeCell ref="C82:C84"/>
    <mergeCell ref="D82:F83"/>
    <mergeCell ref="B88:B90"/>
    <mergeCell ref="C88:C90"/>
    <mergeCell ref="D88:E88"/>
    <mergeCell ref="F88:G89"/>
    <mergeCell ref="D89:E89"/>
  </mergeCells>
  <dataValidations count="8">
    <dataValidation type="whole" allowBlank="1" showInputMessage="1" showErrorMessage="1" errorTitle="Error de ingreso" error="Debe ingresar sólo números." sqref="C49:F52 C38:D43 C33:D33 C35:D36 C58:F64 E33:F43 C67:F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C78:J79 G58:R63 E16:F27 I65:R72 G68:H68 D97:E98 D91:G92 D85:F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G65:H67" xr:uid="{07F6C744-D575-48BF-867B-F5583148929C}"/>
    <dataValidation allowBlank="1" showInputMessage="1" showErrorMessage="1" errorTitle="Error de ingreso" error="Debe ingresar sólo números." sqref="C65:F65" xr:uid="{1E03B818-D14B-4EFF-A0F8-FD7307E76DDE}"/>
    <dataValidation type="whole" operator="greaterThanOrEqual" allowBlank="1" showInputMessage="1" showErrorMessage="1" sqref="C23:D24 C27:D27 C15:R15 C20:D20 C48:V48 C17:D17 C32:R32" xr:uid="{B8ADD3C6-9FE7-4042-85B5-489A0F165A8D}">
      <formula1>0</formula1>
    </dataValidation>
    <dataValidation type="whole" allowBlank="1" showInputMessage="1" showErrorMessage="1" sqref="G16:R27 G33:R43 C16:D16 C18:D19 C21:D22 C25:D26 C34:D34 C37:D37" xr:uid="{EC4C2457-7735-41EA-98BF-105E0678B045}">
      <formula1>0</formula1>
      <formula2>9.99999999999999E+40</formula2>
    </dataValidation>
    <dataValidation type="whole" allowBlank="1" showInputMessage="1" showErrorMessage="1" sqref="G49:V52 C104:F106 D111:H114 C119:J120 C124:G125" xr:uid="{AD75415F-BF34-4609-A7BD-266A2842A54B}">
      <formula1>0</formula1>
      <formula2>9.99999999999999E+38</formula2>
    </dataValidation>
    <dataValidation type="whole" allowBlank="1" showInputMessage="1" showErrorMessage="1" sqref="C69:H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N130"/>
  <sheetViews>
    <sheetView showGridLines="0" zoomScaleNormal="100" workbookViewId="0"/>
  </sheetViews>
  <sheetFormatPr baseColWidth="10" defaultColWidth="11.42578125" defaultRowHeight="15" x14ac:dyDescent="0.25"/>
  <cols>
    <col min="1" max="1" width="20" customWidth="1"/>
    <col min="2" max="2" width="41.85546875" customWidth="1"/>
    <col min="3" max="3" width="17.42578125" customWidth="1"/>
    <col min="4" max="4" width="14.140625" customWidth="1"/>
    <col min="7" max="12" width="11.140625" customWidth="1"/>
    <col min="13" max="13" width="12.42578125" customWidth="1"/>
    <col min="14" max="14" width="12.28515625" customWidth="1"/>
    <col min="15" max="15" width="12.85546875" customWidth="1"/>
    <col min="16" max="16" width="12.140625" customWidth="1"/>
    <col min="17" max="17" width="12" customWidth="1"/>
    <col min="18" max="18" width="13.7109375" customWidth="1"/>
    <col min="19" max="19" width="12.42578125" customWidth="1"/>
    <col min="20" max="20" width="11.140625" customWidth="1"/>
    <col min="21" max="22" width="12.42578125" customWidth="1"/>
    <col min="23" max="23" width="11" customWidth="1"/>
    <col min="24" max="24" width="10.7109375" customWidth="1"/>
    <col min="26" max="26" width="12.28515625" customWidth="1"/>
    <col min="27" max="27" width="13.140625" customWidth="1"/>
    <col min="28" max="28" width="10.28515625" customWidth="1"/>
    <col min="29" max="29" width="12.140625" customWidth="1"/>
    <col min="30" max="30" width="12.42578125" customWidth="1"/>
    <col min="31" max="31" width="12" customWidth="1"/>
    <col min="32" max="32" width="12.7109375" customWidth="1"/>
    <col min="33" max="33" width="11" customWidth="1"/>
    <col min="34" max="35" width="11.7109375" customWidth="1"/>
    <col min="36" max="36" width="10.42578125" customWidth="1"/>
    <col min="37" max="37" width="11.85546875" customWidth="1"/>
    <col min="39" max="39" width="10.85546875" customWidth="1"/>
    <col min="41" max="41" width="11.7109375" customWidth="1"/>
    <col min="45" max="45" width="13.5703125" customWidth="1"/>
    <col min="46" max="46" width="14.42578125" customWidth="1"/>
    <col min="80" max="80" width="11.42578125" customWidth="1"/>
    <col min="81" max="86" width="11.42578125" style="2673" hidden="1" customWidth="1"/>
    <col min="87" max="87" width="11.42578125" hidden="1" customWidth="1"/>
    <col min="88" max="90" width="11.42578125" style="1867" hidden="1" customWidth="1"/>
    <col min="91" max="92" width="11.42578125" hidden="1" customWidth="1"/>
  </cols>
  <sheetData>
    <row r="1" spans="1:91" x14ac:dyDescent="0.25">
      <c r="B1" s="50" t="s">
        <v>23</v>
      </c>
      <c r="CC1"/>
      <c r="CD1"/>
      <c r="CE1"/>
      <c r="CF1"/>
      <c r="CG1"/>
      <c r="CH1"/>
      <c r="CJ1"/>
      <c r="CK1"/>
      <c r="CL1"/>
    </row>
    <row r="2" spans="1:91" x14ac:dyDescent="0.25">
      <c r="B2" s="50" t="str">
        <f>CONCATENATE("COMUNA: ",NOMBRE!B2, " (",NOMBRE!C2,NOMBRE!D2,NOMBRE!E2,NOMBRE!F2,NOMBRE!G2,")")</f>
        <v>COMUNA:  ()</v>
      </c>
      <c r="CC2"/>
      <c r="CD2"/>
      <c r="CE2"/>
      <c r="CF2"/>
      <c r="CG2"/>
      <c r="CH2"/>
      <c r="CJ2"/>
      <c r="CK2"/>
      <c r="CL2"/>
    </row>
    <row r="3" spans="1:91" x14ac:dyDescent="0.25">
      <c r="B3" s="50" t="str">
        <f>CONCATENATE("ESTABLECIMIENTO/ESTRATEGIA: ", NOMBRE!B3, " (",NOMBRE!C3,NOMBRE!D3,NOMBRE!E3,NOMBRE!F3,NOMBRE!G3,NOMBRE!H3,")")</f>
        <v>ESTABLECIMIENTO/ESTRATEGIA:  ()</v>
      </c>
      <c r="CC3"/>
      <c r="CD3"/>
      <c r="CE3"/>
      <c r="CF3"/>
      <c r="CG3"/>
      <c r="CH3"/>
      <c r="CJ3"/>
      <c r="CK3"/>
      <c r="CL3"/>
    </row>
    <row r="4" spans="1:91" x14ac:dyDescent="0.25">
      <c r="B4" s="50" t="str">
        <f>CONCATENATE("MES: ",NOMBRE!B6, " (",NOMBRE!C6,NOMBRE!D6,")")</f>
        <v>MES:  ()</v>
      </c>
      <c r="CC4"/>
      <c r="CD4"/>
      <c r="CE4"/>
      <c r="CF4"/>
      <c r="CG4"/>
      <c r="CH4"/>
      <c r="CJ4"/>
      <c r="CK4"/>
      <c r="CL4"/>
    </row>
    <row r="5" spans="1:91" x14ac:dyDescent="0.25">
      <c r="B5" s="50" t="str">
        <f>CONCATENATE("AÑO: ",NOMBRE!B7)</f>
        <v>AÑO: 2025</v>
      </c>
      <c r="CC5"/>
      <c r="CD5"/>
      <c r="CE5"/>
      <c r="CF5"/>
      <c r="CG5"/>
      <c r="CH5"/>
      <c r="CJ5"/>
      <c r="CK5"/>
      <c r="CL5"/>
    </row>
    <row r="6" spans="1:91" ht="18" customHeight="1" x14ac:dyDescent="0.25">
      <c r="B6" s="6087" t="s">
        <v>3876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CC6"/>
      <c r="CD6"/>
      <c r="CE6"/>
      <c r="CF6"/>
      <c r="CG6"/>
      <c r="CH6"/>
      <c r="CJ6"/>
      <c r="CK6"/>
      <c r="CL6"/>
    </row>
    <row r="7" spans="1:91" x14ac:dyDescent="0.25">
      <c r="CC7"/>
      <c r="CD7"/>
      <c r="CE7"/>
      <c r="CF7"/>
      <c r="CG7"/>
      <c r="CH7"/>
      <c r="CJ7"/>
      <c r="CK7"/>
      <c r="CL7"/>
    </row>
    <row r="8" spans="1:91" s="25" customFormat="1" ht="17.100000000000001" customHeight="1" x14ac:dyDescent="0.15">
      <c r="B8" s="7534" t="s">
        <v>3877</v>
      </c>
      <c r="C8" s="7534"/>
      <c r="D8" s="7534"/>
      <c r="E8" s="7534"/>
      <c r="F8" s="7534"/>
      <c r="G8" s="7534"/>
      <c r="H8" s="7534"/>
      <c r="I8" s="7534"/>
      <c r="J8" s="7534"/>
      <c r="K8" s="7534"/>
      <c r="L8" s="51"/>
    </row>
    <row r="9" spans="1:91" ht="20.100000000000001" customHeight="1" x14ac:dyDescent="0.25">
      <c r="B9" s="7792" t="s">
        <v>3878</v>
      </c>
      <c r="C9" s="7725"/>
      <c r="D9" s="7792" t="s">
        <v>77</v>
      </c>
      <c r="E9" s="7792"/>
      <c r="F9" s="7725"/>
      <c r="G9" s="7793" t="s">
        <v>101</v>
      </c>
      <c r="H9" s="7794"/>
      <c r="I9" s="7794"/>
      <c r="J9" s="7794"/>
      <c r="K9" s="7794"/>
      <c r="L9" s="7794"/>
      <c r="M9" s="7794"/>
      <c r="N9" s="7794"/>
      <c r="O9" s="7794"/>
      <c r="P9" s="7794"/>
      <c r="Q9" s="7794"/>
      <c r="R9" s="7794"/>
      <c r="S9" s="7794"/>
      <c r="T9" s="7794"/>
      <c r="U9" s="7794"/>
      <c r="V9" s="7794"/>
      <c r="W9" s="7794"/>
      <c r="X9" s="7794"/>
      <c r="Y9" s="7794"/>
      <c r="Z9" s="7794"/>
      <c r="AA9" s="7794"/>
      <c r="AB9" s="7794"/>
      <c r="AC9" s="7794"/>
      <c r="AD9" s="7794"/>
      <c r="AE9" s="7794"/>
      <c r="AF9" s="7794"/>
      <c r="AG9" s="7794"/>
      <c r="AH9" s="7794"/>
      <c r="AI9" s="7794"/>
      <c r="AJ9" s="7794"/>
      <c r="AK9" s="7794"/>
      <c r="AL9" s="7794"/>
      <c r="AM9" s="7794"/>
      <c r="AN9" s="7794"/>
      <c r="AO9" s="7804" t="s">
        <v>3879</v>
      </c>
      <c r="AP9" s="7807" t="s">
        <v>597</v>
      </c>
      <c r="AQ9" s="7807" t="s">
        <v>36</v>
      </c>
      <c r="AR9" s="7807" t="s">
        <v>37</v>
      </c>
      <c r="AS9" s="7813" t="s">
        <v>34</v>
      </c>
      <c r="AT9" s="7804" t="s">
        <v>3880</v>
      </c>
      <c r="AU9" s="7813" t="s">
        <v>1265</v>
      </c>
      <c r="AV9" s="7804" t="s">
        <v>2937</v>
      </c>
      <c r="AW9" s="7807" t="s">
        <v>3881</v>
      </c>
      <c r="AX9" s="7810" t="s">
        <v>3882</v>
      </c>
      <c r="CC9"/>
      <c r="CD9"/>
      <c r="CE9"/>
      <c r="CF9"/>
      <c r="CG9"/>
      <c r="CH9"/>
      <c r="CJ9"/>
      <c r="CK9"/>
      <c r="CL9"/>
    </row>
    <row r="10" spans="1:91" ht="18" customHeight="1" x14ac:dyDescent="0.25">
      <c r="B10" s="6469"/>
      <c r="C10" s="6391"/>
      <c r="D10" s="7377"/>
      <c r="E10" s="7377"/>
      <c r="F10" s="7178"/>
      <c r="G10" s="7793" t="s">
        <v>103</v>
      </c>
      <c r="H10" s="7797"/>
      <c r="I10" s="7794" t="s">
        <v>42</v>
      </c>
      <c r="J10" s="7797"/>
      <c r="K10" s="7794" t="s">
        <v>3883</v>
      </c>
      <c r="L10" s="7797"/>
      <c r="M10" s="7793" t="s">
        <v>44</v>
      </c>
      <c r="N10" s="7797"/>
      <c r="O10" s="7374" t="s">
        <v>45</v>
      </c>
      <c r="P10" s="7744"/>
      <c r="Q10" s="7374" t="s">
        <v>46</v>
      </c>
      <c r="R10" s="7744"/>
      <c r="S10" s="7374" t="s">
        <v>47</v>
      </c>
      <c r="T10" s="7744"/>
      <c r="U10" s="7374" t="s">
        <v>48</v>
      </c>
      <c r="V10" s="7744"/>
      <c r="W10" s="7374" t="s">
        <v>49</v>
      </c>
      <c r="X10" s="7744"/>
      <c r="Y10" s="7374" t="s">
        <v>50</v>
      </c>
      <c r="Z10" s="7744"/>
      <c r="AA10" s="7374" t="s">
        <v>51</v>
      </c>
      <c r="AB10" s="7744"/>
      <c r="AC10" s="7374" t="s">
        <v>52</v>
      </c>
      <c r="AD10" s="7744"/>
      <c r="AE10" s="7374" t="s">
        <v>53</v>
      </c>
      <c r="AF10" s="7744"/>
      <c r="AG10" s="7374" t="s">
        <v>54</v>
      </c>
      <c r="AH10" s="7744"/>
      <c r="AI10" s="7374" t="s">
        <v>55</v>
      </c>
      <c r="AJ10" s="7744"/>
      <c r="AK10" s="7374" t="s">
        <v>56</v>
      </c>
      <c r="AL10" s="7744"/>
      <c r="AM10" s="7374" t="s">
        <v>476</v>
      </c>
      <c r="AN10" s="7743"/>
      <c r="AO10" s="7805"/>
      <c r="AP10" s="7808"/>
      <c r="AQ10" s="7808"/>
      <c r="AR10" s="7808"/>
      <c r="AS10" s="7814"/>
      <c r="AT10" s="7805"/>
      <c r="AU10" s="7814"/>
      <c r="AV10" s="7805"/>
      <c r="AW10" s="7808"/>
      <c r="AX10" s="7811"/>
      <c r="CC10"/>
      <c r="CD10"/>
      <c r="CE10"/>
      <c r="CF10"/>
      <c r="CG10"/>
      <c r="CH10"/>
      <c r="CJ10"/>
      <c r="CK10"/>
      <c r="CL10"/>
    </row>
    <row r="11" spans="1:91" ht="18" customHeight="1" x14ac:dyDescent="0.25">
      <c r="B11" s="7377"/>
      <c r="C11" s="7178"/>
      <c r="D11" s="5129" t="s">
        <v>79</v>
      </c>
      <c r="E11" s="5130" t="s">
        <v>58</v>
      </c>
      <c r="F11" s="1782" t="s">
        <v>59</v>
      </c>
      <c r="G11" s="1289" t="s">
        <v>58</v>
      </c>
      <c r="H11" s="5127" t="s">
        <v>59</v>
      </c>
      <c r="I11" s="1209" t="s">
        <v>58</v>
      </c>
      <c r="J11" s="5127" t="s">
        <v>59</v>
      </c>
      <c r="K11" s="1209" t="s">
        <v>58</v>
      </c>
      <c r="L11" s="5127" t="s">
        <v>59</v>
      </c>
      <c r="M11" s="1289" t="s">
        <v>58</v>
      </c>
      <c r="N11" s="5127" t="s">
        <v>59</v>
      </c>
      <c r="O11" s="1289" t="s">
        <v>58</v>
      </c>
      <c r="P11" s="5127" t="s">
        <v>59</v>
      </c>
      <c r="Q11" s="1289" t="s">
        <v>58</v>
      </c>
      <c r="R11" s="5127" t="s">
        <v>59</v>
      </c>
      <c r="S11" s="1289" t="s">
        <v>58</v>
      </c>
      <c r="T11" s="5127" t="s">
        <v>59</v>
      </c>
      <c r="U11" s="1289" t="s">
        <v>58</v>
      </c>
      <c r="V11" s="5127" t="s">
        <v>59</v>
      </c>
      <c r="W11" s="1289" t="s">
        <v>58</v>
      </c>
      <c r="X11" s="5127" t="s">
        <v>59</v>
      </c>
      <c r="Y11" s="1289" t="s">
        <v>58</v>
      </c>
      <c r="Z11" s="5127" t="s">
        <v>59</v>
      </c>
      <c r="AA11" s="1289" t="s">
        <v>58</v>
      </c>
      <c r="AB11" s="5127" t="s">
        <v>59</v>
      </c>
      <c r="AC11" s="1289" t="s">
        <v>58</v>
      </c>
      <c r="AD11" s="5127" t="s">
        <v>59</v>
      </c>
      <c r="AE11" s="1289" t="s">
        <v>58</v>
      </c>
      <c r="AF11" s="5127" t="s">
        <v>59</v>
      </c>
      <c r="AG11" s="1289" t="s">
        <v>58</v>
      </c>
      <c r="AH11" s="5127" t="s">
        <v>59</v>
      </c>
      <c r="AI11" s="1289" t="s">
        <v>58</v>
      </c>
      <c r="AJ11" s="5127" t="s">
        <v>59</v>
      </c>
      <c r="AK11" s="1289" t="s">
        <v>58</v>
      </c>
      <c r="AL11" s="5127" t="s">
        <v>59</v>
      </c>
      <c r="AM11" s="1289" t="s">
        <v>58</v>
      </c>
      <c r="AN11" s="1649" t="s">
        <v>59</v>
      </c>
      <c r="AO11" s="7806"/>
      <c r="AP11" s="7809"/>
      <c r="AQ11" s="7809"/>
      <c r="AR11" s="7809"/>
      <c r="AS11" s="7815"/>
      <c r="AT11" s="7806"/>
      <c r="AU11" s="7815"/>
      <c r="AV11" s="7806"/>
      <c r="AW11" s="7809"/>
      <c r="AX11" s="7812"/>
      <c r="CC11"/>
      <c r="CD11"/>
      <c r="CE11"/>
      <c r="CF11"/>
      <c r="CG11"/>
      <c r="CH11"/>
      <c r="CJ11"/>
      <c r="CK11"/>
      <c r="CL11"/>
    </row>
    <row r="12" spans="1:91" s="19" customFormat="1" ht="15" customHeight="1" x14ac:dyDescent="0.15">
      <c r="A12" s="5609">
        <v>31000000</v>
      </c>
      <c r="B12" s="7801" t="s">
        <v>3884</v>
      </c>
      <c r="C12" s="5131" t="s">
        <v>3885</v>
      </c>
      <c r="D12" s="1160" t="s">
        <v>4567</v>
      </c>
      <c r="E12" s="5020" t="s">
        <v>4568</v>
      </c>
      <c r="F12" s="4784" t="s">
        <v>4569</v>
      </c>
      <c r="G12" s="47" t="s">
        <v>4570</v>
      </c>
      <c r="H12" s="95" t="s">
        <v>4571</v>
      </c>
      <c r="I12" s="4517" t="s">
        <v>4572</v>
      </c>
      <c r="J12" s="95" t="s">
        <v>4573</v>
      </c>
      <c r="K12" s="4517" t="s">
        <v>4574</v>
      </c>
      <c r="L12" s="95" t="s">
        <v>4575</v>
      </c>
      <c r="M12" s="4517" t="s">
        <v>4576</v>
      </c>
      <c r="N12" s="95" t="s">
        <v>4577</v>
      </c>
      <c r="O12" s="4517" t="s">
        <v>4578</v>
      </c>
      <c r="P12" s="95" t="s">
        <v>4579</v>
      </c>
      <c r="Q12" s="4517" t="s">
        <v>4580</v>
      </c>
      <c r="R12" s="95" t="s">
        <v>4581</v>
      </c>
      <c r="S12" s="4517" t="s">
        <v>4582</v>
      </c>
      <c r="T12" s="95" t="s">
        <v>4583</v>
      </c>
      <c r="U12" s="4517" t="s">
        <v>4584</v>
      </c>
      <c r="V12" s="95" t="s">
        <v>4585</v>
      </c>
      <c r="W12" s="4517" t="s">
        <v>4586</v>
      </c>
      <c r="X12" s="95" t="s">
        <v>4587</v>
      </c>
      <c r="Y12" s="4517" t="s">
        <v>4588</v>
      </c>
      <c r="Z12" s="95" t="s">
        <v>4589</v>
      </c>
      <c r="AA12" s="4517" t="s">
        <v>4590</v>
      </c>
      <c r="AB12" s="95" t="s">
        <v>4591</v>
      </c>
      <c r="AC12" s="4517" t="s">
        <v>4592</v>
      </c>
      <c r="AD12" s="95" t="s">
        <v>4593</v>
      </c>
      <c r="AE12" s="4517" t="s">
        <v>4594</v>
      </c>
      <c r="AF12" s="95" t="s">
        <v>4595</v>
      </c>
      <c r="AG12" s="4517" t="s">
        <v>4596</v>
      </c>
      <c r="AH12" s="95" t="s">
        <v>4597</v>
      </c>
      <c r="AI12" s="4517" t="s">
        <v>4598</v>
      </c>
      <c r="AJ12" s="95" t="s">
        <v>4599</v>
      </c>
      <c r="AK12" s="4517" t="s">
        <v>4600</v>
      </c>
      <c r="AL12" s="95" t="s">
        <v>4601</v>
      </c>
      <c r="AM12" s="4517" t="s">
        <v>4602</v>
      </c>
      <c r="AN12" s="3099" t="s">
        <v>4603</v>
      </c>
      <c r="AO12" s="4585" t="s">
        <v>4604</v>
      </c>
      <c r="AP12" s="3145" t="s">
        <v>4605</v>
      </c>
      <c r="AQ12" s="242" t="s">
        <v>4606</v>
      </c>
      <c r="AR12" s="242" t="s">
        <v>4934</v>
      </c>
      <c r="AS12" s="5132" t="s">
        <v>4935</v>
      </c>
      <c r="AT12" s="74" t="s">
        <v>4936</v>
      </c>
      <c r="AU12" s="5132" t="s">
        <v>4937</v>
      </c>
      <c r="AV12" s="74" t="s">
        <v>5234</v>
      </c>
      <c r="AW12" s="242" t="s">
        <v>5235</v>
      </c>
      <c r="AX12" s="42" t="s">
        <v>5236</v>
      </c>
      <c r="AY12" s="19" t="str">
        <f>CC12&amp;CD12&amp;CE12&amp;CF12&amp;CG12&amp;CH12</f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2" s="83" t="str">
        <f>IF(AND(D12&gt;0,AP12="")," * No olvide digitar la variable Beneficiarios. Digite Cero si no tiene.",IF(AP12&gt;D12,"  * La variable Beneficiarios No puede ser mayor al Total.",""))</f>
        <v xml:space="preserve">  * La variable Beneficiarios No puede ser mayor al Total.</v>
      </c>
      <c r="CD12" s="83" t="str">
        <f>IF(AND(D12&gt;0,AQ12="")," * No olvide digitar la variable Pueblos originarios. Digite Cero si no tiene.",IF(AQ12&gt;D12,"  * La variable pueblos originarios No puede ser mayor al Total.",""))</f>
        <v xml:space="preserve">  * La variable pueblos originarios No puede ser mayor al Total.</v>
      </c>
      <c r="CE12" s="83" t="str">
        <f>IF(AND(D12&gt;0,AR12="")," * No olvide digitar la variable Migrantes. Digite Cero si no tiene.",IF(AR12&gt;D12,"  * La variable Migrantes No puede ser mayor al Total.",""))</f>
        <v xml:space="preserve">  * La variable Migrantes No puede ser mayor al Total.</v>
      </c>
      <c r="CF12" s="83" t="str">
        <f>IF(AND(D12&gt;0,AS12="")," * No olvide digitar la variable Niños, niñas, adolescentes y Jóvenes SENAME. Digite Cero si no tiene.",IF(AS12&gt;D12,"  * La variable Niños, niñas, adolescentes y Jóvenes SENAME No puede ser mayor al Total.",""))</f>
        <v xml:space="preserve">  * La variable Niños, niñas, adolescentes y Jóvenes SENAME No puede ser mayor al Total.</v>
      </c>
      <c r="CG12" s="83"/>
      <c r="CH12" s="83"/>
      <c r="CJ12" s="84">
        <f>IF(AND(D12&gt;0,AP12=""),1,IF(AP12&gt;D12,1,0))</f>
        <v>1</v>
      </c>
      <c r="CK12" s="84">
        <f>IF(AND(D12&gt;0,AQ12=""),1,IF(AQ12&gt;D12,1,0))</f>
        <v>1</v>
      </c>
      <c r="CL12" s="84">
        <f>IF(AND(D12&gt;0,AR12=""),1,IF(AR12&gt;D12,1,0))</f>
        <v>1</v>
      </c>
      <c r="CM12" s="84">
        <f>IF(AND(D12&gt;0,AS12=""),1,IF(AS12&gt;D12,1,0))</f>
        <v>1</v>
      </c>
    </row>
    <row r="13" spans="1:91" s="19" customFormat="1" ht="15" customHeight="1" x14ac:dyDescent="0.15">
      <c r="A13" s="5609">
        <v>31000001</v>
      </c>
      <c r="B13" s="7802"/>
      <c r="C13" s="4711" t="s">
        <v>3886</v>
      </c>
      <c r="D13" s="5033" t="s">
        <v>4567</v>
      </c>
      <c r="E13" s="5032" t="s">
        <v>4568</v>
      </c>
      <c r="F13" s="3062" t="s">
        <v>4569</v>
      </c>
      <c r="G13" s="192" t="s">
        <v>4570</v>
      </c>
      <c r="H13" s="382" t="s">
        <v>4571</v>
      </c>
      <c r="I13" s="481" t="s">
        <v>4572</v>
      </c>
      <c r="J13" s="382" t="s">
        <v>4573</v>
      </c>
      <c r="K13" s="481" t="s">
        <v>4574</v>
      </c>
      <c r="L13" s="382" t="s">
        <v>4575</v>
      </c>
      <c r="M13" s="481" t="s">
        <v>4576</v>
      </c>
      <c r="N13" s="382" t="s">
        <v>4577</v>
      </c>
      <c r="O13" s="481" t="s">
        <v>4578</v>
      </c>
      <c r="P13" s="382" t="s">
        <v>4579</v>
      </c>
      <c r="Q13" s="481" t="s">
        <v>4580</v>
      </c>
      <c r="R13" s="382" t="s">
        <v>4581</v>
      </c>
      <c r="S13" s="481" t="s">
        <v>4582</v>
      </c>
      <c r="T13" s="382" t="s">
        <v>4583</v>
      </c>
      <c r="U13" s="481" t="s">
        <v>4584</v>
      </c>
      <c r="V13" s="382" t="s">
        <v>4585</v>
      </c>
      <c r="W13" s="481" t="s">
        <v>4586</v>
      </c>
      <c r="X13" s="382" t="s">
        <v>4587</v>
      </c>
      <c r="Y13" s="481" t="s">
        <v>4588</v>
      </c>
      <c r="Z13" s="382" t="s">
        <v>4589</v>
      </c>
      <c r="AA13" s="481" t="s">
        <v>4590</v>
      </c>
      <c r="AB13" s="382" t="s">
        <v>4591</v>
      </c>
      <c r="AC13" s="481" t="s">
        <v>4592</v>
      </c>
      <c r="AD13" s="382" t="s">
        <v>4593</v>
      </c>
      <c r="AE13" s="481" t="s">
        <v>4594</v>
      </c>
      <c r="AF13" s="382" t="s">
        <v>4595</v>
      </c>
      <c r="AG13" s="481" t="s">
        <v>4596</v>
      </c>
      <c r="AH13" s="382" t="s">
        <v>4597</v>
      </c>
      <c r="AI13" s="481" t="s">
        <v>4598</v>
      </c>
      <c r="AJ13" s="382" t="s">
        <v>4599</v>
      </c>
      <c r="AK13" s="481" t="s">
        <v>4600</v>
      </c>
      <c r="AL13" s="382" t="s">
        <v>4601</v>
      </c>
      <c r="AM13" s="481" t="s">
        <v>4602</v>
      </c>
      <c r="AN13" s="1098" t="s">
        <v>4603</v>
      </c>
      <c r="AO13" s="4747" t="s">
        <v>4604</v>
      </c>
      <c r="AP13" s="580" t="s">
        <v>4605</v>
      </c>
      <c r="AQ13" s="580" t="s">
        <v>4606</v>
      </c>
      <c r="AR13" s="580" t="s">
        <v>4934</v>
      </c>
      <c r="AS13" s="64" t="s">
        <v>4935</v>
      </c>
      <c r="AT13" s="376" t="s">
        <v>4936</v>
      </c>
      <c r="AU13" s="64" t="s">
        <v>4937</v>
      </c>
      <c r="AV13" s="376" t="s">
        <v>5234</v>
      </c>
      <c r="AW13" s="580" t="s">
        <v>5235</v>
      </c>
      <c r="AX13" s="2" t="s">
        <v>5236</v>
      </c>
      <c r="AY13" s="19" t="str">
        <f t="shared" ref="AY13:AY27" si="0">CC13&amp;CD13&amp;CE13&amp;CF13&amp;CG13&amp;CH13</f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3" s="83" t="str">
        <f t="shared" ref="CC13:CC27" si="1">IF(AND(D13&gt;0,AP13="")," * No olvide digitar la variable Beneficiarios. Digite Cero si no tiene.",IF(AP13&gt;D13,"  * La variable Beneficiarios No puede ser mayor al Total.",""))</f>
        <v xml:space="preserve">  * La variable Beneficiarios No puede ser mayor al Total.</v>
      </c>
      <c r="CD13" s="83" t="str">
        <f t="shared" ref="CD13:CD27" si="2">IF(AND(D13&gt;0,AQ13="")," * No olvide digitar la variable Pueblos originarios. Digite Cero si no tiene.",IF(AQ13&gt;D13,"  * La variable pueblos originarios No puede ser mayor al Total.",""))</f>
        <v xml:space="preserve">  * La variable pueblos originarios No puede ser mayor al Total.</v>
      </c>
      <c r="CE13" s="83" t="str">
        <f t="shared" ref="CE13:CE27" si="3">IF(AND(D13&gt;0,AR13="")," * No olvide digitar la variable Migrantes. Digite Cero si no tiene.",IF(AR13&gt;D13,"  * La variable Migrantes No puede ser mayor al Total.",""))</f>
        <v xml:space="preserve">  * La variable Migrantes No puede ser mayor al Total.</v>
      </c>
      <c r="CF13" s="83" t="str">
        <f t="shared" ref="CF13:CF27" si="4">IF(AND(D13&gt;0,AS13="")," * No olvide digitar la variable Niños, niñas, adolescentes y Jóvenes SENAME. Digite Cero si no tiene.",IF(AS13&gt;D13,"  * La variable Niños, niñas, adolescentes y Jóvenes SENAME No puede ser mayor al Total.",""))</f>
        <v xml:space="preserve">  * La variable Niños, niñas, adolescentes y Jóvenes SENAME No puede ser mayor al Total.</v>
      </c>
      <c r="CG13" s="83"/>
      <c r="CH13" s="83"/>
      <c r="CJ13" s="84">
        <f t="shared" ref="CJ13:CJ27" si="5">IF(AND(D13&gt;0,AP13=""),1,IF(AP13&gt;D13,1,0))</f>
        <v>1</v>
      </c>
      <c r="CK13" s="84">
        <f t="shared" ref="CK13:CK27" si="6">IF(AND(D13&gt;0,AQ13=""),1,IF(AQ13&gt;D13,1,0))</f>
        <v>1</v>
      </c>
      <c r="CL13" s="84">
        <f t="shared" ref="CL13:CL27" si="7">IF(AND(D13&gt;0,AR13=""),1,IF(AR13&gt;D13,1,0))</f>
        <v>1</v>
      </c>
      <c r="CM13" s="84">
        <f t="shared" ref="CM13:CM27" si="8">IF(AND(D13&gt;0,AS13=""),1,IF(AS13&gt;D13,1,0))</f>
        <v>1</v>
      </c>
    </row>
    <row r="14" spans="1:91" s="19" customFormat="1" ht="15" customHeight="1" x14ac:dyDescent="0.15">
      <c r="A14" s="5609">
        <v>31000002</v>
      </c>
      <c r="B14" s="7312"/>
      <c r="C14" s="4712" t="s">
        <v>3887</v>
      </c>
      <c r="D14" s="4989" t="s">
        <v>4567</v>
      </c>
      <c r="E14" s="3075" t="s">
        <v>4568</v>
      </c>
      <c r="F14" s="484" t="s">
        <v>4569</v>
      </c>
      <c r="G14" s="1114" t="s">
        <v>4570</v>
      </c>
      <c r="H14" s="1115" t="s">
        <v>4571</v>
      </c>
      <c r="I14" s="1127" t="s">
        <v>4572</v>
      </c>
      <c r="J14" s="1115" t="s">
        <v>4573</v>
      </c>
      <c r="K14" s="1127" t="s">
        <v>4574</v>
      </c>
      <c r="L14" s="1115" t="s">
        <v>4575</v>
      </c>
      <c r="M14" s="1127" t="s">
        <v>4576</v>
      </c>
      <c r="N14" s="1115" t="s">
        <v>4577</v>
      </c>
      <c r="O14" s="1127" t="s">
        <v>4578</v>
      </c>
      <c r="P14" s="1115" t="s">
        <v>4579</v>
      </c>
      <c r="Q14" s="1127" t="s">
        <v>4580</v>
      </c>
      <c r="R14" s="1115" t="s">
        <v>4581</v>
      </c>
      <c r="S14" s="1127" t="s">
        <v>4582</v>
      </c>
      <c r="T14" s="1115" t="s">
        <v>4583</v>
      </c>
      <c r="U14" s="1127" t="s">
        <v>4584</v>
      </c>
      <c r="V14" s="1115" t="s">
        <v>4585</v>
      </c>
      <c r="W14" s="1127" t="s">
        <v>4586</v>
      </c>
      <c r="X14" s="1115" t="s">
        <v>4587</v>
      </c>
      <c r="Y14" s="1127" t="s">
        <v>4588</v>
      </c>
      <c r="Z14" s="1115" t="s">
        <v>4589</v>
      </c>
      <c r="AA14" s="1127" t="s">
        <v>4590</v>
      </c>
      <c r="AB14" s="1115" t="s">
        <v>4591</v>
      </c>
      <c r="AC14" s="1127" t="s">
        <v>4592</v>
      </c>
      <c r="AD14" s="1115" t="s">
        <v>4593</v>
      </c>
      <c r="AE14" s="1127" t="s">
        <v>4594</v>
      </c>
      <c r="AF14" s="1115" t="s">
        <v>4595</v>
      </c>
      <c r="AG14" s="1127" t="s">
        <v>4596</v>
      </c>
      <c r="AH14" s="1115" t="s">
        <v>4597</v>
      </c>
      <c r="AI14" s="1127" t="s">
        <v>4598</v>
      </c>
      <c r="AJ14" s="1115" t="s">
        <v>4599</v>
      </c>
      <c r="AK14" s="1127" t="s">
        <v>4600</v>
      </c>
      <c r="AL14" s="1115" t="s">
        <v>4601</v>
      </c>
      <c r="AM14" s="1127" t="s">
        <v>4602</v>
      </c>
      <c r="AN14" s="1128" t="s">
        <v>4603</v>
      </c>
      <c r="AO14" s="3749" t="s">
        <v>4604</v>
      </c>
      <c r="AP14" s="1258" t="s">
        <v>4605</v>
      </c>
      <c r="AQ14" s="1258" t="s">
        <v>4606</v>
      </c>
      <c r="AR14" s="1258" t="s">
        <v>4934</v>
      </c>
      <c r="AS14" s="557" t="s">
        <v>4935</v>
      </c>
      <c r="AT14" s="1303" t="s">
        <v>4936</v>
      </c>
      <c r="AU14" s="557" t="s">
        <v>4937</v>
      </c>
      <c r="AV14" s="1303" t="s">
        <v>5234</v>
      </c>
      <c r="AW14" s="1258" t="s">
        <v>5235</v>
      </c>
      <c r="AX14" s="387" t="s">
        <v>5236</v>
      </c>
      <c r="AY14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4" s="83" t="str">
        <f t="shared" si="1"/>
        <v xml:space="preserve">  * La variable Beneficiarios No puede ser mayor al Total.</v>
      </c>
      <c r="CD14" s="83" t="str">
        <f t="shared" si="2"/>
        <v xml:space="preserve">  * La variable pueblos originarios No puede ser mayor al Total.</v>
      </c>
      <c r="CE14" s="83" t="str">
        <f t="shared" si="3"/>
        <v xml:space="preserve">  * La variable Migrantes No puede ser mayor al Total.</v>
      </c>
      <c r="CF14" s="83" t="str">
        <f t="shared" si="4"/>
        <v xml:space="preserve">  * La variable Niños, niñas, adolescentes y Jóvenes SENAME No puede ser mayor al Total.</v>
      </c>
      <c r="CG14" s="83"/>
      <c r="CH14" s="83"/>
      <c r="CJ14" s="84">
        <f t="shared" si="5"/>
        <v>1</v>
      </c>
      <c r="CK14" s="84">
        <f t="shared" si="6"/>
        <v>1</v>
      </c>
      <c r="CL14" s="84">
        <f t="shared" si="7"/>
        <v>1</v>
      </c>
      <c r="CM14" s="84">
        <f t="shared" si="8"/>
        <v>1</v>
      </c>
    </row>
    <row r="15" spans="1:91" s="19" customFormat="1" ht="15" customHeight="1" x14ac:dyDescent="0.15">
      <c r="A15" s="5609">
        <v>31000039</v>
      </c>
      <c r="B15" s="6178" t="s">
        <v>3888</v>
      </c>
      <c r="C15" s="5000" t="s">
        <v>3889</v>
      </c>
      <c r="D15" s="5133" t="s">
        <v>4567</v>
      </c>
      <c r="E15" s="5134" t="s">
        <v>4568</v>
      </c>
      <c r="F15" s="5135" t="s">
        <v>4569</v>
      </c>
      <c r="G15" s="290" t="s">
        <v>4570</v>
      </c>
      <c r="H15" s="622" t="s">
        <v>4571</v>
      </c>
      <c r="I15" s="22" t="s">
        <v>4572</v>
      </c>
      <c r="J15" s="622" t="s">
        <v>4573</v>
      </c>
      <c r="K15" s="22" t="s">
        <v>4574</v>
      </c>
      <c r="L15" s="107" t="s">
        <v>4575</v>
      </c>
      <c r="M15" s="22" t="s">
        <v>4576</v>
      </c>
      <c r="N15" s="107" t="s">
        <v>4577</v>
      </c>
      <c r="O15" s="22" t="s">
        <v>4578</v>
      </c>
      <c r="P15" s="107" t="s">
        <v>4579</v>
      </c>
      <c r="Q15" s="22" t="s">
        <v>4580</v>
      </c>
      <c r="R15" s="107" t="s">
        <v>4581</v>
      </c>
      <c r="S15" s="22" t="s">
        <v>4582</v>
      </c>
      <c r="T15" s="107" t="s">
        <v>4583</v>
      </c>
      <c r="U15" s="22" t="s">
        <v>4584</v>
      </c>
      <c r="V15" s="107" t="s">
        <v>4585</v>
      </c>
      <c r="W15" s="22" t="s">
        <v>4586</v>
      </c>
      <c r="X15" s="107" t="s">
        <v>4587</v>
      </c>
      <c r="Y15" s="22" t="s">
        <v>4588</v>
      </c>
      <c r="Z15" s="107" t="s">
        <v>4589</v>
      </c>
      <c r="AA15" s="22" t="s">
        <v>4590</v>
      </c>
      <c r="AB15" s="107" t="s">
        <v>4591</v>
      </c>
      <c r="AC15" s="22" t="s">
        <v>4592</v>
      </c>
      <c r="AD15" s="107" t="s">
        <v>4593</v>
      </c>
      <c r="AE15" s="22" t="s">
        <v>4594</v>
      </c>
      <c r="AF15" s="107" t="s">
        <v>4595</v>
      </c>
      <c r="AG15" s="22" t="s">
        <v>4596</v>
      </c>
      <c r="AH15" s="107" t="s">
        <v>4597</v>
      </c>
      <c r="AI15" s="22" t="s">
        <v>4598</v>
      </c>
      <c r="AJ15" s="107" t="s">
        <v>4599</v>
      </c>
      <c r="AK15" s="22" t="s">
        <v>4600</v>
      </c>
      <c r="AL15" s="107" t="s">
        <v>4601</v>
      </c>
      <c r="AM15" s="22" t="s">
        <v>4602</v>
      </c>
      <c r="AN15" s="65" t="s">
        <v>4603</v>
      </c>
      <c r="AO15" s="4579" t="s">
        <v>4604</v>
      </c>
      <c r="AP15" s="531" t="s">
        <v>4605</v>
      </c>
      <c r="AQ15" s="531" t="s">
        <v>4606</v>
      </c>
      <c r="AR15" s="531" t="s">
        <v>4934</v>
      </c>
      <c r="AS15" s="65" t="s">
        <v>4935</v>
      </c>
      <c r="AT15" s="296" t="s">
        <v>4936</v>
      </c>
      <c r="AU15" s="65" t="s">
        <v>4937</v>
      </c>
      <c r="AV15" s="296" t="s">
        <v>5234</v>
      </c>
      <c r="AW15" s="531" t="s">
        <v>5235</v>
      </c>
      <c r="AX15" s="107" t="s">
        <v>5236</v>
      </c>
      <c r="AY15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5" s="83" t="str">
        <f t="shared" si="1"/>
        <v xml:space="preserve">  * La variable Beneficiarios No puede ser mayor al Total.</v>
      </c>
      <c r="CD15" s="83" t="str">
        <f t="shared" si="2"/>
        <v xml:space="preserve">  * La variable pueblos originarios No puede ser mayor al Total.</v>
      </c>
      <c r="CE15" s="83" t="str">
        <f t="shared" si="3"/>
        <v xml:space="preserve">  * La variable Migrantes No puede ser mayor al Total.</v>
      </c>
      <c r="CF15" s="83" t="str">
        <f t="shared" si="4"/>
        <v xml:space="preserve">  * La variable Niños, niñas, adolescentes y Jóvenes SENAME No puede ser mayor al Total.</v>
      </c>
      <c r="CG15" s="83"/>
      <c r="CH15" s="83"/>
      <c r="CJ15" s="84">
        <f t="shared" si="5"/>
        <v>1</v>
      </c>
      <c r="CK15" s="84">
        <f t="shared" si="6"/>
        <v>1</v>
      </c>
      <c r="CL15" s="84">
        <f t="shared" si="7"/>
        <v>1</v>
      </c>
      <c r="CM15" s="84">
        <f t="shared" si="8"/>
        <v>1</v>
      </c>
    </row>
    <row r="16" spans="1:91" s="19" customFormat="1" ht="15" customHeight="1" x14ac:dyDescent="0.15">
      <c r="A16" s="5609">
        <v>31000040</v>
      </c>
      <c r="B16" s="6178"/>
      <c r="C16" s="5136" t="s">
        <v>3890</v>
      </c>
      <c r="D16" s="5133" t="s">
        <v>4567</v>
      </c>
      <c r="E16" s="5134" t="s">
        <v>4568</v>
      </c>
      <c r="F16" s="2935" t="s">
        <v>4569</v>
      </c>
      <c r="G16" s="290" t="s">
        <v>4570</v>
      </c>
      <c r="H16" s="622" t="s">
        <v>4571</v>
      </c>
      <c r="I16" s="22" t="s">
        <v>4572</v>
      </c>
      <c r="J16" s="622" t="s">
        <v>4573</v>
      </c>
      <c r="K16" s="22" t="s">
        <v>4574</v>
      </c>
      <c r="L16" s="107" t="s">
        <v>4575</v>
      </c>
      <c r="M16" s="22" t="s">
        <v>4576</v>
      </c>
      <c r="N16" s="107" t="s">
        <v>4577</v>
      </c>
      <c r="O16" s="22" t="s">
        <v>4578</v>
      </c>
      <c r="P16" s="107" t="s">
        <v>4579</v>
      </c>
      <c r="Q16" s="22" t="s">
        <v>4580</v>
      </c>
      <c r="R16" s="107" t="s">
        <v>4581</v>
      </c>
      <c r="S16" s="22" t="s">
        <v>4582</v>
      </c>
      <c r="T16" s="107" t="s">
        <v>4583</v>
      </c>
      <c r="U16" s="22" t="s">
        <v>4584</v>
      </c>
      <c r="V16" s="107" t="s">
        <v>4585</v>
      </c>
      <c r="W16" s="22" t="s">
        <v>4586</v>
      </c>
      <c r="X16" s="107" t="s">
        <v>4587</v>
      </c>
      <c r="Y16" s="22" t="s">
        <v>4588</v>
      </c>
      <c r="Z16" s="107" t="s">
        <v>4589</v>
      </c>
      <c r="AA16" s="22" t="s">
        <v>4590</v>
      </c>
      <c r="AB16" s="107" t="s">
        <v>4591</v>
      </c>
      <c r="AC16" s="22" t="s">
        <v>4592</v>
      </c>
      <c r="AD16" s="107" t="s">
        <v>4593</v>
      </c>
      <c r="AE16" s="22" t="s">
        <v>4594</v>
      </c>
      <c r="AF16" s="107" t="s">
        <v>4595</v>
      </c>
      <c r="AG16" s="22" t="s">
        <v>4596</v>
      </c>
      <c r="AH16" s="107" t="s">
        <v>4597</v>
      </c>
      <c r="AI16" s="22" t="s">
        <v>4598</v>
      </c>
      <c r="AJ16" s="107" t="s">
        <v>4599</v>
      </c>
      <c r="AK16" s="22" t="s">
        <v>4600</v>
      </c>
      <c r="AL16" s="107" t="s">
        <v>4601</v>
      </c>
      <c r="AM16" s="22" t="s">
        <v>4602</v>
      </c>
      <c r="AN16" s="65" t="s">
        <v>4603</v>
      </c>
      <c r="AO16" s="4579" t="s">
        <v>4604</v>
      </c>
      <c r="AP16" s="531" t="s">
        <v>4605</v>
      </c>
      <c r="AQ16" s="531" t="s">
        <v>4606</v>
      </c>
      <c r="AR16" s="531" t="s">
        <v>4934</v>
      </c>
      <c r="AS16" s="65" t="s">
        <v>4935</v>
      </c>
      <c r="AT16" s="296" t="s">
        <v>4936</v>
      </c>
      <c r="AU16" s="65" t="s">
        <v>4937</v>
      </c>
      <c r="AV16" s="296" t="s">
        <v>5234</v>
      </c>
      <c r="AW16" s="531" t="s">
        <v>5235</v>
      </c>
      <c r="AX16" s="107" t="s">
        <v>5236</v>
      </c>
      <c r="AY16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6" s="83" t="str">
        <f t="shared" si="1"/>
        <v xml:space="preserve">  * La variable Beneficiarios No puede ser mayor al Total.</v>
      </c>
      <c r="CD16" s="83" t="str">
        <f t="shared" si="2"/>
        <v xml:space="preserve">  * La variable pueblos originarios No puede ser mayor al Total.</v>
      </c>
      <c r="CE16" s="83" t="str">
        <f t="shared" si="3"/>
        <v xml:space="preserve">  * La variable Migrantes No puede ser mayor al Total.</v>
      </c>
      <c r="CF16" s="83" t="str">
        <f t="shared" si="4"/>
        <v xml:space="preserve">  * La variable Niños, niñas, adolescentes y Jóvenes SENAME No puede ser mayor al Total.</v>
      </c>
      <c r="CG16" s="83"/>
      <c r="CH16" s="83"/>
      <c r="CJ16" s="84">
        <f t="shared" si="5"/>
        <v>1</v>
      </c>
      <c r="CK16" s="84">
        <f t="shared" si="6"/>
        <v>1</v>
      </c>
      <c r="CL16" s="84">
        <f t="shared" si="7"/>
        <v>1</v>
      </c>
      <c r="CM16" s="84">
        <f t="shared" si="8"/>
        <v>1</v>
      </c>
    </row>
    <row r="17" spans="1:91" s="19" customFormat="1" ht="15" customHeight="1" x14ac:dyDescent="0.15">
      <c r="A17" s="5609">
        <v>31000007</v>
      </c>
      <c r="B17" s="6178"/>
      <c r="C17" s="5136" t="s">
        <v>3891</v>
      </c>
      <c r="D17" s="5133" t="s">
        <v>4567</v>
      </c>
      <c r="E17" s="3501" t="s">
        <v>4568</v>
      </c>
      <c r="F17" s="2935" t="s">
        <v>4569</v>
      </c>
      <c r="G17" s="290" t="s">
        <v>4570</v>
      </c>
      <c r="H17" s="622" t="s">
        <v>4571</v>
      </c>
      <c r="I17" s="22" t="s">
        <v>4572</v>
      </c>
      <c r="J17" s="622" t="s">
        <v>4573</v>
      </c>
      <c r="K17" s="22" t="s">
        <v>4574</v>
      </c>
      <c r="L17" s="107" t="s">
        <v>4575</v>
      </c>
      <c r="M17" s="22" t="s">
        <v>4576</v>
      </c>
      <c r="N17" s="107" t="s">
        <v>4577</v>
      </c>
      <c r="O17" s="22" t="s">
        <v>4578</v>
      </c>
      <c r="P17" s="107" t="s">
        <v>4579</v>
      </c>
      <c r="Q17" s="22" t="s">
        <v>4580</v>
      </c>
      <c r="R17" s="107" t="s">
        <v>4581</v>
      </c>
      <c r="S17" s="22" t="s">
        <v>4582</v>
      </c>
      <c r="T17" s="107" t="s">
        <v>4583</v>
      </c>
      <c r="U17" s="22" t="s">
        <v>4584</v>
      </c>
      <c r="V17" s="107" t="s">
        <v>4585</v>
      </c>
      <c r="W17" s="22" t="s">
        <v>4586</v>
      </c>
      <c r="X17" s="107" t="s">
        <v>4587</v>
      </c>
      <c r="Y17" s="22" t="s">
        <v>4588</v>
      </c>
      <c r="Z17" s="107" t="s">
        <v>4589</v>
      </c>
      <c r="AA17" s="22" t="s">
        <v>4590</v>
      </c>
      <c r="AB17" s="107" t="s">
        <v>4591</v>
      </c>
      <c r="AC17" s="22" t="s">
        <v>4592</v>
      </c>
      <c r="AD17" s="107" t="s">
        <v>4593</v>
      </c>
      <c r="AE17" s="22" t="s">
        <v>4594</v>
      </c>
      <c r="AF17" s="107" t="s">
        <v>4595</v>
      </c>
      <c r="AG17" s="22" t="s">
        <v>4596</v>
      </c>
      <c r="AH17" s="107" t="s">
        <v>4597</v>
      </c>
      <c r="AI17" s="22" t="s">
        <v>4598</v>
      </c>
      <c r="AJ17" s="107" t="s">
        <v>4599</v>
      </c>
      <c r="AK17" s="22" t="s">
        <v>4600</v>
      </c>
      <c r="AL17" s="107" t="s">
        <v>4601</v>
      </c>
      <c r="AM17" s="22" t="s">
        <v>4602</v>
      </c>
      <c r="AN17" s="65" t="s">
        <v>4603</v>
      </c>
      <c r="AO17" s="4579" t="s">
        <v>4604</v>
      </c>
      <c r="AP17" s="531" t="s">
        <v>4605</v>
      </c>
      <c r="AQ17" s="531" t="s">
        <v>4606</v>
      </c>
      <c r="AR17" s="531" t="s">
        <v>4934</v>
      </c>
      <c r="AS17" s="65" t="s">
        <v>4935</v>
      </c>
      <c r="AT17" s="296" t="s">
        <v>4936</v>
      </c>
      <c r="AU17" s="65" t="s">
        <v>4937</v>
      </c>
      <c r="AV17" s="296" t="s">
        <v>5234</v>
      </c>
      <c r="AW17" s="531" t="s">
        <v>5235</v>
      </c>
      <c r="AX17" s="107" t="s">
        <v>5236</v>
      </c>
      <c r="AY17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7" s="83" t="str">
        <f t="shared" si="1"/>
        <v xml:space="preserve">  * La variable Beneficiarios No puede ser mayor al Total.</v>
      </c>
      <c r="CD17" s="83" t="str">
        <f t="shared" si="2"/>
        <v xml:space="preserve">  * La variable pueblos originarios No puede ser mayor al Total.</v>
      </c>
      <c r="CE17" s="83" t="str">
        <f t="shared" si="3"/>
        <v xml:space="preserve">  * La variable Migrantes No puede ser mayor al Total.</v>
      </c>
      <c r="CF17" s="83" t="str">
        <f t="shared" si="4"/>
        <v xml:space="preserve">  * La variable Niños, niñas, adolescentes y Jóvenes SENAME No puede ser mayor al Total.</v>
      </c>
      <c r="CG17" s="83"/>
      <c r="CH17" s="83"/>
      <c r="CJ17" s="84">
        <f t="shared" si="5"/>
        <v>1</v>
      </c>
      <c r="CK17" s="84">
        <f t="shared" si="6"/>
        <v>1</v>
      </c>
      <c r="CL17" s="84">
        <f t="shared" si="7"/>
        <v>1</v>
      </c>
      <c r="CM17" s="84">
        <f t="shared" si="8"/>
        <v>1</v>
      </c>
    </row>
    <row r="18" spans="1:91" s="19" customFormat="1" ht="15" customHeight="1" x14ac:dyDescent="0.15">
      <c r="A18" s="5609">
        <v>31000041</v>
      </c>
      <c r="B18" s="6178"/>
      <c r="C18" s="5136" t="s">
        <v>3892</v>
      </c>
      <c r="D18" s="5133" t="s">
        <v>4567</v>
      </c>
      <c r="E18" s="5134" t="s">
        <v>4568</v>
      </c>
      <c r="F18" s="2935" t="s">
        <v>4569</v>
      </c>
      <c r="G18" s="290" t="s">
        <v>4570</v>
      </c>
      <c r="H18" s="622" t="s">
        <v>4571</v>
      </c>
      <c r="I18" s="22" t="s">
        <v>4572</v>
      </c>
      <c r="J18" s="622" t="s">
        <v>4573</v>
      </c>
      <c r="K18" s="22" t="s">
        <v>4574</v>
      </c>
      <c r="L18" s="107" t="s">
        <v>4575</v>
      </c>
      <c r="M18" s="22" t="s">
        <v>4576</v>
      </c>
      <c r="N18" s="107" t="s">
        <v>4577</v>
      </c>
      <c r="O18" s="22" t="s">
        <v>4578</v>
      </c>
      <c r="P18" s="107" t="s">
        <v>4579</v>
      </c>
      <c r="Q18" s="22" t="s">
        <v>4580</v>
      </c>
      <c r="R18" s="107" t="s">
        <v>4581</v>
      </c>
      <c r="S18" s="22" t="s">
        <v>4582</v>
      </c>
      <c r="T18" s="107" t="s">
        <v>4583</v>
      </c>
      <c r="U18" s="22" t="s">
        <v>4584</v>
      </c>
      <c r="V18" s="107" t="s">
        <v>4585</v>
      </c>
      <c r="W18" s="22" t="s">
        <v>4586</v>
      </c>
      <c r="X18" s="107" t="s">
        <v>4587</v>
      </c>
      <c r="Y18" s="22" t="s">
        <v>4588</v>
      </c>
      <c r="Z18" s="107" t="s">
        <v>4589</v>
      </c>
      <c r="AA18" s="22" t="s">
        <v>4590</v>
      </c>
      <c r="AB18" s="107" t="s">
        <v>4591</v>
      </c>
      <c r="AC18" s="22" t="s">
        <v>4592</v>
      </c>
      <c r="AD18" s="107" t="s">
        <v>4593</v>
      </c>
      <c r="AE18" s="22" t="s">
        <v>4594</v>
      </c>
      <c r="AF18" s="107" t="s">
        <v>4595</v>
      </c>
      <c r="AG18" s="22" t="s">
        <v>4596</v>
      </c>
      <c r="AH18" s="107" t="s">
        <v>4597</v>
      </c>
      <c r="AI18" s="22" t="s">
        <v>4598</v>
      </c>
      <c r="AJ18" s="107" t="s">
        <v>4599</v>
      </c>
      <c r="AK18" s="22" t="s">
        <v>4600</v>
      </c>
      <c r="AL18" s="107" t="s">
        <v>4601</v>
      </c>
      <c r="AM18" s="22" t="s">
        <v>4602</v>
      </c>
      <c r="AN18" s="65" t="s">
        <v>4603</v>
      </c>
      <c r="AO18" s="4579" t="s">
        <v>4604</v>
      </c>
      <c r="AP18" s="531" t="s">
        <v>4605</v>
      </c>
      <c r="AQ18" s="531" t="s">
        <v>4606</v>
      </c>
      <c r="AR18" s="531" t="s">
        <v>4934</v>
      </c>
      <c r="AS18" s="65" t="s">
        <v>4935</v>
      </c>
      <c r="AT18" s="296" t="s">
        <v>4936</v>
      </c>
      <c r="AU18" s="65" t="s">
        <v>4937</v>
      </c>
      <c r="AV18" s="296" t="s">
        <v>5234</v>
      </c>
      <c r="AW18" s="531" t="s">
        <v>5235</v>
      </c>
      <c r="AX18" s="107" t="s">
        <v>5236</v>
      </c>
      <c r="AY18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8" s="83" t="str">
        <f t="shared" si="1"/>
        <v xml:space="preserve">  * La variable Beneficiarios No puede ser mayor al Total.</v>
      </c>
      <c r="CD18" s="83" t="str">
        <f t="shared" si="2"/>
        <v xml:space="preserve">  * La variable pueblos originarios No puede ser mayor al Total.</v>
      </c>
      <c r="CE18" s="83" t="str">
        <f t="shared" si="3"/>
        <v xml:space="preserve">  * La variable Migrantes No puede ser mayor al Total.</v>
      </c>
      <c r="CF18" s="83" t="str">
        <f t="shared" si="4"/>
        <v xml:space="preserve">  * La variable Niños, niñas, adolescentes y Jóvenes SENAME No puede ser mayor al Total.</v>
      </c>
      <c r="CG18" s="83"/>
      <c r="CH18" s="83"/>
      <c r="CJ18" s="84">
        <f t="shared" si="5"/>
        <v>1</v>
      </c>
      <c r="CK18" s="84">
        <f t="shared" si="6"/>
        <v>1</v>
      </c>
      <c r="CL18" s="84">
        <f t="shared" si="7"/>
        <v>1</v>
      </c>
      <c r="CM18" s="84">
        <f t="shared" si="8"/>
        <v>1</v>
      </c>
    </row>
    <row r="19" spans="1:91" s="19" customFormat="1" ht="15" customHeight="1" x14ac:dyDescent="0.15">
      <c r="A19" s="5609">
        <v>31000042</v>
      </c>
      <c r="B19" s="6178"/>
      <c r="C19" s="5136" t="s">
        <v>3893</v>
      </c>
      <c r="D19" s="5133" t="s">
        <v>4567</v>
      </c>
      <c r="E19" s="5134" t="s">
        <v>4568</v>
      </c>
      <c r="F19" s="2935" t="s">
        <v>4569</v>
      </c>
      <c r="G19" s="290" t="s">
        <v>4570</v>
      </c>
      <c r="H19" s="622" t="s">
        <v>4571</v>
      </c>
      <c r="I19" s="22" t="s">
        <v>4572</v>
      </c>
      <c r="J19" s="622" t="s">
        <v>4573</v>
      </c>
      <c r="K19" s="22" t="s">
        <v>4574</v>
      </c>
      <c r="L19" s="107" t="s">
        <v>4575</v>
      </c>
      <c r="M19" s="22" t="s">
        <v>4576</v>
      </c>
      <c r="N19" s="107" t="s">
        <v>4577</v>
      </c>
      <c r="O19" s="22" t="s">
        <v>4578</v>
      </c>
      <c r="P19" s="107" t="s">
        <v>4579</v>
      </c>
      <c r="Q19" s="22" t="s">
        <v>4580</v>
      </c>
      <c r="R19" s="107" t="s">
        <v>4581</v>
      </c>
      <c r="S19" s="22" t="s">
        <v>4582</v>
      </c>
      <c r="T19" s="107" t="s">
        <v>4583</v>
      </c>
      <c r="U19" s="22" t="s">
        <v>4584</v>
      </c>
      <c r="V19" s="107" t="s">
        <v>4585</v>
      </c>
      <c r="W19" s="22" t="s">
        <v>4586</v>
      </c>
      <c r="X19" s="107" t="s">
        <v>4587</v>
      </c>
      <c r="Y19" s="22" t="s">
        <v>4588</v>
      </c>
      <c r="Z19" s="107" t="s">
        <v>4589</v>
      </c>
      <c r="AA19" s="22" t="s">
        <v>4590</v>
      </c>
      <c r="AB19" s="107" t="s">
        <v>4591</v>
      </c>
      <c r="AC19" s="22" t="s">
        <v>4592</v>
      </c>
      <c r="AD19" s="107" t="s">
        <v>4593</v>
      </c>
      <c r="AE19" s="22" t="s">
        <v>4594</v>
      </c>
      <c r="AF19" s="107" t="s">
        <v>4595</v>
      </c>
      <c r="AG19" s="22" t="s">
        <v>4596</v>
      </c>
      <c r="AH19" s="107" t="s">
        <v>4597</v>
      </c>
      <c r="AI19" s="22" t="s">
        <v>4598</v>
      </c>
      <c r="AJ19" s="107" t="s">
        <v>4599</v>
      </c>
      <c r="AK19" s="22" t="s">
        <v>4600</v>
      </c>
      <c r="AL19" s="107" t="s">
        <v>4601</v>
      </c>
      <c r="AM19" s="22" t="s">
        <v>4602</v>
      </c>
      <c r="AN19" s="65" t="s">
        <v>4603</v>
      </c>
      <c r="AO19" s="4579" t="s">
        <v>4604</v>
      </c>
      <c r="AP19" s="531" t="s">
        <v>4605</v>
      </c>
      <c r="AQ19" s="531" t="s">
        <v>4606</v>
      </c>
      <c r="AR19" s="531" t="s">
        <v>4934</v>
      </c>
      <c r="AS19" s="65" t="s">
        <v>4935</v>
      </c>
      <c r="AT19" s="296" t="s">
        <v>4936</v>
      </c>
      <c r="AU19" s="65" t="s">
        <v>4937</v>
      </c>
      <c r="AV19" s="296" t="s">
        <v>5234</v>
      </c>
      <c r="AW19" s="531" t="s">
        <v>5235</v>
      </c>
      <c r="AX19" s="107" t="s">
        <v>5236</v>
      </c>
      <c r="AY19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9" s="83" t="str">
        <f t="shared" si="1"/>
        <v xml:space="preserve">  * La variable Beneficiarios No puede ser mayor al Total.</v>
      </c>
      <c r="CD19" s="83" t="str">
        <f t="shared" si="2"/>
        <v xml:space="preserve">  * La variable pueblos originarios No puede ser mayor al Total.</v>
      </c>
      <c r="CE19" s="83" t="str">
        <f t="shared" si="3"/>
        <v xml:space="preserve">  * La variable Migrantes No puede ser mayor al Total.</v>
      </c>
      <c r="CF19" s="83" t="str">
        <f t="shared" si="4"/>
        <v xml:space="preserve">  * La variable Niños, niñas, adolescentes y Jóvenes SENAME No puede ser mayor al Total.</v>
      </c>
      <c r="CG19" s="83"/>
      <c r="CH19" s="83"/>
      <c r="CJ19" s="84">
        <f t="shared" si="5"/>
        <v>1</v>
      </c>
      <c r="CK19" s="84">
        <f t="shared" si="6"/>
        <v>1</v>
      </c>
      <c r="CL19" s="84">
        <f t="shared" si="7"/>
        <v>1</v>
      </c>
      <c r="CM19" s="84">
        <f t="shared" si="8"/>
        <v>1</v>
      </c>
    </row>
    <row r="20" spans="1:91" s="19" customFormat="1" ht="21" x14ac:dyDescent="0.15">
      <c r="A20" s="5609">
        <v>31000043</v>
      </c>
      <c r="B20" s="6178"/>
      <c r="C20" s="5136" t="s">
        <v>3894</v>
      </c>
      <c r="D20" s="5133" t="s">
        <v>4567</v>
      </c>
      <c r="E20" s="5134" t="s">
        <v>4568</v>
      </c>
      <c r="F20" s="2935" t="s">
        <v>4569</v>
      </c>
      <c r="G20" s="290" t="s">
        <v>4570</v>
      </c>
      <c r="H20" s="622" t="s">
        <v>4571</v>
      </c>
      <c r="I20" s="22" t="s">
        <v>4572</v>
      </c>
      <c r="J20" s="622" t="s">
        <v>4573</v>
      </c>
      <c r="K20" s="22" t="s">
        <v>4574</v>
      </c>
      <c r="L20" s="107" t="s">
        <v>4575</v>
      </c>
      <c r="M20" s="22" t="s">
        <v>4576</v>
      </c>
      <c r="N20" s="107" t="s">
        <v>4577</v>
      </c>
      <c r="O20" s="22" t="s">
        <v>4578</v>
      </c>
      <c r="P20" s="107" t="s">
        <v>4579</v>
      </c>
      <c r="Q20" s="22" t="s">
        <v>4580</v>
      </c>
      <c r="R20" s="107" t="s">
        <v>4581</v>
      </c>
      <c r="S20" s="22" t="s">
        <v>4582</v>
      </c>
      <c r="T20" s="107" t="s">
        <v>4583</v>
      </c>
      <c r="U20" s="22" t="s">
        <v>4584</v>
      </c>
      <c r="V20" s="107" t="s">
        <v>4585</v>
      </c>
      <c r="W20" s="22" t="s">
        <v>4586</v>
      </c>
      <c r="X20" s="107" t="s">
        <v>4587</v>
      </c>
      <c r="Y20" s="22" t="s">
        <v>4588</v>
      </c>
      <c r="Z20" s="107" t="s">
        <v>4589</v>
      </c>
      <c r="AA20" s="22" t="s">
        <v>4590</v>
      </c>
      <c r="AB20" s="107" t="s">
        <v>4591</v>
      </c>
      <c r="AC20" s="22" t="s">
        <v>4592</v>
      </c>
      <c r="AD20" s="107" t="s">
        <v>4593</v>
      </c>
      <c r="AE20" s="22" t="s">
        <v>4594</v>
      </c>
      <c r="AF20" s="107" t="s">
        <v>4595</v>
      </c>
      <c r="AG20" s="22" t="s">
        <v>4596</v>
      </c>
      <c r="AH20" s="107" t="s">
        <v>4597</v>
      </c>
      <c r="AI20" s="22" t="s">
        <v>4598</v>
      </c>
      <c r="AJ20" s="107" t="s">
        <v>4599</v>
      </c>
      <c r="AK20" s="22" t="s">
        <v>4600</v>
      </c>
      <c r="AL20" s="107" t="s">
        <v>4601</v>
      </c>
      <c r="AM20" s="22" t="s">
        <v>4602</v>
      </c>
      <c r="AN20" s="65" t="s">
        <v>4603</v>
      </c>
      <c r="AO20" s="4579" t="s">
        <v>4604</v>
      </c>
      <c r="AP20" s="531" t="s">
        <v>4605</v>
      </c>
      <c r="AQ20" s="531" t="s">
        <v>4606</v>
      </c>
      <c r="AR20" s="531" t="s">
        <v>4934</v>
      </c>
      <c r="AS20" s="65" t="s">
        <v>4935</v>
      </c>
      <c r="AT20" s="296" t="s">
        <v>4936</v>
      </c>
      <c r="AU20" s="65" t="s">
        <v>4937</v>
      </c>
      <c r="AV20" s="296" t="s">
        <v>5234</v>
      </c>
      <c r="AW20" s="531" t="s">
        <v>5235</v>
      </c>
      <c r="AX20" s="107" t="s">
        <v>5236</v>
      </c>
      <c r="AY20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0" s="83" t="str">
        <f t="shared" si="1"/>
        <v xml:space="preserve">  * La variable Beneficiarios No puede ser mayor al Total.</v>
      </c>
      <c r="CD20" s="83" t="str">
        <f t="shared" si="2"/>
        <v xml:space="preserve">  * La variable pueblos originarios No puede ser mayor al Total.</v>
      </c>
      <c r="CE20" s="83" t="str">
        <f t="shared" si="3"/>
        <v xml:space="preserve">  * La variable Migrantes No puede ser mayor al Total.</v>
      </c>
      <c r="CF20" s="83" t="str">
        <f t="shared" si="4"/>
        <v xml:space="preserve">  * La variable Niños, niñas, adolescentes y Jóvenes SENAME No puede ser mayor al Total.</v>
      </c>
      <c r="CG20" s="83"/>
      <c r="CH20" s="83"/>
      <c r="CJ20" s="84">
        <f t="shared" si="5"/>
        <v>1</v>
      </c>
      <c r="CK20" s="84">
        <f t="shared" si="6"/>
        <v>1</v>
      </c>
      <c r="CL20" s="84">
        <f t="shared" si="7"/>
        <v>1</v>
      </c>
      <c r="CM20" s="84">
        <f t="shared" si="8"/>
        <v>1</v>
      </c>
    </row>
    <row r="21" spans="1:91" s="19" customFormat="1" ht="15" customHeight="1" x14ac:dyDescent="0.15">
      <c r="A21" s="5609">
        <v>31000044</v>
      </c>
      <c r="B21" s="6178"/>
      <c r="C21" s="5136" t="s">
        <v>3895</v>
      </c>
      <c r="D21" s="5133" t="s">
        <v>4567</v>
      </c>
      <c r="E21" s="5134" t="s">
        <v>4568</v>
      </c>
      <c r="F21" s="2935" t="s">
        <v>4569</v>
      </c>
      <c r="G21" s="290" t="s">
        <v>4570</v>
      </c>
      <c r="H21" s="622" t="s">
        <v>4571</v>
      </c>
      <c r="I21" s="22" t="s">
        <v>4572</v>
      </c>
      <c r="J21" s="622" t="s">
        <v>4573</v>
      </c>
      <c r="K21" s="22" t="s">
        <v>4574</v>
      </c>
      <c r="L21" s="107" t="s">
        <v>4575</v>
      </c>
      <c r="M21" s="22" t="s">
        <v>4576</v>
      </c>
      <c r="N21" s="107" t="s">
        <v>4577</v>
      </c>
      <c r="O21" s="22" t="s">
        <v>4578</v>
      </c>
      <c r="P21" s="107" t="s">
        <v>4579</v>
      </c>
      <c r="Q21" s="22" t="s">
        <v>4580</v>
      </c>
      <c r="R21" s="107" t="s">
        <v>4581</v>
      </c>
      <c r="S21" s="22" t="s">
        <v>4582</v>
      </c>
      <c r="T21" s="107" t="s">
        <v>4583</v>
      </c>
      <c r="U21" s="22" t="s">
        <v>4584</v>
      </c>
      <c r="V21" s="107" t="s">
        <v>4585</v>
      </c>
      <c r="W21" s="22" t="s">
        <v>4586</v>
      </c>
      <c r="X21" s="107" t="s">
        <v>4587</v>
      </c>
      <c r="Y21" s="22" t="s">
        <v>4588</v>
      </c>
      <c r="Z21" s="107" t="s">
        <v>4589</v>
      </c>
      <c r="AA21" s="22" t="s">
        <v>4590</v>
      </c>
      <c r="AB21" s="107" t="s">
        <v>4591</v>
      </c>
      <c r="AC21" s="22" t="s">
        <v>4592</v>
      </c>
      <c r="AD21" s="107" t="s">
        <v>4593</v>
      </c>
      <c r="AE21" s="22" t="s">
        <v>4594</v>
      </c>
      <c r="AF21" s="107" t="s">
        <v>4595</v>
      </c>
      <c r="AG21" s="22" t="s">
        <v>4596</v>
      </c>
      <c r="AH21" s="107" t="s">
        <v>4597</v>
      </c>
      <c r="AI21" s="22" t="s">
        <v>4598</v>
      </c>
      <c r="AJ21" s="107" t="s">
        <v>4599</v>
      </c>
      <c r="AK21" s="22" t="s">
        <v>4600</v>
      </c>
      <c r="AL21" s="107" t="s">
        <v>4601</v>
      </c>
      <c r="AM21" s="22" t="s">
        <v>4602</v>
      </c>
      <c r="AN21" s="65" t="s">
        <v>4603</v>
      </c>
      <c r="AO21" s="4579" t="s">
        <v>4604</v>
      </c>
      <c r="AP21" s="531" t="s">
        <v>4605</v>
      </c>
      <c r="AQ21" s="531" t="s">
        <v>4606</v>
      </c>
      <c r="AR21" s="531" t="s">
        <v>4934</v>
      </c>
      <c r="AS21" s="65" t="s">
        <v>4935</v>
      </c>
      <c r="AT21" s="296" t="s">
        <v>4936</v>
      </c>
      <c r="AU21" s="65" t="s">
        <v>4937</v>
      </c>
      <c r="AV21" s="296" t="s">
        <v>5234</v>
      </c>
      <c r="AW21" s="531" t="s">
        <v>5235</v>
      </c>
      <c r="AX21" s="107" t="s">
        <v>5236</v>
      </c>
      <c r="AY21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1" s="83" t="str">
        <f t="shared" si="1"/>
        <v xml:space="preserve">  * La variable Beneficiarios No puede ser mayor al Total.</v>
      </c>
      <c r="CD21" s="83" t="str">
        <f t="shared" si="2"/>
        <v xml:space="preserve">  * La variable pueblos originarios No puede ser mayor al Total.</v>
      </c>
      <c r="CE21" s="83" t="str">
        <f t="shared" si="3"/>
        <v xml:space="preserve">  * La variable Migrantes No puede ser mayor al Total.</v>
      </c>
      <c r="CF21" s="83" t="str">
        <f t="shared" si="4"/>
        <v xml:space="preserve">  * La variable Niños, niñas, adolescentes y Jóvenes SENAME No puede ser mayor al Total.</v>
      </c>
      <c r="CG21" s="83"/>
      <c r="CH21" s="83"/>
      <c r="CJ21" s="84">
        <f t="shared" si="5"/>
        <v>1</v>
      </c>
      <c r="CK21" s="84">
        <f t="shared" si="6"/>
        <v>1</v>
      </c>
      <c r="CL21" s="84">
        <f t="shared" si="7"/>
        <v>1</v>
      </c>
      <c r="CM21" s="84">
        <f t="shared" si="8"/>
        <v>1</v>
      </c>
    </row>
    <row r="22" spans="1:91" s="19" customFormat="1" ht="15" customHeight="1" x14ac:dyDescent="0.15">
      <c r="A22" s="5609">
        <v>31000005</v>
      </c>
      <c r="B22" s="6178"/>
      <c r="C22" s="5136" t="s">
        <v>3896</v>
      </c>
      <c r="D22" s="5133" t="s">
        <v>4567</v>
      </c>
      <c r="E22" s="5134" t="s">
        <v>4568</v>
      </c>
      <c r="F22" s="2935" t="s">
        <v>4569</v>
      </c>
      <c r="G22" s="290" t="s">
        <v>4570</v>
      </c>
      <c r="H22" s="622" t="s">
        <v>4571</v>
      </c>
      <c r="I22" s="22" t="s">
        <v>4572</v>
      </c>
      <c r="J22" s="622" t="s">
        <v>4573</v>
      </c>
      <c r="K22" s="22" t="s">
        <v>4574</v>
      </c>
      <c r="L22" s="107" t="s">
        <v>4575</v>
      </c>
      <c r="M22" s="22" t="s">
        <v>4576</v>
      </c>
      <c r="N22" s="107" t="s">
        <v>4577</v>
      </c>
      <c r="O22" s="22" t="s">
        <v>4578</v>
      </c>
      <c r="P22" s="107" t="s">
        <v>4579</v>
      </c>
      <c r="Q22" s="22" t="s">
        <v>4580</v>
      </c>
      <c r="R22" s="107" t="s">
        <v>4581</v>
      </c>
      <c r="S22" s="22" t="s">
        <v>4582</v>
      </c>
      <c r="T22" s="107" t="s">
        <v>4583</v>
      </c>
      <c r="U22" s="22" t="s">
        <v>4584</v>
      </c>
      <c r="V22" s="107" t="s">
        <v>4585</v>
      </c>
      <c r="W22" s="22" t="s">
        <v>4586</v>
      </c>
      <c r="X22" s="107" t="s">
        <v>4587</v>
      </c>
      <c r="Y22" s="22" t="s">
        <v>4588</v>
      </c>
      <c r="Z22" s="107" t="s">
        <v>4589</v>
      </c>
      <c r="AA22" s="22" t="s">
        <v>4590</v>
      </c>
      <c r="AB22" s="107" t="s">
        <v>4591</v>
      </c>
      <c r="AC22" s="22" t="s">
        <v>4592</v>
      </c>
      <c r="AD22" s="107" t="s">
        <v>4593</v>
      </c>
      <c r="AE22" s="22" t="s">
        <v>4594</v>
      </c>
      <c r="AF22" s="107" t="s">
        <v>4595</v>
      </c>
      <c r="AG22" s="22" t="s">
        <v>4596</v>
      </c>
      <c r="AH22" s="107" t="s">
        <v>4597</v>
      </c>
      <c r="AI22" s="22" t="s">
        <v>4598</v>
      </c>
      <c r="AJ22" s="107" t="s">
        <v>4599</v>
      </c>
      <c r="AK22" s="22" t="s">
        <v>4600</v>
      </c>
      <c r="AL22" s="107" t="s">
        <v>4601</v>
      </c>
      <c r="AM22" s="22" t="s">
        <v>4602</v>
      </c>
      <c r="AN22" s="65" t="s">
        <v>4603</v>
      </c>
      <c r="AO22" s="4579" t="s">
        <v>4604</v>
      </c>
      <c r="AP22" s="531" t="s">
        <v>4605</v>
      </c>
      <c r="AQ22" s="531" t="s">
        <v>4606</v>
      </c>
      <c r="AR22" s="531" t="s">
        <v>4934</v>
      </c>
      <c r="AS22" s="65" t="s">
        <v>4935</v>
      </c>
      <c r="AT22" s="296" t="s">
        <v>4936</v>
      </c>
      <c r="AU22" s="65" t="s">
        <v>4937</v>
      </c>
      <c r="AV22" s="296" t="s">
        <v>5234</v>
      </c>
      <c r="AW22" s="531" t="s">
        <v>5235</v>
      </c>
      <c r="AX22" s="107" t="s">
        <v>5236</v>
      </c>
      <c r="AY22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2" s="83" t="str">
        <f t="shared" si="1"/>
        <v xml:space="preserve">  * La variable Beneficiarios No puede ser mayor al Total.</v>
      </c>
      <c r="CD22" s="83" t="str">
        <f t="shared" si="2"/>
        <v xml:space="preserve">  * La variable pueblos originarios No puede ser mayor al Total.</v>
      </c>
      <c r="CE22" s="83" t="str">
        <f t="shared" si="3"/>
        <v xml:space="preserve">  * La variable Migrantes No puede ser mayor al Total.</v>
      </c>
      <c r="CF22" s="83" t="str">
        <f t="shared" si="4"/>
        <v xml:space="preserve">  * La variable Niños, niñas, adolescentes y Jóvenes SENAME No puede ser mayor al Total.</v>
      </c>
      <c r="CG22" s="83"/>
      <c r="CH22" s="83"/>
      <c r="CJ22" s="84">
        <f t="shared" si="5"/>
        <v>1</v>
      </c>
      <c r="CK22" s="84">
        <f t="shared" si="6"/>
        <v>1</v>
      </c>
      <c r="CL22" s="84">
        <f t="shared" si="7"/>
        <v>1</v>
      </c>
      <c r="CM22" s="84">
        <f t="shared" si="8"/>
        <v>1</v>
      </c>
    </row>
    <row r="23" spans="1:91" s="19" customFormat="1" ht="15" customHeight="1" x14ac:dyDescent="0.15">
      <c r="A23" s="5609">
        <v>31000045</v>
      </c>
      <c r="B23" s="6178"/>
      <c r="C23" s="5136" t="s">
        <v>3897</v>
      </c>
      <c r="D23" s="5133" t="s">
        <v>4567</v>
      </c>
      <c r="E23" s="5137" t="s">
        <v>4568</v>
      </c>
      <c r="F23" s="5138" t="s">
        <v>4569</v>
      </c>
      <c r="G23" s="1089" t="s">
        <v>4570</v>
      </c>
      <c r="H23" s="1093" t="s">
        <v>4571</v>
      </c>
      <c r="I23" s="1091" t="s">
        <v>4572</v>
      </c>
      <c r="J23" s="1093" t="s">
        <v>4573</v>
      </c>
      <c r="K23" s="1091" t="s">
        <v>4574</v>
      </c>
      <c r="L23" s="1090" t="s">
        <v>4575</v>
      </c>
      <c r="M23" s="1091" t="s">
        <v>4576</v>
      </c>
      <c r="N23" s="1090" t="s">
        <v>4577</v>
      </c>
      <c r="O23" s="1091" t="s">
        <v>4578</v>
      </c>
      <c r="P23" s="1090" t="s">
        <v>4579</v>
      </c>
      <c r="Q23" s="1091" t="s">
        <v>4580</v>
      </c>
      <c r="R23" s="1090" t="s">
        <v>4581</v>
      </c>
      <c r="S23" s="1091" t="s">
        <v>4582</v>
      </c>
      <c r="T23" s="1090" t="s">
        <v>4583</v>
      </c>
      <c r="U23" s="1091" t="s">
        <v>4584</v>
      </c>
      <c r="V23" s="1090" t="s">
        <v>4585</v>
      </c>
      <c r="W23" s="1091" t="s">
        <v>4586</v>
      </c>
      <c r="X23" s="1090" t="s">
        <v>4587</v>
      </c>
      <c r="Y23" s="1091" t="s">
        <v>4588</v>
      </c>
      <c r="Z23" s="1090" t="s">
        <v>4589</v>
      </c>
      <c r="AA23" s="1091" t="s">
        <v>4590</v>
      </c>
      <c r="AB23" s="1090" t="s">
        <v>4591</v>
      </c>
      <c r="AC23" s="1091" t="s">
        <v>4592</v>
      </c>
      <c r="AD23" s="1090" t="s">
        <v>4593</v>
      </c>
      <c r="AE23" s="1091" t="s">
        <v>4594</v>
      </c>
      <c r="AF23" s="1090" t="s">
        <v>4595</v>
      </c>
      <c r="AG23" s="1091" t="s">
        <v>4596</v>
      </c>
      <c r="AH23" s="1090" t="s">
        <v>4597</v>
      </c>
      <c r="AI23" s="1091" t="s">
        <v>4598</v>
      </c>
      <c r="AJ23" s="1090" t="s">
        <v>4599</v>
      </c>
      <c r="AK23" s="1091" t="s">
        <v>4600</v>
      </c>
      <c r="AL23" s="1090" t="s">
        <v>4601</v>
      </c>
      <c r="AM23" s="1091" t="s">
        <v>4602</v>
      </c>
      <c r="AN23" s="1311" t="s">
        <v>4603</v>
      </c>
      <c r="AO23" s="3748" t="s">
        <v>4604</v>
      </c>
      <c r="AP23" s="1253" t="s">
        <v>4605</v>
      </c>
      <c r="AQ23" s="1253" t="s">
        <v>4606</v>
      </c>
      <c r="AR23" s="1253" t="s">
        <v>4934</v>
      </c>
      <c r="AS23" s="1311" t="s">
        <v>4935</v>
      </c>
      <c r="AT23" s="1299" t="s">
        <v>4936</v>
      </c>
      <c r="AU23" s="1311" t="s">
        <v>4937</v>
      </c>
      <c r="AV23" s="1299" t="s">
        <v>5234</v>
      </c>
      <c r="AW23" s="1253" t="s">
        <v>5235</v>
      </c>
      <c r="AX23" s="1090" t="s">
        <v>5236</v>
      </c>
      <c r="AY23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3" s="83" t="str">
        <f t="shared" si="1"/>
        <v xml:space="preserve">  * La variable Beneficiarios No puede ser mayor al Total.</v>
      </c>
      <c r="CD23" s="83" t="str">
        <f t="shared" si="2"/>
        <v xml:space="preserve">  * La variable pueblos originarios No puede ser mayor al Total.</v>
      </c>
      <c r="CE23" s="83" t="str">
        <f t="shared" si="3"/>
        <v xml:space="preserve">  * La variable Migrantes No puede ser mayor al Total.</v>
      </c>
      <c r="CF23" s="83" t="str">
        <f t="shared" si="4"/>
        <v xml:space="preserve">  * La variable Niños, niñas, adolescentes y Jóvenes SENAME No puede ser mayor al Total.</v>
      </c>
      <c r="CG23" s="83"/>
      <c r="CH23" s="83"/>
      <c r="CJ23" s="84">
        <f t="shared" si="5"/>
        <v>1</v>
      </c>
      <c r="CK23" s="84">
        <f t="shared" si="6"/>
        <v>1</v>
      </c>
      <c r="CL23" s="84">
        <f t="shared" si="7"/>
        <v>1</v>
      </c>
      <c r="CM23" s="84">
        <f t="shared" si="8"/>
        <v>1</v>
      </c>
    </row>
    <row r="24" spans="1:91" s="19" customFormat="1" ht="15" customHeight="1" x14ac:dyDescent="0.15">
      <c r="A24" s="5609">
        <v>31000046</v>
      </c>
      <c r="B24" s="6178"/>
      <c r="C24" s="5139" t="s">
        <v>3898</v>
      </c>
      <c r="D24" s="5133" t="s">
        <v>4567</v>
      </c>
      <c r="E24" s="5137" t="s">
        <v>4568</v>
      </c>
      <c r="F24" s="5138" t="s">
        <v>4569</v>
      </c>
      <c r="G24" s="1089" t="s">
        <v>4570</v>
      </c>
      <c r="H24" s="1093" t="s">
        <v>4571</v>
      </c>
      <c r="I24" s="1091" t="s">
        <v>4572</v>
      </c>
      <c r="J24" s="1093" t="s">
        <v>4573</v>
      </c>
      <c r="K24" s="1091" t="s">
        <v>4574</v>
      </c>
      <c r="L24" s="1090" t="s">
        <v>4575</v>
      </c>
      <c r="M24" s="1091" t="s">
        <v>4576</v>
      </c>
      <c r="N24" s="1090" t="s">
        <v>4577</v>
      </c>
      <c r="O24" s="1091" t="s">
        <v>4578</v>
      </c>
      <c r="P24" s="1090" t="s">
        <v>4579</v>
      </c>
      <c r="Q24" s="1091" t="s">
        <v>4580</v>
      </c>
      <c r="R24" s="1090" t="s">
        <v>4581</v>
      </c>
      <c r="S24" s="1091" t="s">
        <v>4582</v>
      </c>
      <c r="T24" s="1090" t="s">
        <v>4583</v>
      </c>
      <c r="U24" s="1091" t="s">
        <v>4584</v>
      </c>
      <c r="V24" s="1090" t="s">
        <v>4585</v>
      </c>
      <c r="W24" s="1091" t="s">
        <v>4586</v>
      </c>
      <c r="X24" s="1090" t="s">
        <v>4587</v>
      </c>
      <c r="Y24" s="1091" t="s">
        <v>4588</v>
      </c>
      <c r="Z24" s="1090" t="s">
        <v>4589</v>
      </c>
      <c r="AA24" s="1091" t="s">
        <v>4590</v>
      </c>
      <c r="AB24" s="1090" t="s">
        <v>4591</v>
      </c>
      <c r="AC24" s="1091" t="s">
        <v>4592</v>
      </c>
      <c r="AD24" s="1090" t="s">
        <v>4593</v>
      </c>
      <c r="AE24" s="1091" t="s">
        <v>4594</v>
      </c>
      <c r="AF24" s="1090" t="s">
        <v>4595</v>
      </c>
      <c r="AG24" s="1091" t="s">
        <v>4596</v>
      </c>
      <c r="AH24" s="1090" t="s">
        <v>4597</v>
      </c>
      <c r="AI24" s="1091" t="s">
        <v>4598</v>
      </c>
      <c r="AJ24" s="1090" t="s">
        <v>4599</v>
      </c>
      <c r="AK24" s="1091" t="s">
        <v>4600</v>
      </c>
      <c r="AL24" s="1090" t="s">
        <v>4601</v>
      </c>
      <c r="AM24" s="1091" t="s">
        <v>4602</v>
      </c>
      <c r="AN24" s="1311" t="s">
        <v>4603</v>
      </c>
      <c r="AO24" s="3748" t="s">
        <v>4604</v>
      </c>
      <c r="AP24" s="1253" t="s">
        <v>4605</v>
      </c>
      <c r="AQ24" s="1253" t="s">
        <v>4606</v>
      </c>
      <c r="AR24" s="1253" t="s">
        <v>4934</v>
      </c>
      <c r="AS24" s="1311" t="s">
        <v>4935</v>
      </c>
      <c r="AT24" s="1299" t="s">
        <v>4936</v>
      </c>
      <c r="AU24" s="1311" t="s">
        <v>4937</v>
      </c>
      <c r="AV24" s="1299" t="s">
        <v>5234</v>
      </c>
      <c r="AW24" s="1253" t="s">
        <v>5235</v>
      </c>
      <c r="AX24" s="1090" t="s">
        <v>5236</v>
      </c>
      <c r="AY24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4" s="83" t="str">
        <f t="shared" si="1"/>
        <v xml:space="preserve">  * La variable Beneficiarios No puede ser mayor al Total.</v>
      </c>
      <c r="CD24" s="83" t="str">
        <f t="shared" si="2"/>
        <v xml:space="preserve">  * La variable pueblos originarios No puede ser mayor al Total.</v>
      </c>
      <c r="CE24" s="83" t="str">
        <f t="shared" si="3"/>
        <v xml:space="preserve">  * La variable Migrantes No puede ser mayor al Total.</v>
      </c>
      <c r="CF24" s="83" t="str">
        <f t="shared" si="4"/>
        <v xml:space="preserve">  * La variable Niños, niñas, adolescentes y Jóvenes SENAME No puede ser mayor al Total.</v>
      </c>
      <c r="CG24" s="83"/>
      <c r="CH24" s="83"/>
      <c r="CJ24" s="84">
        <f t="shared" si="5"/>
        <v>1</v>
      </c>
      <c r="CK24" s="84">
        <f t="shared" si="6"/>
        <v>1</v>
      </c>
      <c r="CL24" s="84">
        <f t="shared" si="7"/>
        <v>1</v>
      </c>
      <c r="CM24" s="84">
        <f t="shared" si="8"/>
        <v>1</v>
      </c>
    </row>
    <row r="25" spans="1:91" s="19" customFormat="1" ht="15" customHeight="1" x14ac:dyDescent="0.15">
      <c r="A25" s="5609">
        <v>31000004</v>
      </c>
      <c r="B25" s="6178"/>
      <c r="C25" s="4711" t="s">
        <v>3899</v>
      </c>
      <c r="D25" s="5133" t="s">
        <v>4567</v>
      </c>
      <c r="E25" s="5137" t="s">
        <v>4568</v>
      </c>
      <c r="F25" s="5138" t="s">
        <v>4569</v>
      </c>
      <c r="G25" s="1089" t="s">
        <v>4570</v>
      </c>
      <c r="H25" s="1093" t="s">
        <v>4571</v>
      </c>
      <c r="I25" s="1091" t="s">
        <v>4572</v>
      </c>
      <c r="J25" s="1093" t="s">
        <v>4573</v>
      </c>
      <c r="K25" s="1091" t="s">
        <v>4574</v>
      </c>
      <c r="L25" s="1090" t="s">
        <v>4575</v>
      </c>
      <c r="M25" s="1091" t="s">
        <v>4576</v>
      </c>
      <c r="N25" s="1090" t="s">
        <v>4577</v>
      </c>
      <c r="O25" s="1091" t="s">
        <v>4578</v>
      </c>
      <c r="P25" s="1090" t="s">
        <v>4579</v>
      </c>
      <c r="Q25" s="1091" t="s">
        <v>4580</v>
      </c>
      <c r="R25" s="1090" t="s">
        <v>4581</v>
      </c>
      <c r="S25" s="1091" t="s">
        <v>4582</v>
      </c>
      <c r="T25" s="1090" t="s">
        <v>4583</v>
      </c>
      <c r="U25" s="1091" t="s">
        <v>4584</v>
      </c>
      <c r="V25" s="1090" t="s">
        <v>4585</v>
      </c>
      <c r="W25" s="1091" t="s">
        <v>4586</v>
      </c>
      <c r="X25" s="1090" t="s">
        <v>4587</v>
      </c>
      <c r="Y25" s="1091" t="s">
        <v>4588</v>
      </c>
      <c r="Z25" s="1090" t="s">
        <v>4589</v>
      </c>
      <c r="AA25" s="1091" t="s">
        <v>4590</v>
      </c>
      <c r="AB25" s="1090" t="s">
        <v>4591</v>
      </c>
      <c r="AC25" s="1091" t="s">
        <v>4592</v>
      </c>
      <c r="AD25" s="1090" t="s">
        <v>4593</v>
      </c>
      <c r="AE25" s="1091" t="s">
        <v>4594</v>
      </c>
      <c r="AF25" s="1090" t="s">
        <v>4595</v>
      </c>
      <c r="AG25" s="1091" t="s">
        <v>4596</v>
      </c>
      <c r="AH25" s="1090" t="s">
        <v>4597</v>
      </c>
      <c r="AI25" s="1091" t="s">
        <v>4598</v>
      </c>
      <c r="AJ25" s="1090" t="s">
        <v>4599</v>
      </c>
      <c r="AK25" s="1091" t="s">
        <v>4600</v>
      </c>
      <c r="AL25" s="1090" t="s">
        <v>4601</v>
      </c>
      <c r="AM25" s="1091" t="s">
        <v>4602</v>
      </c>
      <c r="AN25" s="1311" t="s">
        <v>4603</v>
      </c>
      <c r="AO25" s="3748" t="s">
        <v>4604</v>
      </c>
      <c r="AP25" s="1253" t="s">
        <v>4605</v>
      </c>
      <c r="AQ25" s="1253" t="s">
        <v>4606</v>
      </c>
      <c r="AR25" s="1253" t="s">
        <v>4934</v>
      </c>
      <c r="AS25" s="1311" t="s">
        <v>4935</v>
      </c>
      <c r="AT25" s="1299" t="s">
        <v>4936</v>
      </c>
      <c r="AU25" s="1311" t="s">
        <v>4937</v>
      </c>
      <c r="AV25" s="1299" t="s">
        <v>5234</v>
      </c>
      <c r="AW25" s="1253" t="s">
        <v>5235</v>
      </c>
      <c r="AX25" s="1090" t="s">
        <v>5236</v>
      </c>
      <c r="AY25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5" s="83" t="str">
        <f t="shared" si="1"/>
        <v xml:space="preserve">  * La variable Beneficiarios No puede ser mayor al Total.</v>
      </c>
      <c r="CD25" s="83" t="str">
        <f t="shared" si="2"/>
        <v xml:space="preserve">  * La variable pueblos originarios No puede ser mayor al Total.</v>
      </c>
      <c r="CE25" s="83" t="str">
        <f t="shared" si="3"/>
        <v xml:space="preserve">  * La variable Migrantes No puede ser mayor al Total.</v>
      </c>
      <c r="CF25" s="83" t="str">
        <f t="shared" si="4"/>
        <v xml:space="preserve">  * La variable Niños, niñas, adolescentes y Jóvenes SENAME No puede ser mayor al Total.</v>
      </c>
      <c r="CG25" s="83"/>
      <c r="CH25" s="83"/>
      <c r="CJ25" s="84">
        <f t="shared" si="5"/>
        <v>1</v>
      </c>
      <c r="CK25" s="84">
        <f t="shared" si="6"/>
        <v>1</v>
      </c>
      <c r="CL25" s="84">
        <f t="shared" si="7"/>
        <v>1</v>
      </c>
      <c r="CM25" s="84">
        <f t="shared" si="8"/>
        <v>1</v>
      </c>
    </row>
    <row r="26" spans="1:91" s="19" customFormat="1" ht="15" customHeight="1" x14ac:dyDescent="0.15">
      <c r="A26" s="5609">
        <v>31000003</v>
      </c>
      <c r="B26" s="6178"/>
      <c r="C26" s="5140" t="s">
        <v>3900</v>
      </c>
      <c r="D26" s="5133" t="s">
        <v>4567</v>
      </c>
      <c r="E26" s="5137" t="s">
        <v>4568</v>
      </c>
      <c r="F26" s="5138" t="s">
        <v>4569</v>
      </c>
      <c r="G26" s="1089" t="s">
        <v>4570</v>
      </c>
      <c r="H26" s="1093" t="s">
        <v>4571</v>
      </c>
      <c r="I26" s="1091" t="s">
        <v>4572</v>
      </c>
      <c r="J26" s="1093" t="s">
        <v>4573</v>
      </c>
      <c r="K26" s="1091" t="s">
        <v>4574</v>
      </c>
      <c r="L26" s="1090" t="s">
        <v>4575</v>
      </c>
      <c r="M26" s="1091" t="s">
        <v>4576</v>
      </c>
      <c r="N26" s="1090" t="s">
        <v>4577</v>
      </c>
      <c r="O26" s="1091" t="s">
        <v>4578</v>
      </c>
      <c r="P26" s="1090" t="s">
        <v>4579</v>
      </c>
      <c r="Q26" s="1091" t="s">
        <v>4580</v>
      </c>
      <c r="R26" s="1090" t="s">
        <v>4581</v>
      </c>
      <c r="S26" s="1091" t="s">
        <v>4582</v>
      </c>
      <c r="T26" s="1090" t="s">
        <v>4583</v>
      </c>
      <c r="U26" s="1091" t="s">
        <v>4584</v>
      </c>
      <c r="V26" s="1090" t="s">
        <v>4585</v>
      </c>
      <c r="W26" s="1091" t="s">
        <v>4586</v>
      </c>
      <c r="X26" s="1090" t="s">
        <v>4587</v>
      </c>
      <c r="Y26" s="1091" t="s">
        <v>4588</v>
      </c>
      <c r="Z26" s="1090" t="s">
        <v>4589</v>
      </c>
      <c r="AA26" s="1091" t="s">
        <v>4590</v>
      </c>
      <c r="AB26" s="1090" t="s">
        <v>4591</v>
      </c>
      <c r="AC26" s="1091" t="s">
        <v>4592</v>
      </c>
      <c r="AD26" s="1090" t="s">
        <v>4593</v>
      </c>
      <c r="AE26" s="1091" t="s">
        <v>4594</v>
      </c>
      <c r="AF26" s="1090" t="s">
        <v>4595</v>
      </c>
      <c r="AG26" s="1091" t="s">
        <v>4596</v>
      </c>
      <c r="AH26" s="1090" t="s">
        <v>4597</v>
      </c>
      <c r="AI26" s="1091" t="s">
        <v>4598</v>
      </c>
      <c r="AJ26" s="1090" t="s">
        <v>4599</v>
      </c>
      <c r="AK26" s="1091" t="s">
        <v>4600</v>
      </c>
      <c r="AL26" s="1090" t="s">
        <v>4601</v>
      </c>
      <c r="AM26" s="1091" t="s">
        <v>4602</v>
      </c>
      <c r="AN26" s="1311" t="s">
        <v>4603</v>
      </c>
      <c r="AO26" s="3748" t="s">
        <v>4604</v>
      </c>
      <c r="AP26" s="1253" t="s">
        <v>4605</v>
      </c>
      <c r="AQ26" s="1253" t="s">
        <v>4606</v>
      </c>
      <c r="AR26" s="1253" t="s">
        <v>4934</v>
      </c>
      <c r="AS26" s="1311" t="s">
        <v>4935</v>
      </c>
      <c r="AT26" s="1299" t="s">
        <v>4936</v>
      </c>
      <c r="AU26" s="1311" t="s">
        <v>4937</v>
      </c>
      <c r="AV26" s="1299" t="s">
        <v>5234</v>
      </c>
      <c r="AW26" s="1253" t="s">
        <v>5235</v>
      </c>
      <c r="AX26" s="1090" t="s">
        <v>5236</v>
      </c>
      <c r="AY26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6" s="83" t="str">
        <f t="shared" si="1"/>
        <v xml:space="preserve">  * La variable Beneficiarios No puede ser mayor al Total.</v>
      </c>
      <c r="CD26" s="83" t="str">
        <f t="shared" si="2"/>
        <v xml:space="preserve">  * La variable pueblos originarios No puede ser mayor al Total.</v>
      </c>
      <c r="CE26" s="83" t="str">
        <f t="shared" si="3"/>
        <v xml:space="preserve">  * La variable Migrantes No puede ser mayor al Total.</v>
      </c>
      <c r="CF26" s="83" t="str">
        <f t="shared" si="4"/>
        <v xml:space="preserve">  * La variable Niños, niñas, adolescentes y Jóvenes SENAME No puede ser mayor al Total.</v>
      </c>
      <c r="CG26" s="83"/>
      <c r="CH26" s="83"/>
      <c r="CJ26" s="84">
        <f t="shared" si="5"/>
        <v>1</v>
      </c>
      <c r="CK26" s="84">
        <f t="shared" si="6"/>
        <v>1</v>
      </c>
      <c r="CL26" s="84">
        <f t="shared" si="7"/>
        <v>1</v>
      </c>
      <c r="CM26" s="84">
        <f t="shared" si="8"/>
        <v>1</v>
      </c>
    </row>
    <row r="27" spans="1:91" s="19" customFormat="1" ht="15" customHeight="1" x14ac:dyDescent="0.15">
      <c r="A27" s="5609">
        <v>31000008</v>
      </c>
      <c r="B27" s="7803"/>
      <c r="C27" s="4711" t="s">
        <v>902</v>
      </c>
      <c r="D27" s="5141" t="s">
        <v>4567</v>
      </c>
      <c r="E27" s="5137" t="s">
        <v>4568</v>
      </c>
      <c r="F27" s="2939" t="s">
        <v>4569</v>
      </c>
      <c r="G27" s="1089" t="s">
        <v>4570</v>
      </c>
      <c r="H27" s="1093" t="s">
        <v>4571</v>
      </c>
      <c r="I27" s="1091" t="s">
        <v>4572</v>
      </c>
      <c r="J27" s="1093" t="s">
        <v>4573</v>
      </c>
      <c r="K27" s="1091" t="s">
        <v>4574</v>
      </c>
      <c r="L27" s="1090" t="s">
        <v>4575</v>
      </c>
      <c r="M27" s="1091" t="s">
        <v>4576</v>
      </c>
      <c r="N27" s="1090" t="s">
        <v>4577</v>
      </c>
      <c r="O27" s="1091" t="s">
        <v>4578</v>
      </c>
      <c r="P27" s="1090" t="s">
        <v>4579</v>
      </c>
      <c r="Q27" s="1091" t="s">
        <v>4580</v>
      </c>
      <c r="R27" s="1090" t="s">
        <v>4581</v>
      </c>
      <c r="S27" s="1091" t="s">
        <v>4582</v>
      </c>
      <c r="T27" s="1090" t="s">
        <v>4583</v>
      </c>
      <c r="U27" s="1091" t="s">
        <v>4584</v>
      </c>
      <c r="V27" s="1090" t="s">
        <v>4585</v>
      </c>
      <c r="W27" s="1091" t="s">
        <v>4586</v>
      </c>
      <c r="X27" s="1090" t="s">
        <v>4587</v>
      </c>
      <c r="Y27" s="1091" t="s">
        <v>4588</v>
      </c>
      <c r="Z27" s="1090" t="s">
        <v>4589</v>
      </c>
      <c r="AA27" s="1091" t="s">
        <v>4590</v>
      </c>
      <c r="AB27" s="1090" t="s">
        <v>4591</v>
      </c>
      <c r="AC27" s="1091" t="s">
        <v>4592</v>
      </c>
      <c r="AD27" s="1090" t="s">
        <v>4593</v>
      </c>
      <c r="AE27" s="1091" t="s">
        <v>4594</v>
      </c>
      <c r="AF27" s="1090" t="s">
        <v>4595</v>
      </c>
      <c r="AG27" s="1091" t="s">
        <v>4596</v>
      </c>
      <c r="AH27" s="1090" t="s">
        <v>4597</v>
      </c>
      <c r="AI27" s="1091" t="s">
        <v>4598</v>
      </c>
      <c r="AJ27" s="1090" t="s">
        <v>4599</v>
      </c>
      <c r="AK27" s="1091" t="s">
        <v>4600</v>
      </c>
      <c r="AL27" s="1090" t="s">
        <v>4601</v>
      </c>
      <c r="AM27" s="1091" t="s">
        <v>4602</v>
      </c>
      <c r="AN27" s="557" t="s">
        <v>4603</v>
      </c>
      <c r="AO27" s="3748" t="s">
        <v>4604</v>
      </c>
      <c r="AP27" s="1253" t="s">
        <v>4605</v>
      </c>
      <c r="AQ27" s="1253" t="s">
        <v>4606</v>
      </c>
      <c r="AR27" s="1253" t="s">
        <v>4934</v>
      </c>
      <c r="AS27" s="1311" t="s">
        <v>4935</v>
      </c>
      <c r="AT27" s="1299" t="s">
        <v>4936</v>
      </c>
      <c r="AU27" s="1311" t="s">
        <v>4937</v>
      </c>
      <c r="AV27" s="1299" t="s">
        <v>5234</v>
      </c>
      <c r="AW27" s="1253" t="s">
        <v>5235</v>
      </c>
      <c r="AX27" s="1090" t="s">
        <v>5236</v>
      </c>
      <c r="AY27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7" s="83" t="str">
        <f t="shared" si="1"/>
        <v xml:space="preserve">  * La variable Beneficiarios No puede ser mayor al Total.</v>
      </c>
      <c r="CD27" s="83" t="str">
        <f t="shared" si="2"/>
        <v xml:space="preserve">  * La variable pueblos originarios No puede ser mayor al Total.</v>
      </c>
      <c r="CE27" s="83" t="str">
        <f t="shared" si="3"/>
        <v xml:space="preserve">  * La variable Migrantes No puede ser mayor al Total.</v>
      </c>
      <c r="CF27" s="83" t="str">
        <f t="shared" si="4"/>
        <v xml:space="preserve">  * La variable Niños, niñas, adolescentes y Jóvenes SENAME No puede ser mayor al Total.</v>
      </c>
      <c r="CG27" s="83"/>
      <c r="CH27" s="83"/>
      <c r="CJ27" s="84">
        <f t="shared" si="5"/>
        <v>1</v>
      </c>
      <c r="CK27" s="84">
        <f t="shared" si="6"/>
        <v>1</v>
      </c>
      <c r="CL27" s="84">
        <f t="shared" si="7"/>
        <v>1</v>
      </c>
      <c r="CM27" s="84">
        <f t="shared" si="8"/>
        <v>1</v>
      </c>
    </row>
    <row r="28" spans="1:91" s="19" customFormat="1" ht="15" customHeight="1" x14ac:dyDescent="0.2">
      <c r="A28" s="5922"/>
      <c r="B28" s="7793" t="s">
        <v>77</v>
      </c>
      <c r="C28" s="7797"/>
      <c r="D28" s="5142">
        <f t="shared" ref="D28" si="9">+E28+F28</f>
        <v>0</v>
      </c>
      <c r="E28" s="1102">
        <f>+G28+I28+K28+M28+O28+Q28+S28+U28+W28+Y28+AA28+AC28+AE28+AG28+AI28+AK28+AM28</f>
        <v>0</v>
      </c>
      <c r="F28" s="5065">
        <f>+H28+J28+L28+N28+P28+R28+T28+V28+X28+Z28+AB28+AD28+AF28+AH28+AJ28+AL28+AN28</f>
        <v>0</v>
      </c>
      <c r="G28" s="4891">
        <f>SUM(G12:G27)</f>
        <v>0</v>
      </c>
      <c r="H28" s="1102">
        <f>SUM(H12:H27)</f>
        <v>0</v>
      </c>
      <c r="I28" s="4891">
        <f t="shared" ref="I28:AX28" si="10">SUM(I12:I27)</f>
        <v>0</v>
      </c>
      <c r="J28" s="1102">
        <f t="shared" si="10"/>
        <v>0</v>
      </c>
      <c r="K28" s="4891">
        <f t="shared" si="10"/>
        <v>0</v>
      </c>
      <c r="L28" s="1102">
        <f t="shared" si="10"/>
        <v>0</v>
      </c>
      <c r="M28" s="4891">
        <f t="shared" si="10"/>
        <v>0</v>
      </c>
      <c r="N28" s="1102">
        <f t="shared" si="10"/>
        <v>0</v>
      </c>
      <c r="O28" s="4891">
        <f t="shared" si="10"/>
        <v>0</v>
      </c>
      <c r="P28" s="1102">
        <f t="shared" si="10"/>
        <v>0</v>
      </c>
      <c r="Q28" s="4891">
        <f t="shared" si="10"/>
        <v>0</v>
      </c>
      <c r="R28" s="1102">
        <f t="shared" si="10"/>
        <v>0</v>
      </c>
      <c r="S28" s="4891">
        <f t="shared" si="10"/>
        <v>0</v>
      </c>
      <c r="T28" s="1102">
        <f t="shared" si="10"/>
        <v>0</v>
      </c>
      <c r="U28" s="4891">
        <f t="shared" si="10"/>
        <v>0</v>
      </c>
      <c r="V28" s="1102">
        <f t="shared" si="10"/>
        <v>0</v>
      </c>
      <c r="W28" s="4891">
        <f t="shared" si="10"/>
        <v>0</v>
      </c>
      <c r="X28" s="1102">
        <f t="shared" si="10"/>
        <v>0</v>
      </c>
      <c r="Y28" s="4891">
        <f t="shared" si="10"/>
        <v>0</v>
      </c>
      <c r="Z28" s="1102">
        <f t="shared" si="10"/>
        <v>0</v>
      </c>
      <c r="AA28" s="4891">
        <f t="shared" si="10"/>
        <v>0</v>
      </c>
      <c r="AB28" s="1102">
        <f t="shared" si="10"/>
        <v>0</v>
      </c>
      <c r="AC28" s="4891">
        <f t="shared" si="10"/>
        <v>0</v>
      </c>
      <c r="AD28" s="1102">
        <f t="shared" si="10"/>
        <v>0</v>
      </c>
      <c r="AE28" s="4891">
        <f t="shared" si="10"/>
        <v>0</v>
      </c>
      <c r="AF28" s="1102">
        <f t="shared" si="10"/>
        <v>0</v>
      </c>
      <c r="AG28" s="4891">
        <f t="shared" si="10"/>
        <v>0</v>
      </c>
      <c r="AH28" s="1102">
        <f t="shared" si="10"/>
        <v>0</v>
      </c>
      <c r="AI28" s="4891">
        <f t="shared" si="10"/>
        <v>0</v>
      </c>
      <c r="AJ28" s="1102">
        <f t="shared" si="10"/>
        <v>0</v>
      </c>
      <c r="AK28" s="4891">
        <f t="shared" si="10"/>
        <v>0</v>
      </c>
      <c r="AL28" s="1102">
        <f t="shared" si="10"/>
        <v>0</v>
      </c>
      <c r="AM28" s="4891">
        <f>SUM(AM12:AM27)</f>
        <v>0</v>
      </c>
      <c r="AN28" s="1103">
        <f t="shared" si="10"/>
        <v>0</v>
      </c>
      <c r="AO28" s="4765">
        <f t="shared" si="10"/>
        <v>0</v>
      </c>
      <c r="AP28" s="1116">
        <f t="shared" si="10"/>
        <v>0</v>
      </c>
      <c r="AQ28" s="1116">
        <f t="shared" si="10"/>
        <v>0</v>
      </c>
      <c r="AR28" s="1116">
        <f t="shared" si="10"/>
        <v>0</v>
      </c>
      <c r="AS28" s="5100">
        <f t="shared" si="10"/>
        <v>0</v>
      </c>
      <c r="AT28" s="4765">
        <f t="shared" si="10"/>
        <v>0</v>
      </c>
      <c r="AU28" s="5100">
        <f t="shared" si="10"/>
        <v>0</v>
      </c>
      <c r="AV28" s="4765">
        <f t="shared" si="10"/>
        <v>0</v>
      </c>
      <c r="AW28" s="1116">
        <f>SUM(AW12:AW27)</f>
        <v>0</v>
      </c>
      <c r="AX28" s="5065">
        <f t="shared" si="10"/>
        <v>0</v>
      </c>
    </row>
    <row r="29" spans="1:91" s="25" customFormat="1" ht="17.100000000000001" customHeight="1" x14ac:dyDescent="0.25">
      <c r="A29" s="5548"/>
      <c r="B29" s="7786" t="s">
        <v>3901</v>
      </c>
      <c r="C29" s="7786"/>
      <c r="D29" s="7786"/>
      <c r="E29" s="7786"/>
      <c r="F29" s="7786"/>
      <c r="G29" s="7786"/>
      <c r="H29" s="7786"/>
      <c r="I29" s="7786"/>
      <c r="J29" s="7786"/>
      <c r="K29" s="7786"/>
      <c r="L29" s="7786"/>
      <c r="M29" s="7786"/>
    </row>
    <row r="30" spans="1:91" s="19" customFormat="1" ht="15" customHeight="1" x14ac:dyDescent="0.25">
      <c r="A30" s="5548"/>
      <c r="B30" s="7701" t="s">
        <v>3902</v>
      </c>
      <c r="C30" s="7701" t="s">
        <v>77</v>
      </c>
      <c r="D30" s="7798" t="s">
        <v>3885</v>
      </c>
      <c r="E30" s="6774" t="s">
        <v>3886</v>
      </c>
      <c r="F30" s="7800" t="s">
        <v>3887</v>
      </c>
      <c r="G30" s="7793" t="s">
        <v>3903</v>
      </c>
      <c r="H30" s="7794"/>
      <c r="I30" s="7794"/>
      <c r="J30" s="7794"/>
      <c r="K30" s="7794"/>
      <c r="L30" s="7794"/>
      <c r="M30" s="7794"/>
      <c r="N30" s="7794"/>
      <c r="O30" s="7794"/>
      <c r="P30" s="7794"/>
      <c r="Q30" s="7794"/>
      <c r="R30" s="7794"/>
      <c r="S30" s="7794"/>
      <c r="T30" s="7794"/>
      <c r="U30" s="7794"/>
      <c r="V30" s="7794"/>
      <c r="W30" s="7794"/>
      <c r="X30" s="7794"/>
      <c r="Y30" s="7794"/>
      <c r="Z30" s="7794"/>
      <c r="AA30" s="7794"/>
      <c r="AB30" s="7794"/>
      <c r="AC30" s="7794"/>
      <c r="AD30" s="7794"/>
      <c r="AE30" s="7794"/>
      <c r="AF30" s="7794"/>
      <c r="AG30" s="7797"/>
    </row>
    <row r="31" spans="1:91" ht="42" x14ac:dyDescent="0.25">
      <c r="A31" s="5548"/>
      <c r="B31" s="7185"/>
      <c r="C31" s="7185"/>
      <c r="D31" s="7799"/>
      <c r="E31" s="6776"/>
      <c r="F31" s="6204"/>
      <c r="G31" s="5144" t="s">
        <v>3889</v>
      </c>
      <c r="H31" s="2909" t="s">
        <v>3904</v>
      </c>
      <c r="I31" s="2909" t="s">
        <v>3905</v>
      </c>
      <c r="J31" s="2909" t="s">
        <v>3906</v>
      </c>
      <c r="K31" s="5145" t="s">
        <v>3891</v>
      </c>
      <c r="L31" s="2909" t="s">
        <v>3907</v>
      </c>
      <c r="M31" s="4597" t="s">
        <v>3908</v>
      </c>
      <c r="N31" s="2909" t="s">
        <v>3909</v>
      </c>
      <c r="O31" s="2909" t="s">
        <v>3893</v>
      </c>
      <c r="P31" s="2909" t="s">
        <v>3894</v>
      </c>
      <c r="Q31" s="4708" t="s">
        <v>3910</v>
      </c>
      <c r="R31" s="5146" t="s">
        <v>3895</v>
      </c>
      <c r="S31" s="2909" t="s">
        <v>3896</v>
      </c>
      <c r="T31" s="4597" t="s">
        <v>3911</v>
      </c>
      <c r="U31" s="4708" t="s">
        <v>3898</v>
      </c>
      <c r="V31" s="1209" t="s">
        <v>3912</v>
      </c>
      <c r="W31" s="4708" t="s">
        <v>3913</v>
      </c>
      <c r="X31" s="4708" t="s">
        <v>3899</v>
      </c>
      <c r="Y31" s="4597" t="s">
        <v>3900</v>
      </c>
      <c r="Z31" s="4708" t="s">
        <v>3914</v>
      </c>
      <c r="AA31" s="1209" t="s">
        <v>3915</v>
      </c>
      <c r="AB31" s="4708" t="s">
        <v>3916</v>
      </c>
      <c r="AC31" s="2909" t="s">
        <v>3917</v>
      </c>
      <c r="AD31" s="4708" t="s">
        <v>3918</v>
      </c>
      <c r="AE31" s="4708" t="s">
        <v>3919</v>
      </c>
      <c r="AF31" s="4708" t="s">
        <v>3920</v>
      </c>
      <c r="AG31" s="5127" t="s">
        <v>3921</v>
      </c>
      <c r="CC31"/>
      <c r="CD31"/>
      <c r="CE31"/>
      <c r="CF31"/>
      <c r="CG31"/>
      <c r="CH31"/>
      <c r="CJ31"/>
      <c r="CK31"/>
      <c r="CL31"/>
    </row>
    <row r="32" spans="1:91" s="19" customFormat="1" ht="15" customHeight="1" x14ac:dyDescent="0.15">
      <c r="A32" s="5609">
        <v>31000012</v>
      </c>
      <c r="B32" s="5000" t="s">
        <v>959</v>
      </c>
      <c r="C32" s="1159" t="s">
        <v>4567</v>
      </c>
      <c r="D32" s="4517" t="s">
        <v>4568</v>
      </c>
      <c r="E32" s="4517" t="s">
        <v>4569</v>
      </c>
      <c r="F32" s="95" t="s">
        <v>4570</v>
      </c>
      <c r="G32" s="290" t="s">
        <v>4571</v>
      </c>
      <c r="H32" s="531" t="s">
        <v>4572</v>
      </c>
      <c r="I32" s="531" t="s">
        <v>4573</v>
      </c>
      <c r="J32" s="531" t="s">
        <v>4574</v>
      </c>
      <c r="K32" s="714" t="s">
        <v>4575</v>
      </c>
      <c r="L32" s="750" t="s">
        <v>4576</v>
      </c>
      <c r="M32" s="750" t="s">
        <v>4577</v>
      </c>
      <c r="N32" s="750" t="s">
        <v>4578</v>
      </c>
      <c r="O32" s="750" t="s">
        <v>4579</v>
      </c>
      <c r="P32" s="750" t="s">
        <v>4580</v>
      </c>
      <c r="Q32" s="750" t="s">
        <v>4581</v>
      </c>
      <c r="R32" s="750" t="s">
        <v>4582</v>
      </c>
      <c r="S32" s="750" t="s">
        <v>4583</v>
      </c>
      <c r="T32" s="750" t="s">
        <v>4584</v>
      </c>
      <c r="U32" s="1083" t="s">
        <v>4585</v>
      </c>
      <c r="V32" s="750" t="s">
        <v>4586</v>
      </c>
      <c r="W32" s="750" t="s">
        <v>4587</v>
      </c>
      <c r="X32" s="750" t="s">
        <v>4588</v>
      </c>
      <c r="Y32" s="750" t="s">
        <v>4589</v>
      </c>
      <c r="Z32" s="750" t="s">
        <v>4590</v>
      </c>
      <c r="AA32" s="750" t="s">
        <v>4591</v>
      </c>
      <c r="AB32" s="750" t="s">
        <v>4592</v>
      </c>
      <c r="AC32" s="750" t="s">
        <v>4593</v>
      </c>
      <c r="AD32" s="750" t="s">
        <v>4594</v>
      </c>
      <c r="AE32" s="750" t="s">
        <v>4595</v>
      </c>
      <c r="AF32" s="750" t="s">
        <v>4596</v>
      </c>
      <c r="AG32" s="1082" t="s">
        <v>4597</v>
      </c>
      <c r="CC32" s="83"/>
      <c r="CD32" s="83"/>
      <c r="CE32" s="83"/>
      <c r="CF32" s="83"/>
      <c r="CG32" s="83"/>
      <c r="CH32" s="83"/>
      <c r="CJ32" s="84"/>
      <c r="CK32" s="84"/>
      <c r="CL32" s="84"/>
    </row>
    <row r="33" spans="1:33" s="19" customFormat="1" ht="15" customHeight="1" x14ac:dyDescent="0.15">
      <c r="A33" s="5609">
        <v>31000013</v>
      </c>
      <c r="B33" s="5136" t="s">
        <v>587</v>
      </c>
      <c r="C33" s="1162" t="s">
        <v>4567</v>
      </c>
      <c r="D33" s="481" t="s">
        <v>4568</v>
      </c>
      <c r="E33" s="481" t="s">
        <v>4569</v>
      </c>
      <c r="F33" s="382" t="s">
        <v>4570</v>
      </c>
      <c r="G33" s="192" t="s">
        <v>4571</v>
      </c>
      <c r="H33" s="580" t="s">
        <v>4572</v>
      </c>
      <c r="I33" s="580" t="s">
        <v>4573</v>
      </c>
      <c r="J33" s="580" t="s">
        <v>4574</v>
      </c>
      <c r="K33" s="1098" t="s">
        <v>4575</v>
      </c>
      <c r="L33" s="1253" t="s">
        <v>4576</v>
      </c>
      <c r="M33" s="1253" t="s">
        <v>4577</v>
      </c>
      <c r="N33" s="1253" t="s">
        <v>4578</v>
      </c>
      <c r="O33" s="1253" t="s">
        <v>4579</v>
      </c>
      <c r="P33" s="1253" t="s">
        <v>4580</v>
      </c>
      <c r="Q33" s="1253" t="s">
        <v>4581</v>
      </c>
      <c r="R33" s="1253" t="s">
        <v>4582</v>
      </c>
      <c r="S33" s="1253" t="s">
        <v>4583</v>
      </c>
      <c r="T33" s="1253" t="s">
        <v>4584</v>
      </c>
      <c r="U33" s="1091" t="s">
        <v>4585</v>
      </c>
      <c r="V33" s="1253" t="s">
        <v>4586</v>
      </c>
      <c r="W33" s="1253" t="s">
        <v>4587</v>
      </c>
      <c r="X33" s="1253" t="s">
        <v>4588</v>
      </c>
      <c r="Y33" s="1253" t="s">
        <v>4589</v>
      </c>
      <c r="Z33" s="1253" t="s">
        <v>4590</v>
      </c>
      <c r="AA33" s="1253" t="s">
        <v>4591</v>
      </c>
      <c r="AB33" s="1253" t="s">
        <v>4592</v>
      </c>
      <c r="AC33" s="1253" t="s">
        <v>4593</v>
      </c>
      <c r="AD33" s="1253" t="s">
        <v>4594</v>
      </c>
      <c r="AE33" s="1253" t="s">
        <v>4595</v>
      </c>
      <c r="AF33" s="1253" t="s">
        <v>4596</v>
      </c>
      <c r="AG33" s="1090" t="s">
        <v>4597</v>
      </c>
    </row>
    <row r="34" spans="1:33" s="19" customFormat="1" ht="15" customHeight="1" x14ac:dyDescent="0.15">
      <c r="A34" s="5609">
        <v>31000014</v>
      </c>
      <c r="B34" s="5136" t="s">
        <v>3922</v>
      </c>
      <c r="C34" s="1162" t="s">
        <v>4567</v>
      </c>
      <c r="D34" s="481" t="s">
        <v>4568</v>
      </c>
      <c r="E34" s="481" t="s">
        <v>4569</v>
      </c>
      <c r="F34" s="382" t="s">
        <v>4570</v>
      </c>
      <c r="G34" s="192" t="s">
        <v>4571</v>
      </c>
      <c r="H34" s="580" t="s">
        <v>4572</v>
      </c>
      <c r="I34" s="580" t="s">
        <v>4573</v>
      </c>
      <c r="J34" s="580" t="s">
        <v>4574</v>
      </c>
      <c r="K34" s="1098" t="s">
        <v>4575</v>
      </c>
      <c r="L34" s="1253" t="s">
        <v>4576</v>
      </c>
      <c r="M34" s="1253" t="s">
        <v>4577</v>
      </c>
      <c r="N34" s="1253" t="s">
        <v>4578</v>
      </c>
      <c r="O34" s="1253" t="s">
        <v>4579</v>
      </c>
      <c r="P34" s="1253" t="s">
        <v>4580</v>
      </c>
      <c r="Q34" s="1253" t="s">
        <v>4581</v>
      </c>
      <c r="R34" s="1253" t="s">
        <v>4582</v>
      </c>
      <c r="S34" s="1253" t="s">
        <v>4583</v>
      </c>
      <c r="T34" s="1253" t="s">
        <v>4584</v>
      </c>
      <c r="U34" s="1091" t="s">
        <v>4585</v>
      </c>
      <c r="V34" s="1253" t="s">
        <v>4586</v>
      </c>
      <c r="W34" s="1253" t="s">
        <v>4587</v>
      </c>
      <c r="X34" s="1253" t="s">
        <v>4588</v>
      </c>
      <c r="Y34" s="1253" t="s">
        <v>4589</v>
      </c>
      <c r="Z34" s="1253" t="s">
        <v>4590</v>
      </c>
      <c r="AA34" s="1253" t="s">
        <v>4591</v>
      </c>
      <c r="AB34" s="1253" t="s">
        <v>4592</v>
      </c>
      <c r="AC34" s="1253" t="s">
        <v>4593</v>
      </c>
      <c r="AD34" s="1253" t="s">
        <v>4594</v>
      </c>
      <c r="AE34" s="1253" t="s">
        <v>4595</v>
      </c>
      <c r="AF34" s="1253" t="s">
        <v>4596</v>
      </c>
      <c r="AG34" s="1090" t="s">
        <v>4597</v>
      </c>
    </row>
    <row r="35" spans="1:33" s="19" customFormat="1" ht="15" customHeight="1" x14ac:dyDescent="0.15">
      <c r="A35" s="5609">
        <v>31000015</v>
      </c>
      <c r="B35" s="5136" t="s">
        <v>3923</v>
      </c>
      <c r="C35" s="1162" t="s">
        <v>4567</v>
      </c>
      <c r="D35" s="481" t="s">
        <v>4568</v>
      </c>
      <c r="E35" s="481" t="s">
        <v>4569</v>
      </c>
      <c r="F35" s="382" t="s">
        <v>4570</v>
      </c>
      <c r="G35" s="192" t="s">
        <v>4571</v>
      </c>
      <c r="H35" s="580" t="s">
        <v>4572</v>
      </c>
      <c r="I35" s="580" t="s">
        <v>4573</v>
      </c>
      <c r="J35" s="580" t="s">
        <v>4574</v>
      </c>
      <c r="K35" s="1098" t="s">
        <v>4575</v>
      </c>
      <c r="L35" s="1253" t="s">
        <v>4576</v>
      </c>
      <c r="M35" s="1253" t="s">
        <v>4577</v>
      </c>
      <c r="N35" s="1253" t="s">
        <v>4578</v>
      </c>
      <c r="O35" s="1253" t="s">
        <v>4579</v>
      </c>
      <c r="P35" s="1253" t="s">
        <v>4580</v>
      </c>
      <c r="Q35" s="1253" t="s">
        <v>4581</v>
      </c>
      <c r="R35" s="1253" t="s">
        <v>4582</v>
      </c>
      <c r="S35" s="1253" t="s">
        <v>4583</v>
      </c>
      <c r="T35" s="1253" t="s">
        <v>4584</v>
      </c>
      <c r="U35" s="1091" t="s">
        <v>4585</v>
      </c>
      <c r="V35" s="1253" t="s">
        <v>4586</v>
      </c>
      <c r="W35" s="1253" t="s">
        <v>4587</v>
      </c>
      <c r="X35" s="1253" t="s">
        <v>4588</v>
      </c>
      <c r="Y35" s="1253" t="s">
        <v>4589</v>
      </c>
      <c r="Z35" s="1253" t="s">
        <v>4590</v>
      </c>
      <c r="AA35" s="1253" t="s">
        <v>4591</v>
      </c>
      <c r="AB35" s="1253" t="s">
        <v>4592</v>
      </c>
      <c r="AC35" s="1253" t="s">
        <v>4593</v>
      </c>
      <c r="AD35" s="1253" t="s">
        <v>4594</v>
      </c>
      <c r="AE35" s="1253" t="s">
        <v>4595</v>
      </c>
      <c r="AF35" s="1253" t="s">
        <v>4596</v>
      </c>
      <c r="AG35" s="1090" t="s">
        <v>4597</v>
      </c>
    </row>
    <row r="36" spans="1:33" s="19" customFormat="1" ht="15" customHeight="1" x14ac:dyDescent="0.15">
      <c r="A36" s="5609">
        <v>31000016</v>
      </c>
      <c r="B36" s="5136" t="s">
        <v>589</v>
      </c>
      <c r="C36" s="1162" t="s">
        <v>4567</v>
      </c>
      <c r="D36" s="481" t="s">
        <v>4568</v>
      </c>
      <c r="E36" s="481" t="s">
        <v>4569</v>
      </c>
      <c r="F36" s="382" t="s">
        <v>4570</v>
      </c>
      <c r="G36" s="192" t="s">
        <v>4571</v>
      </c>
      <c r="H36" s="580" t="s">
        <v>4572</v>
      </c>
      <c r="I36" s="580" t="s">
        <v>4573</v>
      </c>
      <c r="J36" s="580" t="s">
        <v>4574</v>
      </c>
      <c r="K36" s="1098" t="s">
        <v>4575</v>
      </c>
      <c r="L36" s="1253" t="s">
        <v>4576</v>
      </c>
      <c r="M36" s="1253" t="s">
        <v>4577</v>
      </c>
      <c r="N36" s="1253" t="s">
        <v>4578</v>
      </c>
      <c r="O36" s="1253" t="s">
        <v>4579</v>
      </c>
      <c r="P36" s="1253" t="s">
        <v>4580</v>
      </c>
      <c r="Q36" s="1253" t="s">
        <v>4581</v>
      </c>
      <c r="R36" s="1253" t="s">
        <v>4582</v>
      </c>
      <c r="S36" s="1253" t="s">
        <v>4583</v>
      </c>
      <c r="T36" s="1253" t="s">
        <v>4584</v>
      </c>
      <c r="U36" s="1091" t="s">
        <v>4585</v>
      </c>
      <c r="V36" s="1253" t="s">
        <v>4586</v>
      </c>
      <c r="W36" s="1253" t="s">
        <v>4587</v>
      </c>
      <c r="X36" s="1253" t="s">
        <v>4588</v>
      </c>
      <c r="Y36" s="1253" t="s">
        <v>4589</v>
      </c>
      <c r="Z36" s="1253" t="s">
        <v>4590</v>
      </c>
      <c r="AA36" s="1253" t="s">
        <v>4591</v>
      </c>
      <c r="AB36" s="1253" t="s">
        <v>4592</v>
      </c>
      <c r="AC36" s="1253" t="s">
        <v>4593</v>
      </c>
      <c r="AD36" s="1253" t="s">
        <v>4594</v>
      </c>
      <c r="AE36" s="1253" t="s">
        <v>4595</v>
      </c>
      <c r="AF36" s="1253" t="s">
        <v>4596</v>
      </c>
      <c r="AG36" s="1090" t="s">
        <v>4597</v>
      </c>
    </row>
    <row r="37" spans="1:33" s="19" customFormat="1" ht="15" customHeight="1" x14ac:dyDescent="0.15">
      <c r="A37" s="5609">
        <v>31000017</v>
      </c>
      <c r="B37" s="5136" t="s">
        <v>3924</v>
      </c>
      <c r="C37" s="1162" t="s">
        <v>4567</v>
      </c>
      <c r="D37" s="481" t="s">
        <v>4568</v>
      </c>
      <c r="E37" s="481" t="s">
        <v>4569</v>
      </c>
      <c r="F37" s="382" t="s">
        <v>4570</v>
      </c>
      <c r="G37" s="192" t="s">
        <v>4571</v>
      </c>
      <c r="H37" s="580" t="s">
        <v>4572</v>
      </c>
      <c r="I37" s="580" t="s">
        <v>4573</v>
      </c>
      <c r="J37" s="580" t="s">
        <v>4574</v>
      </c>
      <c r="K37" s="1098" t="s">
        <v>4575</v>
      </c>
      <c r="L37" s="1253" t="s">
        <v>4576</v>
      </c>
      <c r="M37" s="1253" t="s">
        <v>4577</v>
      </c>
      <c r="N37" s="1253" t="s">
        <v>4578</v>
      </c>
      <c r="O37" s="1253" t="s">
        <v>4579</v>
      </c>
      <c r="P37" s="1253" t="s">
        <v>4580</v>
      </c>
      <c r="Q37" s="1253" t="s">
        <v>4581</v>
      </c>
      <c r="R37" s="1253" t="s">
        <v>4582</v>
      </c>
      <c r="S37" s="1253" t="s">
        <v>4583</v>
      </c>
      <c r="T37" s="1253" t="s">
        <v>4584</v>
      </c>
      <c r="U37" s="1091" t="s">
        <v>4585</v>
      </c>
      <c r="V37" s="1253" t="s">
        <v>4586</v>
      </c>
      <c r="W37" s="1253" t="s">
        <v>4587</v>
      </c>
      <c r="X37" s="1253" t="s">
        <v>4588</v>
      </c>
      <c r="Y37" s="1253" t="s">
        <v>4589</v>
      </c>
      <c r="Z37" s="1253" t="s">
        <v>4590</v>
      </c>
      <c r="AA37" s="1253" t="s">
        <v>4591</v>
      </c>
      <c r="AB37" s="1253" t="s">
        <v>4592</v>
      </c>
      <c r="AC37" s="1253" t="s">
        <v>4593</v>
      </c>
      <c r="AD37" s="1253" t="s">
        <v>4594</v>
      </c>
      <c r="AE37" s="1253" t="s">
        <v>4595</v>
      </c>
      <c r="AF37" s="1253" t="s">
        <v>4596</v>
      </c>
      <c r="AG37" s="1090" t="s">
        <v>4597</v>
      </c>
    </row>
    <row r="38" spans="1:33" s="19" customFormat="1" ht="15" customHeight="1" x14ac:dyDescent="0.15">
      <c r="A38" s="5609">
        <v>31000018</v>
      </c>
      <c r="B38" s="5136" t="s">
        <v>509</v>
      </c>
      <c r="C38" s="1162" t="s">
        <v>4567</v>
      </c>
      <c r="D38" s="481" t="s">
        <v>4568</v>
      </c>
      <c r="E38" s="481" t="s">
        <v>4569</v>
      </c>
      <c r="F38" s="382" t="s">
        <v>4570</v>
      </c>
      <c r="G38" s="192" t="s">
        <v>4571</v>
      </c>
      <c r="H38" s="580" t="s">
        <v>4572</v>
      </c>
      <c r="I38" s="580" t="s">
        <v>4573</v>
      </c>
      <c r="J38" s="580" t="s">
        <v>4574</v>
      </c>
      <c r="K38" s="1098" t="s">
        <v>4575</v>
      </c>
      <c r="L38" s="1253" t="s">
        <v>4576</v>
      </c>
      <c r="M38" s="1253" t="s">
        <v>4577</v>
      </c>
      <c r="N38" s="1253" t="s">
        <v>4578</v>
      </c>
      <c r="O38" s="1253" t="s">
        <v>4579</v>
      </c>
      <c r="P38" s="1253" t="s">
        <v>4580</v>
      </c>
      <c r="Q38" s="1253" t="s">
        <v>4581</v>
      </c>
      <c r="R38" s="1253" t="s">
        <v>4582</v>
      </c>
      <c r="S38" s="1253" t="s">
        <v>4583</v>
      </c>
      <c r="T38" s="1253" t="s">
        <v>4584</v>
      </c>
      <c r="U38" s="1091" t="s">
        <v>4585</v>
      </c>
      <c r="V38" s="1253" t="s">
        <v>4586</v>
      </c>
      <c r="W38" s="1253" t="s">
        <v>4587</v>
      </c>
      <c r="X38" s="1253" t="s">
        <v>4588</v>
      </c>
      <c r="Y38" s="1253" t="s">
        <v>4589</v>
      </c>
      <c r="Z38" s="1253" t="s">
        <v>4590</v>
      </c>
      <c r="AA38" s="1253" t="s">
        <v>4591</v>
      </c>
      <c r="AB38" s="1253" t="s">
        <v>4592</v>
      </c>
      <c r="AC38" s="1253" t="s">
        <v>4593</v>
      </c>
      <c r="AD38" s="1253" t="s">
        <v>4594</v>
      </c>
      <c r="AE38" s="1253" t="s">
        <v>4595</v>
      </c>
      <c r="AF38" s="1253" t="s">
        <v>4596</v>
      </c>
      <c r="AG38" s="1090" t="s">
        <v>4597</v>
      </c>
    </row>
    <row r="39" spans="1:33" s="19" customFormat="1" ht="15" customHeight="1" x14ac:dyDescent="0.15">
      <c r="A39" s="5609">
        <v>31000019</v>
      </c>
      <c r="B39" s="5136" t="s">
        <v>3925</v>
      </c>
      <c r="C39" s="1162" t="s">
        <v>4567</v>
      </c>
      <c r="D39" s="481" t="s">
        <v>4568</v>
      </c>
      <c r="E39" s="481" t="s">
        <v>4569</v>
      </c>
      <c r="F39" s="382" t="s">
        <v>4570</v>
      </c>
      <c r="G39" s="192" t="s">
        <v>4571</v>
      </c>
      <c r="H39" s="580" t="s">
        <v>4572</v>
      </c>
      <c r="I39" s="580" t="s">
        <v>4573</v>
      </c>
      <c r="J39" s="580" t="s">
        <v>4574</v>
      </c>
      <c r="K39" s="1098" t="s">
        <v>4575</v>
      </c>
      <c r="L39" s="1253" t="s">
        <v>4576</v>
      </c>
      <c r="M39" s="1253" t="s">
        <v>4577</v>
      </c>
      <c r="N39" s="1253" t="s">
        <v>4578</v>
      </c>
      <c r="O39" s="1253" t="s">
        <v>4579</v>
      </c>
      <c r="P39" s="1253" t="s">
        <v>4580</v>
      </c>
      <c r="Q39" s="1253" t="s">
        <v>4581</v>
      </c>
      <c r="R39" s="1253" t="s">
        <v>4582</v>
      </c>
      <c r="S39" s="1253" t="s">
        <v>4583</v>
      </c>
      <c r="T39" s="1253" t="s">
        <v>4584</v>
      </c>
      <c r="U39" s="1091" t="s">
        <v>4585</v>
      </c>
      <c r="V39" s="1253" t="s">
        <v>4586</v>
      </c>
      <c r="W39" s="1253" t="s">
        <v>4587</v>
      </c>
      <c r="X39" s="1253" t="s">
        <v>4588</v>
      </c>
      <c r="Y39" s="1253" t="s">
        <v>4589</v>
      </c>
      <c r="Z39" s="1253" t="s">
        <v>4590</v>
      </c>
      <c r="AA39" s="1253" t="s">
        <v>4591</v>
      </c>
      <c r="AB39" s="1253" t="s">
        <v>4592</v>
      </c>
      <c r="AC39" s="1253" t="s">
        <v>4593</v>
      </c>
      <c r="AD39" s="1253" t="s">
        <v>4594</v>
      </c>
      <c r="AE39" s="1253" t="s">
        <v>4595</v>
      </c>
      <c r="AF39" s="1253" t="s">
        <v>4596</v>
      </c>
      <c r="AG39" s="1090" t="s">
        <v>4597</v>
      </c>
    </row>
    <row r="40" spans="1:33" s="19" customFormat="1" ht="15" customHeight="1" x14ac:dyDescent="0.15">
      <c r="A40" s="5609">
        <v>31000020</v>
      </c>
      <c r="B40" s="5136" t="s">
        <v>3926</v>
      </c>
      <c r="C40" s="1162" t="s">
        <v>4567</v>
      </c>
      <c r="D40" s="481" t="s">
        <v>4568</v>
      </c>
      <c r="E40" s="481" t="s">
        <v>4569</v>
      </c>
      <c r="F40" s="382" t="s">
        <v>4570</v>
      </c>
      <c r="G40" s="192" t="s">
        <v>4571</v>
      </c>
      <c r="H40" s="580" t="s">
        <v>4572</v>
      </c>
      <c r="I40" s="580" t="s">
        <v>4573</v>
      </c>
      <c r="J40" s="580" t="s">
        <v>4574</v>
      </c>
      <c r="K40" s="1098" t="s">
        <v>4575</v>
      </c>
      <c r="L40" s="1253" t="s">
        <v>4576</v>
      </c>
      <c r="M40" s="1253" t="s">
        <v>4577</v>
      </c>
      <c r="N40" s="1253" t="s">
        <v>4578</v>
      </c>
      <c r="O40" s="1253" t="s">
        <v>4579</v>
      </c>
      <c r="P40" s="1253" t="s">
        <v>4580</v>
      </c>
      <c r="Q40" s="1253" t="s">
        <v>4581</v>
      </c>
      <c r="R40" s="1253" t="s">
        <v>4582</v>
      </c>
      <c r="S40" s="1253" t="s">
        <v>4583</v>
      </c>
      <c r="T40" s="1253" t="s">
        <v>4584</v>
      </c>
      <c r="U40" s="1091" t="s">
        <v>4585</v>
      </c>
      <c r="V40" s="1253" t="s">
        <v>4586</v>
      </c>
      <c r="W40" s="1253" t="s">
        <v>4587</v>
      </c>
      <c r="X40" s="1253" t="s">
        <v>4588</v>
      </c>
      <c r="Y40" s="1253" t="s">
        <v>4589</v>
      </c>
      <c r="Z40" s="1253" t="s">
        <v>4590</v>
      </c>
      <c r="AA40" s="1253" t="s">
        <v>4591</v>
      </c>
      <c r="AB40" s="1253" t="s">
        <v>4592</v>
      </c>
      <c r="AC40" s="1253" t="s">
        <v>4593</v>
      </c>
      <c r="AD40" s="1253" t="s">
        <v>4594</v>
      </c>
      <c r="AE40" s="1253" t="s">
        <v>4595</v>
      </c>
      <c r="AF40" s="1253" t="s">
        <v>4596</v>
      </c>
      <c r="AG40" s="1090" t="s">
        <v>4597</v>
      </c>
    </row>
    <row r="41" spans="1:33" s="19" customFormat="1" ht="15" customHeight="1" x14ac:dyDescent="0.15">
      <c r="A41" s="5609">
        <v>31000021</v>
      </c>
      <c r="B41" s="5136" t="s">
        <v>105</v>
      </c>
      <c r="C41" s="1162" t="s">
        <v>4567</v>
      </c>
      <c r="D41" s="481" t="s">
        <v>4568</v>
      </c>
      <c r="E41" s="481" t="s">
        <v>4569</v>
      </c>
      <c r="F41" s="382" t="s">
        <v>4570</v>
      </c>
      <c r="G41" s="192" t="s">
        <v>4571</v>
      </c>
      <c r="H41" s="580" t="s">
        <v>4572</v>
      </c>
      <c r="I41" s="580" t="s">
        <v>4573</v>
      </c>
      <c r="J41" s="580" t="s">
        <v>4574</v>
      </c>
      <c r="K41" s="1098" t="s">
        <v>4575</v>
      </c>
      <c r="L41" s="1253" t="s">
        <v>4576</v>
      </c>
      <c r="M41" s="1253" t="s">
        <v>4577</v>
      </c>
      <c r="N41" s="1253" t="s">
        <v>4578</v>
      </c>
      <c r="O41" s="1253" t="s">
        <v>4579</v>
      </c>
      <c r="P41" s="1253" t="s">
        <v>4580</v>
      </c>
      <c r="Q41" s="1253" t="s">
        <v>4581</v>
      </c>
      <c r="R41" s="1253" t="s">
        <v>4582</v>
      </c>
      <c r="S41" s="1253" t="s">
        <v>4583</v>
      </c>
      <c r="T41" s="1253" t="s">
        <v>4584</v>
      </c>
      <c r="U41" s="1091" t="s">
        <v>4585</v>
      </c>
      <c r="V41" s="1253" t="s">
        <v>4586</v>
      </c>
      <c r="W41" s="1253" t="s">
        <v>4587</v>
      </c>
      <c r="X41" s="1253" t="s">
        <v>4588</v>
      </c>
      <c r="Y41" s="1253" t="s">
        <v>4589</v>
      </c>
      <c r="Z41" s="1253" t="s">
        <v>4590</v>
      </c>
      <c r="AA41" s="1253" t="s">
        <v>4591</v>
      </c>
      <c r="AB41" s="1253" t="s">
        <v>4592</v>
      </c>
      <c r="AC41" s="1253" t="s">
        <v>4593</v>
      </c>
      <c r="AD41" s="1253" t="s">
        <v>4594</v>
      </c>
      <c r="AE41" s="1253" t="s">
        <v>4595</v>
      </c>
      <c r="AF41" s="1253" t="s">
        <v>4596</v>
      </c>
      <c r="AG41" s="1090" t="s">
        <v>4597</v>
      </c>
    </row>
    <row r="42" spans="1:33" s="19" customFormat="1" ht="15" customHeight="1" x14ac:dyDescent="0.15">
      <c r="A42" s="5609">
        <v>31000022</v>
      </c>
      <c r="B42" s="5136" t="s">
        <v>3927</v>
      </c>
      <c r="C42" s="1162" t="s">
        <v>4567</v>
      </c>
      <c r="D42" s="481" t="s">
        <v>4568</v>
      </c>
      <c r="E42" s="481" t="s">
        <v>4569</v>
      </c>
      <c r="F42" s="382" t="s">
        <v>4570</v>
      </c>
      <c r="G42" s="192" t="s">
        <v>4571</v>
      </c>
      <c r="H42" s="580" t="s">
        <v>4572</v>
      </c>
      <c r="I42" s="580" t="s">
        <v>4573</v>
      </c>
      <c r="J42" s="580" t="s">
        <v>4574</v>
      </c>
      <c r="K42" s="1098" t="s">
        <v>4575</v>
      </c>
      <c r="L42" s="1253" t="s">
        <v>4576</v>
      </c>
      <c r="M42" s="1253" t="s">
        <v>4577</v>
      </c>
      <c r="N42" s="1253" t="s">
        <v>4578</v>
      </c>
      <c r="O42" s="1253" t="s">
        <v>4579</v>
      </c>
      <c r="P42" s="1253" t="s">
        <v>4580</v>
      </c>
      <c r="Q42" s="1253" t="s">
        <v>4581</v>
      </c>
      <c r="R42" s="1253" t="s">
        <v>4582</v>
      </c>
      <c r="S42" s="1253" t="s">
        <v>4583</v>
      </c>
      <c r="T42" s="1253" t="s">
        <v>4584</v>
      </c>
      <c r="U42" s="1091" t="s">
        <v>4585</v>
      </c>
      <c r="V42" s="1253" t="s">
        <v>4586</v>
      </c>
      <c r="W42" s="1253" t="s">
        <v>4587</v>
      </c>
      <c r="X42" s="1253" t="s">
        <v>4588</v>
      </c>
      <c r="Y42" s="1253" t="s">
        <v>4589</v>
      </c>
      <c r="Z42" s="1253" t="s">
        <v>4590</v>
      </c>
      <c r="AA42" s="1253" t="s">
        <v>4591</v>
      </c>
      <c r="AB42" s="1253" t="s">
        <v>4592</v>
      </c>
      <c r="AC42" s="1253" t="s">
        <v>4593</v>
      </c>
      <c r="AD42" s="1253" t="s">
        <v>4594</v>
      </c>
      <c r="AE42" s="1253" t="s">
        <v>4595</v>
      </c>
      <c r="AF42" s="1253" t="s">
        <v>4596</v>
      </c>
      <c r="AG42" s="1090" t="s">
        <v>4597</v>
      </c>
    </row>
    <row r="43" spans="1:33" s="19" customFormat="1" ht="15" customHeight="1" x14ac:dyDescent="0.15">
      <c r="A43" s="5609">
        <v>31000023</v>
      </c>
      <c r="B43" s="5136" t="s">
        <v>1035</v>
      </c>
      <c r="C43" s="1162" t="s">
        <v>4567</v>
      </c>
      <c r="D43" s="481" t="s">
        <v>4568</v>
      </c>
      <c r="E43" s="481" t="s">
        <v>4569</v>
      </c>
      <c r="F43" s="382" t="s">
        <v>4570</v>
      </c>
      <c r="G43" s="192" t="s">
        <v>4571</v>
      </c>
      <c r="H43" s="580" t="s">
        <v>4572</v>
      </c>
      <c r="I43" s="580" t="s">
        <v>4573</v>
      </c>
      <c r="J43" s="580" t="s">
        <v>4574</v>
      </c>
      <c r="K43" s="1098" t="s">
        <v>4575</v>
      </c>
      <c r="L43" s="1253" t="s">
        <v>4576</v>
      </c>
      <c r="M43" s="1253" t="s">
        <v>4577</v>
      </c>
      <c r="N43" s="1253" t="s">
        <v>4578</v>
      </c>
      <c r="O43" s="1253" t="s">
        <v>4579</v>
      </c>
      <c r="P43" s="1253" t="s">
        <v>4580</v>
      </c>
      <c r="Q43" s="1253" t="s">
        <v>4581</v>
      </c>
      <c r="R43" s="1253" t="s">
        <v>4582</v>
      </c>
      <c r="S43" s="1253" t="s">
        <v>4583</v>
      </c>
      <c r="T43" s="1253" t="s">
        <v>4584</v>
      </c>
      <c r="U43" s="1091" t="s">
        <v>4585</v>
      </c>
      <c r="V43" s="1253" t="s">
        <v>4586</v>
      </c>
      <c r="W43" s="1253" t="s">
        <v>4587</v>
      </c>
      <c r="X43" s="1253" t="s">
        <v>4588</v>
      </c>
      <c r="Y43" s="1253" t="s">
        <v>4589</v>
      </c>
      <c r="Z43" s="1253" t="s">
        <v>4590</v>
      </c>
      <c r="AA43" s="1253" t="s">
        <v>4591</v>
      </c>
      <c r="AB43" s="1253" t="s">
        <v>4592</v>
      </c>
      <c r="AC43" s="1253" t="s">
        <v>4593</v>
      </c>
      <c r="AD43" s="1253" t="s">
        <v>4594</v>
      </c>
      <c r="AE43" s="1253" t="s">
        <v>4595</v>
      </c>
      <c r="AF43" s="1253" t="s">
        <v>4596</v>
      </c>
      <c r="AG43" s="1090" t="s">
        <v>4597</v>
      </c>
    </row>
    <row r="44" spans="1:33" s="19" customFormat="1" ht="15" customHeight="1" x14ac:dyDescent="0.15">
      <c r="A44" s="5609">
        <v>31000024</v>
      </c>
      <c r="B44" s="5147" t="s">
        <v>1037</v>
      </c>
      <c r="C44" s="3062" t="s">
        <v>4567</v>
      </c>
      <c r="D44" s="481" t="s">
        <v>4568</v>
      </c>
      <c r="E44" s="481" t="s">
        <v>4569</v>
      </c>
      <c r="F44" s="382" t="s">
        <v>4570</v>
      </c>
      <c r="G44" s="192" t="s">
        <v>4571</v>
      </c>
      <c r="H44" s="580" t="s">
        <v>4572</v>
      </c>
      <c r="I44" s="580" t="s">
        <v>4573</v>
      </c>
      <c r="J44" s="580" t="s">
        <v>4574</v>
      </c>
      <c r="K44" s="1098" t="s">
        <v>4575</v>
      </c>
      <c r="L44" s="1253" t="s">
        <v>4576</v>
      </c>
      <c r="M44" s="1253" t="s">
        <v>4577</v>
      </c>
      <c r="N44" s="1253" t="s">
        <v>4578</v>
      </c>
      <c r="O44" s="1253" t="s">
        <v>4579</v>
      </c>
      <c r="P44" s="1253" t="s">
        <v>4580</v>
      </c>
      <c r="Q44" s="1253" t="s">
        <v>4581</v>
      </c>
      <c r="R44" s="1253" t="s">
        <v>4582</v>
      </c>
      <c r="S44" s="1253" t="s">
        <v>4583</v>
      </c>
      <c r="T44" s="1253" t="s">
        <v>4584</v>
      </c>
      <c r="U44" s="1091" t="s">
        <v>4585</v>
      </c>
      <c r="V44" s="1253" t="s">
        <v>4586</v>
      </c>
      <c r="W44" s="1253" t="s">
        <v>4587</v>
      </c>
      <c r="X44" s="1253" t="s">
        <v>4588</v>
      </c>
      <c r="Y44" s="1253" t="s">
        <v>4589</v>
      </c>
      <c r="Z44" s="1253" t="s">
        <v>4590</v>
      </c>
      <c r="AA44" s="1253" t="s">
        <v>4591</v>
      </c>
      <c r="AB44" s="1253" t="s">
        <v>4592</v>
      </c>
      <c r="AC44" s="1253" t="s">
        <v>4593</v>
      </c>
      <c r="AD44" s="1253" t="s">
        <v>4594</v>
      </c>
      <c r="AE44" s="1253" t="s">
        <v>4595</v>
      </c>
      <c r="AF44" s="1253" t="s">
        <v>4596</v>
      </c>
      <c r="AG44" s="1090" t="s">
        <v>4597</v>
      </c>
    </row>
    <row r="45" spans="1:33" s="19" customFormat="1" ht="15" customHeight="1" x14ac:dyDescent="0.15">
      <c r="A45" s="5609">
        <v>31000025</v>
      </c>
      <c r="B45" s="1670" t="s">
        <v>3928</v>
      </c>
      <c r="C45" s="484" t="s">
        <v>4567</v>
      </c>
      <c r="D45" s="1127" t="s">
        <v>4568</v>
      </c>
      <c r="E45" s="1127" t="s">
        <v>4569</v>
      </c>
      <c r="F45" s="1115" t="s">
        <v>4570</v>
      </c>
      <c r="G45" s="1114" t="s">
        <v>4571</v>
      </c>
      <c r="H45" s="1258" t="s">
        <v>4572</v>
      </c>
      <c r="I45" s="1258" t="s">
        <v>4573</v>
      </c>
      <c r="J45" s="1258" t="s">
        <v>4574</v>
      </c>
      <c r="K45" s="1128" t="s">
        <v>4575</v>
      </c>
      <c r="L45" s="1258" t="s">
        <v>4576</v>
      </c>
      <c r="M45" s="1258" t="s">
        <v>4577</v>
      </c>
      <c r="N45" s="1258" t="s">
        <v>4578</v>
      </c>
      <c r="O45" s="1258" t="s">
        <v>4579</v>
      </c>
      <c r="P45" s="1258" t="s">
        <v>4580</v>
      </c>
      <c r="Q45" s="1258" t="s">
        <v>4581</v>
      </c>
      <c r="R45" s="1258" t="s">
        <v>4582</v>
      </c>
      <c r="S45" s="1258" t="s">
        <v>4583</v>
      </c>
      <c r="T45" s="1258" t="s">
        <v>4584</v>
      </c>
      <c r="U45" s="1127" t="s">
        <v>4585</v>
      </c>
      <c r="V45" s="1258" t="s">
        <v>4586</v>
      </c>
      <c r="W45" s="1258" t="s">
        <v>4587</v>
      </c>
      <c r="X45" s="1258" t="s">
        <v>4588</v>
      </c>
      <c r="Y45" s="1258" t="s">
        <v>4589</v>
      </c>
      <c r="Z45" s="1258" t="s">
        <v>4590</v>
      </c>
      <c r="AA45" s="1258" t="s">
        <v>4591</v>
      </c>
      <c r="AB45" s="1258" t="s">
        <v>4592</v>
      </c>
      <c r="AC45" s="1258" t="s">
        <v>4593</v>
      </c>
      <c r="AD45" s="1258" t="s">
        <v>4594</v>
      </c>
      <c r="AE45" s="1258" t="s">
        <v>4595</v>
      </c>
      <c r="AF45" s="1258" t="s">
        <v>4596</v>
      </c>
      <c r="AG45" s="387" t="s">
        <v>4597</v>
      </c>
    </row>
    <row r="46" spans="1:33" s="19" customFormat="1" ht="15" customHeight="1" x14ac:dyDescent="0.25">
      <c r="A46" s="5616"/>
      <c r="B46" s="1781" t="s">
        <v>77</v>
      </c>
      <c r="C46" s="1460">
        <f>SUM(C32:C45)</f>
        <v>0</v>
      </c>
      <c r="D46" s="1102">
        <f>SUM(D32:D45)</f>
        <v>0</v>
      </c>
      <c r="E46" s="1102">
        <f t="shared" ref="E46:AF46" si="11">SUM(E32:E45)</f>
        <v>0</v>
      </c>
      <c r="F46" s="1104">
        <f t="shared" si="11"/>
        <v>0</v>
      </c>
      <c r="G46" s="4891">
        <f t="shared" si="11"/>
        <v>0</v>
      </c>
      <c r="H46" s="1102">
        <f t="shared" si="11"/>
        <v>0</v>
      </c>
      <c r="I46" s="1102">
        <f t="shared" si="11"/>
        <v>0</v>
      </c>
      <c r="J46" s="1102">
        <f>SUM(J32:J45)</f>
        <v>0</v>
      </c>
      <c r="K46" s="1116">
        <f t="shared" si="11"/>
        <v>0</v>
      </c>
      <c r="L46" s="1116">
        <f t="shared" si="11"/>
        <v>0</v>
      </c>
      <c r="M46" s="1116">
        <f t="shared" si="11"/>
        <v>0</v>
      </c>
      <c r="N46" s="1116">
        <f t="shared" si="11"/>
        <v>0</v>
      </c>
      <c r="O46" s="1116">
        <f t="shared" si="11"/>
        <v>0</v>
      </c>
      <c r="P46" s="1116">
        <f t="shared" si="11"/>
        <v>0</v>
      </c>
      <c r="Q46" s="1116">
        <f t="shared" si="11"/>
        <v>0</v>
      </c>
      <c r="R46" s="1116">
        <f t="shared" si="11"/>
        <v>0</v>
      </c>
      <c r="S46" s="1116">
        <f t="shared" si="11"/>
        <v>0</v>
      </c>
      <c r="T46" s="1116">
        <f t="shared" si="11"/>
        <v>0</v>
      </c>
      <c r="U46" s="1116">
        <f t="shared" si="11"/>
        <v>0</v>
      </c>
      <c r="V46" s="1116">
        <f t="shared" si="11"/>
        <v>0</v>
      </c>
      <c r="W46" s="1116">
        <f t="shared" si="11"/>
        <v>0</v>
      </c>
      <c r="X46" s="1116">
        <f t="shared" si="11"/>
        <v>0</v>
      </c>
      <c r="Y46" s="1116">
        <f t="shared" si="11"/>
        <v>0</v>
      </c>
      <c r="Z46" s="1116">
        <f t="shared" si="11"/>
        <v>0</v>
      </c>
      <c r="AA46" s="1116">
        <f t="shared" si="11"/>
        <v>0</v>
      </c>
      <c r="AB46" s="1116">
        <f t="shared" si="11"/>
        <v>0</v>
      </c>
      <c r="AC46" s="1116">
        <f t="shared" si="11"/>
        <v>0</v>
      </c>
      <c r="AD46" s="1116">
        <f t="shared" si="11"/>
        <v>0</v>
      </c>
      <c r="AE46" s="1116">
        <f t="shared" si="11"/>
        <v>0</v>
      </c>
      <c r="AF46" s="1116">
        <f t="shared" si="11"/>
        <v>0</v>
      </c>
      <c r="AG46" s="5065">
        <f>SUM(AG32:AG45)</f>
        <v>0</v>
      </c>
    </row>
    <row r="47" spans="1:33" s="25" customFormat="1" ht="17.100000000000001" customHeight="1" x14ac:dyDescent="0.25">
      <c r="A47" s="5548"/>
      <c r="B47" s="7786" t="s">
        <v>3929</v>
      </c>
      <c r="C47" s="7786"/>
      <c r="D47" s="7786"/>
      <c r="E47" s="7786"/>
      <c r="F47" s="7786"/>
      <c r="G47" s="7786"/>
      <c r="H47" s="7786"/>
      <c r="I47" s="7786"/>
      <c r="J47" s="7786"/>
      <c r="K47" s="7786"/>
      <c r="L47" s="7786"/>
      <c r="M47" s="7786"/>
      <c r="N47" s="7786"/>
    </row>
    <row r="48" spans="1:33" s="19" customFormat="1" ht="15" customHeight="1" x14ac:dyDescent="0.2">
      <c r="A48" s="5923"/>
      <c r="B48" s="7725" t="s">
        <v>3930</v>
      </c>
      <c r="C48" s="7701" t="s">
        <v>77</v>
      </c>
      <c r="D48" s="7798" t="s">
        <v>3885</v>
      </c>
      <c r="E48" s="6774" t="s">
        <v>3886</v>
      </c>
      <c r="F48" s="7800" t="s">
        <v>3887</v>
      </c>
      <c r="G48" s="7793" t="s">
        <v>3903</v>
      </c>
      <c r="H48" s="7794"/>
      <c r="I48" s="7794"/>
      <c r="J48" s="7794"/>
      <c r="K48" s="7794"/>
      <c r="L48" s="7794"/>
      <c r="M48" s="7794"/>
      <c r="N48" s="7794"/>
      <c r="O48" s="7794"/>
      <c r="P48" s="7794"/>
      <c r="Q48" s="7794"/>
      <c r="R48" s="7794"/>
      <c r="S48" s="7794"/>
      <c r="T48" s="7794"/>
      <c r="U48" s="7794"/>
      <c r="V48" s="7794"/>
      <c r="W48" s="7794"/>
      <c r="X48" s="7794"/>
      <c r="Y48" s="7794"/>
      <c r="Z48" s="7794"/>
      <c r="AA48" s="7794"/>
      <c r="AB48" s="7794"/>
      <c r="AC48" s="7794"/>
      <c r="AD48" s="7794"/>
      <c r="AE48" s="7794"/>
      <c r="AF48" s="7794"/>
      <c r="AG48" s="7797"/>
    </row>
    <row r="49" spans="1:33" s="19" customFormat="1" ht="42" customHeight="1" x14ac:dyDescent="0.2">
      <c r="A49" s="5923"/>
      <c r="B49" s="7178"/>
      <c r="C49" s="7185"/>
      <c r="D49" s="7799"/>
      <c r="E49" s="6776"/>
      <c r="F49" s="6204"/>
      <c r="G49" s="5144" t="s">
        <v>3889</v>
      </c>
      <c r="H49" s="2909" t="s">
        <v>3904</v>
      </c>
      <c r="I49" s="2909" t="s">
        <v>3905</v>
      </c>
      <c r="J49" s="2909" t="s">
        <v>3906</v>
      </c>
      <c r="K49" s="5145" t="s">
        <v>3891</v>
      </c>
      <c r="L49" s="2909" t="s">
        <v>3907</v>
      </c>
      <c r="M49" s="4597" t="s">
        <v>3908</v>
      </c>
      <c r="N49" s="2909" t="s">
        <v>3931</v>
      </c>
      <c r="O49" s="2909" t="s">
        <v>3893</v>
      </c>
      <c r="P49" s="2909" t="s">
        <v>3894</v>
      </c>
      <c r="Q49" s="4708" t="s">
        <v>3910</v>
      </c>
      <c r="R49" s="5146" t="s">
        <v>3895</v>
      </c>
      <c r="S49" s="2909" t="s">
        <v>3896</v>
      </c>
      <c r="T49" s="4597" t="s">
        <v>3911</v>
      </c>
      <c r="U49" s="4708" t="s">
        <v>3898</v>
      </c>
      <c r="V49" s="1209" t="s">
        <v>3912</v>
      </c>
      <c r="W49" s="4708" t="s">
        <v>3913</v>
      </c>
      <c r="X49" s="4708" t="s">
        <v>3899</v>
      </c>
      <c r="Y49" s="4597" t="s">
        <v>3900</v>
      </c>
      <c r="Z49" s="4708" t="s">
        <v>3914</v>
      </c>
      <c r="AA49" s="1209" t="s">
        <v>3915</v>
      </c>
      <c r="AB49" s="4708" t="s">
        <v>3916</v>
      </c>
      <c r="AC49" s="2909" t="s">
        <v>3917</v>
      </c>
      <c r="AD49" s="4708" t="s">
        <v>3918</v>
      </c>
      <c r="AE49" s="4708" t="s">
        <v>3919</v>
      </c>
      <c r="AF49" s="4708" t="s">
        <v>3920</v>
      </c>
      <c r="AG49" s="5148" t="s">
        <v>3921</v>
      </c>
    </row>
    <row r="50" spans="1:33" s="19" customFormat="1" ht="15" customHeight="1" x14ac:dyDescent="0.15">
      <c r="A50" s="5609">
        <v>31000035</v>
      </c>
      <c r="B50" s="4330" t="s">
        <v>3932</v>
      </c>
      <c r="C50" s="1257" t="s">
        <v>4567</v>
      </c>
      <c r="D50" s="1089" t="s">
        <v>4568</v>
      </c>
      <c r="E50" s="750" t="s">
        <v>4569</v>
      </c>
      <c r="F50" s="1090" t="s">
        <v>4570</v>
      </c>
      <c r="G50" s="4578" t="s">
        <v>4571</v>
      </c>
      <c r="H50" s="3728" t="s">
        <v>4572</v>
      </c>
      <c r="I50" s="3728" t="s">
        <v>4573</v>
      </c>
      <c r="J50" s="3728" t="s">
        <v>4574</v>
      </c>
      <c r="K50" s="5149" t="s">
        <v>4575</v>
      </c>
      <c r="L50" s="3614" t="s">
        <v>4576</v>
      </c>
      <c r="M50" s="3614" t="s">
        <v>4577</v>
      </c>
      <c r="N50" s="3614" t="s">
        <v>4578</v>
      </c>
      <c r="O50" s="4730" t="s">
        <v>4579</v>
      </c>
      <c r="P50" s="3728" t="s">
        <v>4580</v>
      </c>
      <c r="Q50" s="3728" t="s">
        <v>4581</v>
      </c>
      <c r="R50" s="3728" t="s">
        <v>4582</v>
      </c>
      <c r="S50" s="3728" t="s">
        <v>4583</v>
      </c>
      <c r="T50" s="3728" t="s">
        <v>4584</v>
      </c>
      <c r="U50" s="3728" t="s">
        <v>4585</v>
      </c>
      <c r="V50" s="3728" t="s">
        <v>4586</v>
      </c>
      <c r="W50" s="3728" t="s">
        <v>4587</v>
      </c>
      <c r="X50" s="3728" t="s">
        <v>4588</v>
      </c>
      <c r="Y50" s="3728" t="s">
        <v>4589</v>
      </c>
      <c r="Z50" s="3728" t="s">
        <v>4590</v>
      </c>
      <c r="AA50" s="5149" t="s">
        <v>4591</v>
      </c>
      <c r="AB50" s="5149" t="s">
        <v>4592</v>
      </c>
      <c r="AC50" s="5149" t="s">
        <v>4593</v>
      </c>
      <c r="AD50" s="5149" t="s">
        <v>4594</v>
      </c>
      <c r="AE50" s="3614" t="s">
        <v>4595</v>
      </c>
      <c r="AF50" s="4729" t="s">
        <v>4596</v>
      </c>
      <c r="AG50" s="5150" t="s">
        <v>4597</v>
      </c>
    </row>
    <row r="51" spans="1:33" s="19" customFormat="1" ht="15" customHeight="1" x14ac:dyDescent="0.15">
      <c r="A51" s="5609">
        <v>31000036</v>
      </c>
      <c r="B51" s="4994" t="s">
        <v>3933</v>
      </c>
      <c r="C51" s="1218" t="s">
        <v>4567</v>
      </c>
      <c r="D51" s="1089" t="s">
        <v>4568</v>
      </c>
      <c r="E51" s="1253" t="s">
        <v>4569</v>
      </c>
      <c r="F51" s="1090" t="s">
        <v>4570</v>
      </c>
      <c r="G51" s="192" t="s">
        <v>4571</v>
      </c>
      <c r="H51" s="580" t="s">
        <v>4572</v>
      </c>
      <c r="I51" s="580" t="s">
        <v>4573</v>
      </c>
      <c r="J51" s="580" t="s">
        <v>4574</v>
      </c>
      <c r="K51" s="1098" t="s">
        <v>4575</v>
      </c>
      <c r="L51" s="580" t="s">
        <v>4576</v>
      </c>
      <c r="M51" s="580" t="s">
        <v>4577</v>
      </c>
      <c r="N51" s="580" t="s">
        <v>4578</v>
      </c>
      <c r="O51" s="481" t="s">
        <v>4579</v>
      </c>
      <c r="P51" s="580" t="s">
        <v>4580</v>
      </c>
      <c r="Q51" s="580" t="s">
        <v>4581</v>
      </c>
      <c r="R51" s="580" t="s">
        <v>4582</v>
      </c>
      <c r="S51" s="580" t="s">
        <v>4583</v>
      </c>
      <c r="T51" s="580" t="s">
        <v>4584</v>
      </c>
      <c r="U51" s="580" t="s">
        <v>4585</v>
      </c>
      <c r="V51" s="580" t="s">
        <v>4586</v>
      </c>
      <c r="W51" s="580" t="s">
        <v>4587</v>
      </c>
      <c r="X51" s="580" t="s">
        <v>4588</v>
      </c>
      <c r="Y51" s="580" t="s">
        <v>4589</v>
      </c>
      <c r="Z51" s="580" t="s">
        <v>4590</v>
      </c>
      <c r="AA51" s="1098" t="s">
        <v>4591</v>
      </c>
      <c r="AB51" s="1098" t="s">
        <v>4592</v>
      </c>
      <c r="AC51" s="1098" t="s">
        <v>4593</v>
      </c>
      <c r="AD51" s="1098" t="s">
        <v>4594</v>
      </c>
      <c r="AE51" s="580" t="s">
        <v>4595</v>
      </c>
      <c r="AF51" s="481" t="s">
        <v>4596</v>
      </c>
      <c r="AG51" s="382" t="s">
        <v>4597</v>
      </c>
    </row>
    <row r="52" spans="1:33" s="19" customFormat="1" ht="15" customHeight="1" x14ac:dyDescent="0.15">
      <c r="A52" s="5609">
        <v>31000037</v>
      </c>
      <c r="B52" s="4994" t="s">
        <v>3934</v>
      </c>
      <c r="C52" s="1218" t="s">
        <v>4567</v>
      </c>
      <c r="D52" s="1089" t="s">
        <v>4568</v>
      </c>
      <c r="E52" s="1253" t="s">
        <v>4569</v>
      </c>
      <c r="F52" s="1090" t="s">
        <v>4570</v>
      </c>
      <c r="G52" s="1089" t="s">
        <v>4571</v>
      </c>
      <c r="H52" s="1253" t="s">
        <v>4572</v>
      </c>
      <c r="I52" s="1253" t="s">
        <v>4573</v>
      </c>
      <c r="J52" s="1253" t="s">
        <v>4574</v>
      </c>
      <c r="K52" s="1092" t="s">
        <v>4575</v>
      </c>
      <c r="L52" s="1253" t="s">
        <v>4576</v>
      </c>
      <c r="M52" s="1253" t="s">
        <v>4577</v>
      </c>
      <c r="N52" s="1253" t="s">
        <v>4578</v>
      </c>
      <c r="O52" s="1091" t="s">
        <v>4579</v>
      </c>
      <c r="P52" s="1253" t="s">
        <v>4580</v>
      </c>
      <c r="Q52" s="1253" t="s">
        <v>4581</v>
      </c>
      <c r="R52" s="1253" t="s">
        <v>4582</v>
      </c>
      <c r="S52" s="1253" t="s">
        <v>4583</v>
      </c>
      <c r="T52" s="1253" t="s">
        <v>4584</v>
      </c>
      <c r="U52" s="1253" t="s">
        <v>4585</v>
      </c>
      <c r="V52" s="1253" t="s">
        <v>4586</v>
      </c>
      <c r="W52" s="1253" t="s">
        <v>4587</v>
      </c>
      <c r="X52" s="1253" t="s">
        <v>4588</v>
      </c>
      <c r="Y52" s="1253" t="s">
        <v>4589</v>
      </c>
      <c r="Z52" s="1253" t="s">
        <v>4590</v>
      </c>
      <c r="AA52" s="1092" t="s">
        <v>4591</v>
      </c>
      <c r="AB52" s="1092" t="s">
        <v>4592</v>
      </c>
      <c r="AC52" s="1092" t="s">
        <v>4593</v>
      </c>
      <c r="AD52" s="1092" t="s">
        <v>4594</v>
      </c>
      <c r="AE52" s="1253" t="s">
        <v>4595</v>
      </c>
      <c r="AF52" s="1091" t="s">
        <v>4596</v>
      </c>
      <c r="AG52" s="1093" t="s">
        <v>4597</v>
      </c>
    </row>
    <row r="53" spans="1:33" s="19" customFormat="1" ht="15" customHeight="1" x14ac:dyDescent="0.15">
      <c r="A53" s="5609">
        <v>31000038</v>
      </c>
      <c r="B53" s="4994" t="s">
        <v>3935</v>
      </c>
      <c r="C53" s="1218" t="s">
        <v>4567</v>
      </c>
      <c r="D53" s="1089" t="s">
        <v>4568</v>
      </c>
      <c r="E53" s="1253" t="s">
        <v>4569</v>
      </c>
      <c r="F53" s="1090" t="s">
        <v>4570</v>
      </c>
      <c r="G53" s="1089" t="s">
        <v>4571</v>
      </c>
      <c r="H53" s="1253" t="s">
        <v>4572</v>
      </c>
      <c r="I53" s="1253" t="s">
        <v>4573</v>
      </c>
      <c r="J53" s="1253" t="s">
        <v>4574</v>
      </c>
      <c r="K53" s="1092" t="s">
        <v>4575</v>
      </c>
      <c r="L53" s="1253" t="s">
        <v>4576</v>
      </c>
      <c r="M53" s="1253" t="s">
        <v>4577</v>
      </c>
      <c r="N53" s="1253" t="s">
        <v>4578</v>
      </c>
      <c r="O53" s="1091" t="s">
        <v>4579</v>
      </c>
      <c r="P53" s="1253" t="s">
        <v>4580</v>
      </c>
      <c r="Q53" s="1253" t="s">
        <v>4581</v>
      </c>
      <c r="R53" s="1253" t="s">
        <v>4582</v>
      </c>
      <c r="S53" s="1253" t="s">
        <v>4583</v>
      </c>
      <c r="T53" s="1253" t="s">
        <v>4584</v>
      </c>
      <c r="U53" s="1253" t="s">
        <v>4585</v>
      </c>
      <c r="V53" s="1253" t="s">
        <v>4586</v>
      </c>
      <c r="W53" s="1253" t="s">
        <v>4587</v>
      </c>
      <c r="X53" s="1253" t="s">
        <v>4588</v>
      </c>
      <c r="Y53" s="1253" t="s">
        <v>4589</v>
      </c>
      <c r="Z53" s="1253" t="s">
        <v>4590</v>
      </c>
      <c r="AA53" s="1092" t="s">
        <v>4591</v>
      </c>
      <c r="AB53" s="1092" t="s">
        <v>4592</v>
      </c>
      <c r="AC53" s="1092" t="s">
        <v>4593</v>
      </c>
      <c r="AD53" s="1092" t="s">
        <v>4594</v>
      </c>
      <c r="AE53" s="1253" t="s">
        <v>4595</v>
      </c>
      <c r="AF53" s="1091" t="s">
        <v>4596</v>
      </c>
      <c r="AG53" s="1093" t="s">
        <v>4597</v>
      </c>
    </row>
    <row r="54" spans="1:33" s="19" customFormat="1" ht="15" customHeight="1" x14ac:dyDescent="0.15">
      <c r="A54" s="5609">
        <v>31000026</v>
      </c>
      <c r="B54" s="5136" t="s">
        <v>3936</v>
      </c>
      <c r="C54" s="1218" t="s">
        <v>4567</v>
      </c>
      <c r="D54" s="1089" t="s">
        <v>4568</v>
      </c>
      <c r="E54" s="1253" t="s">
        <v>4569</v>
      </c>
      <c r="F54" s="1090" t="s">
        <v>4570</v>
      </c>
      <c r="G54" s="290" t="s">
        <v>4571</v>
      </c>
      <c r="H54" s="531" t="s">
        <v>4572</v>
      </c>
      <c r="I54" s="531" t="s">
        <v>4573</v>
      </c>
      <c r="J54" s="531" t="s">
        <v>4574</v>
      </c>
      <c r="K54" s="714" t="s">
        <v>4575</v>
      </c>
      <c r="L54" s="531" t="s">
        <v>4576</v>
      </c>
      <c r="M54" s="531" t="s">
        <v>4577</v>
      </c>
      <c r="N54" s="531" t="s">
        <v>4578</v>
      </c>
      <c r="O54" s="22" t="s">
        <v>4579</v>
      </c>
      <c r="P54" s="531" t="s">
        <v>4580</v>
      </c>
      <c r="Q54" s="531" t="s">
        <v>4581</v>
      </c>
      <c r="R54" s="531" t="s">
        <v>4582</v>
      </c>
      <c r="S54" s="531" t="s">
        <v>4583</v>
      </c>
      <c r="T54" s="531" t="s">
        <v>4584</v>
      </c>
      <c r="U54" s="531" t="s">
        <v>4585</v>
      </c>
      <c r="V54" s="531" t="s">
        <v>4586</v>
      </c>
      <c r="W54" s="531" t="s">
        <v>4587</v>
      </c>
      <c r="X54" s="531" t="s">
        <v>4588</v>
      </c>
      <c r="Y54" s="531" t="s">
        <v>4589</v>
      </c>
      <c r="Z54" s="531" t="s">
        <v>4590</v>
      </c>
      <c r="AA54" s="714" t="s">
        <v>4591</v>
      </c>
      <c r="AB54" s="714" t="s">
        <v>4592</v>
      </c>
      <c r="AC54" s="714" t="s">
        <v>4593</v>
      </c>
      <c r="AD54" s="714" t="s">
        <v>4594</v>
      </c>
      <c r="AE54" s="531" t="s">
        <v>4595</v>
      </c>
      <c r="AF54" s="22" t="s">
        <v>4596</v>
      </c>
      <c r="AG54" s="622" t="s">
        <v>4597</v>
      </c>
    </row>
    <row r="55" spans="1:33" s="19" customFormat="1" ht="15" customHeight="1" x14ac:dyDescent="0.15">
      <c r="A55" s="5609">
        <v>31000047</v>
      </c>
      <c r="B55" s="5136" t="s">
        <v>3937</v>
      </c>
      <c r="C55" s="1218" t="s">
        <v>4567</v>
      </c>
      <c r="D55" s="1089" t="s">
        <v>4568</v>
      </c>
      <c r="E55" s="1253" t="s">
        <v>4569</v>
      </c>
      <c r="F55" s="1090" t="s">
        <v>4570</v>
      </c>
      <c r="G55" s="290" t="s">
        <v>4571</v>
      </c>
      <c r="H55" s="531" t="s">
        <v>4572</v>
      </c>
      <c r="I55" s="531" t="s">
        <v>4573</v>
      </c>
      <c r="J55" s="531" t="s">
        <v>4574</v>
      </c>
      <c r="K55" s="714" t="s">
        <v>4575</v>
      </c>
      <c r="L55" s="531" t="s">
        <v>4576</v>
      </c>
      <c r="M55" s="1253" t="s">
        <v>4577</v>
      </c>
      <c r="N55" s="1253" t="s">
        <v>4578</v>
      </c>
      <c r="O55" s="22" t="s">
        <v>4579</v>
      </c>
      <c r="P55" s="531" t="s">
        <v>4580</v>
      </c>
      <c r="Q55" s="531" t="s">
        <v>4581</v>
      </c>
      <c r="R55" s="531" t="s">
        <v>4582</v>
      </c>
      <c r="S55" s="531" t="s">
        <v>4583</v>
      </c>
      <c r="T55" s="531" t="s">
        <v>4584</v>
      </c>
      <c r="U55" s="531" t="s">
        <v>4585</v>
      </c>
      <c r="V55" s="531" t="s">
        <v>4586</v>
      </c>
      <c r="W55" s="531" t="s">
        <v>4587</v>
      </c>
      <c r="X55" s="531" t="s">
        <v>4588</v>
      </c>
      <c r="Y55" s="531" t="s">
        <v>4589</v>
      </c>
      <c r="Z55" s="531" t="s">
        <v>4590</v>
      </c>
      <c r="AA55" s="714" t="s">
        <v>4591</v>
      </c>
      <c r="AB55" s="714" t="s">
        <v>4592</v>
      </c>
      <c r="AC55" s="714" t="s">
        <v>4593</v>
      </c>
      <c r="AD55" s="714" t="s">
        <v>4594</v>
      </c>
      <c r="AE55" s="531" t="s">
        <v>4595</v>
      </c>
      <c r="AF55" s="1091" t="s">
        <v>4596</v>
      </c>
      <c r="AG55" s="1093" t="s">
        <v>4597</v>
      </c>
    </row>
    <row r="56" spans="1:33" s="19" customFormat="1" ht="15" customHeight="1" x14ac:dyDescent="0.15">
      <c r="A56" s="5609">
        <v>31000027</v>
      </c>
      <c r="B56" s="5136" t="s">
        <v>3938</v>
      </c>
      <c r="C56" s="1218" t="s">
        <v>4567</v>
      </c>
      <c r="D56" s="1089" t="s">
        <v>4568</v>
      </c>
      <c r="E56" s="1253" t="s">
        <v>4569</v>
      </c>
      <c r="F56" s="1090" t="s">
        <v>4570</v>
      </c>
      <c r="G56" s="1089" t="s">
        <v>4571</v>
      </c>
      <c r="H56" s="1253" t="s">
        <v>4572</v>
      </c>
      <c r="I56" s="1253" t="s">
        <v>4573</v>
      </c>
      <c r="J56" s="1253" t="s">
        <v>4574</v>
      </c>
      <c r="K56" s="1092" t="s">
        <v>4575</v>
      </c>
      <c r="L56" s="1253" t="s">
        <v>4576</v>
      </c>
      <c r="M56" s="1253" t="s">
        <v>4577</v>
      </c>
      <c r="N56" s="1253" t="s">
        <v>4578</v>
      </c>
      <c r="O56" s="1091" t="s">
        <v>4579</v>
      </c>
      <c r="P56" s="1253" t="s">
        <v>4580</v>
      </c>
      <c r="Q56" s="1253" t="s">
        <v>4581</v>
      </c>
      <c r="R56" s="1253" t="s">
        <v>4582</v>
      </c>
      <c r="S56" s="1253" t="s">
        <v>4583</v>
      </c>
      <c r="T56" s="1253" t="s">
        <v>4584</v>
      </c>
      <c r="U56" s="1253" t="s">
        <v>4585</v>
      </c>
      <c r="V56" s="1253" t="s">
        <v>4586</v>
      </c>
      <c r="W56" s="1253" t="s">
        <v>4587</v>
      </c>
      <c r="X56" s="1253" t="s">
        <v>4588</v>
      </c>
      <c r="Y56" s="1253" t="s">
        <v>4589</v>
      </c>
      <c r="Z56" s="1253" t="s">
        <v>4590</v>
      </c>
      <c r="AA56" s="1092" t="s">
        <v>4591</v>
      </c>
      <c r="AB56" s="1092" t="s">
        <v>4592</v>
      </c>
      <c r="AC56" s="1092" t="s">
        <v>4593</v>
      </c>
      <c r="AD56" s="1092" t="s">
        <v>4594</v>
      </c>
      <c r="AE56" s="1253" t="s">
        <v>4595</v>
      </c>
      <c r="AF56" s="1091" t="s">
        <v>4596</v>
      </c>
      <c r="AG56" s="1093" t="s">
        <v>4597</v>
      </c>
    </row>
    <row r="57" spans="1:33" s="19" customFormat="1" ht="15" customHeight="1" x14ac:dyDescent="0.15">
      <c r="A57" s="5609">
        <v>31000028</v>
      </c>
      <c r="B57" s="5136" t="s">
        <v>3939</v>
      </c>
      <c r="C57" s="1218" t="s">
        <v>4567</v>
      </c>
      <c r="D57" s="1089" t="s">
        <v>4568</v>
      </c>
      <c r="E57" s="1253" t="s">
        <v>4569</v>
      </c>
      <c r="F57" s="1090" t="s">
        <v>4570</v>
      </c>
      <c r="G57" s="1089" t="s">
        <v>4571</v>
      </c>
      <c r="H57" s="1253" t="s">
        <v>4572</v>
      </c>
      <c r="I57" s="1253" t="s">
        <v>4573</v>
      </c>
      <c r="J57" s="1253" t="s">
        <v>4574</v>
      </c>
      <c r="K57" s="1092" t="s">
        <v>4575</v>
      </c>
      <c r="L57" s="1253" t="s">
        <v>4576</v>
      </c>
      <c r="M57" s="1253" t="s">
        <v>4577</v>
      </c>
      <c r="N57" s="1253" t="s">
        <v>4578</v>
      </c>
      <c r="O57" s="1091" t="s">
        <v>4579</v>
      </c>
      <c r="P57" s="1253" t="s">
        <v>4580</v>
      </c>
      <c r="Q57" s="1253" t="s">
        <v>4581</v>
      </c>
      <c r="R57" s="1253" t="s">
        <v>4582</v>
      </c>
      <c r="S57" s="1253" t="s">
        <v>4583</v>
      </c>
      <c r="T57" s="1253" t="s">
        <v>4584</v>
      </c>
      <c r="U57" s="1253" t="s">
        <v>4585</v>
      </c>
      <c r="V57" s="1253" t="s">
        <v>4586</v>
      </c>
      <c r="W57" s="1253" t="s">
        <v>4587</v>
      </c>
      <c r="X57" s="1253" t="s">
        <v>4588</v>
      </c>
      <c r="Y57" s="1253" t="s">
        <v>4589</v>
      </c>
      <c r="Z57" s="1253" t="s">
        <v>4590</v>
      </c>
      <c r="AA57" s="1092" t="s">
        <v>4591</v>
      </c>
      <c r="AB57" s="1092" t="s">
        <v>4592</v>
      </c>
      <c r="AC57" s="1092" t="s">
        <v>4593</v>
      </c>
      <c r="AD57" s="1092" t="s">
        <v>4594</v>
      </c>
      <c r="AE57" s="1253" t="s">
        <v>4595</v>
      </c>
      <c r="AF57" s="1091" t="s">
        <v>4596</v>
      </c>
      <c r="AG57" s="1093" t="s">
        <v>4597</v>
      </c>
    </row>
    <row r="58" spans="1:33" s="19" customFormat="1" ht="15" customHeight="1" x14ac:dyDescent="0.15">
      <c r="A58" s="5609">
        <v>31000048</v>
      </c>
      <c r="B58" s="5136" t="s">
        <v>3940</v>
      </c>
      <c r="C58" s="1218" t="s">
        <v>4567</v>
      </c>
      <c r="D58" s="1089" t="s">
        <v>4568</v>
      </c>
      <c r="E58" s="1253" t="s">
        <v>4569</v>
      </c>
      <c r="F58" s="1090" t="s">
        <v>4570</v>
      </c>
      <c r="G58" s="192" t="s">
        <v>4571</v>
      </c>
      <c r="H58" s="580" t="s">
        <v>4572</v>
      </c>
      <c r="I58" s="580" t="s">
        <v>4573</v>
      </c>
      <c r="J58" s="580" t="s">
        <v>4574</v>
      </c>
      <c r="K58" s="580" t="s">
        <v>4575</v>
      </c>
      <c r="L58" s="481" t="s">
        <v>4576</v>
      </c>
      <c r="M58" s="481" t="s">
        <v>4577</v>
      </c>
      <c r="N58" s="481" t="s">
        <v>4578</v>
      </c>
      <c r="O58" s="481" t="s">
        <v>4579</v>
      </c>
      <c r="P58" s="580" t="s">
        <v>4580</v>
      </c>
      <c r="Q58" s="481" t="s">
        <v>4581</v>
      </c>
      <c r="R58" s="580" t="s">
        <v>4582</v>
      </c>
      <c r="S58" s="481" t="s">
        <v>4583</v>
      </c>
      <c r="T58" s="580" t="s">
        <v>4584</v>
      </c>
      <c r="U58" s="481" t="s">
        <v>4585</v>
      </c>
      <c r="V58" s="580" t="s">
        <v>4586</v>
      </c>
      <c r="W58" s="481" t="s">
        <v>4587</v>
      </c>
      <c r="X58" s="580" t="s">
        <v>4588</v>
      </c>
      <c r="Y58" s="481" t="s">
        <v>4589</v>
      </c>
      <c r="Z58" s="580" t="s">
        <v>4590</v>
      </c>
      <c r="AA58" s="481" t="s">
        <v>4591</v>
      </c>
      <c r="AB58" s="580" t="s">
        <v>4592</v>
      </c>
      <c r="AC58" s="481" t="s">
        <v>4593</v>
      </c>
      <c r="AD58" s="580" t="s">
        <v>4594</v>
      </c>
      <c r="AE58" s="580" t="s">
        <v>4595</v>
      </c>
      <c r="AF58" s="481" t="s">
        <v>4596</v>
      </c>
      <c r="AG58" s="382" t="s">
        <v>4597</v>
      </c>
    </row>
    <row r="59" spans="1:33" s="19" customFormat="1" ht="15" customHeight="1" x14ac:dyDescent="0.15">
      <c r="A59" s="5609">
        <v>31000049</v>
      </c>
      <c r="B59" s="4994" t="s">
        <v>3941</v>
      </c>
      <c r="C59" s="365" t="s">
        <v>4567</v>
      </c>
      <c r="D59" s="290" t="s">
        <v>4568</v>
      </c>
      <c r="E59" s="531" t="s">
        <v>4569</v>
      </c>
      <c r="F59" s="107" t="s">
        <v>4570</v>
      </c>
      <c r="G59" s="192" t="s">
        <v>4571</v>
      </c>
      <c r="H59" s="580" t="s">
        <v>4572</v>
      </c>
      <c r="I59" s="580" t="s">
        <v>4573</v>
      </c>
      <c r="J59" s="580" t="s">
        <v>4574</v>
      </c>
      <c r="K59" s="1253" t="s">
        <v>4575</v>
      </c>
      <c r="L59" s="1091" t="s">
        <v>4576</v>
      </c>
      <c r="M59" s="481" t="s">
        <v>4577</v>
      </c>
      <c r="N59" s="1091" t="s">
        <v>4578</v>
      </c>
      <c r="O59" s="481" t="s">
        <v>4579</v>
      </c>
      <c r="P59" s="1253" t="s">
        <v>4580</v>
      </c>
      <c r="Q59" s="481" t="s">
        <v>4581</v>
      </c>
      <c r="R59" s="1253" t="s">
        <v>4582</v>
      </c>
      <c r="S59" s="481" t="s">
        <v>4583</v>
      </c>
      <c r="T59" s="1253" t="s">
        <v>4584</v>
      </c>
      <c r="U59" s="481" t="s">
        <v>4585</v>
      </c>
      <c r="V59" s="580" t="s">
        <v>4586</v>
      </c>
      <c r="W59" s="481" t="s">
        <v>4587</v>
      </c>
      <c r="X59" s="1253" t="s">
        <v>4588</v>
      </c>
      <c r="Y59" s="481" t="s">
        <v>4589</v>
      </c>
      <c r="Z59" s="1253" t="s">
        <v>4590</v>
      </c>
      <c r="AA59" s="481" t="s">
        <v>4591</v>
      </c>
      <c r="AB59" s="580" t="s">
        <v>4592</v>
      </c>
      <c r="AC59" s="481" t="s">
        <v>4593</v>
      </c>
      <c r="AD59" s="1253" t="s">
        <v>4594</v>
      </c>
      <c r="AE59" s="1253" t="s">
        <v>4595</v>
      </c>
      <c r="AF59" s="1091" t="s">
        <v>4596</v>
      </c>
      <c r="AG59" s="1093" t="s">
        <v>4597</v>
      </c>
    </row>
    <row r="60" spans="1:33" s="19" customFormat="1" ht="15" customHeight="1" x14ac:dyDescent="0.15">
      <c r="A60" s="5609">
        <v>31000029</v>
      </c>
      <c r="B60" s="5136" t="s">
        <v>3942</v>
      </c>
      <c r="C60" s="1218" t="s">
        <v>4567</v>
      </c>
      <c r="D60" s="192" t="s">
        <v>4568</v>
      </c>
      <c r="E60" s="580" t="s">
        <v>4569</v>
      </c>
      <c r="F60" s="2" t="s">
        <v>4570</v>
      </c>
      <c r="G60" s="1089" t="s">
        <v>4571</v>
      </c>
      <c r="H60" s="1253" t="s">
        <v>4572</v>
      </c>
      <c r="I60" s="1253" t="s">
        <v>4573</v>
      </c>
      <c r="J60" s="1253" t="s">
        <v>4574</v>
      </c>
      <c r="K60" s="1092" t="s">
        <v>4575</v>
      </c>
      <c r="L60" s="1253" t="s">
        <v>4576</v>
      </c>
      <c r="M60" s="1253" t="s">
        <v>4577</v>
      </c>
      <c r="N60" s="1253" t="s">
        <v>4578</v>
      </c>
      <c r="O60" s="1091" t="s">
        <v>4579</v>
      </c>
      <c r="P60" s="1253" t="s">
        <v>4580</v>
      </c>
      <c r="Q60" s="1253" t="s">
        <v>4581</v>
      </c>
      <c r="R60" s="1253" t="s">
        <v>4582</v>
      </c>
      <c r="S60" s="1253" t="s">
        <v>4583</v>
      </c>
      <c r="T60" s="1253" t="s">
        <v>4584</v>
      </c>
      <c r="U60" s="1253" t="s">
        <v>4585</v>
      </c>
      <c r="V60" s="1253" t="s">
        <v>4586</v>
      </c>
      <c r="W60" s="1091" t="s">
        <v>4587</v>
      </c>
      <c r="X60" s="1253" t="s">
        <v>4588</v>
      </c>
      <c r="Y60" s="1253" t="s">
        <v>4589</v>
      </c>
      <c r="Z60" s="1253" t="s">
        <v>4590</v>
      </c>
      <c r="AA60" s="1092" t="s">
        <v>4591</v>
      </c>
      <c r="AB60" s="1253" t="s">
        <v>4592</v>
      </c>
      <c r="AC60" s="1311" t="s">
        <v>4593</v>
      </c>
      <c r="AD60" s="1092" t="s">
        <v>4594</v>
      </c>
      <c r="AE60" s="1253" t="s">
        <v>4595</v>
      </c>
      <c r="AF60" s="1091" t="s">
        <v>4596</v>
      </c>
      <c r="AG60" s="1093" t="s">
        <v>4597</v>
      </c>
    </row>
    <row r="61" spans="1:33" s="19" customFormat="1" ht="15" customHeight="1" x14ac:dyDescent="0.15">
      <c r="A61" s="5609">
        <v>31000050</v>
      </c>
      <c r="B61" s="5136" t="s">
        <v>3943</v>
      </c>
      <c r="C61" s="1218" t="s">
        <v>4567</v>
      </c>
      <c r="D61" s="1089" t="s">
        <v>4568</v>
      </c>
      <c r="E61" s="1253" t="s">
        <v>4569</v>
      </c>
      <c r="F61" s="1090" t="s">
        <v>4570</v>
      </c>
      <c r="G61" s="1089" t="s">
        <v>4571</v>
      </c>
      <c r="H61" s="1253" t="s">
        <v>4572</v>
      </c>
      <c r="I61" s="1253" t="s">
        <v>4573</v>
      </c>
      <c r="J61" s="1253" t="s">
        <v>4574</v>
      </c>
      <c r="K61" s="1092" t="s">
        <v>4575</v>
      </c>
      <c r="L61" s="1253" t="s">
        <v>4576</v>
      </c>
      <c r="M61" s="1253" t="s">
        <v>4577</v>
      </c>
      <c r="N61" s="1253" t="s">
        <v>4578</v>
      </c>
      <c r="O61" s="1091" t="s">
        <v>4579</v>
      </c>
      <c r="P61" s="1253" t="s">
        <v>4580</v>
      </c>
      <c r="Q61" s="1253" t="s">
        <v>4581</v>
      </c>
      <c r="R61" s="1253" t="s">
        <v>4582</v>
      </c>
      <c r="S61" s="1253" t="s">
        <v>4583</v>
      </c>
      <c r="T61" s="1253" t="s">
        <v>4584</v>
      </c>
      <c r="U61" s="1253" t="s">
        <v>4585</v>
      </c>
      <c r="V61" s="1253" t="s">
        <v>4586</v>
      </c>
      <c r="W61" s="1253" t="s">
        <v>4587</v>
      </c>
      <c r="X61" s="1253" t="s">
        <v>4588</v>
      </c>
      <c r="Y61" s="1253" t="s">
        <v>4589</v>
      </c>
      <c r="Z61" s="1253" t="s">
        <v>4590</v>
      </c>
      <c r="AA61" s="1092" t="s">
        <v>4591</v>
      </c>
      <c r="AB61" s="1092" t="s">
        <v>4592</v>
      </c>
      <c r="AC61" s="1092" t="s">
        <v>4593</v>
      </c>
      <c r="AD61" s="1092" t="s">
        <v>4594</v>
      </c>
      <c r="AE61" s="1253" t="s">
        <v>4595</v>
      </c>
      <c r="AF61" s="1091" t="s">
        <v>4596</v>
      </c>
      <c r="AG61" s="1093" t="s">
        <v>4597</v>
      </c>
    </row>
    <row r="62" spans="1:33" s="19" customFormat="1" ht="15" customHeight="1" x14ac:dyDescent="0.15">
      <c r="A62" s="5609">
        <v>31000031</v>
      </c>
      <c r="B62" s="5136" t="s">
        <v>3944</v>
      </c>
      <c r="C62" s="1218" t="s">
        <v>4567</v>
      </c>
      <c r="D62" s="1089" t="s">
        <v>4568</v>
      </c>
      <c r="E62" s="1253" t="s">
        <v>4569</v>
      </c>
      <c r="F62" s="1090" t="s">
        <v>4570</v>
      </c>
      <c r="G62" s="1089" t="s">
        <v>4571</v>
      </c>
      <c r="H62" s="1253" t="s">
        <v>4572</v>
      </c>
      <c r="I62" s="1253" t="s">
        <v>4573</v>
      </c>
      <c r="J62" s="1253" t="s">
        <v>4574</v>
      </c>
      <c r="K62" s="1092" t="s">
        <v>4575</v>
      </c>
      <c r="L62" s="1253" t="s">
        <v>4576</v>
      </c>
      <c r="M62" s="1253" t="s">
        <v>4577</v>
      </c>
      <c r="N62" s="1253" t="s">
        <v>4578</v>
      </c>
      <c r="O62" s="1091" t="s">
        <v>4579</v>
      </c>
      <c r="P62" s="1253" t="s">
        <v>4580</v>
      </c>
      <c r="Q62" s="1253" t="s">
        <v>4581</v>
      </c>
      <c r="R62" s="1253" t="s">
        <v>4582</v>
      </c>
      <c r="S62" s="1253" t="s">
        <v>4583</v>
      </c>
      <c r="T62" s="1253" t="s">
        <v>4584</v>
      </c>
      <c r="U62" s="1253" t="s">
        <v>4585</v>
      </c>
      <c r="V62" s="1253" t="s">
        <v>4586</v>
      </c>
      <c r="W62" s="1253" t="s">
        <v>4587</v>
      </c>
      <c r="X62" s="1253" t="s">
        <v>4588</v>
      </c>
      <c r="Y62" s="1253" t="s">
        <v>4589</v>
      </c>
      <c r="Z62" s="1253" t="s">
        <v>4590</v>
      </c>
      <c r="AA62" s="1092" t="s">
        <v>4591</v>
      </c>
      <c r="AB62" s="1092" t="s">
        <v>4592</v>
      </c>
      <c r="AC62" s="1092" t="s">
        <v>4593</v>
      </c>
      <c r="AD62" s="1092" t="s">
        <v>4594</v>
      </c>
      <c r="AE62" s="1253" t="s">
        <v>4595</v>
      </c>
      <c r="AF62" s="1091" t="s">
        <v>4596</v>
      </c>
      <c r="AG62" s="1093" t="s">
        <v>4597</v>
      </c>
    </row>
    <row r="63" spans="1:33" s="19" customFormat="1" ht="15" customHeight="1" x14ac:dyDescent="0.15">
      <c r="A63" s="5609">
        <v>31000032</v>
      </c>
      <c r="B63" s="5136" t="s">
        <v>3945</v>
      </c>
      <c r="C63" s="1218" t="s">
        <v>4567</v>
      </c>
      <c r="D63" s="1089" t="s">
        <v>4568</v>
      </c>
      <c r="E63" s="1253" t="s">
        <v>4569</v>
      </c>
      <c r="F63" s="1090" t="s">
        <v>4570</v>
      </c>
      <c r="G63" s="1089" t="s">
        <v>4571</v>
      </c>
      <c r="H63" s="1253" t="s">
        <v>4572</v>
      </c>
      <c r="I63" s="1253" t="s">
        <v>4573</v>
      </c>
      <c r="J63" s="1253" t="s">
        <v>4574</v>
      </c>
      <c r="K63" s="1092" t="s">
        <v>4575</v>
      </c>
      <c r="L63" s="1253" t="s">
        <v>4576</v>
      </c>
      <c r="M63" s="1253" t="s">
        <v>4577</v>
      </c>
      <c r="N63" s="1253" t="s">
        <v>4578</v>
      </c>
      <c r="O63" s="1091" t="s">
        <v>4579</v>
      </c>
      <c r="P63" s="1253" t="s">
        <v>4580</v>
      </c>
      <c r="Q63" s="1253" t="s">
        <v>4581</v>
      </c>
      <c r="R63" s="1253" t="s">
        <v>4582</v>
      </c>
      <c r="S63" s="1253" t="s">
        <v>4583</v>
      </c>
      <c r="T63" s="1253" t="s">
        <v>4584</v>
      </c>
      <c r="U63" s="1253" t="s">
        <v>4585</v>
      </c>
      <c r="V63" s="1253" t="s">
        <v>4586</v>
      </c>
      <c r="W63" s="1253" t="s">
        <v>4587</v>
      </c>
      <c r="X63" s="1253" t="s">
        <v>4588</v>
      </c>
      <c r="Y63" s="1253" t="s">
        <v>4589</v>
      </c>
      <c r="Z63" s="1253" t="s">
        <v>4590</v>
      </c>
      <c r="AA63" s="1092" t="s">
        <v>4591</v>
      </c>
      <c r="AB63" s="1092" t="s">
        <v>4592</v>
      </c>
      <c r="AC63" s="1092" t="s">
        <v>4593</v>
      </c>
      <c r="AD63" s="1092" t="s">
        <v>4594</v>
      </c>
      <c r="AE63" s="1253" t="s">
        <v>4595</v>
      </c>
      <c r="AF63" s="1091" t="s">
        <v>4596</v>
      </c>
      <c r="AG63" s="1093" t="s">
        <v>4597</v>
      </c>
    </row>
    <row r="64" spans="1:33" s="19" customFormat="1" ht="21" x14ac:dyDescent="0.15">
      <c r="A64" s="5609">
        <v>31000033</v>
      </c>
      <c r="B64" s="4994" t="s">
        <v>3946</v>
      </c>
      <c r="C64" s="1218" t="s">
        <v>4567</v>
      </c>
      <c r="D64" s="1089" t="s">
        <v>4568</v>
      </c>
      <c r="E64" s="1253" t="s">
        <v>4569</v>
      </c>
      <c r="F64" s="1090" t="s">
        <v>4570</v>
      </c>
      <c r="G64" s="1089" t="s">
        <v>4571</v>
      </c>
      <c r="H64" s="1253" t="s">
        <v>4572</v>
      </c>
      <c r="I64" s="1253" t="s">
        <v>4573</v>
      </c>
      <c r="J64" s="1253" t="s">
        <v>4574</v>
      </c>
      <c r="K64" s="1092" t="s">
        <v>4575</v>
      </c>
      <c r="L64" s="1253" t="s">
        <v>4576</v>
      </c>
      <c r="M64" s="1253" t="s">
        <v>4577</v>
      </c>
      <c r="N64" s="1253" t="s">
        <v>4578</v>
      </c>
      <c r="O64" s="1091" t="s">
        <v>4579</v>
      </c>
      <c r="P64" s="1253" t="s">
        <v>4580</v>
      </c>
      <c r="Q64" s="1253" t="s">
        <v>4581</v>
      </c>
      <c r="R64" s="1253" t="s">
        <v>4582</v>
      </c>
      <c r="S64" s="1253" t="s">
        <v>4583</v>
      </c>
      <c r="T64" s="1253" t="s">
        <v>4584</v>
      </c>
      <c r="U64" s="1253" t="s">
        <v>4585</v>
      </c>
      <c r="V64" s="1253" t="s">
        <v>4586</v>
      </c>
      <c r="W64" s="1253" t="s">
        <v>4587</v>
      </c>
      <c r="X64" s="1253" t="s">
        <v>4588</v>
      </c>
      <c r="Y64" s="1253" t="s">
        <v>4589</v>
      </c>
      <c r="Z64" s="1253" t="s">
        <v>4590</v>
      </c>
      <c r="AA64" s="1092" t="s">
        <v>4591</v>
      </c>
      <c r="AB64" s="1092" t="s">
        <v>4592</v>
      </c>
      <c r="AC64" s="1092" t="s">
        <v>4593</v>
      </c>
      <c r="AD64" s="1092" t="s">
        <v>4594</v>
      </c>
      <c r="AE64" s="1253" t="s">
        <v>4595</v>
      </c>
      <c r="AF64" s="1091" t="s">
        <v>4596</v>
      </c>
      <c r="AG64" s="1093" t="s">
        <v>4597</v>
      </c>
    </row>
    <row r="65" spans="1:91" s="19" customFormat="1" ht="15" customHeight="1" x14ac:dyDescent="0.15">
      <c r="A65" s="5609">
        <v>31000034</v>
      </c>
      <c r="B65" s="4070" t="s">
        <v>3947</v>
      </c>
      <c r="C65" s="1686" t="s">
        <v>4567</v>
      </c>
      <c r="D65" s="1264" t="s">
        <v>4568</v>
      </c>
      <c r="E65" s="262" t="s">
        <v>4569</v>
      </c>
      <c r="F65" s="1447" t="s">
        <v>4570</v>
      </c>
      <c r="G65" s="1114" t="s">
        <v>4571</v>
      </c>
      <c r="H65" s="1258" t="s">
        <v>4572</v>
      </c>
      <c r="I65" s="1258" t="s">
        <v>4573</v>
      </c>
      <c r="J65" s="1258" t="s">
        <v>4574</v>
      </c>
      <c r="K65" s="1128" t="s">
        <v>4575</v>
      </c>
      <c r="L65" s="1258" t="s">
        <v>4576</v>
      </c>
      <c r="M65" s="1258" t="s">
        <v>4577</v>
      </c>
      <c r="N65" s="1258" t="s">
        <v>4578</v>
      </c>
      <c r="O65" s="1127" t="s">
        <v>4579</v>
      </c>
      <c r="P65" s="1258" t="s">
        <v>4580</v>
      </c>
      <c r="Q65" s="1258" t="s">
        <v>4581</v>
      </c>
      <c r="R65" s="1258" t="s">
        <v>4582</v>
      </c>
      <c r="S65" s="1258" t="s">
        <v>4583</v>
      </c>
      <c r="T65" s="1258" t="s">
        <v>4584</v>
      </c>
      <c r="U65" s="1258" t="s">
        <v>4585</v>
      </c>
      <c r="V65" s="1258" t="s">
        <v>4586</v>
      </c>
      <c r="W65" s="1258" t="s">
        <v>4587</v>
      </c>
      <c r="X65" s="1258" t="s">
        <v>4588</v>
      </c>
      <c r="Y65" s="1258" t="s">
        <v>4589</v>
      </c>
      <c r="Z65" s="1258" t="s">
        <v>4590</v>
      </c>
      <c r="AA65" s="1128" t="s">
        <v>4591</v>
      </c>
      <c r="AB65" s="1128" t="s">
        <v>4592</v>
      </c>
      <c r="AC65" s="1128" t="s">
        <v>4593</v>
      </c>
      <c r="AD65" s="1128" t="s">
        <v>4594</v>
      </c>
      <c r="AE65" s="1258" t="s">
        <v>4595</v>
      </c>
      <c r="AF65" s="1127" t="s">
        <v>4596</v>
      </c>
      <c r="AG65" s="1115" t="s">
        <v>4597</v>
      </c>
      <c r="CC65" s="83"/>
      <c r="CD65" s="83"/>
      <c r="CE65" s="83"/>
      <c r="CF65" s="83"/>
      <c r="CG65" s="83"/>
      <c r="CH65" s="83"/>
      <c r="CJ65" s="84"/>
      <c r="CK65" s="84"/>
      <c r="CL65" s="84"/>
    </row>
    <row r="66" spans="1:91" s="19" customFormat="1" ht="15" customHeight="1" x14ac:dyDescent="0.25">
      <c r="A66" s="5616"/>
      <c r="B66" s="1781" t="s">
        <v>77</v>
      </c>
      <c r="C66" s="3108">
        <f>SUM(C50:C65)</f>
        <v>0</v>
      </c>
      <c r="D66" s="4891">
        <f>SUM(D50:D65)</f>
        <v>0</v>
      </c>
      <c r="E66" s="1116">
        <f>SUM(E50:E65)</f>
        <v>0</v>
      </c>
      <c r="F66" s="5065">
        <f t="shared" ref="F66:AF66" si="12">SUM(F50:F65)</f>
        <v>0</v>
      </c>
      <c r="G66" s="4891">
        <f t="shared" si="12"/>
        <v>0</v>
      </c>
      <c r="H66" s="1116">
        <f t="shared" si="12"/>
        <v>0</v>
      </c>
      <c r="I66" s="1116">
        <f t="shared" si="12"/>
        <v>0</v>
      </c>
      <c r="J66" s="1116">
        <f t="shared" si="12"/>
        <v>0</v>
      </c>
      <c r="K66" s="1103">
        <f t="shared" si="12"/>
        <v>0</v>
      </c>
      <c r="L66" s="1116">
        <f t="shared" si="12"/>
        <v>0</v>
      </c>
      <c r="M66" s="1116">
        <f t="shared" si="12"/>
        <v>0</v>
      </c>
      <c r="N66" s="1116">
        <f t="shared" si="12"/>
        <v>0</v>
      </c>
      <c r="O66" s="1102">
        <f t="shared" si="12"/>
        <v>0</v>
      </c>
      <c r="P66" s="1116">
        <f t="shared" si="12"/>
        <v>0</v>
      </c>
      <c r="Q66" s="1116">
        <f t="shared" si="12"/>
        <v>0</v>
      </c>
      <c r="R66" s="1116">
        <f t="shared" si="12"/>
        <v>0</v>
      </c>
      <c r="S66" s="1116">
        <f t="shared" si="12"/>
        <v>0</v>
      </c>
      <c r="T66" s="1116">
        <f t="shared" si="12"/>
        <v>0</v>
      </c>
      <c r="U66" s="1116">
        <f t="shared" si="12"/>
        <v>0</v>
      </c>
      <c r="V66" s="1116">
        <f t="shared" si="12"/>
        <v>0</v>
      </c>
      <c r="W66" s="1116">
        <f t="shared" si="12"/>
        <v>0</v>
      </c>
      <c r="X66" s="1116">
        <f t="shared" si="12"/>
        <v>0</v>
      </c>
      <c r="Y66" s="1116">
        <f t="shared" si="12"/>
        <v>0</v>
      </c>
      <c r="Z66" s="1116">
        <f t="shared" si="12"/>
        <v>0</v>
      </c>
      <c r="AA66" s="1103">
        <f t="shared" si="12"/>
        <v>0</v>
      </c>
      <c r="AB66" s="1103">
        <f t="shared" si="12"/>
        <v>0</v>
      </c>
      <c r="AC66" s="1103">
        <f t="shared" si="12"/>
        <v>0</v>
      </c>
      <c r="AD66" s="1103">
        <f>SUM(AD50:AD65)</f>
        <v>0</v>
      </c>
      <c r="AE66" s="1116">
        <f t="shared" si="12"/>
        <v>0</v>
      </c>
      <c r="AF66" s="1102">
        <f t="shared" si="12"/>
        <v>0</v>
      </c>
      <c r="AG66" s="1104">
        <f>SUM(AG50:AG65)</f>
        <v>0</v>
      </c>
      <c r="CC66" s="83"/>
      <c r="CD66" s="83"/>
      <c r="CE66" s="83"/>
      <c r="CF66" s="83"/>
      <c r="CG66" s="83"/>
      <c r="CH66" s="83"/>
      <c r="CJ66" s="84"/>
      <c r="CK66" s="84"/>
      <c r="CL66" s="84"/>
    </row>
    <row r="67" spans="1:91" s="25" customFormat="1" ht="17.100000000000001" customHeight="1" x14ac:dyDescent="0.25">
      <c r="A67" s="5548"/>
      <c r="B67" s="7786" t="s">
        <v>3948</v>
      </c>
      <c r="C67" s="7786"/>
      <c r="D67" s="7786"/>
      <c r="E67" s="7786"/>
      <c r="F67" s="7786"/>
      <c r="G67" s="7786"/>
      <c r="H67" s="7786"/>
      <c r="I67" s="7786"/>
      <c r="J67" s="7786"/>
      <c r="K67" s="7786"/>
      <c r="L67" s="7786"/>
      <c r="M67" s="7786"/>
      <c r="N67" s="7786"/>
    </row>
    <row r="68" spans="1:91" s="19" customFormat="1" ht="18.95" customHeight="1" x14ac:dyDescent="0.25">
      <c r="A68" s="5638"/>
      <c r="B68" s="7725" t="s">
        <v>3949</v>
      </c>
      <c r="C68" s="7789" t="s">
        <v>3950</v>
      </c>
      <c r="D68" s="7792" t="s">
        <v>3951</v>
      </c>
      <c r="E68" s="7792"/>
      <c r="F68" s="7725"/>
      <c r="G68" s="7793" t="s">
        <v>101</v>
      </c>
      <c r="H68" s="7794"/>
      <c r="I68" s="7794"/>
      <c r="J68" s="7794"/>
      <c r="K68" s="7794"/>
      <c r="L68" s="7794"/>
      <c r="M68" s="7794"/>
      <c r="N68" s="7795"/>
      <c r="O68" s="7796" t="s">
        <v>2937</v>
      </c>
      <c r="P68" s="6774" t="s">
        <v>3952</v>
      </c>
      <c r="Q68" s="6774" t="s">
        <v>3882</v>
      </c>
      <c r="R68" s="6774" t="s">
        <v>597</v>
      </c>
      <c r="S68" s="6774" t="s">
        <v>36</v>
      </c>
      <c r="T68" s="6774" t="s">
        <v>37</v>
      </c>
      <c r="U68" s="7725" t="s">
        <v>34</v>
      </c>
    </row>
    <row r="69" spans="1:91" s="19" customFormat="1" ht="15" customHeight="1" x14ac:dyDescent="0.25">
      <c r="A69" s="5638"/>
      <c r="B69" s="6391"/>
      <c r="C69" s="7790"/>
      <c r="D69" s="6469"/>
      <c r="E69" s="6469"/>
      <c r="F69" s="6391"/>
      <c r="G69" s="7793" t="s">
        <v>3953</v>
      </c>
      <c r="H69" s="7797"/>
      <c r="I69" s="7793" t="s">
        <v>1177</v>
      </c>
      <c r="J69" s="7797"/>
      <c r="K69" s="7793" t="s">
        <v>3954</v>
      </c>
      <c r="L69" s="7797"/>
      <c r="M69" s="7793" t="s">
        <v>664</v>
      </c>
      <c r="N69" s="7795"/>
      <c r="O69" s="7048"/>
      <c r="P69" s="6775"/>
      <c r="Q69" s="6775"/>
      <c r="R69" s="6775"/>
      <c r="S69" s="6775"/>
      <c r="T69" s="6775"/>
      <c r="U69" s="6391"/>
    </row>
    <row r="70" spans="1:91" s="19" customFormat="1" ht="21.75" customHeight="1" x14ac:dyDescent="0.25">
      <c r="A70" s="5638"/>
      <c r="B70" s="7178"/>
      <c r="C70" s="7791"/>
      <c r="D70" s="1437" t="s">
        <v>79</v>
      </c>
      <c r="E70" s="1209" t="s">
        <v>58</v>
      </c>
      <c r="F70" s="5127" t="s">
        <v>59</v>
      </c>
      <c r="G70" s="1289" t="s">
        <v>58</v>
      </c>
      <c r="H70" s="5127" t="s">
        <v>59</v>
      </c>
      <c r="I70" s="1289" t="s">
        <v>58</v>
      </c>
      <c r="J70" s="5127" t="s">
        <v>59</v>
      </c>
      <c r="K70" s="1289" t="s">
        <v>58</v>
      </c>
      <c r="L70" s="5127" t="s">
        <v>59</v>
      </c>
      <c r="M70" s="1289" t="s">
        <v>58</v>
      </c>
      <c r="N70" s="5151" t="s">
        <v>59</v>
      </c>
      <c r="O70" s="6172"/>
      <c r="P70" s="6776"/>
      <c r="Q70" s="6776"/>
      <c r="R70" s="6776"/>
      <c r="S70" s="6776"/>
      <c r="T70" s="6776"/>
      <c r="U70" s="7178"/>
    </row>
    <row r="71" spans="1:91" s="19" customFormat="1" ht="15" customHeight="1" x14ac:dyDescent="0.15">
      <c r="A71" s="5609">
        <v>31000051</v>
      </c>
      <c r="B71" s="5152" t="s">
        <v>3904</v>
      </c>
      <c r="C71" s="5926" t="s">
        <v>4567</v>
      </c>
      <c r="D71" s="5927" t="s">
        <v>4568</v>
      </c>
      <c r="E71" s="5928" t="s">
        <v>4569</v>
      </c>
      <c r="F71" s="5571" t="s">
        <v>4570</v>
      </c>
      <c r="G71" s="5929" t="s">
        <v>4571</v>
      </c>
      <c r="H71" s="5930" t="s">
        <v>4572</v>
      </c>
      <c r="I71" s="5931" t="s">
        <v>4573</v>
      </c>
      <c r="J71" s="5930" t="s">
        <v>4574</v>
      </c>
      <c r="K71" s="5931" t="s">
        <v>4575</v>
      </c>
      <c r="L71" s="5930" t="s">
        <v>4576</v>
      </c>
      <c r="M71" s="5931" t="s">
        <v>4577</v>
      </c>
      <c r="N71" s="5932" t="s">
        <v>4578</v>
      </c>
      <c r="O71" s="5933" t="s">
        <v>4579</v>
      </c>
      <c r="P71" s="5934" t="s">
        <v>4580</v>
      </c>
      <c r="Q71" s="5934" t="s">
        <v>4581</v>
      </c>
      <c r="R71" s="5934" t="s">
        <v>4582</v>
      </c>
      <c r="S71" s="5934" t="s">
        <v>4583</v>
      </c>
      <c r="T71" s="5934" t="s">
        <v>4584</v>
      </c>
      <c r="U71" s="5935" t="s">
        <v>4585</v>
      </c>
      <c r="V71" s="19" t="str">
        <f>CC71&amp;CD71&amp;CE71&amp;CF71&amp;CG71&amp;CH71</f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1" s="83" t="str">
        <f>IF(AND(D71&gt;0,R71=""),"  * No olvide digitar la variable Beneficiarios. Digite Cero si no tiene.",IF(R71&gt;D71," * La variable beneficiarios No puede ser mayor al Total.",""))</f>
        <v xml:space="preserve"> * La variable beneficiarios No puede ser mayor al Total.</v>
      </c>
      <c r="CD71" s="83" t="str">
        <f>IF(AND(D71&gt;0,S71=""),"  * No olvide digitar la variable Pueblos originarios. Digite Cero si no tiene.",IF(S71&gt;D71," * La variable Pueblos originarios No puede ser mayor al Total.",""))</f>
        <v xml:space="preserve"> * La variable Pueblos originarios No puede ser mayor al Total.</v>
      </c>
      <c r="CE71" s="83" t="str">
        <f>IF(AND(D71&gt;0,T71=""),"  * No olvide digitar la variable Migrantes. Digite Cero si no tiene.",IF(T71&gt;D71," * La variable Migrantes No puede ser mayor al Total.",""))</f>
        <v xml:space="preserve"> * La variable Migrantes No puede ser mayor al Total.</v>
      </c>
      <c r="CF71" s="83" t="str">
        <f>IF(AND(D71&gt;0,U71=""),"  * No olvide digitar la variable Niños, Niñas, Adolescentes y Jóvenes SENAME. Digite Cero si no tiene.",IF(U71&gt;D71," * La variable Niños, Niñas, Adolescentes y Jóvenes SENAME No puede ser mayor al Total.",""))</f>
        <v xml:space="preserve"> * La variable Niños, Niñas, Adolescentes y Jóvenes SENAME No puede ser mayor al Total.</v>
      </c>
      <c r="CG71" s="83"/>
      <c r="CH71" s="83"/>
      <c r="CJ71" s="84">
        <f>IF(AND(D71&gt;0,R71=""),1,IF(R71&gt;D71,1,0))</f>
        <v>1</v>
      </c>
      <c r="CK71" s="84">
        <f>IF(AND(D71&gt;0,S71=""),1,IF(S71&gt;D71,1,0))</f>
        <v>1</v>
      </c>
      <c r="CL71" s="84">
        <f>IF(AND(D71&gt;0,T71=""),1,IF(T71&gt;D71,1,0))</f>
        <v>1</v>
      </c>
      <c r="CM71" s="84">
        <f>IF(AND(D71&gt;0,U71=""),1,IF(U71&gt;D71,1,0))</f>
        <v>1</v>
      </c>
    </row>
    <row r="72" spans="1:91" s="19" customFormat="1" ht="15" customHeight="1" x14ac:dyDescent="0.15">
      <c r="A72" s="5609">
        <v>31000052</v>
      </c>
      <c r="B72" s="5153" t="s">
        <v>3906</v>
      </c>
      <c r="C72" s="5936" t="s">
        <v>4567</v>
      </c>
      <c r="D72" s="5927" t="s">
        <v>4568</v>
      </c>
      <c r="E72" s="5928" t="s">
        <v>4569</v>
      </c>
      <c r="F72" s="5571" t="s">
        <v>4570</v>
      </c>
      <c r="G72" s="5929" t="s">
        <v>4571</v>
      </c>
      <c r="H72" s="5930" t="s">
        <v>4572</v>
      </c>
      <c r="I72" s="5931" t="s">
        <v>4573</v>
      </c>
      <c r="J72" s="5930" t="s">
        <v>4574</v>
      </c>
      <c r="K72" s="5931" t="s">
        <v>4575</v>
      </c>
      <c r="L72" s="5930" t="s">
        <v>4576</v>
      </c>
      <c r="M72" s="5931" t="s">
        <v>4577</v>
      </c>
      <c r="N72" s="5932" t="s">
        <v>4578</v>
      </c>
      <c r="O72" s="5937" t="s">
        <v>4579</v>
      </c>
      <c r="P72" s="5938" t="s">
        <v>4580</v>
      </c>
      <c r="Q72" s="5938" t="s">
        <v>4581</v>
      </c>
      <c r="R72" s="5938" t="s">
        <v>4582</v>
      </c>
      <c r="S72" s="5938" t="s">
        <v>4583</v>
      </c>
      <c r="T72" s="5938" t="s">
        <v>4584</v>
      </c>
      <c r="U72" s="5896" t="s">
        <v>4585</v>
      </c>
      <c r="V72" s="19" t="str">
        <f t="shared" ref="V72:V84" si="13">CC72&amp;CD72&amp;CE72&amp;CF72&amp;CG72&amp;CH72</f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2" s="83" t="str">
        <f t="shared" ref="CC72:CC84" si="14">IF(AND(D72&gt;0,R72=""),"  * No olvide digitar la variable Beneficiarios. Digite Cero si no tiene.",IF(R72&gt;D72," * La variable beneficiarios No puede ser mayor al Total.",""))</f>
        <v xml:space="preserve"> * La variable beneficiarios No puede ser mayor al Total.</v>
      </c>
      <c r="CD72" s="83" t="str">
        <f t="shared" ref="CD72:CD84" si="15">IF(AND(D72&gt;0,S72=""),"  * No olvide digitar la variable Pueblos originarios. Digite Cero si no tiene.",IF(S72&gt;D72," * La variable Pueblos originarios No puede ser mayor al Total.",""))</f>
        <v xml:space="preserve"> * La variable Pueblos originarios No puede ser mayor al Total.</v>
      </c>
      <c r="CE72" s="83" t="str">
        <f t="shared" ref="CE72:CE84" si="16">IF(AND(D72&gt;0,T72=""),"  * No olvide digitar la variable Migrantes. Digite Cero si no tiene.",IF(T72&gt;D72," * La variable Migrantes No puede ser mayor al Total.",""))</f>
        <v xml:space="preserve"> * La variable Migrantes No puede ser mayor al Total.</v>
      </c>
      <c r="CF72" s="83" t="str">
        <f t="shared" ref="CF72:CF84" si="17">IF(AND(D72&gt;0,U72=""),"  * No olvide digitar la variable Niños, Niñas, Adolescentes y Jóvenes SENAME. Digite Cero si no tiene.",IF(U72&gt;D72," * La variable Niños, Niñas, Adolescentes y Jóvenes SENAME No puede ser mayor al Total.",""))</f>
        <v xml:space="preserve"> * La variable Niños, Niñas, Adolescentes y Jóvenes SENAME No puede ser mayor al Total.</v>
      </c>
      <c r="CG72" s="83"/>
      <c r="CH72" s="83"/>
      <c r="CJ72" s="84">
        <f t="shared" ref="CJ72:CJ84" si="18">IF(AND(D72&gt;0,R72=""),1,IF(R72&gt;D72,1,0))</f>
        <v>1</v>
      </c>
      <c r="CK72" s="84">
        <f t="shared" ref="CK72:CK84" si="19">IF(AND(D72&gt;0,S72=""),1,IF(S72&gt;D72,1,0))</f>
        <v>1</v>
      </c>
      <c r="CL72" s="84">
        <f t="shared" ref="CL72:CL84" si="20">IF(AND(D72&gt;0,T72=""),1,IF(T72&gt;D72,1,0))</f>
        <v>1</v>
      </c>
      <c r="CM72" s="84">
        <f t="shared" ref="CM72:CM84" si="21">IF(AND(D72&gt;0,U72=""),1,IF(U72&gt;D72,1,0))</f>
        <v>1</v>
      </c>
    </row>
    <row r="73" spans="1:91" s="19" customFormat="1" ht="15" customHeight="1" x14ac:dyDescent="0.15">
      <c r="A73" s="5609">
        <v>31000054</v>
      </c>
      <c r="B73" s="5153" t="s">
        <v>3955</v>
      </c>
      <c r="C73" s="5936" t="s">
        <v>4567</v>
      </c>
      <c r="D73" s="5927" t="s">
        <v>4568</v>
      </c>
      <c r="E73" s="5928" t="s">
        <v>4569</v>
      </c>
      <c r="F73" s="5571" t="s">
        <v>4570</v>
      </c>
      <c r="G73" s="5929" t="s">
        <v>4571</v>
      </c>
      <c r="H73" s="5930" t="s">
        <v>4572</v>
      </c>
      <c r="I73" s="5931" t="s">
        <v>4573</v>
      </c>
      <c r="J73" s="5930" t="s">
        <v>4574</v>
      </c>
      <c r="K73" s="5931" t="s">
        <v>4575</v>
      </c>
      <c r="L73" s="5930" t="s">
        <v>4576</v>
      </c>
      <c r="M73" s="5931" t="s">
        <v>4577</v>
      </c>
      <c r="N73" s="5932" t="s">
        <v>4578</v>
      </c>
      <c r="O73" s="5937" t="s">
        <v>4579</v>
      </c>
      <c r="P73" s="5938" t="s">
        <v>4580</v>
      </c>
      <c r="Q73" s="5938" t="s">
        <v>4581</v>
      </c>
      <c r="R73" s="5938" t="s">
        <v>4582</v>
      </c>
      <c r="S73" s="5938" t="s">
        <v>4583</v>
      </c>
      <c r="T73" s="5938" t="s">
        <v>4584</v>
      </c>
      <c r="U73" s="5896" t="s">
        <v>4585</v>
      </c>
      <c r="V73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3" s="83" t="str">
        <f t="shared" si="14"/>
        <v xml:space="preserve"> * La variable beneficiarios No puede ser mayor al Total.</v>
      </c>
      <c r="CD73" s="83" t="str">
        <f t="shared" si="15"/>
        <v xml:space="preserve"> * La variable Pueblos originarios No puede ser mayor al Total.</v>
      </c>
      <c r="CE73" s="83" t="str">
        <f t="shared" si="16"/>
        <v xml:space="preserve"> * La variable Migrantes No puede ser mayor al Total.</v>
      </c>
      <c r="CF73" s="83" t="str">
        <f t="shared" si="17"/>
        <v xml:space="preserve"> * La variable Niños, Niñas, Adolescentes y Jóvenes SENAME No puede ser mayor al Total.</v>
      </c>
      <c r="CG73" s="83"/>
      <c r="CH73" s="83"/>
      <c r="CJ73" s="84">
        <f t="shared" si="18"/>
        <v>1</v>
      </c>
      <c r="CK73" s="84">
        <f t="shared" si="19"/>
        <v>1</v>
      </c>
      <c r="CL73" s="84">
        <f t="shared" si="20"/>
        <v>1</v>
      </c>
      <c r="CM73" s="84">
        <f t="shared" si="21"/>
        <v>1</v>
      </c>
    </row>
    <row r="74" spans="1:91" s="19" customFormat="1" ht="15" customHeight="1" x14ac:dyDescent="0.15">
      <c r="A74" s="5609">
        <v>31000055</v>
      </c>
      <c r="B74" s="5153" t="s">
        <v>3956</v>
      </c>
      <c r="C74" s="5936" t="s">
        <v>4567</v>
      </c>
      <c r="D74" s="5927" t="s">
        <v>4568</v>
      </c>
      <c r="E74" s="5928" t="s">
        <v>4569</v>
      </c>
      <c r="F74" s="5571" t="s">
        <v>4570</v>
      </c>
      <c r="G74" s="5929" t="s">
        <v>4571</v>
      </c>
      <c r="H74" s="5930" t="s">
        <v>4572</v>
      </c>
      <c r="I74" s="5931" t="s">
        <v>4573</v>
      </c>
      <c r="J74" s="5930" t="s">
        <v>4574</v>
      </c>
      <c r="K74" s="5931" t="s">
        <v>4575</v>
      </c>
      <c r="L74" s="5930" t="s">
        <v>4576</v>
      </c>
      <c r="M74" s="5931" t="s">
        <v>4577</v>
      </c>
      <c r="N74" s="5932" t="s">
        <v>4578</v>
      </c>
      <c r="O74" s="5937" t="s">
        <v>4579</v>
      </c>
      <c r="P74" s="5938" t="s">
        <v>4580</v>
      </c>
      <c r="Q74" s="5938" t="s">
        <v>4581</v>
      </c>
      <c r="R74" s="5938" t="s">
        <v>4582</v>
      </c>
      <c r="S74" s="5938" t="s">
        <v>4583</v>
      </c>
      <c r="T74" s="5938" t="s">
        <v>4584</v>
      </c>
      <c r="U74" s="5896" t="s">
        <v>4585</v>
      </c>
      <c r="V74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4" s="83" t="str">
        <f t="shared" si="14"/>
        <v xml:space="preserve"> * La variable beneficiarios No puede ser mayor al Total.</v>
      </c>
      <c r="CD74" s="83" t="str">
        <f t="shared" si="15"/>
        <v xml:space="preserve"> * La variable Pueblos originarios No puede ser mayor al Total.</v>
      </c>
      <c r="CE74" s="83" t="str">
        <f t="shared" si="16"/>
        <v xml:space="preserve"> * La variable Migrantes No puede ser mayor al Total.</v>
      </c>
      <c r="CF74" s="83" t="str">
        <f t="shared" si="17"/>
        <v xml:space="preserve"> * La variable Niños, Niñas, Adolescentes y Jóvenes SENAME No puede ser mayor al Total.</v>
      </c>
      <c r="CG74" s="83"/>
      <c r="CH74" s="83"/>
      <c r="CJ74" s="84">
        <f t="shared" si="18"/>
        <v>1</v>
      </c>
      <c r="CK74" s="84">
        <f t="shared" si="19"/>
        <v>1</v>
      </c>
      <c r="CL74" s="84">
        <f t="shared" si="20"/>
        <v>1</v>
      </c>
      <c r="CM74" s="84">
        <f t="shared" si="21"/>
        <v>1</v>
      </c>
    </row>
    <row r="75" spans="1:91" s="19" customFormat="1" ht="15" customHeight="1" x14ac:dyDescent="0.15">
      <c r="A75" s="5609">
        <v>31000056</v>
      </c>
      <c r="B75" s="5153" t="s">
        <v>3912</v>
      </c>
      <c r="C75" s="5936" t="s">
        <v>4567</v>
      </c>
      <c r="D75" s="5927" t="s">
        <v>4568</v>
      </c>
      <c r="E75" s="5928" t="s">
        <v>4569</v>
      </c>
      <c r="F75" s="5571" t="s">
        <v>4570</v>
      </c>
      <c r="G75" s="5929" t="s">
        <v>4571</v>
      </c>
      <c r="H75" s="5930" t="s">
        <v>4572</v>
      </c>
      <c r="I75" s="5931" t="s">
        <v>4573</v>
      </c>
      <c r="J75" s="5930" t="s">
        <v>4574</v>
      </c>
      <c r="K75" s="5931" t="s">
        <v>4575</v>
      </c>
      <c r="L75" s="5930" t="s">
        <v>4576</v>
      </c>
      <c r="M75" s="5931" t="s">
        <v>4577</v>
      </c>
      <c r="N75" s="5932" t="s">
        <v>4578</v>
      </c>
      <c r="O75" s="5937" t="s">
        <v>4579</v>
      </c>
      <c r="P75" s="5938" t="s">
        <v>4580</v>
      </c>
      <c r="Q75" s="5938" t="s">
        <v>4581</v>
      </c>
      <c r="R75" s="5938" t="s">
        <v>4582</v>
      </c>
      <c r="S75" s="5938" t="s">
        <v>4583</v>
      </c>
      <c r="T75" s="5938" t="s">
        <v>4584</v>
      </c>
      <c r="U75" s="5896" t="s">
        <v>4585</v>
      </c>
      <c r="V75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5" s="83" t="str">
        <f t="shared" si="14"/>
        <v xml:space="preserve"> * La variable beneficiarios No puede ser mayor al Total.</v>
      </c>
      <c r="CD75" s="83" t="str">
        <f t="shared" si="15"/>
        <v xml:space="preserve"> * La variable Pueblos originarios No puede ser mayor al Total.</v>
      </c>
      <c r="CE75" s="83" t="str">
        <f t="shared" si="16"/>
        <v xml:space="preserve"> * La variable Migrantes No puede ser mayor al Total.</v>
      </c>
      <c r="CF75" s="83" t="str">
        <f t="shared" si="17"/>
        <v xml:space="preserve"> * La variable Niños, Niñas, Adolescentes y Jóvenes SENAME No puede ser mayor al Total.</v>
      </c>
      <c r="CG75" s="83"/>
      <c r="CH75" s="83"/>
      <c r="CJ75" s="84">
        <f t="shared" si="18"/>
        <v>1</v>
      </c>
      <c r="CK75" s="84">
        <f t="shared" si="19"/>
        <v>1</v>
      </c>
      <c r="CL75" s="84">
        <f t="shared" si="20"/>
        <v>1</v>
      </c>
      <c r="CM75" s="84">
        <f t="shared" si="21"/>
        <v>1</v>
      </c>
    </row>
    <row r="76" spans="1:91" s="19" customFormat="1" ht="15" customHeight="1" x14ac:dyDescent="0.15">
      <c r="A76" s="5609">
        <v>31000057</v>
      </c>
      <c r="B76" s="5153" t="s">
        <v>3957</v>
      </c>
      <c r="C76" s="5936" t="s">
        <v>4567</v>
      </c>
      <c r="D76" s="5939" t="s">
        <v>4568</v>
      </c>
      <c r="E76" s="5928" t="s">
        <v>4569</v>
      </c>
      <c r="F76" s="5571" t="s">
        <v>4570</v>
      </c>
      <c r="G76" s="5929" t="s">
        <v>4571</v>
      </c>
      <c r="H76" s="5930" t="s">
        <v>4572</v>
      </c>
      <c r="I76" s="5931" t="s">
        <v>4573</v>
      </c>
      <c r="J76" s="5930" t="s">
        <v>4574</v>
      </c>
      <c r="K76" s="5931" t="s">
        <v>4575</v>
      </c>
      <c r="L76" s="5930" t="s">
        <v>4576</v>
      </c>
      <c r="M76" s="5931" t="s">
        <v>4577</v>
      </c>
      <c r="N76" s="5932" t="s">
        <v>4578</v>
      </c>
      <c r="O76" s="5937" t="s">
        <v>4579</v>
      </c>
      <c r="P76" s="5938" t="s">
        <v>4580</v>
      </c>
      <c r="Q76" s="5938" t="s">
        <v>4581</v>
      </c>
      <c r="R76" s="5938" t="s">
        <v>4582</v>
      </c>
      <c r="S76" s="5938" t="s">
        <v>4583</v>
      </c>
      <c r="T76" s="5938" t="s">
        <v>4584</v>
      </c>
      <c r="U76" s="5896" t="s">
        <v>4585</v>
      </c>
      <c r="V76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6" s="83" t="str">
        <f t="shared" si="14"/>
        <v xml:space="preserve"> * La variable beneficiarios No puede ser mayor al Total.</v>
      </c>
      <c r="CD76" s="83" t="str">
        <f t="shared" si="15"/>
        <v xml:space="preserve"> * La variable Pueblos originarios No puede ser mayor al Total.</v>
      </c>
      <c r="CE76" s="83" t="str">
        <f t="shared" si="16"/>
        <v xml:space="preserve"> * La variable Migrantes No puede ser mayor al Total.</v>
      </c>
      <c r="CF76" s="83" t="str">
        <f t="shared" si="17"/>
        <v xml:space="preserve"> * La variable Niños, Niñas, Adolescentes y Jóvenes SENAME No puede ser mayor al Total.</v>
      </c>
      <c r="CG76" s="83"/>
      <c r="CH76" s="83"/>
      <c r="CJ76" s="84">
        <f t="shared" si="18"/>
        <v>1</v>
      </c>
      <c r="CK76" s="84">
        <f t="shared" si="19"/>
        <v>1</v>
      </c>
      <c r="CL76" s="84">
        <f t="shared" si="20"/>
        <v>1</v>
      </c>
      <c r="CM76" s="84">
        <f t="shared" si="21"/>
        <v>1</v>
      </c>
    </row>
    <row r="77" spans="1:91" s="19" customFormat="1" ht="15" customHeight="1" x14ac:dyDescent="0.15">
      <c r="A77" s="5609">
        <v>31000058</v>
      </c>
      <c r="B77" s="5154" t="s">
        <v>3914</v>
      </c>
      <c r="C77" s="5936" t="s">
        <v>4567</v>
      </c>
      <c r="D77" s="5927" t="s">
        <v>4568</v>
      </c>
      <c r="E77" s="5928" t="s">
        <v>4569</v>
      </c>
      <c r="F77" s="5571" t="s">
        <v>4570</v>
      </c>
      <c r="G77" s="5929" t="s">
        <v>4571</v>
      </c>
      <c r="H77" s="5930" t="s">
        <v>4572</v>
      </c>
      <c r="I77" s="5931" t="s">
        <v>4573</v>
      </c>
      <c r="J77" s="5930" t="s">
        <v>4574</v>
      </c>
      <c r="K77" s="5931" t="s">
        <v>4575</v>
      </c>
      <c r="L77" s="5930" t="s">
        <v>4576</v>
      </c>
      <c r="M77" s="5931" t="s">
        <v>4577</v>
      </c>
      <c r="N77" s="5932" t="s">
        <v>4578</v>
      </c>
      <c r="O77" s="5937" t="s">
        <v>4579</v>
      </c>
      <c r="P77" s="5938" t="s">
        <v>4580</v>
      </c>
      <c r="Q77" s="5938" t="s">
        <v>4581</v>
      </c>
      <c r="R77" s="5938" t="s">
        <v>4582</v>
      </c>
      <c r="S77" s="5938" t="s">
        <v>4583</v>
      </c>
      <c r="T77" s="5938" t="s">
        <v>4584</v>
      </c>
      <c r="U77" s="5896" t="s">
        <v>4585</v>
      </c>
      <c r="V77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7" s="83" t="str">
        <f t="shared" si="14"/>
        <v xml:space="preserve"> * La variable beneficiarios No puede ser mayor al Total.</v>
      </c>
      <c r="CD77" s="83" t="str">
        <f t="shared" si="15"/>
        <v xml:space="preserve"> * La variable Pueblos originarios No puede ser mayor al Total.</v>
      </c>
      <c r="CE77" s="83" t="str">
        <f t="shared" si="16"/>
        <v xml:space="preserve"> * La variable Migrantes No puede ser mayor al Total.</v>
      </c>
      <c r="CF77" s="83" t="str">
        <f t="shared" si="17"/>
        <v xml:space="preserve"> * La variable Niños, Niñas, Adolescentes y Jóvenes SENAME No puede ser mayor al Total.</v>
      </c>
      <c r="CG77" s="83"/>
      <c r="CH77" s="83"/>
      <c r="CJ77" s="84">
        <f t="shared" si="18"/>
        <v>1</v>
      </c>
      <c r="CK77" s="84">
        <f t="shared" si="19"/>
        <v>1</v>
      </c>
      <c r="CL77" s="84">
        <f t="shared" si="20"/>
        <v>1</v>
      </c>
      <c r="CM77" s="84">
        <f t="shared" si="21"/>
        <v>1</v>
      </c>
    </row>
    <row r="78" spans="1:91" s="19" customFormat="1" ht="15" customHeight="1" x14ac:dyDescent="0.15">
      <c r="A78" s="5609">
        <v>31000059</v>
      </c>
      <c r="B78" s="5154" t="s">
        <v>3958</v>
      </c>
      <c r="C78" s="5936" t="s">
        <v>4567</v>
      </c>
      <c r="D78" s="5927" t="s">
        <v>4568</v>
      </c>
      <c r="E78" s="5928" t="s">
        <v>4569</v>
      </c>
      <c r="F78" s="5571" t="s">
        <v>4570</v>
      </c>
      <c r="G78" s="5929" t="s">
        <v>4571</v>
      </c>
      <c r="H78" s="5930" t="s">
        <v>4572</v>
      </c>
      <c r="I78" s="5931" t="s">
        <v>4573</v>
      </c>
      <c r="J78" s="5930" t="s">
        <v>4574</v>
      </c>
      <c r="K78" s="5931" t="s">
        <v>4575</v>
      </c>
      <c r="L78" s="5930" t="s">
        <v>4576</v>
      </c>
      <c r="M78" s="5931" t="s">
        <v>4577</v>
      </c>
      <c r="N78" s="5932" t="s">
        <v>4578</v>
      </c>
      <c r="O78" s="5937" t="s">
        <v>4579</v>
      </c>
      <c r="P78" s="5938" t="s">
        <v>4580</v>
      </c>
      <c r="Q78" s="5938" t="s">
        <v>4581</v>
      </c>
      <c r="R78" s="5938" t="s">
        <v>4582</v>
      </c>
      <c r="S78" s="5938" t="s">
        <v>4583</v>
      </c>
      <c r="T78" s="5938" t="s">
        <v>4584</v>
      </c>
      <c r="U78" s="5896" t="s">
        <v>4585</v>
      </c>
      <c r="V78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8" s="83" t="str">
        <f t="shared" si="14"/>
        <v xml:space="preserve"> * La variable beneficiarios No puede ser mayor al Total.</v>
      </c>
      <c r="CD78" s="83" t="str">
        <f t="shared" si="15"/>
        <v xml:space="preserve"> * La variable Pueblos originarios No puede ser mayor al Total.</v>
      </c>
      <c r="CE78" s="83" t="str">
        <f t="shared" si="16"/>
        <v xml:space="preserve"> * La variable Migrantes No puede ser mayor al Total.</v>
      </c>
      <c r="CF78" s="83" t="str">
        <f t="shared" si="17"/>
        <v xml:space="preserve"> * La variable Niños, Niñas, Adolescentes y Jóvenes SENAME No puede ser mayor al Total.</v>
      </c>
      <c r="CG78" s="83"/>
      <c r="CH78" s="83"/>
      <c r="CJ78" s="84">
        <f t="shared" si="18"/>
        <v>1</v>
      </c>
      <c r="CK78" s="84">
        <f t="shared" si="19"/>
        <v>1</v>
      </c>
      <c r="CL78" s="84">
        <f t="shared" si="20"/>
        <v>1</v>
      </c>
      <c r="CM78" s="84">
        <f t="shared" si="21"/>
        <v>1</v>
      </c>
    </row>
    <row r="79" spans="1:91" s="19" customFormat="1" ht="15" customHeight="1" x14ac:dyDescent="0.15">
      <c r="A79" s="5609">
        <v>31000060</v>
      </c>
      <c r="B79" s="5154" t="s">
        <v>3959</v>
      </c>
      <c r="C79" s="5936" t="s">
        <v>4567</v>
      </c>
      <c r="D79" s="5939" t="s">
        <v>4568</v>
      </c>
      <c r="E79" s="5928" t="s">
        <v>4569</v>
      </c>
      <c r="F79" s="5571" t="s">
        <v>4570</v>
      </c>
      <c r="G79" s="5929" t="s">
        <v>4571</v>
      </c>
      <c r="H79" s="5930" t="s">
        <v>4572</v>
      </c>
      <c r="I79" s="5931" t="s">
        <v>4573</v>
      </c>
      <c r="J79" s="5930" t="s">
        <v>4574</v>
      </c>
      <c r="K79" s="5931" t="s">
        <v>4575</v>
      </c>
      <c r="L79" s="5930" t="s">
        <v>4576</v>
      </c>
      <c r="M79" s="5931" t="s">
        <v>4577</v>
      </c>
      <c r="N79" s="5932" t="s">
        <v>4578</v>
      </c>
      <c r="O79" s="5937" t="s">
        <v>4579</v>
      </c>
      <c r="P79" s="5938" t="s">
        <v>4580</v>
      </c>
      <c r="Q79" s="5938" t="s">
        <v>4581</v>
      </c>
      <c r="R79" s="5938" t="s">
        <v>4582</v>
      </c>
      <c r="S79" s="5938" t="s">
        <v>4583</v>
      </c>
      <c r="T79" s="5938" t="s">
        <v>4584</v>
      </c>
      <c r="U79" s="5896" t="s">
        <v>4585</v>
      </c>
      <c r="V79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9" s="83" t="str">
        <f t="shared" si="14"/>
        <v xml:space="preserve"> * La variable beneficiarios No puede ser mayor al Total.</v>
      </c>
      <c r="CD79" s="83" t="str">
        <f t="shared" si="15"/>
        <v xml:space="preserve"> * La variable Pueblos originarios No puede ser mayor al Total.</v>
      </c>
      <c r="CE79" s="83" t="str">
        <f t="shared" si="16"/>
        <v xml:space="preserve"> * La variable Migrantes No puede ser mayor al Total.</v>
      </c>
      <c r="CF79" s="83" t="str">
        <f t="shared" si="17"/>
        <v xml:space="preserve"> * La variable Niños, Niñas, Adolescentes y Jóvenes SENAME No puede ser mayor al Total.</v>
      </c>
      <c r="CG79" s="83"/>
      <c r="CH79" s="83"/>
      <c r="CJ79" s="84">
        <f t="shared" si="18"/>
        <v>1</v>
      </c>
      <c r="CK79" s="84">
        <f t="shared" si="19"/>
        <v>1</v>
      </c>
      <c r="CL79" s="84">
        <f t="shared" si="20"/>
        <v>1</v>
      </c>
      <c r="CM79" s="84">
        <f t="shared" si="21"/>
        <v>1</v>
      </c>
    </row>
    <row r="80" spans="1:91" s="19" customFormat="1" ht="15" customHeight="1" x14ac:dyDescent="0.15">
      <c r="A80" s="5609">
        <v>31000064</v>
      </c>
      <c r="B80" s="5153" t="s">
        <v>3907</v>
      </c>
      <c r="C80" s="5936" t="s">
        <v>4567</v>
      </c>
      <c r="D80" s="5927" t="s">
        <v>4568</v>
      </c>
      <c r="E80" s="5928" t="s">
        <v>4569</v>
      </c>
      <c r="F80" s="5571" t="s">
        <v>4570</v>
      </c>
      <c r="G80" s="5929" t="s">
        <v>4571</v>
      </c>
      <c r="H80" s="5930" t="s">
        <v>4572</v>
      </c>
      <c r="I80" s="5931" t="s">
        <v>4573</v>
      </c>
      <c r="J80" s="5930" t="s">
        <v>4574</v>
      </c>
      <c r="K80" s="5931" t="s">
        <v>4575</v>
      </c>
      <c r="L80" s="5930" t="s">
        <v>4576</v>
      </c>
      <c r="M80" s="5931" t="s">
        <v>4577</v>
      </c>
      <c r="N80" s="5932" t="s">
        <v>4578</v>
      </c>
      <c r="O80" s="5937" t="s">
        <v>4579</v>
      </c>
      <c r="P80" s="5938" t="s">
        <v>4580</v>
      </c>
      <c r="Q80" s="5938" t="s">
        <v>4581</v>
      </c>
      <c r="R80" s="5938" t="s">
        <v>4582</v>
      </c>
      <c r="S80" s="5938" t="s">
        <v>4583</v>
      </c>
      <c r="T80" s="5938" t="s">
        <v>4584</v>
      </c>
      <c r="U80" s="5896" t="s">
        <v>4585</v>
      </c>
      <c r="V80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0" s="83" t="str">
        <f t="shared" si="14"/>
        <v xml:space="preserve"> * La variable beneficiarios No puede ser mayor al Total.</v>
      </c>
      <c r="CD80" s="83" t="str">
        <f t="shared" si="15"/>
        <v xml:space="preserve"> * La variable Pueblos originarios No puede ser mayor al Total.</v>
      </c>
      <c r="CE80" s="83" t="str">
        <f t="shared" si="16"/>
        <v xml:space="preserve"> * La variable Migrantes No puede ser mayor al Total.</v>
      </c>
      <c r="CF80" s="83" t="str">
        <f t="shared" si="17"/>
        <v xml:space="preserve"> * La variable Niños, Niñas, Adolescentes y Jóvenes SENAME No puede ser mayor al Total.</v>
      </c>
      <c r="CG80" s="83"/>
      <c r="CH80" s="83"/>
      <c r="CJ80" s="84">
        <f t="shared" si="18"/>
        <v>1</v>
      </c>
      <c r="CK80" s="84">
        <f t="shared" si="19"/>
        <v>1</v>
      </c>
      <c r="CL80" s="84">
        <f t="shared" si="20"/>
        <v>1</v>
      </c>
      <c r="CM80" s="84">
        <f t="shared" si="21"/>
        <v>1</v>
      </c>
    </row>
    <row r="81" spans="1:91" s="19" customFormat="1" ht="15" customHeight="1" x14ac:dyDescent="0.15">
      <c r="A81" s="5609">
        <v>31000065</v>
      </c>
      <c r="B81" s="5153" t="s">
        <v>3918</v>
      </c>
      <c r="C81" s="5936" t="s">
        <v>4567</v>
      </c>
      <c r="D81" s="5927" t="s">
        <v>4568</v>
      </c>
      <c r="E81" s="5928" t="s">
        <v>4569</v>
      </c>
      <c r="F81" s="5571" t="s">
        <v>4570</v>
      </c>
      <c r="G81" s="5929" t="s">
        <v>4571</v>
      </c>
      <c r="H81" s="5930" t="s">
        <v>4572</v>
      </c>
      <c r="I81" s="5931" t="s">
        <v>4573</v>
      </c>
      <c r="J81" s="5930" t="s">
        <v>4574</v>
      </c>
      <c r="K81" s="5931" t="s">
        <v>4575</v>
      </c>
      <c r="L81" s="5930" t="s">
        <v>4576</v>
      </c>
      <c r="M81" s="5931" t="s">
        <v>4577</v>
      </c>
      <c r="N81" s="5932" t="s">
        <v>4578</v>
      </c>
      <c r="O81" s="5937" t="s">
        <v>4579</v>
      </c>
      <c r="P81" s="5938" t="s">
        <v>4580</v>
      </c>
      <c r="Q81" s="5938" t="s">
        <v>4581</v>
      </c>
      <c r="R81" s="5938" t="s">
        <v>4582</v>
      </c>
      <c r="S81" s="5938" t="s">
        <v>4583</v>
      </c>
      <c r="T81" s="5938" t="s">
        <v>4584</v>
      </c>
      <c r="U81" s="5896" t="s">
        <v>4585</v>
      </c>
      <c r="V81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1" s="83" t="str">
        <f t="shared" si="14"/>
        <v xml:space="preserve"> * La variable beneficiarios No puede ser mayor al Total.</v>
      </c>
      <c r="CD81" s="83" t="str">
        <f t="shared" si="15"/>
        <v xml:space="preserve"> * La variable Pueblos originarios No puede ser mayor al Total.</v>
      </c>
      <c r="CE81" s="83" t="str">
        <f t="shared" si="16"/>
        <v xml:space="preserve"> * La variable Migrantes No puede ser mayor al Total.</v>
      </c>
      <c r="CF81" s="83" t="str">
        <f t="shared" si="17"/>
        <v xml:space="preserve"> * La variable Niños, Niñas, Adolescentes y Jóvenes SENAME No puede ser mayor al Total.</v>
      </c>
      <c r="CG81" s="83"/>
      <c r="CH81" s="83"/>
      <c r="CJ81" s="84">
        <f t="shared" si="18"/>
        <v>1</v>
      </c>
      <c r="CK81" s="84">
        <f t="shared" si="19"/>
        <v>1</v>
      </c>
      <c r="CL81" s="84">
        <f t="shared" si="20"/>
        <v>1</v>
      </c>
      <c r="CM81" s="84">
        <f t="shared" si="21"/>
        <v>1</v>
      </c>
    </row>
    <row r="82" spans="1:91" s="19" customFormat="1" ht="15" customHeight="1" x14ac:dyDescent="0.15">
      <c r="A82" s="5609">
        <v>31000061</v>
      </c>
      <c r="B82" s="5154" t="s">
        <v>3917</v>
      </c>
      <c r="C82" s="5936" t="s">
        <v>4567</v>
      </c>
      <c r="D82" s="5940" t="s">
        <v>4568</v>
      </c>
      <c r="E82" s="5928" t="s">
        <v>4569</v>
      </c>
      <c r="F82" s="5571" t="s">
        <v>4570</v>
      </c>
      <c r="G82" s="5929" t="s">
        <v>4571</v>
      </c>
      <c r="H82" s="5930" t="s">
        <v>4572</v>
      </c>
      <c r="I82" s="5931" t="s">
        <v>4573</v>
      </c>
      <c r="J82" s="5930" t="s">
        <v>4574</v>
      </c>
      <c r="K82" s="5931" t="s">
        <v>4575</v>
      </c>
      <c r="L82" s="5930" t="s">
        <v>4576</v>
      </c>
      <c r="M82" s="5931" t="s">
        <v>4577</v>
      </c>
      <c r="N82" s="5932" t="s">
        <v>4578</v>
      </c>
      <c r="O82" s="5937" t="s">
        <v>4579</v>
      </c>
      <c r="P82" s="5938" t="s">
        <v>4580</v>
      </c>
      <c r="Q82" s="5938" t="s">
        <v>4581</v>
      </c>
      <c r="R82" s="5938" t="s">
        <v>4582</v>
      </c>
      <c r="S82" s="5938" t="s">
        <v>4583</v>
      </c>
      <c r="T82" s="5938" t="s">
        <v>4584</v>
      </c>
      <c r="U82" s="5896" t="s">
        <v>4585</v>
      </c>
      <c r="V82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2" s="83" t="str">
        <f t="shared" si="14"/>
        <v xml:space="preserve"> * La variable beneficiarios No puede ser mayor al Total.</v>
      </c>
      <c r="CD82" s="83" t="str">
        <f t="shared" si="15"/>
        <v xml:space="preserve"> * La variable Pueblos originarios No puede ser mayor al Total.</v>
      </c>
      <c r="CE82" s="83" t="str">
        <f t="shared" si="16"/>
        <v xml:space="preserve"> * La variable Migrantes No puede ser mayor al Total.</v>
      </c>
      <c r="CF82" s="83" t="str">
        <f t="shared" si="17"/>
        <v xml:space="preserve"> * La variable Niños, Niñas, Adolescentes y Jóvenes SENAME No puede ser mayor al Total.</v>
      </c>
      <c r="CG82" s="83"/>
      <c r="CH82" s="83"/>
      <c r="CJ82" s="84">
        <f t="shared" si="18"/>
        <v>1</v>
      </c>
      <c r="CK82" s="84">
        <f t="shared" si="19"/>
        <v>1</v>
      </c>
      <c r="CL82" s="84">
        <f t="shared" si="20"/>
        <v>1</v>
      </c>
      <c r="CM82" s="84">
        <f t="shared" si="21"/>
        <v>1</v>
      </c>
    </row>
    <row r="83" spans="1:91" s="19" customFormat="1" ht="15" customHeight="1" x14ac:dyDescent="0.15">
      <c r="A83" s="5609">
        <v>31000062</v>
      </c>
      <c r="B83" s="5154" t="s">
        <v>3919</v>
      </c>
      <c r="C83" s="5936" t="s">
        <v>4567</v>
      </c>
      <c r="D83" s="5939" t="s">
        <v>4568</v>
      </c>
      <c r="E83" s="5928" t="s">
        <v>4569</v>
      </c>
      <c r="F83" s="5571" t="s">
        <v>4570</v>
      </c>
      <c r="G83" s="5890" t="s">
        <v>4571</v>
      </c>
      <c r="H83" s="5895" t="s">
        <v>4572</v>
      </c>
      <c r="I83" s="5902" t="s">
        <v>4573</v>
      </c>
      <c r="J83" s="5895" t="s">
        <v>4574</v>
      </c>
      <c r="K83" s="5902" t="s">
        <v>4575</v>
      </c>
      <c r="L83" s="5895" t="s">
        <v>4576</v>
      </c>
      <c r="M83" s="5931" t="s">
        <v>4577</v>
      </c>
      <c r="N83" s="5932" t="s">
        <v>4578</v>
      </c>
      <c r="O83" s="5941" t="s">
        <v>4579</v>
      </c>
      <c r="P83" s="5942" t="s">
        <v>4580</v>
      </c>
      <c r="Q83" s="5942" t="s">
        <v>4581</v>
      </c>
      <c r="R83" s="5942" t="s">
        <v>4582</v>
      </c>
      <c r="S83" s="5942" t="s">
        <v>4583</v>
      </c>
      <c r="T83" s="5942" t="s">
        <v>4584</v>
      </c>
      <c r="U83" s="5897" t="s">
        <v>4585</v>
      </c>
      <c r="V83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3" s="83" t="str">
        <f t="shared" si="14"/>
        <v xml:space="preserve"> * La variable beneficiarios No puede ser mayor al Total.</v>
      </c>
      <c r="CD83" s="83" t="str">
        <f t="shared" si="15"/>
        <v xml:space="preserve"> * La variable Pueblos originarios No puede ser mayor al Total.</v>
      </c>
      <c r="CE83" s="83" t="str">
        <f t="shared" si="16"/>
        <v xml:space="preserve"> * La variable Migrantes No puede ser mayor al Total.</v>
      </c>
      <c r="CF83" s="83" t="str">
        <f t="shared" si="17"/>
        <v xml:space="preserve"> * La variable Niños, Niñas, Adolescentes y Jóvenes SENAME No puede ser mayor al Total.</v>
      </c>
      <c r="CG83" s="83"/>
      <c r="CH83" s="83"/>
      <c r="CJ83" s="84">
        <f t="shared" si="18"/>
        <v>1</v>
      </c>
      <c r="CK83" s="84">
        <f t="shared" si="19"/>
        <v>1</v>
      </c>
      <c r="CL83" s="84">
        <f t="shared" si="20"/>
        <v>1</v>
      </c>
      <c r="CM83" s="84">
        <f t="shared" si="21"/>
        <v>1</v>
      </c>
    </row>
    <row r="84" spans="1:91" s="19" customFormat="1" ht="15" customHeight="1" x14ac:dyDescent="0.15">
      <c r="A84" s="5609">
        <v>31000063</v>
      </c>
      <c r="B84" s="5155" t="s">
        <v>902</v>
      </c>
      <c r="C84" s="5936" t="s">
        <v>4567</v>
      </c>
      <c r="D84" s="5939" t="s">
        <v>4568</v>
      </c>
      <c r="E84" s="5928" t="s">
        <v>4569</v>
      </c>
      <c r="F84" s="5571" t="s">
        <v>4570</v>
      </c>
      <c r="G84" s="5929" t="s">
        <v>4571</v>
      </c>
      <c r="H84" s="5930" t="s">
        <v>4572</v>
      </c>
      <c r="I84" s="5931" t="s">
        <v>4573</v>
      </c>
      <c r="J84" s="5930" t="s">
        <v>4574</v>
      </c>
      <c r="K84" s="5931" t="s">
        <v>4575</v>
      </c>
      <c r="L84" s="5930" t="s">
        <v>4576</v>
      </c>
      <c r="M84" s="5902" t="s">
        <v>4577</v>
      </c>
      <c r="N84" s="5943" t="s">
        <v>4578</v>
      </c>
      <c r="O84" s="5941" t="s">
        <v>4579</v>
      </c>
      <c r="P84" s="5942" t="s">
        <v>4580</v>
      </c>
      <c r="Q84" s="5942" t="s">
        <v>4581</v>
      </c>
      <c r="R84" s="5942" t="s">
        <v>4582</v>
      </c>
      <c r="S84" s="5942" t="s">
        <v>4583</v>
      </c>
      <c r="T84" s="5942" t="s">
        <v>4584</v>
      </c>
      <c r="U84" s="5897" t="s">
        <v>4585</v>
      </c>
      <c r="V84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4" s="83" t="str">
        <f t="shared" si="14"/>
        <v xml:space="preserve"> * La variable beneficiarios No puede ser mayor al Total.</v>
      </c>
      <c r="CD84" s="83" t="str">
        <f t="shared" si="15"/>
        <v xml:space="preserve"> * La variable Pueblos originarios No puede ser mayor al Total.</v>
      </c>
      <c r="CE84" s="83" t="str">
        <f t="shared" si="16"/>
        <v xml:space="preserve"> * La variable Migrantes No puede ser mayor al Total.</v>
      </c>
      <c r="CF84" s="83" t="str">
        <f t="shared" si="17"/>
        <v xml:space="preserve"> * La variable Niños, Niñas, Adolescentes y Jóvenes SENAME No puede ser mayor al Total.</v>
      </c>
      <c r="CG84" s="83"/>
      <c r="CH84" s="83"/>
      <c r="CJ84" s="84">
        <f t="shared" si="18"/>
        <v>1</v>
      </c>
      <c r="CK84" s="84">
        <f t="shared" si="19"/>
        <v>1</v>
      </c>
      <c r="CL84" s="84">
        <f t="shared" si="20"/>
        <v>1</v>
      </c>
      <c r="CM84" s="84">
        <f t="shared" si="21"/>
        <v>1</v>
      </c>
    </row>
    <row r="85" spans="1:91" s="19" customFormat="1" ht="15" customHeight="1" x14ac:dyDescent="0.25">
      <c r="A85" s="5616"/>
      <c r="B85" s="5126" t="s">
        <v>77</v>
      </c>
      <c r="C85" s="5156">
        <f>SUM(C71:C84)</f>
        <v>0</v>
      </c>
      <c r="D85" s="4765">
        <f>SUM(E85:F85)</f>
        <v>0</v>
      </c>
      <c r="E85" s="1102">
        <f t="shared" ref="E85:T85" si="22">SUM(E71:E84)</f>
        <v>0</v>
      </c>
      <c r="F85" s="1102">
        <f t="shared" si="22"/>
        <v>0</v>
      </c>
      <c r="G85" s="4891">
        <f>SUM(G71:G84)</f>
        <v>0</v>
      </c>
      <c r="H85" s="1104">
        <f t="shared" si="22"/>
        <v>0</v>
      </c>
      <c r="I85" s="1102">
        <f t="shared" si="22"/>
        <v>0</v>
      </c>
      <c r="J85" s="1104">
        <f t="shared" si="22"/>
        <v>0</v>
      </c>
      <c r="K85" s="1102">
        <f t="shared" si="22"/>
        <v>0</v>
      </c>
      <c r="L85" s="1104">
        <f t="shared" si="22"/>
        <v>0</v>
      </c>
      <c r="M85" s="1102">
        <f t="shared" si="22"/>
        <v>0</v>
      </c>
      <c r="N85" s="1106">
        <f t="shared" si="22"/>
        <v>0</v>
      </c>
      <c r="O85" s="4765">
        <f t="shared" si="22"/>
        <v>0</v>
      </c>
      <c r="P85" s="1116">
        <f t="shared" si="22"/>
        <v>0</v>
      </c>
      <c r="Q85" s="1116">
        <f t="shared" si="22"/>
        <v>0</v>
      </c>
      <c r="R85" s="1116">
        <f t="shared" si="22"/>
        <v>0</v>
      </c>
      <c r="S85" s="1116">
        <f t="shared" si="22"/>
        <v>0</v>
      </c>
      <c r="T85" s="1116">
        <f t="shared" si="22"/>
        <v>0</v>
      </c>
      <c r="U85" s="5065">
        <f>SUM(U71:U84)</f>
        <v>0</v>
      </c>
    </row>
    <row r="86" spans="1:91" s="25" customFormat="1" ht="17.100000000000001" customHeight="1" x14ac:dyDescent="0.2">
      <c r="A86" s="5924"/>
      <c r="B86" s="7786" t="s">
        <v>3960</v>
      </c>
      <c r="C86" s="7786"/>
      <c r="D86" s="7786"/>
      <c r="E86" s="7786"/>
      <c r="F86" s="7786"/>
      <c r="G86" s="7786"/>
    </row>
    <row r="87" spans="1:91" s="19" customFormat="1" ht="15" customHeight="1" x14ac:dyDescent="0.2">
      <c r="A87" s="5925"/>
      <c r="B87" s="7725" t="s">
        <v>3399</v>
      </c>
      <c r="C87" s="7787" t="s">
        <v>192</v>
      </c>
      <c r="D87" s="7291" t="s">
        <v>29</v>
      </c>
      <c r="E87" s="7745"/>
      <c r="F87" s="7745"/>
      <c r="G87" s="7745"/>
      <c r="H87" s="7745"/>
      <c r="I87" s="7745"/>
      <c r="J87" s="7745"/>
      <c r="K87" s="7745"/>
      <c r="L87" s="7745"/>
      <c r="M87" s="7745"/>
      <c r="N87" s="7745"/>
      <c r="O87" s="7745"/>
      <c r="P87" s="7745"/>
      <c r="Q87" s="7745"/>
      <c r="R87" s="7745"/>
      <c r="S87" s="7745"/>
      <c r="T87" s="7727"/>
      <c r="CC87" s="83"/>
      <c r="CD87" s="83"/>
      <c r="CE87" s="83"/>
      <c r="CF87" s="83"/>
      <c r="CG87" s="83"/>
      <c r="CH87" s="83"/>
      <c r="CJ87" s="84"/>
      <c r="CK87" s="84"/>
      <c r="CL87" s="84"/>
    </row>
    <row r="88" spans="1:91" s="19" customFormat="1" ht="21" x14ac:dyDescent="0.2">
      <c r="A88" s="5925"/>
      <c r="B88" s="7178"/>
      <c r="C88" s="7788"/>
      <c r="D88" s="1286" t="s">
        <v>343</v>
      </c>
      <c r="E88" s="1213" t="s">
        <v>326</v>
      </c>
      <c r="F88" s="1213" t="s">
        <v>94</v>
      </c>
      <c r="G88" s="1213" t="s">
        <v>44</v>
      </c>
      <c r="H88" s="1213" t="s">
        <v>45</v>
      </c>
      <c r="I88" s="1213" t="s">
        <v>46</v>
      </c>
      <c r="J88" s="1213" t="s">
        <v>47</v>
      </c>
      <c r="K88" s="1213" t="s">
        <v>48</v>
      </c>
      <c r="L88" s="1213" t="s">
        <v>49</v>
      </c>
      <c r="M88" s="1213" t="s">
        <v>50</v>
      </c>
      <c r="N88" s="1213" t="s">
        <v>51</v>
      </c>
      <c r="O88" s="1213" t="s">
        <v>52</v>
      </c>
      <c r="P88" s="1213" t="s">
        <v>53</v>
      </c>
      <c r="Q88" s="1213" t="s">
        <v>54</v>
      </c>
      <c r="R88" s="1213" t="s">
        <v>55</v>
      </c>
      <c r="S88" s="1213" t="s">
        <v>56</v>
      </c>
      <c r="T88" s="1433" t="s">
        <v>57</v>
      </c>
      <c r="CC88" s="83"/>
      <c r="CD88" s="83"/>
      <c r="CE88" s="83"/>
      <c r="CF88" s="83"/>
      <c r="CG88" s="83"/>
      <c r="CH88" s="83"/>
      <c r="CJ88" s="84"/>
      <c r="CK88" s="84"/>
      <c r="CL88" s="84"/>
    </row>
    <row r="89" spans="1:91" s="19" customFormat="1" ht="15" customHeight="1" x14ac:dyDescent="0.15">
      <c r="A89" s="5609">
        <v>32101527</v>
      </c>
      <c r="B89" s="4711" t="s">
        <v>2937</v>
      </c>
      <c r="C89" s="1162" t="s">
        <v>4567</v>
      </c>
      <c r="D89" s="4581" t="s">
        <v>4568</v>
      </c>
      <c r="E89" s="5157" t="s">
        <v>4569</v>
      </c>
      <c r="F89" s="5157" t="s">
        <v>4570</v>
      </c>
      <c r="G89" s="5157" t="s">
        <v>4571</v>
      </c>
      <c r="H89" s="5157" t="s">
        <v>4572</v>
      </c>
      <c r="I89" s="5157" t="s">
        <v>4573</v>
      </c>
      <c r="J89" s="5157" t="s">
        <v>4574</v>
      </c>
      <c r="K89" s="5157" t="s">
        <v>4575</v>
      </c>
      <c r="L89" s="5157" t="s">
        <v>4576</v>
      </c>
      <c r="M89" s="5157" t="s">
        <v>4577</v>
      </c>
      <c r="N89" s="5157" t="s">
        <v>4578</v>
      </c>
      <c r="O89" s="5157" t="s">
        <v>4579</v>
      </c>
      <c r="P89" s="5157" t="s">
        <v>4580</v>
      </c>
      <c r="Q89" s="5157" t="s">
        <v>4581</v>
      </c>
      <c r="R89" s="5157" t="s">
        <v>4582</v>
      </c>
      <c r="S89" s="5157" t="s">
        <v>4583</v>
      </c>
      <c r="T89" s="4583" t="s">
        <v>4584</v>
      </c>
      <c r="CC89" s="83"/>
      <c r="CD89" s="83"/>
      <c r="CE89" s="83"/>
      <c r="CF89" s="83"/>
      <c r="CG89" s="83"/>
      <c r="CH89" s="83"/>
      <c r="CJ89" s="84"/>
      <c r="CK89" s="84"/>
      <c r="CL89" s="84"/>
    </row>
    <row r="90" spans="1:91" s="19" customFormat="1" ht="15" customHeight="1" x14ac:dyDescent="0.15">
      <c r="A90" s="5609">
        <v>32101528</v>
      </c>
      <c r="B90" s="4711" t="s">
        <v>3961</v>
      </c>
      <c r="C90" s="1162" t="s">
        <v>4567</v>
      </c>
      <c r="D90" s="4581" t="s">
        <v>4568</v>
      </c>
      <c r="E90" s="5157" t="s">
        <v>4569</v>
      </c>
      <c r="F90" s="5157" t="s">
        <v>4570</v>
      </c>
      <c r="G90" s="5157" t="s">
        <v>4571</v>
      </c>
      <c r="H90" s="5157" t="s">
        <v>4572</v>
      </c>
      <c r="I90" s="5157" t="s">
        <v>4573</v>
      </c>
      <c r="J90" s="5157" t="s">
        <v>4574</v>
      </c>
      <c r="K90" s="5157" t="s">
        <v>4575</v>
      </c>
      <c r="L90" s="5157" t="s">
        <v>4576</v>
      </c>
      <c r="M90" s="5157" t="s">
        <v>4577</v>
      </c>
      <c r="N90" s="5157" t="s">
        <v>4578</v>
      </c>
      <c r="O90" s="5157" t="s">
        <v>4579</v>
      </c>
      <c r="P90" s="5157" t="s">
        <v>4580</v>
      </c>
      <c r="Q90" s="5157" t="s">
        <v>4581</v>
      </c>
      <c r="R90" s="5157" t="s">
        <v>4582</v>
      </c>
      <c r="S90" s="5157" t="s">
        <v>4583</v>
      </c>
      <c r="T90" s="4583" t="s">
        <v>4584</v>
      </c>
      <c r="CC90" s="83"/>
      <c r="CD90" s="83"/>
      <c r="CE90" s="83"/>
      <c r="CF90" s="83"/>
      <c r="CG90" s="83"/>
      <c r="CH90" s="83"/>
      <c r="CJ90" s="84"/>
      <c r="CK90" s="84"/>
      <c r="CL90" s="84"/>
    </row>
    <row r="91" spans="1:91" s="19" customFormat="1" ht="15" customHeight="1" x14ac:dyDescent="0.15">
      <c r="A91" s="5609">
        <v>32101529</v>
      </c>
      <c r="B91" s="1670" t="s">
        <v>3882</v>
      </c>
      <c r="C91" s="3108" t="s">
        <v>4567</v>
      </c>
      <c r="D91" s="4587" t="s">
        <v>4568</v>
      </c>
      <c r="E91" s="5158" t="s">
        <v>4569</v>
      </c>
      <c r="F91" s="5158" t="s">
        <v>4570</v>
      </c>
      <c r="G91" s="5158" t="s">
        <v>4571</v>
      </c>
      <c r="H91" s="5158" t="s">
        <v>4572</v>
      </c>
      <c r="I91" s="5158" t="s">
        <v>4573</v>
      </c>
      <c r="J91" s="5158" t="s">
        <v>4574</v>
      </c>
      <c r="K91" s="5158" t="s">
        <v>4575</v>
      </c>
      <c r="L91" s="5158" t="s">
        <v>4576</v>
      </c>
      <c r="M91" s="5158" t="s">
        <v>4577</v>
      </c>
      <c r="N91" s="5158" t="s">
        <v>4578</v>
      </c>
      <c r="O91" s="5158" t="s">
        <v>4579</v>
      </c>
      <c r="P91" s="5158" t="s">
        <v>4580</v>
      </c>
      <c r="Q91" s="5158" t="s">
        <v>4581</v>
      </c>
      <c r="R91" s="5158" t="s">
        <v>4582</v>
      </c>
      <c r="S91" s="5158" t="s">
        <v>4583</v>
      </c>
      <c r="T91" s="4590" t="s">
        <v>4584</v>
      </c>
      <c r="CC91" s="83"/>
      <c r="CD91" s="83"/>
      <c r="CE91" s="83"/>
      <c r="CF91" s="83"/>
      <c r="CG91" s="83"/>
      <c r="CH91" s="83"/>
      <c r="CJ91" s="84"/>
      <c r="CK91" s="84"/>
      <c r="CL91" s="84"/>
    </row>
    <row r="130" spans="2:3" hidden="1" x14ac:dyDescent="0.25">
      <c r="B130" s="4487">
        <f>SUM(D12:D28,C32:C46,C50:C66,D71:D85,C89:C91)</f>
        <v>0</v>
      </c>
      <c r="C130" s="4488">
        <f>SUM(CJ12:CN91)</f>
        <v>120</v>
      </c>
    </row>
  </sheetData>
  <mergeCells count="69">
    <mergeCell ref="AU9:AU11"/>
    <mergeCell ref="B6:U6"/>
    <mergeCell ref="B8:K8"/>
    <mergeCell ref="B9:C11"/>
    <mergeCell ref="D9:F10"/>
    <mergeCell ref="G9:AN9"/>
    <mergeCell ref="AO9:AO11"/>
    <mergeCell ref="U10:V10"/>
    <mergeCell ref="W10:X10"/>
    <mergeCell ref="Y10:Z10"/>
    <mergeCell ref="AA10:AB10"/>
    <mergeCell ref="AM10:AN10"/>
    <mergeCell ref="AE10:AF10"/>
    <mergeCell ref="AG10:AH10"/>
    <mergeCell ref="AI10:AJ10"/>
    <mergeCell ref="AK10:AL10"/>
    <mergeCell ref="AV9:AV11"/>
    <mergeCell ref="AW9:AW11"/>
    <mergeCell ref="AX9:AX11"/>
    <mergeCell ref="G10:H10"/>
    <mergeCell ref="I10:J10"/>
    <mergeCell ref="K10:L10"/>
    <mergeCell ref="M10:N10"/>
    <mergeCell ref="O10:P10"/>
    <mergeCell ref="Q10:R10"/>
    <mergeCell ref="S10:T10"/>
    <mergeCell ref="AP9:AP11"/>
    <mergeCell ref="AQ9:AQ11"/>
    <mergeCell ref="AR9:AR11"/>
    <mergeCell ref="AS9:AS11"/>
    <mergeCell ref="AT9:AT11"/>
    <mergeCell ref="AC10:AD10"/>
    <mergeCell ref="B12:B14"/>
    <mergeCell ref="B15:B27"/>
    <mergeCell ref="B28:C28"/>
    <mergeCell ref="B29:M29"/>
    <mergeCell ref="B30:B31"/>
    <mergeCell ref="C30:C31"/>
    <mergeCell ref="D30:D31"/>
    <mergeCell ref="E30:E31"/>
    <mergeCell ref="F30:F31"/>
    <mergeCell ref="G30:AG30"/>
    <mergeCell ref="B47:N47"/>
    <mergeCell ref="B48:B49"/>
    <mergeCell ref="C48:C49"/>
    <mergeCell ref="D48:D49"/>
    <mergeCell ref="E48:E49"/>
    <mergeCell ref="F48:F49"/>
    <mergeCell ref="G48:AG48"/>
    <mergeCell ref="U68:U70"/>
    <mergeCell ref="B67:N67"/>
    <mergeCell ref="B68:B70"/>
    <mergeCell ref="C68:C70"/>
    <mergeCell ref="D68:F69"/>
    <mergeCell ref="G68:N68"/>
    <mergeCell ref="O68:O70"/>
    <mergeCell ref="G69:H69"/>
    <mergeCell ref="I69:J69"/>
    <mergeCell ref="K69:L69"/>
    <mergeCell ref="M69:N69"/>
    <mergeCell ref="B86:G86"/>
    <mergeCell ref="B87:B88"/>
    <mergeCell ref="C87:C88"/>
    <mergeCell ref="D87:T87"/>
    <mergeCell ref="P68:P70"/>
    <mergeCell ref="Q68:Q70"/>
    <mergeCell ref="R68:R70"/>
    <mergeCell ref="S68:S70"/>
    <mergeCell ref="T68:T70"/>
  </mergeCells>
  <dataValidations count="3">
    <dataValidation type="whole" operator="greaterThanOrEqual" allowBlank="1" showInputMessage="1" showErrorMessage="1" error="Valor no Permitido" sqref="G71:U84 G12:AX27 D32:AG45 C71:C84 D50:AG65 D89:T91" xr:uid="{00000000-0002-0000-1800-000000000000}">
      <formula1>0</formula1>
    </dataValidation>
    <dataValidation allowBlank="1" showInputMessage="1" showErrorMessage="1" error="Valor no Permitido" sqref="B6:U6 B8 B9:F28 G28:AX28 G9:AN11 B87:C91 D87:T88 B29 B30:C46 D46:AG46 D30:AG31 D66:AG66 D48:AG49 C48:C66 B47:B48 C68:C70 G85:U85 G68:U70 D68:F85 C85 B50:B68 B71:B86 AP9:AX11 AO9 A86:A91 A67:A70 A29:A31 A47:A49" xr:uid="{00000000-0002-0000-1800-000001000000}"/>
    <dataValidation operator="greaterThanOrEqual" allowBlank="1" showInputMessage="1" showErrorMessage="1" error="Valor no Permitido" sqref="A12:A28 A32:A45 A50:A65 A71:A84" xr:uid="{08FB928F-AA8C-431F-953A-32D0EE0EC9B6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T268"/>
  <sheetViews>
    <sheetView showGridLines="0" zoomScaleNormal="100" workbookViewId="0"/>
  </sheetViews>
  <sheetFormatPr baseColWidth="10" defaultColWidth="11.42578125" defaultRowHeight="15" x14ac:dyDescent="0.25"/>
  <cols>
    <col min="1" max="1" width="20.42578125" style="1937" customWidth="1"/>
    <col min="2" max="2" width="67.28515625" style="1937" customWidth="1"/>
    <col min="3" max="3" width="25.42578125" style="1937" customWidth="1"/>
    <col min="4" max="4" width="16" style="1937" customWidth="1"/>
    <col min="5" max="5" width="14.5703125" style="1937" customWidth="1"/>
    <col min="6" max="6" width="14.42578125" style="1937" bestFit="1" customWidth="1"/>
    <col min="7" max="7" width="12.7109375" style="1937" customWidth="1"/>
    <col min="8" max="8" width="12.140625" style="1937" customWidth="1"/>
    <col min="9" max="10" width="11.42578125" style="1937"/>
    <col min="11" max="11" width="12.85546875" style="1937" customWidth="1"/>
    <col min="12" max="13" width="11.42578125" style="1937"/>
    <col min="14" max="14" width="12.85546875" style="1937" customWidth="1"/>
    <col min="15" max="15" width="12.7109375" style="1937" customWidth="1"/>
    <col min="16" max="16" width="11.42578125" style="1937"/>
    <col min="17" max="17" width="12.28515625" style="1937" customWidth="1"/>
    <col min="18" max="18" width="14.7109375" style="1937" customWidth="1"/>
    <col min="19" max="19" width="14" style="1937" customWidth="1"/>
    <col min="20" max="20" width="14.5703125" style="1937" customWidth="1"/>
    <col min="21" max="21" width="13.140625" style="1937" customWidth="1"/>
    <col min="22" max="22" width="12.85546875" style="1937" customWidth="1"/>
    <col min="23" max="27" width="12.5703125" style="1937" customWidth="1"/>
    <col min="28" max="39" width="11.42578125" style="1937"/>
    <col min="40" max="40" width="20.7109375" style="1937" customWidth="1"/>
    <col min="41" max="41" width="17.140625" style="1937" customWidth="1"/>
    <col min="42" max="43" width="11.42578125" style="1937"/>
    <col min="44" max="44" width="12" style="1937" customWidth="1"/>
    <col min="45" max="45" width="11.42578125" style="1937"/>
    <col min="46" max="46" width="12.140625" style="1937" customWidth="1"/>
    <col min="47" max="47" width="21.28515625" style="1937" customWidth="1"/>
    <col min="48" max="76" width="11.42578125" style="1937"/>
    <col min="77" max="79" width="0" style="1937" hidden="1" customWidth="1"/>
    <col min="80" max="95" width="11.42578125" style="1937" hidden="1" customWidth="1"/>
    <col min="96" max="97" width="11.5703125" style="1937" hidden="1" customWidth="1"/>
    <col min="98" max="98" width="11.42578125" style="1937" hidden="1" customWidth="1"/>
    <col min="99" max="16384" width="11.42578125" style="1937"/>
  </cols>
  <sheetData>
    <row r="1" spans="1:95" x14ac:dyDescent="0.15">
      <c r="B1" s="50" t="s">
        <v>23</v>
      </c>
    </row>
    <row r="2" spans="1:95" x14ac:dyDescent="0.15">
      <c r="B2" s="50" t="str">
        <f>CONCATENATE("COMUNA: ",NOMBRE!B2, " (",NOMBRE!C2,NOMBRE!D2,NOMBRE!E2,NOMBRE!F2,NOMBRE!G2,")")</f>
        <v>COMUNA:  ()</v>
      </c>
    </row>
    <row r="3" spans="1:95" x14ac:dyDescent="0.15">
      <c r="B3" s="50" t="str">
        <f>CONCATENATE("ESTABLECIMIENTO/ESTRATEGIA: ", NOMBRE!B3, " (",NOMBRE!C3,NOMBRE!D3,NOMBRE!E3,NOMBRE!F3,NOMBRE!G3,NOMBRE!H3,")")</f>
        <v>ESTABLECIMIENTO/ESTRATEGIA:  ()</v>
      </c>
    </row>
    <row r="4" spans="1:95" x14ac:dyDescent="0.15">
      <c r="B4" s="50" t="str">
        <f>CONCATENATE("MES: ",NOMBRE!B6, " (",NOMBRE!C6,NOMBRE!D6,")")</f>
        <v>MES:  ()</v>
      </c>
    </row>
    <row r="5" spans="1:95" x14ac:dyDescent="0.25">
      <c r="B5" s="4889" t="str">
        <f>CONCATENATE("AÑO: ",NOMBRE!B7)</f>
        <v>AÑO: 2025</v>
      </c>
    </row>
    <row r="6" spans="1:95" ht="18" customHeight="1" x14ac:dyDescent="0.25">
      <c r="B6" s="6383" t="s">
        <v>3962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  <c r="R6" s="6383"/>
      <c r="S6" s="6383"/>
      <c r="T6" s="6383"/>
    </row>
    <row r="8" spans="1:95" s="160" customFormat="1" ht="18" customHeight="1" x14ac:dyDescent="0.25">
      <c r="B8" s="7881" t="s">
        <v>3963</v>
      </c>
      <c r="C8" s="7840"/>
      <c r="D8" s="7840"/>
    </row>
    <row r="9" spans="1:95" s="161" customFormat="1" ht="15" customHeight="1" x14ac:dyDescent="0.25">
      <c r="B9" s="7882" t="s">
        <v>27</v>
      </c>
      <c r="C9" s="7871" t="s">
        <v>77</v>
      </c>
      <c r="D9" s="7883" t="s">
        <v>29</v>
      </c>
      <c r="E9" s="7884"/>
      <c r="F9" s="7884"/>
      <c r="G9" s="7884"/>
      <c r="H9" s="7884"/>
      <c r="I9" s="7884"/>
      <c r="J9" s="7884"/>
      <c r="K9" s="7884"/>
      <c r="L9" s="7884"/>
      <c r="M9" s="7884"/>
      <c r="N9" s="7884"/>
      <c r="O9" s="7884"/>
      <c r="P9" s="7884"/>
      <c r="Q9" s="7884"/>
      <c r="R9" s="7884"/>
      <c r="S9" s="7884"/>
      <c r="T9" s="7885"/>
      <c r="U9" s="7865" t="s">
        <v>3964</v>
      </c>
      <c r="V9" s="7866"/>
      <c r="W9" s="7725" t="s">
        <v>1575</v>
      </c>
      <c r="X9" s="7725" t="s">
        <v>1576</v>
      </c>
      <c r="Y9" s="6786" t="s">
        <v>36</v>
      </c>
      <c r="Z9" s="7838" t="s">
        <v>37</v>
      </c>
      <c r="AA9" s="7838" t="s">
        <v>3965</v>
      </c>
    </row>
    <row r="10" spans="1:95" s="161" customFormat="1" ht="39" customHeight="1" x14ac:dyDescent="0.25">
      <c r="B10" s="7882"/>
      <c r="C10" s="7873"/>
      <c r="D10" s="1286" t="s">
        <v>343</v>
      </c>
      <c r="E10" s="1213" t="s">
        <v>326</v>
      </c>
      <c r="F10" s="1110" t="s">
        <v>43</v>
      </c>
      <c r="G10" s="1213" t="s">
        <v>44</v>
      </c>
      <c r="H10" s="982" t="s">
        <v>45</v>
      </c>
      <c r="I10" s="982" t="s">
        <v>46</v>
      </c>
      <c r="J10" s="982" t="s">
        <v>47</v>
      </c>
      <c r="K10" s="982" t="s">
        <v>48</v>
      </c>
      <c r="L10" s="982" t="s">
        <v>49</v>
      </c>
      <c r="M10" s="982" t="s">
        <v>50</v>
      </c>
      <c r="N10" s="982" t="s">
        <v>51</v>
      </c>
      <c r="O10" s="982" t="s">
        <v>52</v>
      </c>
      <c r="P10" s="982" t="s">
        <v>53</v>
      </c>
      <c r="Q10" s="982" t="s">
        <v>54</v>
      </c>
      <c r="R10" s="982" t="s">
        <v>55</v>
      </c>
      <c r="S10" s="982" t="s">
        <v>56</v>
      </c>
      <c r="T10" s="1178" t="s">
        <v>57</v>
      </c>
      <c r="U10" s="1463" t="s">
        <v>58</v>
      </c>
      <c r="V10" s="1464" t="s">
        <v>59</v>
      </c>
      <c r="W10" s="7178"/>
      <c r="X10" s="7178"/>
      <c r="Y10" s="6955"/>
      <c r="Z10" s="6739"/>
      <c r="AA10" s="6739"/>
    </row>
    <row r="11" spans="1:95" s="161" customFormat="1" ht="15" customHeight="1" x14ac:dyDescent="0.15">
      <c r="A11" s="5601">
        <v>32100100</v>
      </c>
      <c r="B11" s="1465" t="s">
        <v>64</v>
      </c>
      <c r="C11" s="405" t="s">
        <v>4567</v>
      </c>
      <c r="D11" s="1466" t="s">
        <v>4568</v>
      </c>
      <c r="E11" s="1467" t="s">
        <v>4569</v>
      </c>
      <c r="F11" s="1468" t="s">
        <v>4570</v>
      </c>
      <c r="G11" s="1469" t="s">
        <v>4571</v>
      </c>
      <c r="H11" s="1469" t="s">
        <v>4572</v>
      </c>
      <c r="I11" s="1469" t="s">
        <v>4573</v>
      </c>
      <c r="J11" s="1469" t="s">
        <v>4574</v>
      </c>
      <c r="K11" s="1469" t="s">
        <v>4575</v>
      </c>
      <c r="L11" s="1469" t="s">
        <v>4576</v>
      </c>
      <c r="M11" s="1469" t="s">
        <v>4577</v>
      </c>
      <c r="N11" s="1469" t="s">
        <v>4578</v>
      </c>
      <c r="O11" s="1469" t="s">
        <v>4579</v>
      </c>
      <c r="P11" s="1469" t="s">
        <v>4580</v>
      </c>
      <c r="Q11" s="1469" t="s">
        <v>4581</v>
      </c>
      <c r="R11" s="1469" t="s">
        <v>4582</v>
      </c>
      <c r="S11" s="1469" t="s">
        <v>4583</v>
      </c>
      <c r="T11" s="1470" t="s">
        <v>4584</v>
      </c>
      <c r="U11" s="1471" t="s">
        <v>4585</v>
      </c>
      <c r="V11" s="1472" t="s">
        <v>4586</v>
      </c>
      <c r="W11" s="219" t="s">
        <v>4587</v>
      </c>
      <c r="X11" s="219" t="s">
        <v>4588</v>
      </c>
      <c r="Y11" s="1473" t="s">
        <v>4589</v>
      </c>
      <c r="Z11" s="1473" t="s">
        <v>4590</v>
      </c>
      <c r="AA11" s="1473" t="s">
        <v>4591</v>
      </c>
      <c r="AB11" s="161" t="e">
        <f>CB11&amp;CC11&amp;CD11&amp;CE11&amp;CF11&amp;CG11</f>
        <v>#VALUE!</v>
      </c>
      <c r="CB11" s="162" t="e">
        <f>IF((U11+V11)&lt;&gt;C11," * El desglose por Sexo No puede ser distinto al Total.","")</f>
        <v>#VALUE!</v>
      </c>
      <c r="CC11" s="162" t="str">
        <f>IF(AND(C11&gt;0,W11="")," * No olvide digitar Niños, niñas, adolescentes y jóvenes en Serv. Nac. Reinserción Social Juvenil. Digite cero si no tiene.",IF(W11&gt;C11," * La variable Niños, Niñas, adolescentes y jóvenes en Serv. Nac. Reinserción Social Juvenil no puede ser mayor al Total.",""))</f>
        <v xml:space="preserve"> * La variable Niños, Niñas, adolescentes y jóvenes en Serv. Nac. Reinserción Social Juvenil no puede ser mayor al Total.</v>
      </c>
      <c r="CD11" s="162" t="str">
        <f>IF(AND(C11&gt;0,X11="")," * No olvide digitar Niños, niñas, adolescentes y Jóvenes en Serv. Nac. Protección Especializada a la Niñez y Adolescencia. Digite cero si no tiene.",IF(X11&gt;C11," * La variable Niños, Niñas, adolescentes y jóvenes enServ. Nac. Protección Especializada a la Niñez y Adolescencia no puede ser mayor al Total.",""))</f>
        <v xml:space="preserve"> * La variable Niños, Niñas, adolescentes y jóvenes enServ. Nac. Protección Especializada a la Niñez y Adolescencia no puede ser mayor al Total.</v>
      </c>
      <c r="CE11" s="162" t="str">
        <f>IF(AND(C11&gt;0,Y11="")," * No olvide digitar Pueblos Originarios. Digite cero si no tiene.",IF(Y11&gt;C11," * La variable Pueblos Originarios no puede ser mayor al Total.",""))</f>
        <v xml:space="preserve"> * La variable Pueblos Originarios no puede ser mayor al Total.</v>
      </c>
      <c r="CF11" s="162" t="str">
        <f>IF(AND(C11&gt;0,Z11="")," * No olvide digitar Migrantes. Digite cero si no tiene.",IF(Z11&gt;C11," * La variable Migrantes no puede ser mayor al Total.",""))</f>
        <v xml:space="preserve"> * La variable Migrantes no puede ser mayor al Total.</v>
      </c>
      <c r="CG11" s="162" t="str">
        <f>IF(AND(C11&gt;0,AA11="")," * No olvide digitar Espacios amigables/Adolescentes. Digite cero si no tiene.",IF(AA11&gt;C11," * La variable Espacios amigables/Adolescentes no puede ser mayor al Total.",""))</f>
        <v xml:space="preserve"> * La variable Espacios amigables/Adolescentes no puede ser mayor al Total.</v>
      </c>
      <c r="CL11" s="163" t="e">
        <f>IF((U11+V11)&lt;&gt;C11,1,0)</f>
        <v>#VALUE!</v>
      </c>
      <c r="CM11" s="163">
        <f>IF(AND(C11&gt;0,W11=""),1,IF(W11&gt;C11,1,0))</f>
        <v>1</v>
      </c>
      <c r="CN11" s="163">
        <f>IF(AND(C11&gt;0,X11=""),1,IF(X11&gt;C11,1,0))</f>
        <v>1</v>
      </c>
      <c r="CO11" s="163">
        <f>IF(AND(C11&gt;0,Y11=""),1,IF(Y11&gt;C11,1,0))</f>
        <v>1</v>
      </c>
      <c r="CP11" s="163">
        <f>IF(AND(C11&gt;0,Z11=""),1,IF(Z11&gt;C11,1,0))</f>
        <v>1</v>
      </c>
      <c r="CQ11" s="163">
        <f>IF(AND(C11&gt;0,AA11=""),1,IF(AA11&gt;C11,1,0))</f>
        <v>1</v>
      </c>
    </row>
    <row r="12" spans="1:95" s="161" customFormat="1" ht="15" customHeight="1" x14ac:dyDescent="0.15">
      <c r="A12" s="5601">
        <v>32100110</v>
      </c>
      <c r="B12" s="1465" t="s">
        <v>98</v>
      </c>
      <c r="C12" s="405" t="s">
        <v>4567</v>
      </c>
      <c r="D12" s="1466" t="s">
        <v>4568</v>
      </c>
      <c r="E12" s="1467" t="s">
        <v>4569</v>
      </c>
      <c r="F12" s="1474" t="s">
        <v>4570</v>
      </c>
      <c r="G12" s="1467" t="s">
        <v>4571</v>
      </c>
      <c r="H12" s="1467" t="s">
        <v>4572</v>
      </c>
      <c r="I12" s="1467" t="s">
        <v>4573</v>
      </c>
      <c r="J12" s="1467" t="s">
        <v>4574</v>
      </c>
      <c r="K12" s="1467" t="s">
        <v>4575</v>
      </c>
      <c r="L12" s="1467" t="s">
        <v>4576</v>
      </c>
      <c r="M12" s="1467" t="s">
        <v>4577</v>
      </c>
      <c r="N12" s="1467" t="s">
        <v>4578</v>
      </c>
      <c r="O12" s="1467" t="s">
        <v>4579</v>
      </c>
      <c r="P12" s="1467" t="s">
        <v>4580</v>
      </c>
      <c r="Q12" s="1467" t="s">
        <v>4581</v>
      </c>
      <c r="R12" s="1467" t="s">
        <v>4582</v>
      </c>
      <c r="S12" s="1467" t="s">
        <v>4583</v>
      </c>
      <c r="T12" s="1475" t="s">
        <v>4584</v>
      </c>
      <c r="U12" s="1476" t="s">
        <v>4585</v>
      </c>
      <c r="V12" s="1477" t="s">
        <v>4586</v>
      </c>
      <c r="W12" s="1478" t="s">
        <v>4587</v>
      </c>
      <c r="X12" s="1478" t="s">
        <v>4588</v>
      </c>
      <c r="Y12" s="1478" t="s">
        <v>4589</v>
      </c>
      <c r="Z12" s="1478" t="s">
        <v>4590</v>
      </c>
      <c r="AA12" s="1478" t="s">
        <v>4591</v>
      </c>
      <c r="AB12" s="161" t="e">
        <f t="shared" ref="AB12:AB14" si="0">CB12&amp;CC12&amp;CD12&amp;CE12&amp;CF12&amp;CG12</f>
        <v>#VALUE!</v>
      </c>
      <c r="CB12" s="162" t="e">
        <f t="shared" ref="CB12:CB15" si="1">IF((U12+V12)&lt;&gt;C12," * El desglose por Sexo No puede ser distinto al Total.","")</f>
        <v>#VALUE!</v>
      </c>
      <c r="CC12" s="162" t="str">
        <f t="shared" ref="CC12:CC15" si="2">IF(AND(C12&gt;0,W12="")," * No olvide digitar Niños, niñas, adolescentes y jóvenes en Serv. Nac. Reinserción Social Juvenil. Digite cero si no tiene.",IF(W12&gt;C12," * La variable Niños, Niñas, adolescentes y jóvenes en Serv. Nac. Reinserción Social Juvenil no puede ser mayor al Total.",""))</f>
        <v xml:space="preserve"> * La variable Niños, Niñas, adolescentes y jóvenes en Serv. Nac. Reinserción Social Juvenil no puede ser mayor al Total.</v>
      </c>
      <c r="CD12" s="162" t="str">
        <f t="shared" ref="CD12:CD15" si="3">IF(AND(C12&gt;0,X12="")," * No olvide digitar Niños, niñas, adolescentes y Jóvenes en Serv. Nac. Protección Especializada a la Niñez y Adolescencia. Digite cero si no tiene.",IF(X12&gt;C12," * La variable Niños, Niñas, adolescentes y jóvenes enServ. Nac. Protección Especializada a la Niñez y Adolescencia no puede ser mayor al Total.",""))</f>
        <v xml:space="preserve"> * La variable Niños, Niñas, adolescentes y jóvenes enServ. Nac. Protección Especializada a la Niñez y Adolescencia no puede ser mayor al Total.</v>
      </c>
      <c r="CE12" s="162" t="str">
        <f t="shared" ref="CE12:CE15" si="4">IF(AND(C12&gt;0,Y12="")," * No olvide digitar Pueblos Originarios. Digite cero si no tiene.",IF(Y12&gt;C12," * La variable Pueblos Originarios no puede ser mayor al Total.",""))</f>
        <v xml:space="preserve"> * La variable Pueblos Originarios no puede ser mayor al Total.</v>
      </c>
      <c r="CF12" s="162" t="str">
        <f t="shared" ref="CF12:CF15" si="5">IF(AND(C12&gt;0,Z12="")," * No olvide digitar Migrantes. Digite cero si no tiene.",IF(Z12&gt;C12," * La variable Migrantes no puede ser mayor al Total.",""))</f>
        <v xml:space="preserve"> * La variable Migrantes no puede ser mayor al Total.</v>
      </c>
      <c r="CG12" s="162" t="str">
        <f t="shared" ref="CG12:CG15" si="6">IF(AND(C12&gt;0,AA12="")," * No olvide digitar Espacios amigables/Adolescentes. Digite cero si no tiene.",IF(AA12&gt;C12," * La variable Espacios amigables/Adolescentes no puede ser mayor al Total.",""))</f>
        <v xml:space="preserve"> * La variable Espacios amigables/Adolescentes no puede ser mayor al Total.</v>
      </c>
      <c r="CL12" s="163" t="e">
        <f>IF((U12+V12)&lt;&gt;C12,1,0)</f>
        <v>#VALUE!</v>
      </c>
      <c r="CM12" s="163">
        <f>IF(AND(C12&gt;0,W12=""),1,IF(W12&gt;C12,1,0))</f>
        <v>1</v>
      </c>
      <c r="CN12" s="163">
        <f>IF(AND(C12&gt;0,X12=""),1,IF(X12&gt;C12,1,0))</f>
        <v>1</v>
      </c>
      <c r="CO12" s="163">
        <f>IF(AND(C12&gt;0,Y12=""),1,IF(Y12&gt;C12,1,0))</f>
        <v>1</v>
      </c>
      <c r="CP12" s="163">
        <f>IF(AND(C12&gt;0,Z12=""),1,IF(Z12&gt;C12,1,0))</f>
        <v>1</v>
      </c>
      <c r="CQ12" s="163">
        <f>IF(AND(C12&gt;0,AA12=""),1,IF(AA12&gt;C12,1,0))</f>
        <v>1</v>
      </c>
    </row>
    <row r="13" spans="1:95" s="161" customFormat="1" ht="15" customHeight="1" x14ac:dyDescent="0.15">
      <c r="A13" s="5601">
        <v>32101530</v>
      </c>
      <c r="B13" s="1465" t="s">
        <v>2745</v>
      </c>
      <c r="C13" s="405" t="s">
        <v>4567</v>
      </c>
      <c r="D13" s="1479" t="s">
        <v>4568</v>
      </c>
      <c r="E13" s="1480" t="s">
        <v>4569</v>
      </c>
      <c r="F13" s="1474" t="s">
        <v>4570</v>
      </c>
      <c r="G13" s="1467" t="s">
        <v>4571</v>
      </c>
      <c r="H13" s="1467" t="s">
        <v>4572</v>
      </c>
      <c r="I13" s="1467" t="s">
        <v>4573</v>
      </c>
      <c r="J13" s="1467" t="s">
        <v>4574</v>
      </c>
      <c r="K13" s="1467" t="s">
        <v>4575</v>
      </c>
      <c r="L13" s="1467" t="s">
        <v>4576</v>
      </c>
      <c r="M13" s="1467" t="s">
        <v>4577</v>
      </c>
      <c r="N13" s="1467" t="s">
        <v>4578</v>
      </c>
      <c r="O13" s="1467" t="s">
        <v>4579</v>
      </c>
      <c r="P13" s="1467" t="s">
        <v>4580</v>
      </c>
      <c r="Q13" s="1467" t="s">
        <v>4581</v>
      </c>
      <c r="R13" s="1467" t="s">
        <v>4582</v>
      </c>
      <c r="S13" s="1467" t="s">
        <v>4583</v>
      </c>
      <c r="T13" s="1475" t="s">
        <v>4584</v>
      </c>
      <c r="U13" s="1476" t="s">
        <v>4585</v>
      </c>
      <c r="V13" s="1477" t="s">
        <v>4586</v>
      </c>
      <c r="W13" s="1478" t="s">
        <v>4587</v>
      </c>
      <c r="X13" s="1478" t="s">
        <v>4588</v>
      </c>
      <c r="Y13" s="1478" t="s">
        <v>4589</v>
      </c>
      <c r="Z13" s="1478" t="s">
        <v>4590</v>
      </c>
      <c r="AA13" s="1478" t="s">
        <v>4591</v>
      </c>
      <c r="AB13" s="161" t="e">
        <f t="shared" si="0"/>
        <v>#VALUE!</v>
      </c>
      <c r="AE13" s="160"/>
      <c r="AF13" s="160"/>
      <c r="AG13" s="160"/>
      <c r="CB13" s="162" t="e">
        <f t="shared" si="1"/>
        <v>#VALUE!</v>
      </c>
      <c r="CC13" s="162" t="str">
        <f t="shared" si="2"/>
        <v xml:space="preserve"> * La variable Niños, Niñas, adolescentes y jóvenes en Serv. Nac. Reinserción Social Juvenil no puede ser mayor al Total.</v>
      </c>
      <c r="CD13" s="162" t="str">
        <f t="shared" si="3"/>
        <v xml:space="preserve"> * La variable Niños, Niñas, adolescentes y jóvenes enServ. Nac. Protección Especializada a la Niñez y Adolescencia no puede ser mayor al Total.</v>
      </c>
      <c r="CE13" s="162" t="str">
        <f t="shared" si="4"/>
        <v xml:space="preserve"> * La variable Pueblos Originarios no puede ser mayor al Total.</v>
      </c>
      <c r="CF13" s="162" t="str">
        <f t="shared" si="5"/>
        <v xml:space="preserve"> * La variable Migrantes no puede ser mayor al Total.</v>
      </c>
      <c r="CG13" s="162" t="str">
        <f t="shared" si="6"/>
        <v xml:space="preserve"> * La variable Espacios amigables/Adolescentes no puede ser mayor al Total.</v>
      </c>
      <c r="CL13" s="163" t="e">
        <f>IF((U13+V13)&lt;&gt;C13,1,0)</f>
        <v>#VALUE!</v>
      </c>
      <c r="CM13" s="163">
        <f>IF(AND(C13&gt;0,W13=""),1,IF(W13&gt;C13,1,0))</f>
        <v>1</v>
      </c>
      <c r="CN13" s="163">
        <f>IF(AND(C13&gt;0,X13=""),1,IF(X13&gt;C13,1,0))</f>
        <v>1</v>
      </c>
      <c r="CO13" s="163">
        <f>IF(AND(C13&gt;0,Y13=""),1,IF(Y13&gt;C13,1,0))</f>
        <v>1</v>
      </c>
      <c r="CP13" s="163">
        <f>IF(AND(C13&gt;0,Z13=""),1,IF(Z13&gt;C13,1,0))</f>
        <v>1</v>
      </c>
      <c r="CQ13" s="163">
        <f>IF(AND(C13&gt;0,AA13=""),1,IF(AA13&gt;C13,1,0))</f>
        <v>1</v>
      </c>
    </row>
    <row r="14" spans="1:95" s="161" customFormat="1" ht="15" customHeight="1" x14ac:dyDescent="0.15">
      <c r="A14" s="5601">
        <v>32101531</v>
      </c>
      <c r="B14" s="1465" t="s">
        <v>105</v>
      </c>
      <c r="C14" s="405" t="s">
        <v>4567</v>
      </c>
      <c r="D14" s="1466" t="s">
        <v>4568</v>
      </c>
      <c r="E14" s="1467" t="s">
        <v>4569</v>
      </c>
      <c r="F14" s="1474" t="s">
        <v>4570</v>
      </c>
      <c r="G14" s="1467" t="s">
        <v>4571</v>
      </c>
      <c r="H14" s="1467" t="s">
        <v>4572</v>
      </c>
      <c r="I14" s="1467" t="s">
        <v>4573</v>
      </c>
      <c r="J14" s="1467" t="s">
        <v>4574</v>
      </c>
      <c r="K14" s="1467" t="s">
        <v>4575</v>
      </c>
      <c r="L14" s="1467" t="s">
        <v>4576</v>
      </c>
      <c r="M14" s="1467" t="s">
        <v>4577</v>
      </c>
      <c r="N14" s="1467" t="s">
        <v>4578</v>
      </c>
      <c r="O14" s="1467" t="s">
        <v>4579</v>
      </c>
      <c r="P14" s="1467" t="s">
        <v>4580</v>
      </c>
      <c r="Q14" s="1467" t="s">
        <v>4581</v>
      </c>
      <c r="R14" s="1467" t="s">
        <v>4582</v>
      </c>
      <c r="S14" s="1467" t="s">
        <v>4583</v>
      </c>
      <c r="T14" s="1475" t="s">
        <v>4584</v>
      </c>
      <c r="U14" s="1476" t="s">
        <v>4585</v>
      </c>
      <c r="V14" s="1477" t="s">
        <v>4586</v>
      </c>
      <c r="W14" s="1478" t="s">
        <v>4587</v>
      </c>
      <c r="X14" s="1478" t="s">
        <v>4588</v>
      </c>
      <c r="Y14" s="1478" t="s">
        <v>4589</v>
      </c>
      <c r="Z14" s="1478" t="s">
        <v>4590</v>
      </c>
      <c r="AA14" s="1478" t="s">
        <v>4591</v>
      </c>
      <c r="AB14" s="161" t="e">
        <f t="shared" si="0"/>
        <v>#VALUE!</v>
      </c>
      <c r="CB14" s="162" t="e">
        <f t="shared" si="1"/>
        <v>#VALUE!</v>
      </c>
      <c r="CC14" s="162" t="str">
        <f t="shared" si="2"/>
        <v xml:space="preserve"> * La variable Niños, Niñas, adolescentes y jóvenes en Serv. Nac. Reinserción Social Juvenil no puede ser mayor al Total.</v>
      </c>
      <c r="CD14" s="162" t="str">
        <f t="shared" si="3"/>
        <v xml:space="preserve"> * La variable Niños, Niñas, adolescentes y jóvenes enServ. Nac. Protección Especializada a la Niñez y Adolescencia no puede ser mayor al Total.</v>
      </c>
      <c r="CE14" s="162" t="str">
        <f t="shared" si="4"/>
        <v xml:space="preserve"> * La variable Pueblos Originarios no puede ser mayor al Total.</v>
      </c>
      <c r="CF14" s="162" t="str">
        <f t="shared" si="5"/>
        <v xml:space="preserve"> * La variable Migrantes no puede ser mayor al Total.</v>
      </c>
      <c r="CG14" s="162" t="str">
        <f t="shared" si="6"/>
        <v xml:space="preserve"> * La variable Espacios amigables/Adolescentes no puede ser mayor al Total.</v>
      </c>
      <c r="CL14" s="163" t="e">
        <f>IF((U14+V14)&lt;&gt;C14,1,0)</f>
        <v>#VALUE!</v>
      </c>
      <c r="CM14" s="163">
        <f>IF(AND(C14&gt;0,W14=""),1,IF(W14&gt;C14,1,0))</f>
        <v>1</v>
      </c>
      <c r="CN14" s="163">
        <f>IF(AND(C14&gt;0,X14=""),1,IF(X14&gt;C14,1,0))</f>
        <v>1</v>
      </c>
      <c r="CO14" s="163">
        <f>IF(AND(C14&gt;0,Y14=""),1,IF(Y14&gt;C14,1,0))</f>
        <v>1</v>
      </c>
      <c r="CP14" s="163">
        <f>IF(AND(C14&gt;0,Z14=""),1,IF(Z14&gt;C14,1,0))</f>
        <v>1</v>
      </c>
      <c r="CQ14" s="163">
        <f>IF(AND(C14&gt;0,AA14=""),1,IF(AA14&gt;C14,1,0))</f>
        <v>1</v>
      </c>
    </row>
    <row r="15" spans="1:95" s="161" customFormat="1" ht="15" customHeight="1" x14ac:dyDescent="0.15">
      <c r="A15" s="5601">
        <v>32100150</v>
      </c>
      <c r="B15" s="1465" t="s">
        <v>1075</v>
      </c>
      <c r="C15" s="405" t="s">
        <v>4567</v>
      </c>
      <c r="D15" s="1466" t="s">
        <v>4568</v>
      </c>
      <c r="E15" s="1467" t="s">
        <v>4569</v>
      </c>
      <c r="F15" s="1474" t="s">
        <v>4570</v>
      </c>
      <c r="G15" s="1467" t="s">
        <v>4571</v>
      </c>
      <c r="H15" s="1467" t="s">
        <v>4572</v>
      </c>
      <c r="I15" s="1467" t="s">
        <v>4573</v>
      </c>
      <c r="J15" s="1467" t="s">
        <v>4574</v>
      </c>
      <c r="K15" s="1467" t="s">
        <v>4575</v>
      </c>
      <c r="L15" s="1467" t="s">
        <v>4576</v>
      </c>
      <c r="M15" s="1467" t="s">
        <v>4577</v>
      </c>
      <c r="N15" s="1467" t="s">
        <v>4578</v>
      </c>
      <c r="O15" s="1467" t="s">
        <v>4579</v>
      </c>
      <c r="P15" s="1467" t="s">
        <v>4580</v>
      </c>
      <c r="Q15" s="1467" t="s">
        <v>4581</v>
      </c>
      <c r="R15" s="1467" t="s">
        <v>4582</v>
      </c>
      <c r="S15" s="1467" t="s">
        <v>4583</v>
      </c>
      <c r="T15" s="1475" t="s">
        <v>4584</v>
      </c>
      <c r="U15" s="1476" t="s">
        <v>4585</v>
      </c>
      <c r="V15" s="1477" t="s">
        <v>4586</v>
      </c>
      <c r="W15" s="1478" t="s">
        <v>4587</v>
      </c>
      <c r="X15" s="1478" t="s">
        <v>4588</v>
      </c>
      <c r="Y15" s="1478" t="s">
        <v>4589</v>
      </c>
      <c r="Z15" s="1478" t="s">
        <v>4590</v>
      </c>
      <c r="AA15" s="1478" t="s">
        <v>4591</v>
      </c>
      <c r="AB15" s="161" t="e">
        <f>CB15&amp;CC15&amp;CD15&amp;CE15&amp;CF15&amp;CG15</f>
        <v>#VALUE!</v>
      </c>
      <c r="AE15" s="160"/>
      <c r="AF15" s="160"/>
      <c r="AG15" s="160"/>
      <c r="CB15" s="162" t="e">
        <f t="shared" si="1"/>
        <v>#VALUE!</v>
      </c>
      <c r="CC15" s="162" t="str">
        <f t="shared" si="2"/>
        <v xml:space="preserve"> * La variable Niños, Niñas, adolescentes y jóvenes en Serv. Nac. Reinserción Social Juvenil no puede ser mayor al Total.</v>
      </c>
      <c r="CD15" s="162" t="str">
        <f t="shared" si="3"/>
        <v xml:space="preserve"> * La variable Niños, Niñas, adolescentes y jóvenes enServ. Nac. Protección Especializada a la Niñez y Adolescencia no puede ser mayor al Total.</v>
      </c>
      <c r="CE15" s="162" t="str">
        <f t="shared" si="4"/>
        <v xml:space="preserve"> * La variable Pueblos Originarios no puede ser mayor al Total.</v>
      </c>
      <c r="CF15" s="162" t="str">
        <f t="shared" si="5"/>
        <v xml:space="preserve"> * La variable Migrantes no puede ser mayor al Total.</v>
      </c>
      <c r="CG15" s="162" t="str">
        <f t="shared" si="6"/>
        <v xml:space="preserve"> * La variable Espacios amigables/Adolescentes no puede ser mayor al Total.</v>
      </c>
      <c r="CL15" s="163" t="e">
        <f>IF((U15+V15)&lt;&gt;C15,1,0)</f>
        <v>#VALUE!</v>
      </c>
      <c r="CM15" s="163">
        <f>IF(AND(C15&gt;0,W15=""),1,IF(W15&gt;C15,1,0))</f>
        <v>1</v>
      </c>
      <c r="CN15" s="163">
        <f>IF(AND(C15&gt;0,X15=""),1,IF(X15&gt;C15,1,0))</f>
        <v>1</v>
      </c>
      <c r="CO15" s="163">
        <f>IF(AND(C15&gt;0,Y15=""),1,IF(Y15&gt;C15,1,0))</f>
        <v>1</v>
      </c>
      <c r="CP15" s="163">
        <f>IF(AND(C15&gt;0,Z15=""),1,IF(Z15&gt;C15,1,0))</f>
        <v>1</v>
      </c>
      <c r="CQ15" s="163">
        <f>IF(AND(C15&gt;0,AA15=""),1,IF(AA15&gt;C15,1,0))</f>
        <v>1</v>
      </c>
    </row>
    <row r="16" spans="1:95" s="161" customFormat="1" ht="15" customHeight="1" x14ac:dyDescent="0.25">
      <c r="B16" s="1481" t="s">
        <v>192</v>
      </c>
      <c r="C16" s="1482">
        <f>SUM(D16:T16)</f>
        <v>0</v>
      </c>
      <c r="D16" s="1483">
        <f t="shared" ref="D16:AA16" si="7">SUM(D11:D15)</f>
        <v>0</v>
      </c>
      <c r="E16" s="1484">
        <f t="shared" si="7"/>
        <v>0</v>
      </c>
      <c r="F16" s="1484">
        <f t="shared" si="7"/>
        <v>0</v>
      </c>
      <c r="G16" s="1485">
        <f t="shared" si="7"/>
        <v>0</v>
      </c>
      <c r="H16" s="1485">
        <f t="shared" si="7"/>
        <v>0</v>
      </c>
      <c r="I16" s="1485">
        <f t="shared" si="7"/>
        <v>0</v>
      </c>
      <c r="J16" s="1485">
        <f t="shared" si="7"/>
        <v>0</v>
      </c>
      <c r="K16" s="1485">
        <f t="shared" si="7"/>
        <v>0</v>
      </c>
      <c r="L16" s="1485">
        <f t="shared" si="7"/>
        <v>0</v>
      </c>
      <c r="M16" s="1485">
        <f t="shared" si="7"/>
        <v>0</v>
      </c>
      <c r="N16" s="1485">
        <f t="shared" si="7"/>
        <v>0</v>
      </c>
      <c r="O16" s="1485">
        <f t="shared" si="7"/>
        <v>0</v>
      </c>
      <c r="P16" s="1485">
        <f t="shared" si="7"/>
        <v>0</v>
      </c>
      <c r="Q16" s="1485">
        <f t="shared" si="7"/>
        <v>0</v>
      </c>
      <c r="R16" s="1485">
        <f t="shared" si="7"/>
        <v>0</v>
      </c>
      <c r="S16" s="1485">
        <f t="shared" si="7"/>
        <v>0</v>
      </c>
      <c r="T16" s="1486">
        <f t="shared" si="7"/>
        <v>0</v>
      </c>
      <c r="U16" s="1482">
        <f t="shared" si="7"/>
        <v>0</v>
      </c>
      <c r="V16" s="1487">
        <f t="shared" si="7"/>
        <v>0</v>
      </c>
      <c r="W16" s="1488">
        <f t="shared" si="7"/>
        <v>0</v>
      </c>
      <c r="X16" s="1488">
        <f t="shared" si="7"/>
        <v>0</v>
      </c>
      <c r="Y16" s="1488">
        <f t="shared" si="7"/>
        <v>0</v>
      </c>
      <c r="Z16" s="1488">
        <f t="shared" si="7"/>
        <v>0</v>
      </c>
      <c r="AA16" s="1488">
        <f t="shared" si="7"/>
        <v>0</v>
      </c>
    </row>
    <row r="17" spans="1:92" s="160" customFormat="1" ht="17.100000000000001" customHeight="1" x14ac:dyDescent="0.25">
      <c r="B17" s="7886" t="s">
        <v>4401</v>
      </c>
      <c r="C17" s="7845"/>
      <c r="D17" s="7845"/>
      <c r="E17" s="7845"/>
      <c r="F17" s="5159"/>
      <c r="G17" s="5160"/>
      <c r="H17" s="5160"/>
      <c r="I17" s="5160"/>
      <c r="J17" s="5160"/>
      <c r="K17" s="5160"/>
      <c r="L17" s="5160"/>
      <c r="M17" s="5160"/>
    </row>
    <row r="18" spans="1:92" s="161" customFormat="1" ht="31.5" customHeight="1" x14ac:dyDescent="0.25">
      <c r="B18" s="5161" t="s">
        <v>1592</v>
      </c>
      <c r="C18" s="5162" t="s">
        <v>77</v>
      </c>
      <c r="D18" s="1489" t="s">
        <v>64</v>
      </c>
      <c r="E18" s="1490" t="s">
        <v>3966</v>
      </c>
      <c r="F18" s="1491" t="s">
        <v>3298</v>
      </c>
      <c r="G18" s="164"/>
      <c r="H18" s="164"/>
      <c r="I18" s="164"/>
      <c r="J18" s="164"/>
      <c r="K18" s="164"/>
      <c r="L18" s="164"/>
      <c r="M18" s="164"/>
    </row>
    <row r="19" spans="1:92" s="161" customFormat="1" ht="15" customHeight="1" x14ac:dyDescent="0.15">
      <c r="A19" s="5605">
        <v>32111000</v>
      </c>
      <c r="B19" s="5163" t="s">
        <v>3967</v>
      </c>
      <c r="C19" s="5164" t="s">
        <v>4567</v>
      </c>
      <c r="D19" s="5165" t="s">
        <v>4568</v>
      </c>
      <c r="E19" s="5166" t="s">
        <v>4569</v>
      </c>
      <c r="F19" s="5167" t="s">
        <v>4570</v>
      </c>
      <c r="G19" s="164"/>
      <c r="H19" s="164"/>
      <c r="I19" s="164"/>
      <c r="J19" s="164"/>
      <c r="K19" s="164"/>
      <c r="L19" s="164"/>
      <c r="M19" s="164"/>
      <c r="BV19" s="164"/>
      <c r="BW19" s="164"/>
      <c r="BX19" s="164"/>
      <c r="BY19" s="164"/>
    </row>
    <row r="20" spans="1:92" s="161" customFormat="1" ht="15" customHeight="1" x14ac:dyDescent="0.15">
      <c r="A20" s="5601">
        <v>32101532</v>
      </c>
      <c r="B20" s="1465" t="s">
        <v>3968</v>
      </c>
      <c r="C20" s="5168" t="s">
        <v>4567</v>
      </c>
      <c r="D20" s="5169" t="s">
        <v>4568</v>
      </c>
      <c r="E20" s="5170" t="s">
        <v>4569</v>
      </c>
      <c r="F20" s="5171" t="s">
        <v>4570</v>
      </c>
      <c r="G20" s="164"/>
      <c r="H20" s="164"/>
      <c r="I20" s="164"/>
      <c r="J20" s="164"/>
      <c r="K20" s="164"/>
      <c r="L20" s="164"/>
      <c r="M20" s="164"/>
      <c r="BV20" s="164"/>
      <c r="BW20" s="164"/>
      <c r="BX20" s="164"/>
      <c r="BY20" s="164"/>
      <c r="BZ20" s="164"/>
      <c r="CA20" s="164"/>
      <c r="CB20" s="164"/>
      <c r="CC20" s="164"/>
      <c r="CG20" s="164"/>
      <c r="CH20" s="164"/>
      <c r="CI20" s="164"/>
    </row>
    <row r="21" spans="1:92" s="161" customFormat="1" ht="15" customHeight="1" x14ac:dyDescent="0.15">
      <c r="A21" s="5601">
        <v>32101534</v>
      </c>
      <c r="B21" s="1465" t="s">
        <v>3969</v>
      </c>
      <c r="C21" s="5168" t="s">
        <v>4567</v>
      </c>
      <c r="D21" s="5169" t="s">
        <v>4568</v>
      </c>
      <c r="E21" s="5170" t="s">
        <v>4569</v>
      </c>
      <c r="F21" s="5171" t="s">
        <v>4570</v>
      </c>
      <c r="G21" s="164"/>
      <c r="H21" s="164"/>
      <c r="I21" s="164"/>
      <c r="J21" s="164"/>
      <c r="K21" s="164"/>
      <c r="L21" s="164"/>
      <c r="M21" s="164"/>
      <c r="BV21" s="164"/>
      <c r="BW21" s="164"/>
      <c r="BX21" s="164"/>
      <c r="BY21" s="164"/>
      <c r="BZ21" s="164"/>
      <c r="CA21" s="164"/>
      <c r="CB21" s="164"/>
      <c r="CC21" s="164"/>
      <c r="CG21" s="164"/>
      <c r="CH21" s="164"/>
      <c r="CI21" s="164"/>
    </row>
    <row r="22" spans="1:92" s="161" customFormat="1" ht="15" customHeight="1" x14ac:dyDescent="0.15">
      <c r="A22" s="5605">
        <v>32111001</v>
      </c>
      <c r="B22" s="5172" t="s">
        <v>3970</v>
      </c>
      <c r="C22" s="5168" t="s">
        <v>4567</v>
      </c>
      <c r="D22" s="5169" t="s">
        <v>4568</v>
      </c>
      <c r="E22" s="5170" t="s">
        <v>4569</v>
      </c>
      <c r="F22" s="5171" t="s">
        <v>4570</v>
      </c>
      <c r="H22" s="164"/>
      <c r="I22" s="164"/>
      <c r="J22" s="164"/>
      <c r="K22" s="164"/>
      <c r="L22" s="164"/>
      <c r="M22" s="164"/>
      <c r="BV22" s="164"/>
      <c r="BW22" s="164"/>
      <c r="BX22" s="164"/>
      <c r="BY22" s="164"/>
      <c r="BZ22" s="164"/>
      <c r="CA22" s="164"/>
      <c r="CB22" s="164"/>
      <c r="CC22" s="164"/>
      <c r="CG22" s="164"/>
      <c r="CH22" s="164"/>
      <c r="CI22" s="164"/>
    </row>
    <row r="23" spans="1:92" s="161" customFormat="1" ht="15" customHeight="1" x14ac:dyDescent="0.15">
      <c r="A23" s="5605">
        <v>32111002</v>
      </c>
      <c r="B23" s="5173" t="s">
        <v>3971</v>
      </c>
      <c r="C23" s="5174" t="s">
        <v>4567</v>
      </c>
      <c r="D23" s="5175" t="s">
        <v>4568</v>
      </c>
      <c r="E23" s="5176" t="s">
        <v>4569</v>
      </c>
      <c r="F23" s="5177" t="s">
        <v>4570</v>
      </c>
      <c r="G23" s="164"/>
      <c r="H23" s="164"/>
      <c r="I23" s="164"/>
      <c r="J23" s="164"/>
      <c r="K23" s="164"/>
      <c r="L23" s="164"/>
      <c r="M23" s="164"/>
      <c r="BV23" s="164"/>
      <c r="BW23" s="164"/>
      <c r="BX23" s="164"/>
      <c r="BY23" s="164"/>
      <c r="BZ23" s="164"/>
      <c r="CA23" s="164"/>
      <c r="CB23" s="164"/>
      <c r="CC23" s="164"/>
      <c r="CG23" s="164"/>
      <c r="CH23" s="164"/>
      <c r="CI23" s="164"/>
    </row>
    <row r="24" spans="1:92" s="161" customFormat="1" ht="15" customHeight="1" x14ac:dyDescent="0.25">
      <c r="B24" s="5178" t="s">
        <v>77</v>
      </c>
      <c r="C24" s="5179">
        <f>SUM(C19:C23)</f>
        <v>0</v>
      </c>
      <c r="D24" s="5180">
        <f>SUM(D19:D23)</f>
        <v>0</v>
      </c>
      <c r="E24" s="5181">
        <f t="shared" ref="E24:F24" si="8">SUM(E19:E23)</f>
        <v>0</v>
      </c>
      <c r="F24" s="5182">
        <f t="shared" si="8"/>
        <v>0</v>
      </c>
      <c r="G24" s="164"/>
      <c r="H24" s="164"/>
      <c r="I24" s="164"/>
      <c r="J24" s="164"/>
      <c r="K24" s="164"/>
      <c r="L24" s="164"/>
      <c r="M24" s="164"/>
      <c r="BV24" s="164"/>
      <c r="BW24" s="164"/>
      <c r="BX24" s="164"/>
      <c r="BY24" s="164"/>
    </row>
    <row r="25" spans="1:92" s="160" customFormat="1" ht="17.100000000000001" customHeight="1" x14ac:dyDescent="0.25">
      <c r="B25" s="7881" t="s">
        <v>3972</v>
      </c>
      <c r="C25" s="7840"/>
      <c r="D25" s="7840"/>
      <c r="E25" s="7840"/>
      <c r="F25" s="7840"/>
      <c r="G25" s="7840"/>
      <c r="H25" s="7840"/>
      <c r="I25" s="7840"/>
      <c r="J25" s="7840"/>
      <c r="K25" s="7840"/>
      <c r="L25" s="7840"/>
      <c r="M25" s="7840"/>
    </row>
    <row r="26" spans="1:92" ht="25.5" customHeight="1" x14ac:dyDescent="0.25">
      <c r="B26" s="7871" t="s">
        <v>3973</v>
      </c>
      <c r="C26" s="7871" t="s">
        <v>77</v>
      </c>
      <c r="D26" s="7571" t="s">
        <v>29</v>
      </c>
      <c r="E26" s="7841"/>
      <c r="F26" s="7841"/>
      <c r="G26" s="7841"/>
      <c r="H26" s="7841"/>
      <c r="I26" s="7841"/>
      <c r="J26" s="7841"/>
      <c r="K26" s="7841"/>
      <c r="L26" s="7841"/>
      <c r="M26" s="7841"/>
      <c r="N26" s="7841"/>
      <c r="O26" s="7841"/>
      <c r="P26" s="7841"/>
      <c r="Q26" s="7841"/>
      <c r="R26" s="7841"/>
      <c r="S26" s="7841"/>
      <c r="T26" s="7842"/>
      <c r="U26" s="7865" t="s">
        <v>2409</v>
      </c>
      <c r="V26" s="7866"/>
      <c r="W26" s="7839" t="s">
        <v>36</v>
      </c>
      <c r="X26" s="7838" t="s">
        <v>37</v>
      </c>
      <c r="Y26" s="7257" t="s">
        <v>3974</v>
      </c>
      <c r="Z26" s="7759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5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  <c r="CN26" s="161"/>
    </row>
    <row r="27" spans="1:92" ht="25.5" customHeight="1" x14ac:dyDescent="0.25">
      <c r="B27" s="7873"/>
      <c r="C27" s="7873"/>
      <c r="D27" s="1286" t="s">
        <v>343</v>
      </c>
      <c r="E27" s="1213" t="s">
        <v>326</v>
      </c>
      <c r="F27" s="1110" t="s">
        <v>43</v>
      </c>
      <c r="G27" s="1213" t="s">
        <v>44</v>
      </c>
      <c r="H27" s="982" t="s">
        <v>45</v>
      </c>
      <c r="I27" s="982" t="s">
        <v>46</v>
      </c>
      <c r="J27" s="982" t="s">
        <v>47</v>
      </c>
      <c r="K27" s="982" t="s">
        <v>48</v>
      </c>
      <c r="L27" s="982" t="s">
        <v>49</v>
      </c>
      <c r="M27" s="982" t="s">
        <v>50</v>
      </c>
      <c r="N27" s="982" t="s">
        <v>51</v>
      </c>
      <c r="O27" s="982" t="s">
        <v>52</v>
      </c>
      <c r="P27" s="982" t="s">
        <v>53</v>
      </c>
      <c r="Q27" s="982" t="s">
        <v>54</v>
      </c>
      <c r="R27" s="982" t="s">
        <v>55</v>
      </c>
      <c r="S27" s="982" t="s">
        <v>56</v>
      </c>
      <c r="T27" s="1178" t="s">
        <v>57</v>
      </c>
      <c r="U27" s="1492" t="s">
        <v>58</v>
      </c>
      <c r="V27" s="1464" t="s">
        <v>59</v>
      </c>
      <c r="W27" s="6937"/>
      <c r="X27" s="6739"/>
      <c r="Y27" s="5183" t="s">
        <v>3975</v>
      </c>
      <c r="Z27" s="1795" t="s">
        <v>3976</v>
      </c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5"/>
      <c r="CB27" s="166"/>
      <c r="CC27" s="166"/>
      <c r="CD27" s="166"/>
      <c r="CE27" s="161"/>
      <c r="CF27" s="166"/>
      <c r="CG27" s="161"/>
      <c r="CH27" s="161"/>
      <c r="CI27" s="161"/>
      <c r="CJ27" s="161"/>
      <c r="CK27" s="161"/>
      <c r="CL27" s="53"/>
      <c r="CM27" s="166"/>
      <c r="CN27" s="166"/>
    </row>
    <row r="28" spans="1:92" x14ac:dyDescent="0.15">
      <c r="A28" s="5609">
        <v>32100160</v>
      </c>
      <c r="B28" s="1493" t="s">
        <v>3977</v>
      </c>
      <c r="C28" s="5960" t="s">
        <v>4567</v>
      </c>
      <c r="D28" s="1633" t="s">
        <v>4568</v>
      </c>
      <c r="E28" s="5961" t="s">
        <v>4569</v>
      </c>
      <c r="F28" s="5961" t="s">
        <v>4570</v>
      </c>
      <c r="G28" s="5961" t="s">
        <v>4571</v>
      </c>
      <c r="H28" s="5961" t="s">
        <v>4572</v>
      </c>
      <c r="I28" s="5961" t="s">
        <v>4573</v>
      </c>
      <c r="J28" s="5961" t="s">
        <v>4574</v>
      </c>
      <c r="K28" s="5961" t="s">
        <v>4575</v>
      </c>
      <c r="L28" s="5961" t="s">
        <v>4576</v>
      </c>
      <c r="M28" s="5961" t="s">
        <v>4577</v>
      </c>
      <c r="N28" s="5961" t="s">
        <v>4578</v>
      </c>
      <c r="O28" s="5961" t="s">
        <v>4579</v>
      </c>
      <c r="P28" s="5961" t="s">
        <v>4580</v>
      </c>
      <c r="Q28" s="5961" t="s">
        <v>4581</v>
      </c>
      <c r="R28" s="5961" t="s">
        <v>4582</v>
      </c>
      <c r="S28" s="5961" t="s">
        <v>4583</v>
      </c>
      <c r="T28" s="5962" t="s">
        <v>4584</v>
      </c>
      <c r="U28" s="1633" t="s">
        <v>4585</v>
      </c>
      <c r="V28" s="5963" t="s">
        <v>4586</v>
      </c>
      <c r="W28" s="5964" t="s">
        <v>4587</v>
      </c>
      <c r="X28" s="5965" t="s">
        <v>4588</v>
      </c>
      <c r="Y28" s="1633" t="s">
        <v>4589</v>
      </c>
      <c r="Z28" s="5964" t="s">
        <v>4590</v>
      </c>
      <c r="AA28" s="161" t="e">
        <f>CB28&amp;CC28&amp;CD28</f>
        <v>#VALUE!</v>
      </c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5"/>
      <c r="CB28" s="162" t="str">
        <f>IF(AND($C28&gt;0,W28=""),"No olvide digitar Pueblos Originarios, digite cero si no tiene. ",IF(W28&gt;$C28," * La variable Pueblos Originarios no puede ser mayor al Total. ",""))</f>
        <v xml:space="preserve"> * La variable Pueblos Originarios no puede ser mayor al Total. </v>
      </c>
      <c r="CC28" s="162" t="str">
        <f>IF(AND($C28&gt;0,X28=""),"No olvide digitar Migrantes, digite cero si no tiene. ",IF(X28&gt;$C28," * La variable Migrantes no puede ser mayor al Total. ",""))</f>
        <v xml:space="preserve"> * La variable Migrantes no puede ser mayor al Total. </v>
      </c>
      <c r="CD28" s="162" t="e">
        <f>IF((Y28+Z28)&lt;&gt;C28," *El desglose de Videollamada + Llamada Telefónica debe ser igual al Total.","")</f>
        <v>#VALUE!</v>
      </c>
      <c r="CE28" s="161"/>
      <c r="CF28" s="167"/>
      <c r="CG28" s="161"/>
      <c r="CH28" s="161"/>
      <c r="CI28" s="161"/>
      <c r="CJ28" s="161"/>
      <c r="CK28" s="161"/>
      <c r="CL28" s="163">
        <f>IF(AND(W28&gt;0,$C28=""),1,IF(W28&gt;$C28,1,0))</f>
        <v>1</v>
      </c>
      <c r="CM28" s="163">
        <f>IF(AND(X28&gt;0,$C28=""),1,IF(X28&gt;$C28,1,0))</f>
        <v>1</v>
      </c>
      <c r="CN28" s="168" t="e">
        <f>IF((Y28+Z28)&lt;&gt;C28,1,0)</f>
        <v>#VALUE!</v>
      </c>
    </row>
    <row r="29" spans="1:92" x14ac:dyDescent="0.15">
      <c r="A29" s="5605">
        <v>32111003</v>
      </c>
      <c r="B29" s="5184" t="s">
        <v>3978</v>
      </c>
      <c r="C29" s="5966" t="s">
        <v>4567</v>
      </c>
      <c r="D29" s="5967" t="s">
        <v>4568</v>
      </c>
      <c r="E29" s="267" t="s">
        <v>4569</v>
      </c>
      <c r="F29" s="267" t="s">
        <v>4570</v>
      </c>
      <c r="G29" s="267" t="s">
        <v>4571</v>
      </c>
      <c r="H29" s="267" t="s">
        <v>4572</v>
      </c>
      <c r="I29" s="267" t="s">
        <v>4573</v>
      </c>
      <c r="J29" s="267" t="s">
        <v>4574</v>
      </c>
      <c r="K29" s="267" t="s">
        <v>4575</v>
      </c>
      <c r="L29" s="267" t="s">
        <v>4576</v>
      </c>
      <c r="M29" s="267" t="s">
        <v>4577</v>
      </c>
      <c r="N29" s="267" t="s">
        <v>4578</v>
      </c>
      <c r="O29" s="267" t="s">
        <v>4579</v>
      </c>
      <c r="P29" s="267" t="s">
        <v>4580</v>
      </c>
      <c r="Q29" s="267" t="s">
        <v>4581</v>
      </c>
      <c r="R29" s="267" t="s">
        <v>4582</v>
      </c>
      <c r="S29" s="267" t="s">
        <v>4583</v>
      </c>
      <c r="T29" s="268" t="s">
        <v>4584</v>
      </c>
      <c r="U29" s="5967" t="s">
        <v>4585</v>
      </c>
      <c r="V29" s="5968" t="s">
        <v>4586</v>
      </c>
      <c r="W29" s="5969" t="s">
        <v>4587</v>
      </c>
      <c r="X29" s="5970" t="s">
        <v>4588</v>
      </c>
      <c r="Y29" s="5967" t="s">
        <v>4589</v>
      </c>
      <c r="Z29" s="5969" t="s">
        <v>4590</v>
      </c>
      <c r="AA29" s="161" t="e">
        <f>CB29&amp;CC29&amp;CD29</f>
        <v>#VALUE!</v>
      </c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5"/>
      <c r="CB29" s="162" t="str">
        <f>IF(AND($C29&gt;0,W29=""),"No olvide digitar pueblos originarios, digite cero si no tiene. ",IF(W29&gt;$C29," * La variable Pueblos originarios no puede ser mayor al Total. ",""))</f>
        <v xml:space="preserve"> * La variable Pueblos originarios no puede ser mayor al Total. </v>
      </c>
      <c r="CC29" s="162" t="str">
        <f>IF(AND($C29&gt;0,X29=""),"No olvide digitar Migrantes, digite cero si no tiene. ",IF(X29&gt;$C29," * La variable Migrantes no puede ser mayor al Total. ",""))</f>
        <v xml:space="preserve"> * La variable Migrantes no puede ser mayor al Total. </v>
      </c>
      <c r="CD29" s="162" t="e">
        <f>IF((Y29+Z29)&lt;&gt;C29," *El desglose de Videollamada + Llamada Telefónica debe ser igual al Total.","")</f>
        <v>#VALUE!</v>
      </c>
      <c r="CE29" s="161"/>
      <c r="CF29" s="167"/>
      <c r="CG29" s="161"/>
      <c r="CH29" s="161"/>
      <c r="CI29" s="161"/>
      <c r="CJ29" s="161"/>
      <c r="CK29" s="161"/>
      <c r="CL29" s="163">
        <f>IF(AND(W29&gt;0,$C29=""),1,IF(W29&gt;$C29,1,0))</f>
        <v>1</v>
      </c>
      <c r="CM29" s="163">
        <f>IF(AND(X29&gt;0,$C29=""),1,IF(X29&gt;$C29,1,0))</f>
        <v>1</v>
      </c>
      <c r="CN29" s="168" t="e">
        <f>IF((Y29+Z29)&lt;&gt;C29,1,0)</f>
        <v>#VALUE!</v>
      </c>
    </row>
    <row r="30" spans="1:92" s="160" customFormat="1" ht="17.100000000000001" customHeight="1" x14ac:dyDescent="0.25">
      <c r="B30" s="7867" t="s">
        <v>3979</v>
      </c>
      <c r="C30" s="7867"/>
      <c r="D30" s="7867"/>
      <c r="E30" s="7867"/>
      <c r="F30" s="7867"/>
      <c r="G30" s="7867"/>
      <c r="H30" s="7867"/>
      <c r="I30" s="7867"/>
      <c r="J30" s="7867"/>
      <c r="K30" s="7867"/>
      <c r="L30" s="7867"/>
      <c r="M30" s="7867"/>
    </row>
    <row r="31" spans="1:92" s="160" customFormat="1" ht="17.100000000000001" customHeight="1" x14ac:dyDescent="0.25">
      <c r="B31" s="7840" t="s">
        <v>3980</v>
      </c>
      <c r="C31" s="7840"/>
      <c r="D31" s="7840"/>
      <c r="E31" s="7840"/>
      <c r="F31" s="7840"/>
      <c r="G31" s="7840"/>
      <c r="H31" s="7840"/>
      <c r="I31" s="7840"/>
      <c r="J31" s="7840"/>
      <c r="K31" s="7840"/>
      <c r="L31" s="7840"/>
      <c r="M31" s="7840"/>
    </row>
    <row r="32" spans="1:92" s="161" customFormat="1" ht="15" customHeight="1" x14ac:dyDescent="0.25">
      <c r="B32" s="7673" t="s">
        <v>3981</v>
      </c>
      <c r="C32" s="7871" t="s">
        <v>77</v>
      </c>
      <c r="D32" s="7874" t="s">
        <v>3982</v>
      </c>
      <c r="E32" s="7875"/>
      <c r="F32" s="7875"/>
      <c r="G32" s="7875"/>
      <c r="H32" s="7875"/>
      <c r="I32" s="7875"/>
      <c r="J32" s="7875"/>
      <c r="K32" s="7875"/>
      <c r="L32" s="7875"/>
      <c r="M32" s="7875"/>
      <c r="N32" s="7875"/>
      <c r="O32" s="7875"/>
      <c r="P32" s="7875"/>
      <c r="Q32" s="7875"/>
      <c r="R32" s="7875"/>
      <c r="S32" s="7875"/>
      <c r="T32" s="7875"/>
      <c r="U32" s="7875"/>
      <c r="V32" s="7876"/>
      <c r="W32" s="7877" t="s">
        <v>3983</v>
      </c>
      <c r="X32" s="7878"/>
      <c r="Y32" s="7673" t="s">
        <v>3984</v>
      </c>
      <c r="Z32" s="6786"/>
      <c r="AA32" s="7257" t="s">
        <v>3985</v>
      </c>
      <c r="AB32" s="7746"/>
      <c r="AC32" s="7746"/>
      <c r="AD32" s="7746"/>
      <c r="AE32" s="7746"/>
      <c r="AF32" s="7746"/>
      <c r="AG32" s="7746"/>
      <c r="AH32" s="7746"/>
      <c r="AI32" s="7746"/>
      <c r="AJ32" s="7759"/>
      <c r="AK32" s="7773" t="s">
        <v>3986</v>
      </c>
      <c r="AL32" s="7674"/>
      <c r="AM32" s="6786"/>
      <c r="AN32" s="7838" t="s">
        <v>3987</v>
      </c>
      <c r="AO32" s="6786" t="s">
        <v>3988</v>
      </c>
      <c r="AP32" s="7838" t="s">
        <v>36</v>
      </c>
      <c r="AQ32" s="6786" t="s">
        <v>37</v>
      </c>
      <c r="AR32" s="6786" t="s">
        <v>3989</v>
      </c>
      <c r="AS32" s="7722" t="s">
        <v>1575</v>
      </c>
      <c r="AT32" s="7722" t="s">
        <v>1576</v>
      </c>
    </row>
    <row r="33" spans="1:96" s="161" customFormat="1" ht="15" customHeight="1" x14ac:dyDescent="0.25">
      <c r="B33" s="6213"/>
      <c r="C33" s="7872"/>
      <c r="D33" s="7571" t="s">
        <v>29</v>
      </c>
      <c r="E33" s="7841"/>
      <c r="F33" s="7841"/>
      <c r="G33" s="7841"/>
      <c r="H33" s="7841"/>
      <c r="I33" s="7841"/>
      <c r="J33" s="7841"/>
      <c r="K33" s="7841"/>
      <c r="L33" s="7841"/>
      <c r="M33" s="7841"/>
      <c r="N33" s="7841"/>
      <c r="O33" s="7841"/>
      <c r="P33" s="7841"/>
      <c r="Q33" s="7841"/>
      <c r="R33" s="7841"/>
      <c r="S33" s="7841"/>
      <c r="T33" s="7842"/>
      <c r="U33" s="7843" t="s">
        <v>2409</v>
      </c>
      <c r="V33" s="7844"/>
      <c r="W33" s="7879"/>
      <c r="X33" s="7880"/>
      <c r="Y33" s="6734"/>
      <c r="Z33" s="6955"/>
      <c r="AA33" s="7291" t="s">
        <v>3534</v>
      </c>
      <c r="AB33" s="7745"/>
      <c r="AC33" s="7745"/>
      <c r="AD33" s="7745"/>
      <c r="AE33" s="7727"/>
      <c r="AF33" s="7291" t="s">
        <v>3990</v>
      </c>
      <c r="AG33" s="7745"/>
      <c r="AH33" s="7745"/>
      <c r="AI33" s="7745"/>
      <c r="AJ33" s="7727"/>
      <c r="AK33" s="7783"/>
      <c r="AL33" s="6045"/>
      <c r="AM33" s="6027"/>
      <c r="AN33" s="6119"/>
      <c r="AO33" s="6027"/>
      <c r="AP33" s="6119"/>
      <c r="AQ33" s="6027"/>
      <c r="AR33" s="6027"/>
      <c r="AS33" s="7722"/>
      <c r="AT33" s="7722"/>
    </row>
    <row r="34" spans="1:96" s="161" customFormat="1" ht="31.5" x14ac:dyDescent="0.25">
      <c r="B34" s="6734"/>
      <c r="C34" s="7873"/>
      <c r="D34" s="1286" t="s">
        <v>343</v>
      </c>
      <c r="E34" s="1213" t="s">
        <v>326</v>
      </c>
      <c r="F34" s="1110" t="s">
        <v>43</v>
      </c>
      <c r="G34" s="1213" t="s">
        <v>44</v>
      </c>
      <c r="H34" s="982" t="s">
        <v>45</v>
      </c>
      <c r="I34" s="982" t="s">
        <v>46</v>
      </c>
      <c r="J34" s="982" t="s">
        <v>47</v>
      </c>
      <c r="K34" s="982" t="s">
        <v>48</v>
      </c>
      <c r="L34" s="982" t="s">
        <v>49</v>
      </c>
      <c r="M34" s="982" t="s">
        <v>50</v>
      </c>
      <c r="N34" s="982" t="s">
        <v>51</v>
      </c>
      <c r="O34" s="982" t="s">
        <v>52</v>
      </c>
      <c r="P34" s="982" t="s">
        <v>53</v>
      </c>
      <c r="Q34" s="982" t="s">
        <v>54</v>
      </c>
      <c r="R34" s="982" t="s">
        <v>55</v>
      </c>
      <c r="S34" s="982" t="s">
        <v>56</v>
      </c>
      <c r="T34" s="1178" t="s">
        <v>57</v>
      </c>
      <c r="U34" s="1492" t="s">
        <v>58</v>
      </c>
      <c r="V34" s="1495" t="s">
        <v>59</v>
      </c>
      <c r="W34" s="1286" t="s">
        <v>3991</v>
      </c>
      <c r="X34" s="1433" t="s">
        <v>1265</v>
      </c>
      <c r="Y34" s="1286" t="s">
        <v>3992</v>
      </c>
      <c r="Z34" s="1227" t="s">
        <v>3993</v>
      </c>
      <c r="AA34" s="1026" t="s">
        <v>77</v>
      </c>
      <c r="AB34" s="1287" t="s">
        <v>1007</v>
      </c>
      <c r="AC34" s="1213" t="s">
        <v>1321</v>
      </c>
      <c r="AD34" s="1213" t="s">
        <v>554</v>
      </c>
      <c r="AE34" s="1433" t="s">
        <v>3994</v>
      </c>
      <c r="AF34" s="1497" t="s">
        <v>919</v>
      </c>
      <c r="AG34" s="1287" t="s">
        <v>1007</v>
      </c>
      <c r="AH34" s="1213" t="s">
        <v>1321</v>
      </c>
      <c r="AI34" s="1213" t="s">
        <v>554</v>
      </c>
      <c r="AJ34" s="1433" t="s">
        <v>3994</v>
      </c>
      <c r="AK34" s="1246" t="s">
        <v>3995</v>
      </c>
      <c r="AL34" s="1417" t="s">
        <v>3996</v>
      </c>
      <c r="AM34" s="1417" t="s">
        <v>3997</v>
      </c>
      <c r="AN34" s="6739"/>
      <c r="AO34" s="6955"/>
      <c r="AP34" s="6739"/>
      <c r="AQ34" s="6955"/>
      <c r="AR34" s="6955"/>
      <c r="AS34" s="7722"/>
      <c r="AT34" s="7722"/>
    </row>
    <row r="35" spans="1:96" s="161" customFormat="1" ht="15" customHeight="1" x14ac:dyDescent="0.15">
      <c r="A35" s="5601">
        <v>32101535</v>
      </c>
      <c r="B35" s="253" t="s">
        <v>1208</v>
      </c>
      <c r="C35" s="405" t="s">
        <v>4567</v>
      </c>
      <c r="D35" s="1494" t="s">
        <v>4568</v>
      </c>
      <c r="E35" s="1469" t="s">
        <v>4569</v>
      </c>
      <c r="F35" s="1469" t="s">
        <v>4570</v>
      </c>
      <c r="G35" s="1469" t="s">
        <v>4571</v>
      </c>
      <c r="H35" s="1498" t="s">
        <v>4572</v>
      </c>
      <c r="I35" s="1498" t="s">
        <v>4573</v>
      </c>
      <c r="J35" s="1498" t="s">
        <v>4574</v>
      </c>
      <c r="K35" s="1498" t="s">
        <v>4575</v>
      </c>
      <c r="L35" s="1498" t="s">
        <v>4576</v>
      </c>
      <c r="M35" s="1498" t="s">
        <v>4577</v>
      </c>
      <c r="N35" s="1498" t="s">
        <v>4578</v>
      </c>
      <c r="O35" s="1498" t="s">
        <v>4579</v>
      </c>
      <c r="P35" s="1498" t="s">
        <v>4580</v>
      </c>
      <c r="Q35" s="1498" t="s">
        <v>4581</v>
      </c>
      <c r="R35" s="1498" t="s">
        <v>4582</v>
      </c>
      <c r="S35" s="1498" t="s">
        <v>4583</v>
      </c>
      <c r="T35" s="1499" t="s">
        <v>4584</v>
      </c>
      <c r="U35" s="1494" t="s">
        <v>4585</v>
      </c>
      <c r="V35" s="1470" t="s">
        <v>4586</v>
      </c>
      <c r="W35" s="1494" t="s">
        <v>4587</v>
      </c>
      <c r="X35" s="1470" t="s">
        <v>4588</v>
      </c>
      <c r="Y35" s="1494" t="s">
        <v>4589</v>
      </c>
      <c r="Z35" s="1470" t="s">
        <v>4590</v>
      </c>
      <c r="AA35" s="936" t="s">
        <v>4591</v>
      </c>
      <c r="AB35" s="1494" t="s">
        <v>4592</v>
      </c>
      <c r="AC35" s="1469" t="s">
        <v>4593</v>
      </c>
      <c r="AD35" s="1469" t="s">
        <v>4594</v>
      </c>
      <c r="AE35" s="1470" t="s">
        <v>4595</v>
      </c>
      <c r="AF35" s="936" t="s">
        <v>4596</v>
      </c>
      <c r="AG35" s="1494" t="s">
        <v>4597</v>
      </c>
      <c r="AH35" s="1469" t="s">
        <v>4598</v>
      </c>
      <c r="AI35" s="1469" t="s">
        <v>4599</v>
      </c>
      <c r="AJ35" s="1500" t="s">
        <v>4600</v>
      </c>
      <c r="AK35" s="1478" t="s">
        <v>4601</v>
      </c>
      <c r="AL35" s="1478" t="s">
        <v>4602</v>
      </c>
      <c r="AM35" s="1478" t="s">
        <v>4603</v>
      </c>
      <c r="AN35" s="1478" t="s">
        <v>4604</v>
      </c>
      <c r="AO35" s="1478" t="s">
        <v>4605</v>
      </c>
      <c r="AP35" s="1478" t="s">
        <v>4606</v>
      </c>
      <c r="AQ35" s="1478" t="s">
        <v>4934</v>
      </c>
      <c r="AR35" s="1478" t="s">
        <v>4935</v>
      </c>
      <c r="AS35" s="219" t="s">
        <v>4936</v>
      </c>
      <c r="AT35" s="219" t="s">
        <v>4937</v>
      </c>
      <c r="AU35" s="161" t="e">
        <f>CB35&amp;CC35&amp;CD35&amp;CE35&amp;CF35&amp;CG35&amp;CH35</f>
        <v>#VALUE!</v>
      </c>
      <c r="CB35" s="162" t="e">
        <f>IF((U35+V35)&lt;&gt;C35,"* El número de atenciones remotas según Sexo debe ser igual al Total.","")</f>
        <v>#VALUE!</v>
      </c>
      <c r="CC35" s="162" t="e">
        <f>IF((AF35+AA35)&gt;C35," * El Total de Teleconsultas Nuevas no debe ser mayor que el Total","")</f>
        <v>#VALUE!</v>
      </c>
      <c r="CD35" s="162" t="str">
        <f>IF(AND(C35&gt;0,AP35="")," * No olvide digitar la variable Pueblos Originarios. Digite cero si no tiene.",IF(AP35&gt;C35," * La variable Pueblos Originarios no puede ser mayor al Total.",""))</f>
        <v xml:space="preserve"> * La variable Pueblos Originarios no puede ser mayor al Total.</v>
      </c>
      <c r="CE35" s="162" t="str">
        <f>IF(AND(C35&gt;0,AQ35="")," * No olvide digitar la variable Migrantes. Digite cero si no tiene.",IF(AQ35&gt;C35," * La variable Migrantes no puede ser mayor al Total.",""))</f>
        <v xml:space="preserve"> * La variable Migrantes no puede ser mayor al Total.</v>
      </c>
      <c r="CF35" s="162" t="str">
        <f>IF(AND($C35&gt;0,AR35="")," * No olvide digitar la variable Teleconsulta de especialidad resueltas por Médicos Generales. Digite cero si no tiene.",IF(AR35&gt;$C35," * La variable Teleconsulta de especialidad resueltas por Médicos Generales no puede ser mayor al Total.",""))</f>
        <v xml:space="preserve"> * La variable Teleconsulta de especialidad resueltas por Médicos Generales no puede ser mayor al Total.</v>
      </c>
      <c r="CG35" s="162" t="str">
        <f>IF(AND($C35&gt;0,AS35="")," * No olvide digitar la variable Serv. Nac. Reinserción Social Juvenil. Digite cero si no tiene.",IF(AS35&gt;$C35," * La variable Serv. Nac. Reinserción Social Juvenil no puede ser mayor al Total.",""))</f>
        <v xml:space="preserve"> * La variable Serv. Nac. Reinserción Social Juvenil no puede ser mayor al Total.</v>
      </c>
      <c r="CH35" s="162" t="str">
        <f>IF(AND($C35&gt;0,AT35="")," * No olvide digitar la variable Serv. Nac. Protección Especializada a la Niñez y Adolescencia. Digite cero si no tiene.",IF(AT35&gt;$C35,"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L35" s="163" t="e">
        <f t="shared" ref="CL35:CL89" si="9">IF((U35+V35)&lt;&gt;C35,1,0)</f>
        <v>#VALUE!</v>
      </c>
      <c r="CM35" s="163" t="e">
        <f t="shared" ref="CM35:CM89" si="10">IF((AF35+AA35)&gt;C35,1,0)</f>
        <v>#VALUE!</v>
      </c>
      <c r="CN35" s="163">
        <f t="shared" ref="CN35:CN89" si="11">IF(AND(C35&gt;0,AP35=""),1,IF(AP35&gt;C35,1,0))</f>
        <v>1</v>
      </c>
      <c r="CO35" s="163">
        <f>IF(AND($C35&gt;0,AQ35=""),1,IF(AQ35&gt;$C35,1,0))</f>
        <v>1</v>
      </c>
      <c r="CP35" s="163">
        <f>IF(AND($C35&gt;0,AR35=""),1,IF(AR35&gt;$C35,1,0))</f>
        <v>1</v>
      </c>
      <c r="CQ35" s="163">
        <f>IF(AND($C35&gt;0,AS35=""),1,IF(AS35&gt;$C35,1,0))</f>
        <v>1</v>
      </c>
      <c r="CR35" s="163">
        <f>IF(AND($C35&gt;0,AT35=""),1,IF(AT35&gt;$C35,1,0))</f>
        <v>1</v>
      </c>
    </row>
    <row r="36" spans="1:96" s="161" customFormat="1" ht="15" customHeight="1" x14ac:dyDescent="0.15">
      <c r="A36" s="5601">
        <v>32100180</v>
      </c>
      <c r="B36" s="936" t="s">
        <v>3697</v>
      </c>
      <c r="C36" s="405" t="s">
        <v>4567</v>
      </c>
      <c r="D36" s="1466" t="s">
        <v>4568</v>
      </c>
      <c r="E36" s="1467" t="s">
        <v>4569</v>
      </c>
      <c r="F36" s="1467" t="s">
        <v>4570</v>
      </c>
      <c r="G36" s="1467" t="s">
        <v>4571</v>
      </c>
      <c r="H36" s="1467" t="s">
        <v>4572</v>
      </c>
      <c r="I36" s="1467" t="s">
        <v>4573</v>
      </c>
      <c r="J36" s="1467" t="s">
        <v>4574</v>
      </c>
      <c r="K36" s="1467" t="s">
        <v>4575</v>
      </c>
      <c r="L36" s="1467" t="s">
        <v>4576</v>
      </c>
      <c r="M36" s="1467" t="s">
        <v>4577</v>
      </c>
      <c r="N36" s="1467" t="s">
        <v>4578</v>
      </c>
      <c r="O36" s="1467" t="s">
        <v>4579</v>
      </c>
      <c r="P36" s="1467" t="s">
        <v>4580</v>
      </c>
      <c r="Q36" s="1467" t="s">
        <v>4581</v>
      </c>
      <c r="R36" s="1467" t="s">
        <v>4582</v>
      </c>
      <c r="S36" s="1467" t="s">
        <v>4583</v>
      </c>
      <c r="T36" s="1475" t="s">
        <v>4584</v>
      </c>
      <c r="U36" s="406" t="s">
        <v>4585</v>
      </c>
      <c r="V36" s="1501" t="s">
        <v>4586</v>
      </c>
      <c r="W36" s="406" t="s">
        <v>4587</v>
      </c>
      <c r="X36" s="1501" t="s">
        <v>4588</v>
      </c>
      <c r="Y36" s="406" t="s">
        <v>4589</v>
      </c>
      <c r="Z36" s="1501" t="s">
        <v>4590</v>
      </c>
      <c r="AA36" s="936" t="s">
        <v>4591</v>
      </c>
      <c r="AB36" s="406" t="s">
        <v>4592</v>
      </c>
      <c r="AC36" s="1502" t="s">
        <v>4593</v>
      </c>
      <c r="AD36" s="1502" t="s">
        <v>4594</v>
      </c>
      <c r="AE36" s="1501" t="s">
        <v>4595</v>
      </c>
      <c r="AF36" s="936" t="s">
        <v>4596</v>
      </c>
      <c r="AG36" s="406" t="s">
        <v>4597</v>
      </c>
      <c r="AH36" s="1502" t="s">
        <v>4598</v>
      </c>
      <c r="AI36" s="1502" t="s">
        <v>4599</v>
      </c>
      <c r="AJ36" s="1503" t="s">
        <v>4600</v>
      </c>
      <c r="AK36" s="1478" t="s">
        <v>4601</v>
      </c>
      <c r="AL36" s="1478" t="s">
        <v>4602</v>
      </c>
      <c r="AM36" s="1478" t="s">
        <v>4603</v>
      </c>
      <c r="AN36" s="1478" t="s">
        <v>4604</v>
      </c>
      <c r="AO36" s="1478" t="s">
        <v>4605</v>
      </c>
      <c r="AP36" s="1478" t="s">
        <v>4606</v>
      </c>
      <c r="AQ36" s="1478" t="s">
        <v>4934</v>
      </c>
      <c r="AR36" s="1478" t="s">
        <v>4935</v>
      </c>
      <c r="AS36" s="1478" t="s">
        <v>4936</v>
      </c>
      <c r="AT36" s="1478" t="s">
        <v>4937</v>
      </c>
      <c r="AU36" s="161" t="e">
        <f t="shared" ref="AU36:AU89" si="12">CB36&amp;CC36&amp;CD36&amp;CE36&amp;CF36&amp;CG36&amp;CH36</f>
        <v>#VALUE!</v>
      </c>
      <c r="CB36" s="162" t="e">
        <f t="shared" ref="CB36:CB89" si="13">IF((U36+V36)&lt;&gt;C36,"* El número de atenciones remotas según Sexo debe ser igual al Total.","")</f>
        <v>#VALUE!</v>
      </c>
      <c r="CC36" s="162" t="e">
        <f t="shared" ref="CC36:CC89" si="14">IF((AF36+AA36)&gt;C36," * El Total de Teleconsultas Nuevas no debe ser mayor que el Total","")</f>
        <v>#VALUE!</v>
      </c>
      <c r="CD36" s="162" t="str">
        <f t="shared" ref="CD36:CD89" si="15">IF(AND(C36&gt;0,AP36="")," * No olvide digitar la variable Pueblos Originarios. Digite cero si no tiene.",IF(AP36&gt;C36," * La variable Pueblos Originarios no puede ser mayor al Total.",""))</f>
        <v xml:space="preserve"> * La variable Pueblos Originarios no puede ser mayor al Total.</v>
      </c>
      <c r="CE36" s="162" t="str">
        <f t="shared" ref="CE36:CE89" si="16">IF(AND(C36&gt;0,AQ36="")," * No olvide digitar la variable Migrantes. Digite cero si no tiene.",IF(AQ36&gt;C36," * La variable Migrantes no puede ser mayor al Total.",""))</f>
        <v xml:space="preserve"> * La variable Migrantes no puede ser mayor al Total.</v>
      </c>
      <c r="CF36" s="162" t="str">
        <f t="shared" ref="CF36:CF89" si="17">IF(AND($C36&gt;0,AR36="")," * No olvide digitar la variable Teleconsulta de especialidad resueltas por Médicos Generales. Digite cero si no tiene.",IF(AR36&gt;$C36," * La variable Teleconsulta de especialidad resueltas por Médicos Generales no puede ser mayor al Total.",""))</f>
        <v xml:space="preserve"> * La variable Teleconsulta de especialidad resueltas por Médicos Generales no puede ser mayor al Total.</v>
      </c>
      <c r="CG36" s="162" t="str">
        <f t="shared" ref="CG36:CG88" si="18">IF(AND($C36&gt;0,AS36="")," * No olvide digitar la variable Serv. Nac. Reinserción Social Juvenil. Digite cero si no tiene.",IF(AS36&gt;$C36," * La variable Serv. Nac. Reinserción Social Juvenil no puede ser mayor al Total.",""))</f>
        <v xml:space="preserve"> * La variable Serv. Nac. Reinserción Social Juvenil no puede ser mayor al Total.</v>
      </c>
      <c r="CH36" s="162" t="str">
        <f t="shared" ref="CH36:CH89" si="19">IF(AND($C36&gt;0,AT36="")," * No olvide digitar la variable Serv. Nac. Protección Especializada a la Niñez y Adolescencia. Digite cero si no tiene.",IF(AT36&gt;$C36,"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L36" s="163" t="e">
        <f t="shared" si="9"/>
        <v>#VALUE!</v>
      </c>
      <c r="CM36" s="163" t="e">
        <f t="shared" si="10"/>
        <v>#VALUE!</v>
      </c>
      <c r="CN36" s="163">
        <f t="shared" si="11"/>
        <v>1</v>
      </c>
      <c r="CO36" s="163">
        <f t="shared" ref="CO36:CO89" si="20">IF(AND(C36&gt;0,AQ36=""),1,IF(AQ36&gt;C36,1,0))</f>
        <v>1</v>
      </c>
      <c r="CP36" s="163">
        <f t="shared" ref="CP36:CR66" si="21">IF(AND($C36&gt;0,AR36=""),1,IF(AR36&gt;$C36,1,0))</f>
        <v>1</v>
      </c>
      <c r="CQ36" s="163">
        <f t="shared" si="21"/>
        <v>1</v>
      </c>
      <c r="CR36" s="163">
        <f t="shared" si="21"/>
        <v>1</v>
      </c>
    </row>
    <row r="37" spans="1:96" s="161" customFormat="1" ht="15" customHeight="1" x14ac:dyDescent="0.15">
      <c r="A37" s="5601">
        <v>32101536</v>
      </c>
      <c r="B37" s="936" t="s">
        <v>1210</v>
      </c>
      <c r="C37" s="405" t="s">
        <v>4567</v>
      </c>
      <c r="D37" s="1466" t="s">
        <v>4568</v>
      </c>
      <c r="E37" s="1467" t="s">
        <v>4569</v>
      </c>
      <c r="F37" s="1504" t="s">
        <v>4570</v>
      </c>
      <c r="G37" s="1504" t="s">
        <v>4571</v>
      </c>
      <c r="H37" s="1504" t="s">
        <v>4572</v>
      </c>
      <c r="I37" s="1504" t="s">
        <v>4573</v>
      </c>
      <c r="J37" s="1504" t="s">
        <v>4574</v>
      </c>
      <c r="K37" s="1504" t="s">
        <v>4575</v>
      </c>
      <c r="L37" s="1504" t="s">
        <v>4576</v>
      </c>
      <c r="M37" s="1504" t="s">
        <v>4577</v>
      </c>
      <c r="N37" s="1504" t="s">
        <v>4578</v>
      </c>
      <c r="O37" s="1504" t="s">
        <v>4579</v>
      </c>
      <c r="P37" s="1504" t="s">
        <v>4580</v>
      </c>
      <c r="Q37" s="1504" t="s">
        <v>4581</v>
      </c>
      <c r="R37" s="1504" t="s">
        <v>4582</v>
      </c>
      <c r="S37" s="1504" t="s">
        <v>4583</v>
      </c>
      <c r="T37" s="1505" t="s">
        <v>4584</v>
      </c>
      <c r="U37" s="406" t="s">
        <v>4585</v>
      </c>
      <c r="V37" s="1501" t="s">
        <v>4586</v>
      </c>
      <c r="W37" s="406" t="s">
        <v>4587</v>
      </c>
      <c r="X37" s="1501" t="s">
        <v>4588</v>
      </c>
      <c r="Y37" s="406" t="s">
        <v>4589</v>
      </c>
      <c r="Z37" s="1501" t="s">
        <v>4590</v>
      </c>
      <c r="AA37" s="936" t="s">
        <v>4591</v>
      </c>
      <c r="AB37" s="406" t="s">
        <v>4592</v>
      </c>
      <c r="AC37" s="1502" t="s">
        <v>4593</v>
      </c>
      <c r="AD37" s="1502" t="s">
        <v>4594</v>
      </c>
      <c r="AE37" s="1501" t="s">
        <v>4595</v>
      </c>
      <c r="AF37" s="936" t="s">
        <v>4596</v>
      </c>
      <c r="AG37" s="406" t="s">
        <v>4597</v>
      </c>
      <c r="AH37" s="1502" t="s">
        <v>4598</v>
      </c>
      <c r="AI37" s="1502" t="s">
        <v>4599</v>
      </c>
      <c r="AJ37" s="1503" t="s">
        <v>4600</v>
      </c>
      <c r="AK37" s="1478" t="s">
        <v>4601</v>
      </c>
      <c r="AL37" s="1478" t="s">
        <v>4602</v>
      </c>
      <c r="AM37" s="1478" t="s">
        <v>4603</v>
      </c>
      <c r="AN37" s="1478" t="s">
        <v>4604</v>
      </c>
      <c r="AO37" s="1478" t="s">
        <v>4605</v>
      </c>
      <c r="AP37" s="1478" t="s">
        <v>4606</v>
      </c>
      <c r="AQ37" s="1478" t="s">
        <v>4934</v>
      </c>
      <c r="AR37" s="1478" t="s">
        <v>4935</v>
      </c>
      <c r="AS37" s="1478" t="s">
        <v>4936</v>
      </c>
      <c r="AT37" s="1478" t="s">
        <v>4937</v>
      </c>
      <c r="AU37" s="161" t="e">
        <f t="shared" si="12"/>
        <v>#VALUE!</v>
      </c>
      <c r="CB37" s="162" t="e">
        <f t="shared" si="13"/>
        <v>#VALUE!</v>
      </c>
      <c r="CC37" s="162" t="e">
        <f t="shared" si="14"/>
        <v>#VALUE!</v>
      </c>
      <c r="CD37" s="162" t="str">
        <f t="shared" si="15"/>
        <v xml:space="preserve"> * La variable Pueblos Originarios no puede ser mayor al Total.</v>
      </c>
      <c r="CE37" s="162" t="str">
        <f t="shared" si="16"/>
        <v xml:space="preserve"> * La variable Migrantes no puede ser mayor al Total.</v>
      </c>
      <c r="CF37" s="162" t="str">
        <f t="shared" si="17"/>
        <v xml:space="preserve"> * La variable Teleconsulta de especialidad resueltas por Médicos Generales no puede ser mayor al Total.</v>
      </c>
      <c r="CG37" s="162" t="str">
        <f t="shared" si="18"/>
        <v xml:space="preserve"> * La variable Serv. Nac. Reinserción Social Juvenil no puede ser mayor al Total.</v>
      </c>
      <c r="CH37" s="162" t="str">
        <f t="shared" si="19"/>
        <v xml:space="preserve"> * La variable Serv. Nac. Protección Especializada a la Niñez y Adolescencia no puede ser mayor al Total.</v>
      </c>
      <c r="CL37" s="163" t="e">
        <f t="shared" si="9"/>
        <v>#VALUE!</v>
      </c>
      <c r="CM37" s="163" t="e">
        <f t="shared" si="10"/>
        <v>#VALUE!</v>
      </c>
      <c r="CN37" s="163">
        <f t="shared" si="11"/>
        <v>1</v>
      </c>
      <c r="CO37" s="163">
        <f t="shared" si="20"/>
        <v>1</v>
      </c>
      <c r="CP37" s="163">
        <f t="shared" si="21"/>
        <v>1</v>
      </c>
      <c r="CQ37" s="163">
        <f t="shared" si="21"/>
        <v>1</v>
      </c>
      <c r="CR37" s="163">
        <f t="shared" si="21"/>
        <v>1</v>
      </c>
    </row>
    <row r="38" spans="1:96" s="161" customFormat="1" ht="15" customHeight="1" x14ac:dyDescent="0.15">
      <c r="A38" s="5601">
        <v>32101537</v>
      </c>
      <c r="B38" s="936" t="s">
        <v>3998</v>
      </c>
      <c r="C38" s="405" t="s">
        <v>4567</v>
      </c>
      <c r="D38" s="1466" t="s">
        <v>4568</v>
      </c>
      <c r="E38" s="1467" t="s">
        <v>4569</v>
      </c>
      <c r="F38" s="1467" t="s">
        <v>4570</v>
      </c>
      <c r="G38" s="1467" t="s">
        <v>4571</v>
      </c>
      <c r="H38" s="1467" t="s">
        <v>4572</v>
      </c>
      <c r="I38" s="1467" t="s">
        <v>4573</v>
      </c>
      <c r="J38" s="1467" t="s">
        <v>4574</v>
      </c>
      <c r="K38" s="1467" t="s">
        <v>4575</v>
      </c>
      <c r="L38" s="1467" t="s">
        <v>4576</v>
      </c>
      <c r="M38" s="1467" t="s">
        <v>4577</v>
      </c>
      <c r="N38" s="1467" t="s">
        <v>4578</v>
      </c>
      <c r="O38" s="1467" t="s">
        <v>4579</v>
      </c>
      <c r="P38" s="1467" t="s">
        <v>4580</v>
      </c>
      <c r="Q38" s="1467" t="s">
        <v>4581</v>
      </c>
      <c r="R38" s="1467" t="s">
        <v>4582</v>
      </c>
      <c r="S38" s="1467" t="s">
        <v>4583</v>
      </c>
      <c r="T38" s="1475" t="s">
        <v>4584</v>
      </c>
      <c r="U38" s="406" t="s">
        <v>4585</v>
      </c>
      <c r="V38" s="1501" t="s">
        <v>4586</v>
      </c>
      <c r="W38" s="406" t="s">
        <v>4587</v>
      </c>
      <c r="X38" s="1501" t="s">
        <v>4588</v>
      </c>
      <c r="Y38" s="406" t="s">
        <v>4589</v>
      </c>
      <c r="Z38" s="1501" t="s">
        <v>4590</v>
      </c>
      <c r="AA38" s="936" t="s">
        <v>4591</v>
      </c>
      <c r="AB38" s="406" t="s">
        <v>4592</v>
      </c>
      <c r="AC38" s="1502" t="s">
        <v>4593</v>
      </c>
      <c r="AD38" s="1502" t="s">
        <v>4594</v>
      </c>
      <c r="AE38" s="1501" t="s">
        <v>4595</v>
      </c>
      <c r="AF38" s="936" t="s">
        <v>4596</v>
      </c>
      <c r="AG38" s="406" t="s">
        <v>4597</v>
      </c>
      <c r="AH38" s="1502" t="s">
        <v>4598</v>
      </c>
      <c r="AI38" s="1502" t="s">
        <v>4599</v>
      </c>
      <c r="AJ38" s="1503" t="s">
        <v>4600</v>
      </c>
      <c r="AK38" s="1478" t="s">
        <v>4601</v>
      </c>
      <c r="AL38" s="1478" t="s">
        <v>4602</v>
      </c>
      <c r="AM38" s="1478" t="s">
        <v>4603</v>
      </c>
      <c r="AN38" s="1478" t="s">
        <v>4604</v>
      </c>
      <c r="AO38" s="1478" t="s">
        <v>4605</v>
      </c>
      <c r="AP38" s="1478" t="s">
        <v>4606</v>
      </c>
      <c r="AQ38" s="1478" t="s">
        <v>4934</v>
      </c>
      <c r="AR38" s="1478" t="s">
        <v>4935</v>
      </c>
      <c r="AS38" s="1478" t="s">
        <v>4936</v>
      </c>
      <c r="AT38" s="1478" t="s">
        <v>4937</v>
      </c>
      <c r="AU38" s="161" t="e">
        <f t="shared" si="12"/>
        <v>#VALUE!</v>
      </c>
      <c r="CB38" s="162" t="e">
        <f t="shared" si="13"/>
        <v>#VALUE!</v>
      </c>
      <c r="CC38" s="162" t="e">
        <f t="shared" si="14"/>
        <v>#VALUE!</v>
      </c>
      <c r="CD38" s="162" t="str">
        <f t="shared" si="15"/>
        <v xml:space="preserve"> * La variable Pueblos Originarios no puede ser mayor al Total.</v>
      </c>
      <c r="CE38" s="162" t="str">
        <f t="shared" si="16"/>
        <v xml:space="preserve"> * La variable Migrantes no puede ser mayor al Total.</v>
      </c>
      <c r="CF38" s="162" t="str">
        <f t="shared" si="17"/>
        <v xml:space="preserve"> * La variable Teleconsulta de especialidad resueltas por Médicos Generales no puede ser mayor al Total.</v>
      </c>
      <c r="CG38" s="162" t="str">
        <f t="shared" si="18"/>
        <v xml:space="preserve"> * La variable Serv. Nac. Reinserción Social Juvenil no puede ser mayor al Total.</v>
      </c>
      <c r="CH38" s="162" t="str">
        <f t="shared" si="19"/>
        <v xml:space="preserve"> * La variable Serv. Nac. Protección Especializada a la Niñez y Adolescencia no puede ser mayor al Total.</v>
      </c>
      <c r="CL38" s="163" t="e">
        <f t="shared" si="9"/>
        <v>#VALUE!</v>
      </c>
      <c r="CM38" s="163" t="e">
        <f t="shared" si="10"/>
        <v>#VALUE!</v>
      </c>
      <c r="CN38" s="163">
        <f t="shared" si="11"/>
        <v>1</v>
      </c>
      <c r="CO38" s="163">
        <f t="shared" si="20"/>
        <v>1</v>
      </c>
      <c r="CP38" s="163">
        <f t="shared" si="21"/>
        <v>1</v>
      </c>
      <c r="CQ38" s="163">
        <f t="shared" si="21"/>
        <v>1</v>
      </c>
      <c r="CR38" s="163">
        <f t="shared" si="21"/>
        <v>1</v>
      </c>
    </row>
    <row r="39" spans="1:96" s="161" customFormat="1" ht="15" customHeight="1" x14ac:dyDescent="0.15">
      <c r="A39" s="5601">
        <v>32100200</v>
      </c>
      <c r="B39" s="936" t="s">
        <v>3999</v>
      </c>
      <c r="C39" s="405" t="s">
        <v>4567</v>
      </c>
      <c r="D39" s="1466" t="s">
        <v>4568</v>
      </c>
      <c r="E39" s="1467" t="s">
        <v>4569</v>
      </c>
      <c r="F39" s="1467" t="s">
        <v>4570</v>
      </c>
      <c r="G39" s="1467" t="s">
        <v>4571</v>
      </c>
      <c r="H39" s="1467" t="s">
        <v>4572</v>
      </c>
      <c r="I39" s="1467" t="s">
        <v>4573</v>
      </c>
      <c r="J39" s="1467" t="s">
        <v>4574</v>
      </c>
      <c r="K39" s="1467" t="s">
        <v>4575</v>
      </c>
      <c r="L39" s="1467" t="s">
        <v>4576</v>
      </c>
      <c r="M39" s="1467" t="s">
        <v>4577</v>
      </c>
      <c r="N39" s="1467" t="s">
        <v>4578</v>
      </c>
      <c r="O39" s="1467" t="s">
        <v>4579</v>
      </c>
      <c r="P39" s="1467" t="s">
        <v>4580</v>
      </c>
      <c r="Q39" s="1467" t="s">
        <v>4581</v>
      </c>
      <c r="R39" s="1467" t="s">
        <v>4582</v>
      </c>
      <c r="S39" s="1467" t="s">
        <v>4583</v>
      </c>
      <c r="T39" s="1475" t="s">
        <v>4584</v>
      </c>
      <c r="U39" s="406" t="s">
        <v>4585</v>
      </c>
      <c r="V39" s="1501" t="s">
        <v>4586</v>
      </c>
      <c r="W39" s="406" t="s">
        <v>4587</v>
      </c>
      <c r="X39" s="1501" t="s">
        <v>4588</v>
      </c>
      <c r="Y39" s="406" t="s">
        <v>4589</v>
      </c>
      <c r="Z39" s="1501" t="s">
        <v>4590</v>
      </c>
      <c r="AA39" s="936" t="s">
        <v>4591</v>
      </c>
      <c r="AB39" s="406" t="s">
        <v>4592</v>
      </c>
      <c r="AC39" s="1502" t="s">
        <v>4593</v>
      </c>
      <c r="AD39" s="1502" t="s">
        <v>4594</v>
      </c>
      <c r="AE39" s="1501" t="s">
        <v>4595</v>
      </c>
      <c r="AF39" s="936" t="s">
        <v>4596</v>
      </c>
      <c r="AG39" s="406" t="s">
        <v>4597</v>
      </c>
      <c r="AH39" s="1502" t="s">
        <v>4598</v>
      </c>
      <c r="AI39" s="1502" t="s">
        <v>4599</v>
      </c>
      <c r="AJ39" s="1503" t="s">
        <v>4600</v>
      </c>
      <c r="AK39" s="1478" t="s">
        <v>4601</v>
      </c>
      <c r="AL39" s="1478" t="s">
        <v>4602</v>
      </c>
      <c r="AM39" s="1478" t="s">
        <v>4603</v>
      </c>
      <c r="AN39" s="1478" t="s">
        <v>4604</v>
      </c>
      <c r="AO39" s="1478" t="s">
        <v>4605</v>
      </c>
      <c r="AP39" s="1478" t="s">
        <v>4606</v>
      </c>
      <c r="AQ39" s="1478" t="s">
        <v>4934</v>
      </c>
      <c r="AR39" s="1478" t="s">
        <v>4935</v>
      </c>
      <c r="AS39" s="1478" t="s">
        <v>4936</v>
      </c>
      <c r="AT39" s="1478" t="s">
        <v>4937</v>
      </c>
      <c r="AU39" s="161" t="e">
        <f t="shared" si="12"/>
        <v>#VALUE!</v>
      </c>
      <c r="CB39" s="162" t="e">
        <f t="shared" si="13"/>
        <v>#VALUE!</v>
      </c>
      <c r="CC39" s="162" t="e">
        <f t="shared" si="14"/>
        <v>#VALUE!</v>
      </c>
      <c r="CD39" s="162" t="str">
        <f t="shared" si="15"/>
        <v xml:space="preserve"> * La variable Pueblos Originarios no puede ser mayor al Total.</v>
      </c>
      <c r="CE39" s="162" t="str">
        <f t="shared" si="16"/>
        <v xml:space="preserve"> * La variable Migrantes no puede ser mayor al Total.</v>
      </c>
      <c r="CF39" s="162" t="str">
        <f t="shared" si="17"/>
        <v xml:space="preserve"> * La variable Teleconsulta de especialidad resueltas por Médicos Generales no puede ser mayor al Total.</v>
      </c>
      <c r="CG39" s="162" t="str">
        <f t="shared" si="18"/>
        <v xml:space="preserve"> * La variable Serv. Nac. Reinserción Social Juvenil no puede ser mayor al Total.</v>
      </c>
      <c r="CH39" s="162" t="str">
        <f t="shared" si="19"/>
        <v xml:space="preserve"> * La variable Serv. Nac. Protección Especializada a la Niñez y Adolescencia no puede ser mayor al Total.</v>
      </c>
      <c r="CL39" s="163" t="e">
        <f t="shared" si="9"/>
        <v>#VALUE!</v>
      </c>
      <c r="CM39" s="163" t="e">
        <f t="shared" si="10"/>
        <v>#VALUE!</v>
      </c>
      <c r="CN39" s="163">
        <f t="shared" si="11"/>
        <v>1</v>
      </c>
      <c r="CO39" s="163">
        <f t="shared" si="20"/>
        <v>1</v>
      </c>
      <c r="CP39" s="163">
        <f t="shared" si="21"/>
        <v>1</v>
      </c>
      <c r="CQ39" s="163">
        <f t="shared" si="21"/>
        <v>1</v>
      </c>
      <c r="CR39" s="163">
        <f t="shared" si="21"/>
        <v>1</v>
      </c>
    </row>
    <row r="40" spans="1:96" s="161" customFormat="1" ht="15" customHeight="1" x14ac:dyDescent="0.15">
      <c r="A40" s="5605">
        <v>32111004</v>
      </c>
      <c r="B40" s="1087" t="s">
        <v>4305</v>
      </c>
      <c r="C40" s="405" t="s">
        <v>4567</v>
      </c>
      <c r="D40" s="1466" t="s">
        <v>4568</v>
      </c>
      <c r="E40" s="1467" t="s">
        <v>4569</v>
      </c>
      <c r="F40" s="1467" t="s">
        <v>4570</v>
      </c>
      <c r="G40" s="1467" t="s">
        <v>4571</v>
      </c>
      <c r="H40" s="1467" t="s">
        <v>4572</v>
      </c>
      <c r="I40" s="1467" t="s">
        <v>4573</v>
      </c>
      <c r="J40" s="1467" t="s">
        <v>4574</v>
      </c>
      <c r="K40" s="1467" t="s">
        <v>4575</v>
      </c>
      <c r="L40" s="1467" t="s">
        <v>4576</v>
      </c>
      <c r="M40" s="1467" t="s">
        <v>4577</v>
      </c>
      <c r="N40" s="1467" t="s">
        <v>4578</v>
      </c>
      <c r="O40" s="1467" t="s">
        <v>4579</v>
      </c>
      <c r="P40" s="1467" t="s">
        <v>4580</v>
      </c>
      <c r="Q40" s="1467" t="s">
        <v>4581</v>
      </c>
      <c r="R40" s="1467" t="s">
        <v>4582</v>
      </c>
      <c r="S40" s="1467" t="s">
        <v>4583</v>
      </c>
      <c r="T40" s="1475" t="s">
        <v>4584</v>
      </c>
      <c r="U40" s="406" t="s">
        <v>4585</v>
      </c>
      <c r="V40" s="1501" t="s">
        <v>4586</v>
      </c>
      <c r="W40" s="406" t="s">
        <v>4587</v>
      </c>
      <c r="X40" s="1501" t="s">
        <v>4588</v>
      </c>
      <c r="Y40" s="406" t="s">
        <v>4589</v>
      </c>
      <c r="Z40" s="1501" t="s">
        <v>4590</v>
      </c>
      <c r="AA40" s="936" t="s">
        <v>4591</v>
      </c>
      <c r="AB40" s="406" t="s">
        <v>4592</v>
      </c>
      <c r="AC40" s="1502" t="s">
        <v>4593</v>
      </c>
      <c r="AD40" s="1502" t="s">
        <v>4594</v>
      </c>
      <c r="AE40" s="1501" t="s">
        <v>4595</v>
      </c>
      <c r="AF40" s="936" t="s">
        <v>4596</v>
      </c>
      <c r="AG40" s="406" t="s">
        <v>4597</v>
      </c>
      <c r="AH40" s="1502" t="s">
        <v>4598</v>
      </c>
      <c r="AI40" s="1502" t="s">
        <v>4599</v>
      </c>
      <c r="AJ40" s="1503" t="s">
        <v>4600</v>
      </c>
      <c r="AK40" s="1478" t="s">
        <v>4601</v>
      </c>
      <c r="AL40" s="1478" t="s">
        <v>4602</v>
      </c>
      <c r="AM40" s="1478" t="s">
        <v>4603</v>
      </c>
      <c r="AN40" s="1478" t="s">
        <v>4604</v>
      </c>
      <c r="AO40" s="1478" t="s">
        <v>4605</v>
      </c>
      <c r="AP40" s="1478" t="s">
        <v>4606</v>
      </c>
      <c r="AQ40" s="1478" t="s">
        <v>4934</v>
      </c>
      <c r="AR40" s="1478" t="s">
        <v>4935</v>
      </c>
      <c r="AS40" s="1478" t="s">
        <v>4936</v>
      </c>
      <c r="AT40" s="1478" t="s">
        <v>4937</v>
      </c>
      <c r="AU40" s="161" t="e">
        <f t="shared" si="12"/>
        <v>#VALUE!</v>
      </c>
      <c r="CB40" s="162" t="e">
        <f t="shared" si="13"/>
        <v>#VALUE!</v>
      </c>
      <c r="CC40" s="162" t="e">
        <f t="shared" si="14"/>
        <v>#VALUE!</v>
      </c>
      <c r="CD40" s="162" t="str">
        <f t="shared" si="15"/>
        <v xml:space="preserve"> * La variable Pueblos Originarios no puede ser mayor al Total.</v>
      </c>
      <c r="CE40" s="162" t="str">
        <f t="shared" si="16"/>
        <v xml:space="preserve"> * La variable Migrantes no puede ser mayor al Total.</v>
      </c>
      <c r="CF40" s="162" t="str">
        <f t="shared" si="17"/>
        <v xml:space="preserve"> * La variable Teleconsulta de especialidad resueltas por Médicos Generales no puede ser mayor al Total.</v>
      </c>
      <c r="CG40" s="162" t="str">
        <f t="shared" si="18"/>
        <v xml:space="preserve"> * La variable Serv. Nac. Reinserción Social Juvenil no puede ser mayor al Total.</v>
      </c>
      <c r="CH40" s="162" t="str">
        <f t="shared" si="19"/>
        <v xml:space="preserve"> * La variable Serv. Nac. Protección Especializada a la Niñez y Adolescencia no puede ser mayor al Total.</v>
      </c>
      <c r="CL40" s="163" t="e">
        <f t="shared" si="9"/>
        <v>#VALUE!</v>
      </c>
      <c r="CM40" s="163" t="e">
        <f t="shared" si="10"/>
        <v>#VALUE!</v>
      </c>
      <c r="CN40" s="163">
        <f t="shared" si="11"/>
        <v>1</v>
      </c>
      <c r="CO40" s="163">
        <f t="shared" si="20"/>
        <v>1</v>
      </c>
      <c r="CP40" s="163">
        <f t="shared" si="21"/>
        <v>1</v>
      </c>
      <c r="CQ40" s="163">
        <f t="shared" si="21"/>
        <v>1</v>
      </c>
      <c r="CR40" s="163">
        <f t="shared" si="21"/>
        <v>1</v>
      </c>
    </row>
    <row r="41" spans="1:96" s="161" customFormat="1" ht="15" customHeight="1" x14ac:dyDescent="0.2">
      <c r="A41" s="5605">
        <v>32111005</v>
      </c>
      <c r="B41" s="3068" t="s">
        <v>4308</v>
      </c>
      <c r="C41" s="405" t="s">
        <v>4567</v>
      </c>
      <c r="D41" s="1466" t="s">
        <v>4568</v>
      </c>
      <c r="E41" s="1467" t="s">
        <v>4569</v>
      </c>
      <c r="F41" s="1467" t="s">
        <v>4570</v>
      </c>
      <c r="G41" s="1467" t="s">
        <v>4571</v>
      </c>
      <c r="H41" s="1467" t="s">
        <v>4572</v>
      </c>
      <c r="I41" s="1467" t="s">
        <v>4573</v>
      </c>
      <c r="J41" s="1467" t="s">
        <v>4574</v>
      </c>
      <c r="K41" s="1467" t="s">
        <v>4575</v>
      </c>
      <c r="L41" s="1467" t="s">
        <v>4576</v>
      </c>
      <c r="M41" s="1467" t="s">
        <v>4577</v>
      </c>
      <c r="N41" s="1467" t="s">
        <v>4578</v>
      </c>
      <c r="O41" s="1467" t="s">
        <v>4579</v>
      </c>
      <c r="P41" s="1467" t="s">
        <v>4580</v>
      </c>
      <c r="Q41" s="1467" t="s">
        <v>4581</v>
      </c>
      <c r="R41" s="1467" t="s">
        <v>4582</v>
      </c>
      <c r="S41" s="1467" t="s">
        <v>4583</v>
      </c>
      <c r="T41" s="1475" t="s">
        <v>4584</v>
      </c>
      <c r="U41" s="406" t="s">
        <v>4585</v>
      </c>
      <c r="V41" s="1501" t="s">
        <v>4586</v>
      </c>
      <c r="W41" s="406" t="s">
        <v>4587</v>
      </c>
      <c r="X41" s="1501" t="s">
        <v>4588</v>
      </c>
      <c r="Y41" s="406" t="s">
        <v>4589</v>
      </c>
      <c r="Z41" s="1501" t="s">
        <v>4590</v>
      </c>
      <c r="AA41" s="936" t="s">
        <v>4591</v>
      </c>
      <c r="AB41" s="406" t="s">
        <v>4592</v>
      </c>
      <c r="AC41" s="1502" t="s">
        <v>4593</v>
      </c>
      <c r="AD41" s="1502" t="s">
        <v>4594</v>
      </c>
      <c r="AE41" s="1501" t="s">
        <v>4595</v>
      </c>
      <c r="AF41" s="936" t="s">
        <v>4596</v>
      </c>
      <c r="AG41" s="406" t="s">
        <v>4597</v>
      </c>
      <c r="AH41" s="1502" t="s">
        <v>4598</v>
      </c>
      <c r="AI41" s="1502" t="s">
        <v>4599</v>
      </c>
      <c r="AJ41" s="1503" t="s">
        <v>4600</v>
      </c>
      <c r="AK41" s="1478" t="s">
        <v>4601</v>
      </c>
      <c r="AL41" s="1478" t="s">
        <v>4602</v>
      </c>
      <c r="AM41" s="1478" t="s">
        <v>4603</v>
      </c>
      <c r="AN41" s="1478" t="s">
        <v>4604</v>
      </c>
      <c r="AO41" s="1478" t="s">
        <v>4605</v>
      </c>
      <c r="AP41" s="1478" t="s">
        <v>4606</v>
      </c>
      <c r="AQ41" s="1478" t="s">
        <v>4934</v>
      </c>
      <c r="AR41" s="1478" t="s">
        <v>4935</v>
      </c>
      <c r="AS41" s="1478" t="s">
        <v>4936</v>
      </c>
      <c r="AT41" s="1478" t="s">
        <v>4937</v>
      </c>
      <c r="AU41" s="161" t="e">
        <f t="shared" si="12"/>
        <v>#VALUE!</v>
      </c>
      <c r="CB41" s="162" t="e">
        <f t="shared" si="13"/>
        <v>#VALUE!</v>
      </c>
      <c r="CC41" s="162" t="e">
        <f t="shared" si="14"/>
        <v>#VALUE!</v>
      </c>
      <c r="CD41" s="162" t="str">
        <f t="shared" si="15"/>
        <v xml:space="preserve"> * La variable Pueblos Originarios no puede ser mayor al Total.</v>
      </c>
      <c r="CE41" s="162" t="str">
        <f t="shared" si="16"/>
        <v xml:space="preserve"> * La variable Migrantes no puede ser mayor al Total.</v>
      </c>
      <c r="CF41" s="162" t="str">
        <f t="shared" si="17"/>
        <v xml:space="preserve"> * La variable Teleconsulta de especialidad resueltas por Médicos Generales no puede ser mayor al Total.</v>
      </c>
      <c r="CG41" s="162" t="str">
        <f t="shared" si="18"/>
        <v xml:space="preserve"> * La variable Serv. Nac. Reinserción Social Juvenil no puede ser mayor al Total.</v>
      </c>
      <c r="CH41" s="162" t="str">
        <f t="shared" si="19"/>
        <v xml:space="preserve"> * La variable Serv. Nac. Protección Especializada a la Niñez y Adolescencia no puede ser mayor al Total.</v>
      </c>
      <c r="CL41" s="163" t="e">
        <f t="shared" si="9"/>
        <v>#VALUE!</v>
      </c>
      <c r="CM41" s="163" t="e">
        <f t="shared" si="10"/>
        <v>#VALUE!</v>
      </c>
      <c r="CN41" s="163">
        <f t="shared" si="11"/>
        <v>1</v>
      </c>
      <c r="CO41" s="163">
        <f t="shared" si="20"/>
        <v>1</v>
      </c>
      <c r="CP41" s="163">
        <f t="shared" si="21"/>
        <v>1</v>
      </c>
      <c r="CQ41" s="163">
        <f t="shared" si="21"/>
        <v>1</v>
      </c>
      <c r="CR41" s="163">
        <f t="shared" si="21"/>
        <v>1</v>
      </c>
    </row>
    <row r="42" spans="1:96" s="161" customFormat="1" ht="15" customHeight="1" x14ac:dyDescent="0.15">
      <c r="A42" s="5601">
        <v>32101539</v>
      </c>
      <c r="B42" s="936" t="s">
        <v>3699</v>
      </c>
      <c r="C42" s="405" t="s">
        <v>4567</v>
      </c>
      <c r="D42" s="1466" t="s">
        <v>4568</v>
      </c>
      <c r="E42" s="1467" t="s">
        <v>4569</v>
      </c>
      <c r="F42" s="1467" t="s">
        <v>4570</v>
      </c>
      <c r="G42" s="1467" t="s">
        <v>4571</v>
      </c>
      <c r="H42" s="1467" t="s">
        <v>4572</v>
      </c>
      <c r="I42" s="1467" t="s">
        <v>4573</v>
      </c>
      <c r="J42" s="1467" t="s">
        <v>4574</v>
      </c>
      <c r="K42" s="1467" t="s">
        <v>4575</v>
      </c>
      <c r="L42" s="1467" t="s">
        <v>4576</v>
      </c>
      <c r="M42" s="1467" t="s">
        <v>4577</v>
      </c>
      <c r="N42" s="1467" t="s">
        <v>4578</v>
      </c>
      <c r="O42" s="1467" t="s">
        <v>4579</v>
      </c>
      <c r="P42" s="1467" t="s">
        <v>4580</v>
      </c>
      <c r="Q42" s="1467" t="s">
        <v>4581</v>
      </c>
      <c r="R42" s="1467" t="s">
        <v>4582</v>
      </c>
      <c r="S42" s="1467" t="s">
        <v>4583</v>
      </c>
      <c r="T42" s="1475" t="s">
        <v>4584</v>
      </c>
      <c r="U42" s="406" t="s">
        <v>4585</v>
      </c>
      <c r="V42" s="1501" t="s">
        <v>4586</v>
      </c>
      <c r="W42" s="406" t="s">
        <v>4587</v>
      </c>
      <c r="X42" s="1501" t="s">
        <v>4588</v>
      </c>
      <c r="Y42" s="406" t="s">
        <v>4589</v>
      </c>
      <c r="Z42" s="1501" t="s">
        <v>4590</v>
      </c>
      <c r="AA42" s="936" t="s">
        <v>4591</v>
      </c>
      <c r="AB42" s="406" t="s">
        <v>4592</v>
      </c>
      <c r="AC42" s="1502" t="s">
        <v>4593</v>
      </c>
      <c r="AD42" s="1502" t="s">
        <v>4594</v>
      </c>
      <c r="AE42" s="1501" t="s">
        <v>4595</v>
      </c>
      <c r="AF42" s="936" t="s">
        <v>4596</v>
      </c>
      <c r="AG42" s="406" t="s">
        <v>4597</v>
      </c>
      <c r="AH42" s="1502" t="s">
        <v>4598</v>
      </c>
      <c r="AI42" s="1502" t="s">
        <v>4599</v>
      </c>
      <c r="AJ42" s="1503" t="s">
        <v>4600</v>
      </c>
      <c r="AK42" s="1478" t="s">
        <v>4601</v>
      </c>
      <c r="AL42" s="1478" t="s">
        <v>4602</v>
      </c>
      <c r="AM42" s="1478" t="s">
        <v>4603</v>
      </c>
      <c r="AN42" s="1478" t="s">
        <v>4604</v>
      </c>
      <c r="AO42" s="1478" t="s">
        <v>4605</v>
      </c>
      <c r="AP42" s="1478" t="s">
        <v>4606</v>
      </c>
      <c r="AQ42" s="1478" t="s">
        <v>4934</v>
      </c>
      <c r="AR42" s="1478" t="s">
        <v>4935</v>
      </c>
      <c r="AS42" s="1478" t="s">
        <v>4936</v>
      </c>
      <c r="AT42" s="1478" t="s">
        <v>4937</v>
      </c>
      <c r="AU42" s="161" t="e">
        <f t="shared" si="12"/>
        <v>#VALUE!</v>
      </c>
      <c r="CB42" s="162" t="e">
        <f t="shared" si="13"/>
        <v>#VALUE!</v>
      </c>
      <c r="CC42" s="162" t="e">
        <f t="shared" si="14"/>
        <v>#VALUE!</v>
      </c>
      <c r="CD42" s="162" t="str">
        <f t="shared" si="15"/>
        <v xml:space="preserve"> * La variable Pueblos Originarios no puede ser mayor al Total.</v>
      </c>
      <c r="CE42" s="162" t="str">
        <f t="shared" si="16"/>
        <v xml:space="preserve"> * La variable Migrantes no puede ser mayor al Total.</v>
      </c>
      <c r="CF42" s="162" t="str">
        <f t="shared" si="17"/>
        <v xml:space="preserve"> * La variable Teleconsulta de especialidad resueltas por Médicos Generales no puede ser mayor al Total.</v>
      </c>
      <c r="CG42" s="162" t="str">
        <f t="shared" si="18"/>
        <v xml:space="preserve"> * La variable Serv. Nac. Reinserción Social Juvenil no puede ser mayor al Total.</v>
      </c>
      <c r="CH42" s="162" t="str">
        <f t="shared" si="19"/>
        <v xml:space="preserve"> * La variable Serv. Nac. Protección Especializada a la Niñez y Adolescencia no puede ser mayor al Total.</v>
      </c>
      <c r="CL42" s="163" t="e">
        <f t="shared" si="9"/>
        <v>#VALUE!</v>
      </c>
      <c r="CM42" s="163" t="e">
        <f t="shared" si="10"/>
        <v>#VALUE!</v>
      </c>
      <c r="CN42" s="163">
        <f t="shared" si="11"/>
        <v>1</v>
      </c>
      <c r="CO42" s="163">
        <f t="shared" si="20"/>
        <v>1</v>
      </c>
      <c r="CP42" s="163">
        <f t="shared" si="21"/>
        <v>1</v>
      </c>
      <c r="CQ42" s="163">
        <f t="shared" si="21"/>
        <v>1</v>
      </c>
      <c r="CR42" s="163">
        <f t="shared" si="21"/>
        <v>1</v>
      </c>
    </row>
    <row r="43" spans="1:96" s="161" customFormat="1" ht="15" customHeight="1" x14ac:dyDescent="0.15">
      <c r="A43" s="5601">
        <v>32100220</v>
      </c>
      <c r="B43" s="936" t="s">
        <v>3133</v>
      </c>
      <c r="C43" s="405" t="s">
        <v>4567</v>
      </c>
      <c r="D43" s="1466" t="s">
        <v>4568</v>
      </c>
      <c r="E43" s="1467" t="s">
        <v>4569</v>
      </c>
      <c r="F43" s="1467" t="s">
        <v>4570</v>
      </c>
      <c r="G43" s="1467" t="s">
        <v>4571</v>
      </c>
      <c r="H43" s="1467" t="s">
        <v>4572</v>
      </c>
      <c r="I43" s="1467" t="s">
        <v>4573</v>
      </c>
      <c r="J43" s="1467" t="s">
        <v>4574</v>
      </c>
      <c r="K43" s="1467" t="s">
        <v>4575</v>
      </c>
      <c r="L43" s="1467" t="s">
        <v>4576</v>
      </c>
      <c r="M43" s="1467" t="s">
        <v>4577</v>
      </c>
      <c r="N43" s="1467" t="s">
        <v>4578</v>
      </c>
      <c r="O43" s="1467" t="s">
        <v>4579</v>
      </c>
      <c r="P43" s="1467" t="s">
        <v>4580</v>
      </c>
      <c r="Q43" s="1467" t="s">
        <v>4581</v>
      </c>
      <c r="R43" s="1467" t="s">
        <v>4582</v>
      </c>
      <c r="S43" s="1467" t="s">
        <v>4583</v>
      </c>
      <c r="T43" s="1475" t="s">
        <v>4584</v>
      </c>
      <c r="U43" s="406" t="s">
        <v>4585</v>
      </c>
      <c r="V43" s="1501" t="s">
        <v>4586</v>
      </c>
      <c r="W43" s="406" t="s">
        <v>4587</v>
      </c>
      <c r="X43" s="1501" t="s">
        <v>4588</v>
      </c>
      <c r="Y43" s="406" t="s">
        <v>4589</v>
      </c>
      <c r="Z43" s="1501" t="s">
        <v>4590</v>
      </c>
      <c r="AA43" s="936" t="s">
        <v>4591</v>
      </c>
      <c r="AB43" s="406" t="s">
        <v>4592</v>
      </c>
      <c r="AC43" s="1502" t="s">
        <v>4593</v>
      </c>
      <c r="AD43" s="1502" t="s">
        <v>4594</v>
      </c>
      <c r="AE43" s="1501" t="s">
        <v>4595</v>
      </c>
      <c r="AF43" s="936" t="s">
        <v>4596</v>
      </c>
      <c r="AG43" s="406" t="s">
        <v>4597</v>
      </c>
      <c r="AH43" s="1502" t="s">
        <v>4598</v>
      </c>
      <c r="AI43" s="1502" t="s">
        <v>4599</v>
      </c>
      <c r="AJ43" s="1503" t="s">
        <v>4600</v>
      </c>
      <c r="AK43" s="1478" t="s">
        <v>4601</v>
      </c>
      <c r="AL43" s="1478" t="s">
        <v>4602</v>
      </c>
      <c r="AM43" s="1478" t="s">
        <v>4603</v>
      </c>
      <c r="AN43" s="1478" t="s">
        <v>4604</v>
      </c>
      <c r="AO43" s="1478" t="s">
        <v>4605</v>
      </c>
      <c r="AP43" s="1478" t="s">
        <v>4606</v>
      </c>
      <c r="AQ43" s="1478" t="s">
        <v>4934</v>
      </c>
      <c r="AR43" s="1478" t="s">
        <v>4935</v>
      </c>
      <c r="AS43" s="1478" t="s">
        <v>4936</v>
      </c>
      <c r="AT43" s="1478" t="s">
        <v>4937</v>
      </c>
      <c r="AU43" s="161" t="e">
        <f t="shared" si="12"/>
        <v>#VALUE!</v>
      </c>
      <c r="CB43" s="162" t="e">
        <f t="shared" si="13"/>
        <v>#VALUE!</v>
      </c>
      <c r="CC43" s="162" t="e">
        <f t="shared" si="14"/>
        <v>#VALUE!</v>
      </c>
      <c r="CD43" s="162" t="str">
        <f t="shared" si="15"/>
        <v xml:space="preserve"> * La variable Pueblos Originarios no puede ser mayor al Total.</v>
      </c>
      <c r="CE43" s="162" t="str">
        <f t="shared" si="16"/>
        <v xml:space="preserve"> * La variable Migrantes no puede ser mayor al Total.</v>
      </c>
      <c r="CF43" s="162" t="str">
        <f t="shared" si="17"/>
        <v xml:space="preserve"> * La variable Teleconsulta de especialidad resueltas por Médicos Generales no puede ser mayor al Total.</v>
      </c>
      <c r="CG43" s="162" t="str">
        <f t="shared" si="18"/>
        <v xml:space="preserve"> * La variable Serv. Nac. Reinserción Social Juvenil no puede ser mayor al Total.</v>
      </c>
      <c r="CH43" s="162" t="str">
        <f t="shared" si="19"/>
        <v xml:space="preserve"> * La variable Serv. Nac. Protección Especializada a la Niñez y Adolescencia no puede ser mayor al Total.</v>
      </c>
      <c r="CL43" s="163" t="e">
        <f t="shared" si="9"/>
        <v>#VALUE!</v>
      </c>
      <c r="CM43" s="163" t="e">
        <f t="shared" si="10"/>
        <v>#VALUE!</v>
      </c>
      <c r="CN43" s="163">
        <f t="shared" si="11"/>
        <v>1</v>
      </c>
      <c r="CO43" s="163">
        <f t="shared" si="20"/>
        <v>1</v>
      </c>
      <c r="CP43" s="163">
        <f t="shared" si="21"/>
        <v>1</v>
      </c>
      <c r="CQ43" s="163">
        <f t="shared" si="21"/>
        <v>1</v>
      </c>
      <c r="CR43" s="163">
        <f t="shared" si="21"/>
        <v>1</v>
      </c>
    </row>
    <row r="44" spans="1:96" s="161" customFormat="1" ht="15" customHeight="1" x14ac:dyDescent="0.15">
      <c r="A44" s="5601">
        <v>32101540</v>
      </c>
      <c r="B44" s="936" t="s">
        <v>3700</v>
      </c>
      <c r="C44" s="405" t="s">
        <v>4567</v>
      </c>
      <c r="D44" s="1466" t="s">
        <v>4568</v>
      </c>
      <c r="E44" s="1467" t="s">
        <v>4569</v>
      </c>
      <c r="F44" s="1467" t="s">
        <v>4570</v>
      </c>
      <c r="G44" s="1467" t="s">
        <v>4571</v>
      </c>
      <c r="H44" s="1467" t="s">
        <v>4572</v>
      </c>
      <c r="I44" s="1467" t="s">
        <v>4573</v>
      </c>
      <c r="J44" s="1467" t="s">
        <v>4574</v>
      </c>
      <c r="K44" s="1467" t="s">
        <v>4575</v>
      </c>
      <c r="L44" s="1467" t="s">
        <v>4576</v>
      </c>
      <c r="M44" s="1467" t="s">
        <v>4577</v>
      </c>
      <c r="N44" s="1467" t="s">
        <v>4578</v>
      </c>
      <c r="O44" s="1467" t="s">
        <v>4579</v>
      </c>
      <c r="P44" s="1467" t="s">
        <v>4580</v>
      </c>
      <c r="Q44" s="1467" t="s">
        <v>4581</v>
      </c>
      <c r="R44" s="1467" t="s">
        <v>4582</v>
      </c>
      <c r="S44" s="1467" t="s">
        <v>4583</v>
      </c>
      <c r="T44" s="1475" t="s">
        <v>4584</v>
      </c>
      <c r="U44" s="406" t="s">
        <v>4585</v>
      </c>
      <c r="V44" s="1501" t="s">
        <v>4586</v>
      </c>
      <c r="W44" s="406" t="s">
        <v>4587</v>
      </c>
      <c r="X44" s="1501" t="s">
        <v>4588</v>
      </c>
      <c r="Y44" s="406" t="s">
        <v>4589</v>
      </c>
      <c r="Z44" s="1501" t="s">
        <v>4590</v>
      </c>
      <c r="AA44" s="936" t="s">
        <v>4591</v>
      </c>
      <c r="AB44" s="406" t="s">
        <v>4592</v>
      </c>
      <c r="AC44" s="1502" t="s">
        <v>4593</v>
      </c>
      <c r="AD44" s="1502" t="s">
        <v>4594</v>
      </c>
      <c r="AE44" s="1501" t="s">
        <v>4595</v>
      </c>
      <c r="AF44" s="936" t="s">
        <v>4596</v>
      </c>
      <c r="AG44" s="406" t="s">
        <v>4597</v>
      </c>
      <c r="AH44" s="1502" t="s">
        <v>4598</v>
      </c>
      <c r="AI44" s="1502" t="s">
        <v>4599</v>
      </c>
      <c r="AJ44" s="1503" t="s">
        <v>4600</v>
      </c>
      <c r="AK44" s="1478" t="s">
        <v>4601</v>
      </c>
      <c r="AL44" s="1478" t="s">
        <v>4602</v>
      </c>
      <c r="AM44" s="1478" t="s">
        <v>4603</v>
      </c>
      <c r="AN44" s="1478" t="s">
        <v>4604</v>
      </c>
      <c r="AO44" s="1478" t="s">
        <v>4605</v>
      </c>
      <c r="AP44" s="1478" t="s">
        <v>4606</v>
      </c>
      <c r="AQ44" s="1478" t="s">
        <v>4934</v>
      </c>
      <c r="AR44" s="1478" t="s">
        <v>4935</v>
      </c>
      <c r="AS44" s="1478" t="s">
        <v>4936</v>
      </c>
      <c r="AT44" s="1478" t="s">
        <v>4937</v>
      </c>
      <c r="AU44" s="161" t="e">
        <f t="shared" si="12"/>
        <v>#VALUE!</v>
      </c>
      <c r="CB44" s="162" t="e">
        <f t="shared" si="13"/>
        <v>#VALUE!</v>
      </c>
      <c r="CC44" s="162" t="e">
        <f t="shared" si="14"/>
        <v>#VALUE!</v>
      </c>
      <c r="CD44" s="162" t="str">
        <f t="shared" si="15"/>
        <v xml:space="preserve"> * La variable Pueblos Originarios no puede ser mayor al Total.</v>
      </c>
      <c r="CE44" s="162" t="str">
        <f t="shared" si="16"/>
        <v xml:space="preserve"> * La variable Migrantes no puede ser mayor al Total.</v>
      </c>
      <c r="CF44" s="162" t="str">
        <f t="shared" si="17"/>
        <v xml:space="preserve"> * La variable Teleconsulta de especialidad resueltas por Médicos Generales no puede ser mayor al Total.</v>
      </c>
      <c r="CG44" s="162" t="str">
        <f t="shared" si="18"/>
        <v xml:space="preserve"> * La variable Serv. Nac. Reinserción Social Juvenil no puede ser mayor al Total.</v>
      </c>
      <c r="CH44" s="162" t="str">
        <f t="shared" si="19"/>
        <v xml:space="preserve"> * La variable Serv. Nac. Protección Especializada a la Niñez y Adolescencia no puede ser mayor al Total.</v>
      </c>
      <c r="CL44" s="163" t="e">
        <f t="shared" si="9"/>
        <v>#VALUE!</v>
      </c>
      <c r="CM44" s="163" t="e">
        <f t="shared" si="10"/>
        <v>#VALUE!</v>
      </c>
      <c r="CN44" s="163">
        <f t="shared" si="11"/>
        <v>1</v>
      </c>
      <c r="CO44" s="163">
        <f t="shared" si="20"/>
        <v>1</v>
      </c>
      <c r="CP44" s="163">
        <f t="shared" si="21"/>
        <v>1</v>
      </c>
      <c r="CQ44" s="163">
        <f t="shared" si="21"/>
        <v>1</v>
      </c>
      <c r="CR44" s="163">
        <f t="shared" si="21"/>
        <v>1</v>
      </c>
    </row>
    <row r="45" spans="1:96" s="161" customFormat="1" ht="15" customHeight="1" x14ac:dyDescent="0.15">
      <c r="A45" s="5601">
        <v>32101541</v>
      </c>
      <c r="B45" s="936" t="s">
        <v>3701</v>
      </c>
      <c r="C45" s="405" t="s">
        <v>4567</v>
      </c>
      <c r="D45" s="1466" t="s">
        <v>4568</v>
      </c>
      <c r="E45" s="1467" t="s">
        <v>4569</v>
      </c>
      <c r="F45" s="1467" t="s">
        <v>4570</v>
      </c>
      <c r="G45" s="1467" t="s">
        <v>4571</v>
      </c>
      <c r="H45" s="1467" t="s">
        <v>4572</v>
      </c>
      <c r="I45" s="1467" t="s">
        <v>4573</v>
      </c>
      <c r="J45" s="1467" t="s">
        <v>4574</v>
      </c>
      <c r="K45" s="1467" t="s">
        <v>4575</v>
      </c>
      <c r="L45" s="1467" t="s">
        <v>4576</v>
      </c>
      <c r="M45" s="1467" t="s">
        <v>4577</v>
      </c>
      <c r="N45" s="1467" t="s">
        <v>4578</v>
      </c>
      <c r="O45" s="1467" t="s">
        <v>4579</v>
      </c>
      <c r="P45" s="1467" t="s">
        <v>4580</v>
      </c>
      <c r="Q45" s="1467" t="s">
        <v>4581</v>
      </c>
      <c r="R45" s="1467" t="s">
        <v>4582</v>
      </c>
      <c r="S45" s="1467" t="s">
        <v>4583</v>
      </c>
      <c r="T45" s="1475" t="s">
        <v>4584</v>
      </c>
      <c r="U45" s="406" t="s">
        <v>4585</v>
      </c>
      <c r="V45" s="1501" t="s">
        <v>4586</v>
      </c>
      <c r="W45" s="406" t="s">
        <v>4587</v>
      </c>
      <c r="X45" s="1501" t="s">
        <v>4588</v>
      </c>
      <c r="Y45" s="406" t="s">
        <v>4589</v>
      </c>
      <c r="Z45" s="1501" t="s">
        <v>4590</v>
      </c>
      <c r="AA45" s="936" t="s">
        <v>4591</v>
      </c>
      <c r="AB45" s="406" t="s">
        <v>4592</v>
      </c>
      <c r="AC45" s="1502" t="s">
        <v>4593</v>
      </c>
      <c r="AD45" s="1502" t="s">
        <v>4594</v>
      </c>
      <c r="AE45" s="1501" t="s">
        <v>4595</v>
      </c>
      <c r="AF45" s="936" t="s">
        <v>4596</v>
      </c>
      <c r="AG45" s="406" t="s">
        <v>4597</v>
      </c>
      <c r="AH45" s="1502" t="s">
        <v>4598</v>
      </c>
      <c r="AI45" s="1502" t="s">
        <v>4599</v>
      </c>
      <c r="AJ45" s="1503" t="s">
        <v>4600</v>
      </c>
      <c r="AK45" s="1478" t="s">
        <v>4601</v>
      </c>
      <c r="AL45" s="1478" t="s">
        <v>4602</v>
      </c>
      <c r="AM45" s="1478" t="s">
        <v>4603</v>
      </c>
      <c r="AN45" s="1478" t="s">
        <v>4604</v>
      </c>
      <c r="AO45" s="1478" t="s">
        <v>4605</v>
      </c>
      <c r="AP45" s="1478" t="s">
        <v>4606</v>
      </c>
      <c r="AQ45" s="1478" t="s">
        <v>4934</v>
      </c>
      <c r="AR45" s="1478" t="s">
        <v>4935</v>
      </c>
      <c r="AS45" s="1478" t="s">
        <v>4936</v>
      </c>
      <c r="AT45" s="1478" t="s">
        <v>4937</v>
      </c>
      <c r="AU45" s="161" t="e">
        <f t="shared" si="12"/>
        <v>#VALUE!</v>
      </c>
      <c r="CB45" s="162" t="e">
        <f t="shared" si="13"/>
        <v>#VALUE!</v>
      </c>
      <c r="CC45" s="162" t="e">
        <f t="shared" si="14"/>
        <v>#VALUE!</v>
      </c>
      <c r="CD45" s="162" t="str">
        <f t="shared" si="15"/>
        <v xml:space="preserve"> * La variable Pueblos Originarios no puede ser mayor al Total.</v>
      </c>
      <c r="CE45" s="162" t="str">
        <f t="shared" si="16"/>
        <v xml:space="preserve"> * La variable Migrantes no puede ser mayor al Total.</v>
      </c>
      <c r="CF45" s="162" t="str">
        <f t="shared" si="17"/>
        <v xml:space="preserve"> * La variable Teleconsulta de especialidad resueltas por Médicos Generales no puede ser mayor al Total.</v>
      </c>
      <c r="CG45" s="162" t="str">
        <f t="shared" si="18"/>
        <v xml:space="preserve"> * La variable Serv. Nac. Reinserción Social Juvenil no puede ser mayor al Total.</v>
      </c>
      <c r="CH45" s="162" t="str">
        <f t="shared" si="19"/>
        <v xml:space="preserve"> * La variable Serv. Nac. Protección Especializada a la Niñez y Adolescencia no puede ser mayor al Total.</v>
      </c>
      <c r="CL45" s="163" t="e">
        <f t="shared" si="9"/>
        <v>#VALUE!</v>
      </c>
      <c r="CM45" s="163" t="e">
        <f t="shared" si="10"/>
        <v>#VALUE!</v>
      </c>
      <c r="CN45" s="163">
        <f t="shared" si="11"/>
        <v>1</v>
      </c>
      <c r="CO45" s="163">
        <f t="shared" si="20"/>
        <v>1</v>
      </c>
      <c r="CP45" s="163">
        <f t="shared" si="21"/>
        <v>1</v>
      </c>
      <c r="CQ45" s="163">
        <f t="shared" si="21"/>
        <v>1</v>
      </c>
      <c r="CR45" s="163">
        <f t="shared" si="21"/>
        <v>1</v>
      </c>
    </row>
    <row r="46" spans="1:96" s="161" customFormat="1" ht="15" customHeight="1" x14ac:dyDescent="0.15">
      <c r="A46" s="5601">
        <v>32101542</v>
      </c>
      <c r="B46" s="936" t="s">
        <v>3702</v>
      </c>
      <c r="C46" s="405" t="s">
        <v>4567</v>
      </c>
      <c r="D46" s="1466" t="s">
        <v>4568</v>
      </c>
      <c r="E46" s="1467" t="s">
        <v>4569</v>
      </c>
      <c r="F46" s="1467" t="s">
        <v>4570</v>
      </c>
      <c r="G46" s="1467" t="s">
        <v>4571</v>
      </c>
      <c r="H46" s="1467" t="s">
        <v>4572</v>
      </c>
      <c r="I46" s="1467" t="s">
        <v>4573</v>
      </c>
      <c r="J46" s="1467" t="s">
        <v>4574</v>
      </c>
      <c r="K46" s="1467" t="s">
        <v>4575</v>
      </c>
      <c r="L46" s="1467" t="s">
        <v>4576</v>
      </c>
      <c r="M46" s="1467" t="s">
        <v>4577</v>
      </c>
      <c r="N46" s="1467" t="s">
        <v>4578</v>
      </c>
      <c r="O46" s="1467" t="s">
        <v>4579</v>
      </c>
      <c r="P46" s="1467" t="s">
        <v>4580</v>
      </c>
      <c r="Q46" s="1467" t="s">
        <v>4581</v>
      </c>
      <c r="R46" s="1467" t="s">
        <v>4582</v>
      </c>
      <c r="S46" s="1467" t="s">
        <v>4583</v>
      </c>
      <c r="T46" s="1475" t="s">
        <v>4584</v>
      </c>
      <c r="U46" s="406" t="s">
        <v>4585</v>
      </c>
      <c r="V46" s="1501" t="s">
        <v>4586</v>
      </c>
      <c r="W46" s="406" t="s">
        <v>4587</v>
      </c>
      <c r="X46" s="1501" t="s">
        <v>4588</v>
      </c>
      <c r="Y46" s="406" t="s">
        <v>4589</v>
      </c>
      <c r="Z46" s="1501" t="s">
        <v>4590</v>
      </c>
      <c r="AA46" s="936" t="s">
        <v>4591</v>
      </c>
      <c r="AB46" s="406" t="s">
        <v>4592</v>
      </c>
      <c r="AC46" s="1502" t="s">
        <v>4593</v>
      </c>
      <c r="AD46" s="1502" t="s">
        <v>4594</v>
      </c>
      <c r="AE46" s="1501" t="s">
        <v>4595</v>
      </c>
      <c r="AF46" s="936" t="s">
        <v>4596</v>
      </c>
      <c r="AG46" s="406" t="s">
        <v>4597</v>
      </c>
      <c r="AH46" s="1502" t="s">
        <v>4598</v>
      </c>
      <c r="AI46" s="1502" t="s">
        <v>4599</v>
      </c>
      <c r="AJ46" s="1503" t="s">
        <v>4600</v>
      </c>
      <c r="AK46" s="1478" t="s">
        <v>4601</v>
      </c>
      <c r="AL46" s="1478" t="s">
        <v>4602</v>
      </c>
      <c r="AM46" s="1478" t="s">
        <v>4603</v>
      </c>
      <c r="AN46" s="1478" t="s">
        <v>4604</v>
      </c>
      <c r="AO46" s="1478" t="s">
        <v>4605</v>
      </c>
      <c r="AP46" s="1478" t="s">
        <v>4606</v>
      </c>
      <c r="AQ46" s="1478" t="s">
        <v>4934</v>
      </c>
      <c r="AR46" s="1478" t="s">
        <v>4935</v>
      </c>
      <c r="AS46" s="1478" t="s">
        <v>4936</v>
      </c>
      <c r="AT46" s="1478" t="s">
        <v>4937</v>
      </c>
      <c r="AU46" s="161" t="e">
        <f t="shared" si="12"/>
        <v>#VALUE!</v>
      </c>
      <c r="CB46" s="162" t="e">
        <f t="shared" si="13"/>
        <v>#VALUE!</v>
      </c>
      <c r="CC46" s="162" t="e">
        <f t="shared" si="14"/>
        <v>#VALUE!</v>
      </c>
      <c r="CD46" s="162" t="str">
        <f t="shared" si="15"/>
        <v xml:space="preserve"> * La variable Pueblos Originarios no puede ser mayor al Total.</v>
      </c>
      <c r="CE46" s="162" t="str">
        <f t="shared" si="16"/>
        <v xml:space="preserve"> * La variable Migrantes no puede ser mayor al Total.</v>
      </c>
      <c r="CF46" s="162" t="str">
        <f t="shared" si="17"/>
        <v xml:space="preserve"> * La variable Teleconsulta de especialidad resueltas por Médicos Generales no puede ser mayor al Total.</v>
      </c>
      <c r="CG46" s="162" t="str">
        <f t="shared" si="18"/>
        <v xml:space="preserve"> * La variable Serv. Nac. Reinserción Social Juvenil no puede ser mayor al Total.</v>
      </c>
      <c r="CH46" s="162" t="str">
        <f t="shared" si="19"/>
        <v xml:space="preserve"> * La variable Serv. Nac. Protección Especializada a la Niñez y Adolescencia no puede ser mayor al Total.</v>
      </c>
      <c r="CL46" s="163" t="e">
        <f t="shared" si="9"/>
        <v>#VALUE!</v>
      </c>
      <c r="CM46" s="163" t="e">
        <f t="shared" si="10"/>
        <v>#VALUE!</v>
      </c>
      <c r="CN46" s="163">
        <f t="shared" si="11"/>
        <v>1</v>
      </c>
      <c r="CO46" s="163">
        <f t="shared" si="20"/>
        <v>1</v>
      </c>
      <c r="CP46" s="163">
        <f t="shared" si="21"/>
        <v>1</v>
      </c>
      <c r="CQ46" s="163">
        <f t="shared" si="21"/>
        <v>1</v>
      </c>
      <c r="CR46" s="163">
        <f t="shared" si="21"/>
        <v>1</v>
      </c>
    </row>
    <row r="47" spans="1:96" s="161" customFormat="1" ht="15" customHeight="1" x14ac:dyDescent="0.15">
      <c r="A47" s="5605">
        <v>32111006</v>
      </c>
      <c r="B47" s="1087" t="s">
        <v>4409</v>
      </c>
      <c r="C47" s="405" t="s">
        <v>4567</v>
      </c>
      <c r="D47" s="1466" t="s">
        <v>4568</v>
      </c>
      <c r="E47" s="1467" t="s">
        <v>4569</v>
      </c>
      <c r="F47" s="1467" t="s">
        <v>4570</v>
      </c>
      <c r="G47" s="1467" t="s">
        <v>4571</v>
      </c>
      <c r="H47" s="1467" t="s">
        <v>4572</v>
      </c>
      <c r="I47" s="1467" t="s">
        <v>4573</v>
      </c>
      <c r="J47" s="1467" t="s">
        <v>4574</v>
      </c>
      <c r="K47" s="1467" t="s">
        <v>4575</v>
      </c>
      <c r="L47" s="1467" t="s">
        <v>4576</v>
      </c>
      <c r="M47" s="1467" t="s">
        <v>4577</v>
      </c>
      <c r="N47" s="1467" t="s">
        <v>4578</v>
      </c>
      <c r="O47" s="1467" t="s">
        <v>4579</v>
      </c>
      <c r="P47" s="1467" t="s">
        <v>4580</v>
      </c>
      <c r="Q47" s="1467" t="s">
        <v>4581</v>
      </c>
      <c r="R47" s="1467" t="s">
        <v>4582</v>
      </c>
      <c r="S47" s="1467" t="s">
        <v>4583</v>
      </c>
      <c r="T47" s="1475" t="s">
        <v>4584</v>
      </c>
      <c r="U47" s="406" t="s">
        <v>4585</v>
      </c>
      <c r="V47" s="1501" t="s">
        <v>4586</v>
      </c>
      <c r="W47" s="406" t="s">
        <v>4587</v>
      </c>
      <c r="X47" s="1501" t="s">
        <v>4588</v>
      </c>
      <c r="Y47" s="406" t="s">
        <v>4589</v>
      </c>
      <c r="Z47" s="1501" t="s">
        <v>4590</v>
      </c>
      <c r="AA47" s="936" t="s">
        <v>4591</v>
      </c>
      <c r="AB47" s="406" t="s">
        <v>4592</v>
      </c>
      <c r="AC47" s="1502" t="s">
        <v>4593</v>
      </c>
      <c r="AD47" s="1502" t="s">
        <v>4594</v>
      </c>
      <c r="AE47" s="1501" t="s">
        <v>4595</v>
      </c>
      <c r="AF47" s="936" t="s">
        <v>4596</v>
      </c>
      <c r="AG47" s="406" t="s">
        <v>4597</v>
      </c>
      <c r="AH47" s="1502" t="s">
        <v>4598</v>
      </c>
      <c r="AI47" s="1502" t="s">
        <v>4599</v>
      </c>
      <c r="AJ47" s="1503" t="s">
        <v>4600</v>
      </c>
      <c r="AK47" s="1478" t="s">
        <v>4601</v>
      </c>
      <c r="AL47" s="1478" t="s">
        <v>4602</v>
      </c>
      <c r="AM47" s="1478" t="s">
        <v>4603</v>
      </c>
      <c r="AN47" s="1478" t="s">
        <v>4604</v>
      </c>
      <c r="AO47" s="1478" t="s">
        <v>4605</v>
      </c>
      <c r="AP47" s="1478" t="s">
        <v>4606</v>
      </c>
      <c r="AQ47" s="1478" t="s">
        <v>4934</v>
      </c>
      <c r="AR47" s="1478" t="s">
        <v>4935</v>
      </c>
      <c r="AS47" s="1478" t="s">
        <v>4936</v>
      </c>
      <c r="AT47" s="1478" t="s">
        <v>4937</v>
      </c>
      <c r="AU47" s="161" t="e">
        <f t="shared" si="12"/>
        <v>#VALUE!</v>
      </c>
      <c r="CB47" s="162" t="e">
        <f t="shared" si="13"/>
        <v>#VALUE!</v>
      </c>
      <c r="CC47" s="162" t="e">
        <f t="shared" si="14"/>
        <v>#VALUE!</v>
      </c>
      <c r="CD47" s="162" t="str">
        <f t="shared" si="15"/>
        <v xml:space="preserve"> * La variable Pueblos Originarios no puede ser mayor al Total.</v>
      </c>
      <c r="CE47" s="162" t="str">
        <f t="shared" si="16"/>
        <v xml:space="preserve"> * La variable Migrantes no puede ser mayor al Total.</v>
      </c>
      <c r="CF47" s="162" t="str">
        <f t="shared" si="17"/>
        <v xml:space="preserve"> * La variable Teleconsulta de especialidad resueltas por Médicos Generales no puede ser mayor al Total.</v>
      </c>
      <c r="CG47" s="162" t="str">
        <f t="shared" si="18"/>
        <v xml:space="preserve"> * La variable Serv. Nac. Reinserción Social Juvenil no puede ser mayor al Total.</v>
      </c>
      <c r="CH47" s="162" t="str">
        <f t="shared" si="19"/>
        <v xml:space="preserve"> * La variable Serv. Nac. Protección Especializada a la Niñez y Adolescencia no puede ser mayor al Total.</v>
      </c>
      <c r="CL47" s="163" t="e">
        <f t="shared" si="9"/>
        <v>#VALUE!</v>
      </c>
      <c r="CM47" s="163" t="e">
        <f t="shared" si="10"/>
        <v>#VALUE!</v>
      </c>
      <c r="CN47" s="163">
        <f t="shared" si="11"/>
        <v>1</v>
      </c>
      <c r="CO47" s="163">
        <f t="shared" si="20"/>
        <v>1</v>
      </c>
      <c r="CP47" s="163">
        <f t="shared" si="21"/>
        <v>1</v>
      </c>
      <c r="CQ47" s="163">
        <f t="shared" si="21"/>
        <v>1</v>
      </c>
      <c r="CR47" s="163">
        <f t="shared" si="21"/>
        <v>1</v>
      </c>
    </row>
    <row r="48" spans="1:96" s="161" customFormat="1" ht="15" customHeight="1" x14ac:dyDescent="0.15">
      <c r="A48" s="5605">
        <v>32111007</v>
      </c>
      <c r="B48" s="3067" t="s">
        <v>4314</v>
      </c>
      <c r="C48" s="405" t="s">
        <v>4567</v>
      </c>
      <c r="D48" s="1466" t="s">
        <v>4568</v>
      </c>
      <c r="E48" s="1467" t="s">
        <v>4569</v>
      </c>
      <c r="F48" s="1467" t="s">
        <v>4570</v>
      </c>
      <c r="G48" s="1467" t="s">
        <v>4571</v>
      </c>
      <c r="H48" s="1467" t="s">
        <v>4572</v>
      </c>
      <c r="I48" s="1467" t="s">
        <v>4573</v>
      </c>
      <c r="J48" s="1467" t="s">
        <v>4574</v>
      </c>
      <c r="K48" s="1467" t="s">
        <v>4575</v>
      </c>
      <c r="L48" s="1467" t="s">
        <v>4576</v>
      </c>
      <c r="M48" s="1467" t="s">
        <v>4577</v>
      </c>
      <c r="N48" s="1467" t="s">
        <v>4578</v>
      </c>
      <c r="O48" s="1467" t="s">
        <v>4579</v>
      </c>
      <c r="P48" s="1467" t="s">
        <v>4580</v>
      </c>
      <c r="Q48" s="1467" t="s">
        <v>4581</v>
      </c>
      <c r="R48" s="1467" t="s">
        <v>4582</v>
      </c>
      <c r="S48" s="1467" t="s">
        <v>4583</v>
      </c>
      <c r="T48" s="1475" t="s">
        <v>4584</v>
      </c>
      <c r="U48" s="406" t="s">
        <v>4585</v>
      </c>
      <c r="V48" s="1501" t="s">
        <v>4586</v>
      </c>
      <c r="W48" s="406" t="s">
        <v>4587</v>
      </c>
      <c r="X48" s="1501" t="s">
        <v>4588</v>
      </c>
      <c r="Y48" s="406" t="s">
        <v>4589</v>
      </c>
      <c r="Z48" s="1501" t="s">
        <v>4590</v>
      </c>
      <c r="AA48" s="936" t="s">
        <v>4591</v>
      </c>
      <c r="AB48" s="406" t="s">
        <v>4592</v>
      </c>
      <c r="AC48" s="1502" t="s">
        <v>4593</v>
      </c>
      <c r="AD48" s="1502" t="s">
        <v>4594</v>
      </c>
      <c r="AE48" s="1501" t="s">
        <v>4595</v>
      </c>
      <c r="AF48" s="936" t="s">
        <v>4596</v>
      </c>
      <c r="AG48" s="406" t="s">
        <v>4597</v>
      </c>
      <c r="AH48" s="1502" t="s">
        <v>4598</v>
      </c>
      <c r="AI48" s="1502" t="s">
        <v>4599</v>
      </c>
      <c r="AJ48" s="1503" t="s">
        <v>4600</v>
      </c>
      <c r="AK48" s="1478" t="s">
        <v>4601</v>
      </c>
      <c r="AL48" s="1478" t="s">
        <v>4602</v>
      </c>
      <c r="AM48" s="1478" t="s">
        <v>4603</v>
      </c>
      <c r="AN48" s="1478" t="s">
        <v>4604</v>
      </c>
      <c r="AO48" s="1478" t="s">
        <v>4605</v>
      </c>
      <c r="AP48" s="1478" t="s">
        <v>4606</v>
      </c>
      <c r="AQ48" s="1478" t="s">
        <v>4934</v>
      </c>
      <c r="AR48" s="1478" t="s">
        <v>4935</v>
      </c>
      <c r="AS48" s="1478" t="s">
        <v>4936</v>
      </c>
      <c r="AT48" s="1478" t="s">
        <v>4937</v>
      </c>
      <c r="AU48" s="161" t="e">
        <f t="shared" si="12"/>
        <v>#VALUE!</v>
      </c>
      <c r="CB48" s="162" t="e">
        <f t="shared" si="13"/>
        <v>#VALUE!</v>
      </c>
      <c r="CC48" s="162" t="e">
        <f t="shared" si="14"/>
        <v>#VALUE!</v>
      </c>
      <c r="CD48" s="162" t="str">
        <f t="shared" si="15"/>
        <v xml:space="preserve"> * La variable Pueblos Originarios no puede ser mayor al Total.</v>
      </c>
      <c r="CE48" s="162" t="str">
        <f t="shared" si="16"/>
        <v xml:space="preserve"> * La variable Migrantes no puede ser mayor al Total.</v>
      </c>
      <c r="CF48" s="162" t="str">
        <f t="shared" si="17"/>
        <v xml:space="preserve"> * La variable Teleconsulta de especialidad resueltas por Médicos Generales no puede ser mayor al Total.</v>
      </c>
      <c r="CG48" s="162" t="str">
        <f t="shared" si="18"/>
        <v xml:space="preserve"> * La variable Serv. Nac. Reinserción Social Juvenil no puede ser mayor al Total.</v>
      </c>
      <c r="CH48" s="162" t="str">
        <f t="shared" si="19"/>
        <v xml:space="preserve"> * La variable Serv. Nac. Protección Especializada a la Niñez y Adolescencia no puede ser mayor al Total.</v>
      </c>
      <c r="CL48" s="163" t="e">
        <f t="shared" si="9"/>
        <v>#VALUE!</v>
      </c>
      <c r="CM48" s="163" t="e">
        <f t="shared" si="10"/>
        <v>#VALUE!</v>
      </c>
      <c r="CN48" s="163">
        <f t="shared" si="11"/>
        <v>1</v>
      </c>
      <c r="CO48" s="163">
        <f t="shared" si="20"/>
        <v>1</v>
      </c>
      <c r="CP48" s="163">
        <f t="shared" si="21"/>
        <v>1</v>
      </c>
      <c r="CQ48" s="163">
        <f t="shared" si="21"/>
        <v>1</v>
      </c>
      <c r="CR48" s="163">
        <f t="shared" si="21"/>
        <v>1</v>
      </c>
    </row>
    <row r="49" spans="1:96" s="161" customFormat="1" ht="15" customHeight="1" x14ac:dyDescent="0.15">
      <c r="A49" s="5601">
        <v>32101545</v>
      </c>
      <c r="B49" s="936" t="s">
        <v>3703</v>
      </c>
      <c r="C49" s="405" t="s">
        <v>4567</v>
      </c>
      <c r="D49" s="1466" t="s">
        <v>4568</v>
      </c>
      <c r="E49" s="1467" t="s">
        <v>4569</v>
      </c>
      <c r="F49" s="1467" t="s">
        <v>4570</v>
      </c>
      <c r="G49" s="1467" t="s">
        <v>4571</v>
      </c>
      <c r="H49" s="1467" t="s">
        <v>4572</v>
      </c>
      <c r="I49" s="1467" t="s">
        <v>4573</v>
      </c>
      <c r="J49" s="1467" t="s">
        <v>4574</v>
      </c>
      <c r="K49" s="1467" t="s">
        <v>4575</v>
      </c>
      <c r="L49" s="1467" t="s">
        <v>4576</v>
      </c>
      <c r="M49" s="1467" t="s">
        <v>4577</v>
      </c>
      <c r="N49" s="1467" t="s">
        <v>4578</v>
      </c>
      <c r="O49" s="1467" t="s">
        <v>4579</v>
      </c>
      <c r="P49" s="1467" t="s">
        <v>4580</v>
      </c>
      <c r="Q49" s="1467" t="s">
        <v>4581</v>
      </c>
      <c r="R49" s="1467" t="s">
        <v>4582</v>
      </c>
      <c r="S49" s="1467" t="s">
        <v>4583</v>
      </c>
      <c r="T49" s="1475" t="s">
        <v>4584</v>
      </c>
      <c r="U49" s="406" t="s">
        <v>4585</v>
      </c>
      <c r="V49" s="1501" t="s">
        <v>4586</v>
      </c>
      <c r="W49" s="406" t="s">
        <v>4587</v>
      </c>
      <c r="X49" s="1501" t="s">
        <v>4588</v>
      </c>
      <c r="Y49" s="406" t="s">
        <v>4589</v>
      </c>
      <c r="Z49" s="1501" t="s">
        <v>4590</v>
      </c>
      <c r="AA49" s="936" t="s">
        <v>4591</v>
      </c>
      <c r="AB49" s="406" t="s">
        <v>4592</v>
      </c>
      <c r="AC49" s="1502" t="s">
        <v>4593</v>
      </c>
      <c r="AD49" s="1502" t="s">
        <v>4594</v>
      </c>
      <c r="AE49" s="1501" t="s">
        <v>4595</v>
      </c>
      <c r="AF49" s="936" t="s">
        <v>4596</v>
      </c>
      <c r="AG49" s="406" t="s">
        <v>4597</v>
      </c>
      <c r="AH49" s="1502" t="s">
        <v>4598</v>
      </c>
      <c r="AI49" s="1502" t="s">
        <v>4599</v>
      </c>
      <c r="AJ49" s="1503" t="s">
        <v>4600</v>
      </c>
      <c r="AK49" s="1478" t="s">
        <v>4601</v>
      </c>
      <c r="AL49" s="1478" t="s">
        <v>4602</v>
      </c>
      <c r="AM49" s="1478" t="s">
        <v>4603</v>
      </c>
      <c r="AN49" s="1478" t="s">
        <v>4604</v>
      </c>
      <c r="AO49" s="1478" t="s">
        <v>4605</v>
      </c>
      <c r="AP49" s="1478" t="s">
        <v>4606</v>
      </c>
      <c r="AQ49" s="1478" t="s">
        <v>4934</v>
      </c>
      <c r="AR49" s="1478" t="s">
        <v>4935</v>
      </c>
      <c r="AS49" s="1478" t="s">
        <v>4936</v>
      </c>
      <c r="AT49" s="1478" t="s">
        <v>4937</v>
      </c>
      <c r="AU49" s="161" t="e">
        <f t="shared" si="12"/>
        <v>#VALUE!</v>
      </c>
      <c r="CB49" s="162" t="e">
        <f t="shared" si="13"/>
        <v>#VALUE!</v>
      </c>
      <c r="CC49" s="162" t="e">
        <f t="shared" si="14"/>
        <v>#VALUE!</v>
      </c>
      <c r="CD49" s="162" t="str">
        <f t="shared" si="15"/>
        <v xml:space="preserve"> * La variable Pueblos Originarios no puede ser mayor al Total.</v>
      </c>
      <c r="CE49" s="162" t="str">
        <f t="shared" si="16"/>
        <v xml:space="preserve"> * La variable Migrantes no puede ser mayor al Total.</v>
      </c>
      <c r="CF49" s="162" t="str">
        <f t="shared" si="17"/>
        <v xml:space="preserve"> * La variable Teleconsulta de especialidad resueltas por Médicos Generales no puede ser mayor al Total.</v>
      </c>
      <c r="CG49" s="162" t="str">
        <f t="shared" si="18"/>
        <v xml:space="preserve"> * La variable Serv. Nac. Reinserción Social Juvenil no puede ser mayor al Total.</v>
      </c>
      <c r="CH49" s="162" t="str">
        <f t="shared" si="19"/>
        <v xml:space="preserve"> * La variable Serv. Nac. Protección Especializada a la Niñez y Adolescencia no puede ser mayor al Total.</v>
      </c>
      <c r="CL49" s="163" t="e">
        <f t="shared" si="9"/>
        <v>#VALUE!</v>
      </c>
      <c r="CM49" s="163" t="e">
        <f t="shared" si="10"/>
        <v>#VALUE!</v>
      </c>
      <c r="CN49" s="163">
        <f t="shared" si="11"/>
        <v>1</v>
      </c>
      <c r="CO49" s="163">
        <f t="shared" si="20"/>
        <v>1</v>
      </c>
      <c r="CP49" s="163">
        <f t="shared" si="21"/>
        <v>1</v>
      </c>
      <c r="CQ49" s="163">
        <f t="shared" si="21"/>
        <v>1</v>
      </c>
      <c r="CR49" s="163">
        <f t="shared" si="21"/>
        <v>1</v>
      </c>
    </row>
    <row r="50" spans="1:96" s="161" customFormat="1" ht="15" customHeight="1" x14ac:dyDescent="0.15">
      <c r="A50" s="5601">
        <v>32101546</v>
      </c>
      <c r="B50" s="936" t="s">
        <v>3704</v>
      </c>
      <c r="C50" s="405" t="s">
        <v>4567</v>
      </c>
      <c r="D50" s="1466" t="s">
        <v>4568</v>
      </c>
      <c r="E50" s="1467" t="s">
        <v>4569</v>
      </c>
      <c r="F50" s="1467" t="s">
        <v>4570</v>
      </c>
      <c r="G50" s="1467" t="s">
        <v>4571</v>
      </c>
      <c r="H50" s="1467" t="s">
        <v>4572</v>
      </c>
      <c r="I50" s="1467" t="s">
        <v>4573</v>
      </c>
      <c r="J50" s="1467" t="s">
        <v>4574</v>
      </c>
      <c r="K50" s="1467" t="s">
        <v>4575</v>
      </c>
      <c r="L50" s="1467" t="s">
        <v>4576</v>
      </c>
      <c r="M50" s="1467" t="s">
        <v>4577</v>
      </c>
      <c r="N50" s="1467" t="s">
        <v>4578</v>
      </c>
      <c r="O50" s="1467" t="s">
        <v>4579</v>
      </c>
      <c r="P50" s="1467" t="s">
        <v>4580</v>
      </c>
      <c r="Q50" s="1467" t="s">
        <v>4581</v>
      </c>
      <c r="R50" s="1467" t="s">
        <v>4582</v>
      </c>
      <c r="S50" s="1467" t="s">
        <v>4583</v>
      </c>
      <c r="T50" s="1475" t="s">
        <v>4584</v>
      </c>
      <c r="U50" s="406" t="s">
        <v>4585</v>
      </c>
      <c r="V50" s="1501" t="s">
        <v>4586</v>
      </c>
      <c r="W50" s="406" t="s">
        <v>4587</v>
      </c>
      <c r="X50" s="1501" t="s">
        <v>4588</v>
      </c>
      <c r="Y50" s="406" t="s">
        <v>4589</v>
      </c>
      <c r="Z50" s="1501" t="s">
        <v>4590</v>
      </c>
      <c r="AA50" s="936" t="s">
        <v>4591</v>
      </c>
      <c r="AB50" s="406" t="s">
        <v>4592</v>
      </c>
      <c r="AC50" s="1502" t="s">
        <v>4593</v>
      </c>
      <c r="AD50" s="1502" t="s">
        <v>4594</v>
      </c>
      <c r="AE50" s="1501" t="s">
        <v>4595</v>
      </c>
      <c r="AF50" s="936" t="s">
        <v>4596</v>
      </c>
      <c r="AG50" s="406" t="s">
        <v>4597</v>
      </c>
      <c r="AH50" s="1502" t="s">
        <v>4598</v>
      </c>
      <c r="AI50" s="1502" t="s">
        <v>4599</v>
      </c>
      <c r="AJ50" s="1503" t="s">
        <v>4600</v>
      </c>
      <c r="AK50" s="1478" t="s">
        <v>4601</v>
      </c>
      <c r="AL50" s="1478" t="s">
        <v>4602</v>
      </c>
      <c r="AM50" s="1478" t="s">
        <v>4603</v>
      </c>
      <c r="AN50" s="1478" t="s">
        <v>4604</v>
      </c>
      <c r="AO50" s="1478" t="s">
        <v>4605</v>
      </c>
      <c r="AP50" s="1478" t="s">
        <v>4606</v>
      </c>
      <c r="AQ50" s="1478" t="s">
        <v>4934</v>
      </c>
      <c r="AR50" s="1478" t="s">
        <v>4935</v>
      </c>
      <c r="AS50" s="1478" t="s">
        <v>4936</v>
      </c>
      <c r="AT50" s="1478" t="s">
        <v>4937</v>
      </c>
      <c r="AU50" s="161" t="e">
        <f t="shared" si="12"/>
        <v>#VALUE!</v>
      </c>
      <c r="CB50" s="162" t="e">
        <f t="shared" si="13"/>
        <v>#VALUE!</v>
      </c>
      <c r="CC50" s="162" t="e">
        <f t="shared" si="14"/>
        <v>#VALUE!</v>
      </c>
      <c r="CD50" s="162" t="str">
        <f t="shared" si="15"/>
        <v xml:space="preserve"> * La variable Pueblos Originarios no puede ser mayor al Total.</v>
      </c>
      <c r="CE50" s="162" t="str">
        <f t="shared" si="16"/>
        <v xml:space="preserve"> * La variable Migrantes no puede ser mayor al Total.</v>
      </c>
      <c r="CF50" s="162" t="str">
        <f t="shared" si="17"/>
        <v xml:space="preserve"> * La variable Teleconsulta de especialidad resueltas por Médicos Generales no puede ser mayor al Total.</v>
      </c>
      <c r="CG50" s="162" t="str">
        <f t="shared" si="18"/>
        <v xml:space="preserve"> * La variable Serv. Nac. Reinserción Social Juvenil no puede ser mayor al Total.</v>
      </c>
      <c r="CH50" s="162" t="str">
        <f t="shared" si="19"/>
        <v xml:space="preserve"> * La variable Serv. Nac. Protección Especializada a la Niñez y Adolescencia no puede ser mayor al Total.</v>
      </c>
      <c r="CL50" s="163" t="e">
        <f t="shared" si="9"/>
        <v>#VALUE!</v>
      </c>
      <c r="CM50" s="163" t="e">
        <f t="shared" si="10"/>
        <v>#VALUE!</v>
      </c>
      <c r="CN50" s="163">
        <f t="shared" si="11"/>
        <v>1</v>
      </c>
      <c r="CO50" s="163">
        <f t="shared" si="20"/>
        <v>1</v>
      </c>
      <c r="CP50" s="163">
        <f t="shared" si="21"/>
        <v>1</v>
      </c>
      <c r="CQ50" s="163">
        <f t="shared" si="21"/>
        <v>1</v>
      </c>
      <c r="CR50" s="163">
        <f t="shared" si="21"/>
        <v>1</v>
      </c>
    </row>
    <row r="51" spans="1:96" s="161" customFormat="1" ht="15" customHeight="1" x14ac:dyDescent="0.15">
      <c r="A51" s="5605">
        <v>32111008</v>
      </c>
      <c r="B51" s="1087" t="s">
        <v>4307</v>
      </c>
      <c r="C51" s="405" t="s">
        <v>4567</v>
      </c>
      <c r="D51" s="1466" t="s">
        <v>4568</v>
      </c>
      <c r="E51" s="1467" t="s">
        <v>4569</v>
      </c>
      <c r="F51" s="1467" t="s">
        <v>4570</v>
      </c>
      <c r="G51" s="1467" t="s">
        <v>4571</v>
      </c>
      <c r="H51" s="1467" t="s">
        <v>4572</v>
      </c>
      <c r="I51" s="1467" t="s">
        <v>4573</v>
      </c>
      <c r="J51" s="1467" t="s">
        <v>4574</v>
      </c>
      <c r="K51" s="1467" t="s">
        <v>4575</v>
      </c>
      <c r="L51" s="1467" t="s">
        <v>4576</v>
      </c>
      <c r="M51" s="1467" t="s">
        <v>4577</v>
      </c>
      <c r="N51" s="1467" t="s">
        <v>4578</v>
      </c>
      <c r="O51" s="1467" t="s">
        <v>4579</v>
      </c>
      <c r="P51" s="1467" t="s">
        <v>4580</v>
      </c>
      <c r="Q51" s="1467" t="s">
        <v>4581</v>
      </c>
      <c r="R51" s="1467" t="s">
        <v>4582</v>
      </c>
      <c r="S51" s="1467" t="s">
        <v>4583</v>
      </c>
      <c r="T51" s="1475" t="s">
        <v>4584</v>
      </c>
      <c r="U51" s="406" t="s">
        <v>4585</v>
      </c>
      <c r="V51" s="1501" t="s">
        <v>4586</v>
      </c>
      <c r="W51" s="406" t="s">
        <v>4587</v>
      </c>
      <c r="X51" s="1501" t="s">
        <v>4588</v>
      </c>
      <c r="Y51" s="406" t="s">
        <v>4589</v>
      </c>
      <c r="Z51" s="1501" t="s">
        <v>4590</v>
      </c>
      <c r="AA51" s="936" t="s">
        <v>4591</v>
      </c>
      <c r="AB51" s="406" t="s">
        <v>4592</v>
      </c>
      <c r="AC51" s="1502" t="s">
        <v>4593</v>
      </c>
      <c r="AD51" s="1502" t="s">
        <v>4594</v>
      </c>
      <c r="AE51" s="1501" t="s">
        <v>4595</v>
      </c>
      <c r="AF51" s="936" t="s">
        <v>4596</v>
      </c>
      <c r="AG51" s="406" t="s">
        <v>4597</v>
      </c>
      <c r="AH51" s="1502" t="s">
        <v>4598</v>
      </c>
      <c r="AI51" s="1502" t="s">
        <v>4599</v>
      </c>
      <c r="AJ51" s="1503" t="s">
        <v>4600</v>
      </c>
      <c r="AK51" s="1478" t="s">
        <v>4601</v>
      </c>
      <c r="AL51" s="1478" t="s">
        <v>4602</v>
      </c>
      <c r="AM51" s="1478" t="s">
        <v>4603</v>
      </c>
      <c r="AN51" s="1478" t="s">
        <v>4604</v>
      </c>
      <c r="AO51" s="1478" t="s">
        <v>4605</v>
      </c>
      <c r="AP51" s="1478" t="s">
        <v>4606</v>
      </c>
      <c r="AQ51" s="1478" t="s">
        <v>4934</v>
      </c>
      <c r="AR51" s="1478" t="s">
        <v>4935</v>
      </c>
      <c r="AS51" s="1478" t="s">
        <v>4936</v>
      </c>
      <c r="AT51" s="1478" t="s">
        <v>4937</v>
      </c>
      <c r="AU51" s="161" t="e">
        <f t="shared" si="12"/>
        <v>#VALUE!</v>
      </c>
      <c r="CB51" s="162" t="e">
        <f t="shared" si="13"/>
        <v>#VALUE!</v>
      </c>
      <c r="CC51" s="162" t="e">
        <f t="shared" si="14"/>
        <v>#VALUE!</v>
      </c>
      <c r="CD51" s="162" t="str">
        <f t="shared" si="15"/>
        <v xml:space="preserve"> * La variable Pueblos Originarios no puede ser mayor al Total.</v>
      </c>
      <c r="CE51" s="162" t="str">
        <f t="shared" si="16"/>
        <v xml:space="preserve"> * La variable Migrantes no puede ser mayor al Total.</v>
      </c>
      <c r="CF51" s="162" t="str">
        <f t="shared" si="17"/>
        <v xml:space="preserve"> * La variable Teleconsulta de especialidad resueltas por Médicos Generales no puede ser mayor al Total.</v>
      </c>
      <c r="CG51" s="162" t="str">
        <f t="shared" si="18"/>
        <v xml:space="preserve"> * La variable Serv. Nac. Reinserción Social Juvenil no puede ser mayor al Total.</v>
      </c>
      <c r="CH51" s="162" t="str">
        <f t="shared" si="19"/>
        <v xml:space="preserve"> * La variable Serv. Nac. Protección Especializada a la Niñez y Adolescencia no puede ser mayor al Total.</v>
      </c>
      <c r="CL51" s="163" t="e">
        <f t="shared" si="9"/>
        <v>#VALUE!</v>
      </c>
      <c r="CM51" s="163" t="e">
        <f t="shared" si="10"/>
        <v>#VALUE!</v>
      </c>
      <c r="CN51" s="163">
        <f t="shared" si="11"/>
        <v>1</v>
      </c>
      <c r="CO51" s="163">
        <f t="shared" si="20"/>
        <v>1</v>
      </c>
      <c r="CP51" s="163">
        <f t="shared" si="21"/>
        <v>1</v>
      </c>
      <c r="CQ51" s="163">
        <f t="shared" si="21"/>
        <v>1</v>
      </c>
      <c r="CR51" s="163">
        <f t="shared" si="21"/>
        <v>1</v>
      </c>
    </row>
    <row r="52" spans="1:96" s="161" customFormat="1" ht="15" customHeight="1" x14ac:dyDescent="0.2">
      <c r="A52" s="5605">
        <v>32111009</v>
      </c>
      <c r="B52" s="3068" t="s">
        <v>4309</v>
      </c>
      <c r="C52" s="405" t="s">
        <v>4567</v>
      </c>
      <c r="D52" s="1466" t="s">
        <v>4568</v>
      </c>
      <c r="E52" s="1467" t="s">
        <v>4569</v>
      </c>
      <c r="F52" s="1467" t="s">
        <v>4570</v>
      </c>
      <c r="G52" s="1467" t="s">
        <v>4571</v>
      </c>
      <c r="H52" s="1467" t="s">
        <v>4572</v>
      </c>
      <c r="I52" s="1467" t="s">
        <v>4573</v>
      </c>
      <c r="J52" s="1467" t="s">
        <v>4574</v>
      </c>
      <c r="K52" s="1467" t="s">
        <v>4575</v>
      </c>
      <c r="L52" s="1467" t="s">
        <v>4576</v>
      </c>
      <c r="M52" s="1467" t="s">
        <v>4577</v>
      </c>
      <c r="N52" s="1467" t="s">
        <v>4578</v>
      </c>
      <c r="O52" s="1467" t="s">
        <v>4579</v>
      </c>
      <c r="P52" s="1467" t="s">
        <v>4580</v>
      </c>
      <c r="Q52" s="1467" t="s">
        <v>4581</v>
      </c>
      <c r="R52" s="1467" t="s">
        <v>4582</v>
      </c>
      <c r="S52" s="1467" t="s">
        <v>4583</v>
      </c>
      <c r="T52" s="1475" t="s">
        <v>4584</v>
      </c>
      <c r="U52" s="406" t="s">
        <v>4585</v>
      </c>
      <c r="V52" s="1501" t="s">
        <v>4586</v>
      </c>
      <c r="W52" s="406" t="s">
        <v>4587</v>
      </c>
      <c r="X52" s="1501" t="s">
        <v>4588</v>
      </c>
      <c r="Y52" s="406" t="s">
        <v>4589</v>
      </c>
      <c r="Z52" s="1501" t="s">
        <v>4590</v>
      </c>
      <c r="AA52" s="936" t="s">
        <v>4591</v>
      </c>
      <c r="AB52" s="406" t="s">
        <v>4592</v>
      </c>
      <c r="AC52" s="1502" t="s">
        <v>4593</v>
      </c>
      <c r="AD52" s="1502" t="s">
        <v>4594</v>
      </c>
      <c r="AE52" s="1501" t="s">
        <v>4595</v>
      </c>
      <c r="AF52" s="936" t="s">
        <v>4596</v>
      </c>
      <c r="AG52" s="406" t="s">
        <v>4597</v>
      </c>
      <c r="AH52" s="1502" t="s">
        <v>4598</v>
      </c>
      <c r="AI52" s="1502" t="s">
        <v>4599</v>
      </c>
      <c r="AJ52" s="1503" t="s">
        <v>4600</v>
      </c>
      <c r="AK52" s="1478" t="s">
        <v>4601</v>
      </c>
      <c r="AL52" s="1478" t="s">
        <v>4602</v>
      </c>
      <c r="AM52" s="1478" t="s">
        <v>4603</v>
      </c>
      <c r="AN52" s="1478" t="s">
        <v>4604</v>
      </c>
      <c r="AO52" s="1478" t="s">
        <v>4605</v>
      </c>
      <c r="AP52" s="1478" t="s">
        <v>4606</v>
      </c>
      <c r="AQ52" s="1478" t="s">
        <v>4934</v>
      </c>
      <c r="AR52" s="1478" t="s">
        <v>4935</v>
      </c>
      <c r="AS52" s="1478" t="s">
        <v>4936</v>
      </c>
      <c r="AT52" s="1478" t="s">
        <v>4937</v>
      </c>
      <c r="AU52" s="161" t="e">
        <f t="shared" si="12"/>
        <v>#VALUE!</v>
      </c>
      <c r="CB52" s="162" t="e">
        <f t="shared" si="13"/>
        <v>#VALUE!</v>
      </c>
      <c r="CC52" s="162" t="e">
        <f t="shared" si="14"/>
        <v>#VALUE!</v>
      </c>
      <c r="CD52" s="162" t="str">
        <f t="shared" si="15"/>
        <v xml:space="preserve"> * La variable Pueblos Originarios no puede ser mayor al Total.</v>
      </c>
      <c r="CE52" s="162" t="str">
        <f t="shared" si="16"/>
        <v xml:space="preserve"> * La variable Migrantes no puede ser mayor al Total.</v>
      </c>
      <c r="CF52" s="162" t="str">
        <f t="shared" si="17"/>
        <v xml:space="preserve"> * La variable Teleconsulta de especialidad resueltas por Médicos Generales no puede ser mayor al Total.</v>
      </c>
      <c r="CG52" s="162" t="str">
        <f t="shared" si="18"/>
        <v xml:space="preserve"> * La variable Serv. Nac. Reinserción Social Juvenil no puede ser mayor al Total.</v>
      </c>
      <c r="CH52" s="162" t="str">
        <f t="shared" si="19"/>
        <v xml:space="preserve"> * La variable Serv. Nac. Protección Especializada a la Niñez y Adolescencia no puede ser mayor al Total.</v>
      </c>
      <c r="CL52" s="163" t="e">
        <f t="shared" si="9"/>
        <v>#VALUE!</v>
      </c>
      <c r="CM52" s="163" t="e">
        <f t="shared" si="10"/>
        <v>#VALUE!</v>
      </c>
      <c r="CN52" s="163">
        <f t="shared" si="11"/>
        <v>1</v>
      </c>
      <c r="CO52" s="163">
        <f t="shared" si="20"/>
        <v>1</v>
      </c>
      <c r="CP52" s="163">
        <f t="shared" si="21"/>
        <v>1</v>
      </c>
      <c r="CQ52" s="163">
        <f t="shared" si="21"/>
        <v>1</v>
      </c>
      <c r="CR52" s="163">
        <f t="shared" si="21"/>
        <v>1</v>
      </c>
    </row>
    <row r="53" spans="1:96" s="161" customFormat="1" ht="15" customHeight="1" x14ac:dyDescent="0.15">
      <c r="A53" s="5605">
        <v>32111010</v>
      </c>
      <c r="B53" s="1087" t="s">
        <v>4310</v>
      </c>
      <c r="C53" s="405" t="s">
        <v>4567</v>
      </c>
      <c r="D53" s="1466" t="s">
        <v>4568</v>
      </c>
      <c r="E53" s="1467" t="s">
        <v>4569</v>
      </c>
      <c r="F53" s="1467" t="s">
        <v>4570</v>
      </c>
      <c r="G53" s="1467" t="s">
        <v>4571</v>
      </c>
      <c r="H53" s="1467" t="s">
        <v>4572</v>
      </c>
      <c r="I53" s="1467" t="s">
        <v>4573</v>
      </c>
      <c r="J53" s="1467" t="s">
        <v>4574</v>
      </c>
      <c r="K53" s="1467" t="s">
        <v>4575</v>
      </c>
      <c r="L53" s="1467" t="s">
        <v>4576</v>
      </c>
      <c r="M53" s="1467" t="s">
        <v>4577</v>
      </c>
      <c r="N53" s="1467" t="s">
        <v>4578</v>
      </c>
      <c r="O53" s="1467" t="s">
        <v>4579</v>
      </c>
      <c r="P53" s="1467" t="s">
        <v>4580</v>
      </c>
      <c r="Q53" s="1467" t="s">
        <v>4581</v>
      </c>
      <c r="R53" s="1467" t="s">
        <v>4582</v>
      </c>
      <c r="S53" s="1467" t="s">
        <v>4583</v>
      </c>
      <c r="T53" s="1475" t="s">
        <v>4584</v>
      </c>
      <c r="U53" s="406" t="s">
        <v>4585</v>
      </c>
      <c r="V53" s="1501" t="s">
        <v>4586</v>
      </c>
      <c r="W53" s="406" t="s">
        <v>4587</v>
      </c>
      <c r="X53" s="1501" t="s">
        <v>4588</v>
      </c>
      <c r="Y53" s="406" t="s">
        <v>4589</v>
      </c>
      <c r="Z53" s="1501" t="s">
        <v>4590</v>
      </c>
      <c r="AA53" s="936" t="s">
        <v>4591</v>
      </c>
      <c r="AB53" s="406" t="s">
        <v>4592</v>
      </c>
      <c r="AC53" s="1502" t="s">
        <v>4593</v>
      </c>
      <c r="AD53" s="1502" t="s">
        <v>4594</v>
      </c>
      <c r="AE53" s="1501" t="s">
        <v>4595</v>
      </c>
      <c r="AF53" s="936" t="s">
        <v>4596</v>
      </c>
      <c r="AG53" s="406" t="s">
        <v>4597</v>
      </c>
      <c r="AH53" s="1502" t="s">
        <v>4598</v>
      </c>
      <c r="AI53" s="1502" t="s">
        <v>4599</v>
      </c>
      <c r="AJ53" s="1503" t="s">
        <v>4600</v>
      </c>
      <c r="AK53" s="1478" t="s">
        <v>4601</v>
      </c>
      <c r="AL53" s="1478" t="s">
        <v>4602</v>
      </c>
      <c r="AM53" s="1478" t="s">
        <v>4603</v>
      </c>
      <c r="AN53" s="1478" t="s">
        <v>4604</v>
      </c>
      <c r="AO53" s="1478" t="s">
        <v>4605</v>
      </c>
      <c r="AP53" s="1478" t="s">
        <v>4606</v>
      </c>
      <c r="AQ53" s="1478" t="s">
        <v>4934</v>
      </c>
      <c r="AR53" s="1478" t="s">
        <v>4935</v>
      </c>
      <c r="AS53" s="1478" t="s">
        <v>4936</v>
      </c>
      <c r="AT53" s="1478" t="s">
        <v>4937</v>
      </c>
      <c r="AU53" s="161" t="e">
        <f t="shared" si="12"/>
        <v>#VALUE!</v>
      </c>
      <c r="CB53" s="162" t="e">
        <f t="shared" si="13"/>
        <v>#VALUE!</v>
      </c>
      <c r="CC53" s="162" t="e">
        <f t="shared" si="14"/>
        <v>#VALUE!</v>
      </c>
      <c r="CD53" s="162" t="str">
        <f t="shared" si="15"/>
        <v xml:space="preserve"> * La variable Pueblos Originarios no puede ser mayor al Total.</v>
      </c>
      <c r="CE53" s="162" t="str">
        <f t="shared" si="16"/>
        <v xml:space="preserve"> * La variable Migrantes no puede ser mayor al Total.</v>
      </c>
      <c r="CF53" s="162" t="str">
        <f t="shared" si="17"/>
        <v xml:space="preserve"> * La variable Teleconsulta de especialidad resueltas por Médicos Generales no puede ser mayor al Total.</v>
      </c>
      <c r="CG53" s="162" t="str">
        <f t="shared" si="18"/>
        <v xml:space="preserve"> * La variable Serv. Nac. Reinserción Social Juvenil no puede ser mayor al Total.</v>
      </c>
      <c r="CH53" s="162" t="str">
        <f t="shared" si="19"/>
        <v xml:space="preserve"> * La variable Serv. Nac. Protección Especializada a la Niñez y Adolescencia no puede ser mayor al Total.</v>
      </c>
      <c r="CL53" s="163" t="e">
        <f t="shared" si="9"/>
        <v>#VALUE!</v>
      </c>
      <c r="CM53" s="163" t="e">
        <f t="shared" si="10"/>
        <v>#VALUE!</v>
      </c>
      <c r="CN53" s="163">
        <f t="shared" si="11"/>
        <v>1</v>
      </c>
      <c r="CO53" s="163">
        <f t="shared" si="20"/>
        <v>1</v>
      </c>
      <c r="CP53" s="163">
        <f t="shared" si="21"/>
        <v>1</v>
      </c>
      <c r="CQ53" s="163">
        <f t="shared" si="21"/>
        <v>1</v>
      </c>
      <c r="CR53" s="163">
        <f t="shared" si="21"/>
        <v>1</v>
      </c>
    </row>
    <row r="54" spans="1:96" s="161" customFormat="1" ht="15" customHeight="1" x14ac:dyDescent="0.15">
      <c r="A54" s="5605">
        <v>32111011</v>
      </c>
      <c r="B54" s="1087" t="s">
        <v>4412</v>
      </c>
      <c r="C54" s="405" t="s">
        <v>4567</v>
      </c>
      <c r="D54" s="1466" t="s">
        <v>4568</v>
      </c>
      <c r="E54" s="1467" t="s">
        <v>4569</v>
      </c>
      <c r="F54" s="1467" t="s">
        <v>4570</v>
      </c>
      <c r="G54" s="1467" t="s">
        <v>4571</v>
      </c>
      <c r="H54" s="1467" t="s">
        <v>4572</v>
      </c>
      <c r="I54" s="1467" t="s">
        <v>4573</v>
      </c>
      <c r="J54" s="1467" t="s">
        <v>4574</v>
      </c>
      <c r="K54" s="1467" t="s">
        <v>4575</v>
      </c>
      <c r="L54" s="1467" t="s">
        <v>4576</v>
      </c>
      <c r="M54" s="1467" t="s">
        <v>4577</v>
      </c>
      <c r="N54" s="1467" t="s">
        <v>4578</v>
      </c>
      <c r="O54" s="1467" t="s">
        <v>4579</v>
      </c>
      <c r="P54" s="1467" t="s">
        <v>4580</v>
      </c>
      <c r="Q54" s="1467" t="s">
        <v>4581</v>
      </c>
      <c r="R54" s="1467" t="s">
        <v>4582</v>
      </c>
      <c r="S54" s="1467" t="s">
        <v>4583</v>
      </c>
      <c r="T54" s="1475" t="s">
        <v>4584</v>
      </c>
      <c r="U54" s="406" t="s">
        <v>4585</v>
      </c>
      <c r="V54" s="1501" t="s">
        <v>4586</v>
      </c>
      <c r="W54" s="406" t="s">
        <v>4587</v>
      </c>
      <c r="X54" s="1501" t="s">
        <v>4588</v>
      </c>
      <c r="Y54" s="406" t="s">
        <v>4589</v>
      </c>
      <c r="Z54" s="1501" t="s">
        <v>4590</v>
      </c>
      <c r="AA54" s="936" t="s">
        <v>4591</v>
      </c>
      <c r="AB54" s="406" t="s">
        <v>4592</v>
      </c>
      <c r="AC54" s="1502" t="s">
        <v>4593</v>
      </c>
      <c r="AD54" s="1502" t="s">
        <v>4594</v>
      </c>
      <c r="AE54" s="1501" t="s">
        <v>4595</v>
      </c>
      <c r="AF54" s="936" t="s">
        <v>4596</v>
      </c>
      <c r="AG54" s="406" t="s">
        <v>4597</v>
      </c>
      <c r="AH54" s="1502" t="s">
        <v>4598</v>
      </c>
      <c r="AI54" s="1502" t="s">
        <v>4599</v>
      </c>
      <c r="AJ54" s="1503" t="s">
        <v>4600</v>
      </c>
      <c r="AK54" s="1478" t="s">
        <v>4601</v>
      </c>
      <c r="AL54" s="1478" t="s">
        <v>4602</v>
      </c>
      <c r="AM54" s="1478" t="s">
        <v>4603</v>
      </c>
      <c r="AN54" s="1478" t="s">
        <v>4604</v>
      </c>
      <c r="AO54" s="1478" t="s">
        <v>4605</v>
      </c>
      <c r="AP54" s="1478" t="s">
        <v>4606</v>
      </c>
      <c r="AQ54" s="1478" t="s">
        <v>4934</v>
      </c>
      <c r="AR54" s="1478" t="s">
        <v>4935</v>
      </c>
      <c r="AS54" s="1478" t="s">
        <v>4936</v>
      </c>
      <c r="AT54" s="1478" t="s">
        <v>4937</v>
      </c>
      <c r="AU54" s="161" t="e">
        <f t="shared" si="12"/>
        <v>#VALUE!</v>
      </c>
      <c r="CB54" s="162" t="e">
        <f t="shared" si="13"/>
        <v>#VALUE!</v>
      </c>
      <c r="CC54" s="162" t="e">
        <f t="shared" si="14"/>
        <v>#VALUE!</v>
      </c>
      <c r="CD54" s="162" t="str">
        <f t="shared" si="15"/>
        <v xml:space="preserve"> * La variable Pueblos Originarios no puede ser mayor al Total.</v>
      </c>
      <c r="CE54" s="162" t="str">
        <f t="shared" si="16"/>
        <v xml:space="preserve"> * La variable Migrantes no puede ser mayor al Total.</v>
      </c>
      <c r="CF54" s="162" t="str">
        <f t="shared" si="17"/>
        <v xml:space="preserve"> * La variable Teleconsulta de especialidad resueltas por Médicos Generales no puede ser mayor al Total.</v>
      </c>
      <c r="CG54" s="162" t="str">
        <f t="shared" si="18"/>
        <v xml:space="preserve"> * La variable Serv. Nac. Reinserción Social Juvenil no puede ser mayor al Total.</v>
      </c>
      <c r="CH54" s="162" t="str">
        <f t="shared" si="19"/>
        <v xml:space="preserve"> * La variable Serv. Nac. Protección Especializada a la Niñez y Adolescencia no puede ser mayor al Total.</v>
      </c>
      <c r="CL54" s="163" t="e">
        <f t="shared" si="9"/>
        <v>#VALUE!</v>
      </c>
      <c r="CM54" s="163" t="e">
        <f t="shared" si="10"/>
        <v>#VALUE!</v>
      </c>
      <c r="CN54" s="163">
        <f t="shared" si="11"/>
        <v>1</v>
      </c>
      <c r="CO54" s="163">
        <f t="shared" si="20"/>
        <v>1</v>
      </c>
      <c r="CP54" s="163">
        <f t="shared" si="21"/>
        <v>1</v>
      </c>
      <c r="CQ54" s="163">
        <f t="shared" si="21"/>
        <v>1</v>
      </c>
      <c r="CR54" s="163">
        <f t="shared" si="21"/>
        <v>1</v>
      </c>
    </row>
    <row r="55" spans="1:96" s="161" customFormat="1" ht="15" customHeight="1" x14ac:dyDescent="0.15">
      <c r="A55" s="5601">
        <v>32101550</v>
      </c>
      <c r="B55" s="936" t="s">
        <v>1220</v>
      </c>
      <c r="C55" s="405" t="s">
        <v>4567</v>
      </c>
      <c r="D55" s="1466" t="s">
        <v>4568</v>
      </c>
      <c r="E55" s="1467" t="s">
        <v>4569</v>
      </c>
      <c r="F55" s="1467" t="s">
        <v>4570</v>
      </c>
      <c r="G55" s="1467" t="s">
        <v>4571</v>
      </c>
      <c r="H55" s="1467" t="s">
        <v>4572</v>
      </c>
      <c r="I55" s="1467" t="s">
        <v>4573</v>
      </c>
      <c r="J55" s="1467" t="s">
        <v>4574</v>
      </c>
      <c r="K55" s="1467" t="s">
        <v>4575</v>
      </c>
      <c r="L55" s="1467" t="s">
        <v>4576</v>
      </c>
      <c r="M55" s="1467" t="s">
        <v>4577</v>
      </c>
      <c r="N55" s="1467" t="s">
        <v>4578</v>
      </c>
      <c r="O55" s="1467" t="s">
        <v>4579</v>
      </c>
      <c r="P55" s="1467" t="s">
        <v>4580</v>
      </c>
      <c r="Q55" s="1467" t="s">
        <v>4581</v>
      </c>
      <c r="R55" s="1467" t="s">
        <v>4582</v>
      </c>
      <c r="S55" s="1467" t="s">
        <v>4583</v>
      </c>
      <c r="T55" s="1475" t="s">
        <v>4584</v>
      </c>
      <c r="U55" s="406" t="s">
        <v>4585</v>
      </c>
      <c r="V55" s="1501" t="s">
        <v>4586</v>
      </c>
      <c r="W55" s="406" t="s">
        <v>4587</v>
      </c>
      <c r="X55" s="1501" t="s">
        <v>4588</v>
      </c>
      <c r="Y55" s="406" t="s">
        <v>4589</v>
      </c>
      <c r="Z55" s="1501" t="s">
        <v>4590</v>
      </c>
      <c r="AA55" s="936" t="s">
        <v>4591</v>
      </c>
      <c r="AB55" s="406" t="s">
        <v>4592</v>
      </c>
      <c r="AC55" s="1502" t="s">
        <v>4593</v>
      </c>
      <c r="AD55" s="1502" t="s">
        <v>4594</v>
      </c>
      <c r="AE55" s="1501" t="s">
        <v>4595</v>
      </c>
      <c r="AF55" s="936" t="s">
        <v>4596</v>
      </c>
      <c r="AG55" s="406" t="s">
        <v>4597</v>
      </c>
      <c r="AH55" s="1502" t="s">
        <v>4598</v>
      </c>
      <c r="AI55" s="1502" t="s">
        <v>4599</v>
      </c>
      <c r="AJ55" s="1503" t="s">
        <v>4600</v>
      </c>
      <c r="AK55" s="1478" t="s">
        <v>4601</v>
      </c>
      <c r="AL55" s="1478" t="s">
        <v>4602</v>
      </c>
      <c r="AM55" s="1478" t="s">
        <v>4603</v>
      </c>
      <c r="AN55" s="1478" t="s">
        <v>4604</v>
      </c>
      <c r="AO55" s="1478" t="s">
        <v>4605</v>
      </c>
      <c r="AP55" s="1478" t="s">
        <v>4606</v>
      </c>
      <c r="AQ55" s="1478" t="s">
        <v>4934</v>
      </c>
      <c r="AR55" s="1478" t="s">
        <v>4935</v>
      </c>
      <c r="AS55" s="1478" t="s">
        <v>4936</v>
      </c>
      <c r="AT55" s="1478" t="s">
        <v>4937</v>
      </c>
      <c r="AU55" s="161" t="e">
        <f t="shared" si="12"/>
        <v>#VALUE!</v>
      </c>
      <c r="CB55" s="162" t="e">
        <f t="shared" si="13"/>
        <v>#VALUE!</v>
      </c>
      <c r="CC55" s="162" t="e">
        <f t="shared" si="14"/>
        <v>#VALUE!</v>
      </c>
      <c r="CD55" s="162" t="str">
        <f t="shared" si="15"/>
        <v xml:space="preserve"> * La variable Pueblos Originarios no puede ser mayor al Total.</v>
      </c>
      <c r="CE55" s="162" t="str">
        <f t="shared" si="16"/>
        <v xml:space="preserve"> * La variable Migrantes no puede ser mayor al Total.</v>
      </c>
      <c r="CF55" s="162" t="str">
        <f t="shared" si="17"/>
        <v xml:space="preserve"> * La variable Teleconsulta de especialidad resueltas por Médicos Generales no puede ser mayor al Total.</v>
      </c>
      <c r="CG55" s="162" t="str">
        <f t="shared" si="18"/>
        <v xml:space="preserve"> * La variable Serv. Nac. Reinserción Social Juvenil no puede ser mayor al Total.</v>
      </c>
      <c r="CH55" s="162" t="str">
        <f t="shared" si="19"/>
        <v xml:space="preserve"> * La variable Serv. Nac. Protección Especializada a la Niñez y Adolescencia no puede ser mayor al Total.</v>
      </c>
      <c r="CL55" s="163" t="e">
        <f t="shared" si="9"/>
        <v>#VALUE!</v>
      </c>
      <c r="CM55" s="163" t="e">
        <f t="shared" si="10"/>
        <v>#VALUE!</v>
      </c>
      <c r="CN55" s="163">
        <f t="shared" si="11"/>
        <v>1</v>
      </c>
      <c r="CO55" s="163">
        <f t="shared" si="20"/>
        <v>1</v>
      </c>
      <c r="CP55" s="163">
        <f t="shared" si="21"/>
        <v>1</v>
      </c>
      <c r="CQ55" s="163">
        <f t="shared" si="21"/>
        <v>1</v>
      </c>
      <c r="CR55" s="163">
        <f t="shared" si="21"/>
        <v>1</v>
      </c>
    </row>
    <row r="56" spans="1:96" s="161" customFormat="1" ht="15" customHeight="1" x14ac:dyDescent="0.15">
      <c r="A56" s="5605">
        <v>32111012</v>
      </c>
      <c r="B56" s="936" t="s">
        <v>4417</v>
      </c>
      <c r="C56" s="405" t="s">
        <v>4567</v>
      </c>
      <c r="D56" s="1466" t="s">
        <v>4568</v>
      </c>
      <c r="E56" s="1467" t="s">
        <v>4569</v>
      </c>
      <c r="F56" s="1467" t="s">
        <v>4570</v>
      </c>
      <c r="G56" s="1467" t="s">
        <v>4571</v>
      </c>
      <c r="H56" s="1467" t="s">
        <v>4572</v>
      </c>
      <c r="I56" s="1467" t="s">
        <v>4573</v>
      </c>
      <c r="J56" s="1467" t="s">
        <v>4574</v>
      </c>
      <c r="K56" s="1467" t="s">
        <v>4575</v>
      </c>
      <c r="L56" s="1467" t="s">
        <v>4576</v>
      </c>
      <c r="M56" s="1467" t="s">
        <v>4577</v>
      </c>
      <c r="N56" s="1467" t="s">
        <v>4578</v>
      </c>
      <c r="O56" s="1467" t="s">
        <v>4579</v>
      </c>
      <c r="P56" s="1467" t="s">
        <v>4580</v>
      </c>
      <c r="Q56" s="1467" t="s">
        <v>4581</v>
      </c>
      <c r="R56" s="1467" t="s">
        <v>4582</v>
      </c>
      <c r="S56" s="1467" t="s">
        <v>4583</v>
      </c>
      <c r="T56" s="1475" t="s">
        <v>4584</v>
      </c>
      <c r="U56" s="406" t="s">
        <v>4585</v>
      </c>
      <c r="V56" s="1501" t="s">
        <v>4586</v>
      </c>
      <c r="W56" s="406" t="s">
        <v>4587</v>
      </c>
      <c r="X56" s="1501" t="s">
        <v>4588</v>
      </c>
      <c r="Y56" s="406" t="s">
        <v>4589</v>
      </c>
      <c r="Z56" s="1501" t="s">
        <v>4590</v>
      </c>
      <c r="AA56" s="936" t="s">
        <v>4591</v>
      </c>
      <c r="AB56" s="406" t="s">
        <v>4592</v>
      </c>
      <c r="AC56" s="1502" t="s">
        <v>4593</v>
      </c>
      <c r="AD56" s="1502" t="s">
        <v>4594</v>
      </c>
      <c r="AE56" s="1501" t="s">
        <v>4595</v>
      </c>
      <c r="AF56" s="936" t="s">
        <v>4596</v>
      </c>
      <c r="AG56" s="406" t="s">
        <v>4597</v>
      </c>
      <c r="AH56" s="1502" t="s">
        <v>4598</v>
      </c>
      <c r="AI56" s="1502" t="s">
        <v>4599</v>
      </c>
      <c r="AJ56" s="1503" t="s">
        <v>4600</v>
      </c>
      <c r="AK56" s="1478" t="s">
        <v>4601</v>
      </c>
      <c r="AL56" s="1478" t="s">
        <v>4602</v>
      </c>
      <c r="AM56" s="1478" t="s">
        <v>4603</v>
      </c>
      <c r="AN56" s="1478" t="s">
        <v>4604</v>
      </c>
      <c r="AO56" s="1478" t="s">
        <v>4605</v>
      </c>
      <c r="AP56" s="1478" t="s">
        <v>4606</v>
      </c>
      <c r="AQ56" s="1478" t="s">
        <v>4934</v>
      </c>
      <c r="AR56" s="1478" t="s">
        <v>4935</v>
      </c>
      <c r="AS56" s="1478" t="s">
        <v>4936</v>
      </c>
      <c r="AT56" s="1478" t="s">
        <v>4937</v>
      </c>
      <c r="AU56" s="161" t="e">
        <f t="shared" si="12"/>
        <v>#VALUE!</v>
      </c>
      <c r="CB56" s="162" t="e">
        <f t="shared" si="13"/>
        <v>#VALUE!</v>
      </c>
      <c r="CC56" s="162" t="e">
        <f t="shared" si="14"/>
        <v>#VALUE!</v>
      </c>
      <c r="CD56" s="162" t="str">
        <f t="shared" si="15"/>
        <v xml:space="preserve"> * La variable Pueblos Originarios no puede ser mayor al Total.</v>
      </c>
      <c r="CE56" s="162" t="str">
        <f t="shared" si="16"/>
        <v xml:space="preserve"> * La variable Migrantes no puede ser mayor al Total.</v>
      </c>
      <c r="CF56" s="162" t="str">
        <f t="shared" si="17"/>
        <v xml:space="preserve"> * La variable Teleconsulta de especialidad resueltas por Médicos Generales no puede ser mayor al Total.</v>
      </c>
      <c r="CG56" s="162" t="str">
        <f t="shared" si="18"/>
        <v xml:space="preserve"> * La variable Serv. Nac. Reinserción Social Juvenil no puede ser mayor al Total.</v>
      </c>
      <c r="CH56" s="162" t="str">
        <f t="shared" si="19"/>
        <v xml:space="preserve"> * La variable Serv. Nac. Protección Especializada a la Niñez y Adolescencia no puede ser mayor al Total.</v>
      </c>
      <c r="CL56" s="163" t="e">
        <f t="shared" si="9"/>
        <v>#VALUE!</v>
      </c>
      <c r="CM56" s="163" t="e">
        <f t="shared" si="10"/>
        <v>#VALUE!</v>
      </c>
      <c r="CN56" s="163">
        <f t="shared" si="11"/>
        <v>1</v>
      </c>
      <c r="CO56" s="163">
        <f t="shared" si="20"/>
        <v>1</v>
      </c>
      <c r="CP56" s="163">
        <f t="shared" si="21"/>
        <v>1</v>
      </c>
      <c r="CQ56" s="163">
        <f t="shared" si="21"/>
        <v>1</v>
      </c>
      <c r="CR56" s="163">
        <f t="shared" si="21"/>
        <v>1</v>
      </c>
    </row>
    <row r="57" spans="1:96" s="161" customFormat="1" ht="15" customHeight="1" x14ac:dyDescent="0.15">
      <c r="A57" s="5601">
        <v>32101552</v>
      </c>
      <c r="B57" s="936" t="s">
        <v>1221</v>
      </c>
      <c r="C57" s="405" t="s">
        <v>4567</v>
      </c>
      <c r="D57" s="1466" t="s">
        <v>4568</v>
      </c>
      <c r="E57" s="1467" t="s">
        <v>4569</v>
      </c>
      <c r="F57" s="1467" t="s">
        <v>4570</v>
      </c>
      <c r="G57" s="1467" t="s">
        <v>4571</v>
      </c>
      <c r="H57" s="1467" t="s">
        <v>4572</v>
      </c>
      <c r="I57" s="1467" t="s">
        <v>4573</v>
      </c>
      <c r="J57" s="1467" t="s">
        <v>4574</v>
      </c>
      <c r="K57" s="1467" t="s">
        <v>4575</v>
      </c>
      <c r="L57" s="1467" t="s">
        <v>4576</v>
      </c>
      <c r="M57" s="1467" t="s">
        <v>4577</v>
      </c>
      <c r="N57" s="1467" t="s">
        <v>4578</v>
      </c>
      <c r="O57" s="1467" t="s">
        <v>4579</v>
      </c>
      <c r="P57" s="1467" t="s">
        <v>4580</v>
      </c>
      <c r="Q57" s="1467" t="s">
        <v>4581</v>
      </c>
      <c r="R57" s="1467" t="s">
        <v>4582</v>
      </c>
      <c r="S57" s="1467" t="s">
        <v>4583</v>
      </c>
      <c r="T57" s="1475" t="s">
        <v>4584</v>
      </c>
      <c r="U57" s="406" t="s">
        <v>4585</v>
      </c>
      <c r="V57" s="1501" t="s">
        <v>4586</v>
      </c>
      <c r="W57" s="406" t="s">
        <v>4587</v>
      </c>
      <c r="X57" s="1501" t="s">
        <v>4588</v>
      </c>
      <c r="Y57" s="406" t="s">
        <v>4589</v>
      </c>
      <c r="Z57" s="1501" t="s">
        <v>4590</v>
      </c>
      <c r="AA57" s="936" t="s">
        <v>4591</v>
      </c>
      <c r="AB57" s="406" t="s">
        <v>4592</v>
      </c>
      <c r="AC57" s="1502" t="s">
        <v>4593</v>
      </c>
      <c r="AD57" s="1502" t="s">
        <v>4594</v>
      </c>
      <c r="AE57" s="1501" t="s">
        <v>4595</v>
      </c>
      <c r="AF57" s="936" t="s">
        <v>4596</v>
      </c>
      <c r="AG57" s="406" t="s">
        <v>4597</v>
      </c>
      <c r="AH57" s="1502" t="s">
        <v>4598</v>
      </c>
      <c r="AI57" s="1502" t="s">
        <v>4599</v>
      </c>
      <c r="AJ57" s="1503" t="s">
        <v>4600</v>
      </c>
      <c r="AK57" s="1478" t="s">
        <v>4601</v>
      </c>
      <c r="AL57" s="1478" t="s">
        <v>4602</v>
      </c>
      <c r="AM57" s="1478" t="s">
        <v>4603</v>
      </c>
      <c r="AN57" s="1478" t="s">
        <v>4604</v>
      </c>
      <c r="AO57" s="1478" t="s">
        <v>4605</v>
      </c>
      <c r="AP57" s="1478" t="s">
        <v>4606</v>
      </c>
      <c r="AQ57" s="1478" t="s">
        <v>4934</v>
      </c>
      <c r="AR57" s="1478" t="s">
        <v>4935</v>
      </c>
      <c r="AS57" s="1478" t="s">
        <v>4936</v>
      </c>
      <c r="AT57" s="1478" t="s">
        <v>4937</v>
      </c>
      <c r="AU57" s="161" t="e">
        <f t="shared" si="12"/>
        <v>#VALUE!</v>
      </c>
      <c r="CB57" s="162" t="e">
        <f t="shared" si="13"/>
        <v>#VALUE!</v>
      </c>
      <c r="CC57" s="162" t="e">
        <f t="shared" si="14"/>
        <v>#VALUE!</v>
      </c>
      <c r="CD57" s="162" t="str">
        <f t="shared" si="15"/>
        <v xml:space="preserve"> * La variable Pueblos Originarios no puede ser mayor al Total.</v>
      </c>
      <c r="CE57" s="162" t="str">
        <f t="shared" si="16"/>
        <v xml:space="preserve"> * La variable Migrantes no puede ser mayor al Total.</v>
      </c>
      <c r="CF57" s="162" t="str">
        <f t="shared" si="17"/>
        <v xml:space="preserve"> * La variable Teleconsulta de especialidad resueltas por Médicos Generales no puede ser mayor al Total.</v>
      </c>
      <c r="CG57" s="162" t="str">
        <f t="shared" si="18"/>
        <v xml:space="preserve"> * La variable Serv. Nac. Reinserción Social Juvenil no puede ser mayor al Total.</v>
      </c>
      <c r="CH57" s="162" t="str">
        <f t="shared" si="19"/>
        <v xml:space="preserve"> * La variable Serv. Nac. Protección Especializada a la Niñez y Adolescencia no puede ser mayor al Total.</v>
      </c>
      <c r="CL57" s="163" t="e">
        <f t="shared" si="9"/>
        <v>#VALUE!</v>
      </c>
      <c r="CM57" s="163" t="e">
        <f t="shared" si="10"/>
        <v>#VALUE!</v>
      </c>
      <c r="CN57" s="163">
        <f t="shared" si="11"/>
        <v>1</v>
      </c>
      <c r="CO57" s="163">
        <f t="shared" si="20"/>
        <v>1</v>
      </c>
      <c r="CP57" s="163">
        <f t="shared" si="21"/>
        <v>1</v>
      </c>
      <c r="CQ57" s="163">
        <f t="shared" si="21"/>
        <v>1</v>
      </c>
      <c r="CR57" s="163">
        <f t="shared" si="21"/>
        <v>1</v>
      </c>
    </row>
    <row r="58" spans="1:96" s="161" customFormat="1" ht="15" customHeight="1" x14ac:dyDescent="0.15">
      <c r="A58" s="5601">
        <v>32101553</v>
      </c>
      <c r="B58" s="936" t="s">
        <v>1222</v>
      </c>
      <c r="C58" s="405" t="s">
        <v>4567</v>
      </c>
      <c r="D58" s="1506" t="s">
        <v>4568</v>
      </c>
      <c r="E58" s="1504" t="s">
        <v>4569</v>
      </c>
      <c r="F58" s="1504" t="s">
        <v>4570</v>
      </c>
      <c r="G58" s="1504" t="s">
        <v>4571</v>
      </c>
      <c r="H58" s="1504" t="s">
        <v>4572</v>
      </c>
      <c r="I58" s="1504" t="s">
        <v>4573</v>
      </c>
      <c r="J58" s="1504" t="s">
        <v>4574</v>
      </c>
      <c r="K58" s="1504" t="s">
        <v>4575</v>
      </c>
      <c r="L58" s="1504" t="s">
        <v>4576</v>
      </c>
      <c r="M58" s="1504" t="s">
        <v>4577</v>
      </c>
      <c r="N58" s="1504" t="s">
        <v>4578</v>
      </c>
      <c r="O58" s="1504" t="s">
        <v>4579</v>
      </c>
      <c r="P58" s="1467" t="s">
        <v>4580</v>
      </c>
      <c r="Q58" s="1467" t="s">
        <v>4581</v>
      </c>
      <c r="R58" s="1467" t="s">
        <v>4582</v>
      </c>
      <c r="S58" s="1467" t="s">
        <v>4583</v>
      </c>
      <c r="T58" s="1475" t="s">
        <v>4584</v>
      </c>
      <c r="U58" s="406" t="s">
        <v>4585</v>
      </c>
      <c r="V58" s="1501" t="s">
        <v>4586</v>
      </c>
      <c r="W58" s="406" t="s">
        <v>4587</v>
      </c>
      <c r="X58" s="1501" t="s">
        <v>4588</v>
      </c>
      <c r="Y58" s="406" t="s">
        <v>4589</v>
      </c>
      <c r="Z58" s="1501" t="s">
        <v>4590</v>
      </c>
      <c r="AA58" s="936" t="s">
        <v>4591</v>
      </c>
      <c r="AB58" s="406" t="s">
        <v>4592</v>
      </c>
      <c r="AC58" s="1502" t="s">
        <v>4593</v>
      </c>
      <c r="AD58" s="1502" t="s">
        <v>4594</v>
      </c>
      <c r="AE58" s="1501" t="s">
        <v>4595</v>
      </c>
      <c r="AF58" s="936" t="s">
        <v>4596</v>
      </c>
      <c r="AG58" s="406" t="s">
        <v>4597</v>
      </c>
      <c r="AH58" s="1502" t="s">
        <v>4598</v>
      </c>
      <c r="AI58" s="1502" t="s">
        <v>4599</v>
      </c>
      <c r="AJ58" s="1503" t="s">
        <v>4600</v>
      </c>
      <c r="AK58" s="1478" t="s">
        <v>4601</v>
      </c>
      <c r="AL58" s="1478" t="s">
        <v>4602</v>
      </c>
      <c r="AM58" s="1478" t="s">
        <v>4603</v>
      </c>
      <c r="AN58" s="1478" t="s">
        <v>4604</v>
      </c>
      <c r="AO58" s="1478" t="s">
        <v>4605</v>
      </c>
      <c r="AP58" s="1478" t="s">
        <v>4606</v>
      </c>
      <c r="AQ58" s="1478" t="s">
        <v>4934</v>
      </c>
      <c r="AR58" s="1478" t="s">
        <v>4935</v>
      </c>
      <c r="AS58" s="1478" t="s">
        <v>4936</v>
      </c>
      <c r="AT58" s="1478" t="s">
        <v>4937</v>
      </c>
      <c r="AU58" s="161" t="e">
        <f t="shared" si="12"/>
        <v>#VALUE!</v>
      </c>
      <c r="CB58" s="162" t="e">
        <f t="shared" si="13"/>
        <v>#VALUE!</v>
      </c>
      <c r="CC58" s="162" t="e">
        <f t="shared" si="14"/>
        <v>#VALUE!</v>
      </c>
      <c r="CD58" s="162" t="str">
        <f t="shared" si="15"/>
        <v xml:space="preserve"> * La variable Pueblos Originarios no puede ser mayor al Total.</v>
      </c>
      <c r="CE58" s="162" t="str">
        <f t="shared" si="16"/>
        <v xml:space="preserve"> * La variable Migrantes no puede ser mayor al Total.</v>
      </c>
      <c r="CF58" s="162" t="str">
        <f t="shared" si="17"/>
        <v xml:space="preserve"> * La variable Teleconsulta de especialidad resueltas por Médicos Generales no puede ser mayor al Total.</v>
      </c>
      <c r="CG58" s="162" t="str">
        <f t="shared" si="18"/>
        <v xml:space="preserve"> * La variable Serv. Nac. Reinserción Social Juvenil no puede ser mayor al Total.</v>
      </c>
      <c r="CH58" s="162" t="str">
        <f t="shared" si="19"/>
        <v xml:space="preserve"> * La variable Serv. Nac. Protección Especializada a la Niñez y Adolescencia no puede ser mayor al Total.</v>
      </c>
      <c r="CL58" s="163" t="e">
        <f t="shared" si="9"/>
        <v>#VALUE!</v>
      </c>
      <c r="CM58" s="163" t="e">
        <f t="shared" si="10"/>
        <v>#VALUE!</v>
      </c>
      <c r="CN58" s="163">
        <f t="shared" si="11"/>
        <v>1</v>
      </c>
      <c r="CO58" s="163">
        <f t="shared" si="20"/>
        <v>1</v>
      </c>
      <c r="CP58" s="163">
        <f t="shared" si="21"/>
        <v>1</v>
      </c>
      <c r="CQ58" s="163">
        <f t="shared" si="21"/>
        <v>1</v>
      </c>
      <c r="CR58" s="163">
        <f t="shared" si="21"/>
        <v>1</v>
      </c>
    </row>
    <row r="59" spans="1:96" s="161" customFormat="1" ht="15" customHeight="1" x14ac:dyDescent="0.15">
      <c r="A59" s="5605">
        <v>32111013</v>
      </c>
      <c r="B59" s="1087" t="s">
        <v>4311</v>
      </c>
      <c r="C59" s="405" t="s">
        <v>4567</v>
      </c>
      <c r="D59" s="1466" t="s">
        <v>4568</v>
      </c>
      <c r="E59" s="1467" t="s">
        <v>4569</v>
      </c>
      <c r="F59" s="1467" t="s">
        <v>4570</v>
      </c>
      <c r="G59" s="1507" t="s">
        <v>4571</v>
      </c>
      <c r="H59" s="1507" t="s">
        <v>4572</v>
      </c>
      <c r="I59" s="1507" t="s">
        <v>4573</v>
      </c>
      <c r="J59" s="1507" t="s">
        <v>4574</v>
      </c>
      <c r="K59" s="1507" t="s">
        <v>4575</v>
      </c>
      <c r="L59" s="1507" t="s">
        <v>4576</v>
      </c>
      <c r="M59" s="1467" t="s">
        <v>4577</v>
      </c>
      <c r="N59" s="1467" t="s">
        <v>4578</v>
      </c>
      <c r="O59" s="1467" t="s">
        <v>4579</v>
      </c>
      <c r="P59" s="1467" t="s">
        <v>4580</v>
      </c>
      <c r="Q59" s="1467" t="s">
        <v>4581</v>
      </c>
      <c r="R59" s="1467" t="s">
        <v>4582</v>
      </c>
      <c r="S59" s="1467" t="s">
        <v>4583</v>
      </c>
      <c r="T59" s="1475" t="s">
        <v>4584</v>
      </c>
      <c r="U59" s="406" t="s">
        <v>4585</v>
      </c>
      <c r="V59" s="1501" t="s">
        <v>4586</v>
      </c>
      <c r="W59" s="406" t="s">
        <v>4587</v>
      </c>
      <c r="X59" s="1501" t="s">
        <v>4588</v>
      </c>
      <c r="Y59" s="406" t="s">
        <v>4589</v>
      </c>
      <c r="Z59" s="1501" t="s">
        <v>4590</v>
      </c>
      <c r="AA59" s="936" t="s">
        <v>4591</v>
      </c>
      <c r="AB59" s="406" t="s">
        <v>4592</v>
      </c>
      <c r="AC59" s="1502" t="s">
        <v>4593</v>
      </c>
      <c r="AD59" s="1502" t="s">
        <v>4594</v>
      </c>
      <c r="AE59" s="1501" t="s">
        <v>4595</v>
      </c>
      <c r="AF59" s="936" t="s">
        <v>4596</v>
      </c>
      <c r="AG59" s="406" t="s">
        <v>4597</v>
      </c>
      <c r="AH59" s="1502" t="s">
        <v>4598</v>
      </c>
      <c r="AI59" s="1502" t="s">
        <v>4599</v>
      </c>
      <c r="AJ59" s="1503" t="s">
        <v>4600</v>
      </c>
      <c r="AK59" s="1478" t="s">
        <v>4601</v>
      </c>
      <c r="AL59" s="1478" t="s">
        <v>4602</v>
      </c>
      <c r="AM59" s="1478" t="s">
        <v>4603</v>
      </c>
      <c r="AN59" s="1478" t="s">
        <v>4604</v>
      </c>
      <c r="AO59" s="1478" t="s">
        <v>4605</v>
      </c>
      <c r="AP59" s="1478" t="s">
        <v>4606</v>
      </c>
      <c r="AQ59" s="1478" t="s">
        <v>4934</v>
      </c>
      <c r="AR59" s="1478" t="s">
        <v>4935</v>
      </c>
      <c r="AS59" s="1478" t="s">
        <v>4936</v>
      </c>
      <c r="AT59" s="1478" t="s">
        <v>4937</v>
      </c>
      <c r="AU59" s="161" t="e">
        <f t="shared" si="12"/>
        <v>#VALUE!</v>
      </c>
      <c r="CB59" s="162" t="e">
        <f t="shared" si="13"/>
        <v>#VALUE!</v>
      </c>
      <c r="CC59" s="162" t="e">
        <f t="shared" si="14"/>
        <v>#VALUE!</v>
      </c>
      <c r="CD59" s="162" t="str">
        <f t="shared" si="15"/>
        <v xml:space="preserve"> * La variable Pueblos Originarios no puede ser mayor al Total.</v>
      </c>
      <c r="CE59" s="162" t="str">
        <f t="shared" si="16"/>
        <v xml:space="preserve"> * La variable Migrantes no puede ser mayor al Total.</v>
      </c>
      <c r="CF59" s="162" t="str">
        <f t="shared" si="17"/>
        <v xml:space="preserve"> * La variable Teleconsulta de especialidad resueltas por Médicos Generales no puede ser mayor al Total.</v>
      </c>
      <c r="CG59" s="162" t="str">
        <f t="shared" si="18"/>
        <v xml:space="preserve"> * La variable Serv. Nac. Reinserción Social Juvenil no puede ser mayor al Total.</v>
      </c>
      <c r="CH59" s="162" t="str">
        <f t="shared" si="19"/>
        <v xml:space="preserve"> * La variable Serv. Nac. Protección Especializada a la Niñez y Adolescencia no puede ser mayor al Total.</v>
      </c>
      <c r="CL59" s="163" t="e">
        <f t="shared" si="9"/>
        <v>#VALUE!</v>
      </c>
      <c r="CM59" s="163" t="e">
        <f t="shared" si="10"/>
        <v>#VALUE!</v>
      </c>
      <c r="CN59" s="163">
        <f t="shared" si="11"/>
        <v>1</v>
      </c>
      <c r="CO59" s="163">
        <f t="shared" si="20"/>
        <v>1</v>
      </c>
      <c r="CP59" s="163">
        <f t="shared" si="21"/>
        <v>1</v>
      </c>
      <c r="CQ59" s="163">
        <f t="shared" si="21"/>
        <v>1</v>
      </c>
      <c r="CR59" s="163">
        <f t="shared" si="21"/>
        <v>1</v>
      </c>
    </row>
    <row r="60" spans="1:96" s="161" customFormat="1" ht="15" customHeight="1" x14ac:dyDescent="0.2">
      <c r="A60" s="5605">
        <v>32111014</v>
      </c>
      <c r="B60" s="3068" t="s">
        <v>4411</v>
      </c>
      <c r="C60" s="405" t="s">
        <v>4567</v>
      </c>
      <c r="D60" s="1508" t="s">
        <v>4568</v>
      </c>
      <c r="E60" s="1507" t="s">
        <v>4569</v>
      </c>
      <c r="F60" s="1507" t="s">
        <v>4570</v>
      </c>
      <c r="G60" s="1507" t="s">
        <v>4571</v>
      </c>
      <c r="H60" s="1467" t="s">
        <v>4572</v>
      </c>
      <c r="I60" s="1467" t="s">
        <v>4573</v>
      </c>
      <c r="J60" s="1467" t="s">
        <v>4574</v>
      </c>
      <c r="K60" s="1467" t="s">
        <v>4575</v>
      </c>
      <c r="L60" s="1467" t="s">
        <v>4576</v>
      </c>
      <c r="M60" s="1467" t="s">
        <v>4577</v>
      </c>
      <c r="N60" s="1467" t="s">
        <v>4578</v>
      </c>
      <c r="O60" s="1467" t="s">
        <v>4579</v>
      </c>
      <c r="P60" s="1467" t="s">
        <v>4580</v>
      </c>
      <c r="Q60" s="1467" t="s">
        <v>4581</v>
      </c>
      <c r="R60" s="1467" t="s">
        <v>4582</v>
      </c>
      <c r="S60" s="1467" t="s">
        <v>4583</v>
      </c>
      <c r="T60" s="1475" t="s">
        <v>4584</v>
      </c>
      <c r="U60" s="406" t="s">
        <v>4585</v>
      </c>
      <c r="V60" s="1501" t="s">
        <v>4586</v>
      </c>
      <c r="W60" s="406" t="s">
        <v>4587</v>
      </c>
      <c r="X60" s="1501" t="s">
        <v>4588</v>
      </c>
      <c r="Y60" s="406" t="s">
        <v>4589</v>
      </c>
      <c r="Z60" s="1501" t="s">
        <v>4590</v>
      </c>
      <c r="AA60" s="936" t="s">
        <v>4591</v>
      </c>
      <c r="AB60" s="406" t="s">
        <v>4592</v>
      </c>
      <c r="AC60" s="1502" t="s">
        <v>4593</v>
      </c>
      <c r="AD60" s="1502" t="s">
        <v>4594</v>
      </c>
      <c r="AE60" s="1501" t="s">
        <v>4595</v>
      </c>
      <c r="AF60" s="936" t="s">
        <v>4596</v>
      </c>
      <c r="AG60" s="406" t="s">
        <v>4597</v>
      </c>
      <c r="AH60" s="1502" t="s">
        <v>4598</v>
      </c>
      <c r="AI60" s="1502" t="s">
        <v>4599</v>
      </c>
      <c r="AJ60" s="1503" t="s">
        <v>4600</v>
      </c>
      <c r="AK60" s="1478" t="s">
        <v>4601</v>
      </c>
      <c r="AL60" s="1478" t="s">
        <v>4602</v>
      </c>
      <c r="AM60" s="1478" t="s">
        <v>4603</v>
      </c>
      <c r="AN60" s="1478" t="s">
        <v>4604</v>
      </c>
      <c r="AO60" s="1478" t="s">
        <v>4605</v>
      </c>
      <c r="AP60" s="1478" t="s">
        <v>4606</v>
      </c>
      <c r="AQ60" s="1478" t="s">
        <v>4934</v>
      </c>
      <c r="AR60" s="1478" t="s">
        <v>4935</v>
      </c>
      <c r="AS60" s="1478" t="s">
        <v>4936</v>
      </c>
      <c r="AT60" s="1478" t="s">
        <v>4937</v>
      </c>
      <c r="AU60" s="161" t="e">
        <f t="shared" si="12"/>
        <v>#VALUE!</v>
      </c>
      <c r="CB60" s="162" t="e">
        <f t="shared" si="13"/>
        <v>#VALUE!</v>
      </c>
      <c r="CC60" s="162" t="e">
        <f t="shared" si="14"/>
        <v>#VALUE!</v>
      </c>
      <c r="CD60" s="162" t="str">
        <f t="shared" si="15"/>
        <v xml:space="preserve"> * La variable Pueblos Originarios no puede ser mayor al Total.</v>
      </c>
      <c r="CE60" s="162" t="str">
        <f t="shared" si="16"/>
        <v xml:space="preserve"> * La variable Migrantes no puede ser mayor al Total.</v>
      </c>
      <c r="CF60" s="162" t="str">
        <f t="shared" si="17"/>
        <v xml:space="preserve"> * La variable Teleconsulta de especialidad resueltas por Médicos Generales no puede ser mayor al Total.</v>
      </c>
      <c r="CG60" s="162" t="str">
        <f t="shared" si="18"/>
        <v xml:space="preserve"> * La variable Serv. Nac. Reinserción Social Juvenil no puede ser mayor al Total.</v>
      </c>
      <c r="CH60" s="162" t="str">
        <f t="shared" si="19"/>
        <v xml:space="preserve"> * La variable Serv. Nac. Protección Especializada a la Niñez y Adolescencia no puede ser mayor al Total.</v>
      </c>
      <c r="CL60" s="163" t="e">
        <f t="shared" si="9"/>
        <v>#VALUE!</v>
      </c>
      <c r="CM60" s="163" t="e">
        <f t="shared" si="10"/>
        <v>#VALUE!</v>
      </c>
      <c r="CN60" s="163">
        <f t="shared" si="11"/>
        <v>1</v>
      </c>
      <c r="CO60" s="163">
        <f t="shared" si="20"/>
        <v>1</v>
      </c>
      <c r="CP60" s="163">
        <f t="shared" si="21"/>
        <v>1</v>
      </c>
      <c r="CQ60" s="163">
        <f t="shared" si="21"/>
        <v>1</v>
      </c>
      <c r="CR60" s="163">
        <f t="shared" si="21"/>
        <v>1</v>
      </c>
    </row>
    <row r="61" spans="1:96" s="161" customFormat="1" ht="15" customHeight="1" x14ac:dyDescent="0.15">
      <c r="A61" s="5601">
        <v>32101556</v>
      </c>
      <c r="B61" s="936" t="s">
        <v>3705</v>
      </c>
      <c r="C61" s="405" t="s">
        <v>4567</v>
      </c>
      <c r="D61" s="1508" t="s">
        <v>4568</v>
      </c>
      <c r="E61" s="1507" t="s">
        <v>4569</v>
      </c>
      <c r="F61" s="1507" t="s">
        <v>4570</v>
      </c>
      <c r="G61" s="1507" t="s">
        <v>4571</v>
      </c>
      <c r="H61" s="1507" t="s">
        <v>4572</v>
      </c>
      <c r="I61" s="1507" t="s">
        <v>4573</v>
      </c>
      <c r="J61" s="1507" t="s">
        <v>4574</v>
      </c>
      <c r="K61" s="1507" t="s">
        <v>4575</v>
      </c>
      <c r="L61" s="1507" t="s">
        <v>4576</v>
      </c>
      <c r="M61" s="1467" t="s">
        <v>4577</v>
      </c>
      <c r="N61" s="1467" t="s">
        <v>4578</v>
      </c>
      <c r="O61" s="1467" t="s">
        <v>4579</v>
      </c>
      <c r="P61" s="1467" t="s">
        <v>4580</v>
      </c>
      <c r="Q61" s="1467" t="s">
        <v>4581</v>
      </c>
      <c r="R61" s="1467" t="s">
        <v>4582</v>
      </c>
      <c r="S61" s="1467" t="s">
        <v>4583</v>
      </c>
      <c r="T61" s="1475" t="s">
        <v>4584</v>
      </c>
      <c r="U61" s="406" t="s">
        <v>4585</v>
      </c>
      <c r="V61" s="1501" t="s">
        <v>4586</v>
      </c>
      <c r="W61" s="406" t="s">
        <v>4587</v>
      </c>
      <c r="X61" s="1501" t="s">
        <v>4588</v>
      </c>
      <c r="Y61" s="406" t="s">
        <v>4589</v>
      </c>
      <c r="Z61" s="1501" t="s">
        <v>4590</v>
      </c>
      <c r="AA61" s="936" t="s">
        <v>4591</v>
      </c>
      <c r="AB61" s="406" t="s">
        <v>4592</v>
      </c>
      <c r="AC61" s="1502" t="s">
        <v>4593</v>
      </c>
      <c r="AD61" s="1502" t="s">
        <v>4594</v>
      </c>
      <c r="AE61" s="1501" t="s">
        <v>4595</v>
      </c>
      <c r="AF61" s="936" t="s">
        <v>4596</v>
      </c>
      <c r="AG61" s="406" t="s">
        <v>4597</v>
      </c>
      <c r="AH61" s="1502" t="s">
        <v>4598</v>
      </c>
      <c r="AI61" s="1502" t="s">
        <v>4599</v>
      </c>
      <c r="AJ61" s="1503" t="s">
        <v>4600</v>
      </c>
      <c r="AK61" s="1478" t="s">
        <v>4601</v>
      </c>
      <c r="AL61" s="1478" t="s">
        <v>4602</v>
      </c>
      <c r="AM61" s="1478" t="s">
        <v>4603</v>
      </c>
      <c r="AN61" s="1478" t="s">
        <v>4604</v>
      </c>
      <c r="AO61" s="1478" t="s">
        <v>4605</v>
      </c>
      <c r="AP61" s="1478" t="s">
        <v>4606</v>
      </c>
      <c r="AQ61" s="1478" t="s">
        <v>4934</v>
      </c>
      <c r="AR61" s="1478" t="s">
        <v>4935</v>
      </c>
      <c r="AS61" s="1478" t="s">
        <v>4936</v>
      </c>
      <c r="AT61" s="1478" t="s">
        <v>4937</v>
      </c>
      <c r="AU61" s="161" t="e">
        <f t="shared" si="12"/>
        <v>#VALUE!</v>
      </c>
      <c r="CB61" s="162" t="e">
        <f t="shared" si="13"/>
        <v>#VALUE!</v>
      </c>
      <c r="CC61" s="162" t="e">
        <f t="shared" si="14"/>
        <v>#VALUE!</v>
      </c>
      <c r="CD61" s="162" t="str">
        <f t="shared" si="15"/>
        <v xml:space="preserve"> * La variable Pueblos Originarios no puede ser mayor al Total.</v>
      </c>
      <c r="CE61" s="162" t="str">
        <f t="shared" si="16"/>
        <v xml:space="preserve"> * La variable Migrantes no puede ser mayor al Total.</v>
      </c>
      <c r="CF61" s="162" t="str">
        <f t="shared" si="17"/>
        <v xml:space="preserve"> * La variable Teleconsulta de especialidad resueltas por Médicos Generales no puede ser mayor al Total.</v>
      </c>
      <c r="CG61" s="162" t="str">
        <f t="shared" si="18"/>
        <v xml:space="preserve"> * La variable Serv. Nac. Reinserción Social Juvenil no puede ser mayor al Total.</v>
      </c>
      <c r="CH61" s="162" t="str">
        <f t="shared" si="19"/>
        <v xml:space="preserve"> * La variable Serv. Nac. Protección Especializada a la Niñez y Adolescencia no puede ser mayor al Total.</v>
      </c>
      <c r="CL61" s="163" t="e">
        <f t="shared" si="9"/>
        <v>#VALUE!</v>
      </c>
      <c r="CM61" s="163" t="e">
        <f t="shared" si="10"/>
        <v>#VALUE!</v>
      </c>
      <c r="CN61" s="163">
        <f t="shared" si="11"/>
        <v>1</v>
      </c>
      <c r="CO61" s="163">
        <f t="shared" si="20"/>
        <v>1</v>
      </c>
      <c r="CP61" s="163">
        <f t="shared" si="21"/>
        <v>1</v>
      </c>
      <c r="CQ61" s="163">
        <f t="shared" si="21"/>
        <v>1</v>
      </c>
      <c r="CR61" s="163">
        <f t="shared" si="21"/>
        <v>1</v>
      </c>
    </row>
    <row r="62" spans="1:96" s="161" customFormat="1" ht="15" customHeight="1" x14ac:dyDescent="0.15">
      <c r="A62" s="5601">
        <v>32101557</v>
      </c>
      <c r="B62" s="936" t="s">
        <v>3706</v>
      </c>
      <c r="C62" s="405" t="s">
        <v>4567</v>
      </c>
      <c r="D62" s="1508" t="s">
        <v>4568</v>
      </c>
      <c r="E62" s="1507" t="s">
        <v>4569</v>
      </c>
      <c r="F62" s="1507" t="s">
        <v>4570</v>
      </c>
      <c r="G62" s="1467" t="s">
        <v>4571</v>
      </c>
      <c r="H62" s="1467" t="s">
        <v>4572</v>
      </c>
      <c r="I62" s="1467" t="s">
        <v>4573</v>
      </c>
      <c r="J62" s="1467" t="s">
        <v>4574</v>
      </c>
      <c r="K62" s="1467" t="s">
        <v>4575</v>
      </c>
      <c r="L62" s="1467" t="s">
        <v>4576</v>
      </c>
      <c r="M62" s="1467" t="s">
        <v>4577</v>
      </c>
      <c r="N62" s="1467" t="s">
        <v>4578</v>
      </c>
      <c r="O62" s="1467" t="s">
        <v>4579</v>
      </c>
      <c r="P62" s="1467" t="s">
        <v>4580</v>
      </c>
      <c r="Q62" s="1467" t="s">
        <v>4581</v>
      </c>
      <c r="R62" s="1467" t="s">
        <v>4582</v>
      </c>
      <c r="S62" s="1467" t="s">
        <v>4583</v>
      </c>
      <c r="T62" s="1475" t="s">
        <v>4584</v>
      </c>
      <c r="U62" s="406" t="s">
        <v>4585</v>
      </c>
      <c r="V62" s="1501" t="s">
        <v>4586</v>
      </c>
      <c r="W62" s="406" t="s">
        <v>4587</v>
      </c>
      <c r="X62" s="1501" t="s">
        <v>4588</v>
      </c>
      <c r="Y62" s="406" t="s">
        <v>4589</v>
      </c>
      <c r="Z62" s="1501" t="s">
        <v>4590</v>
      </c>
      <c r="AA62" s="936" t="s">
        <v>4591</v>
      </c>
      <c r="AB62" s="406" t="s">
        <v>4592</v>
      </c>
      <c r="AC62" s="1502" t="s">
        <v>4593</v>
      </c>
      <c r="AD62" s="1502" t="s">
        <v>4594</v>
      </c>
      <c r="AE62" s="1501" t="s">
        <v>4595</v>
      </c>
      <c r="AF62" s="936" t="s">
        <v>4596</v>
      </c>
      <c r="AG62" s="406" t="s">
        <v>4597</v>
      </c>
      <c r="AH62" s="1502" t="s">
        <v>4598</v>
      </c>
      <c r="AI62" s="1502" t="s">
        <v>4599</v>
      </c>
      <c r="AJ62" s="1503" t="s">
        <v>4600</v>
      </c>
      <c r="AK62" s="1478" t="s">
        <v>4601</v>
      </c>
      <c r="AL62" s="1478" t="s">
        <v>4602</v>
      </c>
      <c r="AM62" s="1478" t="s">
        <v>4603</v>
      </c>
      <c r="AN62" s="1478" t="s">
        <v>4604</v>
      </c>
      <c r="AO62" s="1478" t="s">
        <v>4605</v>
      </c>
      <c r="AP62" s="1478" t="s">
        <v>4606</v>
      </c>
      <c r="AQ62" s="1478" t="s">
        <v>4934</v>
      </c>
      <c r="AR62" s="1478" t="s">
        <v>4935</v>
      </c>
      <c r="AS62" s="1478" t="s">
        <v>4936</v>
      </c>
      <c r="AT62" s="1478" t="s">
        <v>4937</v>
      </c>
      <c r="AU62" s="161" t="e">
        <f t="shared" si="12"/>
        <v>#VALUE!</v>
      </c>
      <c r="CB62" s="162" t="e">
        <f t="shared" si="13"/>
        <v>#VALUE!</v>
      </c>
      <c r="CC62" s="162" t="e">
        <f t="shared" si="14"/>
        <v>#VALUE!</v>
      </c>
      <c r="CD62" s="162" t="str">
        <f t="shared" si="15"/>
        <v xml:space="preserve"> * La variable Pueblos Originarios no puede ser mayor al Total.</v>
      </c>
      <c r="CE62" s="162" t="str">
        <f t="shared" si="16"/>
        <v xml:space="preserve"> * La variable Migrantes no puede ser mayor al Total.</v>
      </c>
      <c r="CF62" s="162" t="str">
        <f t="shared" si="17"/>
        <v xml:space="preserve"> * La variable Teleconsulta de especialidad resueltas por Médicos Generales no puede ser mayor al Total.</v>
      </c>
      <c r="CG62" s="162" t="str">
        <f t="shared" si="18"/>
        <v xml:space="preserve"> * La variable Serv. Nac. Reinserción Social Juvenil no puede ser mayor al Total.</v>
      </c>
      <c r="CH62" s="162" t="str">
        <f t="shared" si="19"/>
        <v xml:space="preserve"> * La variable Serv. Nac. Protección Especializada a la Niñez y Adolescencia no puede ser mayor al Total.</v>
      </c>
      <c r="CL62" s="163" t="e">
        <f t="shared" si="9"/>
        <v>#VALUE!</v>
      </c>
      <c r="CM62" s="163" t="e">
        <f t="shared" si="10"/>
        <v>#VALUE!</v>
      </c>
      <c r="CN62" s="163">
        <f t="shared" si="11"/>
        <v>1</v>
      </c>
      <c r="CO62" s="163">
        <f t="shared" si="20"/>
        <v>1</v>
      </c>
      <c r="CP62" s="163">
        <f t="shared" si="21"/>
        <v>1</v>
      </c>
      <c r="CQ62" s="163">
        <f t="shared" si="21"/>
        <v>1</v>
      </c>
      <c r="CR62" s="163">
        <f t="shared" si="21"/>
        <v>1</v>
      </c>
    </row>
    <row r="63" spans="1:96" s="161" customFormat="1" ht="15" customHeight="1" x14ac:dyDescent="0.15">
      <c r="A63" s="5601">
        <v>32101558</v>
      </c>
      <c r="B63" s="936" t="s">
        <v>3707</v>
      </c>
      <c r="C63" s="405" t="s">
        <v>4567</v>
      </c>
      <c r="D63" s="1508" t="s">
        <v>4568</v>
      </c>
      <c r="E63" s="1507" t="s">
        <v>4569</v>
      </c>
      <c r="F63" s="1507" t="s">
        <v>4570</v>
      </c>
      <c r="G63" s="1467" t="s">
        <v>4571</v>
      </c>
      <c r="H63" s="1467" t="s">
        <v>4572</v>
      </c>
      <c r="I63" s="1467" t="s">
        <v>4573</v>
      </c>
      <c r="J63" s="1467" t="s">
        <v>4574</v>
      </c>
      <c r="K63" s="1467" t="s">
        <v>4575</v>
      </c>
      <c r="L63" s="1467" t="s">
        <v>4576</v>
      </c>
      <c r="M63" s="1467" t="s">
        <v>4577</v>
      </c>
      <c r="N63" s="1467" t="s">
        <v>4578</v>
      </c>
      <c r="O63" s="1467" t="s">
        <v>4579</v>
      </c>
      <c r="P63" s="1467" t="s">
        <v>4580</v>
      </c>
      <c r="Q63" s="1467" t="s">
        <v>4581</v>
      </c>
      <c r="R63" s="1467" t="s">
        <v>4582</v>
      </c>
      <c r="S63" s="1467" t="s">
        <v>4583</v>
      </c>
      <c r="T63" s="1475" t="s">
        <v>4584</v>
      </c>
      <c r="U63" s="406" t="s">
        <v>4585</v>
      </c>
      <c r="V63" s="1501" t="s">
        <v>4586</v>
      </c>
      <c r="W63" s="406" t="s">
        <v>4587</v>
      </c>
      <c r="X63" s="1501" t="s">
        <v>4588</v>
      </c>
      <c r="Y63" s="406" t="s">
        <v>4589</v>
      </c>
      <c r="Z63" s="1501" t="s">
        <v>4590</v>
      </c>
      <c r="AA63" s="936" t="s">
        <v>4591</v>
      </c>
      <c r="AB63" s="406" t="s">
        <v>4592</v>
      </c>
      <c r="AC63" s="1502" t="s">
        <v>4593</v>
      </c>
      <c r="AD63" s="1502" t="s">
        <v>4594</v>
      </c>
      <c r="AE63" s="1501" t="s">
        <v>4595</v>
      </c>
      <c r="AF63" s="936" t="s">
        <v>4596</v>
      </c>
      <c r="AG63" s="406" t="s">
        <v>4597</v>
      </c>
      <c r="AH63" s="1502" t="s">
        <v>4598</v>
      </c>
      <c r="AI63" s="1502" t="s">
        <v>4599</v>
      </c>
      <c r="AJ63" s="1503" t="s">
        <v>4600</v>
      </c>
      <c r="AK63" s="1478" t="s">
        <v>4601</v>
      </c>
      <c r="AL63" s="1478" t="s">
        <v>4602</v>
      </c>
      <c r="AM63" s="1478" t="s">
        <v>4603</v>
      </c>
      <c r="AN63" s="1478" t="s">
        <v>4604</v>
      </c>
      <c r="AO63" s="1478" t="s">
        <v>4605</v>
      </c>
      <c r="AP63" s="1478" t="s">
        <v>4606</v>
      </c>
      <c r="AQ63" s="1478" t="s">
        <v>4934</v>
      </c>
      <c r="AR63" s="1478" t="s">
        <v>4935</v>
      </c>
      <c r="AS63" s="1478" t="s">
        <v>4936</v>
      </c>
      <c r="AT63" s="1478" t="s">
        <v>4937</v>
      </c>
      <c r="AU63" s="161" t="e">
        <f t="shared" si="12"/>
        <v>#VALUE!</v>
      </c>
      <c r="CB63" s="162" t="e">
        <f t="shared" si="13"/>
        <v>#VALUE!</v>
      </c>
      <c r="CC63" s="162" t="e">
        <f t="shared" si="14"/>
        <v>#VALUE!</v>
      </c>
      <c r="CD63" s="162" t="str">
        <f t="shared" si="15"/>
        <v xml:space="preserve"> * La variable Pueblos Originarios no puede ser mayor al Total.</v>
      </c>
      <c r="CE63" s="162" t="str">
        <f t="shared" si="16"/>
        <v xml:space="preserve"> * La variable Migrantes no puede ser mayor al Total.</v>
      </c>
      <c r="CF63" s="162" t="str">
        <f t="shared" si="17"/>
        <v xml:space="preserve"> * La variable Teleconsulta de especialidad resueltas por Médicos Generales no puede ser mayor al Total.</v>
      </c>
      <c r="CG63" s="162" t="str">
        <f t="shared" si="18"/>
        <v xml:space="preserve"> * La variable Serv. Nac. Reinserción Social Juvenil no puede ser mayor al Total.</v>
      </c>
      <c r="CH63" s="162" t="str">
        <f t="shared" si="19"/>
        <v xml:space="preserve"> * La variable Serv. Nac. Protección Especializada a la Niñez y Adolescencia no puede ser mayor al Total.</v>
      </c>
      <c r="CL63" s="163" t="e">
        <f t="shared" si="9"/>
        <v>#VALUE!</v>
      </c>
      <c r="CM63" s="163" t="e">
        <f t="shared" si="10"/>
        <v>#VALUE!</v>
      </c>
      <c r="CN63" s="163">
        <f t="shared" si="11"/>
        <v>1</v>
      </c>
      <c r="CO63" s="163">
        <f t="shared" si="20"/>
        <v>1</v>
      </c>
      <c r="CP63" s="163">
        <f t="shared" si="21"/>
        <v>1</v>
      </c>
      <c r="CQ63" s="163">
        <f t="shared" si="21"/>
        <v>1</v>
      </c>
      <c r="CR63" s="163">
        <f t="shared" si="21"/>
        <v>1</v>
      </c>
    </row>
    <row r="64" spans="1:96" s="161" customFormat="1" ht="15" customHeight="1" x14ac:dyDescent="0.15">
      <c r="A64" s="5601">
        <v>32101559</v>
      </c>
      <c r="B64" s="936" t="s">
        <v>3708</v>
      </c>
      <c r="C64" s="405" t="s">
        <v>4567</v>
      </c>
      <c r="D64" s="1508" t="s">
        <v>4568</v>
      </c>
      <c r="E64" s="1507" t="s">
        <v>4569</v>
      </c>
      <c r="F64" s="1507" t="s">
        <v>4570</v>
      </c>
      <c r="G64" s="1467" t="s">
        <v>4571</v>
      </c>
      <c r="H64" s="1467" t="s">
        <v>4572</v>
      </c>
      <c r="I64" s="1467" t="s">
        <v>4573</v>
      </c>
      <c r="J64" s="1467" t="s">
        <v>4574</v>
      </c>
      <c r="K64" s="1467" t="s">
        <v>4575</v>
      </c>
      <c r="L64" s="1467" t="s">
        <v>4576</v>
      </c>
      <c r="M64" s="1467" t="s">
        <v>4577</v>
      </c>
      <c r="N64" s="1467" t="s">
        <v>4578</v>
      </c>
      <c r="O64" s="1467" t="s">
        <v>4579</v>
      </c>
      <c r="P64" s="1467" t="s">
        <v>4580</v>
      </c>
      <c r="Q64" s="1467" t="s">
        <v>4581</v>
      </c>
      <c r="R64" s="1467" t="s">
        <v>4582</v>
      </c>
      <c r="S64" s="1467" t="s">
        <v>4583</v>
      </c>
      <c r="T64" s="1475" t="s">
        <v>4584</v>
      </c>
      <c r="U64" s="406" t="s">
        <v>4585</v>
      </c>
      <c r="V64" s="1501" t="s">
        <v>4586</v>
      </c>
      <c r="W64" s="406" t="s">
        <v>4587</v>
      </c>
      <c r="X64" s="1501" t="s">
        <v>4588</v>
      </c>
      <c r="Y64" s="406" t="s">
        <v>4589</v>
      </c>
      <c r="Z64" s="1501" t="s">
        <v>4590</v>
      </c>
      <c r="AA64" s="936" t="s">
        <v>4591</v>
      </c>
      <c r="AB64" s="406" t="s">
        <v>4592</v>
      </c>
      <c r="AC64" s="1502" t="s">
        <v>4593</v>
      </c>
      <c r="AD64" s="1502" t="s">
        <v>4594</v>
      </c>
      <c r="AE64" s="1501" t="s">
        <v>4595</v>
      </c>
      <c r="AF64" s="936" t="s">
        <v>4596</v>
      </c>
      <c r="AG64" s="406" t="s">
        <v>4597</v>
      </c>
      <c r="AH64" s="1502" t="s">
        <v>4598</v>
      </c>
      <c r="AI64" s="1502" t="s">
        <v>4599</v>
      </c>
      <c r="AJ64" s="1503" t="s">
        <v>4600</v>
      </c>
      <c r="AK64" s="1478" t="s">
        <v>4601</v>
      </c>
      <c r="AL64" s="1478" t="s">
        <v>4602</v>
      </c>
      <c r="AM64" s="1478" t="s">
        <v>4603</v>
      </c>
      <c r="AN64" s="1478" t="s">
        <v>4604</v>
      </c>
      <c r="AO64" s="1478" t="s">
        <v>4605</v>
      </c>
      <c r="AP64" s="1478" t="s">
        <v>4606</v>
      </c>
      <c r="AQ64" s="1478" t="s">
        <v>4934</v>
      </c>
      <c r="AR64" s="1478" t="s">
        <v>4935</v>
      </c>
      <c r="AS64" s="1478" t="s">
        <v>4936</v>
      </c>
      <c r="AT64" s="1478" t="s">
        <v>4937</v>
      </c>
      <c r="AU64" s="161" t="e">
        <f t="shared" si="12"/>
        <v>#VALUE!</v>
      </c>
      <c r="CB64" s="162" t="e">
        <f t="shared" si="13"/>
        <v>#VALUE!</v>
      </c>
      <c r="CC64" s="162" t="e">
        <f t="shared" si="14"/>
        <v>#VALUE!</v>
      </c>
      <c r="CD64" s="162" t="str">
        <f t="shared" si="15"/>
        <v xml:space="preserve"> * La variable Pueblos Originarios no puede ser mayor al Total.</v>
      </c>
      <c r="CE64" s="162" t="str">
        <f t="shared" si="16"/>
        <v xml:space="preserve"> * La variable Migrantes no puede ser mayor al Total.</v>
      </c>
      <c r="CF64" s="162" t="str">
        <f t="shared" si="17"/>
        <v xml:space="preserve"> * La variable Teleconsulta de especialidad resueltas por Médicos Generales no puede ser mayor al Total.</v>
      </c>
      <c r="CG64" s="162" t="str">
        <f t="shared" si="18"/>
        <v xml:space="preserve"> * La variable Serv. Nac. Reinserción Social Juvenil no puede ser mayor al Total.</v>
      </c>
      <c r="CH64" s="162" t="str">
        <f t="shared" si="19"/>
        <v xml:space="preserve"> * La variable Serv. Nac. Protección Especializada a la Niñez y Adolescencia no puede ser mayor al Total.</v>
      </c>
      <c r="CL64" s="163" t="e">
        <f t="shared" si="9"/>
        <v>#VALUE!</v>
      </c>
      <c r="CM64" s="163" t="e">
        <f t="shared" si="10"/>
        <v>#VALUE!</v>
      </c>
      <c r="CN64" s="163">
        <f t="shared" si="11"/>
        <v>1</v>
      </c>
      <c r="CO64" s="163">
        <f t="shared" si="20"/>
        <v>1</v>
      </c>
      <c r="CP64" s="163">
        <f t="shared" si="21"/>
        <v>1</v>
      </c>
      <c r="CQ64" s="163">
        <f t="shared" si="21"/>
        <v>1</v>
      </c>
      <c r="CR64" s="163">
        <f t="shared" si="21"/>
        <v>1</v>
      </c>
    </row>
    <row r="65" spans="1:96" s="161" customFormat="1" ht="15" customHeight="1" x14ac:dyDescent="0.15">
      <c r="A65" s="5601">
        <v>32101560</v>
      </c>
      <c r="B65" s="936" t="s">
        <v>3709</v>
      </c>
      <c r="C65" s="405" t="s">
        <v>4567</v>
      </c>
      <c r="D65" s="1466" t="s">
        <v>4568</v>
      </c>
      <c r="E65" s="1467" t="s">
        <v>4569</v>
      </c>
      <c r="F65" s="1467" t="s">
        <v>4570</v>
      </c>
      <c r="G65" s="1467" t="s">
        <v>4571</v>
      </c>
      <c r="H65" s="1467" t="s">
        <v>4572</v>
      </c>
      <c r="I65" s="1467" t="s">
        <v>4573</v>
      </c>
      <c r="J65" s="1467" t="s">
        <v>4574</v>
      </c>
      <c r="K65" s="1467" t="s">
        <v>4575</v>
      </c>
      <c r="L65" s="1467" t="s">
        <v>4576</v>
      </c>
      <c r="M65" s="1467" t="s">
        <v>4577</v>
      </c>
      <c r="N65" s="1467" t="s">
        <v>4578</v>
      </c>
      <c r="O65" s="1467" t="s">
        <v>4579</v>
      </c>
      <c r="P65" s="1467" t="s">
        <v>4580</v>
      </c>
      <c r="Q65" s="1467" t="s">
        <v>4581</v>
      </c>
      <c r="R65" s="1467" t="s">
        <v>4582</v>
      </c>
      <c r="S65" s="1467" t="s">
        <v>4583</v>
      </c>
      <c r="T65" s="1475" t="s">
        <v>4584</v>
      </c>
      <c r="U65" s="406" t="s">
        <v>4585</v>
      </c>
      <c r="V65" s="1501" t="s">
        <v>4586</v>
      </c>
      <c r="W65" s="406" t="s">
        <v>4587</v>
      </c>
      <c r="X65" s="1501" t="s">
        <v>4588</v>
      </c>
      <c r="Y65" s="406" t="s">
        <v>4589</v>
      </c>
      <c r="Z65" s="1501" t="s">
        <v>4590</v>
      </c>
      <c r="AA65" s="936" t="s">
        <v>4591</v>
      </c>
      <c r="AB65" s="406" t="s">
        <v>4592</v>
      </c>
      <c r="AC65" s="1502" t="s">
        <v>4593</v>
      </c>
      <c r="AD65" s="1502" t="s">
        <v>4594</v>
      </c>
      <c r="AE65" s="1501" t="s">
        <v>4595</v>
      </c>
      <c r="AF65" s="936" t="s">
        <v>4596</v>
      </c>
      <c r="AG65" s="406" t="s">
        <v>4597</v>
      </c>
      <c r="AH65" s="1502" t="s">
        <v>4598</v>
      </c>
      <c r="AI65" s="1502" t="s">
        <v>4599</v>
      </c>
      <c r="AJ65" s="1503" t="s">
        <v>4600</v>
      </c>
      <c r="AK65" s="1478" t="s">
        <v>4601</v>
      </c>
      <c r="AL65" s="1478" t="s">
        <v>4602</v>
      </c>
      <c r="AM65" s="1478" t="s">
        <v>4603</v>
      </c>
      <c r="AN65" s="1478" t="s">
        <v>4604</v>
      </c>
      <c r="AO65" s="1478" t="s">
        <v>4605</v>
      </c>
      <c r="AP65" s="1478" t="s">
        <v>4606</v>
      </c>
      <c r="AQ65" s="1478" t="s">
        <v>4934</v>
      </c>
      <c r="AR65" s="1478" t="s">
        <v>4935</v>
      </c>
      <c r="AS65" s="1478" t="s">
        <v>4936</v>
      </c>
      <c r="AT65" s="1478" t="s">
        <v>4937</v>
      </c>
      <c r="AU65" s="161" t="e">
        <f t="shared" si="12"/>
        <v>#VALUE!</v>
      </c>
      <c r="CB65" s="162" t="e">
        <f t="shared" si="13"/>
        <v>#VALUE!</v>
      </c>
      <c r="CC65" s="162" t="e">
        <f t="shared" si="14"/>
        <v>#VALUE!</v>
      </c>
      <c r="CD65" s="162" t="str">
        <f t="shared" si="15"/>
        <v xml:space="preserve"> * La variable Pueblos Originarios no puede ser mayor al Total.</v>
      </c>
      <c r="CE65" s="162" t="str">
        <f t="shared" si="16"/>
        <v xml:space="preserve"> * La variable Migrantes no puede ser mayor al Total.</v>
      </c>
      <c r="CF65" s="162" t="str">
        <f t="shared" si="17"/>
        <v xml:space="preserve"> * La variable Teleconsulta de especialidad resueltas por Médicos Generales no puede ser mayor al Total.</v>
      </c>
      <c r="CG65" s="162" t="str">
        <f t="shared" si="18"/>
        <v xml:space="preserve"> * La variable Serv. Nac. Reinserción Social Juvenil no puede ser mayor al Total.</v>
      </c>
      <c r="CH65" s="162" t="str">
        <f t="shared" si="19"/>
        <v xml:space="preserve"> * La variable Serv. Nac. Protección Especializada a la Niñez y Adolescencia no puede ser mayor al Total.</v>
      </c>
      <c r="CL65" s="163" t="e">
        <f t="shared" si="9"/>
        <v>#VALUE!</v>
      </c>
      <c r="CM65" s="163" t="e">
        <f t="shared" si="10"/>
        <v>#VALUE!</v>
      </c>
      <c r="CN65" s="163">
        <f t="shared" si="11"/>
        <v>1</v>
      </c>
      <c r="CO65" s="163">
        <f t="shared" si="20"/>
        <v>1</v>
      </c>
      <c r="CP65" s="163">
        <f t="shared" si="21"/>
        <v>1</v>
      </c>
      <c r="CQ65" s="163">
        <f t="shared" si="21"/>
        <v>1</v>
      </c>
      <c r="CR65" s="163">
        <f t="shared" si="21"/>
        <v>1</v>
      </c>
    </row>
    <row r="66" spans="1:96" s="161" customFormat="1" ht="15" customHeight="1" x14ac:dyDescent="0.15">
      <c r="A66" s="5601">
        <v>32101561</v>
      </c>
      <c r="B66" s="936" t="s">
        <v>3710</v>
      </c>
      <c r="C66" s="405" t="s">
        <v>4567</v>
      </c>
      <c r="D66" s="1466" t="s">
        <v>4568</v>
      </c>
      <c r="E66" s="1467" t="s">
        <v>4569</v>
      </c>
      <c r="F66" s="1467" t="s">
        <v>4570</v>
      </c>
      <c r="G66" s="1467" t="s">
        <v>4571</v>
      </c>
      <c r="H66" s="1467" t="s">
        <v>4572</v>
      </c>
      <c r="I66" s="1467" t="s">
        <v>4573</v>
      </c>
      <c r="J66" s="1467" t="s">
        <v>4574</v>
      </c>
      <c r="K66" s="1467" t="s">
        <v>4575</v>
      </c>
      <c r="L66" s="1467" t="s">
        <v>4576</v>
      </c>
      <c r="M66" s="1467" t="s">
        <v>4577</v>
      </c>
      <c r="N66" s="1467" t="s">
        <v>4578</v>
      </c>
      <c r="O66" s="1467" t="s">
        <v>4579</v>
      </c>
      <c r="P66" s="1467" t="s">
        <v>4580</v>
      </c>
      <c r="Q66" s="1467" t="s">
        <v>4581</v>
      </c>
      <c r="R66" s="1467" t="s">
        <v>4582</v>
      </c>
      <c r="S66" s="1467" t="s">
        <v>4583</v>
      </c>
      <c r="T66" s="1475" t="s">
        <v>4584</v>
      </c>
      <c r="U66" s="406" t="s">
        <v>4585</v>
      </c>
      <c r="V66" s="1501" t="s">
        <v>4586</v>
      </c>
      <c r="W66" s="406" t="s">
        <v>4587</v>
      </c>
      <c r="X66" s="1501" t="s">
        <v>4588</v>
      </c>
      <c r="Y66" s="406" t="s">
        <v>4589</v>
      </c>
      <c r="Z66" s="1501" t="s">
        <v>4590</v>
      </c>
      <c r="AA66" s="936" t="s">
        <v>4591</v>
      </c>
      <c r="AB66" s="406" t="s">
        <v>4592</v>
      </c>
      <c r="AC66" s="1502" t="s">
        <v>4593</v>
      </c>
      <c r="AD66" s="1502" t="s">
        <v>4594</v>
      </c>
      <c r="AE66" s="1501" t="s">
        <v>4595</v>
      </c>
      <c r="AF66" s="936" t="s">
        <v>4596</v>
      </c>
      <c r="AG66" s="406" t="s">
        <v>4597</v>
      </c>
      <c r="AH66" s="1502" t="s">
        <v>4598</v>
      </c>
      <c r="AI66" s="1502" t="s">
        <v>4599</v>
      </c>
      <c r="AJ66" s="1503" t="s">
        <v>4600</v>
      </c>
      <c r="AK66" s="1478" t="s">
        <v>4601</v>
      </c>
      <c r="AL66" s="1478" t="s">
        <v>4602</v>
      </c>
      <c r="AM66" s="1478" t="s">
        <v>4603</v>
      </c>
      <c r="AN66" s="1478" t="s">
        <v>4604</v>
      </c>
      <c r="AO66" s="1478" t="s">
        <v>4605</v>
      </c>
      <c r="AP66" s="1478" t="s">
        <v>4606</v>
      </c>
      <c r="AQ66" s="1478" t="s">
        <v>4934</v>
      </c>
      <c r="AR66" s="1478" t="s">
        <v>4935</v>
      </c>
      <c r="AS66" s="1478" t="s">
        <v>4936</v>
      </c>
      <c r="AT66" s="1478" t="s">
        <v>4937</v>
      </c>
      <c r="AU66" s="161" t="e">
        <f t="shared" si="12"/>
        <v>#VALUE!</v>
      </c>
      <c r="CB66" s="162" t="e">
        <f t="shared" si="13"/>
        <v>#VALUE!</v>
      </c>
      <c r="CC66" s="162" t="e">
        <f t="shared" si="14"/>
        <v>#VALUE!</v>
      </c>
      <c r="CD66" s="162" t="str">
        <f t="shared" si="15"/>
        <v xml:space="preserve"> * La variable Pueblos Originarios no puede ser mayor al Total.</v>
      </c>
      <c r="CE66" s="162" t="str">
        <f t="shared" si="16"/>
        <v xml:space="preserve"> * La variable Migrantes no puede ser mayor al Total.</v>
      </c>
      <c r="CF66" s="162" t="str">
        <f t="shared" si="17"/>
        <v xml:space="preserve"> * La variable Teleconsulta de especialidad resueltas por Médicos Generales no puede ser mayor al Total.</v>
      </c>
      <c r="CG66" s="162" t="str">
        <f t="shared" si="18"/>
        <v xml:space="preserve"> * La variable Serv. Nac. Reinserción Social Juvenil no puede ser mayor al Total.</v>
      </c>
      <c r="CH66" s="162" t="str">
        <f t="shared" si="19"/>
        <v xml:space="preserve"> * La variable Serv. Nac. Protección Especializada a la Niñez y Adolescencia no puede ser mayor al Total.</v>
      </c>
      <c r="CL66" s="163" t="e">
        <f t="shared" si="9"/>
        <v>#VALUE!</v>
      </c>
      <c r="CM66" s="163" t="e">
        <f t="shared" si="10"/>
        <v>#VALUE!</v>
      </c>
      <c r="CN66" s="163">
        <f t="shared" si="11"/>
        <v>1</v>
      </c>
      <c r="CO66" s="163">
        <f t="shared" si="20"/>
        <v>1</v>
      </c>
      <c r="CP66" s="163">
        <f t="shared" si="21"/>
        <v>1</v>
      </c>
      <c r="CQ66" s="163">
        <f t="shared" si="21"/>
        <v>1</v>
      </c>
      <c r="CR66" s="163">
        <f t="shared" si="21"/>
        <v>1</v>
      </c>
    </row>
    <row r="67" spans="1:96" s="161" customFormat="1" ht="15" customHeight="1" x14ac:dyDescent="0.15">
      <c r="A67" s="5605">
        <v>32111015</v>
      </c>
      <c r="B67" s="1087" t="s">
        <v>1433</v>
      </c>
      <c r="C67" s="405" t="s">
        <v>4567</v>
      </c>
      <c r="D67" s="1466" t="s">
        <v>4568</v>
      </c>
      <c r="E67" s="1467" t="s">
        <v>4569</v>
      </c>
      <c r="F67" s="1467" t="s">
        <v>4570</v>
      </c>
      <c r="G67" s="1467" t="s">
        <v>4571</v>
      </c>
      <c r="H67" s="1467" t="s">
        <v>4572</v>
      </c>
      <c r="I67" s="1467" t="s">
        <v>4573</v>
      </c>
      <c r="J67" s="1467" t="s">
        <v>4574</v>
      </c>
      <c r="K67" s="1467" t="s">
        <v>4575</v>
      </c>
      <c r="L67" s="1467" t="s">
        <v>4576</v>
      </c>
      <c r="M67" s="1467" t="s">
        <v>4577</v>
      </c>
      <c r="N67" s="1467" t="s">
        <v>4578</v>
      </c>
      <c r="O67" s="1467" t="s">
        <v>4579</v>
      </c>
      <c r="P67" s="1467" t="s">
        <v>4580</v>
      </c>
      <c r="Q67" s="1467" t="s">
        <v>4581</v>
      </c>
      <c r="R67" s="1467" t="s">
        <v>4582</v>
      </c>
      <c r="S67" s="1467" t="s">
        <v>4583</v>
      </c>
      <c r="T67" s="1475" t="s">
        <v>4584</v>
      </c>
      <c r="U67" s="406" t="s">
        <v>4585</v>
      </c>
      <c r="V67" s="1501" t="s">
        <v>4586</v>
      </c>
      <c r="W67" s="406" t="s">
        <v>4587</v>
      </c>
      <c r="X67" s="1501" t="s">
        <v>4588</v>
      </c>
      <c r="Y67" s="406" t="s">
        <v>4589</v>
      </c>
      <c r="Z67" s="1501" t="s">
        <v>4590</v>
      </c>
      <c r="AA67" s="936" t="s">
        <v>4591</v>
      </c>
      <c r="AB67" s="406" t="s">
        <v>4592</v>
      </c>
      <c r="AC67" s="1502" t="s">
        <v>4593</v>
      </c>
      <c r="AD67" s="1502" t="s">
        <v>4594</v>
      </c>
      <c r="AE67" s="1501" t="s">
        <v>4595</v>
      </c>
      <c r="AF67" s="936" t="s">
        <v>4596</v>
      </c>
      <c r="AG67" s="406" t="s">
        <v>4597</v>
      </c>
      <c r="AH67" s="1502" t="s">
        <v>4598</v>
      </c>
      <c r="AI67" s="1502" t="s">
        <v>4599</v>
      </c>
      <c r="AJ67" s="1503" t="s">
        <v>4600</v>
      </c>
      <c r="AK67" s="1478" t="s">
        <v>4601</v>
      </c>
      <c r="AL67" s="1478" t="s">
        <v>4602</v>
      </c>
      <c r="AM67" s="1478" t="s">
        <v>4603</v>
      </c>
      <c r="AN67" s="1478" t="s">
        <v>4604</v>
      </c>
      <c r="AO67" s="1478" t="s">
        <v>4605</v>
      </c>
      <c r="AP67" s="1478" t="s">
        <v>4606</v>
      </c>
      <c r="AQ67" s="1478" t="s">
        <v>4934</v>
      </c>
      <c r="AR67" s="1478" t="s">
        <v>4935</v>
      </c>
      <c r="AS67" s="1478" t="s">
        <v>4936</v>
      </c>
      <c r="AT67" s="1478" t="s">
        <v>4937</v>
      </c>
      <c r="AU67" s="161" t="e">
        <f t="shared" si="12"/>
        <v>#VALUE!</v>
      </c>
      <c r="CB67" s="162" t="e">
        <f t="shared" si="13"/>
        <v>#VALUE!</v>
      </c>
      <c r="CC67" s="162" t="e">
        <f t="shared" si="14"/>
        <v>#VALUE!</v>
      </c>
      <c r="CD67" s="162" t="str">
        <f t="shared" si="15"/>
        <v xml:space="preserve"> * La variable Pueblos Originarios no puede ser mayor al Total.</v>
      </c>
      <c r="CE67" s="162" t="str">
        <f t="shared" si="16"/>
        <v xml:space="preserve"> * La variable Migrantes no puede ser mayor al Total.</v>
      </c>
      <c r="CF67" s="162" t="str">
        <f t="shared" si="17"/>
        <v xml:space="preserve"> * La variable Teleconsulta de especialidad resueltas por Médicos Generales no puede ser mayor al Total.</v>
      </c>
      <c r="CG67" s="162" t="str">
        <f t="shared" si="18"/>
        <v xml:space="preserve"> * La variable Serv. Nac. Reinserción Social Juvenil no puede ser mayor al Total.</v>
      </c>
      <c r="CH67" s="162" t="str">
        <f t="shared" si="19"/>
        <v xml:space="preserve"> * La variable Serv. Nac. Protección Especializada a la Niñez y Adolescencia no puede ser mayor al Total.</v>
      </c>
      <c r="CL67" s="163" t="e">
        <f t="shared" si="9"/>
        <v>#VALUE!</v>
      </c>
      <c r="CM67" s="163" t="e">
        <f t="shared" si="10"/>
        <v>#VALUE!</v>
      </c>
      <c r="CN67" s="163">
        <f t="shared" si="11"/>
        <v>1</v>
      </c>
      <c r="CO67" s="163">
        <f t="shared" si="20"/>
        <v>1</v>
      </c>
      <c r="CP67" s="163">
        <f t="shared" ref="CP67:CR89" si="22">IF(AND($C67&gt;0,AR67=""),1,IF(AR67&gt;$C67,1,0))</f>
        <v>1</v>
      </c>
      <c r="CQ67" s="163">
        <f t="shared" si="22"/>
        <v>1</v>
      </c>
      <c r="CR67" s="163">
        <f t="shared" si="22"/>
        <v>1</v>
      </c>
    </row>
    <row r="68" spans="1:96" s="161" customFormat="1" ht="15" customHeight="1" x14ac:dyDescent="0.15">
      <c r="A68" s="5601">
        <v>32101563</v>
      </c>
      <c r="B68" s="167" t="s">
        <v>3711</v>
      </c>
      <c r="C68" s="405" t="s">
        <v>4567</v>
      </c>
      <c r="D68" s="1508" t="s">
        <v>4568</v>
      </c>
      <c r="E68" s="1507" t="s">
        <v>4569</v>
      </c>
      <c r="F68" s="1507" t="s">
        <v>4570</v>
      </c>
      <c r="G68" s="1507" t="s">
        <v>4571</v>
      </c>
      <c r="H68" s="1467" t="s">
        <v>4572</v>
      </c>
      <c r="I68" s="1467" t="s">
        <v>4573</v>
      </c>
      <c r="J68" s="1467" t="s">
        <v>4574</v>
      </c>
      <c r="K68" s="1467" t="s">
        <v>4575</v>
      </c>
      <c r="L68" s="1467" t="s">
        <v>4576</v>
      </c>
      <c r="M68" s="1467" t="s">
        <v>4577</v>
      </c>
      <c r="N68" s="1467" t="s">
        <v>4578</v>
      </c>
      <c r="O68" s="1467" t="s">
        <v>4579</v>
      </c>
      <c r="P68" s="1467" t="s">
        <v>4580</v>
      </c>
      <c r="Q68" s="1467" t="s">
        <v>4581</v>
      </c>
      <c r="R68" s="1467" t="s">
        <v>4582</v>
      </c>
      <c r="S68" s="1467" t="s">
        <v>4583</v>
      </c>
      <c r="T68" s="1475" t="s">
        <v>4584</v>
      </c>
      <c r="U68" s="406" t="s">
        <v>4585</v>
      </c>
      <c r="V68" s="1501" t="s">
        <v>4586</v>
      </c>
      <c r="W68" s="406" t="s">
        <v>4587</v>
      </c>
      <c r="X68" s="1501" t="s">
        <v>4588</v>
      </c>
      <c r="Y68" s="406" t="s">
        <v>4589</v>
      </c>
      <c r="Z68" s="1501" t="s">
        <v>4590</v>
      </c>
      <c r="AA68" s="936" t="s">
        <v>4591</v>
      </c>
      <c r="AB68" s="406" t="s">
        <v>4592</v>
      </c>
      <c r="AC68" s="1502" t="s">
        <v>4593</v>
      </c>
      <c r="AD68" s="1502" t="s">
        <v>4594</v>
      </c>
      <c r="AE68" s="1501" t="s">
        <v>4595</v>
      </c>
      <c r="AF68" s="936" t="s">
        <v>4596</v>
      </c>
      <c r="AG68" s="406" t="s">
        <v>4597</v>
      </c>
      <c r="AH68" s="1502" t="s">
        <v>4598</v>
      </c>
      <c r="AI68" s="1502" t="s">
        <v>4599</v>
      </c>
      <c r="AJ68" s="1503" t="s">
        <v>4600</v>
      </c>
      <c r="AK68" s="1478" t="s">
        <v>4601</v>
      </c>
      <c r="AL68" s="1478" t="s">
        <v>4602</v>
      </c>
      <c r="AM68" s="1478" t="s">
        <v>4603</v>
      </c>
      <c r="AN68" s="1478" t="s">
        <v>4604</v>
      </c>
      <c r="AO68" s="1478" t="s">
        <v>4605</v>
      </c>
      <c r="AP68" s="1478" t="s">
        <v>4606</v>
      </c>
      <c r="AQ68" s="1478" t="s">
        <v>4934</v>
      </c>
      <c r="AR68" s="1478" t="s">
        <v>4935</v>
      </c>
      <c r="AS68" s="1478" t="s">
        <v>4936</v>
      </c>
      <c r="AT68" s="1478" t="s">
        <v>4937</v>
      </c>
      <c r="AU68" s="161" t="e">
        <f t="shared" si="12"/>
        <v>#VALUE!</v>
      </c>
      <c r="CB68" s="162" t="e">
        <f t="shared" si="13"/>
        <v>#VALUE!</v>
      </c>
      <c r="CC68" s="162" t="e">
        <f t="shared" si="14"/>
        <v>#VALUE!</v>
      </c>
      <c r="CD68" s="162" t="str">
        <f t="shared" si="15"/>
        <v xml:space="preserve"> * La variable Pueblos Originarios no puede ser mayor al Total.</v>
      </c>
      <c r="CE68" s="162" t="str">
        <f t="shared" si="16"/>
        <v xml:space="preserve"> * La variable Migrantes no puede ser mayor al Total.</v>
      </c>
      <c r="CF68" s="162" t="str">
        <f t="shared" si="17"/>
        <v xml:space="preserve"> * La variable Teleconsulta de especialidad resueltas por Médicos Generales no puede ser mayor al Total.</v>
      </c>
      <c r="CG68" s="162" t="str">
        <f t="shared" si="18"/>
        <v xml:space="preserve"> * La variable Serv. Nac. Reinserción Social Juvenil no puede ser mayor al Total.</v>
      </c>
      <c r="CH68" s="162" t="str">
        <f t="shared" si="19"/>
        <v xml:space="preserve"> * La variable Serv. Nac. Protección Especializada a la Niñez y Adolescencia no puede ser mayor al Total.</v>
      </c>
      <c r="CL68" s="163" t="e">
        <f t="shared" si="9"/>
        <v>#VALUE!</v>
      </c>
      <c r="CM68" s="163" t="e">
        <f t="shared" si="10"/>
        <v>#VALUE!</v>
      </c>
      <c r="CN68" s="163">
        <f t="shared" si="11"/>
        <v>1</v>
      </c>
      <c r="CO68" s="163">
        <f t="shared" si="20"/>
        <v>1</v>
      </c>
      <c r="CP68" s="163">
        <f t="shared" si="22"/>
        <v>1</v>
      </c>
      <c r="CQ68" s="163">
        <f t="shared" si="22"/>
        <v>1</v>
      </c>
      <c r="CR68" s="163">
        <f t="shared" si="22"/>
        <v>1</v>
      </c>
    </row>
    <row r="69" spans="1:96" s="161" customFormat="1" ht="15" customHeight="1" x14ac:dyDescent="0.15">
      <c r="A69" s="5601">
        <v>32101564</v>
      </c>
      <c r="B69" s="949" t="s">
        <v>3712</v>
      </c>
      <c r="C69" s="405" t="s">
        <v>4567</v>
      </c>
      <c r="D69" s="1508" t="s">
        <v>4568</v>
      </c>
      <c r="E69" s="1507" t="s">
        <v>4569</v>
      </c>
      <c r="F69" s="1507" t="s">
        <v>4570</v>
      </c>
      <c r="G69" s="1507" t="s">
        <v>4571</v>
      </c>
      <c r="H69" s="1467" t="s">
        <v>4572</v>
      </c>
      <c r="I69" s="1467" t="s">
        <v>4573</v>
      </c>
      <c r="J69" s="1467" t="s">
        <v>4574</v>
      </c>
      <c r="K69" s="1467" t="s">
        <v>4575</v>
      </c>
      <c r="L69" s="1467" t="s">
        <v>4576</v>
      </c>
      <c r="M69" s="1467" t="s">
        <v>4577</v>
      </c>
      <c r="N69" s="1467" t="s">
        <v>4578</v>
      </c>
      <c r="O69" s="1467" t="s">
        <v>4579</v>
      </c>
      <c r="P69" s="1467" t="s">
        <v>4580</v>
      </c>
      <c r="Q69" s="1467" t="s">
        <v>4581</v>
      </c>
      <c r="R69" s="1467" t="s">
        <v>4582</v>
      </c>
      <c r="S69" s="1467" t="s">
        <v>4583</v>
      </c>
      <c r="T69" s="1475" t="s">
        <v>4584</v>
      </c>
      <c r="U69" s="406" t="s">
        <v>4585</v>
      </c>
      <c r="V69" s="1501" t="s">
        <v>4586</v>
      </c>
      <c r="W69" s="406" t="s">
        <v>4587</v>
      </c>
      <c r="X69" s="1501" t="s">
        <v>4588</v>
      </c>
      <c r="Y69" s="406" t="s">
        <v>4589</v>
      </c>
      <c r="Z69" s="1501" t="s">
        <v>4590</v>
      </c>
      <c r="AA69" s="936" t="s">
        <v>4591</v>
      </c>
      <c r="AB69" s="406" t="s">
        <v>4592</v>
      </c>
      <c r="AC69" s="1502" t="s">
        <v>4593</v>
      </c>
      <c r="AD69" s="1502" t="s">
        <v>4594</v>
      </c>
      <c r="AE69" s="1501" t="s">
        <v>4595</v>
      </c>
      <c r="AF69" s="936" t="s">
        <v>4596</v>
      </c>
      <c r="AG69" s="406" t="s">
        <v>4597</v>
      </c>
      <c r="AH69" s="1502" t="s">
        <v>4598</v>
      </c>
      <c r="AI69" s="1502" t="s">
        <v>4599</v>
      </c>
      <c r="AJ69" s="1503" t="s">
        <v>4600</v>
      </c>
      <c r="AK69" s="1478" t="s">
        <v>4601</v>
      </c>
      <c r="AL69" s="1478" t="s">
        <v>4602</v>
      </c>
      <c r="AM69" s="1478" t="s">
        <v>4603</v>
      </c>
      <c r="AN69" s="1478" t="s">
        <v>4604</v>
      </c>
      <c r="AO69" s="1478" t="s">
        <v>4605</v>
      </c>
      <c r="AP69" s="1478" t="s">
        <v>4606</v>
      </c>
      <c r="AQ69" s="1478" t="s">
        <v>4934</v>
      </c>
      <c r="AR69" s="1478" t="s">
        <v>4935</v>
      </c>
      <c r="AS69" s="1478" t="s">
        <v>4936</v>
      </c>
      <c r="AT69" s="1478" t="s">
        <v>4937</v>
      </c>
      <c r="AU69" s="161" t="e">
        <f t="shared" si="12"/>
        <v>#VALUE!</v>
      </c>
      <c r="CB69" s="162" t="e">
        <f t="shared" si="13"/>
        <v>#VALUE!</v>
      </c>
      <c r="CC69" s="162" t="e">
        <f t="shared" si="14"/>
        <v>#VALUE!</v>
      </c>
      <c r="CD69" s="162" t="str">
        <f t="shared" si="15"/>
        <v xml:space="preserve"> * La variable Pueblos Originarios no puede ser mayor al Total.</v>
      </c>
      <c r="CE69" s="162" t="str">
        <f t="shared" si="16"/>
        <v xml:space="preserve"> * La variable Migrantes no puede ser mayor al Total.</v>
      </c>
      <c r="CF69" s="162" t="str">
        <f t="shared" si="17"/>
        <v xml:space="preserve"> * La variable Teleconsulta de especialidad resueltas por Médicos Generales no puede ser mayor al Total.</v>
      </c>
      <c r="CG69" s="162" t="str">
        <f t="shared" si="18"/>
        <v xml:space="preserve"> * La variable Serv. Nac. Reinserción Social Juvenil no puede ser mayor al Total.</v>
      </c>
      <c r="CH69" s="162" t="str">
        <f t="shared" si="19"/>
        <v xml:space="preserve"> * La variable Serv. Nac. Protección Especializada a la Niñez y Adolescencia no puede ser mayor al Total.</v>
      </c>
      <c r="CL69" s="163" t="e">
        <f t="shared" si="9"/>
        <v>#VALUE!</v>
      </c>
      <c r="CM69" s="163" t="e">
        <f t="shared" si="10"/>
        <v>#VALUE!</v>
      </c>
      <c r="CN69" s="163">
        <f t="shared" si="11"/>
        <v>1</v>
      </c>
      <c r="CO69" s="163">
        <f t="shared" si="20"/>
        <v>1</v>
      </c>
      <c r="CP69" s="163">
        <f t="shared" si="22"/>
        <v>1</v>
      </c>
      <c r="CQ69" s="163">
        <f t="shared" si="22"/>
        <v>1</v>
      </c>
      <c r="CR69" s="163">
        <f t="shared" si="22"/>
        <v>1</v>
      </c>
    </row>
    <row r="70" spans="1:96" s="161" customFormat="1" ht="15" customHeight="1" x14ac:dyDescent="0.15">
      <c r="A70" s="5605">
        <v>32111016</v>
      </c>
      <c r="B70" s="1087" t="s">
        <v>4313</v>
      </c>
      <c r="C70" s="405" t="s">
        <v>4567</v>
      </c>
      <c r="D70" s="1508" t="s">
        <v>4568</v>
      </c>
      <c r="E70" s="1507" t="s">
        <v>4569</v>
      </c>
      <c r="F70" s="1507" t="s">
        <v>4570</v>
      </c>
      <c r="G70" s="1507" t="s">
        <v>4571</v>
      </c>
      <c r="H70" s="1507" t="s">
        <v>4572</v>
      </c>
      <c r="I70" s="1507" t="s">
        <v>4573</v>
      </c>
      <c r="J70" s="1507" t="s">
        <v>4574</v>
      </c>
      <c r="K70" s="1507" t="s">
        <v>4575</v>
      </c>
      <c r="L70" s="1507" t="s">
        <v>4576</v>
      </c>
      <c r="M70" s="1467" t="s">
        <v>4577</v>
      </c>
      <c r="N70" s="1467" t="s">
        <v>4578</v>
      </c>
      <c r="O70" s="1467" t="s">
        <v>4579</v>
      </c>
      <c r="P70" s="1467" t="s">
        <v>4580</v>
      </c>
      <c r="Q70" s="1467" t="s">
        <v>4581</v>
      </c>
      <c r="R70" s="1467" t="s">
        <v>4582</v>
      </c>
      <c r="S70" s="1467" t="s">
        <v>4583</v>
      </c>
      <c r="T70" s="1475" t="s">
        <v>4584</v>
      </c>
      <c r="U70" s="406" t="s">
        <v>4585</v>
      </c>
      <c r="V70" s="1501" t="s">
        <v>4586</v>
      </c>
      <c r="W70" s="406" t="s">
        <v>4587</v>
      </c>
      <c r="X70" s="1501" t="s">
        <v>4588</v>
      </c>
      <c r="Y70" s="406" t="s">
        <v>4589</v>
      </c>
      <c r="Z70" s="1501" t="s">
        <v>4590</v>
      </c>
      <c r="AA70" s="936" t="s">
        <v>4591</v>
      </c>
      <c r="AB70" s="406" t="s">
        <v>4592</v>
      </c>
      <c r="AC70" s="1502" t="s">
        <v>4593</v>
      </c>
      <c r="AD70" s="1502" t="s">
        <v>4594</v>
      </c>
      <c r="AE70" s="1501" t="s">
        <v>4595</v>
      </c>
      <c r="AF70" s="936" t="s">
        <v>4596</v>
      </c>
      <c r="AG70" s="406" t="s">
        <v>4597</v>
      </c>
      <c r="AH70" s="1502" t="s">
        <v>4598</v>
      </c>
      <c r="AI70" s="1502" t="s">
        <v>4599</v>
      </c>
      <c r="AJ70" s="1503" t="s">
        <v>4600</v>
      </c>
      <c r="AK70" s="1478" t="s">
        <v>4601</v>
      </c>
      <c r="AL70" s="1478" t="s">
        <v>4602</v>
      </c>
      <c r="AM70" s="1478" t="s">
        <v>4603</v>
      </c>
      <c r="AN70" s="1478" t="s">
        <v>4604</v>
      </c>
      <c r="AO70" s="1478" t="s">
        <v>4605</v>
      </c>
      <c r="AP70" s="1478" t="s">
        <v>4606</v>
      </c>
      <c r="AQ70" s="1478" t="s">
        <v>4934</v>
      </c>
      <c r="AR70" s="1478" t="s">
        <v>4935</v>
      </c>
      <c r="AS70" s="1478" t="s">
        <v>4936</v>
      </c>
      <c r="AT70" s="1478" t="s">
        <v>4937</v>
      </c>
      <c r="AU70" s="161" t="e">
        <f t="shared" si="12"/>
        <v>#VALUE!</v>
      </c>
      <c r="CB70" s="162" t="e">
        <f t="shared" si="13"/>
        <v>#VALUE!</v>
      </c>
      <c r="CC70" s="162" t="e">
        <f t="shared" si="14"/>
        <v>#VALUE!</v>
      </c>
      <c r="CD70" s="162" t="str">
        <f t="shared" si="15"/>
        <v xml:space="preserve"> * La variable Pueblos Originarios no puede ser mayor al Total.</v>
      </c>
      <c r="CE70" s="162" t="str">
        <f t="shared" si="16"/>
        <v xml:space="preserve"> * La variable Migrantes no puede ser mayor al Total.</v>
      </c>
      <c r="CF70" s="162" t="str">
        <f t="shared" si="17"/>
        <v xml:space="preserve"> * La variable Teleconsulta de especialidad resueltas por Médicos Generales no puede ser mayor al Total.</v>
      </c>
      <c r="CG70" s="162" t="str">
        <f t="shared" si="18"/>
        <v xml:space="preserve"> * La variable Serv. Nac. Reinserción Social Juvenil no puede ser mayor al Total.</v>
      </c>
      <c r="CH70" s="162" t="str">
        <f t="shared" si="19"/>
        <v xml:space="preserve"> * La variable Serv. Nac. Protección Especializada a la Niñez y Adolescencia no puede ser mayor al Total.</v>
      </c>
      <c r="CL70" s="163" t="e">
        <f t="shared" si="9"/>
        <v>#VALUE!</v>
      </c>
      <c r="CM70" s="163" t="e">
        <f t="shared" si="10"/>
        <v>#VALUE!</v>
      </c>
      <c r="CN70" s="163">
        <f t="shared" si="11"/>
        <v>1</v>
      </c>
      <c r="CO70" s="163">
        <f t="shared" si="20"/>
        <v>1</v>
      </c>
      <c r="CP70" s="163">
        <f t="shared" si="22"/>
        <v>1</v>
      </c>
      <c r="CQ70" s="163">
        <f t="shared" si="22"/>
        <v>1</v>
      </c>
      <c r="CR70" s="163">
        <f t="shared" si="22"/>
        <v>1</v>
      </c>
    </row>
    <row r="71" spans="1:96" s="161" customFormat="1" ht="15" customHeight="1" x14ac:dyDescent="0.15">
      <c r="A71" s="5605">
        <v>32111017</v>
      </c>
      <c r="B71" s="1087" t="s">
        <v>4315</v>
      </c>
      <c r="C71" s="405" t="s">
        <v>4567</v>
      </c>
      <c r="D71" s="1508" t="s">
        <v>4568</v>
      </c>
      <c r="E71" s="1507" t="s">
        <v>4569</v>
      </c>
      <c r="F71" s="1507" t="s">
        <v>4570</v>
      </c>
      <c r="G71" s="1507" t="s">
        <v>4571</v>
      </c>
      <c r="H71" s="1467" t="s">
        <v>4572</v>
      </c>
      <c r="I71" s="1467" t="s">
        <v>4573</v>
      </c>
      <c r="J71" s="1467" t="s">
        <v>4574</v>
      </c>
      <c r="K71" s="1467" t="s">
        <v>4575</v>
      </c>
      <c r="L71" s="1467" t="s">
        <v>4576</v>
      </c>
      <c r="M71" s="1467" t="s">
        <v>4577</v>
      </c>
      <c r="N71" s="1467" t="s">
        <v>4578</v>
      </c>
      <c r="O71" s="1467" t="s">
        <v>4579</v>
      </c>
      <c r="P71" s="1467" t="s">
        <v>4580</v>
      </c>
      <c r="Q71" s="1467" t="s">
        <v>4581</v>
      </c>
      <c r="R71" s="1467" t="s">
        <v>4582</v>
      </c>
      <c r="S71" s="1467" t="s">
        <v>4583</v>
      </c>
      <c r="T71" s="1475" t="s">
        <v>4584</v>
      </c>
      <c r="U71" s="406" t="s">
        <v>4585</v>
      </c>
      <c r="V71" s="1501" t="s">
        <v>4586</v>
      </c>
      <c r="W71" s="406" t="s">
        <v>4587</v>
      </c>
      <c r="X71" s="1501" t="s">
        <v>4588</v>
      </c>
      <c r="Y71" s="406" t="s">
        <v>4589</v>
      </c>
      <c r="Z71" s="1501" t="s">
        <v>4590</v>
      </c>
      <c r="AA71" s="936" t="s">
        <v>4591</v>
      </c>
      <c r="AB71" s="406" t="s">
        <v>4592</v>
      </c>
      <c r="AC71" s="1502" t="s">
        <v>4593</v>
      </c>
      <c r="AD71" s="1502" t="s">
        <v>4594</v>
      </c>
      <c r="AE71" s="1501" t="s">
        <v>4595</v>
      </c>
      <c r="AF71" s="936" t="s">
        <v>4596</v>
      </c>
      <c r="AG71" s="406" t="s">
        <v>4597</v>
      </c>
      <c r="AH71" s="1502" t="s">
        <v>4598</v>
      </c>
      <c r="AI71" s="1502" t="s">
        <v>4599</v>
      </c>
      <c r="AJ71" s="1503" t="s">
        <v>4600</v>
      </c>
      <c r="AK71" s="1478" t="s">
        <v>4601</v>
      </c>
      <c r="AL71" s="1478" t="s">
        <v>4602</v>
      </c>
      <c r="AM71" s="1478" t="s">
        <v>4603</v>
      </c>
      <c r="AN71" s="1478" t="s">
        <v>4604</v>
      </c>
      <c r="AO71" s="1478" t="s">
        <v>4605</v>
      </c>
      <c r="AP71" s="1478" t="s">
        <v>4606</v>
      </c>
      <c r="AQ71" s="1478" t="s">
        <v>4934</v>
      </c>
      <c r="AR71" s="1478" t="s">
        <v>4935</v>
      </c>
      <c r="AS71" s="1478" t="s">
        <v>4936</v>
      </c>
      <c r="AT71" s="1478" t="s">
        <v>4937</v>
      </c>
      <c r="AU71" s="161" t="e">
        <f t="shared" si="12"/>
        <v>#VALUE!</v>
      </c>
      <c r="CB71" s="162" t="e">
        <f t="shared" si="13"/>
        <v>#VALUE!</v>
      </c>
      <c r="CC71" s="162" t="e">
        <f t="shared" si="14"/>
        <v>#VALUE!</v>
      </c>
      <c r="CD71" s="162" t="str">
        <f t="shared" si="15"/>
        <v xml:space="preserve"> * La variable Pueblos Originarios no puede ser mayor al Total.</v>
      </c>
      <c r="CE71" s="162" t="str">
        <f t="shared" si="16"/>
        <v xml:space="preserve"> * La variable Migrantes no puede ser mayor al Total.</v>
      </c>
      <c r="CF71" s="162" t="str">
        <f t="shared" si="17"/>
        <v xml:space="preserve"> * La variable Teleconsulta de especialidad resueltas por Médicos Generales no puede ser mayor al Total.</v>
      </c>
      <c r="CG71" s="162" t="str">
        <f t="shared" si="18"/>
        <v xml:space="preserve"> * La variable Serv. Nac. Reinserción Social Juvenil no puede ser mayor al Total.</v>
      </c>
      <c r="CH71" s="162" t="str">
        <f t="shared" si="19"/>
        <v xml:space="preserve"> * La variable Serv. Nac. Protección Especializada a la Niñez y Adolescencia no puede ser mayor al Total.</v>
      </c>
      <c r="CL71" s="163" t="e">
        <f t="shared" si="9"/>
        <v>#VALUE!</v>
      </c>
      <c r="CM71" s="163" t="e">
        <f t="shared" si="10"/>
        <v>#VALUE!</v>
      </c>
      <c r="CN71" s="163">
        <f t="shared" si="11"/>
        <v>1</v>
      </c>
      <c r="CO71" s="163">
        <f t="shared" si="20"/>
        <v>1</v>
      </c>
      <c r="CP71" s="163">
        <f t="shared" si="22"/>
        <v>1</v>
      </c>
      <c r="CQ71" s="163">
        <f t="shared" si="22"/>
        <v>1</v>
      </c>
      <c r="CR71" s="163">
        <f t="shared" si="22"/>
        <v>1</v>
      </c>
    </row>
    <row r="72" spans="1:96" s="161" customFormat="1" ht="15" customHeight="1" x14ac:dyDescent="0.15">
      <c r="A72" s="5601">
        <v>32101567</v>
      </c>
      <c r="B72" s="936" t="s">
        <v>4000</v>
      </c>
      <c r="C72" s="405" t="s">
        <v>4567</v>
      </c>
      <c r="D72" s="1466" t="s">
        <v>4568</v>
      </c>
      <c r="E72" s="1467" t="s">
        <v>4569</v>
      </c>
      <c r="F72" s="1467" t="s">
        <v>4570</v>
      </c>
      <c r="G72" s="1467" t="s">
        <v>4571</v>
      </c>
      <c r="H72" s="1467" t="s">
        <v>4572</v>
      </c>
      <c r="I72" s="1467" t="s">
        <v>4573</v>
      </c>
      <c r="J72" s="1467" t="s">
        <v>4574</v>
      </c>
      <c r="K72" s="1467" t="s">
        <v>4575</v>
      </c>
      <c r="L72" s="1467" t="s">
        <v>4576</v>
      </c>
      <c r="M72" s="1467" t="s">
        <v>4577</v>
      </c>
      <c r="N72" s="1467" t="s">
        <v>4578</v>
      </c>
      <c r="O72" s="1467" t="s">
        <v>4579</v>
      </c>
      <c r="P72" s="1467" t="s">
        <v>4580</v>
      </c>
      <c r="Q72" s="1467" t="s">
        <v>4581</v>
      </c>
      <c r="R72" s="1467" t="s">
        <v>4582</v>
      </c>
      <c r="S72" s="1467" t="s">
        <v>4583</v>
      </c>
      <c r="T72" s="1475" t="s">
        <v>4584</v>
      </c>
      <c r="U72" s="406" t="s">
        <v>4585</v>
      </c>
      <c r="V72" s="1501" t="s">
        <v>4586</v>
      </c>
      <c r="W72" s="406" t="s">
        <v>4587</v>
      </c>
      <c r="X72" s="1501" t="s">
        <v>4588</v>
      </c>
      <c r="Y72" s="406" t="s">
        <v>4589</v>
      </c>
      <c r="Z72" s="1501" t="s">
        <v>4590</v>
      </c>
      <c r="AA72" s="936" t="s">
        <v>4591</v>
      </c>
      <c r="AB72" s="406" t="s">
        <v>4592</v>
      </c>
      <c r="AC72" s="1502" t="s">
        <v>4593</v>
      </c>
      <c r="AD72" s="1502" t="s">
        <v>4594</v>
      </c>
      <c r="AE72" s="1501" t="s">
        <v>4595</v>
      </c>
      <c r="AF72" s="936" t="s">
        <v>4596</v>
      </c>
      <c r="AG72" s="406" t="s">
        <v>4597</v>
      </c>
      <c r="AH72" s="1502" t="s">
        <v>4598</v>
      </c>
      <c r="AI72" s="1502" t="s">
        <v>4599</v>
      </c>
      <c r="AJ72" s="1503" t="s">
        <v>4600</v>
      </c>
      <c r="AK72" s="1478" t="s">
        <v>4601</v>
      </c>
      <c r="AL72" s="1478" t="s">
        <v>4602</v>
      </c>
      <c r="AM72" s="1478" t="s">
        <v>4603</v>
      </c>
      <c r="AN72" s="1478" t="s">
        <v>4604</v>
      </c>
      <c r="AO72" s="1478" t="s">
        <v>4605</v>
      </c>
      <c r="AP72" s="1478" t="s">
        <v>4606</v>
      </c>
      <c r="AQ72" s="1478" t="s">
        <v>4934</v>
      </c>
      <c r="AR72" s="1478" t="s">
        <v>4935</v>
      </c>
      <c r="AS72" s="1478" t="s">
        <v>4936</v>
      </c>
      <c r="AT72" s="1478" t="s">
        <v>4937</v>
      </c>
      <c r="AU72" s="161" t="e">
        <f t="shared" si="12"/>
        <v>#VALUE!</v>
      </c>
      <c r="CB72" s="162" t="e">
        <f t="shared" si="13"/>
        <v>#VALUE!</v>
      </c>
      <c r="CC72" s="162" t="e">
        <f t="shared" si="14"/>
        <v>#VALUE!</v>
      </c>
      <c r="CD72" s="162" t="str">
        <f t="shared" si="15"/>
        <v xml:space="preserve"> * La variable Pueblos Originarios no puede ser mayor al Total.</v>
      </c>
      <c r="CE72" s="162" t="str">
        <f t="shared" si="16"/>
        <v xml:space="preserve"> * La variable Migrantes no puede ser mayor al Total.</v>
      </c>
      <c r="CF72" s="162" t="str">
        <f t="shared" si="17"/>
        <v xml:space="preserve"> * La variable Teleconsulta de especialidad resueltas por Médicos Generales no puede ser mayor al Total.</v>
      </c>
      <c r="CG72" s="162" t="str">
        <f t="shared" si="18"/>
        <v xml:space="preserve"> * La variable Serv. Nac. Reinserción Social Juvenil no puede ser mayor al Total.</v>
      </c>
      <c r="CH72" s="162" t="str">
        <f t="shared" si="19"/>
        <v xml:space="preserve"> * La variable Serv. Nac. Protección Especializada a la Niñez y Adolescencia no puede ser mayor al Total.</v>
      </c>
      <c r="CL72" s="163" t="e">
        <f t="shared" si="9"/>
        <v>#VALUE!</v>
      </c>
      <c r="CM72" s="163" t="e">
        <f t="shared" si="10"/>
        <v>#VALUE!</v>
      </c>
      <c r="CN72" s="163">
        <f t="shared" si="11"/>
        <v>1</v>
      </c>
      <c r="CO72" s="163">
        <f t="shared" si="20"/>
        <v>1</v>
      </c>
      <c r="CP72" s="163">
        <f t="shared" si="22"/>
        <v>1</v>
      </c>
      <c r="CQ72" s="163">
        <f t="shared" si="22"/>
        <v>1</v>
      </c>
      <c r="CR72" s="163">
        <f t="shared" si="22"/>
        <v>1</v>
      </c>
    </row>
    <row r="73" spans="1:96" s="161" customFormat="1" ht="15" customHeight="1" x14ac:dyDescent="0.15">
      <c r="A73" s="5601">
        <v>32101568</v>
      </c>
      <c r="B73" s="936" t="s">
        <v>3714</v>
      </c>
      <c r="C73" s="405" t="s">
        <v>4567</v>
      </c>
      <c r="D73" s="1466" t="s">
        <v>4568</v>
      </c>
      <c r="E73" s="1467" t="s">
        <v>4569</v>
      </c>
      <c r="F73" s="1467" t="s">
        <v>4570</v>
      </c>
      <c r="G73" s="1467" t="s">
        <v>4571</v>
      </c>
      <c r="H73" s="1467" t="s">
        <v>4572</v>
      </c>
      <c r="I73" s="1467" t="s">
        <v>4573</v>
      </c>
      <c r="J73" s="1467" t="s">
        <v>4574</v>
      </c>
      <c r="K73" s="1467" t="s">
        <v>4575</v>
      </c>
      <c r="L73" s="1467" t="s">
        <v>4576</v>
      </c>
      <c r="M73" s="1467" t="s">
        <v>4577</v>
      </c>
      <c r="N73" s="1467" t="s">
        <v>4578</v>
      </c>
      <c r="O73" s="1467" t="s">
        <v>4579</v>
      </c>
      <c r="P73" s="1467" t="s">
        <v>4580</v>
      </c>
      <c r="Q73" s="1467" t="s">
        <v>4581</v>
      </c>
      <c r="R73" s="1467" t="s">
        <v>4582</v>
      </c>
      <c r="S73" s="1467" t="s">
        <v>4583</v>
      </c>
      <c r="T73" s="1475" t="s">
        <v>4584</v>
      </c>
      <c r="U73" s="406" t="s">
        <v>4585</v>
      </c>
      <c r="V73" s="1501" t="s">
        <v>4586</v>
      </c>
      <c r="W73" s="406" t="s">
        <v>4587</v>
      </c>
      <c r="X73" s="1501" t="s">
        <v>4588</v>
      </c>
      <c r="Y73" s="406" t="s">
        <v>4589</v>
      </c>
      <c r="Z73" s="1501" t="s">
        <v>4590</v>
      </c>
      <c r="AA73" s="936" t="s">
        <v>4591</v>
      </c>
      <c r="AB73" s="406" t="s">
        <v>4592</v>
      </c>
      <c r="AC73" s="1502" t="s">
        <v>4593</v>
      </c>
      <c r="AD73" s="1502" t="s">
        <v>4594</v>
      </c>
      <c r="AE73" s="1501" t="s">
        <v>4595</v>
      </c>
      <c r="AF73" s="936" t="s">
        <v>4596</v>
      </c>
      <c r="AG73" s="406" t="s">
        <v>4597</v>
      </c>
      <c r="AH73" s="1502" t="s">
        <v>4598</v>
      </c>
      <c r="AI73" s="1502" t="s">
        <v>4599</v>
      </c>
      <c r="AJ73" s="1503" t="s">
        <v>4600</v>
      </c>
      <c r="AK73" s="1478" t="s">
        <v>4601</v>
      </c>
      <c r="AL73" s="1478" t="s">
        <v>4602</v>
      </c>
      <c r="AM73" s="1478" t="s">
        <v>4603</v>
      </c>
      <c r="AN73" s="1478" t="s">
        <v>4604</v>
      </c>
      <c r="AO73" s="1478" t="s">
        <v>4605</v>
      </c>
      <c r="AP73" s="1478" t="s">
        <v>4606</v>
      </c>
      <c r="AQ73" s="1478" t="s">
        <v>4934</v>
      </c>
      <c r="AR73" s="1478" t="s">
        <v>4935</v>
      </c>
      <c r="AS73" s="1478" t="s">
        <v>4936</v>
      </c>
      <c r="AT73" s="1478" t="s">
        <v>4937</v>
      </c>
      <c r="AU73" s="161" t="e">
        <f t="shared" si="12"/>
        <v>#VALUE!</v>
      </c>
      <c r="CB73" s="162" t="e">
        <f t="shared" si="13"/>
        <v>#VALUE!</v>
      </c>
      <c r="CC73" s="162" t="e">
        <f t="shared" si="14"/>
        <v>#VALUE!</v>
      </c>
      <c r="CD73" s="162" t="str">
        <f t="shared" si="15"/>
        <v xml:space="preserve"> * La variable Pueblos Originarios no puede ser mayor al Total.</v>
      </c>
      <c r="CE73" s="162" t="str">
        <f t="shared" si="16"/>
        <v xml:space="preserve"> * La variable Migrantes no puede ser mayor al Total.</v>
      </c>
      <c r="CF73" s="162" t="str">
        <f t="shared" si="17"/>
        <v xml:space="preserve"> * La variable Teleconsulta de especialidad resueltas por Médicos Generales no puede ser mayor al Total.</v>
      </c>
      <c r="CG73" s="162" t="str">
        <f t="shared" si="18"/>
        <v xml:space="preserve"> * La variable Serv. Nac. Reinserción Social Juvenil no puede ser mayor al Total.</v>
      </c>
      <c r="CH73" s="162" t="str">
        <f t="shared" si="19"/>
        <v xml:space="preserve"> * La variable Serv. Nac. Protección Especializada a la Niñez y Adolescencia no puede ser mayor al Total.</v>
      </c>
      <c r="CL73" s="163" t="e">
        <f t="shared" si="9"/>
        <v>#VALUE!</v>
      </c>
      <c r="CM73" s="163" t="e">
        <f t="shared" si="10"/>
        <v>#VALUE!</v>
      </c>
      <c r="CN73" s="163">
        <f t="shared" si="11"/>
        <v>1</v>
      </c>
      <c r="CO73" s="163">
        <f t="shared" si="20"/>
        <v>1</v>
      </c>
      <c r="CP73" s="163">
        <f t="shared" si="22"/>
        <v>1</v>
      </c>
      <c r="CQ73" s="163">
        <f t="shared" si="22"/>
        <v>1</v>
      </c>
      <c r="CR73" s="163">
        <f t="shared" si="22"/>
        <v>1</v>
      </c>
    </row>
    <row r="74" spans="1:96" s="161" customFormat="1" ht="15" customHeight="1" x14ac:dyDescent="0.15">
      <c r="A74" s="5601">
        <v>32101569</v>
      </c>
      <c r="B74" s="936" t="s">
        <v>4001</v>
      </c>
      <c r="C74" s="405" t="s">
        <v>4567</v>
      </c>
      <c r="D74" s="1466" t="s">
        <v>4568</v>
      </c>
      <c r="E74" s="1467" t="s">
        <v>4569</v>
      </c>
      <c r="F74" s="1467" t="s">
        <v>4570</v>
      </c>
      <c r="G74" s="1467" t="s">
        <v>4571</v>
      </c>
      <c r="H74" s="1467" t="s">
        <v>4572</v>
      </c>
      <c r="I74" s="1467" t="s">
        <v>4573</v>
      </c>
      <c r="J74" s="1467" t="s">
        <v>4574</v>
      </c>
      <c r="K74" s="1467" t="s">
        <v>4575</v>
      </c>
      <c r="L74" s="1467" t="s">
        <v>4576</v>
      </c>
      <c r="M74" s="1467" t="s">
        <v>4577</v>
      </c>
      <c r="N74" s="1467" t="s">
        <v>4578</v>
      </c>
      <c r="O74" s="1467" t="s">
        <v>4579</v>
      </c>
      <c r="P74" s="1467" t="s">
        <v>4580</v>
      </c>
      <c r="Q74" s="1467" t="s">
        <v>4581</v>
      </c>
      <c r="R74" s="1467" t="s">
        <v>4582</v>
      </c>
      <c r="S74" s="1467" t="s">
        <v>4583</v>
      </c>
      <c r="T74" s="1475" t="s">
        <v>4584</v>
      </c>
      <c r="U74" s="406" t="s">
        <v>4585</v>
      </c>
      <c r="V74" s="1501" t="s">
        <v>4586</v>
      </c>
      <c r="W74" s="406" t="s">
        <v>4587</v>
      </c>
      <c r="X74" s="1501" t="s">
        <v>4588</v>
      </c>
      <c r="Y74" s="406" t="s">
        <v>4589</v>
      </c>
      <c r="Z74" s="1501" t="s">
        <v>4590</v>
      </c>
      <c r="AA74" s="936" t="s">
        <v>4591</v>
      </c>
      <c r="AB74" s="406" t="s">
        <v>4592</v>
      </c>
      <c r="AC74" s="1502" t="s">
        <v>4593</v>
      </c>
      <c r="AD74" s="1502" t="s">
        <v>4594</v>
      </c>
      <c r="AE74" s="1501" t="s">
        <v>4595</v>
      </c>
      <c r="AF74" s="936" t="s">
        <v>4596</v>
      </c>
      <c r="AG74" s="406" t="s">
        <v>4597</v>
      </c>
      <c r="AH74" s="1502" t="s">
        <v>4598</v>
      </c>
      <c r="AI74" s="1502" t="s">
        <v>4599</v>
      </c>
      <c r="AJ74" s="1503" t="s">
        <v>4600</v>
      </c>
      <c r="AK74" s="1478" t="s">
        <v>4601</v>
      </c>
      <c r="AL74" s="1478" t="s">
        <v>4602</v>
      </c>
      <c r="AM74" s="1478" t="s">
        <v>4603</v>
      </c>
      <c r="AN74" s="1478" t="s">
        <v>4604</v>
      </c>
      <c r="AO74" s="1478" t="s">
        <v>4605</v>
      </c>
      <c r="AP74" s="1478" t="s">
        <v>4606</v>
      </c>
      <c r="AQ74" s="1478" t="s">
        <v>4934</v>
      </c>
      <c r="AR74" s="1478" t="s">
        <v>4935</v>
      </c>
      <c r="AS74" s="1478" t="s">
        <v>4936</v>
      </c>
      <c r="AT74" s="1478" t="s">
        <v>4937</v>
      </c>
      <c r="AU74" s="161" t="e">
        <f t="shared" si="12"/>
        <v>#VALUE!</v>
      </c>
      <c r="CB74" s="162" t="e">
        <f t="shared" si="13"/>
        <v>#VALUE!</v>
      </c>
      <c r="CC74" s="162" t="e">
        <f t="shared" si="14"/>
        <v>#VALUE!</v>
      </c>
      <c r="CD74" s="162" t="str">
        <f t="shared" si="15"/>
        <v xml:space="preserve"> * La variable Pueblos Originarios no puede ser mayor al Total.</v>
      </c>
      <c r="CE74" s="162" t="str">
        <f t="shared" si="16"/>
        <v xml:space="preserve"> * La variable Migrantes no puede ser mayor al Total.</v>
      </c>
      <c r="CF74" s="162" t="str">
        <f t="shared" si="17"/>
        <v xml:space="preserve"> * La variable Teleconsulta de especialidad resueltas por Médicos Generales no puede ser mayor al Total.</v>
      </c>
      <c r="CG74" s="162" t="str">
        <f t="shared" si="18"/>
        <v xml:space="preserve"> * La variable Serv. Nac. Reinserción Social Juvenil no puede ser mayor al Total.</v>
      </c>
      <c r="CH74" s="162" t="str">
        <f t="shared" si="19"/>
        <v xml:space="preserve"> * La variable Serv. Nac. Protección Especializada a la Niñez y Adolescencia no puede ser mayor al Total.</v>
      </c>
      <c r="CL74" s="163" t="e">
        <f t="shared" si="9"/>
        <v>#VALUE!</v>
      </c>
      <c r="CM74" s="163" t="e">
        <f t="shared" si="10"/>
        <v>#VALUE!</v>
      </c>
      <c r="CN74" s="163">
        <f t="shared" si="11"/>
        <v>1</v>
      </c>
      <c r="CO74" s="163">
        <f t="shared" si="20"/>
        <v>1</v>
      </c>
      <c r="CP74" s="163">
        <f t="shared" si="22"/>
        <v>1</v>
      </c>
      <c r="CQ74" s="163">
        <f t="shared" si="22"/>
        <v>1</v>
      </c>
      <c r="CR74" s="163">
        <f t="shared" si="22"/>
        <v>1</v>
      </c>
    </row>
    <row r="75" spans="1:96" s="161" customFormat="1" ht="15" customHeight="1" x14ac:dyDescent="0.15">
      <c r="A75" s="5601">
        <v>32101570</v>
      </c>
      <c r="B75" s="936" t="s">
        <v>1234</v>
      </c>
      <c r="C75" s="405" t="s">
        <v>4567</v>
      </c>
      <c r="D75" s="1466" t="s">
        <v>4568</v>
      </c>
      <c r="E75" s="1467" t="s">
        <v>4569</v>
      </c>
      <c r="F75" s="1467" t="s">
        <v>4570</v>
      </c>
      <c r="G75" s="1467" t="s">
        <v>4571</v>
      </c>
      <c r="H75" s="1467" t="s">
        <v>4572</v>
      </c>
      <c r="I75" s="1467" t="s">
        <v>4573</v>
      </c>
      <c r="J75" s="1467" t="s">
        <v>4574</v>
      </c>
      <c r="K75" s="1467" t="s">
        <v>4575</v>
      </c>
      <c r="L75" s="1467" t="s">
        <v>4576</v>
      </c>
      <c r="M75" s="1467" t="s">
        <v>4577</v>
      </c>
      <c r="N75" s="1467" t="s">
        <v>4578</v>
      </c>
      <c r="O75" s="1467" t="s">
        <v>4579</v>
      </c>
      <c r="P75" s="1467" t="s">
        <v>4580</v>
      </c>
      <c r="Q75" s="1467" t="s">
        <v>4581</v>
      </c>
      <c r="R75" s="1467" t="s">
        <v>4582</v>
      </c>
      <c r="S75" s="1467" t="s">
        <v>4583</v>
      </c>
      <c r="T75" s="1475" t="s">
        <v>4584</v>
      </c>
      <c r="U75" s="1466" t="s">
        <v>4585</v>
      </c>
      <c r="V75" s="1475" t="s">
        <v>4586</v>
      </c>
      <c r="W75" s="1466" t="s">
        <v>4587</v>
      </c>
      <c r="X75" s="1475" t="s">
        <v>4588</v>
      </c>
      <c r="Y75" s="1466" t="s">
        <v>4589</v>
      </c>
      <c r="Z75" s="1475" t="s">
        <v>4590</v>
      </c>
      <c r="AA75" s="936" t="s">
        <v>4591</v>
      </c>
      <c r="AB75" s="1466" t="s">
        <v>4592</v>
      </c>
      <c r="AC75" s="1467" t="s">
        <v>4593</v>
      </c>
      <c r="AD75" s="1467" t="s">
        <v>4594</v>
      </c>
      <c r="AE75" s="1475" t="s">
        <v>4595</v>
      </c>
      <c r="AF75" s="936" t="s">
        <v>4596</v>
      </c>
      <c r="AG75" s="1466" t="s">
        <v>4597</v>
      </c>
      <c r="AH75" s="1467" t="s">
        <v>4598</v>
      </c>
      <c r="AI75" s="1467" t="s">
        <v>4599</v>
      </c>
      <c r="AJ75" s="1509" t="s">
        <v>4600</v>
      </c>
      <c r="AK75" s="1478" t="s">
        <v>4601</v>
      </c>
      <c r="AL75" s="1478" t="s">
        <v>4602</v>
      </c>
      <c r="AM75" s="1478" t="s">
        <v>4603</v>
      </c>
      <c r="AN75" s="1478" t="s">
        <v>4604</v>
      </c>
      <c r="AO75" s="1478" t="s">
        <v>4605</v>
      </c>
      <c r="AP75" s="1478" t="s">
        <v>4606</v>
      </c>
      <c r="AQ75" s="1478" t="s">
        <v>4934</v>
      </c>
      <c r="AR75" s="1478" t="s">
        <v>4935</v>
      </c>
      <c r="AS75" s="1478" t="s">
        <v>4936</v>
      </c>
      <c r="AT75" s="1478" t="s">
        <v>4937</v>
      </c>
      <c r="AU75" s="161" t="e">
        <f t="shared" si="12"/>
        <v>#VALUE!</v>
      </c>
      <c r="CB75" s="162" t="e">
        <f t="shared" si="13"/>
        <v>#VALUE!</v>
      </c>
      <c r="CC75" s="162" t="e">
        <f t="shared" si="14"/>
        <v>#VALUE!</v>
      </c>
      <c r="CD75" s="162" t="str">
        <f t="shared" si="15"/>
        <v xml:space="preserve"> * La variable Pueblos Originarios no puede ser mayor al Total.</v>
      </c>
      <c r="CE75" s="162" t="str">
        <f t="shared" si="16"/>
        <v xml:space="preserve"> * La variable Migrantes no puede ser mayor al Total.</v>
      </c>
      <c r="CF75" s="162" t="str">
        <f t="shared" si="17"/>
        <v xml:space="preserve"> * La variable Teleconsulta de especialidad resueltas por Médicos Generales no puede ser mayor al Total.</v>
      </c>
      <c r="CG75" s="162" t="str">
        <f t="shared" si="18"/>
        <v xml:space="preserve"> * La variable Serv. Nac. Reinserción Social Juvenil no puede ser mayor al Total.</v>
      </c>
      <c r="CH75" s="162" t="str">
        <f t="shared" si="19"/>
        <v xml:space="preserve"> * La variable Serv. Nac. Protección Especializada a la Niñez y Adolescencia no puede ser mayor al Total.</v>
      </c>
      <c r="CL75" s="163" t="e">
        <f t="shared" si="9"/>
        <v>#VALUE!</v>
      </c>
      <c r="CM75" s="163" t="e">
        <f t="shared" si="10"/>
        <v>#VALUE!</v>
      </c>
      <c r="CN75" s="163">
        <f t="shared" si="11"/>
        <v>1</v>
      </c>
      <c r="CO75" s="163">
        <f t="shared" si="20"/>
        <v>1</v>
      </c>
      <c r="CP75" s="163">
        <f t="shared" si="22"/>
        <v>1</v>
      </c>
      <c r="CQ75" s="163">
        <f t="shared" si="22"/>
        <v>1</v>
      </c>
      <c r="CR75" s="163">
        <f t="shared" si="22"/>
        <v>1</v>
      </c>
    </row>
    <row r="76" spans="1:96" s="161" customFormat="1" ht="15" customHeight="1" x14ac:dyDescent="0.15">
      <c r="A76" s="5601">
        <v>32101571</v>
      </c>
      <c r="B76" s="936" t="s">
        <v>3716</v>
      </c>
      <c r="C76" s="405" t="s">
        <v>4567</v>
      </c>
      <c r="D76" s="1466" t="s">
        <v>4568</v>
      </c>
      <c r="E76" s="1467" t="s">
        <v>4569</v>
      </c>
      <c r="F76" s="1467" t="s">
        <v>4570</v>
      </c>
      <c r="G76" s="1467" t="s">
        <v>4571</v>
      </c>
      <c r="H76" s="1467" t="s">
        <v>4572</v>
      </c>
      <c r="I76" s="1467" t="s">
        <v>4573</v>
      </c>
      <c r="J76" s="1467" t="s">
        <v>4574</v>
      </c>
      <c r="K76" s="1467" t="s">
        <v>4575</v>
      </c>
      <c r="L76" s="1467" t="s">
        <v>4576</v>
      </c>
      <c r="M76" s="1467" t="s">
        <v>4577</v>
      </c>
      <c r="N76" s="1467" t="s">
        <v>4578</v>
      </c>
      <c r="O76" s="1467" t="s">
        <v>4579</v>
      </c>
      <c r="P76" s="1467" t="s">
        <v>4580</v>
      </c>
      <c r="Q76" s="1467" t="s">
        <v>4581</v>
      </c>
      <c r="R76" s="1467" t="s">
        <v>4582</v>
      </c>
      <c r="S76" s="1467" t="s">
        <v>4583</v>
      </c>
      <c r="T76" s="1475" t="s">
        <v>4584</v>
      </c>
      <c r="U76" s="1466" t="s">
        <v>4585</v>
      </c>
      <c r="V76" s="1475" t="s">
        <v>4586</v>
      </c>
      <c r="W76" s="1466" t="s">
        <v>4587</v>
      </c>
      <c r="X76" s="1475" t="s">
        <v>4588</v>
      </c>
      <c r="Y76" s="1466" t="s">
        <v>4589</v>
      </c>
      <c r="Z76" s="1475" t="s">
        <v>4590</v>
      </c>
      <c r="AA76" s="936" t="s">
        <v>4591</v>
      </c>
      <c r="AB76" s="1466" t="s">
        <v>4592</v>
      </c>
      <c r="AC76" s="1467" t="s">
        <v>4593</v>
      </c>
      <c r="AD76" s="1467" t="s">
        <v>4594</v>
      </c>
      <c r="AE76" s="1475" t="s">
        <v>4595</v>
      </c>
      <c r="AF76" s="936" t="s">
        <v>4596</v>
      </c>
      <c r="AG76" s="1466" t="s">
        <v>4597</v>
      </c>
      <c r="AH76" s="1467" t="s">
        <v>4598</v>
      </c>
      <c r="AI76" s="1467" t="s">
        <v>4599</v>
      </c>
      <c r="AJ76" s="1509" t="s">
        <v>4600</v>
      </c>
      <c r="AK76" s="1478" t="s">
        <v>4601</v>
      </c>
      <c r="AL76" s="1478" t="s">
        <v>4602</v>
      </c>
      <c r="AM76" s="1478" t="s">
        <v>4603</v>
      </c>
      <c r="AN76" s="1478" t="s">
        <v>4604</v>
      </c>
      <c r="AO76" s="1478" t="s">
        <v>4605</v>
      </c>
      <c r="AP76" s="1478" t="s">
        <v>4606</v>
      </c>
      <c r="AQ76" s="1478" t="s">
        <v>4934</v>
      </c>
      <c r="AR76" s="1478" t="s">
        <v>4935</v>
      </c>
      <c r="AS76" s="1478" t="s">
        <v>4936</v>
      </c>
      <c r="AT76" s="1478" t="s">
        <v>4937</v>
      </c>
      <c r="AU76" s="161" t="e">
        <f t="shared" si="12"/>
        <v>#VALUE!</v>
      </c>
      <c r="CB76" s="162" t="e">
        <f t="shared" si="13"/>
        <v>#VALUE!</v>
      </c>
      <c r="CC76" s="162" t="e">
        <f t="shared" si="14"/>
        <v>#VALUE!</v>
      </c>
      <c r="CD76" s="162" t="str">
        <f t="shared" si="15"/>
        <v xml:space="preserve"> * La variable Pueblos Originarios no puede ser mayor al Total.</v>
      </c>
      <c r="CE76" s="162" t="str">
        <f t="shared" si="16"/>
        <v xml:space="preserve"> * La variable Migrantes no puede ser mayor al Total.</v>
      </c>
      <c r="CF76" s="162" t="str">
        <f t="shared" si="17"/>
        <v xml:space="preserve"> * La variable Teleconsulta de especialidad resueltas por Médicos Generales no puede ser mayor al Total.</v>
      </c>
      <c r="CG76" s="162" t="str">
        <f t="shared" si="18"/>
        <v xml:space="preserve"> * La variable Serv. Nac. Reinserción Social Juvenil no puede ser mayor al Total.</v>
      </c>
      <c r="CH76" s="162" t="str">
        <f t="shared" si="19"/>
        <v xml:space="preserve"> * La variable Serv. Nac. Protección Especializada a la Niñez y Adolescencia no puede ser mayor al Total.</v>
      </c>
      <c r="CL76" s="163" t="e">
        <f t="shared" si="9"/>
        <v>#VALUE!</v>
      </c>
      <c r="CM76" s="163" t="e">
        <f t="shared" si="10"/>
        <v>#VALUE!</v>
      </c>
      <c r="CN76" s="163">
        <f t="shared" si="11"/>
        <v>1</v>
      </c>
      <c r="CO76" s="163">
        <f t="shared" si="20"/>
        <v>1</v>
      </c>
      <c r="CP76" s="163">
        <f t="shared" si="22"/>
        <v>1</v>
      </c>
      <c r="CQ76" s="163">
        <f t="shared" si="22"/>
        <v>1</v>
      </c>
      <c r="CR76" s="163">
        <f t="shared" si="22"/>
        <v>1</v>
      </c>
    </row>
    <row r="77" spans="1:96" s="161" customFormat="1" ht="15" customHeight="1" x14ac:dyDescent="0.15">
      <c r="A77" s="5601">
        <v>32101572</v>
      </c>
      <c r="B77" s="253" t="s">
        <v>1236</v>
      </c>
      <c r="C77" s="405" t="s">
        <v>4567</v>
      </c>
      <c r="D77" s="1466" t="s">
        <v>4568</v>
      </c>
      <c r="E77" s="1467" t="s">
        <v>4569</v>
      </c>
      <c r="F77" s="1467" t="s">
        <v>4570</v>
      </c>
      <c r="G77" s="1467" t="s">
        <v>4571</v>
      </c>
      <c r="H77" s="1467" t="s">
        <v>4572</v>
      </c>
      <c r="I77" s="1467" t="s">
        <v>4573</v>
      </c>
      <c r="J77" s="1467" t="s">
        <v>4574</v>
      </c>
      <c r="K77" s="1467" t="s">
        <v>4575</v>
      </c>
      <c r="L77" s="1467" t="s">
        <v>4576</v>
      </c>
      <c r="M77" s="1467" t="s">
        <v>4577</v>
      </c>
      <c r="N77" s="1467" t="s">
        <v>4578</v>
      </c>
      <c r="O77" s="1467" t="s">
        <v>4579</v>
      </c>
      <c r="P77" s="1467" t="s">
        <v>4580</v>
      </c>
      <c r="Q77" s="1467" t="s">
        <v>4581</v>
      </c>
      <c r="R77" s="1467" t="s">
        <v>4582</v>
      </c>
      <c r="S77" s="1467" t="s">
        <v>4583</v>
      </c>
      <c r="T77" s="1475" t="s">
        <v>4584</v>
      </c>
      <c r="U77" s="1466" t="s">
        <v>4585</v>
      </c>
      <c r="V77" s="1475" t="s">
        <v>4586</v>
      </c>
      <c r="W77" s="1466" t="s">
        <v>4587</v>
      </c>
      <c r="X77" s="1475" t="s">
        <v>4588</v>
      </c>
      <c r="Y77" s="1466" t="s">
        <v>4589</v>
      </c>
      <c r="Z77" s="1475" t="s">
        <v>4590</v>
      </c>
      <c r="AA77" s="936" t="s">
        <v>4591</v>
      </c>
      <c r="AB77" s="1466" t="s">
        <v>4592</v>
      </c>
      <c r="AC77" s="1467" t="s">
        <v>4593</v>
      </c>
      <c r="AD77" s="1467" t="s">
        <v>4594</v>
      </c>
      <c r="AE77" s="1475" t="s">
        <v>4595</v>
      </c>
      <c r="AF77" s="936" t="s">
        <v>4596</v>
      </c>
      <c r="AG77" s="1466" t="s">
        <v>4597</v>
      </c>
      <c r="AH77" s="1467" t="s">
        <v>4598</v>
      </c>
      <c r="AI77" s="1467" t="s">
        <v>4599</v>
      </c>
      <c r="AJ77" s="1509" t="s">
        <v>4600</v>
      </c>
      <c r="AK77" s="1478" t="s">
        <v>4601</v>
      </c>
      <c r="AL77" s="1478" t="s">
        <v>4602</v>
      </c>
      <c r="AM77" s="1478" t="s">
        <v>4603</v>
      </c>
      <c r="AN77" s="1478" t="s">
        <v>4604</v>
      </c>
      <c r="AO77" s="1478" t="s">
        <v>4605</v>
      </c>
      <c r="AP77" s="1478" t="s">
        <v>4606</v>
      </c>
      <c r="AQ77" s="1478" t="s">
        <v>4934</v>
      </c>
      <c r="AR77" s="1478" t="s">
        <v>4935</v>
      </c>
      <c r="AS77" s="1478" t="s">
        <v>4936</v>
      </c>
      <c r="AT77" s="1478" t="s">
        <v>4937</v>
      </c>
      <c r="AU77" s="161" t="e">
        <f t="shared" si="12"/>
        <v>#VALUE!</v>
      </c>
      <c r="CB77" s="162" t="e">
        <f t="shared" si="13"/>
        <v>#VALUE!</v>
      </c>
      <c r="CC77" s="162" t="e">
        <f t="shared" si="14"/>
        <v>#VALUE!</v>
      </c>
      <c r="CD77" s="162" t="str">
        <f t="shared" si="15"/>
        <v xml:space="preserve"> * La variable Pueblos Originarios no puede ser mayor al Total.</v>
      </c>
      <c r="CE77" s="162" t="str">
        <f t="shared" si="16"/>
        <v xml:space="preserve"> * La variable Migrantes no puede ser mayor al Total.</v>
      </c>
      <c r="CF77" s="162" t="str">
        <f t="shared" si="17"/>
        <v xml:space="preserve"> * La variable Teleconsulta de especialidad resueltas por Médicos Generales no puede ser mayor al Total.</v>
      </c>
      <c r="CG77" s="162" t="str">
        <f t="shared" si="18"/>
        <v xml:space="preserve"> * La variable Serv. Nac. Reinserción Social Juvenil no puede ser mayor al Total.</v>
      </c>
      <c r="CH77" s="162" t="str">
        <f t="shared" si="19"/>
        <v xml:space="preserve"> * La variable Serv. Nac. Protección Especializada a la Niñez y Adolescencia no puede ser mayor al Total.</v>
      </c>
      <c r="CL77" s="163" t="e">
        <f t="shared" si="9"/>
        <v>#VALUE!</v>
      </c>
      <c r="CM77" s="163" t="e">
        <f t="shared" si="10"/>
        <v>#VALUE!</v>
      </c>
      <c r="CN77" s="163">
        <f t="shared" si="11"/>
        <v>1</v>
      </c>
      <c r="CO77" s="163">
        <f t="shared" si="20"/>
        <v>1</v>
      </c>
      <c r="CP77" s="163">
        <f t="shared" si="22"/>
        <v>1</v>
      </c>
      <c r="CQ77" s="163">
        <f t="shared" si="22"/>
        <v>1</v>
      </c>
      <c r="CR77" s="163">
        <f t="shared" si="22"/>
        <v>1</v>
      </c>
    </row>
    <row r="78" spans="1:96" s="161" customFormat="1" ht="15" customHeight="1" x14ac:dyDescent="0.15">
      <c r="A78" s="5605">
        <v>32111018</v>
      </c>
      <c r="B78" s="5031" t="s">
        <v>1427</v>
      </c>
      <c r="C78" s="405" t="s">
        <v>4567</v>
      </c>
      <c r="D78" s="1466" t="s">
        <v>4568</v>
      </c>
      <c r="E78" s="1467" t="s">
        <v>4569</v>
      </c>
      <c r="F78" s="1467" t="s">
        <v>4570</v>
      </c>
      <c r="G78" s="1467" t="s">
        <v>4571</v>
      </c>
      <c r="H78" s="1467" t="s">
        <v>4572</v>
      </c>
      <c r="I78" s="1467" t="s">
        <v>4573</v>
      </c>
      <c r="J78" s="1467" t="s">
        <v>4574</v>
      </c>
      <c r="K78" s="1467" t="s">
        <v>4575</v>
      </c>
      <c r="L78" s="1467" t="s">
        <v>4576</v>
      </c>
      <c r="M78" s="1467" t="s">
        <v>4577</v>
      </c>
      <c r="N78" s="1467" t="s">
        <v>4578</v>
      </c>
      <c r="O78" s="1467" t="s">
        <v>4579</v>
      </c>
      <c r="P78" s="1467" t="s">
        <v>4580</v>
      </c>
      <c r="Q78" s="1467" t="s">
        <v>4581</v>
      </c>
      <c r="R78" s="1467" t="s">
        <v>4582</v>
      </c>
      <c r="S78" s="1467" t="s">
        <v>4583</v>
      </c>
      <c r="T78" s="1475" t="s">
        <v>4584</v>
      </c>
      <c r="U78" s="1466" t="s">
        <v>4585</v>
      </c>
      <c r="V78" s="1475" t="s">
        <v>4586</v>
      </c>
      <c r="W78" s="1466" t="s">
        <v>4587</v>
      </c>
      <c r="X78" s="1475" t="s">
        <v>4588</v>
      </c>
      <c r="Y78" s="1466" t="s">
        <v>4589</v>
      </c>
      <c r="Z78" s="1475" t="s">
        <v>4590</v>
      </c>
      <c r="AA78" s="936" t="s">
        <v>4591</v>
      </c>
      <c r="AB78" s="1466" t="s">
        <v>4592</v>
      </c>
      <c r="AC78" s="1467" t="s">
        <v>4593</v>
      </c>
      <c r="AD78" s="1467" t="s">
        <v>4594</v>
      </c>
      <c r="AE78" s="1475" t="s">
        <v>4595</v>
      </c>
      <c r="AF78" s="936" t="s">
        <v>4596</v>
      </c>
      <c r="AG78" s="1466" t="s">
        <v>4597</v>
      </c>
      <c r="AH78" s="1467" t="s">
        <v>4598</v>
      </c>
      <c r="AI78" s="1467" t="s">
        <v>4599</v>
      </c>
      <c r="AJ78" s="1509" t="s">
        <v>4600</v>
      </c>
      <c r="AK78" s="1478" t="s">
        <v>4601</v>
      </c>
      <c r="AL78" s="1478" t="s">
        <v>4602</v>
      </c>
      <c r="AM78" s="1478" t="s">
        <v>4603</v>
      </c>
      <c r="AN78" s="1478" t="s">
        <v>4604</v>
      </c>
      <c r="AO78" s="1478" t="s">
        <v>4605</v>
      </c>
      <c r="AP78" s="1478" t="s">
        <v>4606</v>
      </c>
      <c r="AQ78" s="1478" t="s">
        <v>4934</v>
      </c>
      <c r="AR78" s="1478" t="s">
        <v>4935</v>
      </c>
      <c r="AS78" s="1478" t="s">
        <v>4936</v>
      </c>
      <c r="AT78" s="1478" t="s">
        <v>4937</v>
      </c>
      <c r="AU78" s="161" t="e">
        <f t="shared" si="12"/>
        <v>#VALUE!</v>
      </c>
      <c r="CB78" s="162" t="e">
        <f t="shared" si="13"/>
        <v>#VALUE!</v>
      </c>
      <c r="CC78" s="162" t="e">
        <f t="shared" si="14"/>
        <v>#VALUE!</v>
      </c>
      <c r="CD78" s="162" t="str">
        <f t="shared" si="15"/>
        <v xml:space="preserve"> * La variable Pueblos Originarios no puede ser mayor al Total.</v>
      </c>
      <c r="CE78" s="162" t="str">
        <f t="shared" si="16"/>
        <v xml:space="preserve"> * La variable Migrantes no puede ser mayor al Total.</v>
      </c>
      <c r="CF78" s="162" t="str">
        <f t="shared" si="17"/>
        <v xml:space="preserve"> * La variable Teleconsulta de especialidad resueltas por Médicos Generales no puede ser mayor al Total.</v>
      </c>
      <c r="CG78" s="162" t="str">
        <f t="shared" si="18"/>
        <v xml:space="preserve"> * La variable Serv. Nac. Reinserción Social Juvenil no puede ser mayor al Total.</v>
      </c>
      <c r="CH78" s="162" t="str">
        <f t="shared" si="19"/>
        <v xml:space="preserve"> * La variable Serv. Nac. Protección Especializada a la Niñez y Adolescencia no puede ser mayor al Total.</v>
      </c>
      <c r="CL78" s="163" t="e">
        <f t="shared" si="9"/>
        <v>#VALUE!</v>
      </c>
      <c r="CM78" s="163" t="e">
        <f t="shared" si="10"/>
        <v>#VALUE!</v>
      </c>
      <c r="CN78" s="163">
        <f t="shared" si="11"/>
        <v>1</v>
      </c>
      <c r="CO78" s="163">
        <f t="shared" si="20"/>
        <v>1</v>
      </c>
      <c r="CP78" s="163">
        <f t="shared" si="22"/>
        <v>1</v>
      </c>
      <c r="CQ78" s="163">
        <f t="shared" si="22"/>
        <v>1</v>
      </c>
      <c r="CR78" s="163">
        <f t="shared" si="22"/>
        <v>1</v>
      </c>
    </row>
    <row r="79" spans="1:96" s="161" customFormat="1" ht="15" customHeight="1" x14ac:dyDescent="0.15">
      <c r="A79" s="5605">
        <v>32111019</v>
      </c>
      <c r="B79" s="5031" t="s">
        <v>4306</v>
      </c>
      <c r="C79" s="405" t="s">
        <v>4567</v>
      </c>
      <c r="D79" s="1466" t="s">
        <v>4568</v>
      </c>
      <c r="E79" s="1467" t="s">
        <v>4569</v>
      </c>
      <c r="F79" s="1467" t="s">
        <v>4570</v>
      </c>
      <c r="G79" s="1467" t="s">
        <v>4571</v>
      </c>
      <c r="H79" s="1467" t="s">
        <v>4572</v>
      </c>
      <c r="I79" s="1467" t="s">
        <v>4573</v>
      </c>
      <c r="J79" s="1467" t="s">
        <v>4574</v>
      </c>
      <c r="K79" s="1467" t="s">
        <v>4575</v>
      </c>
      <c r="L79" s="1467" t="s">
        <v>4576</v>
      </c>
      <c r="M79" s="1467" t="s">
        <v>4577</v>
      </c>
      <c r="N79" s="1467" t="s">
        <v>4578</v>
      </c>
      <c r="O79" s="1467" t="s">
        <v>4579</v>
      </c>
      <c r="P79" s="1467" t="s">
        <v>4580</v>
      </c>
      <c r="Q79" s="1467" t="s">
        <v>4581</v>
      </c>
      <c r="R79" s="1467" t="s">
        <v>4582</v>
      </c>
      <c r="S79" s="1467" t="s">
        <v>4583</v>
      </c>
      <c r="T79" s="1475" t="s">
        <v>4584</v>
      </c>
      <c r="U79" s="1466" t="s">
        <v>4585</v>
      </c>
      <c r="V79" s="1475" t="s">
        <v>4586</v>
      </c>
      <c r="W79" s="1466" t="s">
        <v>4587</v>
      </c>
      <c r="X79" s="1475" t="s">
        <v>4588</v>
      </c>
      <c r="Y79" s="1466" t="s">
        <v>4589</v>
      </c>
      <c r="Z79" s="1475" t="s">
        <v>4590</v>
      </c>
      <c r="AA79" s="936" t="s">
        <v>4591</v>
      </c>
      <c r="AB79" s="1466" t="s">
        <v>4592</v>
      </c>
      <c r="AC79" s="1467" t="s">
        <v>4593</v>
      </c>
      <c r="AD79" s="1467" t="s">
        <v>4594</v>
      </c>
      <c r="AE79" s="1475" t="s">
        <v>4595</v>
      </c>
      <c r="AF79" s="936" t="s">
        <v>4596</v>
      </c>
      <c r="AG79" s="1466" t="s">
        <v>4597</v>
      </c>
      <c r="AH79" s="1467" t="s">
        <v>4598</v>
      </c>
      <c r="AI79" s="1467" t="s">
        <v>4599</v>
      </c>
      <c r="AJ79" s="1509" t="s">
        <v>4600</v>
      </c>
      <c r="AK79" s="1478" t="s">
        <v>4601</v>
      </c>
      <c r="AL79" s="1478" t="s">
        <v>4602</v>
      </c>
      <c r="AM79" s="1478" t="s">
        <v>4603</v>
      </c>
      <c r="AN79" s="1478" t="s">
        <v>4604</v>
      </c>
      <c r="AO79" s="1478" t="s">
        <v>4605</v>
      </c>
      <c r="AP79" s="1478" t="s">
        <v>4606</v>
      </c>
      <c r="AQ79" s="1478" t="s">
        <v>4934</v>
      </c>
      <c r="AR79" s="1478" t="s">
        <v>4935</v>
      </c>
      <c r="AS79" s="1478" t="s">
        <v>4936</v>
      </c>
      <c r="AT79" s="1478" t="s">
        <v>4937</v>
      </c>
      <c r="AU79" s="161" t="e">
        <f t="shared" si="12"/>
        <v>#VALUE!</v>
      </c>
      <c r="CB79" s="162" t="e">
        <f t="shared" si="13"/>
        <v>#VALUE!</v>
      </c>
      <c r="CC79" s="162" t="e">
        <f t="shared" si="14"/>
        <v>#VALUE!</v>
      </c>
      <c r="CD79" s="162" t="str">
        <f t="shared" si="15"/>
        <v xml:space="preserve"> * La variable Pueblos Originarios no puede ser mayor al Total.</v>
      </c>
      <c r="CE79" s="162" t="str">
        <f t="shared" si="16"/>
        <v xml:space="preserve"> * La variable Migrantes no puede ser mayor al Total.</v>
      </c>
      <c r="CF79" s="162" t="str">
        <f t="shared" si="17"/>
        <v xml:space="preserve"> * La variable Teleconsulta de especialidad resueltas por Médicos Generales no puede ser mayor al Total.</v>
      </c>
      <c r="CG79" s="162" t="str">
        <f t="shared" si="18"/>
        <v xml:space="preserve"> * La variable Serv. Nac. Reinserción Social Juvenil no puede ser mayor al Total.</v>
      </c>
      <c r="CH79" s="162" t="str">
        <f t="shared" si="19"/>
        <v xml:space="preserve"> * La variable Serv. Nac. Protección Especializada a la Niñez y Adolescencia no puede ser mayor al Total.</v>
      </c>
      <c r="CL79" s="163" t="e">
        <f t="shared" si="9"/>
        <v>#VALUE!</v>
      </c>
      <c r="CM79" s="163" t="e">
        <f t="shared" si="10"/>
        <v>#VALUE!</v>
      </c>
      <c r="CN79" s="163">
        <f t="shared" si="11"/>
        <v>1</v>
      </c>
      <c r="CO79" s="163">
        <f t="shared" si="20"/>
        <v>1</v>
      </c>
      <c r="CP79" s="163">
        <f t="shared" si="22"/>
        <v>1</v>
      </c>
      <c r="CQ79" s="163">
        <f t="shared" si="22"/>
        <v>1</v>
      </c>
      <c r="CR79" s="163">
        <f t="shared" si="22"/>
        <v>1</v>
      </c>
    </row>
    <row r="80" spans="1:96" s="161" customFormat="1" ht="15" customHeight="1" x14ac:dyDescent="0.15">
      <c r="A80" s="5605">
        <v>32111020</v>
      </c>
      <c r="B80" s="5031" t="s">
        <v>4316</v>
      </c>
      <c r="C80" s="405" t="s">
        <v>4567</v>
      </c>
      <c r="D80" s="1466" t="s">
        <v>4568</v>
      </c>
      <c r="E80" s="1467" t="s">
        <v>4569</v>
      </c>
      <c r="F80" s="1467" t="s">
        <v>4570</v>
      </c>
      <c r="G80" s="1467" t="s">
        <v>4571</v>
      </c>
      <c r="H80" s="1467" t="s">
        <v>4572</v>
      </c>
      <c r="I80" s="1467" t="s">
        <v>4573</v>
      </c>
      <c r="J80" s="1467" t="s">
        <v>4574</v>
      </c>
      <c r="K80" s="1467" t="s">
        <v>4575</v>
      </c>
      <c r="L80" s="1467" t="s">
        <v>4576</v>
      </c>
      <c r="M80" s="1467" t="s">
        <v>4577</v>
      </c>
      <c r="N80" s="1467" t="s">
        <v>4578</v>
      </c>
      <c r="O80" s="1467" t="s">
        <v>4579</v>
      </c>
      <c r="P80" s="1467" t="s">
        <v>4580</v>
      </c>
      <c r="Q80" s="1467" t="s">
        <v>4581</v>
      </c>
      <c r="R80" s="1467" t="s">
        <v>4582</v>
      </c>
      <c r="S80" s="1467" t="s">
        <v>4583</v>
      </c>
      <c r="T80" s="1475" t="s">
        <v>4584</v>
      </c>
      <c r="U80" s="1466" t="s">
        <v>4585</v>
      </c>
      <c r="V80" s="1475" t="s">
        <v>4586</v>
      </c>
      <c r="W80" s="1466" t="s">
        <v>4587</v>
      </c>
      <c r="X80" s="1475" t="s">
        <v>4588</v>
      </c>
      <c r="Y80" s="1466" t="s">
        <v>4589</v>
      </c>
      <c r="Z80" s="1475" t="s">
        <v>4590</v>
      </c>
      <c r="AA80" s="936" t="s">
        <v>4591</v>
      </c>
      <c r="AB80" s="1466" t="s">
        <v>4592</v>
      </c>
      <c r="AC80" s="1467" t="s">
        <v>4593</v>
      </c>
      <c r="AD80" s="1467" t="s">
        <v>4594</v>
      </c>
      <c r="AE80" s="1475" t="s">
        <v>4595</v>
      </c>
      <c r="AF80" s="936" t="s">
        <v>4596</v>
      </c>
      <c r="AG80" s="1466" t="s">
        <v>4597</v>
      </c>
      <c r="AH80" s="1467" t="s">
        <v>4598</v>
      </c>
      <c r="AI80" s="1467" t="s">
        <v>4599</v>
      </c>
      <c r="AJ80" s="1509" t="s">
        <v>4600</v>
      </c>
      <c r="AK80" s="1478" t="s">
        <v>4601</v>
      </c>
      <c r="AL80" s="1478" t="s">
        <v>4602</v>
      </c>
      <c r="AM80" s="1478" t="s">
        <v>4603</v>
      </c>
      <c r="AN80" s="1478" t="s">
        <v>4604</v>
      </c>
      <c r="AO80" s="1478" t="s">
        <v>4605</v>
      </c>
      <c r="AP80" s="1478" t="s">
        <v>4606</v>
      </c>
      <c r="AQ80" s="1478" t="s">
        <v>4934</v>
      </c>
      <c r="AR80" s="1478" t="s">
        <v>4935</v>
      </c>
      <c r="AS80" s="1478" t="s">
        <v>4936</v>
      </c>
      <c r="AT80" s="1478" t="s">
        <v>4937</v>
      </c>
      <c r="AU80" s="161" t="e">
        <f t="shared" si="12"/>
        <v>#VALUE!</v>
      </c>
      <c r="CB80" s="162" t="e">
        <f t="shared" si="13"/>
        <v>#VALUE!</v>
      </c>
      <c r="CC80" s="162" t="e">
        <f t="shared" si="14"/>
        <v>#VALUE!</v>
      </c>
      <c r="CD80" s="162" t="str">
        <f t="shared" si="15"/>
        <v xml:space="preserve"> * La variable Pueblos Originarios no puede ser mayor al Total.</v>
      </c>
      <c r="CE80" s="162" t="str">
        <f t="shared" si="16"/>
        <v xml:space="preserve"> * La variable Migrantes no puede ser mayor al Total.</v>
      </c>
      <c r="CF80" s="162" t="str">
        <f t="shared" si="17"/>
        <v xml:space="preserve"> * La variable Teleconsulta de especialidad resueltas por Médicos Generales no puede ser mayor al Total.</v>
      </c>
      <c r="CG80" s="162" t="str">
        <f t="shared" si="18"/>
        <v xml:space="preserve"> * La variable Serv. Nac. Reinserción Social Juvenil no puede ser mayor al Total.</v>
      </c>
      <c r="CH80" s="162" t="str">
        <f t="shared" si="19"/>
        <v xml:space="preserve"> * La variable Serv. Nac. Protección Especializada a la Niñez y Adolescencia no puede ser mayor al Total.</v>
      </c>
      <c r="CL80" s="163" t="e">
        <f t="shared" si="9"/>
        <v>#VALUE!</v>
      </c>
      <c r="CM80" s="163" t="e">
        <f t="shared" si="10"/>
        <v>#VALUE!</v>
      </c>
      <c r="CN80" s="163">
        <f t="shared" si="11"/>
        <v>1</v>
      </c>
      <c r="CO80" s="163">
        <f t="shared" si="20"/>
        <v>1</v>
      </c>
      <c r="CP80" s="163">
        <f t="shared" si="22"/>
        <v>1</v>
      </c>
      <c r="CQ80" s="163">
        <f t="shared" si="22"/>
        <v>1</v>
      </c>
      <c r="CR80" s="163">
        <f t="shared" si="22"/>
        <v>1</v>
      </c>
    </row>
    <row r="81" spans="1:96" s="161" customFormat="1" ht="15" customHeight="1" x14ac:dyDescent="0.15">
      <c r="A81" s="5601">
        <v>32100270</v>
      </c>
      <c r="B81" s="936" t="s">
        <v>1237</v>
      </c>
      <c r="C81" s="405" t="s">
        <v>4567</v>
      </c>
      <c r="D81" s="1466" t="s">
        <v>4568</v>
      </c>
      <c r="E81" s="1467" t="s">
        <v>4569</v>
      </c>
      <c r="F81" s="1467" t="s">
        <v>4570</v>
      </c>
      <c r="G81" s="1467" t="s">
        <v>4571</v>
      </c>
      <c r="H81" s="1467" t="s">
        <v>4572</v>
      </c>
      <c r="I81" s="1467" t="s">
        <v>4573</v>
      </c>
      <c r="J81" s="1467" t="s">
        <v>4574</v>
      </c>
      <c r="K81" s="1467" t="s">
        <v>4575</v>
      </c>
      <c r="L81" s="1467" t="s">
        <v>4576</v>
      </c>
      <c r="M81" s="1467" t="s">
        <v>4577</v>
      </c>
      <c r="N81" s="1467" t="s">
        <v>4578</v>
      </c>
      <c r="O81" s="1467" t="s">
        <v>4579</v>
      </c>
      <c r="P81" s="1467" t="s">
        <v>4580</v>
      </c>
      <c r="Q81" s="1467" t="s">
        <v>4581</v>
      </c>
      <c r="R81" s="1467" t="s">
        <v>4582</v>
      </c>
      <c r="S81" s="1467" t="s">
        <v>4583</v>
      </c>
      <c r="T81" s="1475" t="s">
        <v>4584</v>
      </c>
      <c r="U81" s="1466" t="s">
        <v>4585</v>
      </c>
      <c r="V81" s="1475" t="s">
        <v>4586</v>
      </c>
      <c r="W81" s="1466" t="s">
        <v>4587</v>
      </c>
      <c r="X81" s="1475" t="s">
        <v>4588</v>
      </c>
      <c r="Y81" s="1466" t="s">
        <v>4589</v>
      </c>
      <c r="Z81" s="1475" t="s">
        <v>4590</v>
      </c>
      <c r="AA81" s="936" t="s">
        <v>4591</v>
      </c>
      <c r="AB81" s="1466" t="s">
        <v>4592</v>
      </c>
      <c r="AC81" s="1467" t="s">
        <v>4593</v>
      </c>
      <c r="AD81" s="1467" t="s">
        <v>4594</v>
      </c>
      <c r="AE81" s="1475" t="s">
        <v>4595</v>
      </c>
      <c r="AF81" s="936" t="s">
        <v>4596</v>
      </c>
      <c r="AG81" s="1466" t="s">
        <v>4597</v>
      </c>
      <c r="AH81" s="1467" t="s">
        <v>4598</v>
      </c>
      <c r="AI81" s="1467" t="s">
        <v>4599</v>
      </c>
      <c r="AJ81" s="1509" t="s">
        <v>4600</v>
      </c>
      <c r="AK81" s="1478" t="s">
        <v>4601</v>
      </c>
      <c r="AL81" s="1478" t="s">
        <v>4602</v>
      </c>
      <c r="AM81" s="1478" t="s">
        <v>4603</v>
      </c>
      <c r="AN81" s="1478" t="s">
        <v>4604</v>
      </c>
      <c r="AO81" s="1478" t="s">
        <v>4605</v>
      </c>
      <c r="AP81" s="1478" t="s">
        <v>4606</v>
      </c>
      <c r="AQ81" s="1478" t="s">
        <v>4934</v>
      </c>
      <c r="AR81" s="1478" t="s">
        <v>4935</v>
      </c>
      <c r="AS81" s="1478" t="s">
        <v>4936</v>
      </c>
      <c r="AT81" s="1478" t="s">
        <v>4937</v>
      </c>
      <c r="AU81" s="161" t="e">
        <f t="shared" si="12"/>
        <v>#VALUE!</v>
      </c>
      <c r="CB81" s="162" t="e">
        <f t="shared" si="13"/>
        <v>#VALUE!</v>
      </c>
      <c r="CC81" s="162" t="e">
        <f t="shared" si="14"/>
        <v>#VALUE!</v>
      </c>
      <c r="CD81" s="162" t="str">
        <f t="shared" si="15"/>
        <v xml:space="preserve"> * La variable Pueblos Originarios no puede ser mayor al Total.</v>
      </c>
      <c r="CE81" s="162" t="str">
        <f t="shared" si="16"/>
        <v xml:space="preserve"> * La variable Migrantes no puede ser mayor al Total.</v>
      </c>
      <c r="CF81" s="162" t="str">
        <f t="shared" si="17"/>
        <v xml:space="preserve"> * La variable Teleconsulta de especialidad resueltas por Médicos Generales no puede ser mayor al Total.</v>
      </c>
      <c r="CG81" s="162" t="str">
        <f t="shared" si="18"/>
        <v xml:space="preserve"> * La variable Serv. Nac. Reinserción Social Juvenil no puede ser mayor al Total.</v>
      </c>
      <c r="CH81" s="162" t="str">
        <f t="shared" si="19"/>
        <v xml:space="preserve"> * La variable Serv. Nac. Protección Especializada a la Niñez y Adolescencia no puede ser mayor al Total.</v>
      </c>
      <c r="CL81" s="163" t="e">
        <f t="shared" si="9"/>
        <v>#VALUE!</v>
      </c>
      <c r="CM81" s="163" t="e">
        <f t="shared" si="10"/>
        <v>#VALUE!</v>
      </c>
      <c r="CN81" s="163">
        <f t="shared" si="11"/>
        <v>1</v>
      </c>
      <c r="CO81" s="163">
        <f t="shared" si="20"/>
        <v>1</v>
      </c>
      <c r="CP81" s="163">
        <f t="shared" si="22"/>
        <v>1</v>
      </c>
      <c r="CQ81" s="163">
        <f t="shared" si="22"/>
        <v>1</v>
      </c>
      <c r="CR81" s="163">
        <f t="shared" si="22"/>
        <v>1</v>
      </c>
    </row>
    <row r="82" spans="1:96" s="161" customFormat="1" ht="15" customHeight="1" x14ac:dyDescent="0.15">
      <c r="A82" s="5601">
        <v>32100280</v>
      </c>
      <c r="B82" s="936" t="s">
        <v>1238</v>
      </c>
      <c r="C82" s="405" t="s">
        <v>4567</v>
      </c>
      <c r="D82" s="1466" t="s">
        <v>4568</v>
      </c>
      <c r="E82" s="1467" t="s">
        <v>4569</v>
      </c>
      <c r="F82" s="1467" t="s">
        <v>4570</v>
      </c>
      <c r="G82" s="1467" t="s">
        <v>4571</v>
      </c>
      <c r="H82" s="1467" t="s">
        <v>4572</v>
      </c>
      <c r="I82" s="1467" t="s">
        <v>4573</v>
      </c>
      <c r="J82" s="1467" t="s">
        <v>4574</v>
      </c>
      <c r="K82" s="1467" t="s">
        <v>4575</v>
      </c>
      <c r="L82" s="1467" t="s">
        <v>4576</v>
      </c>
      <c r="M82" s="1467" t="s">
        <v>4577</v>
      </c>
      <c r="N82" s="1467" t="s">
        <v>4578</v>
      </c>
      <c r="O82" s="1467" t="s">
        <v>4579</v>
      </c>
      <c r="P82" s="1467" t="s">
        <v>4580</v>
      </c>
      <c r="Q82" s="1467" t="s">
        <v>4581</v>
      </c>
      <c r="R82" s="1467" t="s">
        <v>4582</v>
      </c>
      <c r="S82" s="1467" t="s">
        <v>4583</v>
      </c>
      <c r="T82" s="1475" t="s">
        <v>4584</v>
      </c>
      <c r="U82" s="1466" t="s">
        <v>4585</v>
      </c>
      <c r="V82" s="1475" t="s">
        <v>4586</v>
      </c>
      <c r="W82" s="1466" t="s">
        <v>4587</v>
      </c>
      <c r="X82" s="1475" t="s">
        <v>4588</v>
      </c>
      <c r="Y82" s="1466" t="s">
        <v>4589</v>
      </c>
      <c r="Z82" s="1475" t="s">
        <v>4590</v>
      </c>
      <c r="AA82" s="936" t="s">
        <v>4591</v>
      </c>
      <c r="AB82" s="1466" t="s">
        <v>4592</v>
      </c>
      <c r="AC82" s="1467" t="s">
        <v>4593</v>
      </c>
      <c r="AD82" s="1467" t="s">
        <v>4594</v>
      </c>
      <c r="AE82" s="1475" t="s">
        <v>4595</v>
      </c>
      <c r="AF82" s="936" t="s">
        <v>4596</v>
      </c>
      <c r="AG82" s="1466" t="s">
        <v>4597</v>
      </c>
      <c r="AH82" s="1467" t="s">
        <v>4598</v>
      </c>
      <c r="AI82" s="1467" t="s">
        <v>4599</v>
      </c>
      <c r="AJ82" s="1509" t="s">
        <v>4600</v>
      </c>
      <c r="AK82" s="1478" t="s">
        <v>4601</v>
      </c>
      <c r="AL82" s="1478" t="s">
        <v>4602</v>
      </c>
      <c r="AM82" s="1478" t="s">
        <v>4603</v>
      </c>
      <c r="AN82" s="1478" t="s">
        <v>4604</v>
      </c>
      <c r="AO82" s="1478" t="s">
        <v>4605</v>
      </c>
      <c r="AP82" s="1478" t="s">
        <v>4606</v>
      </c>
      <c r="AQ82" s="1478" t="s">
        <v>4934</v>
      </c>
      <c r="AR82" s="1478" t="s">
        <v>4935</v>
      </c>
      <c r="AS82" s="1478" t="s">
        <v>4936</v>
      </c>
      <c r="AT82" s="1478" t="s">
        <v>4937</v>
      </c>
      <c r="AU82" s="161" t="e">
        <f t="shared" si="12"/>
        <v>#VALUE!</v>
      </c>
      <c r="CB82" s="162" t="e">
        <f t="shared" si="13"/>
        <v>#VALUE!</v>
      </c>
      <c r="CC82" s="162" t="e">
        <f t="shared" si="14"/>
        <v>#VALUE!</v>
      </c>
      <c r="CD82" s="162" t="str">
        <f t="shared" si="15"/>
        <v xml:space="preserve"> * La variable Pueblos Originarios no puede ser mayor al Total.</v>
      </c>
      <c r="CE82" s="162" t="str">
        <f t="shared" si="16"/>
        <v xml:space="preserve"> * La variable Migrantes no puede ser mayor al Total.</v>
      </c>
      <c r="CF82" s="162" t="str">
        <f t="shared" si="17"/>
        <v xml:space="preserve"> * La variable Teleconsulta de especialidad resueltas por Médicos Generales no puede ser mayor al Total.</v>
      </c>
      <c r="CG82" s="162" t="str">
        <f t="shared" si="18"/>
        <v xml:space="preserve"> * La variable Serv. Nac. Reinserción Social Juvenil no puede ser mayor al Total.</v>
      </c>
      <c r="CH82" s="162" t="str">
        <f t="shared" si="19"/>
        <v xml:space="preserve"> * La variable Serv. Nac. Protección Especializada a la Niñez y Adolescencia no puede ser mayor al Total.</v>
      </c>
      <c r="CL82" s="163" t="e">
        <f t="shared" si="9"/>
        <v>#VALUE!</v>
      </c>
      <c r="CM82" s="163" t="e">
        <f t="shared" si="10"/>
        <v>#VALUE!</v>
      </c>
      <c r="CN82" s="163">
        <f t="shared" si="11"/>
        <v>1</v>
      </c>
      <c r="CO82" s="163">
        <f t="shared" si="20"/>
        <v>1</v>
      </c>
      <c r="CP82" s="163">
        <f t="shared" si="22"/>
        <v>1</v>
      </c>
      <c r="CQ82" s="163">
        <f t="shared" si="22"/>
        <v>1</v>
      </c>
      <c r="CR82" s="163">
        <f t="shared" si="22"/>
        <v>1</v>
      </c>
    </row>
    <row r="83" spans="1:96" s="161" customFormat="1" ht="15" customHeight="1" x14ac:dyDescent="0.15">
      <c r="A83" s="5605">
        <v>32111021</v>
      </c>
      <c r="B83" s="1087" t="s">
        <v>4317</v>
      </c>
      <c r="C83" s="405" t="s">
        <v>4567</v>
      </c>
      <c r="D83" s="1466" t="s">
        <v>4568</v>
      </c>
      <c r="E83" s="1467" t="s">
        <v>4569</v>
      </c>
      <c r="F83" s="1467" t="s">
        <v>4570</v>
      </c>
      <c r="G83" s="1467" t="s">
        <v>4571</v>
      </c>
      <c r="H83" s="1467" t="s">
        <v>4572</v>
      </c>
      <c r="I83" s="1467" t="s">
        <v>4573</v>
      </c>
      <c r="J83" s="1467" t="s">
        <v>4574</v>
      </c>
      <c r="K83" s="1467" t="s">
        <v>4575</v>
      </c>
      <c r="L83" s="1467" t="s">
        <v>4576</v>
      </c>
      <c r="M83" s="1467" t="s">
        <v>4577</v>
      </c>
      <c r="N83" s="1467" t="s">
        <v>4578</v>
      </c>
      <c r="O83" s="1467" t="s">
        <v>4579</v>
      </c>
      <c r="P83" s="1467" t="s">
        <v>4580</v>
      </c>
      <c r="Q83" s="1467" t="s">
        <v>4581</v>
      </c>
      <c r="R83" s="1467" t="s">
        <v>4582</v>
      </c>
      <c r="S83" s="1467" t="s">
        <v>4583</v>
      </c>
      <c r="T83" s="1475" t="s">
        <v>4584</v>
      </c>
      <c r="U83" s="1466" t="s">
        <v>4585</v>
      </c>
      <c r="V83" s="1475" t="s">
        <v>4586</v>
      </c>
      <c r="W83" s="1466" t="s">
        <v>4587</v>
      </c>
      <c r="X83" s="1475" t="s">
        <v>4588</v>
      </c>
      <c r="Y83" s="1466" t="s">
        <v>4589</v>
      </c>
      <c r="Z83" s="1475" t="s">
        <v>4590</v>
      </c>
      <c r="AA83" s="936" t="s">
        <v>4591</v>
      </c>
      <c r="AB83" s="1466" t="s">
        <v>4592</v>
      </c>
      <c r="AC83" s="1467" t="s">
        <v>4593</v>
      </c>
      <c r="AD83" s="1467" t="s">
        <v>4594</v>
      </c>
      <c r="AE83" s="1475" t="s">
        <v>4595</v>
      </c>
      <c r="AF83" s="936" t="s">
        <v>4596</v>
      </c>
      <c r="AG83" s="1466" t="s">
        <v>4597</v>
      </c>
      <c r="AH83" s="1467" t="s">
        <v>4598</v>
      </c>
      <c r="AI83" s="1467" t="s">
        <v>4599</v>
      </c>
      <c r="AJ83" s="1509" t="s">
        <v>4600</v>
      </c>
      <c r="AK83" s="1478" t="s">
        <v>4601</v>
      </c>
      <c r="AL83" s="1478" t="s">
        <v>4602</v>
      </c>
      <c r="AM83" s="1478" t="s">
        <v>4603</v>
      </c>
      <c r="AN83" s="1478" t="s">
        <v>4604</v>
      </c>
      <c r="AO83" s="1478" t="s">
        <v>4605</v>
      </c>
      <c r="AP83" s="1478" t="s">
        <v>4606</v>
      </c>
      <c r="AQ83" s="1478" t="s">
        <v>4934</v>
      </c>
      <c r="AR83" s="1478" t="s">
        <v>4935</v>
      </c>
      <c r="AS83" s="1478" t="s">
        <v>4936</v>
      </c>
      <c r="AT83" s="1478" t="s">
        <v>4937</v>
      </c>
      <c r="AU83" s="161" t="e">
        <f t="shared" si="12"/>
        <v>#VALUE!</v>
      </c>
      <c r="CB83" s="162" t="e">
        <f t="shared" si="13"/>
        <v>#VALUE!</v>
      </c>
      <c r="CC83" s="162" t="e">
        <f t="shared" si="14"/>
        <v>#VALUE!</v>
      </c>
      <c r="CD83" s="162" t="str">
        <f t="shared" si="15"/>
        <v xml:space="preserve"> * La variable Pueblos Originarios no puede ser mayor al Total.</v>
      </c>
      <c r="CE83" s="162" t="str">
        <f t="shared" si="16"/>
        <v xml:space="preserve"> * La variable Migrantes no puede ser mayor al Total.</v>
      </c>
      <c r="CF83" s="162" t="str">
        <f t="shared" si="17"/>
        <v xml:space="preserve"> * La variable Teleconsulta de especialidad resueltas por Médicos Generales no puede ser mayor al Total.</v>
      </c>
      <c r="CG83" s="162" t="str">
        <f t="shared" si="18"/>
        <v xml:space="preserve"> * La variable Serv. Nac. Reinserción Social Juvenil no puede ser mayor al Total.</v>
      </c>
      <c r="CH83" s="162" t="str">
        <f t="shared" si="19"/>
        <v xml:space="preserve"> * La variable Serv. Nac. Protección Especializada a la Niñez y Adolescencia no puede ser mayor al Total.</v>
      </c>
      <c r="CL83" s="163" t="e">
        <f t="shared" si="9"/>
        <v>#VALUE!</v>
      </c>
      <c r="CM83" s="163" t="e">
        <f t="shared" si="10"/>
        <v>#VALUE!</v>
      </c>
      <c r="CN83" s="163">
        <f t="shared" si="11"/>
        <v>1</v>
      </c>
      <c r="CO83" s="163">
        <f t="shared" si="20"/>
        <v>1</v>
      </c>
      <c r="CP83" s="163">
        <f t="shared" si="22"/>
        <v>1</v>
      </c>
      <c r="CQ83" s="163">
        <f t="shared" si="22"/>
        <v>1</v>
      </c>
      <c r="CR83" s="163">
        <f t="shared" si="22"/>
        <v>1</v>
      </c>
    </row>
    <row r="84" spans="1:96" s="161" customFormat="1" ht="15" customHeight="1" x14ac:dyDescent="0.15">
      <c r="A84" s="5605">
        <v>32111022</v>
      </c>
      <c r="B84" s="1087" t="s">
        <v>4318</v>
      </c>
      <c r="C84" s="405" t="s">
        <v>4567</v>
      </c>
      <c r="D84" s="1466" t="s">
        <v>4568</v>
      </c>
      <c r="E84" s="1467" t="s">
        <v>4569</v>
      </c>
      <c r="F84" s="1467" t="s">
        <v>4570</v>
      </c>
      <c r="G84" s="1467" t="s">
        <v>4571</v>
      </c>
      <c r="H84" s="1467" t="s">
        <v>4572</v>
      </c>
      <c r="I84" s="1467" t="s">
        <v>4573</v>
      </c>
      <c r="J84" s="1467" t="s">
        <v>4574</v>
      </c>
      <c r="K84" s="1467" t="s">
        <v>4575</v>
      </c>
      <c r="L84" s="1467" t="s">
        <v>4576</v>
      </c>
      <c r="M84" s="1467" t="s">
        <v>4577</v>
      </c>
      <c r="N84" s="1467" t="s">
        <v>4578</v>
      </c>
      <c r="O84" s="1467" t="s">
        <v>4579</v>
      </c>
      <c r="P84" s="1467" t="s">
        <v>4580</v>
      </c>
      <c r="Q84" s="1467" t="s">
        <v>4581</v>
      </c>
      <c r="R84" s="1467" t="s">
        <v>4582</v>
      </c>
      <c r="S84" s="1467" t="s">
        <v>4583</v>
      </c>
      <c r="T84" s="1475" t="s">
        <v>4584</v>
      </c>
      <c r="U84" s="1466" t="s">
        <v>4585</v>
      </c>
      <c r="V84" s="1475" t="s">
        <v>4586</v>
      </c>
      <c r="W84" s="1466" t="s">
        <v>4587</v>
      </c>
      <c r="X84" s="1475" t="s">
        <v>4588</v>
      </c>
      <c r="Y84" s="1466" t="s">
        <v>4589</v>
      </c>
      <c r="Z84" s="1475" t="s">
        <v>4590</v>
      </c>
      <c r="AA84" s="936" t="s">
        <v>4591</v>
      </c>
      <c r="AB84" s="1466" t="s">
        <v>4592</v>
      </c>
      <c r="AC84" s="1467" t="s">
        <v>4593</v>
      </c>
      <c r="AD84" s="1467" t="s">
        <v>4594</v>
      </c>
      <c r="AE84" s="1475" t="s">
        <v>4595</v>
      </c>
      <c r="AF84" s="936" t="s">
        <v>4596</v>
      </c>
      <c r="AG84" s="1466" t="s">
        <v>4597</v>
      </c>
      <c r="AH84" s="1467" t="s">
        <v>4598</v>
      </c>
      <c r="AI84" s="1467" t="s">
        <v>4599</v>
      </c>
      <c r="AJ84" s="1509" t="s">
        <v>4600</v>
      </c>
      <c r="AK84" s="1478" t="s">
        <v>4601</v>
      </c>
      <c r="AL84" s="1478" t="s">
        <v>4602</v>
      </c>
      <c r="AM84" s="1478" t="s">
        <v>4603</v>
      </c>
      <c r="AN84" s="1478" t="s">
        <v>4604</v>
      </c>
      <c r="AO84" s="1478" t="s">
        <v>4605</v>
      </c>
      <c r="AP84" s="1478" t="s">
        <v>4606</v>
      </c>
      <c r="AQ84" s="1478" t="s">
        <v>4934</v>
      </c>
      <c r="AR84" s="1478" t="s">
        <v>4935</v>
      </c>
      <c r="AS84" s="1478" t="s">
        <v>4936</v>
      </c>
      <c r="AT84" s="1478" t="s">
        <v>4937</v>
      </c>
      <c r="AU84" s="161" t="e">
        <f t="shared" si="12"/>
        <v>#VALUE!</v>
      </c>
      <c r="CB84" s="162" t="e">
        <f t="shared" si="13"/>
        <v>#VALUE!</v>
      </c>
      <c r="CC84" s="162" t="e">
        <f t="shared" si="14"/>
        <v>#VALUE!</v>
      </c>
      <c r="CD84" s="162" t="str">
        <f t="shared" si="15"/>
        <v xml:space="preserve"> * La variable Pueblos Originarios no puede ser mayor al Total.</v>
      </c>
      <c r="CE84" s="162" t="str">
        <f t="shared" si="16"/>
        <v xml:space="preserve"> * La variable Migrantes no puede ser mayor al Total.</v>
      </c>
      <c r="CF84" s="162" t="str">
        <f t="shared" si="17"/>
        <v xml:space="preserve"> * La variable Teleconsulta de especialidad resueltas por Médicos Generales no puede ser mayor al Total.</v>
      </c>
      <c r="CG84" s="162" t="str">
        <f t="shared" si="18"/>
        <v xml:space="preserve"> * La variable Serv. Nac. Reinserción Social Juvenil no puede ser mayor al Total.</v>
      </c>
      <c r="CH84" s="162" t="str">
        <f t="shared" si="19"/>
        <v xml:space="preserve"> * La variable Serv. Nac. Protección Especializada a la Niñez y Adolescencia no puede ser mayor al Total.</v>
      </c>
      <c r="CL84" s="163" t="e">
        <f t="shared" si="9"/>
        <v>#VALUE!</v>
      </c>
      <c r="CM84" s="163" t="e">
        <f t="shared" si="10"/>
        <v>#VALUE!</v>
      </c>
      <c r="CN84" s="163">
        <f t="shared" si="11"/>
        <v>1</v>
      </c>
      <c r="CO84" s="163">
        <f t="shared" si="20"/>
        <v>1</v>
      </c>
      <c r="CP84" s="163">
        <f t="shared" si="22"/>
        <v>1</v>
      </c>
      <c r="CQ84" s="163">
        <f t="shared" si="22"/>
        <v>1</v>
      </c>
      <c r="CR84" s="163">
        <f t="shared" si="22"/>
        <v>1</v>
      </c>
    </row>
    <row r="85" spans="1:96" s="161" customFormat="1" ht="15" customHeight="1" x14ac:dyDescent="0.15">
      <c r="A85" s="5601">
        <v>32101581</v>
      </c>
      <c r="B85" s="1087" t="s">
        <v>1239</v>
      </c>
      <c r="C85" s="405" t="s">
        <v>4567</v>
      </c>
      <c r="D85" s="1466" t="s">
        <v>4568</v>
      </c>
      <c r="E85" s="1467" t="s">
        <v>4569</v>
      </c>
      <c r="F85" s="1467" t="s">
        <v>4570</v>
      </c>
      <c r="G85" s="1467" t="s">
        <v>4571</v>
      </c>
      <c r="H85" s="1467" t="s">
        <v>4572</v>
      </c>
      <c r="I85" s="1467" t="s">
        <v>4573</v>
      </c>
      <c r="J85" s="1467" t="s">
        <v>4574</v>
      </c>
      <c r="K85" s="1467" t="s">
        <v>4575</v>
      </c>
      <c r="L85" s="1467" t="s">
        <v>4576</v>
      </c>
      <c r="M85" s="1467" t="s">
        <v>4577</v>
      </c>
      <c r="N85" s="1467" t="s">
        <v>4578</v>
      </c>
      <c r="O85" s="1467" t="s">
        <v>4579</v>
      </c>
      <c r="P85" s="1467" t="s">
        <v>4580</v>
      </c>
      <c r="Q85" s="1467" t="s">
        <v>4581</v>
      </c>
      <c r="R85" s="1467" t="s">
        <v>4582</v>
      </c>
      <c r="S85" s="1467" t="s">
        <v>4583</v>
      </c>
      <c r="T85" s="1475" t="s">
        <v>4584</v>
      </c>
      <c r="U85" s="1466" t="s">
        <v>4585</v>
      </c>
      <c r="V85" s="1475" t="s">
        <v>4586</v>
      </c>
      <c r="W85" s="1466" t="s">
        <v>4587</v>
      </c>
      <c r="X85" s="1475" t="s">
        <v>4588</v>
      </c>
      <c r="Y85" s="1466" t="s">
        <v>4589</v>
      </c>
      <c r="Z85" s="1475" t="s">
        <v>4590</v>
      </c>
      <c r="AA85" s="936" t="s">
        <v>4591</v>
      </c>
      <c r="AB85" s="1466" t="s">
        <v>4592</v>
      </c>
      <c r="AC85" s="1467" t="s">
        <v>4593</v>
      </c>
      <c r="AD85" s="1467" t="s">
        <v>4594</v>
      </c>
      <c r="AE85" s="1475" t="s">
        <v>4595</v>
      </c>
      <c r="AF85" s="936" t="s">
        <v>4596</v>
      </c>
      <c r="AG85" s="1466" t="s">
        <v>4597</v>
      </c>
      <c r="AH85" s="1467" t="s">
        <v>4598</v>
      </c>
      <c r="AI85" s="1467" t="s">
        <v>4599</v>
      </c>
      <c r="AJ85" s="1509" t="s">
        <v>4600</v>
      </c>
      <c r="AK85" s="1478" t="s">
        <v>4601</v>
      </c>
      <c r="AL85" s="1478" t="s">
        <v>4602</v>
      </c>
      <c r="AM85" s="1478" t="s">
        <v>4603</v>
      </c>
      <c r="AN85" s="1478" t="s">
        <v>4604</v>
      </c>
      <c r="AO85" s="1478" t="s">
        <v>4605</v>
      </c>
      <c r="AP85" s="1478" t="s">
        <v>4606</v>
      </c>
      <c r="AQ85" s="1478" t="s">
        <v>4934</v>
      </c>
      <c r="AR85" s="1478" t="s">
        <v>4935</v>
      </c>
      <c r="AS85" s="1478" t="s">
        <v>4936</v>
      </c>
      <c r="AT85" s="1478" t="s">
        <v>4937</v>
      </c>
      <c r="AU85" s="161" t="e">
        <f t="shared" si="12"/>
        <v>#VALUE!</v>
      </c>
      <c r="CB85" s="162" t="e">
        <f t="shared" si="13"/>
        <v>#VALUE!</v>
      </c>
      <c r="CC85" s="162" t="e">
        <f t="shared" si="14"/>
        <v>#VALUE!</v>
      </c>
      <c r="CD85" s="162" t="str">
        <f t="shared" si="15"/>
        <v xml:space="preserve"> * La variable Pueblos Originarios no puede ser mayor al Total.</v>
      </c>
      <c r="CE85" s="162" t="str">
        <f t="shared" si="16"/>
        <v xml:space="preserve"> * La variable Migrantes no puede ser mayor al Total.</v>
      </c>
      <c r="CF85" s="162" t="str">
        <f t="shared" si="17"/>
        <v xml:space="preserve"> * La variable Teleconsulta de especialidad resueltas por Médicos Generales no puede ser mayor al Total.</v>
      </c>
      <c r="CG85" s="162" t="str">
        <f t="shared" si="18"/>
        <v xml:space="preserve"> * La variable Serv. Nac. Reinserción Social Juvenil no puede ser mayor al Total.</v>
      </c>
      <c r="CH85" s="162" t="str">
        <f t="shared" si="19"/>
        <v xml:space="preserve"> * La variable Serv. Nac. Protección Especializada a la Niñez y Adolescencia no puede ser mayor al Total.</v>
      </c>
      <c r="CL85" s="163" t="e">
        <f t="shared" si="9"/>
        <v>#VALUE!</v>
      </c>
      <c r="CM85" s="163" t="e">
        <f t="shared" si="10"/>
        <v>#VALUE!</v>
      </c>
      <c r="CN85" s="163">
        <f t="shared" si="11"/>
        <v>1</v>
      </c>
      <c r="CO85" s="163">
        <f t="shared" si="20"/>
        <v>1</v>
      </c>
      <c r="CP85" s="163">
        <f t="shared" si="22"/>
        <v>1</v>
      </c>
      <c r="CQ85" s="163">
        <f t="shared" si="22"/>
        <v>1</v>
      </c>
      <c r="CR85" s="163">
        <f t="shared" si="22"/>
        <v>1</v>
      </c>
    </row>
    <row r="86" spans="1:96" s="161" customFormat="1" ht="15" customHeight="1" x14ac:dyDescent="0.15">
      <c r="A86" s="5601">
        <v>32100250</v>
      </c>
      <c r="B86" s="936" t="s">
        <v>1240</v>
      </c>
      <c r="C86" s="405" t="s">
        <v>4567</v>
      </c>
      <c r="D86" s="1466" t="s">
        <v>4568</v>
      </c>
      <c r="E86" s="1467" t="s">
        <v>4569</v>
      </c>
      <c r="F86" s="1467" t="s">
        <v>4570</v>
      </c>
      <c r="G86" s="1467" t="s">
        <v>4571</v>
      </c>
      <c r="H86" s="1467" t="s">
        <v>4572</v>
      </c>
      <c r="I86" s="1467" t="s">
        <v>4573</v>
      </c>
      <c r="J86" s="1467" t="s">
        <v>4574</v>
      </c>
      <c r="K86" s="1467" t="s">
        <v>4575</v>
      </c>
      <c r="L86" s="1467" t="s">
        <v>4576</v>
      </c>
      <c r="M86" s="1467" t="s">
        <v>4577</v>
      </c>
      <c r="N86" s="1467" t="s">
        <v>4578</v>
      </c>
      <c r="O86" s="1467" t="s">
        <v>4579</v>
      </c>
      <c r="P86" s="1467" t="s">
        <v>4580</v>
      </c>
      <c r="Q86" s="1467" t="s">
        <v>4581</v>
      </c>
      <c r="R86" s="1467" t="s">
        <v>4582</v>
      </c>
      <c r="S86" s="1467" t="s">
        <v>4583</v>
      </c>
      <c r="T86" s="1475" t="s">
        <v>4584</v>
      </c>
      <c r="U86" s="1466" t="s">
        <v>4585</v>
      </c>
      <c r="V86" s="1475" t="s">
        <v>4586</v>
      </c>
      <c r="W86" s="1466" t="s">
        <v>4587</v>
      </c>
      <c r="X86" s="1475" t="s">
        <v>4588</v>
      </c>
      <c r="Y86" s="1466" t="s">
        <v>4589</v>
      </c>
      <c r="Z86" s="1475" t="s">
        <v>4590</v>
      </c>
      <c r="AA86" s="936" t="s">
        <v>4591</v>
      </c>
      <c r="AB86" s="1466" t="s">
        <v>4592</v>
      </c>
      <c r="AC86" s="1467" t="s">
        <v>4593</v>
      </c>
      <c r="AD86" s="1467" t="s">
        <v>4594</v>
      </c>
      <c r="AE86" s="1475" t="s">
        <v>4595</v>
      </c>
      <c r="AF86" s="936" t="s">
        <v>4596</v>
      </c>
      <c r="AG86" s="1466" t="s">
        <v>4597</v>
      </c>
      <c r="AH86" s="1467" t="s">
        <v>4598</v>
      </c>
      <c r="AI86" s="1467" t="s">
        <v>4599</v>
      </c>
      <c r="AJ86" s="1509" t="s">
        <v>4600</v>
      </c>
      <c r="AK86" s="1478" t="s">
        <v>4601</v>
      </c>
      <c r="AL86" s="1478" t="s">
        <v>4602</v>
      </c>
      <c r="AM86" s="1478" t="s">
        <v>4603</v>
      </c>
      <c r="AN86" s="1478" t="s">
        <v>4604</v>
      </c>
      <c r="AO86" s="1478" t="s">
        <v>4605</v>
      </c>
      <c r="AP86" s="1478" t="s">
        <v>4606</v>
      </c>
      <c r="AQ86" s="1478" t="s">
        <v>4934</v>
      </c>
      <c r="AR86" s="1478" t="s">
        <v>4935</v>
      </c>
      <c r="AS86" s="1478" t="s">
        <v>4936</v>
      </c>
      <c r="AT86" s="1478" t="s">
        <v>4937</v>
      </c>
      <c r="AU86" s="161" t="e">
        <f t="shared" si="12"/>
        <v>#VALUE!</v>
      </c>
      <c r="CB86" s="162" t="e">
        <f t="shared" si="13"/>
        <v>#VALUE!</v>
      </c>
      <c r="CC86" s="162" t="e">
        <f t="shared" si="14"/>
        <v>#VALUE!</v>
      </c>
      <c r="CD86" s="162" t="str">
        <f t="shared" si="15"/>
        <v xml:space="preserve"> * La variable Pueblos Originarios no puede ser mayor al Total.</v>
      </c>
      <c r="CE86" s="162" t="str">
        <f t="shared" si="16"/>
        <v xml:space="preserve"> * La variable Migrantes no puede ser mayor al Total.</v>
      </c>
      <c r="CF86" s="162" t="str">
        <f t="shared" si="17"/>
        <v xml:space="preserve"> * La variable Teleconsulta de especialidad resueltas por Médicos Generales no puede ser mayor al Total.</v>
      </c>
      <c r="CG86" s="162" t="str">
        <f t="shared" si="18"/>
        <v xml:space="preserve"> * La variable Serv. Nac. Reinserción Social Juvenil no puede ser mayor al Total.</v>
      </c>
      <c r="CH86" s="162" t="str">
        <f t="shared" si="19"/>
        <v xml:space="preserve"> * La variable Serv. Nac. Protección Especializada a la Niñez y Adolescencia no puede ser mayor al Total.</v>
      </c>
      <c r="CL86" s="163" t="e">
        <f t="shared" si="9"/>
        <v>#VALUE!</v>
      </c>
      <c r="CM86" s="163" t="e">
        <f t="shared" si="10"/>
        <v>#VALUE!</v>
      </c>
      <c r="CN86" s="163">
        <f t="shared" si="11"/>
        <v>1</v>
      </c>
      <c r="CO86" s="163">
        <f t="shared" si="20"/>
        <v>1</v>
      </c>
      <c r="CP86" s="163">
        <f t="shared" si="22"/>
        <v>1</v>
      </c>
      <c r="CQ86" s="163">
        <f t="shared" si="22"/>
        <v>1</v>
      </c>
      <c r="CR86" s="163">
        <f t="shared" si="22"/>
        <v>1</v>
      </c>
    </row>
    <row r="87" spans="1:96" s="161" customFormat="1" ht="15" customHeight="1" x14ac:dyDescent="0.15">
      <c r="A87" s="5601">
        <v>32101583</v>
      </c>
      <c r="B87" s="936" t="s">
        <v>4002</v>
      </c>
      <c r="C87" s="405" t="s">
        <v>4567</v>
      </c>
      <c r="D87" s="1466" t="s">
        <v>4568</v>
      </c>
      <c r="E87" s="1467" t="s">
        <v>4569</v>
      </c>
      <c r="F87" s="1467" t="s">
        <v>4570</v>
      </c>
      <c r="G87" s="1467" t="s">
        <v>4571</v>
      </c>
      <c r="H87" s="1467" t="s">
        <v>4572</v>
      </c>
      <c r="I87" s="1467" t="s">
        <v>4573</v>
      </c>
      <c r="J87" s="1467" t="s">
        <v>4574</v>
      </c>
      <c r="K87" s="1467" t="s">
        <v>4575</v>
      </c>
      <c r="L87" s="1467" t="s">
        <v>4576</v>
      </c>
      <c r="M87" s="1467" t="s">
        <v>4577</v>
      </c>
      <c r="N87" s="1467" t="s">
        <v>4578</v>
      </c>
      <c r="O87" s="1467" t="s">
        <v>4579</v>
      </c>
      <c r="P87" s="1467" t="s">
        <v>4580</v>
      </c>
      <c r="Q87" s="1467" t="s">
        <v>4581</v>
      </c>
      <c r="R87" s="1467" t="s">
        <v>4582</v>
      </c>
      <c r="S87" s="1467" t="s">
        <v>4583</v>
      </c>
      <c r="T87" s="1475" t="s">
        <v>4584</v>
      </c>
      <c r="U87" s="1466" t="s">
        <v>4585</v>
      </c>
      <c r="V87" s="1475" t="s">
        <v>4586</v>
      </c>
      <c r="W87" s="1466" t="s">
        <v>4587</v>
      </c>
      <c r="X87" s="1475" t="s">
        <v>4588</v>
      </c>
      <c r="Y87" s="1466" t="s">
        <v>4589</v>
      </c>
      <c r="Z87" s="1475" t="s">
        <v>4590</v>
      </c>
      <c r="AA87" s="936" t="s">
        <v>4591</v>
      </c>
      <c r="AB87" s="1466" t="s">
        <v>4592</v>
      </c>
      <c r="AC87" s="1467" t="s">
        <v>4593</v>
      </c>
      <c r="AD87" s="1467" t="s">
        <v>4594</v>
      </c>
      <c r="AE87" s="1475" t="s">
        <v>4595</v>
      </c>
      <c r="AF87" s="936" t="s">
        <v>4596</v>
      </c>
      <c r="AG87" s="1466" t="s">
        <v>4597</v>
      </c>
      <c r="AH87" s="1467" t="s">
        <v>4598</v>
      </c>
      <c r="AI87" s="1467" t="s">
        <v>4599</v>
      </c>
      <c r="AJ87" s="1509" t="s">
        <v>4600</v>
      </c>
      <c r="AK87" s="1478" t="s">
        <v>4601</v>
      </c>
      <c r="AL87" s="1478" t="s">
        <v>4602</v>
      </c>
      <c r="AM87" s="1478" t="s">
        <v>4603</v>
      </c>
      <c r="AN87" s="1478" t="s">
        <v>4604</v>
      </c>
      <c r="AO87" s="1478" t="s">
        <v>4605</v>
      </c>
      <c r="AP87" s="1478" t="s">
        <v>4606</v>
      </c>
      <c r="AQ87" s="1478" t="s">
        <v>4934</v>
      </c>
      <c r="AR87" s="1478" t="s">
        <v>4935</v>
      </c>
      <c r="AS87" s="1478" t="s">
        <v>4936</v>
      </c>
      <c r="AT87" s="1478" t="s">
        <v>4937</v>
      </c>
      <c r="AU87" s="161" t="e">
        <f t="shared" si="12"/>
        <v>#VALUE!</v>
      </c>
      <c r="CB87" s="162" t="e">
        <f t="shared" si="13"/>
        <v>#VALUE!</v>
      </c>
      <c r="CC87" s="162" t="e">
        <f t="shared" si="14"/>
        <v>#VALUE!</v>
      </c>
      <c r="CD87" s="162" t="str">
        <f t="shared" si="15"/>
        <v xml:space="preserve"> * La variable Pueblos Originarios no puede ser mayor al Total.</v>
      </c>
      <c r="CE87" s="162" t="str">
        <f t="shared" si="16"/>
        <v xml:space="preserve"> * La variable Migrantes no puede ser mayor al Total.</v>
      </c>
      <c r="CF87" s="162" t="str">
        <f t="shared" si="17"/>
        <v xml:space="preserve"> * La variable Teleconsulta de especialidad resueltas por Médicos Generales no puede ser mayor al Total.</v>
      </c>
      <c r="CG87" s="162" t="str">
        <f t="shared" si="18"/>
        <v xml:space="preserve"> * La variable Serv. Nac. Reinserción Social Juvenil no puede ser mayor al Total.</v>
      </c>
      <c r="CH87" s="162" t="str">
        <f t="shared" si="19"/>
        <v xml:space="preserve"> * La variable Serv. Nac. Protección Especializada a la Niñez y Adolescencia no puede ser mayor al Total.</v>
      </c>
      <c r="CL87" s="163" t="e">
        <f t="shared" si="9"/>
        <v>#VALUE!</v>
      </c>
      <c r="CM87" s="163" t="e">
        <f t="shared" si="10"/>
        <v>#VALUE!</v>
      </c>
      <c r="CN87" s="163">
        <f t="shared" si="11"/>
        <v>1</v>
      </c>
      <c r="CO87" s="163">
        <f t="shared" si="20"/>
        <v>1</v>
      </c>
      <c r="CP87" s="163">
        <f t="shared" si="22"/>
        <v>1</v>
      </c>
      <c r="CQ87" s="163">
        <f t="shared" si="22"/>
        <v>1</v>
      </c>
      <c r="CR87" s="163">
        <f t="shared" si="22"/>
        <v>1</v>
      </c>
    </row>
    <row r="88" spans="1:96" s="161" customFormat="1" ht="15" customHeight="1" x14ac:dyDescent="0.15">
      <c r="A88" s="5601">
        <v>32101584</v>
      </c>
      <c r="B88" s="253" t="s">
        <v>1242</v>
      </c>
      <c r="C88" s="405" t="s">
        <v>4567</v>
      </c>
      <c r="D88" s="1466" t="s">
        <v>4568</v>
      </c>
      <c r="E88" s="1467" t="s">
        <v>4569</v>
      </c>
      <c r="F88" s="1467" t="s">
        <v>4570</v>
      </c>
      <c r="G88" s="1467" t="s">
        <v>4571</v>
      </c>
      <c r="H88" s="1467" t="s">
        <v>4572</v>
      </c>
      <c r="I88" s="1467" t="s">
        <v>4573</v>
      </c>
      <c r="J88" s="1467" t="s">
        <v>4574</v>
      </c>
      <c r="K88" s="1467" t="s">
        <v>4575</v>
      </c>
      <c r="L88" s="1467" t="s">
        <v>4576</v>
      </c>
      <c r="M88" s="1467" t="s">
        <v>4577</v>
      </c>
      <c r="N88" s="1467" t="s">
        <v>4578</v>
      </c>
      <c r="O88" s="1467" t="s">
        <v>4579</v>
      </c>
      <c r="P88" s="1467" t="s">
        <v>4580</v>
      </c>
      <c r="Q88" s="1467" t="s">
        <v>4581</v>
      </c>
      <c r="R88" s="1467" t="s">
        <v>4582</v>
      </c>
      <c r="S88" s="1467" t="s">
        <v>4583</v>
      </c>
      <c r="T88" s="1475" t="s">
        <v>4584</v>
      </c>
      <c r="U88" s="1466" t="s">
        <v>4585</v>
      </c>
      <c r="V88" s="1475" t="s">
        <v>4586</v>
      </c>
      <c r="W88" s="1466" t="s">
        <v>4587</v>
      </c>
      <c r="X88" s="1475" t="s">
        <v>4588</v>
      </c>
      <c r="Y88" s="1466" t="s">
        <v>4589</v>
      </c>
      <c r="Z88" s="1475" t="s">
        <v>4590</v>
      </c>
      <c r="AA88" s="936" t="s">
        <v>4591</v>
      </c>
      <c r="AB88" s="1466" t="s">
        <v>4592</v>
      </c>
      <c r="AC88" s="1467" t="s">
        <v>4593</v>
      </c>
      <c r="AD88" s="1467" t="s">
        <v>4594</v>
      </c>
      <c r="AE88" s="1475" t="s">
        <v>4595</v>
      </c>
      <c r="AF88" s="936" t="s">
        <v>4596</v>
      </c>
      <c r="AG88" s="1466" t="s">
        <v>4597</v>
      </c>
      <c r="AH88" s="1467" t="s">
        <v>4598</v>
      </c>
      <c r="AI88" s="1467" t="s">
        <v>4599</v>
      </c>
      <c r="AJ88" s="1509" t="s">
        <v>4600</v>
      </c>
      <c r="AK88" s="1478" t="s">
        <v>4601</v>
      </c>
      <c r="AL88" s="1478" t="s">
        <v>4602</v>
      </c>
      <c r="AM88" s="1478" t="s">
        <v>4603</v>
      </c>
      <c r="AN88" s="1478" t="s">
        <v>4604</v>
      </c>
      <c r="AO88" s="1478" t="s">
        <v>4605</v>
      </c>
      <c r="AP88" s="1478" t="s">
        <v>4606</v>
      </c>
      <c r="AQ88" s="1478" t="s">
        <v>4934</v>
      </c>
      <c r="AR88" s="1478" t="s">
        <v>4935</v>
      </c>
      <c r="AS88" s="1478" t="s">
        <v>4936</v>
      </c>
      <c r="AT88" s="1478" t="s">
        <v>4937</v>
      </c>
      <c r="AU88" s="161" t="e">
        <f t="shared" si="12"/>
        <v>#VALUE!</v>
      </c>
      <c r="CB88" s="162" t="e">
        <f t="shared" si="13"/>
        <v>#VALUE!</v>
      </c>
      <c r="CC88" s="162" t="e">
        <f t="shared" si="14"/>
        <v>#VALUE!</v>
      </c>
      <c r="CD88" s="162" t="str">
        <f t="shared" si="15"/>
        <v xml:space="preserve"> * La variable Pueblos Originarios no puede ser mayor al Total.</v>
      </c>
      <c r="CE88" s="162" t="str">
        <f t="shared" si="16"/>
        <v xml:space="preserve"> * La variable Migrantes no puede ser mayor al Total.</v>
      </c>
      <c r="CF88" s="162" t="str">
        <f t="shared" si="17"/>
        <v xml:space="preserve"> * La variable Teleconsulta de especialidad resueltas por Médicos Generales no puede ser mayor al Total.</v>
      </c>
      <c r="CG88" s="162" t="str">
        <f t="shared" si="18"/>
        <v xml:space="preserve"> * La variable Serv. Nac. Reinserción Social Juvenil no puede ser mayor al Total.</v>
      </c>
      <c r="CH88" s="162" t="str">
        <f t="shared" si="19"/>
        <v xml:space="preserve"> * La variable Serv. Nac. Protección Especializada a la Niñez y Adolescencia no puede ser mayor al Total.</v>
      </c>
      <c r="CL88" s="163" t="e">
        <f t="shared" si="9"/>
        <v>#VALUE!</v>
      </c>
      <c r="CM88" s="163" t="e">
        <f t="shared" si="10"/>
        <v>#VALUE!</v>
      </c>
      <c r="CN88" s="163">
        <f t="shared" si="11"/>
        <v>1</v>
      </c>
      <c r="CO88" s="163">
        <f t="shared" si="20"/>
        <v>1</v>
      </c>
      <c r="CP88" s="163">
        <f t="shared" si="22"/>
        <v>1</v>
      </c>
      <c r="CQ88" s="163">
        <f t="shared" si="22"/>
        <v>1</v>
      </c>
      <c r="CR88" s="163">
        <f t="shared" si="22"/>
        <v>1</v>
      </c>
    </row>
    <row r="89" spans="1:96" s="161" customFormat="1" ht="15" customHeight="1" x14ac:dyDescent="0.15">
      <c r="A89" s="5601">
        <v>32101585</v>
      </c>
      <c r="B89" s="407" t="s">
        <v>3719</v>
      </c>
      <c r="C89" s="405" t="s">
        <v>4567</v>
      </c>
      <c r="D89" s="1510" t="s">
        <v>4568</v>
      </c>
      <c r="E89" s="1511" t="s">
        <v>4569</v>
      </c>
      <c r="F89" s="1511" t="s">
        <v>4570</v>
      </c>
      <c r="G89" s="1511" t="s">
        <v>4571</v>
      </c>
      <c r="H89" s="1511" t="s">
        <v>4572</v>
      </c>
      <c r="I89" s="1511" t="s">
        <v>4573</v>
      </c>
      <c r="J89" s="1511" t="s">
        <v>4574</v>
      </c>
      <c r="K89" s="1511" t="s">
        <v>4575</v>
      </c>
      <c r="L89" s="1511" t="s">
        <v>4576</v>
      </c>
      <c r="M89" s="1511" t="s">
        <v>4577</v>
      </c>
      <c r="N89" s="1511" t="s">
        <v>4578</v>
      </c>
      <c r="O89" s="1511" t="s">
        <v>4579</v>
      </c>
      <c r="P89" s="1511" t="s">
        <v>4580</v>
      </c>
      <c r="Q89" s="1511" t="s">
        <v>4581</v>
      </c>
      <c r="R89" s="1511" t="s">
        <v>4582</v>
      </c>
      <c r="S89" s="1511" t="s">
        <v>4583</v>
      </c>
      <c r="T89" s="1512" t="s">
        <v>4584</v>
      </c>
      <c r="U89" s="1466" t="s">
        <v>4585</v>
      </c>
      <c r="V89" s="1475" t="s">
        <v>4586</v>
      </c>
      <c r="W89" s="1466" t="s">
        <v>4587</v>
      </c>
      <c r="X89" s="1475" t="s">
        <v>4588</v>
      </c>
      <c r="Y89" s="1466" t="s">
        <v>4589</v>
      </c>
      <c r="Z89" s="1475" t="s">
        <v>4590</v>
      </c>
      <c r="AA89" s="936" t="s">
        <v>4591</v>
      </c>
      <c r="AB89" s="1466" t="s">
        <v>4592</v>
      </c>
      <c r="AC89" s="1467" t="s">
        <v>4593</v>
      </c>
      <c r="AD89" s="1467" t="s">
        <v>4594</v>
      </c>
      <c r="AE89" s="1475" t="s">
        <v>4595</v>
      </c>
      <c r="AF89" s="936" t="s">
        <v>4596</v>
      </c>
      <c r="AG89" s="1466" t="s">
        <v>4597</v>
      </c>
      <c r="AH89" s="1467" t="s">
        <v>4598</v>
      </c>
      <c r="AI89" s="1467" t="s">
        <v>4599</v>
      </c>
      <c r="AJ89" s="1509" t="s">
        <v>4600</v>
      </c>
      <c r="AK89" s="1478" t="s">
        <v>4601</v>
      </c>
      <c r="AL89" s="1478" t="s">
        <v>4602</v>
      </c>
      <c r="AM89" s="1478" t="s">
        <v>4603</v>
      </c>
      <c r="AN89" s="1478" t="s">
        <v>4604</v>
      </c>
      <c r="AO89" s="1478" t="s">
        <v>4605</v>
      </c>
      <c r="AP89" s="1478" t="s">
        <v>4606</v>
      </c>
      <c r="AQ89" s="1478" t="s">
        <v>4934</v>
      </c>
      <c r="AR89" s="1478" t="s">
        <v>4935</v>
      </c>
      <c r="AS89" s="1478" t="s">
        <v>4936</v>
      </c>
      <c r="AT89" s="1478" t="s">
        <v>4937</v>
      </c>
      <c r="AU89" s="161" t="e">
        <f t="shared" si="12"/>
        <v>#VALUE!</v>
      </c>
      <c r="CB89" s="162" t="e">
        <f t="shared" si="13"/>
        <v>#VALUE!</v>
      </c>
      <c r="CC89" s="162" t="e">
        <f t="shared" si="14"/>
        <v>#VALUE!</v>
      </c>
      <c r="CD89" s="162" t="str">
        <f t="shared" si="15"/>
        <v xml:space="preserve"> * La variable Pueblos Originarios no puede ser mayor al Total.</v>
      </c>
      <c r="CE89" s="162" t="str">
        <f t="shared" si="16"/>
        <v xml:space="preserve"> * La variable Migrantes no puede ser mayor al Total.</v>
      </c>
      <c r="CF89" s="162" t="str">
        <f t="shared" si="17"/>
        <v xml:space="preserve"> * La variable Teleconsulta de especialidad resueltas por Médicos Generales no puede ser mayor al Total.</v>
      </c>
      <c r="CG89" s="162" t="str">
        <f>IF(AND($C89&gt;0,AS89="")," * No olvide digitar la variable Serv. Nac. Reinserción Social Juvenil. Digite cero si no tiene.",IF(AS89&gt;$C89," * La variable Serv. Nac. Reinserción Social Juvenil no puede ser mayor al Total.",""))</f>
        <v xml:space="preserve"> * La variable Serv. Nac. Reinserción Social Juvenil no puede ser mayor al Total.</v>
      </c>
      <c r="CH89" s="162" t="str">
        <f t="shared" si="19"/>
        <v xml:space="preserve"> * La variable Serv. Nac. Protección Especializada a la Niñez y Adolescencia no puede ser mayor al Total.</v>
      </c>
      <c r="CL89" s="163" t="e">
        <f t="shared" si="9"/>
        <v>#VALUE!</v>
      </c>
      <c r="CM89" s="163" t="e">
        <f t="shared" si="10"/>
        <v>#VALUE!</v>
      </c>
      <c r="CN89" s="163">
        <f t="shared" si="11"/>
        <v>1</v>
      </c>
      <c r="CO89" s="163">
        <f t="shared" si="20"/>
        <v>1</v>
      </c>
      <c r="CP89" s="163">
        <f t="shared" si="22"/>
        <v>1</v>
      </c>
      <c r="CQ89" s="163">
        <f t="shared" si="22"/>
        <v>1</v>
      </c>
      <c r="CR89" s="163">
        <f t="shared" si="22"/>
        <v>1</v>
      </c>
    </row>
    <row r="90" spans="1:96" s="161" customFormat="1" ht="15" customHeight="1" x14ac:dyDescent="0.25">
      <c r="B90" s="1276" t="s">
        <v>77</v>
      </c>
      <c r="C90" s="1513">
        <f t="shared" ref="C90" si="23">SUM(D90:T90)</f>
        <v>0</v>
      </c>
      <c r="D90" s="1514">
        <f t="shared" ref="D90:AT90" si="24">SUM(D35:D89)</f>
        <v>0</v>
      </c>
      <c r="E90" s="1515">
        <f t="shared" si="24"/>
        <v>0</v>
      </c>
      <c r="F90" s="1515">
        <f t="shared" si="24"/>
        <v>0</v>
      </c>
      <c r="G90" s="1515">
        <f t="shared" si="24"/>
        <v>0</v>
      </c>
      <c r="H90" s="1515">
        <f t="shared" si="24"/>
        <v>0</v>
      </c>
      <c r="I90" s="1516">
        <f t="shared" si="24"/>
        <v>0</v>
      </c>
      <c r="J90" s="1515">
        <f t="shared" si="24"/>
        <v>0</v>
      </c>
      <c r="K90" s="1515">
        <f t="shared" si="24"/>
        <v>0</v>
      </c>
      <c r="L90" s="1515">
        <f t="shared" si="24"/>
        <v>0</v>
      </c>
      <c r="M90" s="1515">
        <f t="shared" si="24"/>
        <v>0</v>
      </c>
      <c r="N90" s="1515">
        <f t="shared" si="24"/>
        <v>0</v>
      </c>
      <c r="O90" s="1515">
        <f t="shared" si="24"/>
        <v>0</v>
      </c>
      <c r="P90" s="1515">
        <f t="shared" si="24"/>
        <v>0</v>
      </c>
      <c r="Q90" s="1515">
        <f t="shared" si="24"/>
        <v>0</v>
      </c>
      <c r="R90" s="1515">
        <f t="shared" si="24"/>
        <v>0</v>
      </c>
      <c r="S90" s="1515">
        <f t="shared" si="24"/>
        <v>0</v>
      </c>
      <c r="T90" s="1517">
        <f t="shared" si="24"/>
        <v>0</v>
      </c>
      <c r="U90" s="1514">
        <f t="shared" si="24"/>
        <v>0</v>
      </c>
      <c r="V90" s="1517">
        <f t="shared" si="24"/>
        <v>0</v>
      </c>
      <c r="W90" s="1514">
        <f t="shared" si="24"/>
        <v>0</v>
      </c>
      <c r="X90" s="1517">
        <f t="shared" si="24"/>
        <v>0</v>
      </c>
      <c r="Y90" s="1514">
        <f t="shared" si="24"/>
        <v>0</v>
      </c>
      <c r="Z90" s="1517">
        <f t="shared" si="24"/>
        <v>0</v>
      </c>
      <c r="AA90" s="1513">
        <f t="shared" si="24"/>
        <v>0</v>
      </c>
      <c r="AB90" s="1514">
        <f t="shared" si="24"/>
        <v>0</v>
      </c>
      <c r="AC90" s="1515">
        <f t="shared" si="24"/>
        <v>0</v>
      </c>
      <c r="AD90" s="1515">
        <f t="shared" si="24"/>
        <v>0</v>
      </c>
      <c r="AE90" s="1516">
        <f t="shared" si="24"/>
        <v>0</v>
      </c>
      <c r="AF90" s="1513">
        <f t="shared" si="24"/>
        <v>0</v>
      </c>
      <c r="AG90" s="1514">
        <f t="shared" si="24"/>
        <v>0</v>
      </c>
      <c r="AH90" s="1515">
        <f t="shared" si="24"/>
        <v>0</v>
      </c>
      <c r="AI90" s="1515">
        <f t="shared" si="24"/>
        <v>0</v>
      </c>
      <c r="AJ90" s="1518">
        <f t="shared" si="24"/>
        <v>0</v>
      </c>
      <c r="AK90" s="1517">
        <f t="shared" si="24"/>
        <v>0</v>
      </c>
      <c r="AL90" s="1517">
        <f t="shared" si="24"/>
        <v>0</v>
      </c>
      <c r="AM90" s="1517">
        <f t="shared" si="24"/>
        <v>0</v>
      </c>
      <c r="AN90" s="1517">
        <f t="shared" si="24"/>
        <v>0</v>
      </c>
      <c r="AO90" s="1517">
        <f t="shared" si="24"/>
        <v>0</v>
      </c>
      <c r="AP90" s="1517">
        <f t="shared" si="24"/>
        <v>0</v>
      </c>
      <c r="AQ90" s="1517">
        <f t="shared" si="24"/>
        <v>0</v>
      </c>
      <c r="AR90" s="1517">
        <f t="shared" si="24"/>
        <v>0</v>
      </c>
      <c r="AS90" s="1517">
        <f t="shared" si="24"/>
        <v>0</v>
      </c>
      <c r="AT90" s="1517">
        <f t="shared" si="24"/>
        <v>0</v>
      </c>
    </row>
    <row r="91" spans="1:96" s="160" customFormat="1" ht="17.100000000000001" customHeight="1" x14ac:dyDescent="0.25">
      <c r="B91" s="7845" t="s">
        <v>4003</v>
      </c>
      <c r="C91" s="7845"/>
      <c r="D91" s="7845"/>
      <c r="E91" s="7845"/>
      <c r="F91" s="7845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  <c r="CN91" s="161"/>
    </row>
    <row r="92" spans="1:96" s="161" customFormat="1" ht="15" customHeight="1" x14ac:dyDescent="0.25">
      <c r="B92" s="7687" t="s">
        <v>27</v>
      </c>
      <c r="C92" s="7676"/>
      <c r="D92" s="7687" t="s">
        <v>192</v>
      </c>
      <c r="E92" s="7763"/>
      <c r="F92" s="7676"/>
      <c r="G92" s="7291" t="s">
        <v>101</v>
      </c>
      <c r="H92" s="7745"/>
      <c r="I92" s="7745"/>
      <c r="J92" s="7745"/>
      <c r="K92" s="7745"/>
      <c r="L92" s="7745"/>
      <c r="M92" s="7745"/>
      <c r="N92" s="7745"/>
      <c r="O92" s="7745"/>
      <c r="P92" s="7745"/>
      <c r="Q92" s="7745"/>
      <c r="R92" s="7745"/>
      <c r="S92" s="7745"/>
      <c r="T92" s="7745"/>
      <c r="U92" s="7745"/>
      <c r="V92" s="7745"/>
      <c r="W92" s="7745"/>
      <c r="X92" s="7745"/>
      <c r="Y92" s="7745"/>
      <c r="Z92" s="7745"/>
      <c r="AA92" s="7745"/>
      <c r="AB92" s="7745"/>
      <c r="AC92" s="7745"/>
      <c r="AD92" s="7745"/>
      <c r="AE92" s="7745"/>
      <c r="AF92" s="7745"/>
      <c r="AG92" s="7745"/>
      <c r="AH92" s="7745"/>
      <c r="AI92" s="7745"/>
      <c r="AJ92" s="7745"/>
      <c r="AK92" s="7745"/>
      <c r="AL92" s="7745"/>
      <c r="AM92" s="7745"/>
      <c r="AN92" s="7339"/>
      <c r="AO92" s="7773" t="s">
        <v>4004</v>
      </c>
      <c r="AP92" s="7846"/>
      <c r="AQ92" s="7836" t="s">
        <v>597</v>
      </c>
      <c r="AR92" s="7760" t="s">
        <v>1297</v>
      </c>
      <c r="AS92" s="6777" t="s">
        <v>36</v>
      </c>
      <c r="AT92" s="6777" t="s">
        <v>37</v>
      </c>
      <c r="AU92" s="6777" t="s">
        <v>4005</v>
      </c>
      <c r="AV92" s="6786" t="s">
        <v>4006</v>
      </c>
    </row>
    <row r="93" spans="1:96" s="161" customFormat="1" ht="15" customHeight="1" x14ac:dyDescent="0.25">
      <c r="B93" s="6399"/>
      <c r="C93" s="6331"/>
      <c r="D93" s="6750"/>
      <c r="E93" s="6749"/>
      <c r="F93" s="6913"/>
      <c r="G93" s="7257" t="s">
        <v>343</v>
      </c>
      <c r="H93" s="7759"/>
      <c r="I93" s="7257" t="s">
        <v>326</v>
      </c>
      <c r="J93" s="7759"/>
      <c r="K93" s="7257" t="s">
        <v>94</v>
      </c>
      <c r="L93" s="7759"/>
      <c r="M93" s="7257" t="s">
        <v>44</v>
      </c>
      <c r="N93" s="7759"/>
      <c r="O93" s="7257" t="s">
        <v>45</v>
      </c>
      <c r="P93" s="7759"/>
      <c r="Q93" s="7291" t="s">
        <v>46</v>
      </c>
      <c r="R93" s="7727"/>
      <c r="S93" s="7291" t="s">
        <v>47</v>
      </c>
      <c r="T93" s="7727"/>
      <c r="U93" s="7291" t="s">
        <v>48</v>
      </c>
      <c r="V93" s="7727"/>
      <c r="W93" s="7291" t="s">
        <v>49</v>
      </c>
      <c r="X93" s="7727"/>
      <c r="Y93" s="7291" t="s">
        <v>50</v>
      </c>
      <c r="Z93" s="7727"/>
      <c r="AA93" s="7291" t="s">
        <v>51</v>
      </c>
      <c r="AB93" s="7727"/>
      <c r="AC93" s="7291" t="s">
        <v>52</v>
      </c>
      <c r="AD93" s="7727"/>
      <c r="AE93" s="7291" t="s">
        <v>53</v>
      </c>
      <c r="AF93" s="7727"/>
      <c r="AG93" s="7291" t="s">
        <v>54</v>
      </c>
      <c r="AH93" s="7727"/>
      <c r="AI93" s="7291" t="s">
        <v>55</v>
      </c>
      <c r="AJ93" s="7727"/>
      <c r="AK93" s="7291" t="s">
        <v>56</v>
      </c>
      <c r="AL93" s="7727"/>
      <c r="AM93" s="7291" t="s">
        <v>57</v>
      </c>
      <c r="AN93" s="7339"/>
      <c r="AO93" s="6940"/>
      <c r="AP93" s="6759"/>
      <c r="AQ93" s="6034"/>
      <c r="AR93" s="7118"/>
      <c r="AS93" s="6386"/>
      <c r="AT93" s="6386"/>
      <c r="AU93" s="6386"/>
      <c r="AV93" s="6027"/>
    </row>
    <row r="94" spans="1:96" s="161" customFormat="1" ht="50.25" customHeight="1" x14ac:dyDescent="0.25">
      <c r="B94" s="6750"/>
      <c r="C94" s="6913"/>
      <c r="D94" s="1287" t="s">
        <v>79</v>
      </c>
      <c r="E94" s="1068" t="s">
        <v>58</v>
      </c>
      <c r="F94" s="1412" t="s">
        <v>59</v>
      </c>
      <c r="G94" s="1519" t="s">
        <v>58</v>
      </c>
      <c r="H94" s="1462" t="s">
        <v>59</v>
      </c>
      <c r="I94" s="1519" t="s">
        <v>58</v>
      </c>
      <c r="J94" s="1462" t="s">
        <v>59</v>
      </c>
      <c r="K94" s="1519" t="s">
        <v>58</v>
      </c>
      <c r="L94" s="1462" t="s">
        <v>59</v>
      </c>
      <c r="M94" s="1519" t="s">
        <v>58</v>
      </c>
      <c r="N94" s="1462" t="s">
        <v>59</v>
      </c>
      <c r="O94" s="1519" t="s">
        <v>58</v>
      </c>
      <c r="P94" s="1462" t="s">
        <v>59</v>
      </c>
      <c r="Q94" s="1519" t="s">
        <v>58</v>
      </c>
      <c r="R94" s="1462" t="s">
        <v>59</v>
      </c>
      <c r="S94" s="1519" t="s">
        <v>58</v>
      </c>
      <c r="T94" s="1462" t="s">
        <v>59</v>
      </c>
      <c r="U94" s="1519" t="s">
        <v>58</v>
      </c>
      <c r="V94" s="1462" t="s">
        <v>59</v>
      </c>
      <c r="W94" s="1519" t="s">
        <v>58</v>
      </c>
      <c r="X94" s="1462" t="s">
        <v>59</v>
      </c>
      <c r="Y94" s="1519" t="s">
        <v>58</v>
      </c>
      <c r="Z94" s="1462" t="s">
        <v>59</v>
      </c>
      <c r="AA94" s="1519" t="s">
        <v>58</v>
      </c>
      <c r="AB94" s="1462" t="s">
        <v>59</v>
      </c>
      <c r="AC94" s="1519" t="s">
        <v>58</v>
      </c>
      <c r="AD94" s="1462" t="s">
        <v>59</v>
      </c>
      <c r="AE94" s="1519" t="s">
        <v>58</v>
      </c>
      <c r="AF94" s="1462" t="s">
        <v>59</v>
      </c>
      <c r="AG94" s="1519" t="s">
        <v>58</v>
      </c>
      <c r="AH94" s="1462" t="s">
        <v>59</v>
      </c>
      <c r="AI94" s="1519" t="s">
        <v>58</v>
      </c>
      <c r="AJ94" s="1462" t="s">
        <v>59</v>
      </c>
      <c r="AK94" s="1519" t="s">
        <v>58</v>
      </c>
      <c r="AL94" s="1462" t="s">
        <v>59</v>
      </c>
      <c r="AM94" s="1519" t="s">
        <v>58</v>
      </c>
      <c r="AN94" s="1326" t="s">
        <v>59</v>
      </c>
      <c r="AO94" s="1520" t="s">
        <v>4007</v>
      </c>
      <c r="AP94" s="1521" t="s">
        <v>4008</v>
      </c>
      <c r="AQ94" s="6035"/>
      <c r="AR94" s="7675"/>
      <c r="AS94" s="6086"/>
      <c r="AT94" s="6086"/>
      <c r="AU94" s="6086"/>
      <c r="AV94" s="6955"/>
    </row>
    <row r="95" spans="1:96" s="161" customFormat="1" ht="15" customHeight="1" x14ac:dyDescent="0.15">
      <c r="A95" s="5609">
        <v>32100470</v>
      </c>
      <c r="B95" s="1522" t="s">
        <v>98</v>
      </c>
      <c r="C95" s="1523"/>
      <c r="D95" s="1524" t="s">
        <v>4567</v>
      </c>
      <c r="E95" s="1525" t="s">
        <v>4568</v>
      </c>
      <c r="F95" s="1526" t="s">
        <v>4569</v>
      </c>
      <c r="G95" s="1527" t="s">
        <v>4570</v>
      </c>
      <c r="H95" s="1528" t="s">
        <v>4571</v>
      </c>
      <c r="I95" s="1527" t="s">
        <v>4572</v>
      </c>
      <c r="J95" s="1528" t="s">
        <v>4573</v>
      </c>
      <c r="K95" s="1527" t="s">
        <v>4574</v>
      </c>
      <c r="L95" s="1528" t="s">
        <v>4575</v>
      </c>
      <c r="M95" s="1527" t="s">
        <v>4576</v>
      </c>
      <c r="N95" s="1528" t="s">
        <v>4577</v>
      </c>
      <c r="O95" s="1527" t="s">
        <v>4578</v>
      </c>
      <c r="P95" s="1528" t="s">
        <v>4579</v>
      </c>
      <c r="Q95" s="1527" t="s">
        <v>4580</v>
      </c>
      <c r="R95" s="1528" t="s">
        <v>4581</v>
      </c>
      <c r="S95" s="1527" t="s">
        <v>4582</v>
      </c>
      <c r="T95" s="1528" t="s">
        <v>4583</v>
      </c>
      <c r="U95" s="1527" t="s">
        <v>4584</v>
      </c>
      <c r="V95" s="1528" t="s">
        <v>4585</v>
      </c>
      <c r="W95" s="1527" t="s">
        <v>4586</v>
      </c>
      <c r="X95" s="1528" t="s">
        <v>4587</v>
      </c>
      <c r="Y95" s="1527" t="s">
        <v>4588</v>
      </c>
      <c r="Z95" s="1528" t="s">
        <v>4589</v>
      </c>
      <c r="AA95" s="1527" t="s">
        <v>4590</v>
      </c>
      <c r="AB95" s="1528" t="s">
        <v>4591</v>
      </c>
      <c r="AC95" s="1527" t="s">
        <v>4592</v>
      </c>
      <c r="AD95" s="1528" t="s">
        <v>4593</v>
      </c>
      <c r="AE95" s="1527" t="s">
        <v>4594</v>
      </c>
      <c r="AF95" s="1528" t="s">
        <v>4595</v>
      </c>
      <c r="AG95" s="1527" t="s">
        <v>4596</v>
      </c>
      <c r="AH95" s="1528" t="s">
        <v>4597</v>
      </c>
      <c r="AI95" s="1527" t="s">
        <v>4598</v>
      </c>
      <c r="AJ95" s="1528" t="s">
        <v>4599</v>
      </c>
      <c r="AK95" s="1527" t="s">
        <v>4600</v>
      </c>
      <c r="AL95" s="1528" t="s">
        <v>4601</v>
      </c>
      <c r="AM95" s="1527" t="s">
        <v>4602</v>
      </c>
      <c r="AN95" s="1529" t="s">
        <v>4603</v>
      </c>
      <c r="AO95" s="1530" t="s">
        <v>4604</v>
      </c>
      <c r="AP95" s="1531" t="s">
        <v>4605</v>
      </c>
      <c r="AQ95" s="1530" t="s">
        <v>4606</v>
      </c>
      <c r="AR95" s="1532" t="s">
        <v>4934</v>
      </c>
      <c r="AS95" s="1533" t="s">
        <v>4935</v>
      </c>
      <c r="AT95" s="1533" t="s">
        <v>4936</v>
      </c>
      <c r="AU95" s="1533" t="s">
        <v>4937</v>
      </c>
      <c r="AV95" s="1534" t="s">
        <v>5234</v>
      </c>
      <c r="AW95" s="161" t="str">
        <f>CB95&amp;CC95&amp;CD95&amp;CE95&amp;CF95&amp;CG95</f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5" s="162" t="str">
        <f>IF(AND(AQ95="",D95&gt;0)," * No olvide digitar la columna Beneficiarios. Digite cero si no tiene.",IF(AQ95&gt;D95," * La variable Beneficiarios no puede ser mayor al Total.",""))</f>
        <v xml:space="preserve"> * La variable Beneficiarios no puede ser mayor al Total.</v>
      </c>
      <c r="CC95" s="162" t="str">
        <f>IF(AR95&gt;D95," * El Total Controles no puede ser mayor que el Total Ambos Sexos.","")</f>
        <v xml:space="preserve"> * El Total Controles no puede ser mayor que el Total Ambos Sexos.</v>
      </c>
      <c r="CD95" s="162" t="str">
        <f>IF(AND(D95&gt;0,AS95="")," * No olvide digitar la variable Pueblos originarios. Digite cero si no tiene.",IF(AS95&gt;D95," * La variable Pueblos originarios no puede ser mayor al Total.",""))</f>
        <v xml:space="preserve"> * La variable Pueblos originarios no puede ser mayor al Total.</v>
      </c>
      <c r="CE95" s="162" t="str">
        <f>IF(AND(D95&gt;0,AT95="")," * No olvide digitar la variable Migrantes. Digite cero si no tiene.",IF(AT95&gt;D95," * La variable Migrantes no puede ser mayor al Total.",""))</f>
        <v xml:space="preserve"> * La variable Migrantes no puede ser mayor al Total.</v>
      </c>
      <c r="CF95" s="162" t="str">
        <f>IF(AU95&gt;D95," * El Total Atención Remota consulta abreviada PNM no puede ser mayor que el Total Ambos Sexos.","")</f>
        <v xml:space="preserve"> * El Total Atención Remota consulta abreviada PNM no puede ser mayor que el Total Ambos Sexos.</v>
      </c>
      <c r="CG95" s="162" t="str">
        <f>IF(AV95&gt;D95," * El Total Consultorías resueltas vía remota no puede ser mayor que el Total Ambos Sexos.","")</f>
        <v xml:space="preserve"> * El Total Consultorías resueltas vía remota no puede ser mayor que el Total Ambos Sexos.</v>
      </c>
      <c r="CJ95" s="164"/>
      <c r="CL95" s="163">
        <f t="shared" ref="CL95:CL103" si="25">IF(AND(AQ95="",D95&gt;0),1,IF(AQ95&gt;D95,1,0))</f>
        <v>1</v>
      </c>
      <c r="CM95" s="163">
        <f>IF(AR95&gt;D95,1,0)</f>
        <v>1</v>
      </c>
      <c r="CN95" s="163">
        <f t="shared" ref="CN95:CN103" si="26">IF(AND(D95&gt;0,AS95=""),1,IF(AS95&gt;D95,1,0))</f>
        <v>1</v>
      </c>
      <c r="CO95" s="163">
        <f>IF(AND($D95&gt;0,AT95=""),1,IF(AT95&gt;$D95,1,0))</f>
        <v>1</v>
      </c>
      <c r="CP95" s="163">
        <f t="shared" ref="CP95:CQ103" si="27">IF(AND($D95&gt;0,AU95=""),1,IF(AU95&gt;$D95,1,0))</f>
        <v>1</v>
      </c>
      <c r="CQ95" s="163">
        <f>IF(AND($D95&gt;0,AV95=""),1,IF(AV95&gt;$D95,1,0))</f>
        <v>1</v>
      </c>
    </row>
    <row r="96" spans="1:96" s="161" customFormat="1" ht="15" customHeight="1" x14ac:dyDescent="0.15">
      <c r="A96" s="5609">
        <v>32100480</v>
      </c>
      <c r="B96" s="1535" t="s">
        <v>2745</v>
      </c>
      <c r="C96" s="1418" t="s">
        <v>1303</v>
      </c>
      <c r="D96" s="307" t="s">
        <v>4567</v>
      </c>
      <c r="E96" s="1536" t="s">
        <v>4568</v>
      </c>
      <c r="F96" s="1526" t="s">
        <v>4569</v>
      </c>
      <c r="G96" s="1537" t="s">
        <v>4570</v>
      </c>
      <c r="H96" s="1538" t="s">
        <v>4571</v>
      </c>
      <c r="I96" s="1537" t="s">
        <v>4572</v>
      </c>
      <c r="J96" s="1538" t="s">
        <v>4573</v>
      </c>
      <c r="K96" s="1537" t="s">
        <v>4574</v>
      </c>
      <c r="L96" s="1473" t="s">
        <v>4575</v>
      </c>
      <c r="M96" s="1537" t="s">
        <v>4576</v>
      </c>
      <c r="N96" s="1473" t="s">
        <v>4577</v>
      </c>
      <c r="O96" s="1537" t="s">
        <v>4578</v>
      </c>
      <c r="P96" s="1473" t="s">
        <v>4579</v>
      </c>
      <c r="Q96" s="1537" t="s">
        <v>4580</v>
      </c>
      <c r="R96" s="1473" t="s">
        <v>4581</v>
      </c>
      <c r="S96" s="1537" t="s">
        <v>4582</v>
      </c>
      <c r="T96" s="1473" t="s">
        <v>4583</v>
      </c>
      <c r="U96" s="1537" t="s">
        <v>4584</v>
      </c>
      <c r="V96" s="1473" t="s">
        <v>4585</v>
      </c>
      <c r="W96" s="1537" t="s">
        <v>4586</v>
      </c>
      <c r="X96" s="1473" t="s">
        <v>4587</v>
      </c>
      <c r="Y96" s="1537" t="s">
        <v>4588</v>
      </c>
      <c r="Z96" s="1473" t="s">
        <v>4589</v>
      </c>
      <c r="AA96" s="1537" t="s">
        <v>4590</v>
      </c>
      <c r="AB96" s="1473" t="s">
        <v>4591</v>
      </c>
      <c r="AC96" s="1537" t="s">
        <v>4592</v>
      </c>
      <c r="AD96" s="1470" t="s">
        <v>4593</v>
      </c>
      <c r="AE96" s="1537" t="s">
        <v>4594</v>
      </c>
      <c r="AF96" s="1473" t="s">
        <v>4595</v>
      </c>
      <c r="AG96" s="1537" t="s">
        <v>4596</v>
      </c>
      <c r="AH96" s="1473" t="s">
        <v>4597</v>
      </c>
      <c r="AI96" s="1537" t="s">
        <v>4598</v>
      </c>
      <c r="AJ96" s="1473" t="s">
        <v>4599</v>
      </c>
      <c r="AK96" s="1537" t="s">
        <v>4600</v>
      </c>
      <c r="AL96" s="1473" t="s">
        <v>4601</v>
      </c>
      <c r="AM96" s="1537" t="s">
        <v>4602</v>
      </c>
      <c r="AN96" s="1500" t="s">
        <v>4603</v>
      </c>
      <c r="AO96" s="408" t="s">
        <v>4604</v>
      </c>
      <c r="AP96" s="1503" t="s">
        <v>4605</v>
      </c>
      <c r="AQ96" s="408" t="s">
        <v>4606</v>
      </c>
      <c r="AR96" s="235" t="s">
        <v>4934</v>
      </c>
      <c r="AS96" s="1502" t="s">
        <v>4935</v>
      </c>
      <c r="AT96" s="1502" t="s">
        <v>4936</v>
      </c>
      <c r="AU96" s="1502" t="s">
        <v>4937</v>
      </c>
      <c r="AV96" s="219" t="s">
        <v>5234</v>
      </c>
      <c r="AW96" s="161" t="str">
        <f t="shared" ref="AW96:AW103" si="28">CB96&amp;CC96&amp;CD96&amp;CE96&amp;CF96&amp;CG96</f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6" s="162" t="str">
        <f t="shared" ref="CB96:CB103" si="29">IF(AND(AQ96="",D96&gt;0)," * No olvide digitar la columna Beneficiarios. Digite cero si no tiene.",IF(AQ96&gt;D96," * La variable Beneficiarios no puede ser mayor al Total.",""))</f>
        <v xml:space="preserve"> * La variable Beneficiarios no puede ser mayor al Total.</v>
      </c>
      <c r="CC96" s="162" t="str">
        <f t="shared" ref="CC96:CC103" si="30">IF(AR96&gt;D96," * El Total Controles no puede ser mayor que el Total Ambos Sexos.","")</f>
        <v xml:space="preserve"> * El Total Controles no puede ser mayor que el Total Ambos Sexos.</v>
      </c>
      <c r="CD96" s="162" t="str">
        <f t="shared" ref="CD96:CD103" si="31">IF(AND(D96&gt;0,AS96="")," * No olvide digitar la variable Pueblos originarios. Digite cero si no tiene.",IF(AS96&gt;D96," * La variable Pueblos originarios no puede ser mayor al Total.",""))</f>
        <v xml:space="preserve"> * La variable Pueblos originarios no puede ser mayor al Total.</v>
      </c>
      <c r="CE96" s="162" t="str">
        <f t="shared" ref="CE96:CE103" si="32">IF(AND(D96&gt;0,AT96="")," * No olvide digitar la variable Migrantes. Digite cero si no tiene.",IF(AT96&gt;D96," * La variable Migrantes no puede ser mayor al Total.",""))</f>
        <v xml:space="preserve"> * La variable Migrantes no puede ser mayor al Total.</v>
      </c>
      <c r="CF96" s="162" t="str">
        <f t="shared" ref="CF96:CF103" si="33">IF(AU96&gt;D96," * El Total Atención Remota consulta abreviada PNM no puede ser mayor que el Total Ambos Sexos.","")</f>
        <v xml:space="preserve"> * El Total Atención Remota consulta abreviada PNM no puede ser mayor que el Total Ambos Sexos.</v>
      </c>
      <c r="CG96" s="162" t="str">
        <f t="shared" ref="CG96:CG103" si="34">IF(AV96&gt;D96," * El Total Consultorías resueltas vía remota no puede ser mayor que el Total Ambos Sexos.","")</f>
        <v xml:space="preserve"> * El Total Consultorías resueltas vía remota no puede ser mayor que el Total Ambos Sexos.</v>
      </c>
      <c r="CJ96" s="164"/>
      <c r="CL96" s="163">
        <f t="shared" si="25"/>
        <v>1</v>
      </c>
      <c r="CM96" s="163">
        <f t="shared" ref="CM96:CM103" si="35">IF(AR96&gt;D96,1,0)</f>
        <v>1</v>
      </c>
      <c r="CN96" s="163">
        <f t="shared" si="26"/>
        <v>1</v>
      </c>
      <c r="CO96" s="163">
        <f t="shared" ref="CO96:CO103" si="36">IF(AND(D96&gt;0,AT96=""),1,IF(AT96&gt;D96,1,0))</f>
        <v>1</v>
      </c>
      <c r="CP96" s="163">
        <f t="shared" si="27"/>
        <v>1</v>
      </c>
      <c r="CQ96" s="163">
        <f t="shared" si="27"/>
        <v>1</v>
      </c>
    </row>
    <row r="97" spans="1:97" s="161" customFormat="1" ht="15" customHeight="1" x14ac:dyDescent="0.15">
      <c r="A97" s="5609">
        <v>32100490</v>
      </c>
      <c r="B97" s="170"/>
      <c r="C97" s="949" t="s">
        <v>4009</v>
      </c>
      <c r="D97" s="950" t="s">
        <v>4567</v>
      </c>
      <c r="E97" s="938" t="s">
        <v>4568</v>
      </c>
      <c r="F97" s="939" t="s">
        <v>4569</v>
      </c>
      <c r="G97" s="1466" t="s">
        <v>4570</v>
      </c>
      <c r="H97" s="1478" t="s">
        <v>4571</v>
      </c>
      <c r="I97" s="1466" t="s">
        <v>4572</v>
      </c>
      <c r="J97" s="1478" t="s">
        <v>4573</v>
      </c>
      <c r="K97" s="1466" t="s">
        <v>4574</v>
      </c>
      <c r="L97" s="1478" t="s">
        <v>4575</v>
      </c>
      <c r="M97" s="1466" t="s">
        <v>4576</v>
      </c>
      <c r="N97" s="1478" t="s">
        <v>4577</v>
      </c>
      <c r="O97" s="1466" t="s">
        <v>4578</v>
      </c>
      <c r="P97" s="1478" t="s">
        <v>4579</v>
      </c>
      <c r="Q97" s="1466" t="s">
        <v>4580</v>
      </c>
      <c r="R97" s="1475" t="s">
        <v>4581</v>
      </c>
      <c r="S97" s="1466" t="s">
        <v>4582</v>
      </c>
      <c r="T97" s="1475" t="s">
        <v>4583</v>
      </c>
      <c r="U97" s="1466" t="s">
        <v>4584</v>
      </c>
      <c r="V97" s="1475" t="s">
        <v>4585</v>
      </c>
      <c r="W97" s="1466" t="s">
        <v>4586</v>
      </c>
      <c r="X97" s="1475" t="s">
        <v>4587</v>
      </c>
      <c r="Y97" s="1466" t="s">
        <v>4588</v>
      </c>
      <c r="Z97" s="1475" t="s">
        <v>4589</v>
      </c>
      <c r="AA97" s="1466" t="s">
        <v>4590</v>
      </c>
      <c r="AB97" s="1475" t="s">
        <v>4591</v>
      </c>
      <c r="AC97" s="1466" t="s">
        <v>4592</v>
      </c>
      <c r="AD97" s="1475" t="s">
        <v>4593</v>
      </c>
      <c r="AE97" s="1466" t="s">
        <v>4594</v>
      </c>
      <c r="AF97" s="1475" t="s">
        <v>4595</v>
      </c>
      <c r="AG97" s="1466" t="s">
        <v>4596</v>
      </c>
      <c r="AH97" s="1475" t="s">
        <v>4597</v>
      </c>
      <c r="AI97" s="1466" t="s">
        <v>4598</v>
      </c>
      <c r="AJ97" s="1475" t="s">
        <v>4599</v>
      </c>
      <c r="AK97" s="1466" t="s">
        <v>4600</v>
      </c>
      <c r="AL97" s="1475" t="s">
        <v>4601</v>
      </c>
      <c r="AM97" s="1539" t="s">
        <v>4602</v>
      </c>
      <c r="AN97" s="1509" t="s">
        <v>4603</v>
      </c>
      <c r="AO97" s="1540" t="s">
        <v>4604</v>
      </c>
      <c r="AP97" s="1509" t="s">
        <v>4605</v>
      </c>
      <c r="AQ97" s="1540" t="s">
        <v>4606</v>
      </c>
      <c r="AR97" s="1474" t="s">
        <v>4934</v>
      </c>
      <c r="AS97" s="1467" t="s">
        <v>4935</v>
      </c>
      <c r="AT97" s="1467" t="s">
        <v>4936</v>
      </c>
      <c r="AU97" s="1467" t="s">
        <v>4937</v>
      </c>
      <c r="AV97" s="1478" t="s">
        <v>5234</v>
      </c>
      <c r="AW97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7" s="162" t="str">
        <f t="shared" si="29"/>
        <v xml:space="preserve"> * La variable Beneficiarios no puede ser mayor al Total.</v>
      </c>
      <c r="CC97" s="162" t="str">
        <f t="shared" si="30"/>
        <v xml:space="preserve"> * El Total Controles no puede ser mayor que el Total Ambos Sexos.</v>
      </c>
      <c r="CD97" s="162" t="str">
        <f t="shared" si="31"/>
        <v xml:space="preserve"> * La variable Pueblos originarios no puede ser mayor al Total.</v>
      </c>
      <c r="CE97" s="162" t="str">
        <f t="shared" si="32"/>
        <v xml:space="preserve"> * La variable Migrantes no puede ser mayor al Total.</v>
      </c>
      <c r="CF97" s="162" t="str">
        <f t="shared" si="33"/>
        <v xml:space="preserve"> * El Total Atención Remota consulta abreviada PNM no puede ser mayor que el Total Ambos Sexos.</v>
      </c>
      <c r="CG97" s="162" t="str">
        <f t="shared" si="34"/>
        <v xml:space="preserve"> * El Total Consultorías resueltas vía remota no puede ser mayor que el Total Ambos Sexos.</v>
      </c>
      <c r="CJ97" s="164"/>
      <c r="CL97" s="163">
        <f t="shared" si="25"/>
        <v>1</v>
      </c>
      <c r="CM97" s="163">
        <f t="shared" si="35"/>
        <v>1</v>
      </c>
      <c r="CN97" s="163">
        <f t="shared" si="26"/>
        <v>1</v>
      </c>
      <c r="CO97" s="163">
        <f t="shared" si="36"/>
        <v>1</v>
      </c>
      <c r="CP97" s="163">
        <f t="shared" si="27"/>
        <v>1</v>
      </c>
      <c r="CQ97" s="163">
        <f t="shared" si="27"/>
        <v>1</v>
      </c>
    </row>
    <row r="98" spans="1:97" s="161" customFormat="1" ht="15" customHeight="1" x14ac:dyDescent="0.15">
      <c r="A98" s="5609">
        <v>32100500</v>
      </c>
      <c r="B98" s="1368"/>
      <c r="C98" s="1422" t="s">
        <v>1286</v>
      </c>
      <c r="D98" s="970" t="s">
        <v>4567</v>
      </c>
      <c r="E98" s="1541" t="s">
        <v>4568</v>
      </c>
      <c r="F98" s="972" t="s">
        <v>4569</v>
      </c>
      <c r="G98" s="1542" t="s">
        <v>4570</v>
      </c>
      <c r="H98" s="409" t="s">
        <v>4571</v>
      </c>
      <c r="I98" s="1542" t="s">
        <v>4572</v>
      </c>
      <c r="J98" s="409" t="s">
        <v>4573</v>
      </c>
      <c r="K98" s="1542" t="s">
        <v>4574</v>
      </c>
      <c r="L98" s="409" t="s">
        <v>4575</v>
      </c>
      <c r="M98" s="1542" t="s">
        <v>4576</v>
      </c>
      <c r="N98" s="409" t="s">
        <v>4577</v>
      </c>
      <c r="O98" s="1510" t="s">
        <v>4578</v>
      </c>
      <c r="P98" s="1512" t="s">
        <v>4579</v>
      </c>
      <c r="Q98" s="1510" t="s">
        <v>4580</v>
      </c>
      <c r="R98" s="1512" t="s">
        <v>4581</v>
      </c>
      <c r="S98" s="1510" t="s">
        <v>4582</v>
      </c>
      <c r="T98" s="1512" t="s">
        <v>4583</v>
      </c>
      <c r="U98" s="1510" t="s">
        <v>4584</v>
      </c>
      <c r="V98" s="1512" t="s">
        <v>4585</v>
      </c>
      <c r="W98" s="1510" t="s">
        <v>4586</v>
      </c>
      <c r="X98" s="1512" t="s">
        <v>4587</v>
      </c>
      <c r="Y98" s="1510" t="s">
        <v>4588</v>
      </c>
      <c r="Z98" s="1512" t="s">
        <v>4589</v>
      </c>
      <c r="AA98" s="1510" t="s">
        <v>4590</v>
      </c>
      <c r="AB98" s="410" t="s">
        <v>4591</v>
      </c>
      <c r="AC98" s="1510" t="s">
        <v>4592</v>
      </c>
      <c r="AD98" s="1512" t="s">
        <v>4593</v>
      </c>
      <c r="AE98" s="1542" t="s">
        <v>4594</v>
      </c>
      <c r="AF98" s="409" t="s">
        <v>4595</v>
      </c>
      <c r="AG98" s="1542" t="s">
        <v>4596</v>
      </c>
      <c r="AH98" s="409" t="s">
        <v>4597</v>
      </c>
      <c r="AI98" s="1542" t="s">
        <v>4598</v>
      </c>
      <c r="AJ98" s="409" t="s">
        <v>4599</v>
      </c>
      <c r="AK98" s="1542" t="s">
        <v>4600</v>
      </c>
      <c r="AL98" s="409" t="s">
        <v>4601</v>
      </c>
      <c r="AM98" s="1542" t="s">
        <v>4602</v>
      </c>
      <c r="AN98" s="411" t="s">
        <v>4603</v>
      </c>
      <c r="AO98" s="1543" t="s">
        <v>4604</v>
      </c>
      <c r="AP98" s="1544" t="s">
        <v>4605</v>
      </c>
      <c r="AQ98" s="1543" t="s">
        <v>4606</v>
      </c>
      <c r="AR98" s="1545" t="s">
        <v>4934</v>
      </c>
      <c r="AS98" s="1511" t="s">
        <v>4935</v>
      </c>
      <c r="AT98" s="1511" t="s">
        <v>4936</v>
      </c>
      <c r="AU98" s="1511" t="s">
        <v>4937</v>
      </c>
      <c r="AV98" s="410" t="s">
        <v>5234</v>
      </c>
      <c r="AW98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8" s="162" t="str">
        <f t="shared" si="29"/>
        <v xml:space="preserve"> * La variable Beneficiarios no puede ser mayor al Total.</v>
      </c>
      <c r="CC98" s="162" t="str">
        <f t="shared" si="30"/>
        <v xml:space="preserve"> * El Total Controles no puede ser mayor que el Total Ambos Sexos.</v>
      </c>
      <c r="CD98" s="162" t="str">
        <f t="shared" si="31"/>
        <v xml:space="preserve"> * La variable Pueblos originarios no puede ser mayor al Total.</v>
      </c>
      <c r="CE98" s="162" t="str">
        <f t="shared" si="32"/>
        <v xml:space="preserve"> * La variable Migrantes no puede ser mayor al Total.</v>
      </c>
      <c r="CF98" s="162" t="str">
        <f t="shared" si="33"/>
        <v xml:space="preserve"> * El Total Atención Remota consulta abreviada PNM no puede ser mayor que el Total Ambos Sexos.</v>
      </c>
      <c r="CG98" s="162" t="str">
        <f t="shared" si="34"/>
        <v xml:space="preserve"> * El Total Consultorías resueltas vía remota no puede ser mayor que el Total Ambos Sexos.</v>
      </c>
      <c r="CJ98" s="164"/>
      <c r="CL98" s="163">
        <f t="shared" si="25"/>
        <v>1</v>
      </c>
      <c r="CM98" s="163">
        <f t="shared" si="35"/>
        <v>1</v>
      </c>
      <c r="CN98" s="163">
        <f t="shared" si="26"/>
        <v>1</v>
      </c>
      <c r="CO98" s="163">
        <f t="shared" si="36"/>
        <v>1</v>
      </c>
      <c r="CP98" s="163">
        <f t="shared" si="27"/>
        <v>1</v>
      </c>
      <c r="CQ98" s="163">
        <f t="shared" si="27"/>
        <v>1</v>
      </c>
    </row>
    <row r="99" spans="1:97" s="161" customFormat="1" ht="15" customHeight="1" x14ac:dyDescent="0.15">
      <c r="A99" s="5609">
        <v>32100510</v>
      </c>
      <c r="B99" s="253" t="s">
        <v>105</v>
      </c>
      <c r="C99" s="220"/>
      <c r="D99" s="335" t="s">
        <v>4567</v>
      </c>
      <c r="E99" s="171" t="s">
        <v>4568</v>
      </c>
      <c r="F99" s="204" t="s">
        <v>4569</v>
      </c>
      <c r="G99" s="406" t="s">
        <v>4570</v>
      </c>
      <c r="H99" s="219" t="s">
        <v>4571</v>
      </c>
      <c r="I99" s="406" t="s">
        <v>4572</v>
      </c>
      <c r="J99" s="219" t="s">
        <v>4573</v>
      </c>
      <c r="K99" s="406" t="s">
        <v>4574</v>
      </c>
      <c r="L99" s="1501" t="s">
        <v>4575</v>
      </c>
      <c r="M99" s="406" t="s">
        <v>4576</v>
      </c>
      <c r="N99" s="1501" t="s">
        <v>4577</v>
      </c>
      <c r="O99" s="406" t="s">
        <v>4578</v>
      </c>
      <c r="P99" s="1501" t="s">
        <v>4579</v>
      </c>
      <c r="Q99" s="406" t="s">
        <v>4580</v>
      </c>
      <c r="R99" s="1501" t="s">
        <v>4581</v>
      </c>
      <c r="S99" s="406" t="s">
        <v>4582</v>
      </c>
      <c r="T99" s="1501" t="s">
        <v>4583</v>
      </c>
      <c r="U99" s="406" t="s">
        <v>4584</v>
      </c>
      <c r="V99" s="1501" t="s">
        <v>4585</v>
      </c>
      <c r="W99" s="406" t="s">
        <v>4586</v>
      </c>
      <c r="X99" s="1501" t="s">
        <v>4587</v>
      </c>
      <c r="Y99" s="406" t="s">
        <v>4588</v>
      </c>
      <c r="Z99" s="1501" t="s">
        <v>4589</v>
      </c>
      <c r="AA99" s="406" t="s">
        <v>4590</v>
      </c>
      <c r="AB99" s="1501" t="s">
        <v>4591</v>
      </c>
      <c r="AC99" s="406" t="s">
        <v>4592</v>
      </c>
      <c r="AD99" s="1501" t="s">
        <v>4593</v>
      </c>
      <c r="AE99" s="406" t="s">
        <v>4594</v>
      </c>
      <c r="AF99" s="1501" t="s">
        <v>4595</v>
      </c>
      <c r="AG99" s="406" t="s">
        <v>4596</v>
      </c>
      <c r="AH99" s="1501" t="s">
        <v>4597</v>
      </c>
      <c r="AI99" s="406" t="s">
        <v>4598</v>
      </c>
      <c r="AJ99" s="219" t="s">
        <v>4599</v>
      </c>
      <c r="AK99" s="406" t="s">
        <v>4600</v>
      </c>
      <c r="AL99" s="219" t="s">
        <v>4601</v>
      </c>
      <c r="AM99" s="269" t="s">
        <v>4602</v>
      </c>
      <c r="AN99" s="1503" t="s">
        <v>4603</v>
      </c>
      <c r="AO99" s="408" t="s">
        <v>4604</v>
      </c>
      <c r="AP99" s="1503" t="s">
        <v>4605</v>
      </c>
      <c r="AQ99" s="408" t="s">
        <v>4606</v>
      </c>
      <c r="AR99" s="235" t="s">
        <v>4934</v>
      </c>
      <c r="AS99" s="1502" t="s">
        <v>4935</v>
      </c>
      <c r="AT99" s="1502" t="s">
        <v>4936</v>
      </c>
      <c r="AU99" s="1502" t="s">
        <v>4937</v>
      </c>
      <c r="AV99" s="219" t="s">
        <v>5234</v>
      </c>
      <c r="AW99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9" s="162" t="str">
        <f t="shared" si="29"/>
        <v xml:space="preserve"> * La variable Beneficiarios no puede ser mayor al Total.</v>
      </c>
      <c r="CC99" s="162" t="str">
        <f t="shared" si="30"/>
        <v xml:space="preserve"> * El Total Controles no puede ser mayor que el Total Ambos Sexos.</v>
      </c>
      <c r="CD99" s="162" t="str">
        <f t="shared" si="31"/>
        <v xml:space="preserve"> * La variable Pueblos originarios no puede ser mayor al Total.</v>
      </c>
      <c r="CE99" s="162" t="str">
        <f t="shared" si="32"/>
        <v xml:space="preserve"> * La variable Migrantes no puede ser mayor al Total.</v>
      </c>
      <c r="CF99" s="162" t="str">
        <f t="shared" si="33"/>
        <v xml:space="preserve"> * El Total Atención Remota consulta abreviada PNM no puede ser mayor que el Total Ambos Sexos.</v>
      </c>
      <c r="CG99" s="162" t="str">
        <f t="shared" si="34"/>
        <v xml:space="preserve"> * El Total Consultorías resueltas vía remota no puede ser mayor que el Total Ambos Sexos.</v>
      </c>
      <c r="CJ99" s="164"/>
      <c r="CL99" s="163">
        <f t="shared" si="25"/>
        <v>1</v>
      </c>
      <c r="CM99" s="163">
        <f t="shared" si="35"/>
        <v>1</v>
      </c>
      <c r="CN99" s="163">
        <f t="shared" si="26"/>
        <v>1</v>
      </c>
      <c r="CO99" s="163">
        <f t="shared" si="36"/>
        <v>1</v>
      </c>
      <c r="CP99" s="163">
        <f t="shared" si="27"/>
        <v>1</v>
      </c>
      <c r="CQ99" s="163">
        <f t="shared" si="27"/>
        <v>1</v>
      </c>
    </row>
    <row r="100" spans="1:97" s="161" customFormat="1" ht="15" customHeight="1" x14ac:dyDescent="0.15">
      <c r="A100" s="5609">
        <v>32100520</v>
      </c>
      <c r="B100" s="936" t="s">
        <v>1307</v>
      </c>
      <c r="C100" s="1546"/>
      <c r="D100" s="937" t="s">
        <v>4567</v>
      </c>
      <c r="E100" s="938" t="s">
        <v>4568</v>
      </c>
      <c r="F100" s="939" t="s">
        <v>4569</v>
      </c>
      <c r="G100" s="1466" t="s">
        <v>4570</v>
      </c>
      <c r="H100" s="1478" t="s">
        <v>4571</v>
      </c>
      <c r="I100" s="1466" t="s">
        <v>4572</v>
      </c>
      <c r="J100" s="1478" t="s">
        <v>4573</v>
      </c>
      <c r="K100" s="1466" t="s">
        <v>4574</v>
      </c>
      <c r="L100" s="1475" t="s">
        <v>4575</v>
      </c>
      <c r="M100" s="1466" t="s">
        <v>4576</v>
      </c>
      <c r="N100" s="1475" t="s">
        <v>4577</v>
      </c>
      <c r="O100" s="1466" t="s">
        <v>4578</v>
      </c>
      <c r="P100" s="1475" t="s">
        <v>4579</v>
      </c>
      <c r="Q100" s="1466" t="s">
        <v>4580</v>
      </c>
      <c r="R100" s="1475" t="s">
        <v>4581</v>
      </c>
      <c r="S100" s="1466" t="s">
        <v>4582</v>
      </c>
      <c r="T100" s="1475" t="s">
        <v>4583</v>
      </c>
      <c r="U100" s="1466" t="s">
        <v>4584</v>
      </c>
      <c r="V100" s="1475" t="s">
        <v>4585</v>
      </c>
      <c r="W100" s="1466" t="s">
        <v>4586</v>
      </c>
      <c r="X100" s="1475" t="s">
        <v>4587</v>
      </c>
      <c r="Y100" s="1466" t="s">
        <v>4588</v>
      </c>
      <c r="Z100" s="1475" t="s">
        <v>4589</v>
      </c>
      <c r="AA100" s="1466" t="s">
        <v>4590</v>
      </c>
      <c r="AB100" s="1475" t="s">
        <v>4591</v>
      </c>
      <c r="AC100" s="1466" t="s">
        <v>4592</v>
      </c>
      <c r="AD100" s="1478" t="s">
        <v>4593</v>
      </c>
      <c r="AE100" s="1466" t="s">
        <v>4594</v>
      </c>
      <c r="AF100" s="1478" t="s">
        <v>4595</v>
      </c>
      <c r="AG100" s="1466" t="s">
        <v>4596</v>
      </c>
      <c r="AH100" s="1478" t="s">
        <v>4597</v>
      </c>
      <c r="AI100" s="1466" t="s">
        <v>4598</v>
      </c>
      <c r="AJ100" s="1478" t="s">
        <v>4599</v>
      </c>
      <c r="AK100" s="1466" t="s">
        <v>4600</v>
      </c>
      <c r="AL100" s="1478" t="s">
        <v>4601</v>
      </c>
      <c r="AM100" s="1539" t="s">
        <v>4602</v>
      </c>
      <c r="AN100" s="1509" t="s">
        <v>4603</v>
      </c>
      <c r="AO100" s="1540" t="s">
        <v>4604</v>
      </c>
      <c r="AP100" s="1509" t="s">
        <v>4605</v>
      </c>
      <c r="AQ100" s="1540" t="s">
        <v>4606</v>
      </c>
      <c r="AR100" s="1474" t="s">
        <v>4934</v>
      </c>
      <c r="AS100" s="1467" t="s">
        <v>4935</v>
      </c>
      <c r="AT100" s="1467" t="s">
        <v>4936</v>
      </c>
      <c r="AU100" s="1467" t="s">
        <v>4937</v>
      </c>
      <c r="AV100" s="1478" t="s">
        <v>5234</v>
      </c>
      <c r="AW100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100" s="162" t="str">
        <f t="shared" si="29"/>
        <v xml:space="preserve"> * La variable Beneficiarios no puede ser mayor al Total.</v>
      </c>
      <c r="CC100" s="162" t="str">
        <f t="shared" si="30"/>
        <v xml:space="preserve"> * El Total Controles no puede ser mayor que el Total Ambos Sexos.</v>
      </c>
      <c r="CD100" s="162" t="str">
        <f t="shared" si="31"/>
        <v xml:space="preserve"> * La variable Pueblos originarios no puede ser mayor al Total.</v>
      </c>
      <c r="CE100" s="162" t="str">
        <f t="shared" si="32"/>
        <v xml:space="preserve"> * La variable Migrantes no puede ser mayor al Total.</v>
      </c>
      <c r="CF100" s="162" t="str">
        <f t="shared" si="33"/>
        <v xml:space="preserve"> * El Total Atención Remota consulta abreviada PNM no puede ser mayor que el Total Ambos Sexos.</v>
      </c>
      <c r="CG100" s="162" t="str">
        <f t="shared" si="34"/>
        <v xml:space="preserve"> * El Total Consultorías resueltas vía remota no puede ser mayor que el Total Ambos Sexos.</v>
      </c>
      <c r="CJ100" s="164"/>
      <c r="CL100" s="163">
        <f t="shared" si="25"/>
        <v>1</v>
      </c>
      <c r="CM100" s="163">
        <f t="shared" si="35"/>
        <v>1</v>
      </c>
      <c r="CN100" s="163">
        <f t="shared" si="26"/>
        <v>1</v>
      </c>
      <c r="CO100" s="163">
        <f t="shared" si="36"/>
        <v>1</v>
      </c>
      <c r="CP100" s="163">
        <f t="shared" si="27"/>
        <v>1</v>
      </c>
      <c r="CQ100" s="163">
        <f t="shared" si="27"/>
        <v>1</v>
      </c>
    </row>
    <row r="101" spans="1:97" s="161" customFormat="1" ht="15" customHeight="1" x14ac:dyDescent="0.15">
      <c r="A101" s="5609">
        <v>32100530</v>
      </c>
      <c r="B101" s="1547" t="s">
        <v>504</v>
      </c>
      <c r="C101" s="1548"/>
      <c r="D101" s="1549" t="s">
        <v>4567</v>
      </c>
      <c r="E101" s="1550" t="s">
        <v>4568</v>
      </c>
      <c r="F101" s="939" t="s">
        <v>4569</v>
      </c>
      <c r="G101" s="1466" t="s">
        <v>4570</v>
      </c>
      <c r="H101" s="1478" t="s">
        <v>4571</v>
      </c>
      <c r="I101" s="1466" t="s">
        <v>4572</v>
      </c>
      <c r="J101" s="1478" t="s">
        <v>4573</v>
      </c>
      <c r="K101" s="1466" t="s">
        <v>4574</v>
      </c>
      <c r="L101" s="1475" t="s">
        <v>4575</v>
      </c>
      <c r="M101" s="1466" t="s">
        <v>4576</v>
      </c>
      <c r="N101" s="1475" t="s">
        <v>4577</v>
      </c>
      <c r="O101" s="1466" t="s">
        <v>4578</v>
      </c>
      <c r="P101" s="1475" t="s">
        <v>4579</v>
      </c>
      <c r="Q101" s="1466" t="s">
        <v>4580</v>
      </c>
      <c r="R101" s="1475" t="s">
        <v>4581</v>
      </c>
      <c r="S101" s="1466" t="s">
        <v>4582</v>
      </c>
      <c r="T101" s="1475" t="s">
        <v>4583</v>
      </c>
      <c r="U101" s="1466" t="s">
        <v>4584</v>
      </c>
      <c r="V101" s="1475" t="s">
        <v>4585</v>
      </c>
      <c r="W101" s="1466" t="s">
        <v>4586</v>
      </c>
      <c r="X101" s="1475" t="s">
        <v>4587</v>
      </c>
      <c r="Y101" s="1466" t="s">
        <v>4588</v>
      </c>
      <c r="Z101" s="1475" t="s">
        <v>4589</v>
      </c>
      <c r="AA101" s="1466" t="s">
        <v>4590</v>
      </c>
      <c r="AB101" s="1475" t="s">
        <v>4591</v>
      </c>
      <c r="AC101" s="1466" t="s">
        <v>4592</v>
      </c>
      <c r="AD101" s="1478" t="s">
        <v>4593</v>
      </c>
      <c r="AE101" s="1466" t="s">
        <v>4594</v>
      </c>
      <c r="AF101" s="1478" t="s">
        <v>4595</v>
      </c>
      <c r="AG101" s="1466" t="s">
        <v>4596</v>
      </c>
      <c r="AH101" s="1478" t="s">
        <v>4597</v>
      </c>
      <c r="AI101" s="1466" t="s">
        <v>4598</v>
      </c>
      <c r="AJ101" s="1478" t="s">
        <v>4599</v>
      </c>
      <c r="AK101" s="1466" t="s">
        <v>4600</v>
      </c>
      <c r="AL101" s="1478" t="s">
        <v>4601</v>
      </c>
      <c r="AM101" s="1539" t="s">
        <v>4602</v>
      </c>
      <c r="AN101" s="1509" t="s">
        <v>4603</v>
      </c>
      <c r="AO101" s="1540" t="s">
        <v>4604</v>
      </c>
      <c r="AP101" s="1509" t="s">
        <v>4605</v>
      </c>
      <c r="AQ101" s="1540" t="s">
        <v>4606</v>
      </c>
      <c r="AR101" s="1474" t="s">
        <v>4934</v>
      </c>
      <c r="AS101" s="1467" t="s">
        <v>4935</v>
      </c>
      <c r="AT101" s="1467" t="s">
        <v>4936</v>
      </c>
      <c r="AU101" s="1467" t="s">
        <v>4937</v>
      </c>
      <c r="AV101" s="1478" t="s">
        <v>5234</v>
      </c>
      <c r="AW101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101" s="162" t="str">
        <f t="shared" si="29"/>
        <v xml:space="preserve"> * La variable Beneficiarios no puede ser mayor al Total.</v>
      </c>
      <c r="CC101" s="162" t="str">
        <f t="shared" si="30"/>
        <v xml:space="preserve"> * El Total Controles no puede ser mayor que el Total Ambos Sexos.</v>
      </c>
      <c r="CD101" s="162" t="str">
        <f t="shared" si="31"/>
        <v xml:space="preserve"> * La variable Pueblos originarios no puede ser mayor al Total.</v>
      </c>
      <c r="CE101" s="162" t="str">
        <f t="shared" si="32"/>
        <v xml:space="preserve"> * La variable Migrantes no puede ser mayor al Total.</v>
      </c>
      <c r="CF101" s="162" t="str">
        <f t="shared" si="33"/>
        <v xml:space="preserve"> * El Total Atención Remota consulta abreviada PNM no puede ser mayor que el Total Ambos Sexos.</v>
      </c>
      <c r="CG101" s="162" t="str">
        <f t="shared" si="34"/>
        <v xml:space="preserve"> * El Total Consultorías resueltas vía remota no puede ser mayor que el Total Ambos Sexos.</v>
      </c>
      <c r="CJ101" s="164"/>
      <c r="CL101" s="163">
        <f t="shared" si="25"/>
        <v>1</v>
      </c>
      <c r="CM101" s="163">
        <f t="shared" si="35"/>
        <v>1</v>
      </c>
      <c r="CN101" s="163">
        <f t="shared" si="26"/>
        <v>1</v>
      </c>
      <c r="CO101" s="163">
        <f t="shared" si="36"/>
        <v>1</v>
      </c>
      <c r="CP101" s="163">
        <f t="shared" si="27"/>
        <v>1</v>
      </c>
      <c r="CQ101" s="163">
        <f t="shared" si="27"/>
        <v>1</v>
      </c>
    </row>
    <row r="102" spans="1:97" s="161" customFormat="1" ht="15" customHeight="1" x14ac:dyDescent="0.15">
      <c r="A102" s="5609">
        <v>32100540</v>
      </c>
      <c r="B102" s="936" t="s">
        <v>4010</v>
      </c>
      <c r="C102" s="1546"/>
      <c r="D102" s="937" t="s">
        <v>4567</v>
      </c>
      <c r="E102" s="938" t="s">
        <v>4568</v>
      </c>
      <c r="F102" s="939" t="s">
        <v>4569</v>
      </c>
      <c r="G102" s="1466" t="s">
        <v>4570</v>
      </c>
      <c r="H102" s="1478" t="s">
        <v>4571</v>
      </c>
      <c r="I102" s="1466" t="s">
        <v>4572</v>
      </c>
      <c r="J102" s="1478" t="s">
        <v>4573</v>
      </c>
      <c r="K102" s="1466" t="s">
        <v>4574</v>
      </c>
      <c r="L102" s="1475" t="s">
        <v>4575</v>
      </c>
      <c r="M102" s="1466" t="s">
        <v>4576</v>
      </c>
      <c r="N102" s="1475" t="s">
        <v>4577</v>
      </c>
      <c r="O102" s="1466" t="s">
        <v>4578</v>
      </c>
      <c r="P102" s="1475" t="s">
        <v>4579</v>
      </c>
      <c r="Q102" s="1466" t="s">
        <v>4580</v>
      </c>
      <c r="R102" s="1475" t="s">
        <v>4581</v>
      </c>
      <c r="S102" s="1466" t="s">
        <v>4582</v>
      </c>
      <c r="T102" s="1475" t="s">
        <v>4583</v>
      </c>
      <c r="U102" s="1466" t="s">
        <v>4584</v>
      </c>
      <c r="V102" s="1475" t="s">
        <v>4585</v>
      </c>
      <c r="W102" s="1466" t="s">
        <v>4586</v>
      </c>
      <c r="X102" s="1475" t="s">
        <v>4587</v>
      </c>
      <c r="Y102" s="1466" t="s">
        <v>4588</v>
      </c>
      <c r="Z102" s="1475" t="s">
        <v>4589</v>
      </c>
      <c r="AA102" s="1466" t="s">
        <v>4590</v>
      </c>
      <c r="AB102" s="1475" t="s">
        <v>4591</v>
      </c>
      <c r="AC102" s="1466" t="s">
        <v>4592</v>
      </c>
      <c r="AD102" s="1475" t="s">
        <v>4593</v>
      </c>
      <c r="AE102" s="1466" t="s">
        <v>4594</v>
      </c>
      <c r="AF102" s="1475" t="s">
        <v>4595</v>
      </c>
      <c r="AG102" s="1466" t="s">
        <v>4596</v>
      </c>
      <c r="AH102" s="1475" t="s">
        <v>4597</v>
      </c>
      <c r="AI102" s="1466" t="s">
        <v>4598</v>
      </c>
      <c r="AJ102" s="1478" t="s">
        <v>4599</v>
      </c>
      <c r="AK102" s="1466" t="s">
        <v>4600</v>
      </c>
      <c r="AL102" s="1478" t="s">
        <v>4601</v>
      </c>
      <c r="AM102" s="1539" t="s">
        <v>4602</v>
      </c>
      <c r="AN102" s="1509" t="s">
        <v>4603</v>
      </c>
      <c r="AO102" s="1540" t="s">
        <v>4604</v>
      </c>
      <c r="AP102" s="1509" t="s">
        <v>4605</v>
      </c>
      <c r="AQ102" s="1540" t="s">
        <v>4606</v>
      </c>
      <c r="AR102" s="1474" t="s">
        <v>4934</v>
      </c>
      <c r="AS102" s="1467" t="s">
        <v>4935</v>
      </c>
      <c r="AT102" s="1467" t="s">
        <v>4936</v>
      </c>
      <c r="AU102" s="1467" t="s">
        <v>4937</v>
      </c>
      <c r="AV102" s="1478" t="s">
        <v>5234</v>
      </c>
      <c r="AW102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102" s="162" t="str">
        <f t="shared" si="29"/>
        <v xml:space="preserve"> * La variable Beneficiarios no puede ser mayor al Total.</v>
      </c>
      <c r="CC102" s="162" t="str">
        <f t="shared" si="30"/>
        <v xml:space="preserve"> * El Total Controles no puede ser mayor que el Total Ambos Sexos.</v>
      </c>
      <c r="CD102" s="162" t="str">
        <f t="shared" si="31"/>
        <v xml:space="preserve"> * La variable Pueblos originarios no puede ser mayor al Total.</v>
      </c>
      <c r="CE102" s="162" t="str">
        <f t="shared" si="32"/>
        <v xml:space="preserve"> * La variable Migrantes no puede ser mayor al Total.</v>
      </c>
      <c r="CF102" s="162" t="str">
        <f t="shared" si="33"/>
        <v xml:space="preserve"> * El Total Atención Remota consulta abreviada PNM no puede ser mayor que el Total Ambos Sexos.</v>
      </c>
      <c r="CG102" s="162" t="str">
        <f t="shared" si="34"/>
        <v xml:space="preserve"> * El Total Consultorías resueltas vía remota no puede ser mayor que el Total Ambos Sexos.</v>
      </c>
      <c r="CJ102" s="164"/>
      <c r="CL102" s="163">
        <f t="shared" si="25"/>
        <v>1</v>
      </c>
      <c r="CM102" s="163">
        <f t="shared" si="35"/>
        <v>1</v>
      </c>
      <c r="CN102" s="163">
        <f t="shared" si="26"/>
        <v>1</v>
      </c>
      <c r="CO102" s="163">
        <f t="shared" si="36"/>
        <v>1</v>
      </c>
      <c r="CP102" s="163">
        <f t="shared" si="27"/>
        <v>1</v>
      </c>
      <c r="CQ102" s="163">
        <f t="shared" si="27"/>
        <v>1</v>
      </c>
    </row>
    <row r="103" spans="1:97" s="161" customFormat="1" ht="15" customHeight="1" x14ac:dyDescent="0.15">
      <c r="A103" s="5609">
        <v>32100550</v>
      </c>
      <c r="B103" s="1415" t="s">
        <v>2067</v>
      </c>
      <c r="C103" s="412"/>
      <c r="D103" s="1020" t="s">
        <v>4567</v>
      </c>
      <c r="E103" s="1143" t="s">
        <v>4568</v>
      </c>
      <c r="F103" s="413" t="s">
        <v>4569</v>
      </c>
      <c r="G103" s="1510" t="s">
        <v>4570</v>
      </c>
      <c r="H103" s="410" t="s">
        <v>4571</v>
      </c>
      <c r="I103" s="1510" t="s">
        <v>4572</v>
      </c>
      <c r="J103" s="410" t="s">
        <v>4573</v>
      </c>
      <c r="K103" s="1510" t="s">
        <v>4574</v>
      </c>
      <c r="L103" s="1512" t="s">
        <v>4575</v>
      </c>
      <c r="M103" s="1510" t="s">
        <v>4576</v>
      </c>
      <c r="N103" s="1512" t="s">
        <v>4577</v>
      </c>
      <c r="O103" s="1510" t="s">
        <v>4578</v>
      </c>
      <c r="P103" s="1512" t="s">
        <v>4579</v>
      </c>
      <c r="Q103" s="1510" t="s">
        <v>4580</v>
      </c>
      <c r="R103" s="1512" t="s">
        <v>4581</v>
      </c>
      <c r="S103" s="1510" t="s">
        <v>4582</v>
      </c>
      <c r="T103" s="1512" t="s">
        <v>4583</v>
      </c>
      <c r="U103" s="1510" t="s">
        <v>4584</v>
      </c>
      <c r="V103" s="1512" t="s">
        <v>4585</v>
      </c>
      <c r="W103" s="1510" t="s">
        <v>4586</v>
      </c>
      <c r="X103" s="1512" t="s">
        <v>4587</v>
      </c>
      <c r="Y103" s="1510" t="s">
        <v>4588</v>
      </c>
      <c r="Z103" s="1512" t="s">
        <v>4589</v>
      </c>
      <c r="AA103" s="1510" t="s">
        <v>4590</v>
      </c>
      <c r="AB103" s="1512" t="s">
        <v>4591</v>
      </c>
      <c r="AC103" s="1510" t="s">
        <v>4592</v>
      </c>
      <c r="AD103" s="1512" t="s">
        <v>4593</v>
      </c>
      <c r="AE103" s="1510" t="s">
        <v>4594</v>
      </c>
      <c r="AF103" s="1512" t="s">
        <v>4595</v>
      </c>
      <c r="AG103" s="1510" t="s">
        <v>4596</v>
      </c>
      <c r="AH103" s="1512" t="s">
        <v>4597</v>
      </c>
      <c r="AI103" s="1510" t="s">
        <v>4598</v>
      </c>
      <c r="AJ103" s="1512" t="s">
        <v>4599</v>
      </c>
      <c r="AK103" s="1510" t="s">
        <v>4600</v>
      </c>
      <c r="AL103" s="1512" t="s">
        <v>4601</v>
      </c>
      <c r="AM103" s="1551" t="s">
        <v>4602</v>
      </c>
      <c r="AN103" s="1544" t="s">
        <v>4603</v>
      </c>
      <c r="AO103" s="1543" t="s">
        <v>4604</v>
      </c>
      <c r="AP103" s="1544" t="s">
        <v>4605</v>
      </c>
      <c r="AQ103" s="1543" t="s">
        <v>4606</v>
      </c>
      <c r="AR103" s="1545" t="s">
        <v>4934</v>
      </c>
      <c r="AS103" s="1511" t="s">
        <v>4935</v>
      </c>
      <c r="AT103" s="1511" t="s">
        <v>4936</v>
      </c>
      <c r="AU103" s="1511" t="s">
        <v>4937</v>
      </c>
      <c r="AV103" s="410" t="s">
        <v>5234</v>
      </c>
      <c r="AW103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103" s="162" t="str">
        <f t="shared" si="29"/>
        <v xml:space="preserve"> * La variable Beneficiarios no puede ser mayor al Total.</v>
      </c>
      <c r="CC103" s="162" t="str">
        <f t="shared" si="30"/>
        <v xml:space="preserve"> * El Total Controles no puede ser mayor que el Total Ambos Sexos.</v>
      </c>
      <c r="CD103" s="162" t="str">
        <f t="shared" si="31"/>
        <v xml:space="preserve"> * La variable Pueblos originarios no puede ser mayor al Total.</v>
      </c>
      <c r="CE103" s="162" t="str">
        <f t="shared" si="32"/>
        <v xml:space="preserve"> * La variable Migrantes no puede ser mayor al Total.</v>
      </c>
      <c r="CF103" s="162" t="str">
        <f t="shared" si="33"/>
        <v xml:space="preserve"> * El Total Atención Remota consulta abreviada PNM no puede ser mayor que el Total Ambos Sexos.</v>
      </c>
      <c r="CG103" s="162" t="str">
        <f t="shared" si="34"/>
        <v xml:space="preserve"> * El Total Consultorías resueltas vía remota no puede ser mayor que el Total Ambos Sexos.</v>
      </c>
      <c r="CJ103" s="164"/>
      <c r="CL103" s="163">
        <f t="shared" si="25"/>
        <v>1</v>
      </c>
      <c r="CM103" s="163">
        <f t="shared" si="35"/>
        <v>1</v>
      </c>
      <c r="CN103" s="163">
        <f t="shared" si="26"/>
        <v>1</v>
      </c>
      <c r="CO103" s="163">
        <f t="shared" si="36"/>
        <v>1</v>
      </c>
      <c r="CP103" s="163">
        <f t="shared" si="27"/>
        <v>1</v>
      </c>
      <c r="CQ103" s="163">
        <f t="shared" si="27"/>
        <v>1</v>
      </c>
    </row>
    <row r="104" spans="1:97" ht="15" customHeight="1" x14ac:dyDescent="0.2">
      <c r="A104" s="5957"/>
      <c r="B104" s="7257" t="s">
        <v>77</v>
      </c>
      <c r="C104" s="7759"/>
      <c r="D104" s="1552">
        <f t="shared" ref="D104:AV104" si="37">SUM(D95:D103)</f>
        <v>0</v>
      </c>
      <c r="E104" s="1553">
        <f t="shared" si="37"/>
        <v>0</v>
      </c>
      <c r="F104" s="972">
        <f t="shared" si="37"/>
        <v>0</v>
      </c>
      <c r="G104" s="1554">
        <f t="shared" si="37"/>
        <v>0</v>
      </c>
      <c r="H104" s="1555">
        <f t="shared" si="37"/>
        <v>0</v>
      </c>
      <c r="I104" s="1554">
        <f t="shared" si="37"/>
        <v>0</v>
      </c>
      <c r="J104" s="1555">
        <f t="shared" si="37"/>
        <v>0</v>
      </c>
      <c r="K104" s="1556">
        <f t="shared" si="37"/>
        <v>0</v>
      </c>
      <c r="L104" s="1557">
        <f t="shared" si="37"/>
        <v>0</v>
      </c>
      <c r="M104" s="1556">
        <f t="shared" si="37"/>
        <v>0</v>
      </c>
      <c r="N104" s="1557">
        <f t="shared" si="37"/>
        <v>0</v>
      </c>
      <c r="O104" s="1556">
        <f t="shared" si="37"/>
        <v>0</v>
      </c>
      <c r="P104" s="1557">
        <f t="shared" si="37"/>
        <v>0</v>
      </c>
      <c r="Q104" s="1556">
        <f t="shared" si="37"/>
        <v>0</v>
      </c>
      <c r="R104" s="1557">
        <f t="shared" si="37"/>
        <v>0</v>
      </c>
      <c r="S104" s="1556">
        <f t="shared" si="37"/>
        <v>0</v>
      </c>
      <c r="T104" s="1557">
        <f t="shared" si="37"/>
        <v>0</v>
      </c>
      <c r="U104" s="1556">
        <f t="shared" si="37"/>
        <v>0</v>
      </c>
      <c r="V104" s="1557">
        <f t="shared" si="37"/>
        <v>0</v>
      </c>
      <c r="W104" s="1556">
        <f t="shared" si="37"/>
        <v>0</v>
      </c>
      <c r="X104" s="1557">
        <f t="shared" si="37"/>
        <v>0</v>
      </c>
      <c r="Y104" s="1556">
        <f t="shared" si="37"/>
        <v>0</v>
      </c>
      <c r="Z104" s="1557">
        <f t="shared" si="37"/>
        <v>0</v>
      </c>
      <c r="AA104" s="1556">
        <f t="shared" si="37"/>
        <v>0</v>
      </c>
      <c r="AB104" s="1557">
        <f t="shared" si="37"/>
        <v>0</v>
      </c>
      <c r="AC104" s="1556">
        <f t="shared" si="37"/>
        <v>0</v>
      </c>
      <c r="AD104" s="1557">
        <f t="shared" si="37"/>
        <v>0</v>
      </c>
      <c r="AE104" s="1556">
        <f t="shared" si="37"/>
        <v>0</v>
      </c>
      <c r="AF104" s="1557">
        <f t="shared" si="37"/>
        <v>0</v>
      </c>
      <c r="AG104" s="1556">
        <f t="shared" si="37"/>
        <v>0</v>
      </c>
      <c r="AH104" s="1557">
        <f t="shared" si="37"/>
        <v>0</v>
      </c>
      <c r="AI104" s="1556">
        <f t="shared" si="37"/>
        <v>0</v>
      </c>
      <c r="AJ104" s="1557">
        <f t="shared" si="37"/>
        <v>0</v>
      </c>
      <c r="AK104" s="1556">
        <f t="shared" si="37"/>
        <v>0</v>
      </c>
      <c r="AL104" s="1557">
        <f t="shared" si="37"/>
        <v>0</v>
      </c>
      <c r="AM104" s="1558">
        <f t="shared" si="37"/>
        <v>0</v>
      </c>
      <c r="AN104" s="1559">
        <f t="shared" si="37"/>
        <v>0</v>
      </c>
      <c r="AO104" s="1560">
        <f t="shared" si="37"/>
        <v>0</v>
      </c>
      <c r="AP104" s="1561">
        <f t="shared" si="37"/>
        <v>0</v>
      </c>
      <c r="AQ104" s="1560">
        <f t="shared" si="37"/>
        <v>0</v>
      </c>
      <c r="AR104" s="1562">
        <f t="shared" si="37"/>
        <v>0</v>
      </c>
      <c r="AS104" s="270">
        <f t="shared" si="37"/>
        <v>0</v>
      </c>
      <c r="AT104" s="270">
        <f t="shared" si="37"/>
        <v>0</v>
      </c>
      <c r="AU104" s="270">
        <f t="shared" si="37"/>
        <v>0</v>
      </c>
      <c r="AV104" s="1555">
        <f t="shared" si="37"/>
        <v>0</v>
      </c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  <c r="CN104" s="161"/>
    </row>
    <row r="105" spans="1:97" s="160" customFormat="1" ht="17.100000000000001" customHeight="1" x14ac:dyDescent="0.25">
      <c r="B105" s="172" t="s">
        <v>4011</v>
      </c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  <c r="CN105" s="161"/>
    </row>
    <row r="106" spans="1:97" s="160" customFormat="1" ht="17.100000000000001" customHeight="1" x14ac:dyDescent="0.25">
      <c r="B106" s="7840" t="s">
        <v>4012</v>
      </c>
      <c r="C106" s="7840"/>
      <c r="D106" s="7840"/>
      <c r="E106" s="7840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  <c r="CN106" s="161"/>
    </row>
    <row r="107" spans="1:97" s="161" customFormat="1" ht="15" customHeight="1" x14ac:dyDescent="0.25">
      <c r="B107" s="7838" t="s">
        <v>4013</v>
      </c>
      <c r="C107" s="7257" t="s">
        <v>77</v>
      </c>
      <c r="D107" s="7746"/>
      <c r="E107" s="7759"/>
      <c r="F107" s="7257" t="s">
        <v>29</v>
      </c>
      <c r="G107" s="7746"/>
      <c r="H107" s="7746"/>
      <c r="I107" s="7746"/>
      <c r="J107" s="7746"/>
      <c r="K107" s="7746"/>
      <c r="L107" s="7746"/>
      <c r="M107" s="7746"/>
      <c r="N107" s="7746"/>
      <c r="O107" s="7746"/>
      <c r="P107" s="7746"/>
      <c r="Q107" s="7259"/>
      <c r="R107" s="7839" t="s">
        <v>598</v>
      </c>
      <c r="S107" s="6786" t="s">
        <v>4014</v>
      </c>
      <c r="T107" s="6786" t="s">
        <v>4015</v>
      </c>
      <c r="U107" s="7828" t="s">
        <v>1575</v>
      </c>
      <c r="V107" s="7725" t="s">
        <v>1576</v>
      </c>
      <c r="W107" s="6786" t="s">
        <v>36</v>
      </c>
      <c r="X107" s="6786" t="s">
        <v>37</v>
      </c>
    </row>
    <row r="108" spans="1:97" s="161" customFormat="1" ht="39" customHeight="1" x14ac:dyDescent="0.25">
      <c r="B108" s="6739"/>
      <c r="C108" s="1286" t="s">
        <v>919</v>
      </c>
      <c r="D108" s="1496" t="s">
        <v>58</v>
      </c>
      <c r="E108" s="1227" t="s">
        <v>59</v>
      </c>
      <c r="F108" s="1286" t="s">
        <v>4016</v>
      </c>
      <c r="G108" s="1213" t="s">
        <v>4017</v>
      </c>
      <c r="H108" s="1213" t="s">
        <v>4018</v>
      </c>
      <c r="I108" s="1213" t="s">
        <v>4019</v>
      </c>
      <c r="J108" s="1213" t="s">
        <v>4020</v>
      </c>
      <c r="K108" s="1213" t="s">
        <v>4021</v>
      </c>
      <c r="L108" s="1213" t="s">
        <v>4022</v>
      </c>
      <c r="M108" s="1213" t="s">
        <v>4023</v>
      </c>
      <c r="N108" s="1213" t="s">
        <v>4024</v>
      </c>
      <c r="O108" s="1213" t="s">
        <v>4025</v>
      </c>
      <c r="P108" s="1213" t="s">
        <v>4026</v>
      </c>
      <c r="Q108" s="1216" t="s">
        <v>4027</v>
      </c>
      <c r="R108" s="6937"/>
      <c r="S108" s="6955"/>
      <c r="T108" s="6955"/>
      <c r="U108" s="7185"/>
      <c r="V108" s="7178"/>
      <c r="W108" s="6955"/>
      <c r="X108" s="6955"/>
    </row>
    <row r="109" spans="1:97" s="161" customFormat="1" ht="15" customHeight="1" x14ac:dyDescent="0.15">
      <c r="A109" s="5609">
        <v>32100570</v>
      </c>
      <c r="B109" s="936" t="s">
        <v>4028</v>
      </c>
      <c r="C109" s="926" t="s">
        <v>4567</v>
      </c>
      <c r="D109" s="169" t="s">
        <v>4568</v>
      </c>
      <c r="E109" s="1501" t="s">
        <v>4569</v>
      </c>
      <c r="F109" s="406" t="s">
        <v>4570</v>
      </c>
      <c r="G109" s="1502" t="s">
        <v>4571</v>
      </c>
      <c r="H109" s="1502" t="s">
        <v>4572</v>
      </c>
      <c r="I109" s="1502" t="s">
        <v>4573</v>
      </c>
      <c r="J109" s="1502" t="s">
        <v>4574</v>
      </c>
      <c r="K109" s="1502" t="s">
        <v>4575</v>
      </c>
      <c r="L109" s="1502" t="s">
        <v>4576</v>
      </c>
      <c r="M109" s="1502" t="s">
        <v>4577</v>
      </c>
      <c r="N109" s="1502" t="s">
        <v>4578</v>
      </c>
      <c r="O109" s="1502" t="s">
        <v>4579</v>
      </c>
      <c r="P109" s="1502" t="s">
        <v>4580</v>
      </c>
      <c r="Q109" s="1503" t="s">
        <v>4581</v>
      </c>
      <c r="R109" s="414" t="s">
        <v>4582</v>
      </c>
      <c r="S109" s="219" t="s">
        <v>4583</v>
      </c>
      <c r="T109" s="219" t="s">
        <v>4584</v>
      </c>
      <c r="U109" s="219" t="s">
        <v>4585</v>
      </c>
      <c r="V109" s="219" t="s">
        <v>4586</v>
      </c>
      <c r="W109" s="219" t="s">
        <v>4587</v>
      </c>
      <c r="X109" s="219" t="s">
        <v>4588</v>
      </c>
      <c r="Y109" s="161" t="e">
        <f>BZ109&amp;CA109&amp;CB109&amp;CC109&amp;CD109&amp;CE109&amp;CF109&amp;CG109</f>
        <v>#VALUE!</v>
      </c>
      <c r="BZ109" s="162" t="e">
        <f>IF((D109+E109)&lt;&gt;C109,"  * Las atenciones según Sexo (Hombres/Mujeres) deben ser igual al Total de atenciones","")</f>
        <v>#VALUE!</v>
      </c>
      <c r="CA109" s="162" t="str">
        <f>IF(AND(E109&gt;0,R109="")," * No olvide digitar Embarazadas. Digite cero si no tiene.",IF(R109&gt;E109," * La variable Embarazadas no puede ser mayor al Total.",""))</f>
        <v xml:space="preserve"> * La variable Embarazadas no puede ser mayor al Total.</v>
      </c>
      <c r="CB109" s="162" t="str">
        <f>IF(AND(P109&gt;0,S109="")," * No olvide digitar la variable 60 años (incluído en grupos de 20-64 años). Digite cero si no tiene.",IF(S109&gt;P109," * La variable 60 años (incluído en grupos de 20-64 años) no puede ser mayor al rango etario 20-64 años.",""))</f>
        <v xml:space="preserve"> * La variable 60 años (incluído en grupos de 20-64 años) no puede ser mayor al rango etario 20-64 años.</v>
      </c>
      <c r="CC109" s="162" t="str">
        <f>IF(AND(C109&gt;0,T109="")," * No olvide digitar Usuarios en situación de discapacidad. Digite cero si no tiene.",IF(T109&gt;C109," * La variable Usuarios en situación de discapacidad no puede ser mayor al Total.",""))</f>
        <v xml:space="preserve"> * La variable Usuarios en situación de discapacidad no puede ser mayor al Total.</v>
      </c>
      <c r="CD109" s="162" t="str">
        <f>IF(AND(C109&gt;0,U109="")," * No olvide digitar la variable Serv. Nac. Reinserción Social Juvenil. Digite cero si no tiene.",IF(U109&gt;C109," * La variable Serv. Nac. Reinserción Social Juvenil no puede ser mayor al Total.",""))</f>
        <v xml:space="preserve"> * La variable Serv. Nac. Reinserción Social Juvenil no puede ser mayor al Total.</v>
      </c>
      <c r="CE109" s="162" t="str">
        <f>IF(AND(C109&gt;0,V109="")," * No olvide digitar la variable Serv. Nac. Protección Especializada a la Niñez y Adolescencia. Digite cero si no tiene.",IF(V109&gt;C109,"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F109" s="162" t="str">
        <f>IF(AND(C109&gt;0,W109="")," * No olvide digitar Pueblos originarios. Digite cero si no tiene.",IF(W109&gt;C109," * La variable Pueblos originarios no puede ser mayor al Total.",""))</f>
        <v xml:space="preserve"> * La variable Pueblos originarios no puede ser mayor al Total.</v>
      </c>
      <c r="CG109" s="162" t="str">
        <f>IF(AND(C109&gt;0,X109="")," * No olvide digitar Migrantes. Digite cero si no tiene.",IF(X109&gt;C109," * La variable Migrantes no puede ser mayor al Total.",""))</f>
        <v xml:space="preserve"> * La variable Migrantes no puede ser mayor al Total.</v>
      </c>
      <c r="CJ109" s="163">
        <f>IF(AND(E109&gt;0,R109=""),1,IF(R109&gt;E109,1,0))</f>
        <v>1</v>
      </c>
      <c r="CK109" s="163">
        <f>IF(AND(P109&gt;0,S109=""),1,IF(S109&gt;P109,1,0))</f>
        <v>1</v>
      </c>
      <c r="CL109" s="163">
        <f>IF(AND(C109&gt;0,T109=""),1,IF(T109&gt;C109,1,0))</f>
        <v>1</v>
      </c>
      <c r="CM109" s="163">
        <f>IF(AND(C109&gt;0,U109=""),1,IF(U109&gt;C109,1,0))</f>
        <v>1</v>
      </c>
      <c r="CN109" s="163">
        <f>IF(AND(C109&gt;0,V109=""),1,IF(V109&gt;C109,1,0))</f>
        <v>1</v>
      </c>
      <c r="CO109" s="163">
        <f>IF(AND(C109&gt;0,W109=""),1,IF(W109&gt;C109,1,0))</f>
        <v>1</v>
      </c>
      <c r="CP109" s="163">
        <f>IF(AND(C109&gt;0,X109=""),1,IF(X109&gt;C109,1,0))</f>
        <v>1</v>
      </c>
      <c r="CQ109" s="163" t="e">
        <f>IF((D109+E109)&lt;&gt;C109,1,0)</f>
        <v>#VALUE!</v>
      </c>
    </row>
    <row r="110" spans="1:97" s="161" customFormat="1" ht="15" customHeight="1" x14ac:dyDescent="0.15">
      <c r="A110" s="5609">
        <v>32100580</v>
      </c>
      <c r="B110" s="936" t="s">
        <v>4029</v>
      </c>
      <c r="C110" s="937" t="s">
        <v>4567</v>
      </c>
      <c r="D110" s="169" t="s">
        <v>4568</v>
      </c>
      <c r="E110" s="1501" t="s">
        <v>4569</v>
      </c>
      <c r="F110" s="406" t="s">
        <v>4570</v>
      </c>
      <c r="G110" s="1502" t="s">
        <v>4571</v>
      </c>
      <c r="H110" s="1502" t="s">
        <v>4572</v>
      </c>
      <c r="I110" s="1502" t="s">
        <v>4573</v>
      </c>
      <c r="J110" s="1502" t="s">
        <v>4574</v>
      </c>
      <c r="K110" s="1502" t="s">
        <v>4575</v>
      </c>
      <c r="L110" s="1502" t="s">
        <v>4576</v>
      </c>
      <c r="M110" s="1502" t="s">
        <v>4577</v>
      </c>
      <c r="N110" s="1502" t="s">
        <v>4578</v>
      </c>
      <c r="O110" s="1502" t="s">
        <v>4579</v>
      </c>
      <c r="P110" s="1502" t="s">
        <v>4580</v>
      </c>
      <c r="Q110" s="1503" t="s">
        <v>4581</v>
      </c>
      <c r="R110" s="414" t="s">
        <v>4582</v>
      </c>
      <c r="S110" s="219" t="s">
        <v>4583</v>
      </c>
      <c r="T110" s="219" t="s">
        <v>4584</v>
      </c>
      <c r="U110" s="219" t="s">
        <v>4585</v>
      </c>
      <c r="V110" s="219" t="s">
        <v>4586</v>
      </c>
      <c r="W110" s="219" t="s">
        <v>4587</v>
      </c>
      <c r="X110" s="219" t="s">
        <v>4588</v>
      </c>
      <c r="Y110" s="161" t="e">
        <f>BZ110&amp;CA110&amp;CB110&amp;CC110&amp;CD110&amp;CE110&amp;CF110&amp;CG110</f>
        <v>#VALUE!</v>
      </c>
      <c r="BZ110" s="162" t="e">
        <f>IF((D110+E110)&lt;&gt;C110,"  * Las atenciones según Sexo (Hombres/Mujeres) deben ser igual al Total de atenciones","")</f>
        <v>#VALUE!</v>
      </c>
      <c r="CA110" s="162" t="str">
        <f>IF(AND(E110&gt;0,R110="")," * No olvide digitar Embarazadas. Digite cero si no tiene.",IF(R110&gt;E110," * La variable Embarazadas no puede ser mayor al Total.",""))</f>
        <v xml:space="preserve"> * La variable Embarazadas no puede ser mayor al Total.</v>
      </c>
      <c r="CB110" s="162" t="str">
        <f>IF(AND(P110&gt;0,S110="")," * No olvide digitar la variable 60 años (incluído en grupos de 20-64 años). Digite cero si no tiene.",IF(S110&gt;P110," * La variable 60 años (incluído en grupos de 20-64 años) no puede ser mayor al rango etario 20-64 años.",""))</f>
        <v xml:space="preserve"> * La variable 60 años (incluído en grupos de 20-64 años) no puede ser mayor al rango etario 20-64 años.</v>
      </c>
      <c r="CC110" s="162" t="str">
        <f>IF(AND(C110&gt;0,T110="")," * No olvide digitar Usuarios en situación de discapacidad. Digite cero si no tiene.",IF(T110&gt;C110," * La variable Usuarios en situación de discapacidad no puede ser mayor al Total.",""))</f>
        <v xml:space="preserve"> * La variable Usuarios en situación de discapacidad no puede ser mayor al Total.</v>
      </c>
      <c r="CD110" s="162" t="str">
        <f>IF(AND(C110&gt;0,U110="")," * No olvide digitar la variable Serv. Nac. Reinserción Social Juvenil. Digite cero si no tiene.",IF(U110&gt;C110," * La variable Serv. Nac. Reinserción Social Juvenil no puede ser mayor al Total.",""))</f>
        <v xml:space="preserve"> * La variable Serv. Nac. Reinserción Social Juvenil no puede ser mayor al Total.</v>
      </c>
      <c r="CE110" s="162" t="str">
        <f>IF(AND(C110&gt;0,V110="")," * No olvide digitar la variable Serv. Nac. Protección Especializada a la Niñez y Adolescencia. Digite cero si no tiene.",IF(V110&gt;C110,"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F110" s="162" t="str">
        <f>IF(AND(C110&gt;0,W110="")," * No olvide digitar Pueblos originarios. Digite cero si no tiene.",IF(W110&gt;C110," * La variable Pueblos originarios no puede ser mayor al Total.",""))</f>
        <v xml:space="preserve"> * La variable Pueblos originarios no puede ser mayor al Total.</v>
      </c>
      <c r="CG110" s="162" t="str">
        <f>IF(AND(C110&gt;0,X110="")," * No olvide digitar Migrantes. Digite cero si no tiene.",IF(X110&gt;C110," * La variable Migrantes no puede ser mayor al Total.",""))</f>
        <v xml:space="preserve"> * La variable Migrantes no puede ser mayor al Total.</v>
      </c>
      <c r="CJ110" s="163">
        <f>IF(AND(E110&gt;0,R110=""),1,IF(R110&gt;E110,1,0))</f>
        <v>1</v>
      </c>
      <c r="CK110" s="163">
        <f>IF(AND(P110&gt;0,S110=""),1,IF(S110&gt;P110,1,0))</f>
        <v>1</v>
      </c>
      <c r="CL110" s="163">
        <f>IF(AND(C110&gt;0,T110=""),1,IF(T110&gt;C110,1,0))</f>
        <v>1</v>
      </c>
      <c r="CM110" s="163">
        <f>IF(AND(C110&gt;0,U110=""),1,IF(U110&gt;C110,1,0))</f>
        <v>1</v>
      </c>
      <c r="CN110" s="163">
        <f>IF(AND(C110&gt;0,V110=""),1,IF(V110&gt;C110,1,0))</f>
        <v>1</v>
      </c>
      <c r="CO110" s="163">
        <f>IF(AND(C110&gt;0,W110=""),1,IF(W110&gt;C110,1,0))</f>
        <v>1</v>
      </c>
      <c r="CP110" s="163">
        <f>IF(AND(C110&gt;0,X110=""),1,IF(X110&gt;C110,1,0))</f>
        <v>1</v>
      </c>
      <c r="CQ110" s="163" t="e">
        <f>IF((D110+E110)&lt;&gt;C110,1,0)</f>
        <v>#VALUE!</v>
      </c>
    </row>
    <row r="111" spans="1:97" s="161" customFormat="1" ht="15" customHeight="1" x14ac:dyDescent="0.15">
      <c r="A111" s="5609">
        <v>32100610</v>
      </c>
      <c r="B111" s="936" t="s">
        <v>4030</v>
      </c>
      <c r="C111" s="1020" t="s">
        <v>4567</v>
      </c>
      <c r="D111" s="169" t="s">
        <v>4568</v>
      </c>
      <c r="E111" s="1501" t="s">
        <v>4569</v>
      </c>
      <c r="F111" s="406" t="s">
        <v>4570</v>
      </c>
      <c r="G111" s="1502" t="s">
        <v>4571</v>
      </c>
      <c r="H111" s="1502" t="s">
        <v>4572</v>
      </c>
      <c r="I111" s="1502" t="s">
        <v>4573</v>
      </c>
      <c r="J111" s="1502" t="s">
        <v>4574</v>
      </c>
      <c r="K111" s="1502" t="s">
        <v>4575</v>
      </c>
      <c r="L111" s="1502" t="s">
        <v>4576</v>
      </c>
      <c r="M111" s="1502" t="s">
        <v>4577</v>
      </c>
      <c r="N111" s="1502" t="s">
        <v>4578</v>
      </c>
      <c r="O111" s="1502" t="s">
        <v>4579</v>
      </c>
      <c r="P111" s="1502" t="s">
        <v>4580</v>
      </c>
      <c r="Q111" s="1503" t="s">
        <v>4581</v>
      </c>
      <c r="R111" s="414" t="s">
        <v>4582</v>
      </c>
      <c r="S111" s="219" t="s">
        <v>4583</v>
      </c>
      <c r="T111" s="219" t="s">
        <v>4584</v>
      </c>
      <c r="U111" s="219" t="s">
        <v>4585</v>
      </c>
      <c r="V111" s="219" t="s">
        <v>4586</v>
      </c>
      <c r="W111" s="219" t="s">
        <v>4587</v>
      </c>
      <c r="X111" s="219" t="s">
        <v>4588</v>
      </c>
      <c r="Y111" s="161" t="e">
        <f>CB111&amp;CC111&amp;CD111&amp;CE111&amp;CF111&amp;CG111&amp;CH111&amp;CI111</f>
        <v>#VALUE!</v>
      </c>
      <c r="CB111" s="162" t="e">
        <f t="shared" ref="CB111" si="38">IF((D111+E111)&lt;&gt;C111,"  * Las atenciones según Sexo (Hombres/Mujeres) deben ser igual al Total de atenciones","")</f>
        <v>#VALUE!</v>
      </c>
      <c r="CC111" s="162" t="str">
        <f t="shared" ref="CC111" si="39">IF(AND(E111&gt;0,R111="")," * No olvide digitar Embarazadas. Digite cero si no tiene.",IF(R111&gt;E111," * La variable Embarazadas no puede ser mayor al Total.",""))</f>
        <v xml:space="preserve"> * La variable Embarazadas no puede ser mayor al Total.</v>
      </c>
      <c r="CD111" s="162" t="str">
        <f t="shared" ref="CD111" si="40">IF(AND(P111&gt;0,S111="")," * No olvide digitar la variable 60 años (incluído en grupos de 20-64 años). Digite cero si no tiene.",IF(S111&gt;P111," * La variable 60 años (incluído en grupos de 20-64 años) no puede ser mayor al rango etario 20-64 años.",""))</f>
        <v xml:space="preserve"> * La variable 60 años (incluído en grupos de 20-64 años) no puede ser mayor al rango etario 20-64 años.</v>
      </c>
      <c r="CE111" s="162" t="str">
        <f t="shared" ref="CE111" si="41">IF(AND(C111&gt;0,T111="")," * No olvide digitar Usuarios en situación de discapacidad. Digite cero si no tiene.",IF(T111&gt;C111," * La variable Usuarios en situación de discapacidad no puede ser mayor al Total.",""))</f>
        <v xml:space="preserve"> * La variable Usuarios en situación de discapacidad no puede ser mayor al Total.</v>
      </c>
      <c r="CF111" s="162" t="str">
        <f t="shared" ref="CF111" si="42">IF(AND(C111&gt;0,U111="")," * No olvide digitar la variable Serv. Nac. Reinserción Social Juvenil. Digite cero si no tiene.",IF(U111&gt;C111," * La variable Serv. Nac. Reinserción Social Juvenil no puede ser mayor al Total.",""))</f>
        <v xml:space="preserve"> * La variable Serv. Nac. Reinserción Social Juvenil no puede ser mayor al Total.</v>
      </c>
      <c r="CG111" s="162" t="str">
        <f t="shared" ref="CG111" si="43">IF(AND(C111&gt;0,V111="")," * No olvide digitar la variable Serv. Nac. Protección Especializada a la Niñez y Adolescencia. Digite cero si no tiene.",IF(V111&gt;C111,"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H111" s="162" t="str">
        <f t="shared" ref="CH111" si="44">IF(AND(C111&gt;0,W111="")," * No olvide digitar Pueblos originarios. Digite cero si no tiene.",IF(W111&gt;C111," * La variable Pueblos originarios no puede ser mayor al Total.",""))</f>
        <v xml:space="preserve"> * La variable Pueblos originarios no puede ser mayor al Total.</v>
      </c>
      <c r="CI111" s="162" t="str">
        <f t="shared" ref="CI111" si="45">IF(AND(C111&gt;0,X111="")," * No olvide digitar Migrantes. Digite cero si no tiene.",IF(X111&gt;C111," * La variable Migrantes no puede ser mayor al Total.",""))</f>
        <v xml:space="preserve"> * La variable Migrantes no puede ser mayor al Total.</v>
      </c>
      <c r="CL111" s="163">
        <f>IF(AND(E111&gt;0,R111=""),1,IF(R111&gt;E111,1,0))</f>
        <v>1</v>
      </c>
      <c r="CM111" s="163">
        <f>IF(AND(P111&gt;0,S111=""),1,IF(S111&gt;P111,1,0))</f>
        <v>1</v>
      </c>
      <c r="CN111" s="163">
        <f>IF(AND(C111&gt;0,T111=""),1,IF(T111&gt;C111,1,0))</f>
        <v>1</v>
      </c>
      <c r="CO111" s="163">
        <f>IF(AND(C111&gt;0,U111=""),1,IF(U111&gt;C111,1,0))</f>
        <v>1</v>
      </c>
      <c r="CP111" s="163">
        <f>IF(AND(C111&gt;0,V111=""),1,IF(V111&gt;C111,1,0))</f>
        <v>1</v>
      </c>
      <c r="CQ111" s="163">
        <f>IF(AND(C111&gt;0,W111=""),1,IF(W111&gt;C111,1,0))</f>
        <v>1</v>
      </c>
      <c r="CR111" s="163">
        <f>IF(AND(C111&gt;0,X111=""),1,IF(X111&gt;C111,1,0))</f>
        <v>1</v>
      </c>
      <c r="CS111" s="163" t="e">
        <f>IF((D111+E111)&lt;&gt;C111,1,0)</f>
        <v>#VALUE!</v>
      </c>
    </row>
    <row r="112" spans="1:97" s="161" customFormat="1" ht="15" customHeight="1" x14ac:dyDescent="0.2">
      <c r="A112" s="5958"/>
      <c r="B112" s="1108" t="s">
        <v>77</v>
      </c>
      <c r="C112" s="1563">
        <f t="shared" ref="C112:X112" si="46">SUM(C109:C111)</f>
        <v>0</v>
      </c>
      <c r="D112" s="1564">
        <f t="shared" si="46"/>
        <v>0</v>
      </c>
      <c r="E112" s="1243">
        <f t="shared" si="46"/>
        <v>0</v>
      </c>
      <c r="F112" s="1524">
        <f t="shared" si="46"/>
        <v>0</v>
      </c>
      <c r="G112" s="1565">
        <f t="shared" si="46"/>
        <v>0</v>
      </c>
      <c r="H112" s="1565">
        <f t="shared" si="46"/>
        <v>0</v>
      </c>
      <c r="I112" s="1565">
        <f t="shared" si="46"/>
        <v>0</v>
      </c>
      <c r="J112" s="1565">
        <f t="shared" si="46"/>
        <v>0</v>
      </c>
      <c r="K112" s="1565">
        <f t="shared" si="46"/>
        <v>0</v>
      </c>
      <c r="L112" s="1565">
        <f t="shared" si="46"/>
        <v>0</v>
      </c>
      <c r="M112" s="1565">
        <f t="shared" si="46"/>
        <v>0</v>
      </c>
      <c r="N112" s="1565">
        <f t="shared" si="46"/>
        <v>0</v>
      </c>
      <c r="O112" s="1565">
        <f t="shared" si="46"/>
        <v>0</v>
      </c>
      <c r="P112" s="1565">
        <f t="shared" si="46"/>
        <v>0</v>
      </c>
      <c r="Q112" s="1244">
        <f t="shared" si="46"/>
        <v>0</v>
      </c>
      <c r="R112" s="1566">
        <f t="shared" si="46"/>
        <v>0</v>
      </c>
      <c r="S112" s="1567">
        <f t="shared" si="46"/>
        <v>0</v>
      </c>
      <c r="T112" s="1567">
        <f t="shared" si="46"/>
        <v>0</v>
      </c>
      <c r="U112" s="1567">
        <f t="shared" si="46"/>
        <v>0</v>
      </c>
      <c r="V112" s="1567">
        <f t="shared" si="46"/>
        <v>0</v>
      </c>
      <c r="W112" s="1567">
        <f t="shared" si="46"/>
        <v>0</v>
      </c>
      <c r="X112" s="1567">
        <f t="shared" si="46"/>
        <v>0</v>
      </c>
    </row>
    <row r="113" spans="1:97" s="160" customFormat="1" ht="17.100000000000001" customHeight="1" x14ac:dyDescent="0.25">
      <c r="B113" s="7837" t="s">
        <v>4031</v>
      </c>
      <c r="C113" s="7837"/>
      <c r="D113" s="7837"/>
      <c r="E113" s="7837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  <c r="CN113" s="161"/>
    </row>
    <row r="114" spans="1:97" ht="15" customHeight="1" x14ac:dyDescent="0.25">
      <c r="B114" s="7838" t="s">
        <v>4013</v>
      </c>
      <c r="C114" s="7257" t="s">
        <v>77</v>
      </c>
      <c r="D114" s="7746"/>
      <c r="E114" s="7759"/>
      <c r="F114" s="7257" t="s">
        <v>29</v>
      </c>
      <c r="G114" s="7746"/>
      <c r="H114" s="7746"/>
      <c r="I114" s="7746"/>
      <c r="J114" s="7746"/>
      <c r="K114" s="7746"/>
      <c r="L114" s="7746"/>
      <c r="M114" s="7259"/>
      <c r="N114" s="7839" t="s">
        <v>4032</v>
      </c>
      <c r="O114" s="6786" t="s">
        <v>598</v>
      </c>
      <c r="P114" s="6786" t="s">
        <v>597</v>
      </c>
      <c r="Q114" s="6786" t="s">
        <v>1665</v>
      </c>
      <c r="R114" s="7828" t="s">
        <v>1575</v>
      </c>
      <c r="S114" s="7725" t="s">
        <v>1576</v>
      </c>
      <c r="T114" s="6786" t="s">
        <v>36</v>
      </c>
      <c r="U114" s="6786" t="s">
        <v>37</v>
      </c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  <c r="CN114" s="161"/>
    </row>
    <row r="115" spans="1:97" ht="35.25" customHeight="1" x14ac:dyDescent="0.25">
      <c r="B115" s="6739"/>
      <c r="C115" s="1286" t="s">
        <v>919</v>
      </c>
      <c r="D115" s="863" t="s">
        <v>58</v>
      </c>
      <c r="E115" s="1227" t="s">
        <v>59</v>
      </c>
      <c r="F115" s="1286" t="s">
        <v>4033</v>
      </c>
      <c r="G115" s="1213" t="s">
        <v>385</v>
      </c>
      <c r="H115" s="1213" t="s">
        <v>4034</v>
      </c>
      <c r="I115" s="1213" t="s">
        <v>4035</v>
      </c>
      <c r="J115" s="1213" t="s">
        <v>304</v>
      </c>
      <c r="K115" s="1213" t="s">
        <v>4036</v>
      </c>
      <c r="L115" s="1213" t="s">
        <v>4037</v>
      </c>
      <c r="M115" s="1216" t="s">
        <v>4027</v>
      </c>
      <c r="N115" s="6937"/>
      <c r="O115" s="6955"/>
      <c r="P115" s="6955"/>
      <c r="Q115" s="6955"/>
      <c r="R115" s="7185"/>
      <c r="S115" s="7178"/>
      <c r="T115" s="6955"/>
      <c r="U115" s="6955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  <c r="CN115" s="161"/>
    </row>
    <row r="116" spans="1:97" ht="15" customHeight="1" x14ac:dyDescent="0.15">
      <c r="A116" s="5609">
        <v>32101490</v>
      </c>
      <c r="B116" s="936" t="s">
        <v>4038</v>
      </c>
      <c r="C116" s="937" t="s">
        <v>4567</v>
      </c>
      <c r="D116" s="169" t="s">
        <v>4568</v>
      </c>
      <c r="E116" s="1501" t="s">
        <v>4569</v>
      </c>
      <c r="F116" s="406" t="s">
        <v>4570</v>
      </c>
      <c r="G116" s="1502" t="s">
        <v>4571</v>
      </c>
      <c r="H116" s="1502" t="s">
        <v>4572</v>
      </c>
      <c r="I116" s="1502" t="s">
        <v>4573</v>
      </c>
      <c r="J116" s="1502" t="s">
        <v>4574</v>
      </c>
      <c r="K116" s="1502" t="s">
        <v>4575</v>
      </c>
      <c r="L116" s="1502" t="s">
        <v>4576</v>
      </c>
      <c r="M116" s="1503" t="s">
        <v>4577</v>
      </c>
      <c r="N116" s="414" t="s">
        <v>4578</v>
      </c>
      <c r="O116" s="219" t="s">
        <v>4579</v>
      </c>
      <c r="P116" s="219" t="s">
        <v>4580</v>
      </c>
      <c r="Q116" s="219" t="s">
        <v>4581</v>
      </c>
      <c r="R116" s="219" t="s">
        <v>4582</v>
      </c>
      <c r="S116" s="219" t="s">
        <v>4583</v>
      </c>
      <c r="T116" s="219" t="s">
        <v>4584</v>
      </c>
      <c r="U116" s="219" t="s">
        <v>4585</v>
      </c>
      <c r="V116" s="1937" t="e">
        <f>CB116&amp;CC116&amp;CD116&amp;CE116&amp;CF116&amp;CG116&amp;CH116&amp;CI116</f>
        <v>#VALUE!</v>
      </c>
      <c r="CB116" s="162" t="e">
        <f>IF((D116+E116)&lt;&gt;C116,"  * Las atenciones según Sexo (Hombres/Mujeres) deben ser igual al Total.","")</f>
        <v>#VALUE!</v>
      </c>
      <c r="CC116" s="162" t="str">
        <f>IF(AND(E116&gt;0,O116="")," * No olvide digitar la variable Embarazadas. Digite cero si no tiene.",IF(O116&gt;E116," * La variable Embarazadas no puede ser mayor al Total.",""))</f>
        <v xml:space="preserve"> * La variable Embarazadas no puede ser mayor al Total.</v>
      </c>
      <c r="CD116" s="162" t="str">
        <f>IF(AND(C116&gt;0,P116="")," * No olvide digitar la variable Beneficiarios.",IF(P116&gt;C116," * La variable Beneficiarios no puede ser mayor al Total.",""))</f>
        <v xml:space="preserve"> * La variable Beneficiarios no puede ser mayor al Total.</v>
      </c>
      <c r="CE116" s="162" t="str">
        <f>IF(AND(C116&gt;0,Q116="")," * No olvide digitar la variable Usuarios con Discapacidad. Digite cero si no tiene.",IF(Q116&gt;C116," * La variable Usuarios con Discapacidad no puede ser mayor al Total.",""))</f>
        <v xml:space="preserve"> * La variable Usuarios con Discapacidad no puede ser mayor al Total.</v>
      </c>
      <c r="CF116" s="162" t="str">
        <f>IF(AND(C116&gt;0,R116="")," * No olvide digitar Serv. Nac. Reinserción Social Juvenil. Digite cero si no tiene.",IF(R116&gt;C116," * La variable Serv. Nac. Reinserción Social Juvenil no puede ser mayor al Total.",""))</f>
        <v xml:space="preserve"> * La variable Serv. Nac. Reinserción Social Juvenil no puede ser mayor al Total.</v>
      </c>
      <c r="CG116" s="162" t="str">
        <f>IF(AND(C116&gt;0,S116="")," * No olvide digitar la variable Serv. Nac. Protección Especializada a la Niñez y Adolescencia. Digite cero si no tiene.",IF(S116&gt;C116,"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H116" s="162" t="str">
        <f>IF(AND(C116&gt;0,T116="")," * No olvide digitar la variable Pueblos Originarios. Digite cero si no tiene.",IF(T116&gt;C116," * La variable Pueblos Originarios No puede ser mayor al Total.",""))</f>
        <v xml:space="preserve"> * La variable Pueblos Originarios No puede ser mayor al Total.</v>
      </c>
      <c r="CI116" s="162" t="str">
        <f>IF(AND(C116&gt;0,U116="")," * No olvide digitar la variable Migrantes. Digite cero si no tiene.",IF(U116&gt;C116," * La variable Migrantes no puede ser mayor al Total.",""))</f>
        <v xml:space="preserve"> * La variable Migrantes no puede ser mayor al Total.</v>
      </c>
      <c r="CL116" s="163" t="e">
        <f>IF((D116+E116)&lt;&gt;$C116,1,0)</f>
        <v>#VALUE!</v>
      </c>
      <c r="CM116" s="163">
        <f>IF(AND($E116&gt;0,O116=""),1,IF(O116&gt;$E116,1,0))</f>
        <v>1</v>
      </c>
      <c r="CN116" s="163">
        <f t="shared" ref="CN116:CS117" si="47">IF(AND($C116&gt;0,P116=""),1,IF(P116&gt;$C116,1,0))</f>
        <v>1</v>
      </c>
      <c r="CO116" s="163">
        <f t="shared" si="47"/>
        <v>1</v>
      </c>
      <c r="CP116" s="163">
        <f t="shared" si="47"/>
        <v>1</v>
      </c>
      <c r="CQ116" s="163">
        <f t="shared" si="47"/>
        <v>1</v>
      </c>
      <c r="CR116" s="163">
        <f t="shared" si="47"/>
        <v>1</v>
      </c>
      <c r="CS116" s="163">
        <f t="shared" si="47"/>
        <v>1</v>
      </c>
    </row>
    <row r="117" spans="1:97" ht="15" customHeight="1" x14ac:dyDescent="0.15">
      <c r="A117" s="5609">
        <v>32101500</v>
      </c>
      <c r="B117" s="936" t="s">
        <v>4039</v>
      </c>
      <c r="C117" s="937" t="s">
        <v>4567</v>
      </c>
      <c r="D117" s="1568" t="s">
        <v>4568</v>
      </c>
      <c r="E117" s="1475" t="s">
        <v>4569</v>
      </c>
      <c r="F117" s="1466" t="s">
        <v>4570</v>
      </c>
      <c r="G117" s="1467" t="s">
        <v>4571</v>
      </c>
      <c r="H117" s="1467" t="s">
        <v>4572</v>
      </c>
      <c r="I117" s="1467" t="s">
        <v>4573</v>
      </c>
      <c r="J117" s="1467" t="s">
        <v>4574</v>
      </c>
      <c r="K117" s="1467" t="s">
        <v>4575</v>
      </c>
      <c r="L117" s="1467" t="s">
        <v>4576</v>
      </c>
      <c r="M117" s="1509" t="s">
        <v>4577</v>
      </c>
      <c r="N117" s="414" t="s">
        <v>4578</v>
      </c>
      <c r="O117" s="219" t="s">
        <v>4579</v>
      </c>
      <c r="P117" s="219" t="s">
        <v>4580</v>
      </c>
      <c r="Q117" s="219" t="s">
        <v>4581</v>
      </c>
      <c r="R117" s="219" t="s">
        <v>4582</v>
      </c>
      <c r="S117" s="219" t="s">
        <v>4583</v>
      </c>
      <c r="T117" s="219" t="s">
        <v>4584</v>
      </c>
      <c r="U117" s="219" t="s">
        <v>4585</v>
      </c>
      <c r="V117" s="1937" t="e">
        <f>CB117&amp;CC117&amp;CD117&amp;CE117&amp;CF117&amp;CG117&amp;CH117&amp;CI117</f>
        <v>#VALUE!</v>
      </c>
      <c r="CB117" s="162" t="e">
        <f>IF((D117+E117)&lt;&gt;C117,"  * Las atenciones según Sexo (Hombres/Mujeres) deben ser igual al Total de atenciones","")</f>
        <v>#VALUE!</v>
      </c>
      <c r="CC117" s="162" t="str">
        <f>IF(AND(E117&gt;0,O117="")," * No olvide digitar Embarazadas. Digite cero si no tiene.",IF(O117&gt;E117," * La variable Embarazadas no puede ser mayor al Total.",""))</f>
        <v xml:space="preserve"> * La variable Embarazadas no puede ser mayor al Total.</v>
      </c>
      <c r="CD117" s="162" t="str">
        <f>IF(AND(C117&gt;0,P117="")," * No olvide digitar Beneficiarios.",IF(P117&gt;C117," * Beneficiarios No puede ser mayor al Total.",""))</f>
        <v xml:space="preserve"> * Beneficiarios No puede ser mayor al Total.</v>
      </c>
      <c r="CE117" s="162" t="str">
        <f>IF(AND(C117&gt;0,Q117="")," * No olvide digitar Usuarios con discapacidad. Digite cero si no tiene.",IF(Q117&gt;C117," * Usuarios con discapacidad No puede ser mayor al Total.",""))</f>
        <v xml:space="preserve"> * Usuarios con discapacidad No puede ser mayor al Total.</v>
      </c>
      <c r="CF117" s="162" t="str">
        <f>IF(AND(C117&gt;0,R117="")," * No olvide digitar Niños, niñas, adolescentes y jóvenes SENAME. Digite cero si no tiene.",IF(R117&gt;C117," * Niños, niñas, adolescentes y jóvenes SENAME No puede ser mayor al Total.",""))</f>
        <v xml:space="preserve"> * Niños, niñas, adolescentes y jóvenes SENAME No puede ser mayor al Total.</v>
      </c>
      <c r="CG117" s="162" t="str">
        <f>IF(AND(C117&gt;0,S117="")," * No olvide digitar Niños, niñas, adolescentes y jóvenes Mejor Niñez. Digite cero si no tiene.",IF(S117&gt;C117," * Niños, niñas, adolescentes y jóvenes Mejor niñez No puede ser mayor al Total.",""))</f>
        <v xml:space="preserve"> * Niños, niñas, adolescentes y jóvenes Mejor niñez No puede ser mayor al Total.</v>
      </c>
      <c r="CH117" s="162" t="str">
        <f>IF(AND(C117&gt;0,T117="")," * No olvide digitar Pueblos originarios. Digite cero si no tiene.",IF(T117&gt;C117," * Pueblos originarios No puede ser mayor al Total.",""))</f>
        <v xml:space="preserve"> * Pueblos originarios No puede ser mayor al Total.</v>
      </c>
      <c r="CI117" s="162" t="str">
        <f>IF(AND(C117&gt;0,U117="")," * No olvide digitar Migrantes. Digite cero si no tiene.",IF(U117&gt;C117," * Migrantes No puede ser mayor al Total.",""))</f>
        <v xml:space="preserve"> * Migrantes No puede ser mayor al Total.</v>
      </c>
      <c r="CL117" s="163" t="e">
        <f>IF((D117+E117)&lt;&gt;$C117,1,0)</f>
        <v>#VALUE!</v>
      </c>
      <c r="CM117" s="163">
        <f>IF(AND($E117&gt;0,O117=""),1,IF(O117&gt;$E117,1,0))</f>
        <v>1</v>
      </c>
      <c r="CN117" s="163">
        <f t="shared" si="47"/>
        <v>1</v>
      </c>
      <c r="CO117" s="163">
        <f t="shared" si="47"/>
        <v>1</v>
      </c>
      <c r="CP117" s="163">
        <f t="shared" si="47"/>
        <v>1</v>
      </c>
      <c r="CQ117" s="163">
        <f t="shared" si="47"/>
        <v>1</v>
      </c>
      <c r="CR117" s="163">
        <f t="shared" si="47"/>
        <v>1</v>
      </c>
      <c r="CS117" s="163">
        <f t="shared" si="47"/>
        <v>1</v>
      </c>
    </row>
    <row r="118" spans="1:97" ht="15" customHeight="1" x14ac:dyDescent="0.25">
      <c r="A118" s="5616"/>
      <c r="B118" s="1417" t="s">
        <v>77</v>
      </c>
      <c r="C118" s="1563">
        <f t="shared" ref="C118:U118" si="48">SUM(C116:C117)</f>
        <v>0</v>
      </c>
      <c r="D118" s="1564">
        <f t="shared" si="48"/>
        <v>0</v>
      </c>
      <c r="E118" s="1243">
        <f t="shared" si="48"/>
        <v>0</v>
      </c>
      <c r="F118" s="1524">
        <f t="shared" si="48"/>
        <v>0</v>
      </c>
      <c r="G118" s="1565">
        <f t="shared" si="48"/>
        <v>0</v>
      </c>
      <c r="H118" s="1565">
        <f t="shared" si="48"/>
        <v>0</v>
      </c>
      <c r="I118" s="1565">
        <f t="shared" si="48"/>
        <v>0</v>
      </c>
      <c r="J118" s="1565">
        <f t="shared" si="48"/>
        <v>0</v>
      </c>
      <c r="K118" s="1565">
        <f t="shared" si="48"/>
        <v>0</v>
      </c>
      <c r="L118" s="1565">
        <f t="shared" si="48"/>
        <v>0</v>
      </c>
      <c r="M118" s="1244">
        <f t="shared" si="48"/>
        <v>0</v>
      </c>
      <c r="N118" s="1566">
        <f t="shared" si="48"/>
        <v>0</v>
      </c>
      <c r="O118" s="1567">
        <f t="shared" si="48"/>
        <v>0</v>
      </c>
      <c r="P118" s="1567">
        <f t="shared" si="48"/>
        <v>0</v>
      </c>
      <c r="Q118" s="1567">
        <f t="shared" si="48"/>
        <v>0</v>
      </c>
      <c r="R118" s="1567">
        <f t="shared" si="48"/>
        <v>0</v>
      </c>
      <c r="S118" s="1567">
        <f t="shared" si="48"/>
        <v>0</v>
      </c>
      <c r="T118" s="1567">
        <f t="shared" si="48"/>
        <v>0</v>
      </c>
      <c r="U118" s="1567">
        <f t="shared" si="48"/>
        <v>0</v>
      </c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  <c r="CN118" s="161"/>
    </row>
    <row r="119" spans="1:97" s="160" customFormat="1" ht="17.100000000000001" customHeight="1" x14ac:dyDescent="0.25">
      <c r="B119" s="7864" t="s">
        <v>4040</v>
      </c>
      <c r="C119" s="7864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  <c r="CN119" s="161"/>
    </row>
    <row r="120" spans="1:97" s="160" customFormat="1" ht="17.100000000000001" customHeight="1" x14ac:dyDescent="0.25">
      <c r="B120" s="7864" t="s">
        <v>4041</v>
      </c>
      <c r="C120" s="7864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  <c r="CN120" s="161"/>
    </row>
    <row r="121" spans="1:97" s="161" customFormat="1" ht="15" customHeight="1" x14ac:dyDescent="0.25">
      <c r="B121" s="7868" t="s">
        <v>4042</v>
      </c>
      <c r="C121" s="7868" t="s">
        <v>4043</v>
      </c>
      <c r="D121" s="7291" t="s">
        <v>29</v>
      </c>
      <c r="E121" s="7745"/>
      <c r="F121" s="7745"/>
      <c r="G121" s="7745"/>
      <c r="H121" s="7745"/>
      <c r="I121" s="7745"/>
      <c r="J121" s="7745"/>
      <c r="K121" s="7745"/>
      <c r="L121" s="7745"/>
      <c r="M121" s="7745"/>
      <c r="N121" s="7745"/>
      <c r="O121" s="7745"/>
      <c r="P121" s="7745"/>
      <c r="Q121" s="7745"/>
      <c r="R121" s="7745"/>
      <c r="S121" s="7745"/>
      <c r="T121" s="7339"/>
      <c r="U121" s="7869" t="s">
        <v>2409</v>
      </c>
      <c r="V121" s="7870"/>
      <c r="W121" s="7725" t="s">
        <v>1575</v>
      </c>
      <c r="X121" s="7725" t="s">
        <v>1576</v>
      </c>
      <c r="Y121" s="7838" t="s">
        <v>36</v>
      </c>
      <c r="Z121" s="7838" t="s">
        <v>37</v>
      </c>
      <c r="AA121" s="6786" t="s">
        <v>1030</v>
      </c>
      <c r="AB121" s="7863" t="s">
        <v>33</v>
      </c>
    </row>
    <row r="122" spans="1:97" s="161" customFormat="1" ht="36.75" customHeight="1" x14ac:dyDescent="0.25">
      <c r="B122" s="7868"/>
      <c r="C122" s="7868"/>
      <c r="D122" s="1286" t="s">
        <v>343</v>
      </c>
      <c r="E122" s="1213" t="s">
        <v>326</v>
      </c>
      <c r="F122" s="1110" t="s">
        <v>43</v>
      </c>
      <c r="G122" s="1213" t="s">
        <v>44</v>
      </c>
      <c r="H122" s="982" t="s">
        <v>45</v>
      </c>
      <c r="I122" s="982" t="s">
        <v>46</v>
      </c>
      <c r="J122" s="982" t="s">
        <v>47</v>
      </c>
      <c r="K122" s="982" t="s">
        <v>48</v>
      </c>
      <c r="L122" s="982" t="s">
        <v>49</v>
      </c>
      <c r="M122" s="982" t="s">
        <v>50</v>
      </c>
      <c r="N122" s="982" t="s">
        <v>51</v>
      </c>
      <c r="O122" s="982" t="s">
        <v>52</v>
      </c>
      <c r="P122" s="982" t="s">
        <v>53</v>
      </c>
      <c r="Q122" s="982" t="s">
        <v>54</v>
      </c>
      <c r="R122" s="982" t="s">
        <v>55</v>
      </c>
      <c r="S122" s="982" t="s">
        <v>56</v>
      </c>
      <c r="T122" s="1569" t="s">
        <v>57</v>
      </c>
      <c r="U122" s="1520" t="s">
        <v>58</v>
      </c>
      <c r="V122" s="1464" t="s">
        <v>59</v>
      </c>
      <c r="W122" s="7178"/>
      <c r="X122" s="7178"/>
      <c r="Y122" s="6739"/>
      <c r="Z122" s="6739"/>
      <c r="AA122" s="6955"/>
      <c r="AB122" s="6067"/>
    </row>
    <row r="123" spans="1:97" s="161" customFormat="1" ht="15" customHeight="1" x14ac:dyDescent="0.15">
      <c r="A123" s="5609">
        <v>32100670</v>
      </c>
      <c r="B123" s="1570" t="s">
        <v>4044</v>
      </c>
      <c r="C123" s="1571" t="s">
        <v>4567</v>
      </c>
      <c r="D123" s="1572" t="s">
        <v>4568</v>
      </c>
      <c r="E123" s="1573" t="s">
        <v>4569</v>
      </c>
      <c r="F123" s="1573" t="s">
        <v>4570</v>
      </c>
      <c r="G123" s="1573" t="s">
        <v>4571</v>
      </c>
      <c r="H123" s="1573" t="s">
        <v>4572</v>
      </c>
      <c r="I123" s="1573" t="s">
        <v>4573</v>
      </c>
      <c r="J123" s="1573" t="s">
        <v>4574</v>
      </c>
      <c r="K123" s="1573" t="s">
        <v>4575</v>
      </c>
      <c r="L123" s="1573" t="s">
        <v>4576</v>
      </c>
      <c r="M123" s="1573" t="s">
        <v>4577</v>
      </c>
      <c r="N123" s="1573" t="s">
        <v>4578</v>
      </c>
      <c r="O123" s="1573" t="s">
        <v>4579</v>
      </c>
      <c r="P123" s="1573" t="s">
        <v>4580</v>
      </c>
      <c r="Q123" s="1573" t="s">
        <v>4581</v>
      </c>
      <c r="R123" s="1573" t="s">
        <v>4582</v>
      </c>
      <c r="S123" s="1573" t="s">
        <v>4583</v>
      </c>
      <c r="T123" s="1574" t="s">
        <v>4584</v>
      </c>
      <c r="U123" s="415" t="s">
        <v>4585</v>
      </c>
      <c r="V123" s="173" t="s">
        <v>4586</v>
      </c>
      <c r="W123" s="1575" t="s">
        <v>4587</v>
      </c>
      <c r="X123" s="1576" t="s">
        <v>4588</v>
      </c>
      <c r="Y123" s="1576" t="s">
        <v>4589</v>
      </c>
      <c r="Z123" s="1576" t="s">
        <v>4590</v>
      </c>
      <c r="AA123" s="1577" t="s">
        <v>4591</v>
      </c>
      <c r="AB123" s="1577" t="s">
        <v>4592</v>
      </c>
      <c r="AC123" s="161" t="e">
        <f>BZ123&amp;CA123&amp;CB123&amp;CC123&amp;CD123&amp;CE123&amp;CF123</f>
        <v>#VALUE!</v>
      </c>
      <c r="BZ123" s="162" t="e">
        <f>IF((U123+V123)&lt;&gt;C123,"  * Las acciones según Sexo (Hombres/Mujeres) deben ser igual al Total de acciones","")</f>
        <v>#VALUE!</v>
      </c>
      <c r="CA123" s="162" t="str">
        <f>IF(AND(C123&gt;0,W123="")," * No olvide digitar la variable Serv. Nac. Reinserción Social Juvenil. Digite cero si no tiene.",IF(W123&gt;C123," * La variable Serv. Nac. Reinserción Social Juvenil no puede ser mayor que el Total.",""))</f>
        <v xml:space="preserve"> * La variable Serv. Nac. Reinserción Social Juvenil no puede ser mayor que el Total.</v>
      </c>
      <c r="CB123" s="162" t="str">
        <f>IF(AND($C123&gt;0,X123="")," * No olvide digitar la variable Serv. Nac. Protección Especializada a la Niñez y Adolescencia. Digite cero si no tiene.",IF(X123&gt;$C123," * La variables Serv. Nac. Protección Especializada a la Niñez y Adolescencia no puede ser mayor que el Total.",""))</f>
        <v xml:space="preserve"> * La variables Serv. Nac. Protección Especializada a la Niñez y Adolescencia no puede ser mayor que el Total.</v>
      </c>
      <c r="CC123" s="162" t="str">
        <f>IF(AND($C123&gt;0,Y123="")," * No olvide digitar la variable Pueblos Originarios. Digite cero si no tiene.",IF(Y123&gt;$C123," * La variable Pueblos originarios no puede ser mayor que el Total.",""))</f>
        <v xml:space="preserve"> * La variable Pueblos originarios no puede ser mayor que el Total.</v>
      </c>
      <c r="CD123" s="162" t="str">
        <f>IF(AND($C123&gt;0,Z123="")," * No olvide digitar la variable Migrantes. Digite cero si no tiene.",IF(Z123&gt;$C123," * La variableMigrantes no puede ser mayor que el Total.",""))</f>
        <v xml:space="preserve"> * La variableMigrantes no puede ser mayor que el Total.</v>
      </c>
      <c r="CE123" s="162" t="str">
        <f>IF(AND($C123&gt;0,AA123="")," * No olvide digitar la variable el campo  Demencia. Digite cero si no tiene.",IF(AA123&gt;$C123," * La variable Demencia No puede ser mayor que el Total.",""))</f>
        <v xml:space="preserve"> * La variable Demencia No puede ser mayor que el Total.</v>
      </c>
      <c r="CF123" s="162" t="str">
        <f>IF(AND($C123&gt;0,AB123="")," * No olvide digitar la variable Espacios Amigables/Adolescentes. Digite cero si no tiene.",IF(AB123&gt;$C123," * La variable Espacios Amigables/Adolescente No puede ser mayor que el Total.",""))</f>
        <v xml:space="preserve"> * La variable Espacios Amigables/Adolescente No puede ser mayor que el Total.</v>
      </c>
      <c r="CJ123" s="163" t="e">
        <f>IF((U123+V123)&lt;&gt;C123,1,0)</f>
        <v>#VALUE!</v>
      </c>
      <c r="CK123" s="163">
        <f>IF(AND(C123&gt;0,W123=""),1,IF(W123&gt;C123,1,0))</f>
        <v>1</v>
      </c>
      <c r="CL123" s="163">
        <f>IF(AND(C123&gt;0,X123=""),1,IF(X123&gt;C123,1,0))</f>
        <v>1</v>
      </c>
      <c r="CM123" s="163">
        <f>IF(AND(C123&gt;0,Y123=""),1,IF(Y123&gt;C123,1,0))</f>
        <v>1</v>
      </c>
      <c r="CN123" s="163">
        <f>IF(AND(C123&gt;0,Z123=""),1,IF(Z123&gt;C123,1,0))</f>
        <v>1</v>
      </c>
      <c r="CO123" s="163">
        <f>IF(AND(C123&gt;0,AA123=""),1,IF(AA123&gt;C123,1,0))</f>
        <v>1</v>
      </c>
      <c r="CP123" s="163">
        <f>IF(AND(C123&gt;0,AB123=""),1,IF(AB123&gt;C123,1,0))</f>
        <v>1</v>
      </c>
    </row>
    <row r="124" spans="1:97" s="161" customFormat="1" ht="15" customHeight="1" x14ac:dyDescent="0.15">
      <c r="A124" s="5609">
        <v>32100680</v>
      </c>
      <c r="B124" s="1056" t="s">
        <v>4045</v>
      </c>
      <c r="C124" s="1578" t="s">
        <v>4567</v>
      </c>
      <c r="D124" s="1572" t="s">
        <v>4568</v>
      </c>
      <c r="E124" s="1573" t="s">
        <v>4569</v>
      </c>
      <c r="F124" s="1573" t="s">
        <v>4570</v>
      </c>
      <c r="G124" s="1573" t="s">
        <v>4571</v>
      </c>
      <c r="H124" s="1573" t="s">
        <v>4572</v>
      </c>
      <c r="I124" s="1573" t="s">
        <v>4573</v>
      </c>
      <c r="J124" s="1573" t="s">
        <v>4574</v>
      </c>
      <c r="K124" s="1573" t="s">
        <v>4575</v>
      </c>
      <c r="L124" s="1573" t="s">
        <v>4576</v>
      </c>
      <c r="M124" s="1573" t="s">
        <v>4577</v>
      </c>
      <c r="N124" s="1573" t="s">
        <v>4578</v>
      </c>
      <c r="O124" s="1573" t="s">
        <v>4579</v>
      </c>
      <c r="P124" s="1573" t="s">
        <v>4580</v>
      </c>
      <c r="Q124" s="1573" t="s">
        <v>4581</v>
      </c>
      <c r="R124" s="1573" t="s">
        <v>4582</v>
      </c>
      <c r="S124" s="1573" t="s">
        <v>4583</v>
      </c>
      <c r="T124" s="1574" t="s">
        <v>4584</v>
      </c>
      <c r="U124" s="1579" t="s">
        <v>4585</v>
      </c>
      <c r="V124" s="1580" t="s">
        <v>4586</v>
      </c>
      <c r="W124" s="1575" t="s">
        <v>4587</v>
      </c>
      <c r="X124" s="1576" t="s">
        <v>4588</v>
      </c>
      <c r="Y124" s="1576" t="s">
        <v>4589</v>
      </c>
      <c r="Z124" s="1576" t="s">
        <v>4590</v>
      </c>
      <c r="AA124" s="1577" t="s">
        <v>4591</v>
      </c>
      <c r="AB124" s="1577" t="s">
        <v>4592</v>
      </c>
      <c r="AC124" s="161" t="e">
        <f>CB124&amp;CC124&amp;CD124&amp;CE124&amp;CF124&amp;CG124&amp;CH124</f>
        <v>#VALUE!</v>
      </c>
      <c r="CB124" s="162" t="e">
        <f t="shared" ref="CB124:CB125" si="49">IF((U124+V124)&lt;&gt;C124,"  * Las acciones según Sexo (Hombres/Mujeres) deben ser igual al Total de acciones","")</f>
        <v>#VALUE!</v>
      </c>
      <c r="CC124" s="162" t="str">
        <f t="shared" ref="CC124:CC125" si="50">IF(AND(C124&gt;0,W124="")," * No olvide digitar la variable Serv. Nac. Reinserción Social Juvenil. Digite cero si no tiene.",IF(W124&gt;C124," * La variable Serv. Nac. Reinserción Social Juvenil no puede ser mayor que el Total.",""))</f>
        <v xml:space="preserve"> * La variable Serv. Nac. Reinserción Social Juvenil no puede ser mayor que el Total.</v>
      </c>
      <c r="CD124" s="162" t="str">
        <f t="shared" ref="CD124:CD125" si="51">IF(AND($C124&gt;0,X124="")," * No olvide digitar la variable Serv. Nac. Protección Especializada a la Niñez y Adolescencia. Digite cero si no tiene.",IF(X124&gt;$C124," * La variables Serv. Nac. Protección Especializada a la Niñez y Adolescencia no puede ser mayor que el Total.",""))</f>
        <v xml:space="preserve"> * La variables Serv. Nac. Protección Especializada a la Niñez y Adolescencia no puede ser mayor que el Total.</v>
      </c>
      <c r="CE124" s="162" t="str">
        <f t="shared" ref="CE124:CE125" si="52">IF(AND($C124&gt;0,Y124="")," * No olvide digitar la variable Pueblos Originarios. Digite cero si no tiene.",IF(Y124&gt;$C124," * La variable Pueblos originarios no puede ser mayor que el Total.",""))</f>
        <v xml:space="preserve"> * La variable Pueblos originarios no puede ser mayor que el Total.</v>
      </c>
      <c r="CF124" s="162" t="str">
        <f t="shared" ref="CF124:CF125" si="53">IF(AND($C124&gt;0,Z124="")," * No olvide digitar la variable Migrantes. Digite cero si no tiene.",IF(Z124&gt;$C124," * La variableMigrantes no puede ser mayor que el Total.",""))</f>
        <v xml:space="preserve"> * La variableMigrantes no puede ser mayor que el Total.</v>
      </c>
      <c r="CG124" s="162" t="str">
        <f t="shared" ref="CG124:CG125" si="54">IF(AND($C124&gt;0,AA124="")," * No olvide digitar la variable el campo  Demencia. Digite cero si no tiene.",IF(AA124&gt;$C124," * La variable Demencia No puede ser mayor que el Total.",""))</f>
        <v xml:space="preserve"> * La variable Demencia No puede ser mayor que el Total.</v>
      </c>
      <c r="CH124" s="162" t="str">
        <f t="shared" ref="CH124:CH125" si="55">IF(AND($C124&gt;0,AB124="")," * No olvide digitar la variable Espacios Amigables/Adolescentes. Digite cero si no tiene.",IF(AB124&gt;$C124," * La variable Espacios Amigables/Adolescente No puede ser mayor que el Total.",""))</f>
        <v xml:space="preserve"> * La variable Espacios Amigables/Adolescente No puede ser mayor que el Total.</v>
      </c>
      <c r="CL124" s="163" t="e">
        <f>IF((U124+V124)&lt;&gt;C124,1,0)</f>
        <v>#VALUE!</v>
      </c>
      <c r="CM124" s="163">
        <f>IF(AND(C124&gt;0,W124=""),1,IF(W124&gt;C124,1,0))</f>
        <v>1</v>
      </c>
      <c r="CN124" s="163">
        <f>IF(AND(C124&gt;0,X124=""),1,IF(X124&gt;C124,1,0))</f>
        <v>1</v>
      </c>
      <c r="CO124" s="163">
        <f>IF(AND(C124&gt;0,Y124=""),1,IF(Y124&gt;C124,1,0))</f>
        <v>1</v>
      </c>
      <c r="CP124" s="163">
        <f>IF(AND(C124&gt;0,Z124=""),1,IF(Z124&gt;C124,1,0))</f>
        <v>1</v>
      </c>
      <c r="CQ124" s="163">
        <f>IF(AND(C124&gt;0,AA124=""),1,IF(AA124&gt;C124,1,0))</f>
        <v>1</v>
      </c>
      <c r="CR124" s="163">
        <f>IF(AND(C124&gt;0,AB124=""),1,IF(AB124&gt;C124,1,0))</f>
        <v>1</v>
      </c>
    </row>
    <row r="125" spans="1:97" s="161" customFormat="1" ht="15" customHeight="1" x14ac:dyDescent="0.15">
      <c r="A125" s="5609">
        <v>32100690</v>
      </c>
      <c r="B125" s="416" t="s">
        <v>4046</v>
      </c>
      <c r="C125" s="1581" t="s">
        <v>4567</v>
      </c>
      <c r="D125" s="1582" t="s">
        <v>4568</v>
      </c>
      <c r="E125" s="271" t="s">
        <v>4569</v>
      </c>
      <c r="F125" s="271" t="s">
        <v>4570</v>
      </c>
      <c r="G125" s="271" t="s">
        <v>4571</v>
      </c>
      <c r="H125" s="271" t="s">
        <v>4572</v>
      </c>
      <c r="I125" s="271" t="s">
        <v>4573</v>
      </c>
      <c r="J125" s="271" t="s">
        <v>4574</v>
      </c>
      <c r="K125" s="271" t="s">
        <v>4575</v>
      </c>
      <c r="L125" s="271" t="s">
        <v>4576</v>
      </c>
      <c r="M125" s="271" t="s">
        <v>4577</v>
      </c>
      <c r="N125" s="271" t="s">
        <v>4578</v>
      </c>
      <c r="O125" s="271" t="s">
        <v>4579</v>
      </c>
      <c r="P125" s="271" t="s">
        <v>4580</v>
      </c>
      <c r="Q125" s="271" t="s">
        <v>4581</v>
      </c>
      <c r="R125" s="271" t="s">
        <v>4582</v>
      </c>
      <c r="S125" s="271" t="s">
        <v>4583</v>
      </c>
      <c r="T125" s="1583" t="s">
        <v>4584</v>
      </c>
      <c r="U125" s="272" t="s">
        <v>4585</v>
      </c>
      <c r="V125" s="1584" t="s">
        <v>4586</v>
      </c>
      <c r="W125" s="273" t="s">
        <v>4587</v>
      </c>
      <c r="X125" s="1585" t="s">
        <v>4588</v>
      </c>
      <c r="Y125" s="1585" t="s">
        <v>4589</v>
      </c>
      <c r="Z125" s="1585" t="s">
        <v>4590</v>
      </c>
      <c r="AA125" s="1586" t="s">
        <v>4591</v>
      </c>
      <c r="AB125" s="1586" t="s">
        <v>4592</v>
      </c>
      <c r="AC125" s="161" t="e">
        <f>CB125&amp;CC125&amp;CD125&amp;CE125&amp;CF125&amp;CG125&amp;CH125</f>
        <v>#VALUE!</v>
      </c>
      <c r="CB125" s="162" t="e">
        <f t="shared" si="49"/>
        <v>#VALUE!</v>
      </c>
      <c r="CC125" s="162" t="str">
        <f t="shared" si="50"/>
        <v xml:space="preserve"> * La variable Serv. Nac. Reinserción Social Juvenil no puede ser mayor que el Total.</v>
      </c>
      <c r="CD125" s="162" t="str">
        <f t="shared" si="51"/>
        <v xml:space="preserve"> * La variables Serv. Nac. Protección Especializada a la Niñez y Adolescencia no puede ser mayor que el Total.</v>
      </c>
      <c r="CE125" s="162" t="str">
        <f t="shared" si="52"/>
        <v xml:space="preserve"> * La variable Pueblos originarios no puede ser mayor que el Total.</v>
      </c>
      <c r="CF125" s="162" t="str">
        <f t="shared" si="53"/>
        <v xml:space="preserve"> * La variableMigrantes no puede ser mayor que el Total.</v>
      </c>
      <c r="CG125" s="162" t="str">
        <f t="shared" si="54"/>
        <v xml:space="preserve"> * La variable Demencia No puede ser mayor que el Total.</v>
      </c>
      <c r="CH125" s="162" t="str">
        <f t="shared" si="55"/>
        <v xml:space="preserve"> * La variable Espacios Amigables/Adolescente No puede ser mayor que el Total.</v>
      </c>
      <c r="CL125" s="163" t="e">
        <f>IF((U125+V125)&lt;&gt;C125,1,0)</f>
        <v>#VALUE!</v>
      </c>
      <c r="CM125" s="163">
        <f>IF(AND(C125&gt;0,W125=""),1,IF(W125&gt;C125,1,0))</f>
        <v>1</v>
      </c>
      <c r="CN125" s="163">
        <f>IF(AND(C125&gt;0,X125=""),1,IF(X125&gt;C125,1,0))</f>
        <v>1</v>
      </c>
      <c r="CO125" s="163">
        <f>IF(AND(C125&gt;0,Y125=""),1,IF(Y125&gt;C125,1,0))</f>
        <v>1</v>
      </c>
      <c r="CP125" s="163">
        <f>IF(AND(C125&gt;0,Z125=""),1,IF(Z125&gt;C125,1,0))</f>
        <v>1</v>
      </c>
      <c r="CQ125" s="163">
        <f>IF(AND(C125&gt;0,AA125=""),1,IF(AA125&gt;C125,1,0))</f>
        <v>1</v>
      </c>
      <c r="CR125" s="163">
        <f>IF(AND(C125&gt;0,AB125=""),1,IF(AB125&gt;C125,1,0))</f>
        <v>1</v>
      </c>
    </row>
    <row r="126" spans="1:97" s="160" customFormat="1" ht="18" customHeight="1" x14ac:dyDescent="0.25">
      <c r="B126" s="7864" t="s">
        <v>4047</v>
      </c>
      <c r="C126" s="7864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  <c r="CN126" s="161"/>
    </row>
    <row r="127" spans="1:97" s="161" customFormat="1" ht="15" customHeight="1" x14ac:dyDescent="0.25">
      <c r="B127" s="7729" t="s">
        <v>1093</v>
      </c>
      <c r="C127" s="7729" t="s">
        <v>27</v>
      </c>
      <c r="D127" s="7673" t="s">
        <v>77</v>
      </c>
      <c r="E127" s="7674"/>
      <c r="F127" s="6786"/>
      <c r="G127" s="7291" t="s">
        <v>101</v>
      </c>
      <c r="H127" s="7745"/>
      <c r="I127" s="7745"/>
      <c r="J127" s="7745"/>
      <c r="K127" s="7745"/>
      <c r="L127" s="7745"/>
      <c r="M127" s="7745"/>
      <c r="N127" s="7745"/>
      <c r="O127" s="7745"/>
      <c r="P127" s="7745"/>
      <c r="Q127" s="7745"/>
      <c r="R127" s="7745"/>
      <c r="S127" s="7745"/>
      <c r="T127" s="7745"/>
      <c r="U127" s="7745"/>
      <c r="V127" s="7745"/>
      <c r="W127" s="7745"/>
      <c r="X127" s="7745"/>
      <c r="Y127" s="7745"/>
      <c r="Z127" s="7745"/>
      <c r="AA127" s="7745"/>
      <c r="AB127" s="7745"/>
      <c r="AC127" s="7745"/>
      <c r="AD127" s="7745"/>
      <c r="AE127" s="7745"/>
      <c r="AF127" s="7745"/>
      <c r="AG127" s="7745"/>
      <c r="AH127" s="7745"/>
      <c r="AI127" s="7745"/>
      <c r="AJ127" s="7745"/>
      <c r="AK127" s="7745"/>
      <c r="AL127" s="7745"/>
      <c r="AM127" s="7745"/>
      <c r="AN127" s="7339"/>
      <c r="AO127" s="7862" t="s">
        <v>1575</v>
      </c>
      <c r="AP127" s="7797" t="s">
        <v>1576</v>
      </c>
      <c r="AQ127" s="6777" t="s">
        <v>36</v>
      </c>
      <c r="AR127" s="6777" t="s">
        <v>37</v>
      </c>
      <c r="AS127" s="6777" t="s">
        <v>1030</v>
      </c>
      <c r="AT127" s="7863" t="s">
        <v>33</v>
      </c>
    </row>
    <row r="128" spans="1:97" s="161" customFormat="1" ht="15" customHeight="1" x14ac:dyDescent="0.25">
      <c r="B128" s="6350"/>
      <c r="C128" s="6350"/>
      <c r="D128" s="6734"/>
      <c r="E128" s="6735"/>
      <c r="F128" s="6955"/>
      <c r="G128" s="7257" t="s">
        <v>343</v>
      </c>
      <c r="H128" s="7759"/>
      <c r="I128" s="7257" t="s">
        <v>326</v>
      </c>
      <c r="J128" s="7759"/>
      <c r="K128" s="7257" t="s">
        <v>94</v>
      </c>
      <c r="L128" s="7759"/>
      <c r="M128" s="7257" t="s">
        <v>44</v>
      </c>
      <c r="N128" s="7746"/>
      <c r="O128" s="7257" t="s">
        <v>45</v>
      </c>
      <c r="P128" s="7759"/>
      <c r="Q128" s="7291" t="s">
        <v>46</v>
      </c>
      <c r="R128" s="7727"/>
      <c r="S128" s="7291" t="s">
        <v>47</v>
      </c>
      <c r="T128" s="7727"/>
      <c r="U128" s="7291" t="s">
        <v>48</v>
      </c>
      <c r="V128" s="7727"/>
      <c r="W128" s="7291" t="s">
        <v>49</v>
      </c>
      <c r="X128" s="7727"/>
      <c r="Y128" s="7291" t="s">
        <v>50</v>
      </c>
      <c r="Z128" s="7727"/>
      <c r="AA128" s="7291" t="s">
        <v>51</v>
      </c>
      <c r="AB128" s="7727"/>
      <c r="AC128" s="7291" t="s">
        <v>52</v>
      </c>
      <c r="AD128" s="7727"/>
      <c r="AE128" s="7291" t="s">
        <v>53</v>
      </c>
      <c r="AF128" s="7727"/>
      <c r="AG128" s="7291" t="s">
        <v>54</v>
      </c>
      <c r="AH128" s="7727"/>
      <c r="AI128" s="7291" t="s">
        <v>55</v>
      </c>
      <c r="AJ128" s="7727"/>
      <c r="AK128" s="7291" t="s">
        <v>56</v>
      </c>
      <c r="AL128" s="7727"/>
      <c r="AM128" s="7291" t="s">
        <v>57</v>
      </c>
      <c r="AN128" s="7339"/>
      <c r="AO128" s="7862"/>
      <c r="AP128" s="7797"/>
      <c r="AQ128" s="6386"/>
      <c r="AR128" s="6386"/>
      <c r="AS128" s="6386"/>
      <c r="AT128" s="6066"/>
    </row>
    <row r="129" spans="1:96" s="161" customFormat="1" ht="28.5" customHeight="1" x14ac:dyDescent="0.25">
      <c r="B129" s="6733"/>
      <c r="C129" s="6733"/>
      <c r="D129" s="1287" t="s">
        <v>79</v>
      </c>
      <c r="E129" s="1110" t="s">
        <v>58</v>
      </c>
      <c r="F129" s="1433" t="s">
        <v>59</v>
      </c>
      <c r="G129" s="1286" t="s">
        <v>58</v>
      </c>
      <c r="H129" s="1433" t="s">
        <v>59</v>
      </c>
      <c r="I129" s="1286" t="s">
        <v>58</v>
      </c>
      <c r="J129" s="1433" t="s">
        <v>59</v>
      </c>
      <c r="K129" s="1286" t="s">
        <v>58</v>
      </c>
      <c r="L129" s="1433" t="s">
        <v>59</v>
      </c>
      <c r="M129" s="1110" t="s">
        <v>58</v>
      </c>
      <c r="N129" s="1214" t="s">
        <v>59</v>
      </c>
      <c r="O129" s="1286" t="s">
        <v>58</v>
      </c>
      <c r="P129" s="1227" t="s">
        <v>59</v>
      </c>
      <c r="Q129" s="1286" t="s">
        <v>58</v>
      </c>
      <c r="R129" s="1227" t="s">
        <v>59</v>
      </c>
      <c r="S129" s="1110" t="s">
        <v>58</v>
      </c>
      <c r="T129" s="1227" t="s">
        <v>59</v>
      </c>
      <c r="U129" s="1110" t="s">
        <v>58</v>
      </c>
      <c r="V129" s="1227" t="s">
        <v>59</v>
      </c>
      <c r="W129" s="1286" t="s">
        <v>58</v>
      </c>
      <c r="X129" s="1227" t="s">
        <v>59</v>
      </c>
      <c r="Y129" s="1110" t="s">
        <v>58</v>
      </c>
      <c r="Z129" s="1227" t="s">
        <v>59</v>
      </c>
      <c r="AA129" s="1110" t="s">
        <v>58</v>
      </c>
      <c r="AB129" s="1227" t="s">
        <v>59</v>
      </c>
      <c r="AC129" s="1110" t="s">
        <v>58</v>
      </c>
      <c r="AD129" s="1227" t="s">
        <v>59</v>
      </c>
      <c r="AE129" s="1110" t="s">
        <v>58</v>
      </c>
      <c r="AF129" s="1227" t="s">
        <v>59</v>
      </c>
      <c r="AG129" s="1110" t="s">
        <v>58</v>
      </c>
      <c r="AH129" s="1227" t="s">
        <v>59</v>
      </c>
      <c r="AI129" s="1110" t="s">
        <v>58</v>
      </c>
      <c r="AJ129" s="1227" t="s">
        <v>59</v>
      </c>
      <c r="AK129" s="1110" t="s">
        <v>58</v>
      </c>
      <c r="AL129" s="1227" t="s">
        <v>59</v>
      </c>
      <c r="AM129" s="1110" t="s">
        <v>58</v>
      </c>
      <c r="AN129" s="1216" t="s">
        <v>59</v>
      </c>
      <c r="AO129" s="7862"/>
      <c r="AP129" s="7797"/>
      <c r="AQ129" s="6086"/>
      <c r="AR129" s="6086"/>
      <c r="AS129" s="6086"/>
      <c r="AT129" s="6067"/>
    </row>
    <row r="130" spans="1:96" s="161" customFormat="1" ht="15" customHeight="1" x14ac:dyDescent="0.15">
      <c r="A130" s="5609">
        <v>32100700</v>
      </c>
      <c r="B130" s="7835" t="s">
        <v>4048</v>
      </c>
      <c r="C130" s="1142" t="s">
        <v>64</v>
      </c>
      <c r="D130" s="1587" t="s">
        <v>4567</v>
      </c>
      <c r="E130" s="1588" t="s">
        <v>4568</v>
      </c>
      <c r="F130" s="1589" t="s">
        <v>4569</v>
      </c>
      <c r="G130" s="1590" t="s">
        <v>4570</v>
      </c>
      <c r="H130" s="1591" t="s">
        <v>4571</v>
      </c>
      <c r="I130" s="1590" t="s">
        <v>4572</v>
      </c>
      <c r="J130" s="1591" t="s">
        <v>4573</v>
      </c>
      <c r="K130" s="1590" t="s">
        <v>4574</v>
      </c>
      <c r="L130" s="1591" t="s">
        <v>4575</v>
      </c>
      <c r="M130" s="1592" t="s">
        <v>4576</v>
      </c>
      <c r="N130" s="1593" t="s">
        <v>4577</v>
      </c>
      <c r="O130" s="1590" t="s">
        <v>4578</v>
      </c>
      <c r="P130" s="1594" t="s">
        <v>4579</v>
      </c>
      <c r="Q130" s="1590" t="s">
        <v>4580</v>
      </c>
      <c r="R130" s="1594" t="s">
        <v>4581</v>
      </c>
      <c r="S130" s="1592" t="s">
        <v>4582</v>
      </c>
      <c r="T130" s="1594" t="s">
        <v>4583</v>
      </c>
      <c r="U130" s="1592" t="s">
        <v>4584</v>
      </c>
      <c r="V130" s="1594" t="s">
        <v>4585</v>
      </c>
      <c r="W130" s="1590" t="s">
        <v>4586</v>
      </c>
      <c r="X130" s="1591" t="s">
        <v>4587</v>
      </c>
      <c r="Y130" s="1592" t="s">
        <v>4588</v>
      </c>
      <c r="Z130" s="1591" t="s">
        <v>4589</v>
      </c>
      <c r="AA130" s="1592" t="s">
        <v>4590</v>
      </c>
      <c r="AB130" s="1594" t="s">
        <v>4591</v>
      </c>
      <c r="AC130" s="1592" t="s">
        <v>4592</v>
      </c>
      <c r="AD130" s="1594" t="s">
        <v>4593</v>
      </c>
      <c r="AE130" s="1592" t="s">
        <v>4594</v>
      </c>
      <c r="AF130" s="1594" t="s">
        <v>4595</v>
      </c>
      <c r="AG130" s="1592" t="s">
        <v>4596</v>
      </c>
      <c r="AH130" s="1594" t="s">
        <v>4597</v>
      </c>
      <c r="AI130" s="1592" t="s">
        <v>4598</v>
      </c>
      <c r="AJ130" s="1594" t="s">
        <v>4599</v>
      </c>
      <c r="AK130" s="1592" t="s">
        <v>4600</v>
      </c>
      <c r="AL130" s="1594" t="s">
        <v>4601</v>
      </c>
      <c r="AM130" s="1592" t="s">
        <v>4602</v>
      </c>
      <c r="AN130" s="1593" t="s">
        <v>4603</v>
      </c>
      <c r="AO130" s="1595" t="s">
        <v>4604</v>
      </c>
      <c r="AP130" s="1591" t="s">
        <v>4605</v>
      </c>
      <c r="AQ130" s="1596" t="s">
        <v>4606</v>
      </c>
      <c r="AR130" s="1596" t="s">
        <v>4934</v>
      </c>
      <c r="AS130" s="1596" t="s">
        <v>4935</v>
      </c>
      <c r="AT130" s="1594" t="s">
        <v>4936</v>
      </c>
      <c r="AV130" s="161" t="str">
        <f t="shared" ref="AV130:AV139" si="56">CC130&amp;CD130&amp;CE130&amp;CF130&amp;CG130</f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0" s="162" t="str">
        <f t="shared" ref="CC130:CC139" si="57">IF(AND($D130&gt;0,AO130="")," * No olvide digitar la variable Serv. Nac. Reinserción Social Juvenil. Digite Cero si no tiene",IF(AO130&gt;$D130," * La variable Serv. Nac. Reinserción Social Juvenil no puede ser mayor al Total.",""))</f>
        <v xml:space="preserve"> * La variable Serv. Nac. Reinserción Social Juvenil no puede ser mayor al Total.</v>
      </c>
      <c r="CD130" s="162" t="str">
        <f>IF(AND($D130&gt;0,AQ130="")," * No olvide digitar la variable Pueblos originarios. Digite cero si no tiene",IF(AQ130&gt;$D130," * La variable Pueblos Originarios no puede ser mayor al Total.",""))</f>
        <v xml:space="preserve"> * La variable Pueblos Originarios no puede ser mayor al Total.</v>
      </c>
      <c r="CE130" s="162" t="str">
        <f>IF(AND($D130&gt;0,AR130="")," * No olvide digitar la variable Migrantes. Digite cero si no tiene.",IF(AR130&gt;$D130," * La variable Migrantes no puede ser mayor al Total.",""))</f>
        <v xml:space="preserve"> * La variable Migrantes no puede ser mayor al Total.</v>
      </c>
      <c r="CF130" s="162" t="str">
        <f>IF(AND($D130&gt;0,AS130="")," * No olvide digitar la variable Demencia. Digite cero si no tiene.",IF(AS130&gt;$D130," * La variable Demencia no puede ser mayor al Total.",""))</f>
        <v xml:space="preserve"> * La variable Demencia no puede ser mayor al Total.</v>
      </c>
      <c r="CG130" s="162" t="str">
        <f>IF(AND($D130&gt;0,AT130="")," * No olvide digitar la variable Espacios Amigables/Adolescentes. Digite cero si no tiene.",IF(AT130&gt;$D130," * La variable Espacios Amigables/adolescentes no puede ser mayor al Total.",""))</f>
        <v xml:space="preserve"> * La variable Espacios Amigables/adolescentes no puede ser mayor al Total.</v>
      </c>
      <c r="CH130" s="162" t="str">
        <f t="shared" ref="CH130:CH139" si="58">IF(AND($D130&gt;0,AP130="")," * No olvide digitar la variable Serv. Nac. Reinserción Social Juvenil. Digite cero si no tiene.",IF(AP130&gt;$D130," * La variable Serv. Nac. Reinserción Social Juvenil no puede ser mayor al Total.",""))</f>
        <v xml:space="preserve"> * La variable Serv. Nac. Reinserción Social Juvenil no puede ser mayor al Total.</v>
      </c>
      <c r="CK130" s="164"/>
      <c r="CL130" s="164"/>
      <c r="CM130" s="163">
        <f t="shared" ref="CM130:CM139" si="59">IF(AND(D130&gt;0,AO130=""),1,IF(AO130&gt;D130,1,0))</f>
        <v>1</v>
      </c>
      <c r="CN130" s="163">
        <f t="shared" ref="CN130:CN139" si="60">IF(AND(D130&gt;0,AQ130=""),1,IF(AQ130&gt;D130,1,0))</f>
        <v>1</v>
      </c>
      <c r="CO130" s="163">
        <f t="shared" ref="CO130:CO139" si="61">IF(AND(D130&gt;0,AR130=""),1,IF(AR130&gt;D130,1,0))</f>
        <v>1</v>
      </c>
      <c r="CP130" s="163">
        <f t="shared" ref="CP130:CP139" si="62">IF(AND(D130&gt;0,AS130=""),1,IF(AS130&gt;D130,1,0))</f>
        <v>1</v>
      </c>
      <c r="CQ130" s="163">
        <f t="shared" ref="CQ130:CQ139" si="63">IF(AND(D130&gt;0,AT130=""),1,IF(AT130&gt;D130,1,0))</f>
        <v>1</v>
      </c>
      <c r="CR130" s="163">
        <f t="shared" ref="CR130:CR139" si="64">IF(AND(D130&gt;0,AP130=""),1,IF(AP130&gt;D130,1,0))</f>
        <v>1</v>
      </c>
    </row>
    <row r="131" spans="1:96" s="161" customFormat="1" ht="15" customHeight="1" x14ac:dyDescent="0.15">
      <c r="A131" s="5609">
        <v>32100710</v>
      </c>
      <c r="B131" s="6112"/>
      <c r="C131" s="949" t="s">
        <v>1034</v>
      </c>
      <c r="D131" s="1597" t="s">
        <v>4567</v>
      </c>
      <c r="E131" s="1598" t="s">
        <v>4568</v>
      </c>
      <c r="F131" s="1599" t="s">
        <v>4569</v>
      </c>
      <c r="G131" s="1572" t="s">
        <v>4570</v>
      </c>
      <c r="H131" s="1577" t="s">
        <v>4571</v>
      </c>
      <c r="I131" s="1572" t="s">
        <v>4572</v>
      </c>
      <c r="J131" s="1577" t="s">
        <v>4573</v>
      </c>
      <c r="K131" s="1572" t="s">
        <v>4574</v>
      </c>
      <c r="L131" s="1577" t="s">
        <v>4575</v>
      </c>
      <c r="M131" s="1600" t="s">
        <v>4576</v>
      </c>
      <c r="N131" s="1601" t="s">
        <v>4577</v>
      </c>
      <c r="O131" s="1572" t="s">
        <v>4578</v>
      </c>
      <c r="P131" s="1602" t="s">
        <v>4579</v>
      </c>
      <c r="Q131" s="1572" t="s">
        <v>4580</v>
      </c>
      <c r="R131" s="1602" t="s">
        <v>4581</v>
      </c>
      <c r="S131" s="1600" t="s">
        <v>4582</v>
      </c>
      <c r="T131" s="1602" t="s">
        <v>4583</v>
      </c>
      <c r="U131" s="1600" t="s">
        <v>4584</v>
      </c>
      <c r="V131" s="1602" t="s">
        <v>4585</v>
      </c>
      <c r="W131" s="1572" t="s">
        <v>4586</v>
      </c>
      <c r="X131" s="1577" t="s">
        <v>4587</v>
      </c>
      <c r="Y131" s="1600" t="s">
        <v>4588</v>
      </c>
      <c r="Z131" s="1577" t="s">
        <v>4589</v>
      </c>
      <c r="AA131" s="1600" t="s">
        <v>4590</v>
      </c>
      <c r="AB131" s="1602" t="s">
        <v>4591</v>
      </c>
      <c r="AC131" s="1600" t="s">
        <v>4592</v>
      </c>
      <c r="AD131" s="1602" t="s">
        <v>4593</v>
      </c>
      <c r="AE131" s="1600" t="s">
        <v>4594</v>
      </c>
      <c r="AF131" s="1602" t="s">
        <v>4595</v>
      </c>
      <c r="AG131" s="1600" t="s">
        <v>4596</v>
      </c>
      <c r="AH131" s="1602" t="s">
        <v>4597</v>
      </c>
      <c r="AI131" s="1600" t="s">
        <v>4598</v>
      </c>
      <c r="AJ131" s="1602" t="s">
        <v>4599</v>
      </c>
      <c r="AK131" s="1600" t="s">
        <v>4600</v>
      </c>
      <c r="AL131" s="1602" t="s">
        <v>4601</v>
      </c>
      <c r="AM131" s="1600" t="s">
        <v>4602</v>
      </c>
      <c r="AN131" s="1601" t="s">
        <v>4603</v>
      </c>
      <c r="AO131" s="1579" t="s">
        <v>4604</v>
      </c>
      <c r="AP131" s="1577" t="s">
        <v>4605</v>
      </c>
      <c r="AQ131" s="1573" t="s">
        <v>4606</v>
      </c>
      <c r="AR131" s="1573" t="s">
        <v>4934</v>
      </c>
      <c r="AS131" s="1573" t="s">
        <v>4935</v>
      </c>
      <c r="AT131" s="1602" t="s">
        <v>4936</v>
      </c>
      <c r="AV131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1" s="162" t="str">
        <f t="shared" si="57"/>
        <v xml:space="preserve"> * La variable Serv. Nac. Reinserción Social Juvenil no puede ser mayor al Total.</v>
      </c>
      <c r="CD131" s="162" t="str">
        <f t="shared" ref="CD131:CD139" si="65">IF(AND($D131&gt;0,AQ131="")," * No olvide digitar la variable Pueblos originarios. Digite cero si no tiene",IF(AQ131&gt;$D131," * La variable Pueblos Originarios no puede ser mayor al Total.",""))</f>
        <v xml:space="preserve"> * La variable Pueblos Originarios no puede ser mayor al Total.</v>
      </c>
      <c r="CE131" s="162" t="str">
        <f t="shared" ref="CE131:CE139" si="66">IF(AND($D131&gt;0,AR131="")," * No olvide digitar la variable Migrantes. Digite cero si no tiene.",IF(AR131&gt;$D131," * La variable Migrantes no puede ser mayor al Total.",""))</f>
        <v xml:space="preserve"> * La variable Migrantes no puede ser mayor al Total.</v>
      </c>
      <c r="CF131" s="162" t="str">
        <f t="shared" ref="CF131:CF139" si="67">IF(AND($D131&gt;0,AS131="")," * No olvide digitar la variable Demencia. Digite cero si no tiene.",IF(AS131&gt;$D131," * La variable Demencia no puede ser mayor al Total.",""))</f>
        <v xml:space="preserve"> * La variable Demencia no puede ser mayor al Total.</v>
      </c>
      <c r="CG131" s="162" t="str">
        <f t="shared" ref="CG131:CG139" si="68">IF(AND($D131&gt;0,AT131="")," * No olvide digitar la variable Espacios Amigables/Adolescentes. Digite cero si no tiene.",IF(AT131&gt;$D131," * La variable Espacios Amigables/adolescentes no puede ser mayor al Total.",""))</f>
        <v xml:space="preserve"> * La variable Espacios Amigables/adolescentes no puede ser mayor al Total.</v>
      </c>
      <c r="CH131" s="162" t="str">
        <f t="shared" si="58"/>
        <v xml:space="preserve"> * La variable Serv. Nac. Reinserción Social Juvenil no puede ser mayor al Total.</v>
      </c>
      <c r="CK131" s="164"/>
      <c r="CL131" s="164"/>
      <c r="CM131" s="163">
        <f t="shared" si="59"/>
        <v>1</v>
      </c>
      <c r="CN131" s="163">
        <f t="shared" si="60"/>
        <v>1</v>
      </c>
      <c r="CO131" s="163">
        <f t="shared" si="61"/>
        <v>1</v>
      </c>
      <c r="CP131" s="163">
        <f t="shared" si="62"/>
        <v>1</v>
      </c>
      <c r="CQ131" s="163">
        <f t="shared" si="63"/>
        <v>1</v>
      </c>
      <c r="CR131" s="163">
        <f t="shared" si="64"/>
        <v>1</v>
      </c>
    </row>
    <row r="132" spans="1:96" s="161" customFormat="1" ht="15" customHeight="1" x14ac:dyDescent="0.15">
      <c r="A132" s="5609">
        <v>32100720</v>
      </c>
      <c r="B132" s="6112"/>
      <c r="C132" s="949" t="s">
        <v>98</v>
      </c>
      <c r="D132" s="1597" t="s">
        <v>4567</v>
      </c>
      <c r="E132" s="1598" t="s">
        <v>4568</v>
      </c>
      <c r="F132" s="1599" t="s">
        <v>4569</v>
      </c>
      <c r="G132" s="1572" t="s">
        <v>4570</v>
      </c>
      <c r="H132" s="1577" t="s">
        <v>4571</v>
      </c>
      <c r="I132" s="1572" t="s">
        <v>4572</v>
      </c>
      <c r="J132" s="1577" t="s">
        <v>4573</v>
      </c>
      <c r="K132" s="1572" t="s">
        <v>4574</v>
      </c>
      <c r="L132" s="1577" t="s">
        <v>4575</v>
      </c>
      <c r="M132" s="1600" t="s">
        <v>4576</v>
      </c>
      <c r="N132" s="1601" t="s">
        <v>4577</v>
      </c>
      <c r="O132" s="1572" t="s">
        <v>4578</v>
      </c>
      <c r="P132" s="1602" t="s">
        <v>4579</v>
      </c>
      <c r="Q132" s="1572" t="s">
        <v>4580</v>
      </c>
      <c r="R132" s="1602" t="s">
        <v>4581</v>
      </c>
      <c r="S132" s="1600" t="s">
        <v>4582</v>
      </c>
      <c r="T132" s="1602" t="s">
        <v>4583</v>
      </c>
      <c r="U132" s="1600" t="s">
        <v>4584</v>
      </c>
      <c r="V132" s="1602" t="s">
        <v>4585</v>
      </c>
      <c r="W132" s="1572" t="s">
        <v>4586</v>
      </c>
      <c r="X132" s="1577" t="s">
        <v>4587</v>
      </c>
      <c r="Y132" s="1600" t="s">
        <v>4588</v>
      </c>
      <c r="Z132" s="1577" t="s">
        <v>4589</v>
      </c>
      <c r="AA132" s="1600" t="s">
        <v>4590</v>
      </c>
      <c r="AB132" s="1602" t="s">
        <v>4591</v>
      </c>
      <c r="AC132" s="1600" t="s">
        <v>4592</v>
      </c>
      <c r="AD132" s="1602" t="s">
        <v>4593</v>
      </c>
      <c r="AE132" s="1600" t="s">
        <v>4594</v>
      </c>
      <c r="AF132" s="1602" t="s">
        <v>4595</v>
      </c>
      <c r="AG132" s="1600" t="s">
        <v>4596</v>
      </c>
      <c r="AH132" s="1602" t="s">
        <v>4597</v>
      </c>
      <c r="AI132" s="1600" t="s">
        <v>4598</v>
      </c>
      <c r="AJ132" s="1602" t="s">
        <v>4599</v>
      </c>
      <c r="AK132" s="1600" t="s">
        <v>4600</v>
      </c>
      <c r="AL132" s="1602" t="s">
        <v>4601</v>
      </c>
      <c r="AM132" s="1600" t="s">
        <v>4602</v>
      </c>
      <c r="AN132" s="1601" t="s">
        <v>4603</v>
      </c>
      <c r="AO132" s="1579" t="s">
        <v>4604</v>
      </c>
      <c r="AP132" s="1577" t="s">
        <v>4605</v>
      </c>
      <c r="AQ132" s="1573" t="s">
        <v>4606</v>
      </c>
      <c r="AR132" s="1573" t="s">
        <v>4934</v>
      </c>
      <c r="AS132" s="1573" t="s">
        <v>4935</v>
      </c>
      <c r="AT132" s="1602" t="s">
        <v>4936</v>
      </c>
      <c r="AV132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2" s="162" t="str">
        <f t="shared" si="57"/>
        <v xml:space="preserve"> * La variable Serv. Nac. Reinserción Social Juvenil no puede ser mayor al Total.</v>
      </c>
      <c r="CD132" s="162" t="str">
        <f t="shared" si="65"/>
        <v xml:space="preserve"> * La variable Pueblos Originarios no puede ser mayor al Total.</v>
      </c>
      <c r="CE132" s="162" t="str">
        <f t="shared" si="66"/>
        <v xml:space="preserve"> * La variable Migrantes no puede ser mayor al Total.</v>
      </c>
      <c r="CF132" s="162" t="str">
        <f t="shared" si="67"/>
        <v xml:space="preserve"> * La variable Demencia no puede ser mayor al Total.</v>
      </c>
      <c r="CG132" s="162" t="str">
        <f t="shared" si="68"/>
        <v xml:space="preserve"> * La variable Espacios Amigables/adolescentes no puede ser mayor al Total.</v>
      </c>
      <c r="CH132" s="162" t="str">
        <f t="shared" si="58"/>
        <v xml:space="preserve"> * La variable Serv. Nac. Reinserción Social Juvenil no puede ser mayor al Total.</v>
      </c>
      <c r="CK132" s="164"/>
      <c r="CL132" s="164"/>
      <c r="CM132" s="163">
        <f t="shared" si="59"/>
        <v>1</v>
      </c>
      <c r="CN132" s="163">
        <f t="shared" si="60"/>
        <v>1</v>
      </c>
      <c r="CO132" s="163">
        <f t="shared" si="61"/>
        <v>1</v>
      </c>
      <c r="CP132" s="163">
        <f t="shared" si="62"/>
        <v>1</v>
      </c>
      <c r="CQ132" s="163">
        <f t="shared" si="63"/>
        <v>1</v>
      </c>
      <c r="CR132" s="163">
        <f t="shared" si="64"/>
        <v>1</v>
      </c>
    </row>
    <row r="133" spans="1:96" s="161" customFormat="1" ht="15" customHeight="1" x14ac:dyDescent="0.15">
      <c r="A133" s="5609">
        <v>32100730</v>
      </c>
      <c r="B133" s="6112"/>
      <c r="C133" s="949" t="s">
        <v>4049</v>
      </c>
      <c r="D133" s="1597" t="s">
        <v>4567</v>
      </c>
      <c r="E133" s="1598" t="s">
        <v>4568</v>
      </c>
      <c r="F133" s="1599" t="s">
        <v>4569</v>
      </c>
      <c r="G133" s="1572" t="s">
        <v>4570</v>
      </c>
      <c r="H133" s="1577" t="s">
        <v>4571</v>
      </c>
      <c r="I133" s="1572" t="s">
        <v>4572</v>
      </c>
      <c r="J133" s="1577" t="s">
        <v>4573</v>
      </c>
      <c r="K133" s="1572" t="s">
        <v>4574</v>
      </c>
      <c r="L133" s="1577" t="s">
        <v>4575</v>
      </c>
      <c r="M133" s="1600" t="s">
        <v>4576</v>
      </c>
      <c r="N133" s="1601" t="s">
        <v>4577</v>
      </c>
      <c r="O133" s="1572" t="s">
        <v>4578</v>
      </c>
      <c r="P133" s="1602" t="s">
        <v>4579</v>
      </c>
      <c r="Q133" s="1572" t="s">
        <v>4580</v>
      </c>
      <c r="R133" s="1602" t="s">
        <v>4581</v>
      </c>
      <c r="S133" s="1600" t="s">
        <v>4582</v>
      </c>
      <c r="T133" s="1602" t="s">
        <v>4583</v>
      </c>
      <c r="U133" s="1600" t="s">
        <v>4584</v>
      </c>
      <c r="V133" s="1602" t="s">
        <v>4585</v>
      </c>
      <c r="W133" s="1572" t="s">
        <v>4586</v>
      </c>
      <c r="X133" s="1577" t="s">
        <v>4587</v>
      </c>
      <c r="Y133" s="1600" t="s">
        <v>4588</v>
      </c>
      <c r="Z133" s="1577" t="s">
        <v>4589</v>
      </c>
      <c r="AA133" s="1600" t="s">
        <v>4590</v>
      </c>
      <c r="AB133" s="1602" t="s">
        <v>4591</v>
      </c>
      <c r="AC133" s="1600" t="s">
        <v>4592</v>
      </c>
      <c r="AD133" s="1602" t="s">
        <v>4593</v>
      </c>
      <c r="AE133" s="1600" t="s">
        <v>4594</v>
      </c>
      <c r="AF133" s="1602" t="s">
        <v>4595</v>
      </c>
      <c r="AG133" s="1600" t="s">
        <v>4596</v>
      </c>
      <c r="AH133" s="1602" t="s">
        <v>4597</v>
      </c>
      <c r="AI133" s="1600" t="s">
        <v>4598</v>
      </c>
      <c r="AJ133" s="1602" t="s">
        <v>4599</v>
      </c>
      <c r="AK133" s="1600" t="s">
        <v>4600</v>
      </c>
      <c r="AL133" s="1602" t="s">
        <v>4601</v>
      </c>
      <c r="AM133" s="1600" t="s">
        <v>4602</v>
      </c>
      <c r="AN133" s="1601" t="s">
        <v>4603</v>
      </c>
      <c r="AO133" s="1579" t="s">
        <v>4604</v>
      </c>
      <c r="AP133" s="1577" t="s">
        <v>4605</v>
      </c>
      <c r="AQ133" s="1573" t="s">
        <v>4606</v>
      </c>
      <c r="AR133" s="1573" t="s">
        <v>4934</v>
      </c>
      <c r="AS133" s="1573" t="s">
        <v>4935</v>
      </c>
      <c r="AT133" s="1602" t="s">
        <v>4936</v>
      </c>
      <c r="AV133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3" s="162" t="str">
        <f t="shared" si="57"/>
        <v xml:space="preserve"> * La variable Serv. Nac. Reinserción Social Juvenil no puede ser mayor al Total.</v>
      </c>
      <c r="CD133" s="162" t="str">
        <f t="shared" si="65"/>
        <v xml:space="preserve"> * La variable Pueblos Originarios no puede ser mayor al Total.</v>
      </c>
      <c r="CE133" s="162" t="str">
        <f t="shared" si="66"/>
        <v xml:space="preserve"> * La variable Migrantes no puede ser mayor al Total.</v>
      </c>
      <c r="CF133" s="162" t="str">
        <f t="shared" si="67"/>
        <v xml:space="preserve"> * La variable Demencia no puede ser mayor al Total.</v>
      </c>
      <c r="CG133" s="162" t="str">
        <f t="shared" si="68"/>
        <v xml:space="preserve"> * La variable Espacios Amigables/adolescentes no puede ser mayor al Total.</v>
      </c>
      <c r="CH133" s="162" t="str">
        <f t="shared" si="58"/>
        <v xml:space="preserve"> * La variable Serv. Nac. Reinserción Social Juvenil no puede ser mayor al Total.</v>
      </c>
      <c r="CK133" s="164"/>
      <c r="CL133" s="164"/>
      <c r="CM133" s="163">
        <f t="shared" si="59"/>
        <v>1</v>
      </c>
      <c r="CN133" s="163">
        <f t="shared" si="60"/>
        <v>1</v>
      </c>
      <c r="CO133" s="163">
        <f t="shared" si="61"/>
        <v>1</v>
      </c>
      <c r="CP133" s="163">
        <f t="shared" si="62"/>
        <v>1</v>
      </c>
      <c r="CQ133" s="163">
        <f t="shared" si="63"/>
        <v>1</v>
      </c>
      <c r="CR133" s="163">
        <f t="shared" si="64"/>
        <v>1</v>
      </c>
    </row>
    <row r="134" spans="1:96" s="161" customFormat="1" ht="15" customHeight="1" x14ac:dyDescent="0.15">
      <c r="A134" s="5609">
        <v>32100740</v>
      </c>
      <c r="B134" s="6112"/>
      <c r="C134" s="949" t="s">
        <v>1035</v>
      </c>
      <c r="D134" s="1597" t="s">
        <v>4567</v>
      </c>
      <c r="E134" s="1598" t="s">
        <v>4568</v>
      </c>
      <c r="F134" s="1599" t="s">
        <v>4569</v>
      </c>
      <c r="G134" s="1572" t="s">
        <v>4570</v>
      </c>
      <c r="H134" s="1577" t="s">
        <v>4571</v>
      </c>
      <c r="I134" s="1572" t="s">
        <v>4572</v>
      </c>
      <c r="J134" s="1577" t="s">
        <v>4573</v>
      </c>
      <c r="K134" s="1572" t="s">
        <v>4574</v>
      </c>
      <c r="L134" s="1577" t="s">
        <v>4575</v>
      </c>
      <c r="M134" s="1600" t="s">
        <v>4576</v>
      </c>
      <c r="N134" s="1601" t="s">
        <v>4577</v>
      </c>
      <c r="O134" s="1572" t="s">
        <v>4578</v>
      </c>
      <c r="P134" s="1602" t="s">
        <v>4579</v>
      </c>
      <c r="Q134" s="1572" t="s">
        <v>4580</v>
      </c>
      <c r="R134" s="1602" t="s">
        <v>4581</v>
      </c>
      <c r="S134" s="1600" t="s">
        <v>4582</v>
      </c>
      <c r="T134" s="1602" t="s">
        <v>4583</v>
      </c>
      <c r="U134" s="1600" t="s">
        <v>4584</v>
      </c>
      <c r="V134" s="1602" t="s">
        <v>4585</v>
      </c>
      <c r="W134" s="1572" t="s">
        <v>4586</v>
      </c>
      <c r="X134" s="1577" t="s">
        <v>4587</v>
      </c>
      <c r="Y134" s="1600" t="s">
        <v>4588</v>
      </c>
      <c r="Z134" s="1577" t="s">
        <v>4589</v>
      </c>
      <c r="AA134" s="1600" t="s">
        <v>4590</v>
      </c>
      <c r="AB134" s="1602" t="s">
        <v>4591</v>
      </c>
      <c r="AC134" s="1600" t="s">
        <v>4592</v>
      </c>
      <c r="AD134" s="1602" t="s">
        <v>4593</v>
      </c>
      <c r="AE134" s="1600" t="s">
        <v>4594</v>
      </c>
      <c r="AF134" s="1602" t="s">
        <v>4595</v>
      </c>
      <c r="AG134" s="1600" t="s">
        <v>4596</v>
      </c>
      <c r="AH134" s="1602" t="s">
        <v>4597</v>
      </c>
      <c r="AI134" s="1600" t="s">
        <v>4598</v>
      </c>
      <c r="AJ134" s="1602" t="s">
        <v>4599</v>
      </c>
      <c r="AK134" s="1600" t="s">
        <v>4600</v>
      </c>
      <c r="AL134" s="1602" t="s">
        <v>4601</v>
      </c>
      <c r="AM134" s="1600" t="s">
        <v>4602</v>
      </c>
      <c r="AN134" s="1601" t="s">
        <v>4603</v>
      </c>
      <c r="AO134" s="1579" t="s">
        <v>4604</v>
      </c>
      <c r="AP134" s="1577" t="s">
        <v>4605</v>
      </c>
      <c r="AQ134" s="1573" t="s">
        <v>4606</v>
      </c>
      <c r="AR134" s="1573" t="s">
        <v>4934</v>
      </c>
      <c r="AS134" s="1573" t="s">
        <v>4935</v>
      </c>
      <c r="AT134" s="1602" t="s">
        <v>4936</v>
      </c>
      <c r="AV134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4" s="162" t="str">
        <f t="shared" si="57"/>
        <v xml:space="preserve"> * La variable Serv. Nac. Reinserción Social Juvenil no puede ser mayor al Total.</v>
      </c>
      <c r="CD134" s="162" t="str">
        <f t="shared" si="65"/>
        <v xml:space="preserve"> * La variable Pueblos Originarios no puede ser mayor al Total.</v>
      </c>
      <c r="CE134" s="162" t="str">
        <f t="shared" si="66"/>
        <v xml:space="preserve"> * La variable Migrantes no puede ser mayor al Total.</v>
      </c>
      <c r="CF134" s="162" t="str">
        <f t="shared" si="67"/>
        <v xml:space="preserve"> * La variable Demencia no puede ser mayor al Total.</v>
      </c>
      <c r="CG134" s="162" t="str">
        <f t="shared" si="68"/>
        <v xml:space="preserve"> * La variable Espacios Amigables/adolescentes no puede ser mayor al Total.</v>
      </c>
      <c r="CH134" s="162" t="str">
        <f t="shared" si="58"/>
        <v xml:space="preserve"> * La variable Serv. Nac. Reinserción Social Juvenil no puede ser mayor al Total.</v>
      </c>
      <c r="CK134" s="164"/>
      <c r="CL134" s="164"/>
      <c r="CM134" s="163">
        <f t="shared" si="59"/>
        <v>1</v>
      </c>
      <c r="CN134" s="163">
        <f t="shared" si="60"/>
        <v>1</v>
      </c>
      <c r="CO134" s="163">
        <f t="shared" si="61"/>
        <v>1</v>
      </c>
      <c r="CP134" s="163">
        <f t="shared" si="62"/>
        <v>1</v>
      </c>
      <c r="CQ134" s="163">
        <f t="shared" si="63"/>
        <v>1</v>
      </c>
      <c r="CR134" s="163">
        <f t="shared" si="64"/>
        <v>1</v>
      </c>
    </row>
    <row r="135" spans="1:96" s="161" customFormat="1" ht="15" customHeight="1" x14ac:dyDescent="0.15">
      <c r="A135" s="5609">
        <v>32100750</v>
      </c>
      <c r="B135" s="6112"/>
      <c r="C135" s="949" t="s">
        <v>1075</v>
      </c>
      <c r="D135" s="1597" t="s">
        <v>4567</v>
      </c>
      <c r="E135" s="1598" t="s">
        <v>4568</v>
      </c>
      <c r="F135" s="1599" t="s">
        <v>4569</v>
      </c>
      <c r="G135" s="1572" t="s">
        <v>4570</v>
      </c>
      <c r="H135" s="1577" t="s">
        <v>4571</v>
      </c>
      <c r="I135" s="1572" t="s">
        <v>4572</v>
      </c>
      <c r="J135" s="1577" t="s">
        <v>4573</v>
      </c>
      <c r="K135" s="1572" t="s">
        <v>4574</v>
      </c>
      <c r="L135" s="1577" t="s">
        <v>4575</v>
      </c>
      <c r="M135" s="1600" t="s">
        <v>4576</v>
      </c>
      <c r="N135" s="1601" t="s">
        <v>4577</v>
      </c>
      <c r="O135" s="1572" t="s">
        <v>4578</v>
      </c>
      <c r="P135" s="1602" t="s">
        <v>4579</v>
      </c>
      <c r="Q135" s="1572" t="s">
        <v>4580</v>
      </c>
      <c r="R135" s="1602" t="s">
        <v>4581</v>
      </c>
      <c r="S135" s="1600" t="s">
        <v>4582</v>
      </c>
      <c r="T135" s="1602" t="s">
        <v>4583</v>
      </c>
      <c r="U135" s="1600" t="s">
        <v>4584</v>
      </c>
      <c r="V135" s="1602" t="s">
        <v>4585</v>
      </c>
      <c r="W135" s="1572" t="s">
        <v>4586</v>
      </c>
      <c r="X135" s="1577" t="s">
        <v>4587</v>
      </c>
      <c r="Y135" s="1600" t="s">
        <v>4588</v>
      </c>
      <c r="Z135" s="1577" t="s">
        <v>4589</v>
      </c>
      <c r="AA135" s="1600" t="s">
        <v>4590</v>
      </c>
      <c r="AB135" s="1602" t="s">
        <v>4591</v>
      </c>
      <c r="AC135" s="1600" t="s">
        <v>4592</v>
      </c>
      <c r="AD135" s="1602" t="s">
        <v>4593</v>
      </c>
      <c r="AE135" s="1600" t="s">
        <v>4594</v>
      </c>
      <c r="AF135" s="1602" t="s">
        <v>4595</v>
      </c>
      <c r="AG135" s="1600" t="s">
        <v>4596</v>
      </c>
      <c r="AH135" s="1602" t="s">
        <v>4597</v>
      </c>
      <c r="AI135" s="1600" t="s">
        <v>4598</v>
      </c>
      <c r="AJ135" s="1602" t="s">
        <v>4599</v>
      </c>
      <c r="AK135" s="1600" t="s">
        <v>4600</v>
      </c>
      <c r="AL135" s="1602" t="s">
        <v>4601</v>
      </c>
      <c r="AM135" s="1600" t="s">
        <v>4602</v>
      </c>
      <c r="AN135" s="1601" t="s">
        <v>4603</v>
      </c>
      <c r="AO135" s="1579" t="s">
        <v>4604</v>
      </c>
      <c r="AP135" s="1577" t="s">
        <v>4605</v>
      </c>
      <c r="AQ135" s="1573" t="s">
        <v>4606</v>
      </c>
      <c r="AR135" s="1573" t="s">
        <v>4934</v>
      </c>
      <c r="AS135" s="1573" t="s">
        <v>4935</v>
      </c>
      <c r="AT135" s="1602" t="s">
        <v>4936</v>
      </c>
      <c r="AV135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5" s="162" t="str">
        <f t="shared" si="57"/>
        <v xml:space="preserve"> * La variable Serv. Nac. Reinserción Social Juvenil no puede ser mayor al Total.</v>
      </c>
      <c r="CD135" s="162" t="str">
        <f t="shared" si="65"/>
        <v xml:space="preserve"> * La variable Pueblos Originarios no puede ser mayor al Total.</v>
      </c>
      <c r="CE135" s="162" t="str">
        <f t="shared" si="66"/>
        <v xml:space="preserve"> * La variable Migrantes no puede ser mayor al Total.</v>
      </c>
      <c r="CF135" s="162" t="str">
        <f t="shared" si="67"/>
        <v xml:space="preserve"> * La variable Demencia no puede ser mayor al Total.</v>
      </c>
      <c r="CG135" s="162" t="str">
        <f t="shared" si="68"/>
        <v xml:space="preserve"> * La variable Espacios Amigables/adolescentes no puede ser mayor al Total.</v>
      </c>
      <c r="CH135" s="162" t="str">
        <f t="shared" si="58"/>
        <v xml:space="preserve"> * La variable Serv. Nac. Reinserción Social Juvenil no puede ser mayor al Total.</v>
      </c>
      <c r="CK135" s="164"/>
      <c r="CL135" s="164"/>
      <c r="CM135" s="163">
        <f t="shared" si="59"/>
        <v>1</v>
      </c>
      <c r="CN135" s="163">
        <f t="shared" si="60"/>
        <v>1</v>
      </c>
      <c r="CO135" s="163">
        <f t="shared" si="61"/>
        <v>1</v>
      </c>
      <c r="CP135" s="163">
        <f t="shared" si="62"/>
        <v>1</v>
      </c>
      <c r="CQ135" s="163">
        <f t="shared" si="63"/>
        <v>1</v>
      </c>
      <c r="CR135" s="163">
        <f t="shared" si="64"/>
        <v>1</v>
      </c>
    </row>
    <row r="136" spans="1:96" s="161" customFormat="1" ht="15" customHeight="1" x14ac:dyDescent="0.15">
      <c r="A136" s="5609">
        <v>32100760</v>
      </c>
      <c r="B136" s="6112"/>
      <c r="C136" s="949" t="s">
        <v>1037</v>
      </c>
      <c r="D136" s="1597" t="s">
        <v>4567</v>
      </c>
      <c r="E136" s="1598" t="s">
        <v>4568</v>
      </c>
      <c r="F136" s="1599" t="s">
        <v>4569</v>
      </c>
      <c r="G136" s="1572" t="s">
        <v>4570</v>
      </c>
      <c r="H136" s="1577" t="s">
        <v>4571</v>
      </c>
      <c r="I136" s="1572" t="s">
        <v>4572</v>
      </c>
      <c r="J136" s="1577" t="s">
        <v>4573</v>
      </c>
      <c r="K136" s="1572" t="s">
        <v>4574</v>
      </c>
      <c r="L136" s="1577" t="s">
        <v>4575</v>
      </c>
      <c r="M136" s="1600" t="s">
        <v>4576</v>
      </c>
      <c r="N136" s="1601" t="s">
        <v>4577</v>
      </c>
      <c r="O136" s="1572" t="s">
        <v>4578</v>
      </c>
      <c r="P136" s="1602" t="s">
        <v>4579</v>
      </c>
      <c r="Q136" s="1572" t="s">
        <v>4580</v>
      </c>
      <c r="R136" s="1602" t="s">
        <v>4581</v>
      </c>
      <c r="S136" s="1600" t="s">
        <v>4582</v>
      </c>
      <c r="T136" s="1602" t="s">
        <v>4583</v>
      </c>
      <c r="U136" s="1600" t="s">
        <v>4584</v>
      </c>
      <c r="V136" s="1602" t="s">
        <v>4585</v>
      </c>
      <c r="W136" s="1572" t="s">
        <v>4586</v>
      </c>
      <c r="X136" s="1577" t="s">
        <v>4587</v>
      </c>
      <c r="Y136" s="1600" t="s">
        <v>4588</v>
      </c>
      <c r="Z136" s="1577" t="s">
        <v>4589</v>
      </c>
      <c r="AA136" s="1600" t="s">
        <v>4590</v>
      </c>
      <c r="AB136" s="1602" t="s">
        <v>4591</v>
      </c>
      <c r="AC136" s="1600" t="s">
        <v>4592</v>
      </c>
      <c r="AD136" s="1602" t="s">
        <v>4593</v>
      </c>
      <c r="AE136" s="1600" t="s">
        <v>4594</v>
      </c>
      <c r="AF136" s="1602" t="s">
        <v>4595</v>
      </c>
      <c r="AG136" s="1600" t="s">
        <v>4596</v>
      </c>
      <c r="AH136" s="1602" t="s">
        <v>4597</v>
      </c>
      <c r="AI136" s="1600" t="s">
        <v>4598</v>
      </c>
      <c r="AJ136" s="1602" t="s">
        <v>4599</v>
      </c>
      <c r="AK136" s="1600" t="s">
        <v>4600</v>
      </c>
      <c r="AL136" s="1602" t="s">
        <v>4601</v>
      </c>
      <c r="AM136" s="1600" t="s">
        <v>4602</v>
      </c>
      <c r="AN136" s="1601" t="s">
        <v>4603</v>
      </c>
      <c r="AO136" s="1579" t="s">
        <v>4604</v>
      </c>
      <c r="AP136" s="1577" t="s">
        <v>4605</v>
      </c>
      <c r="AQ136" s="1573" t="s">
        <v>4606</v>
      </c>
      <c r="AR136" s="1573" t="s">
        <v>4934</v>
      </c>
      <c r="AS136" s="1573" t="s">
        <v>4935</v>
      </c>
      <c r="AT136" s="1602" t="s">
        <v>4936</v>
      </c>
      <c r="AV136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6" s="162" t="str">
        <f t="shared" si="57"/>
        <v xml:space="preserve"> * La variable Serv. Nac. Reinserción Social Juvenil no puede ser mayor al Total.</v>
      </c>
      <c r="CD136" s="162" t="str">
        <f t="shared" si="65"/>
        <v xml:space="preserve"> * La variable Pueblos Originarios no puede ser mayor al Total.</v>
      </c>
      <c r="CE136" s="162" t="str">
        <f t="shared" si="66"/>
        <v xml:space="preserve"> * La variable Migrantes no puede ser mayor al Total.</v>
      </c>
      <c r="CF136" s="162" t="str">
        <f t="shared" si="67"/>
        <v xml:space="preserve"> * La variable Demencia no puede ser mayor al Total.</v>
      </c>
      <c r="CG136" s="162" t="str">
        <f t="shared" si="68"/>
        <v xml:space="preserve"> * La variable Espacios Amigables/adolescentes no puede ser mayor al Total.</v>
      </c>
      <c r="CH136" s="162" t="str">
        <f t="shared" si="58"/>
        <v xml:space="preserve"> * La variable Serv. Nac. Reinserción Social Juvenil no puede ser mayor al Total.</v>
      </c>
      <c r="CK136" s="164"/>
      <c r="CL136" s="164"/>
      <c r="CM136" s="163">
        <f t="shared" si="59"/>
        <v>1</v>
      </c>
      <c r="CN136" s="163">
        <f t="shared" si="60"/>
        <v>1</v>
      </c>
      <c r="CO136" s="163">
        <f t="shared" si="61"/>
        <v>1</v>
      </c>
      <c r="CP136" s="163">
        <f t="shared" si="62"/>
        <v>1</v>
      </c>
      <c r="CQ136" s="163">
        <f t="shared" si="63"/>
        <v>1</v>
      </c>
      <c r="CR136" s="163">
        <f t="shared" si="64"/>
        <v>1</v>
      </c>
    </row>
    <row r="137" spans="1:96" s="161" customFormat="1" ht="21" x14ac:dyDescent="0.15">
      <c r="A137" s="5609">
        <v>32100770</v>
      </c>
      <c r="B137" s="6112"/>
      <c r="C137" s="949" t="s">
        <v>4050</v>
      </c>
      <c r="D137" s="1597" t="s">
        <v>4567</v>
      </c>
      <c r="E137" s="1598" t="s">
        <v>4568</v>
      </c>
      <c r="F137" s="1599" t="s">
        <v>4569</v>
      </c>
      <c r="G137" s="1572" t="s">
        <v>4570</v>
      </c>
      <c r="H137" s="1577" t="s">
        <v>4571</v>
      </c>
      <c r="I137" s="1572" t="s">
        <v>4572</v>
      </c>
      <c r="J137" s="1577" t="s">
        <v>4573</v>
      </c>
      <c r="K137" s="1572" t="s">
        <v>4574</v>
      </c>
      <c r="L137" s="1577" t="s">
        <v>4575</v>
      </c>
      <c r="M137" s="1600" t="s">
        <v>4576</v>
      </c>
      <c r="N137" s="1601" t="s">
        <v>4577</v>
      </c>
      <c r="O137" s="1572" t="s">
        <v>4578</v>
      </c>
      <c r="P137" s="1602" t="s">
        <v>4579</v>
      </c>
      <c r="Q137" s="1572" t="s">
        <v>4580</v>
      </c>
      <c r="R137" s="1602" t="s">
        <v>4581</v>
      </c>
      <c r="S137" s="1600" t="s">
        <v>4582</v>
      </c>
      <c r="T137" s="1602" t="s">
        <v>4583</v>
      </c>
      <c r="U137" s="1600" t="s">
        <v>4584</v>
      </c>
      <c r="V137" s="1602" t="s">
        <v>4585</v>
      </c>
      <c r="W137" s="1572" t="s">
        <v>4586</v>
      </c>
      <c r="X137" s="1577" t="s">
        <v>4587</v>
      </c>
      <c r="Y137" s="1600" t="s">
        <v>4588</v>
      </c>
      <c r="Z137" s="1577" t="s">
        <v>4589</v>
      </c>
      <c r="AA137" s="1600" t="s">
        <v>4590</v>
      </c>
      <c r="AB137" s="1602" t="s">
        <v>4591</v>
      </c>
      <c r="AC137" s="1600" t="s">
        <v>4592</v>
      </c>
      <c r="AD137" s="1602" t="s">
        <v>4593</v>
      </c>
      <c r="AE137" s="1600" t="s">
        <v>4594</v>
      </c>
      <c r="AF137" s="1602" t="s">
        <v>4595</v>
      </c>
      <c r="AG137" s="1600" t="s">
        <v>4596</v>
      </c>
      <c r="AH137" s="1602" t="s">
        <v>4597</v>
      </c>
      <c r="AI137" s="1600" t="s">
        <v>4598</v>
      </c>
      <c r="AJ137" s="1602" t="s">
        <v>4599</v>
      </c>
      <c r="AK137" s="1600" t="s">
        <v>4600</v>
      </c>
      <c r="AL137" s="1602" t="s">
        <v>4601</v>
      </c>
      <c r="AM137" s="1600" t="s">
        <v>4602</v>
      </c>
      <c r="AN137" s="1601" t="s">
        <v>4603</v>
      </c>
      <c r="AO137" s="1579" t="s">
        <v>4604</v>
      </c>
      <c r="AP137" s="1577" t="s">
        <v>4605</v>
      </c>
      <c r="AQ137" s="1573" t="s">
        <v>4606</v>
      </c>
      <c r="AR137" s="1573" t="s">
        <v>4934</v>
      </c>
      <c r="AS137" s="1573" t="s">
        <v>4935</v>
      </c>
      <c r="AT137" s="1602" t="s">
        <v>4936</v>
      </c>
      <c r="AV137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7" s="162" t="str">
        <f t="shared" si="57"/>
        <v xml:space="preserve"> * La variable Serv. Nac. Reinserción Social Juvenil no puede ser mayor al Total.</v>
      </c>
      <c r="CD137" s="162" t="str">
        <f t="shared" si="65"/>
        <v xml:space="preserve"> * La variable Pueblos Originarios no puede ser mayor al Total.</v>
      </c>
      <c r="CE137" s="162" t="str">
        <f t="shared" si="66"/>
        <v xml:space="preserve"> * La variable Migrantes no puede ser mayor al Total.</v>
      </c>
      <c r="CF137" s="162" t="str">
        <f t="shared" si="67"/>
        <v xml:space="preserve"> * La variable Demencia no puede ser mayor al Total.</v>
      </c>
      <c r="CG137" s="162" t="str">
        <f t="shared" si="68"/>
        <v xml:space="preserve"> * La variable Espacios Amigables/adolescentes no puede ser mayor al Total.</v>
      </c>
      <c r="CH137" s="162" t="str">
        <f t="shared" si="58"/>
        <v xml:space="preserve"> * La variable Serv. Nac. Reinserción Social Juvenil no puede ser mayor al Total.</v>
      </c>
      <c r="CK137" s="164"/>
      <c r="CL137" s="164"/>
      <c r="CM137" s="163">
        <f t="shared" si="59"/>
        <v>1</v>
      </c>
      <c r="CN137" s="163">
        <f t="shared" si="60"/>
        <v>1</v>
      </c>
      <c r="CO137" s="163">
        <f t="shared" si="61"/>
        <v>1</v>
      </c>
      <c r="CP137" s="163">
        <f t="shared" si="62"/>
        <v>1</v>
      </c>
      <c r="CQ137" s="163">
        <f t="shared" si="63"/>
        <v>1</v>
      </c>
      <c r="CR137" s="163">
        <f t="shared" si="64"/>
        <v>1</v>
      </c>
    </row>
    <row r="138" spans="1:96" s="161" customFormat="1" ht="15" customHeight="1" x14ac:dyDescent="0.15">
      <c r="A138" s="5609">
        <v>32100780</v>
      </c>
      <c r="B138" s="6112"/>
      <c r="C138" s="949" t="s">
        <v>1039</v>
      </c>
      <c r="D138" s="1597" t="s">
        <v>4567</v>
      </c>
      <c r="E138" s="1598" t="s">
        <v>4568</v>
      </c>
      <c r="F138" s="1599" t="s">
        <v>4569</v>
      </c>
      <c r="G138" s="1572" t="s">
        <v>4570</v>
      </c>
      <c r="H138" s="1577" t="s">
        <v>4571</v>
      </c>
      <c r="I138" s="1572" t="s">
        <v>4572</v>
      </c>
      <c r="J138" s="1577" t="s">
        <v>4573</v>
      </c>
      <c r="K138" s="1572" t="s">
        <v>4574</v>
      </c>
      <c r="L138" s="1577" t="s">
        <v>4575</v>
      </c>
      <c r="M138" s="1600" t="s">
        <v>4576</v>
      </c>
      <c r="N138" s="1601" t="s">
        <v>4577</v>
      </c>
      <c r="O138" s="1572" t="s">
        <v>4578</v>
      </c>
      <c r="P138" s="1602" t="s">
        <v>4579</v>
      </c>
      <c r="Q138" s="1572" t="s">
        <v>4580</v>
      </c>
      <c r="R138" s="1602" t="s">
        <v>4581</v>
      </c>
      <c r="S138" s="1600" t="s">
        <v>4582</v>
      </c>
      <c r="T138" s="1602" t="s">
        <v>4583</v>
      </c>
      <c r="U138" s="1600" t="s">
        <v>4584</v>
      </c>
      <c r="V138" s="1602" t="s">
        <v>4585</v>
      </c>
      <c r="W138" s="1572" t="s">
        <v>4586</v>
      </c>
      <c r="X138" s="1577" t="s">
        <v>4587</v>
      </c>
      <c r="Y138" s="1600" t="s">
        <v>4588</v>
      </c>
      <c r="Z138" s="1577" t="s">
        <v>4589</v>
      </c>
      <c r="AA138" s="1600" t="s">
        <v>4590</v>
      </c>
      <c r="AB138" s="1602" t="s">
        <v>4591</v>
      </c>
      <c r="AC138" s="1600" t="s">
        <v>4592</v>
      </c>
      <c r="AD138" s="1602" t="s">
        <v>4593</v>
      </c>
      <c r="AE138" s="1600" t="s">
        <v>4594</v>
      </c>
      <c r="AF138" s="1602" t="s">
        <v>4595</v>
      </c>
      <c r="AG138" s="1600" t="s">
        <v>4596</v>
      </c>
      <c r="AH138" s="1602" t="s">
        <v>4597</v>
      </c>
      <c r="AI138" s="1600" t="s">
        <v>4598</v>
      </c>
      <c r="AJ138" s="1602" t="s">
        <v>4599</v>
      </c>
      <c r="AK138" s="1600" t="s">
        <v>4600</v>
      </c>
      <c r="AL138" s="1602" t="s">
        <v>4601</v>
      </c>
      <c r="AM138" s="1600" t="s">
        <v>4602</v>
      </c>
      <c r="AN138" s="1601" t="s">
        <v>4603</v>
      </c>
      <c r="AO138" s="1579" t="s">
        <v>4604</v>
      </c>
      <c r="AP138" s="1577" t="s">
        <v>4605</v>
      </c>
      <c r="AQ138" s="1573" t="s">
        <v>4606</v>
      </c>
      <c r="AR138" s="1573" t="s">
        <v>4934</v>
      </c>
      <c r="AS138" s="1573" t="s">
        <v>4935</v>
      </c>
      <c r="AT138" s="1602" t="s">
        <v>4936</v>
      </c>
      <c r="AV138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8" s="162" t="str">
        <f t="shared" si="57"/>
        <v xml:space="preserve"> * La variable Serv. Nac. Reinserción Social Juvenil no puede ser mayor al Total.</v>
      </c>
      <c r="CD138" s="162" t="str">
        <f t="shared" si="65"/>
        <v xml:space="preserve"> * La variable Pueblos Originarios no puede ser mayor al Total.</v>
      </c>
      <c r="CE138" s="162" t="str">
        <f t="shared" si="66"/>
        <v xml:space="preserve"> * La variable Migrantes no puede ser mayor al Total.</v>
      </c>
      <c r="CF138" s="162" t="str">
        <f t="shared" si="67"/>
        <v xml:space="preserve"> * La variable Demencia no puede ser mayor al Total.</v>
      </c>
      <c r="CG138" s="162" t="str">
        <f t="shared" si="68"/>
        <v xml:space="preserve"> * La variable Espacios Amigables/adolescentes no puede ser mayor al Total.</v>
      </c>
      <c r="CH138" s="162" t="str">
        <f t="shared" si="58"/>
        <v xml:space="preserve"> * La variable Serv. Nac. Reinserción Social Juvenil no puede ser mayor al Total.</v>
      </c>
      <c r="CK138" s="164"/>
      <c r="CL138" s="164"/>
      <c r="CM138" s="163">
        <f t="shared" si="59"/>
        <v>1</v>
      </c>
      <c r="CN138" s="163">
        <f t="shared" si="60"/>
        <v>1</v>
      </c>
      <c r="CO138" s="163">
        <f t="shared" si="61"/>
        <v>1</v>
      </c>
      <c r="CP138" s="163">
        <f t="shared" si="62"/>
        <v>1</v>
      </c>
      <c r="CQ138" s="163">
        <f t="shared" si="63"/>
        <v>1</v>
      </c>
      <c r="CR138" s="163">
        <f t="shared" si="64"/>
        <v>1</v>
      </c>
    </row>
    <row r="139" spans="1:96" s="161" customFormat="1" ht="21" x14ac:dyDescent="0.15">
      <c r="A139" s="5609">
        <v>32100790</v>
      </c>
      <c r="B139" s="6112"/>
      <c r="C139" s="1003" t="s">
        <v>1040</v>
      </c>
      <c r="D139" s="1603" t="s">
        <v>4567</v>
      </c>
      <c r="E139" s="1604" t="s">
        <v>4568</v>
      </c>
      <c r="F139" s="417" t="s">
        <v>4569</v>
      </c>
      <c r="G139" s="1605" t="s">
        <v>4570</v>
      </c>
      <c r="H139" s="418" t="s">
        <v>4571</v>
      </c>
      <c r="I139" s="1605" t="s">
        <v>4572</v>
      </c>
      <c r="J139" s="418" t="s">
        <v>4573</v>
      </c>
      <c r="K139" s="1605" t="s">
        <v>4574</v>
      </c>
      <c r="L139" s="418" t="s">
        <v>4575</v>
      </c>
      <c r="M139" s="1606" t="s">
        <v>4576</v>
      </c>
      <c r="N139" s="1607" t="s">
        <v>4577</v>
      </c>
      <c r="O139" s="1605" t="s">
        <v>4578</v>
      </c>
      <c r="P139" s="1608" t="s">
        <v>4579</v>
      </c>
      <c r="Q139" s="1605" t="s">
        <v>4580</v>
      </c>
      <c r="R139" s="1608" t="s">
        <v>4581</v>
      </c>
      <c r="S139" s="1606" t="s">
        <v>4582</v>
      </c>
      <c r="T139" s="1608" t="s">
        <v>4583</v>
      </c>
      <c r="U139" s="1606" t="s">
        <v>4584</v>
      </c>
      <c r="V139" s="1608" t="s">
        <v>4585</v>
      </c>
      <c r="W139" s="1605" t="s">
        <v>4586</v>
      </c>
      <c r="X139" s="418" t="s">
        <v>4587</v>
      </c>
      <c r="Y139" s="1606" t="s">
        <v>4588</v>
      </c>
      <c r="Z139" s="418" t="s">
        <v>4589</v>
      </c>
      <c r="AA139" s="1606" t="s">
        <v>4590</v>
      </c>
      <c r="AB139" s="1608" t="s">
        <v>4591</v>
      </c>
      <c r="AC139" s="1606" t="s">
        <v>4592</v>
      </c>
      <c r="AD139" s="1608" t="s">
        <v>4593</v>
      </c>
      <c r="AE139" s="1606" t="s">
        <v>4594</v>
      </c>
      <c r="AF139" s="1608" t="s">
        <v>4595</v>
      </c>
      <c r="AG139" s="1606" t="s">
        <v>4596</v>
      </c>
      <c r="AH139" s="1608" t="s">
        <v>4597</v>
      </c>
      <c r="AI139" s="1606" t="s">
        <v>4598</v>
      </c>
      <c r="AJ139" s="1608" t="s">
        <v>4599</v>
      </c>
      <c r="AK139" s="1606" t="s">
        <v>4600</v>
      </c>
      <c r="AL139" s="1608" t="s">
        <v>4601</v>
      </c>
      <c r="AM139" s="1606" t="s">
        <v>4602</v>
      </c>
      <c r="AN139" s="1607" t="s">
        <v>4603</v>
      </c>
      <c r="AO139" s="1609" t="s">
        <v>4604</v>
      </c>
      <c r="AP139" s="418" t="s">
        <v>4605</v>
      </c>
      <c r="AQ139" s="1610" t="s">
        <v>4606</v>
      </c>
      <c r="AR139" s="1610" t="s">
        <v>4934</v>
      </c>
      <c r="AS139" s="1610" t="s">
        <v>4935</v>
      </c>
      <c r="AT139" s="1608" t="s">
        <v>4936</v>
      </c>
      <c r="AV139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9" s="162" t="str">
        <f t="shared" si="57"/>
        <v xml:space="preserve"> * La variable Serv. Nac. Reinserción Social Juvenil no puede ser mayor al Total.</v>
      </c>
      <c r="CD139" s="162" t="str">
        <f t="shared" si="65"/>
        <v xml:space="preserve"> * La variable Pueblos Originarios no puede ser mayor al Total.</v>
      </c>
      <c r="CE139" s="162" t="str">
        <f t="shared" si="66"/>
        <v xml:space="preserve"> * La variable Migrantes no puede ser mayor al Total.</v>
      </c>
      <c r="CF139" s="162" t="str">
        <f t="shared" si="67"/>
        <v xml:space="preserve"> * La variable Demencia no puede ser mayor al Total.</v>
      </c>
      <c r="CG139" s="162" t="str">
        <f t="shared" si="68"/>
        <v xml:space="preserve"> * La variable Espacios Amigables/adolescentes no puede ser mayor al Total.</v>
      </c>
      <c r="CH139" s="162" t="str">
        <f t="shared" si="58"/>
        <v xml:space="preserve"> * La variable Serv. Nac. Reinserción Social Juvenil no puede ser mayor al Total.</v>
      </c>
      <c r="CK139" s="164"/>
      <c r="CL139" s="164"/>
      <c r="CM139" s="163">
        <f t="shared" si="59"/>
        <v>1</v>
      </c>
      <c r="CN139" s="163">
        <f t="shared" si="60"/>
        <v>1</v>
      </c>
      <c r="CO139" s="163">
        <f t="shared" si="61"/>
        <v>1</v>
      </c>
      <c r="CP139" s="163">
        <f t="shared" si="62"/>
        <v>1</v>
      </c>
      <c r="CQ139" s="163">
        <f t="shared" si="63"/>
        <v>1</v>
      </c>
      <c r="CR139" s="163">
        <f t="shared" si="64"/>
        <v>1</v>
      </c>
    </row>
    <row r="140" spans="1:96" s="161" customFormat="1" ht="15" customHeight="1" x14ac:dyDescent="0.2">
      <c r="A140" s="5958"/>
      <c r="B140" s="6842"/>
      <c r="C140" s="898" t="s">
        <v>77</v>
      </c>
      <c r="D140" s="1611">
        <f t="shared" ref="D140:D151" si="69">SUM(E140:F140)</f>
        <v>0</v>
      </c>
      <c r="E140" s="274">
        <f t="shared" ref="E140:AT140" si="70">SUM(E130:E139)</f>
        <v>0</v>
      </c>
      <c r="F140" s="1612">
        <f t="shared" si="70"/>
        <v>0</v>
      </c>
      <c r="G140" s="1552">
        <f t="shared" si="70"/>
        <v>0</v>
      </c>
      <c r="H140" s="1613">
        <f t="shared" si="70"/>
        <v>0</v>
      </c>
      <c r="I140" s="1552">
        <f t="shared" si="70"/>
        <v>0</v>
      </c>
      <c r="J140" s="1613">
        <f t="shared" si="70"/>
        <v>0</v>
      </c>
      <c r="K140" s="1552">
        <f t="shared" si="70"/>
        <v>0</v>
      </c>
      <c r="L140" s="1613">
        <f t="shared" si="70"/>
        <v>0</v>
      </c>
      <c r="M140" s="1553">
        <f t="shared" si="70"/>
        <v>0</v>
      </c>
      <c r="N140" s="275">
        <f t="shared" si="70"/>
        <v>0</v>
      </c>
      <c r="O140" s="1552">
        <f t="shared" si="70"/>
        <v>0</v>
      </c>
      <c r="P140" s="276">
        <f t="shared" si="70"/>
        <v>0</v>
      </c>
      <c r="Q140" s="1552">
        <f t="shared" si="70"/>
        <v>0</v>
      </c>
      <c r="R140" s="276">
        <f t="shared" si="70"/>
        <v>0</v>
      </c>
      <c r="S140" s="1614">
        <f t="shared" si="70"/>
        <v>0</v>
      </c>
      <c r="T140" s="276">
        <f t="shared" si="70"/>
        <v>0</v>
      </c>
      <c r="U140" s="1552">
        <f t="shared" si="70"/>
        <v>0</v>
      </c>
      <c r="V140" s="1613">
        <f t="shared" si="70"/>
        <v>0</v>
      </c>
      <c r="W140" s="277">
        <f t="shared" si="70"/>
        <v>0</v>
      </c>
      <c r="X140" s="276">
        <f t="shared" si="70"/>
        <v>0</v>
      </c>
      <c r="Y140" s="1553">
        <f t="shared" si="70"/>
        <v>0</v>
      </c>
      <c r="Z140" s="1613">
        <f t="shared" si="70"/>
        <v>0</v>
      </c>
      <c r="AA140" s="277">
        <f t="shared" si="70"/>
        <v>0</v>
      </c>
      <c r="AB140" s="1613">
        <f t="shared" si="70"/>
        <v>0</v>
      </c>
      <c r="AC140" s="277">
        <f t="shared" si="70"/>
        <v>0</v>
      </c>
      <c r="AD140" s="1613">
        <f t="shared" si="70"/>
        <v>0</v>
      </c>
      <c r="AE140" s="277">
        <f t="shared" si="70"/>
        <v>0</v>
      </c>
      <c r="AF140" s="1613">
        <f t="shared" si="70"/>
        <v>0</v>
      </c>
      <c r="AG140" s="277">
        <f t="shared" si="70"/>
        <v>0</v>
      </c>
      <c r="AH140" s="1613">
        <f t="shared" si="70"/>
        <v>0</v>
      </c>
      <c r="AI140" s="277">
        <f t="shared" si="70"/>
        <v>0</v>
      </c>
      <c r="AJ140" s="1613">
        <f t="shared" si="70"/>
        <v>0</v>
      </c>
      <c r="AK140" s="277">
        <f t="shared" si="70"/>
        <v>0</v>
      </c>
      <c r="AL140" s="1613">
        <f t="shared" si="70"/>
        <v>0</v>
      </c>
      <c r="AM140" s="277">
        <f t="shared" si="70"/>
        <v>0</v>
      </c>
      <c r="AN140" s="1614">
        <f t="shared" si="70"/>
        <v>0</v>
      </c>
      <c r="AO140" s="278">
        <f t="shared" si="70"/>
        <v>0</v>
      </c>
      <c r="AP140" s="1613">
        <f t="shared" ref="AP140" si="71">SUM(AP130:AP139)</f>
        <v>0</v>
      </c>
      <c r="AQ140" s="277">
        <f t="shared" si="70"/>
        <v>0</v>
      </c>
      <c r="AR140" s="277">
        <f t="shared" si="70"/>
        <v>0</v>
      </c>
      <c r="AS140" s="277">
        <f t="shared" si="70"/>
        <v>0</v>
      </c>
      <c r="AT140" s="276">
        <f t="shared" si="70"/>
        <v>0</v>
      </c>
    </row>
    <row r="141" spans="1:96" s="161" customFormat="1" ht="15" customHeight="1" x14ac:dyDescent="0.15">
      <c r="A141" s="5609">
        <v>32100810</v>
      </c>
      <c r="B141" s="6112" t="s">
        <v>4051</v>
      </c>
      <c r="C141" s="255" t="s">
        <v>64</v>
      </c>
      <c r="D141" s="419" t="s">
        <v>4567</v>
      </c>
      <c r="E141" s="1615" t="s">
        <v>4568</v>
      </c>
      <c r="F141" s="221" t="s">
        <v>4569</v>
      </c>
      <c r="G141" s="420" t="s">
        <v>4570</v>
      </c>
      <c r="H141" s="222" t="s">
        <v>4571</v>
      </c>
      <c r="I141" s="420" t="s">
        <v>4572</v>
      </c>
      <c r="J141" s="222" t="s">
        <v>4573</v>
      </c>
      <c r="K141" s="420" t="s">
        <v>4574</v>
      </c>
      <c r="L141" s="222" t="s">
        <v>4575</v>
      </c>
      <c r="M141" s="174" t="s">
        <v>4576</v>
      </c>
      <c r="N141" s="1616" t="s">
        <v>4577</v>
      </c>
      <c r="O141" s="420" t="s">
        <v>4578</v>
      </c>
      <c r="P141" s="1617" t="s">
        <v>4579</v>
      </c>
      <c r="Q141" s="420" t="s">
        <v>4580</v>
      </c>
      <c r="R141" s="1617" t="s">
        <v>4581</v>
      </c>
      <c r="S141" s="174" t="s">
        <v>4582</v>
      </c>
      <c r="T141" s="1617" t="s">
        <v>4583</v>
      </c>
      <c r="U141" s="174" t="s">
        <v>4584</v>
      </c>
      <c r="V141" s="1617" t="s">
        <v>4585</v>
      </c>
      <c r="W141" s="420" t="s">
        <v>4586</v>
      </c>
      <c r="X141" s="222" t="s">
        <v>4587</v>
      </c>
      <c r="Y141" s="174" t="s">
        <v>4588</v>
      </c>
      <c r="Z141" s="222" t="s">
        <v>4589</v>
      </c>
      <c r="AA141" s="174" t="s">
        <v>4590</v>
      </c>
      <c r="AB141" s="1617" t="s">
        <v>4591</v>
      </c>
      <c r="AC141" s="174" t="s">
        <v>4592</v>
      </c>
      <c r="AD141" s="1617" t="s">
        <v>4593</v>
      </c>
      <c r="AE141" s="174" t="s">
        <v>4594</v>
      </c>
      <c r="AF141" s="1617" t="s">
        <v>4595</v>
      </c>
      <c r="AG141" s="174" t="s">
        <v>4596</v>
      </c>
      <c r="AH141" s="1617" t="s">
        <v>4597</v>
      </c>
      <c r="AI141" s="174" t="s">
        <v>4598</v>
      </c>
      <c r="AJ141" s="1617" t="s">
        <v>4599</v>
      </c>
      <c r="AK141" s="174" t="s">
        <v>4600</v>
      </c>
      <c r="AL141" s="1617" t="s">
        <v>4601</v>
      </c>
      <c r="AM141" s="174" t="s">
        <v>4602</v>
      </c>
      <c r="AN141" s="1616" t="s">
        <v>4603</v>
      </c>
      <c r="AO141" s="415" t="s">
        <v>4604</v>
      </c>
      <c r="AP141" s="222" t="s">
        <v>4605</v>
      </c>
      <c r="AQ141" s="1618" t="s">
        <v>4606</v>
      </c>
      <c r="AR141" s="1618" t="s">
        <v>4934</v>
      </c>
      <c r="AS141" s="1618" t="s">
        <v>4935</v>
      </c>
      <c r="AT141" s="1617" t="s">
        <v>4936</v>
      </c>
      <c r="AV141" s="161" t="str">
        <f t="shared" ref="AV141:AV150" si="72">CC141&amp;CD141&amp;CE141&amp;CF141&amp;CG141</f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1" s="162" t="str">
        <f t="shared" ref="CC141:CC150" si="73">IF(AND($D141&gt;0,AO141="")," * No olvide digitar la variable Serv. Nac. Reinserción Social Juvenil. Digite Cero si no tiene",IF(AO141&gt;$D141," * La variable Serv. Nac. Reinserción Social Juvenil no puede ser mayor al Total.",""))</f>
        <v xml:space="preserve"> * La variable Serv. Nac. Reinserción Social Juvenil no puede ser mayor al Total.</v>
      </c>
      <c r="CD141" s="162" t="str">
        <f t="shared" ref="CD141:CD150" si="74">IF(AND($D141&gt;0,AQ141="")," * No olvide digitar la variable Pueblos originarios. Digite cero si no tiene",IF(AQ141&gt;$D141," * La variable Pueblos Originarios no puede ser mayor al Total.",""))</f>
        <v xml:space="preserve"> * La variable Pueblos Originarios no puede ser mayor al Total.</v>
      </c>
      <c r="CE141" s="162" t="str">
        <f t="shared" ref="CE141:CE150" si="75">IF(AND($D141&gt;0,AR141="")," * No olvide digitar la variable Migrantes. Digite cero si no tiene.",IF(AR141&gt;$D141," * La variable Migrantes no puede ser mayor al Total.",""))</f>
        <v xml:space="preserve"> * La variable Migrantes no puede ser mayor al Total.</v>
      </c>
      <c r="CF141" s="162" t="str">
        <f t="shared" ref="CF141:CF150" si="76">IF(AND($D141&gt;0,AS141="")," * No olvide digitar la variable Demencia. Digite cero si no tiene.",IF(AS141&gt;$D141," * La variable Demencia no puede ser mayor al Total.",""))</f>
        <v xml:space="preserve"> * La variable Demencia no puede ser mayor al Total.</v>
      </c>
      <c r="CG141" s="162" t="str">
        <f t="shared" ref="CG141:CG150" si="77">IF(AND($D141&gt;0,AT141="")," * No olvide digitar la variable Espacios Amigables/Adolescentes. Digite cero si no tiene.",IF(AT141&gt;$D141," * La variable Espacios Amigables/adolescentes no puede ser mayor al Total.",""))</f>
        <v xml:space="preserve"> * La variable Espacios Amigables/adolescentes no puede ser mayor al Total.</v>
      </c>
      <c r="CH141" s="162" t="str">
        <f t="shared" ref="CH141:CH150" si="78">IF(AND($D141&gt;0,AP141="")," * No olvide digitar la variable Serv. Nac. Reinserción Social Juvenil. Digite cero si no tiene.",IF(AP141&gt;$D141," * La variable Serv. Nac. Reinserción Social Juvenil no puede ser mayor al Total.",""))</f>
        <v xml:space="preserve"> * La variable Serv. Nac. Reinserción Social Juvenil no puede ser mayor al Total.</v>
      </c>
      <c r="CK141" s="164"/>
      <c r="CL141" s="164"/>
      <c r="CM141" s="163">
        <f t="shared" ref="CM141:CM150" si="79">IF(AND(D141&gt;0,AO141=""),1,IF(AO141&gt;D141,1,0))</f>
        <v>1</v>
      </c>
      <c r="CN141" s="163">
        <f t="shared" ref="CN141:CN150" si="80">IF(AND(D141&gt;0,AQ141=""),1,IF(AQ141&gt;D141,1,0))</f>
        <v>1</v>
      </c>
      <c r="CO141" s="163">
        <f t="shared" ref="CO141:CO150" si="81">IF(AND(D141&gt;0,AR141=""),1,IF(AR141&gt;D141,1,0))</f>
        <v>1</v>
      </c>
      <c r="CP141" s="163">
        <f t="shared" ref="CP141:CP150" si="82">IF(AND(D141&gt;0,AS141=""),1,IF(AS141&gt;D141,1,0))</f>
        <v>1</v>
      </c>
      <c r="CQ141" s="163">
        <f t="shared" ref="CQ141:CQ150" si="83">IF(AND(D141&gt;0,AT141=""),1,IF(AT141&gt;D141,1,0))</f>
        <v>1</v>
      </c>
      <c r="CR141" s="163">
        <f t="shared" ref="CR141:CR150" si="84">IF(AND(D141&gt;0,AP141=""),1,IF(AP141&gt;D141,1,0))</f>
        <v>1</v>
      </c>
    </row>
    <row r="142" spans="1:96" s="161" customFormat="1" ht="15" customHeight="1" x14ac:dyDescent="0.15">
      <c r="A142" s="5609">
        <v>32100820</v>
      </c>
      <c r="B142" s="6112"/>
      <c r="C142" s="949" t="s">
        <v>1034</v>
      </c>
      <c r="D142" s="1597" t="s">
        <v>4567</v>
      </c>
      <c r="E142" s="1598" t="s">
        <v>4568</v>
      </c>
      <c r="F142" s="1599" t="s">
        <v>4569</v>
      </c>
      <c r="G142" s="1572" t="s">
        <v>4570</v>
      </c>
      <c r="H142" s="1577" t="s">
        <v>4571</v>
      </c>
      <c r="I142" s="1572" t="s">
        <v>4572</v>
      </c>
      <c r="J142" s="1577" t="s">
        <v>4573</v>
      </c>
      <c r="K142" s="1572" t="s">
        <v>4574</v>
      </c>
      <c r="L142" s="1577" t="s">
        <v>4575</v>
      </c>
      <c r="M142" s="1600" t="s">
        <v>4576</v>
      </c>
      <c r="N142" s="1601" t="s">
        <v>4577</v>
      </c>
      <c r="O142" s="1572" t="s">
        <v>4578</v>
      </c>
      <c r="P142" s="1602" t="s">
        <v>4579</v>
      </c>
      <c r="Q142" s="1572" t="s">
        <v>4580</v>
      </c>
      <c r="R142" s="1602" t="s">
        <v>4581</v>
      </c>
      <c r="S142" s="1600" t="s">
        <v>4582</v>
      </c>
      <c r="T142" s="1602" t="s">
        <v>4583</v>
      </c>
      <c r="U142" s="1600" t="s">
        <v>4584</v>
      </c>
      <c r="V142" s="1602" t="s">
        <v>4585</v>
      </c>
      <c r="W142" s="1572" t="s">
        <v>4586</v>
      </c>
      <c r="X142" s="1577" t="s">
        <v>4587</v>
      </c>
      <c r="Y142" s="1600" t="s">
        <v>4588</v>
      </c>
      <c r="Z142" s="1577" t="s">
        <v>4589</v>
      </c>
      <c r="AA142" s="1600" t="s">
        <v>4590</v>
      </c>
      <c r="AB142" s="1602" t="s">
        <v>4591</v>
      </c>
      <c r="AC142" s="1600" t="s">
        <v>4592</v>
      </c>
      <c r="AD142" s="1602" t="s">
        <v>4593</v>
      </c>
      <c r="AE142" s="1600" t="s">
        <v>4594</v>
      </c>
      <c r="AF142" s="1602" t="s">
        <v>4595</v>
      </c>
      <c r="AG142" s="1600" t="s">
        <v>4596</v>
      </c>
      <c r="AH142" s="1602" t="s">
        <v>4597</v>
      </c>
      <c r="AI142" s="1600" t="s">
        <v>4598</v>
      </c>
      <c r="AJ142" s="1602" t="s">
        <v>4599</v>
      </c>
      <c r="AK142" s="1600" t="s">
        <v>4600</v>
      </c>
      <c r="AL142" s="1602" t="s">
        <v>4601</v>
      </c>
      <c r="AM142" s="1600" t="s">
        <v>4602</v>
      </c>
      <c r="AN142" s="1601" t="s">
        <v>4603</v>
      </c>
      <c r="AO142" s="1579" t="s">
        <v>4604</v>
      </c>
      <c r="AP142" s="1577" t="s">
        <v>4605</v>
      </c>
      <c r="AQ142" s="1573" t="s">
        <v>4606</v>
      </c>
      <c r="AR142" s="1573" t="s">
        <v>4934</v>
      </c>
      <c r="AS142" s="1573" t="s">
        <v>4935</v>
      </c>
      <c r="AT142" s="1602" t="s">
        <v>4936</v>
      </c>
      <c r="AV142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2" s="162" t="str">
        <f t="shared" si="73"/>
        <v xml:space="preserve"> * La variable Serv. Nac. Reinserción Social Juvenil no puede ser mayor al Total.</v>
      </c>
      <c r="CD142" s="162" t="str">
        <f t="shared" si="74"/>
        <v xml:space="preserve"> * La variable Pueblos Originarios no puede ser mayor al Total.</v>
      </c>
      <c r="CE142" s="162" t="str">
        <f t="shared" si="75"/>
        <v xml:space="preserve"> * La variable Migrantes no puede ser mayor al Total.</v>
      </c>
      <c r="CF142" s="162" t="str">
        <f t="shared" si="76"/>
        <v xml:space="preserve"> * La variable Demencia no puede ser mayor al Total.</v>
      </c>
      <c r="CG142" s="162" t="str">
        <f t="shared" si="77"/>
        <v xml:space="preserve"> * La variable Espacios Amigables/adolescentes no puede ser mayor al Total.</v>
      </c>
      <c r="CH142" s="162" t="str">
        <f t="shared" si="78"/>
        <v xml:space="preserve"> * La variable Serv. Nac. Reinserción Social Juvenil no puede ser mayor al Total.</v>
      </c>
      <c r="CK142" s="164"/>
      <c r="CL142" s="164"/>
      <c r="CM142" s="163">
        <f t="shared" si="79"/>
        <v>1</v>
      </c>
      <c r="CN142" s="163">
        <f t="shared" si="80"/>
        <v>1</v>
      </c>
      <c r="CO142" s="163">
        <f t="shared" si="81"/>
        <v>1</v>
      </c>
      <c r="CP142" s="163">
        <f t="shared" si="82"/>
        <v>1</v>
      </c>
      <c r="CQ142" s="163">
        <f t="shared" si="83"/>
        <v>1</v>
      </c>
      <c r="CR142" s="163">
        <f t="shared" si="84"/>
        <v>1</v>
      </c>
    </row>
    <row r="143" spans="1:96" s="161" customFormat="1" ht="15" customHeight="1" x14ac:dyDescent="0.15">
      <c r="A143" s="5609">
        <v>32100830</v>
      </c>
      <c r="B143" s="6112"/>
      <c r="C143" s="949" t="s">
        <v>98</v>
      </c>
      <c r="D143" s="1597" t="s">
        <v>4567</v>
      </c>
      <c r="E143" s="1598" t="s">
        <v>4568</v>
      </c>
      <c r="F143" s="1599" t="s">
        <v>4569</v>
      </c>
      <c r="G143" s="1572" t="s">
        <v>4570</v>
      </c>
      <c r="H143" s="1577" t="s">
        <v>4571</v>
      </c>
      <c r="I143" s="1572" t="s">
        <v>4572</v>
      </c>
      <c r="J143" s="1577" t="s">
        <v>4573</v>
      </c>
      <c r="K143" s="1572" t="s">
        <v>4574</v>
      </c>
      <c r="L143" s="1577" t="s">
        <v>4575</v>
      </c>
      <c r="M143" s="1600" t="s">
        <v>4576</v>
      </c>
      <c r="N143" s="1601" t="s">
        <v>4577</v>
      </c>
      <c r="O143" s="1572" t="s">
        <v>4578</v>
      </c>
      <c r="P143" s="1602" t="s">
        <v>4579</v>
      </c>
      <c r="Q143" s="1572" t="s">
        <v>4580</v>
      </c>
      <c r="R143" s="1602" t="s">
        <v>4581</v>
      </c>
      <c r="S143" s="1600" t="s">
        <v>4582</v>
      </c>
      <c r="T143" s="1602" t="s">
        <v>4583</v>
      </c>
      <c r="U143" s="1600" t="s">
        <v>4584</v>
      </c>
      <c r="V143" s="1602" t="s">
        <v>4585</v>
      </c>
      <c r="W143" s="1572" t="s">
        <v>4586</v>
      </c>
      <c r="X143" s="1577" t="s">
        <v>4587</v>
      </c>
      <c r="Y143" s="1600" t="s">
        <v>4588</v>
      </c>
      <c r="Z143" s="1577" t="s">
        <v>4589</v>
      </c>
      <c r="AA143" s="1600" t="s">
        <v>4590</v>
      </c>
      <c r="AB143" s="1602" t="s">
        <v>4591</v>
      </c>
      <c r="AC143" s="1600" t="s">
        <v>4592</v>
      </c>
      <c r="AD143" s="1602" t="s">
        <v>4593</v>
      </c>
      <c r="AE143" s="1600" t="s">
        <v>4594</v>
      </c>
      <c r="AF143" s="1602" t="s">
        <v>4595</v>
      </c>
      <c r="AG143" s="1600" t="s">
        <v>4596</v>
      </c>
      <c r="AH143" s="1602" t="s">
        <v>4597</v>
      </c>
      <c r="AI143" s="1600" t="s">
        <v>4598</v>
      </c>
      <c r="AJ143" s="1602" t="s">
        <v>4599</v>
      </c>
      <c r="AK143" s="1600" t="s">
        <v>4600</v>
      </c>
      <c r="AL143" s="1602" t="s">
        <v>4601</v>
      </c>
      <c r="AM143" s="1600" t="s">
        <v>4602</v>
      </c>
      <c r="AN143" s="1601" t="s">
        <v>4603</v>
      </c>
      <c r="AO143" s="1579" t="s">
        <v>4604</v>
      </c>
      <c r="AP143" s="1577" t="s">
        <v>4605</v>
      </c>
      <c r="AQ143" s="1573" t="s">
        <v>4606</v>
      </c>
      <c r="AR143" s="1573" t="s">
        <v>4934</v>
      </c>
      <c r="AS143" s="1573" t="s">
        <v>4935</v>
      </c>
      <c r="AT143" s="1602" t="s">
        <v>4936</v>
      </c>
      <c r="AV143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3" s="162" t="str">
        <f t="shared" si="73"/>
        <v xml:space="preserve"> * La variable Serv. Nac. Reinserción Social Juvenil no puede ser mayor al Total.</v>
      </c>
      <c r="CD143" s="162" t="str">
        <f t="shared" si="74"/>
        <v xml:space="preserve"> * La variable Pueblos Originarios no puede ser mayor al Total.</v>
      </c>
      <c r="CE143" s="162" t="str">
        <f t="shared" si="75"/>
        <v xml:space="preserve"> * La variable Migrantes no puede ser mayor al Total.</v>
      </c>
      <c r="CF143" s="162" t="str">
        <f t="shared" si="76"/>
        <v xml:space="preserve"> * La variable Demencia no puede ser mayor al Total.</v>
      </c>
      <c r="CG143" s="162" t="str">
        <f t="shared" si="77"/>
        <v xml:space="preserve"> * La variable Espacios Amigables/adolescentes no puede ser mayor al Total.</v>
      </c>
      <c r="CH143" s="162" t="str">
        <f t="shared" si="78"/>
        <v xml:space="preserve"> * La variable Serv. Nac. Reinserción Social Juvenil no puede ser mayor al Total.</v>
      </c>
      <c r="CK143" s="164"/>
      <c r="CL143" s="164"/>
      <c r="CM143" s="163">
        <f t="shared" si="79"/>
        <v>1</v>
      </c>
      <c r="CN143" s="163">
        <f t="shared" si="80"/>
        <v>1</v>
      </c>
      <c r="CO143" s="163">
        <f t="shared" si="81"/>
        <v>1</v>
      </c>
      <c r="CP143" s="163">
        <f t="shared" si="82"/>
        <v>1</v>
      </c>
      <c r="CQ143" s="163">
        <f t="shared" si="83"/>
        <v>1</v>
      </c>
      <c r="CR143" s="163">
        <f t="shared" si="84"/>
        <v>1</v>
      </c>
    </row>
    <row r="144" spans="1:96" s="161" customFormat="1" ht="15" customHeight="1" x14ac:dyDescent="0.15">
      <c r="A144" s="5609">
        <v>32100840</v>
      </c>
      <c r="B144" s="6112"/>
      <c r="C144" s="949" t="s">
        <v>4049</v>
      </c>
      <c r="D144" s="1597" t="s">
        <v>4567</v>
      </c>
      <c r="E144" s="1598" t="s">
        <v>4568</v>
      </c>
      <c r="F144" s="1599" t="s">
        <v>4569</v>
      </c>
      <c r="G144" s="1572" t="s">
        <v>4570</v>
      </c>
      <c r="H144" s="1577" t="s">
        <v>4571</v>
      </c>
      <c r="I144" s="1572" t="s">
        <v>4572</v>
      </c>
      <c r="J144" s="1577" t="s">
        <v>4573</v>
      </c>
      <c r="K144" s="1572" t="s">
        <v>4574</v>
      </c>
      <c r="L144" s="1577" t="s">
        <v>4575</v>
      </c>
      <c r="M144" s="1600" t="s">
        <v>4576</v>
      </c>
      <c r="N144" s="1601" t="s">
        <v>4577</v>
      </c>
      <c r="O144" s="1572" t="s">
        <v>4578</v>
      </c>
      <c r="P144" s="1602" t="s">
        <v>4579</v>
      </c>
      <c r="Q144" s="1572" t="s">
        <v>4580</v>
      </c>
      <c r="R144" s="1602" t="s">
        <v>4581</v>
      </c>
      <c r="S144" s="1600" t="s">
        <v>4582</v>
      </c>
      <c r="T144" s="1602" t="s">
        <v>4583</v>
      </c>
      <c r="U144" s="1600" t="s">
        <v>4584</v>
      </c>
      <c r="V144" s="1602" t="s">
        <v>4585</v>
      </c>
      <c r="W144" s="1572" t="s">
        <v>4586</v>
      </c>
      <c r="X144" s="1577" t="s">
        <v>4587</v>
      </c>
      <c r="Y144" s="1600" t="s">
        <v>4588</v>
      </c>
      <c r="Z144" s="1577" t="s">
        <v>4589</v>
      </c>
      <c r="AA144" s="1600" t="s">
        <v>4590</v>
      </c>
      <c r="AB144" s="1602" t="s">
        <v>4591</v>
      </c>
      <c r="AC144" s="1600" t="s">
        <v>4592</v>
      </c>
      <c r="AD144" s="1602" t="s">
        <v>4593</v>
      </c>
      <c r="AE144" s="1600" t="s">
        <v>4594</v>
      </c>
      <c r="AF144" s="1602" t="s">
        <v>4595</v>
      </c>
      <c r="AG144" s="1600" t="s">
        <v>4596</v>
      </c>
      <c r="AH144" s="1602" t="s">
        <v>4597</v>
      </c>
      <c r="AI144" s="1600" t="s">
        <v>4598</v>
      </c>
      <c r="AJ144" s="1602" t="s">
        <v>4599</v>
      </c>
      <c r="AK144" s="1600" t="s">
        <v>4600</v>
      </c>
      <c r="AL144" s="1602" t="s">
        <v>4601</v>
      </c>
      <c r="AM144" s="1600" t="s">
        <v>4602</v>
      </c>
      <c r="AN144" s="1601" t="s">
        <v>4603</v>
      </c>
      <c r="AO144" s="1579" t="s">
        <v>4604</v>
      </c>
      <c r="AP144" s="1577" t="s">
        <v>4605</v>
      </c>
      <c r="AQ144" s="1573" t="s">
        <v>4606</v>
      </c>
      <c r="AR144" s="1573" t="s">
        <v>4934</v>
      </c>
      <c r="AS144" s="1573" t="s">
        <v>4935</v>
      </c>
      <c r="AT144" s="1602" t="s">
        <v>4936</v>
      </c>
      <c r="AV144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4" s="162" t="str">
        <f t="shared" si="73"/>
        <v xml:space="preserve"> * La variable Serv. Nac. Reinserción Social Juvenil no puede ser mayor al Total.</v>
      </c>
      <c r="CD144" s="162" t="str">
        <f t="shared" si="74"/>
        <v xml:space="preserve"> * La variable Pueblos Originarios no puede ser mayor al Total.</v>
      </c>
      <c r="CE144" s="162" t="str">
        <f t="shared" si="75"/>
        <v xml:space="preserve"> * La variable Migrantes no puede ser mayor al Total.</v>
      </c>
      <c r="CF144" s="162" t="str">
        <f t="shared" si="76"/>
        <v xml:space="preserve"> * La variable Demencia no puede ser mayor al Total.</v>
      </c>
      <c r="CG144" s="162" t="str">
        <f t="shared" si="77"/>
        <v xml:space="preserve"> * La variable Espacios Amigables/adolescentes no puede ser mayor al Total.</v>
      </c>
      <c r="CH144" s="162" t="str">
        <f t="shared" si="78"/>
        <v xml:space="preserve"> * La variable Serv. Nac. Reinserción Social Juvenil no puede ser mayor al Total.</v>
      </c>
      <c r="CK144" s="164"/>
      <c r="CL144" s="164"/>
      <c r="CM144" s="163">
        <f t="shared" si="79"/>
        <v>1</v>
      </c>
      <c r="CN144" s="163">
        <f t="shared" si="80"/>
        <v>1</v>
      </c>
      <c r="CO144" s="163">
        <f t="shared" si="81"/>
        <v>1</v>
      </c>
      <c r="CP144" s="163">
        <f t="shared" si="82"/>
        <v>1</v>
      </c>
      <c r="CQ144" s="163">
        <f t="shared" si="83"/>
        <v>1</v>
      </c>
      <c r="CR144" s="163">
        <f t="shared" si="84"/>
        <v>1</v>
      </c>
    </row>
    <row r="145" spans="1:96" s="161" customFormat="1" ht="15" customHeight="1" x14ac:dyDescent="0.15">
      <c r="A145" s="5609">
        <v>32100850</v>
      </c>
      <c r="B145" s="6112"/>
      <c r="C145" s="949" t="s">
        <v>1035</v>
      </c>
      <c r="D145" s="1597" t="s">
        <v>4567</v>
      </c>
      <c r="E145" s="1598" t="s">
        <v>4568</v>
      </c>
      <c r="F145" s="1599" t="s">
        <v>4569</v>
      </c>
      <c r="G145" s="1572" t="s">
        <v>4570</v>
      </c>
      <c r="H145" s="1577" t="s">
        <v>4571</v>
      </c>
      <c r="I145" s="1572" t="s">
        <v>4572</v>
      </c>
      <c r="J145" s="1577" t="s">
        <v>4573</v>
      </c>
      <c r="K145" s="1572" t="s">
        <v>4574</v>
      </c>
      <c r="L145" s="1577" t="s">
        <v>4575</v>
      </c>
      <c r="M145" s="1600" t="s">
        <v>4576</v>
      </c>
      <c r="N145" s="1601" t="s">
        <v>4577</v>
      </c>
      <c r="O145" s="1572" t="s">
        <v>4578</v>
      </c>
      <c r="P145" s="1602" t="s">
        <v>4579</v>
      </c>
      <c r="Q145" s="1572" t="s">
        <v>4580</v>
      </c>
      <c r="R145" s="1602" t="s">
        <v>4581</v>
      </c>
      <c r="S145" s="1600" t="s">
        <v>4582</v>
      </c>
      <c r="T145" s="1602" t="s">
        <v>4583</v>
      </c>
      <c r="U145" s="1600" t="s">
        <v>4584</v>
      </c>
      <c r="V145" s="1602" t="s">
        <v>4585</v>
      </c>
      <c r="W145" s="1572" t="s">
        <v>4586</v>
      </c>
      <c r="X145" s="1577" t="s">
        <v>4587</v>
      </c>
      <c r="Y145" s="1600" t="s">
        <v>4588</v>
      </c>
      <c r="Z145" s="1577" t="s">
        <v>4589</v>
      </c>
      <c r="AA145" s="1600" t="s">
        <v>4590</v>
      </c>
      <c r="AB145" s="1602" t="s">
        <v>4591</v>
      </c>
      <c r="AC145" s="1600" t="s">
        <v>4592</v>
      </c>
      <c r="AD145" s="1602" t="s">
        <v>4593</v>
      </c>
      <c r="AE145" s="1600" t="s">
        <v>4594</v>
      </c>
      <c r="AF145" s="1602" t="s">
        <v>4595</v>
      </c>
      <c r="AG145" s="1600" t="s">
        <v>4596</v>
      </c>
      <c r="AH145" s="1602" t="s">
        <v>4597</v>
      </c>
      <c r="AI145" s="1600" t="s">
        <v>4598</v>
      </c>
      <c r="AJ145" s="1602" t="s">
        <v>4599</v>
      </c>
      <c r="AK145" s="1600" t="s">
        <v>4600</v>
      </c>
      <c r="AL145" s="1602" t="s">
        <v>4601</v>
      </c>
      <c r="AM145" s="1600" t="s">
        <v>4602</v>
      </c>
      <c r="AN145" s="1601" t="s">
        <v>4603</v>
      </c>
      <c r="AO145" s="1579" t="s">
        <v>4604</v>
      </c>
      <c r="AP145" s="1577" t="s">
        <v>4605</v>
      </c>
      <c r="AQ145" s="1573" t="s">
        <v>4606</v>
      </c>
      <c r="AR145" s="1573" t="s">
        <v>4934</v>
      </c>
      <c r="AS145" s="1573" t="s">
        <v>4935</v>
      </c>
      <c r="AT145" s="1602" t="s">
        <v>4936</v>
      </c>
      <c r="AV145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5" s="162" t="str">
        <f t="shared" si="73"/>
        <v xml:space="preserve"> * La variable Serv. Nac. Reinserción Social Juvenil no puede ser mayor al Total.</v>
      </c>
      <c r="CD145" s="162" t="str">
        <f t="shared" si="74"/>
        <v xml:space="preserve"> * La variable Pueblos Originarios no puede ser mayor al Total.</v>
      </c>
      <c r="CE145" s="162" t="str">
        <f t="shared" si="75"/>
        <v xml:space="preserve"> * La variable Migrantes no puede ser mayor al Total.</v>
      </c>
      <c r="CF145" s="162" t="str">
        <f t="shared" si="76"/>
        <v xml:space="preserve"> * La variable Demencia no puede ser mayor al Total.</v>
      </c>
      <c r="CG145" s="162" t="str">
        <f t="shared" si="77"/>
        <v xml:space="preserve"> * La variable Espacios Amigables/adolescentes no puede ser mayor al Total.</v>
      </c>
      <c r="CH145" s="162" t="str">
        <f t="shared" si="78"/>
        <v xml:space="preserve"> * La variable Serv. Nac. Reinserción Social Juvenil no puede ser mayor al Total.</v>
      </c>
      <c r="CK145" s="164"/>
      <c r="CL145" s="164"/>
      <c r="CM145" s="163">
        <f t="shared" si="79"/>
        <v>1</v>
      </c>
      <c r="CN145" s="163">
        <f t="shared" si="80"/>
        <v>1</v>
      </c>
      <c r="CO145" s="163">
        <f t="shared" si="81"/>
        <v>1</v>
      </c>
      <c r="CP145" s="163">
        <f t="shared" si="82"/>
        <v>1</v>
      </c>
      <c r="CQ145" s="163">
        <f t="shared" si="83"/>
        <v>1</v>
      </c>
      <c r="CR145" s="163">
        <f t="shared" si="84"/>
        <v>1</v>
      </c>
    </row>
    <row r="146" spans="1:96" s="161" customFormat="1" ht="15" customHeight="1" x14ac:dyDescent="0.15">
      <c r="A146" s="5609">
        <v>32100860</v>
      </c>
      <c r="B146" s="6112"/>
      <c r="C146" s="949" t="s">
        <v>1075</v>
      </c>
      <c r="D146" s="1597" t="s">
        <v>4567</v>
      </c>
      <c r="E146" s="1598" t="s">
        <v>4568</v>
      </c>
      <c r="F146" s="1599" t="s">
        <v>4569</v>
      </c>
      <c r="G146" s="1572" t="s">
        <v>4570</v>
      </c>
      <c r="H146" s="1577" t="s">
        <v>4571</v>
      </c>
      <c r="I146" s="1572" t="s">
        <v>4572</v>
      </c>
      <c r="J146" s="1577" t="s">
        <v>4573</v>
      </c>
      <c r="K146" s="1572" t="s">
        <v>4574</v>
      </c>
      <c r="L146" s="1577" t="s">
        <v>4575</v>
      </c>
      <c r="M146" s="1600" t="s">
        <v>4576</v>
      </c>
      <c r="N146" s="1601" t="s">
        <v>4577</v>
      </c>
      <c r="O146" s="1572" t="s">
        <v>4578</v>
      </c>
      <c r="P146" s="1602" t="s">
        <v>4579</v>
      </c>
      <c r="Q146" s="1572" t="s">
        <v>4580</v>
      </c>
      <c r="R146" s="1602" t="s">
        <v>4581</v>
      </c>
      <c r="S146" s="1600" t="s">
        <v>4582</v>
      </c>
      <c r="T146" s="1602" t="s">
        <v>4583</v>
      </c>
      <c r="U146" s="1600" t="s">
        <v>4584</v>
      </c>
      <c r="V146" s="1602" t="s">
        <v>4585</v>
      </c>
      <c r="W146" s="1572" t="s">
        <v>4586</v>
      </c>
      <c r="X146" s="1577" t="s">
        <v>4587</v>
      </c>
      <c r="Y146" s="1600" t="s">
        <v>4588</v>
      </c>
      <c r="Z146" s="1577" t="s">
        <v>4589</v>
      </c>
      <c r="AA146" s="1600" t="s">
        <v>4590</v>
      </c>
      <c r="AB146" s="1602" t="s">
        <v>4591</v>
      </c>
      <c r="AC146" s="1600" t="s">
        <v>4592</v>
      </c>
      <c r="AD146" s="1602" t="s">
        <v>4593</v>
      </c>
      <c r="AE146" s="1600" t="s">
        <v>4594</v>
      </c>
      <c r="AF146" s="1602" t="s">
        <v>4595</v>
      </c>
      <c r="AG146" s="1600" t="s">
        <v>4596</v>
      </c>
      <c r="AH146" s="1602" t="s">
        <v>4597</v>
      </c>
      <c r="AI146" s="1600" t="s">
        <v>4598</v>
      </c>
      <c r="AJ146" s="1602" t="s">
        <v>4599</v>
      </c>
      <c r="AK146" s="1600" t="s">
        <v>4600</v>
      </c>
      <c r="AL146" s="1602" t="s">
        <v>4601</v>
      </c>
      <c r="AM146" s="1600" t="s">
        <v>4602</v>
      </c>
      <c r="AN146" s="1601" t="s">
        <v>4603</v>
      </c>
      <c r="AO146" s="1579" t="s">
        <v>4604</v>
      </c>
      <c r="AP146" s="1577" t="s">
        <v>4605</v>
      </c>
      <c r="AQ146" s="1573" t="s">
        <v>4606</v>
      </c>
      <c r="AR146" s="1573" t="s">
        <v>4934</v>
      </c>
      <c r="AS146" s="1573" t="s">
        <v>4935</v>
      </c>
      <c r="AT146" s="1602" t="s">
        <v>4936</v>
      </c>
      <c r="AV146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6" s="162" t="str">
        <f t="shared" si="73"/>
        <v xml:space="preserve"> * La variable Serv. Nac. Reinserción Social Juvenil no puede ser mayor al Total.</v>
      </c>
      <c r="CD146" s="162" t="str">
        <f t="shared" si="74"/>
        <v xml:space="preserve"> * La variable Pueblos Originarios no puede ser mayor al Total.</v>
      </c>
      <c r="CE146" s="162" t="str">
        <f t="shared" si="75"/>
        <v xml:space="preserve"> * La variable Migrantes no puede ser mayor al Total.</v>
      </c>
      <c r="CF146" s="162" t="str">
        <f t="shared" si="76"/>
        <v xml:space="preserve"> * La variable Demencia no puede ser mayor al Total.</v>
      </c>
      <c r="CG146" s="162" t="str">
        <f t="shared" si="77"/>
        <v xml:space="preserve"> * La variable Espacios Amigables/adolescentes no puede ser mayor al Total.</v>
      </c>
      <c r="CH146" s="162" t="str">
        <f t="shared" si="78"/>
        <v xml:space="preserve"> * La variable Serv. Nac. Reinserción Social Juvenil no puede ser mayor al Total.</v>
      </c>
      <c r="CK146" s="164"/>
      <c r="CL146" s="164"/>
      <c r="CM146" s="163">
        <f t="shared" si="79"/>
        <v>1</v>
      </c>
      <c r="CN146" s="163">
        <f t="shared" si="80"/>
        <v>1</v>
      </c>
      <c r="CO146" s="163">
        <f t="shared" si="81"/>
        <v>1</v>
      </c>
      <c r="CP146" s="163">
        <f t="shared" si="82"/>
        <v>1</v>
      </c>
      <c r="CQ146" s="163">
        <f t="shared" si="83"/>
        <v>1</v>
      </c>
      <c r="CR146" s="163">
        <f t="shared" si="84"/>
        <v>1</v>
      </c>
    </row>
    <row r="147" spans="1:96" s="161" customFormat="1" ht="15" customHeight="1" x14ac:dyDescent="0.15">
      <c r="A147" s="5609">
        <v>32100870</v>
      </c>
      <c r="B147" s="6112"/>
      <c r="C147" s="949" t="s">
        <v>1037</v>
      </c>
      <c r="D147" s="1597" t="s">
        <v>4567</v>
      </c>
      <c r="E147" s="1598" t="s">
        <v>4568</v>
      </c>
      <c r="F147" s="1599" t="s">
        <v>4569</v>
      </c>
      <c r="G147" s="1572" t="s">
        <v>4570</v>
      </c>
      <c r="H147" s="1577" t="s">
        <v>4571</v>
      </c>
      <c r="I147" s="1572" t="s">
        <v>4572</v>
      </c>
      <c r="J147" s="1577" t="s">
        <v>4573</v>
      </c>
      <c r="K147" s="1572" t="s">
        <v>4574</v>
      </c>
      <c r="L147" s="1577" t="s">
        <v>4575</v>
      </c>
      <c r="M147" s="1600" t="s">
        <v>4576</v>
      </c>
      <c r="N147" s="1601" t="s">
        <v>4577</v>
      </c>
      <c r="O147" s="1572" t="s">
        <v>4578</v>
      </c>
      <c r="P147" s="1602" t="s">
        <v>4579</v>
      </c>
      <c r="Q147" s="1572" t="s">
        <v>4580</v>
      </c>
      <c r="R147" s="1602" t="s">
        <v>4581</v>
      </c>
      <c r="S147" s="1600" t="s">
        <v>4582</v>
      </c>
      <c r="T147" s="1602" t="s">
        <v>4583</v>
      </c>
      <c r="U147" s="1600" t="s">
        <v>4584</v>
      </c>
      <c r="V147" s="1602" t="s">
        <v>4585</v>
      </c>
      <c r="W147" s="1572" t="s">
        <v>4586</v>
      </c>
      <c r="X147" s="1577" t="s">
        <v>4587</v>
      </c>
      <c r="Y147" s="1600" t="s">
        <v>4588</v>
      </c>
      <c r="Z147" s="1577" t="s">
        <v>4589</v>
      </c>
      <c r="AA147" s="1600" t="s">
        <v>4590</v>
      </c>
      <c r="AB147" s="1602" t="s">
        <v>4591</v>
      </c>
      <c r="AC147" s="1600" t="s">
        <v>4592</v>
      </c>
      <c r="AD147" s="1602" t="s">
        <v>4593</v>
      </c>
      <c r="AE147" s="1600" t="s">
        <v>4594</v>
      </c>
      <c r="AF147" s="1602" t="s">
        <v>4595</v>
      </c>
      <c r="AG147" s="1600" t="s">
        <v>4596</v>
      </c>
      <c r="AH147" s="1602" t="s">
        <v>4597</v>
      </c>
      <c r="AI147" s="1600" t="s">
        <v>4598</v>
      </c>
      <c r="AJ147" s="1602" t="s">
        <v>4599</v>
      </c>
      <c r="AK147" s="1600" t="s">
        <v>4600</v>
      </c>
      <c r="AL147" s="1602" t="s">
        <v>4601</v>
      </c>
      <c r="AM147" s="1600" t="s">
        <v>4602</v>
      </c>
      <c r="AN147" s="1601" t="s">
        <v>4603</v>
      </c>
      <c r="AO147" s="1579" t="s">
        <v>4604</v>
      </c>
      <c r="AP147" s="1577" t="s">
        <v>4605</v>
      </c>
      <c r="AQ147" s="1573" t="s">
        <v>4606</v>
      </c>
      <c r="AR147" s="1573" t="s">
        <v>4934</v>
      </c>
      <c r="AS147" s="1573" t="s">
        <v>4935</v>
      </c>
      <c r="AT147" s="1602" t="s">
        <v>4936</v>
      </c>
      <c r="AV147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7" s="162" t="str">
        <f t="shared" si="73"/>
        <v xml:space="preserve"> * La variable Serv. Nac. Reinserción Social Juvenil no puede ser mayor al Total.</v>
      </c>
      <c r="CD147" s="162" t="str">
        <f t="shared" si="74"/>
        <v xml:space="preserve"> * La variable Pueblos Originarios no puede ser mayor al Total.</v>
      </c>
      <c r="CE147" s="162" t="str">
        <f t="shared" si="75"/>
        <v xml:space="preserve"> * La variable Migrantes no puede ser mayor al Total.</v>
      </c>
      <c r="CF147" s="162" t="str">
        <f t="shared" si="76"/>
        <v xml:space="preserve"> * La variable Demencia no puede ser mayor al Total.</v>
      </c>
      <c r="CG147" s="162" t="str">
        <f t="shared" si="77"/>
        <v xml:space="preserve"> * La variable Espacios Amigables/adolescentes no puede ser mayor al Total.</v>
      </c>
      <c r="CH147" s="162" t="str">
        <f t="shared" si="78"/>
        <v xml:space="preserve"> * La variable Serv. Nac. Reinserción Social Juvenil no puede ser mayor al Total.</v>
      </c>
      <c r="CK147" s="164"/>
      <c r="CL147" s="164"/>
      <c r="CM147" s="163">
        <f t="shared" si="79"/>
        <v>1</v>
      </c>
      <c r="CN147" s="163">
        <f t="shared" si="80"/>
        <v>1</v>
      </c>
      <c r="CO147" s="163">
        <f t="shared" si="81"/>
        <v>1</v>
      </c>
      <c r="CP147" s="163">
        <f t="shared" si="82"/>
        <v>1</v>
      </c>
      <c r="CQ147" s="163">
        <f t="shared" si="83"/>
        <v>1</v>
      </c>
      <c r="CR147" s="163">
        <f t="shared" si="84"/>
        <v>1</v>
      </c>
    </row>
    <row r="148" spans="1:96" s="161" customFormat="1" ht="21" x14ac:dyDescent="0.15">
      <c r="A148" s="5609">
        <v>32100880</v>
      </c>
      <c r="B148" s="6112"/>
      <c r="C148" s="949" t="s">
        <v>4050</v>
      </c>
      <c r="D148" s="1597" t="s">
        <v>4567</v>
      </c>
      <c r="E148" s="1598" t="s">
        <v>4568</v>
      </c>
      <c r="F148" s="1599" t="s">
        <v>4569</v>
      </c>
      <c r="G148" s="1572" t="s">
        <v>4570</v>
      </c>
      <c r="H148" s="1577" t="s">
        <v>4571</v>
      </c>
      <c r="I148" s="1572" t="s">
        <v>4572</v>
      </c>
      <c r="J148" s="1577" t="s">
        <v>4573</v>
      </c>
      <c r="K148" s="1572" t="s">
        <v>4574</v>
      </c>
      <c r="L148" s="1577" t="s">
        <v>4575</v>
      </c>
      <c r="M148" s="1600" t="s">
        <v>4576</v>
      </c>
      <c r="N148" s="1601" t="s">
        <v>4577</v>
      </c>
      <c r="O148" s="1572" t="s">
        <v>4578</v>
      </c>
      <c r="P148" s="1602" t="s">
        <v>4579</v>
      </c>
      <c r="Q148" s="1572" t="s">
        <v>4580</v>
      </c>
      <c r="R148" s="1602" t="s">
        <v>4581</v>
      </c>
      <c r="S148" s="1600" t="s">
        <v>4582</v>
      </c>
      <c r="T148" s="1602" t="s">
        <v>4583</v>
      </c>
      <c r="U148" s="1600" t="s">
        <v>4584</v>
      </c>
      <c r="V148" s="1602" t="s">
        <v>4585</v>
      </c>
      <c r="W148" s="1572" t="s">
        <v>4586</v>
      </c>
      <c r="X148" s="1577" t="s">
        <v>4587</v>
      </c>
      <c r="Y148" s="1600" t="s">
        <v>4588</v>
      </c>
      <c r="Z148" s="1577" t="s">
        <v>4589</v>
      </c>
      <c r="AA148" s="1600" t="s">
        <v>4590</v>
      </c>
      <c r="AB148" s="1602" t="s">
        <v>4591</v>
      </c>
      <c r="AC148" s="1600" t="s">
        <v>4592</v>
      </c>
      <c r="AD148" s="1602" t="s">
        <v>4593</v>
      </c>
      <c r="AE148" s="1600" t="s">
        <v>4594</v>
      </c>
      <c r="AF148" s="1602" t="s">
        <v>4595</v>
      </c>
      <c r="AG148" s="1600" t="s">
        <v>4596</v>
      </c>
      <c r="AH148" s="1602" t="s">
        <v>4597</v>
      </c>
      <c r="AI148" s="1600" t="s">
        <v>4598</v>
      </c>
      <c r="AJ148" s="1602" t="s">
        <v>4599</v>
      </c>
      <c r="AK148" s="1600" t="s">
        <v>4600</v>
      </c>
      <c r="AL148" s="1602" t="s">
        <v>4601</v>
      </c>
      <c r="AM148" s="1600" t="s">
        <v>4602</v>
      </c>
      <c r="AN148" s="1601" t="s">
        <v>4603</v>
      </c>
      <c r="AO148" s="1579" t="s">
        <v>4604</v>
      </c>
      <c r="AP148" s="1577" t="s">
        <v>4605</v>
      </c>
      <c r="AQ148" s="1573" t="s">
        <v>4606</v>
      </c>
      <c r="AR148" s="1573" t="s">
        <v>4934</v>
      </c>
      <c r="AS148" s="1573" t="s">
        <v>4935</v>
      </c>
      <c r="AT148" s="1602" t="s">
        <v>4936</v>
      </c>
      <c r="AV148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8" s="162" t="str">
        <f t="shared" si="73"/>
        <v xml:space="preserve"> * La variable Serv. Nac. Reinserción Social Juvenil no puede ser mayor al Total.</v>
      </c>
      <c r="CD148" s="162" t="str">
        <f t="shared" si="74"/>
        <v xml:space="preserve"> * La variable Pueblos Originarios no puede ser mayor al Total.</v>
      </c>
      <c r="CE148" s="162" t="str">
        <f t="shared" si="75"/>
        <v xml:space="preserve"> * La variable Migrantes no puede ser mayor al Total.</v>
      </c>
      <c r="CF148" s="162" t="str">
        <f t="shared" si="76"/>
        <v xml:space="preserve"> * La variable Demencia no puede ser mayor al Total.</v>
      </c>
      <c r="CG148" s="162" t="str">
        <f t="shared" si="77"/>
        <v xml:space="preserve"> * La variable Espacios Amigables/adolescentes no puede ser mayor al Total.</v>
      </c>
      <c r="CH148" s="162" t="str">
        <f t="shared" si="78"/>
        <v xml:space="preserve"> * La variable Serv. Nac. Reinserción Social Juvenil no puede ser mayor al Total.</v>
      </c>
      <c r="CK148" s="164"/>
      <c r="CL148" s="164"/>
      <c r="CM148" s="163">
        <f t="shared" si="79"/>
        <v>1</v>
      </c>
      <c r="CN148" s="163">
        <f t="shared" si="80"/>
        <v>1</v>
      </c>
      <c r="CO148" s="163">
        <f t="shared" si="81"/>
        <v>1</v>
      </c>
      <c r="CP148" s="163">
        <f t="shared" si="82"/>
        <v>1</v>
      </c>
      <c r="CQ148" s="163">
        <f t="shared" si="83"/>
        <v>1</v>
      </c>
      <c r="CR148" s="163">
        <f t="shared" si="84"/>
        <v>1</v>
      </c>
    </row>
    <row r="149" spans="1:96" s="161" customFormat="1" ht="15" customHeight="1" x14ac:dyDescent="0.15">
      <c r="A149" s="5609">
        <v>32100890</v>
      </c>
      <c r="B149" s="6112"/>
      <c r="C149" s="949" t="s">
        <v>1039</v>
      </c>
      <c r="D149" s="1597" t="s">
        <v>4567</v>
      </c>
      <c r="E149" s="1598" t="s">
        <v>4568</v>
      </c>
      <c r="F149" s="1599" t="s">
        <v>4569</v>
      </c>
      <c r="G149" s="1572" t="s">
        <v>4570</v>
      </c>
      <c r="H149" s="1577" t="s">
        <v>4571</v>
      </c>
      <c r="I149" s="1572" t="s">
        <v>4572</v>
      </c>
      <c r="J149" s="1577" t="s">
        <v>4573</v>
      </c>
      <c r="K149" s="1572" t="s">
        <v>4574</v>
      </c>
      <c r="L149" s="1577" t="s">
        <v>4575</v>
      </c>
      <c r="M149" s="1600" t="s">
        <v>4576</v>
      </c>
      <c r="N149" s="1601" t="s">
        <v>4577</v>
      </c>
      <c r="O149" s="1572" t="s">
        <v>4578</v>
      </c>
      <c r="P149" s="1602" t="s">
        <v>4579</v>
      </c>
      <c r="Q149" s="1572" t="s">
        <v>4580</v>
      </c>
      <c r="R149" s="1602" t="s">
        <v>4581</v>
      </c>
      <c r="S149" s="1600" t="s">
        <v>4582</v>
      </c>
      <c r="T149" s="1602" t="s">
        <v>4583</v>
      </c>
      <c r="U149" s="1600" t="s">
        <v>4584</v>
      </c>
      <c r="V149" s="1602" t="s">
        <v>4585</v>
      </c>
      <c r="W149" s="1572" t="s">
        <v>4586</v>
      </c>
      <c r="X149" s="1577" t="s">
        <v>4587</v>
      </c>
      <c r="Y149" s="1600" t="s">
        <v>4588</v>
      </c>
      <c r="Z149" s="1577" t="s">
        <v>4589</v>
      </c>
      <c r="AA149" s="1600" t="s">
        <v>4590</v>
      </c>
      <c r="AB149" s="1602" t="s">
        <v>4591</v>
      </c>
      <c r="AC149" s="1600" t="s">
        <v>4592</v>
      </c>
      <c r="AD149" s="1602" t="s">
        <v>4593</v>
      </c>
      <c r="AE149" s="1600" t="s">
        <v>4594</v>
      </c>
      <c r="AF149" s="1602" t="s">
        <v>4595</v>
      </c>
      <c r="AG149" s="1600" t="s">
        <v>4596</v>
      </c>
      <c r="AH149" s="1602" t="s">
        <v>4597</v>
      </c>
      <c r="AI149" s="1600" t="s">
        <v>4598</v>
      </c>
      <c r="AJ149" s="1602" t="s">
        <v>4599</v>
      </c>
      <c r="AK149" s="1600" t="s">
        <v>4600</v>
      </c>
      <c r="AL149" s="1602" t="s">
        <v>4601</v>
      </c>
      <c r="AM149" s="1600" t="s">
        <v>4602</v>
      </c>
      <c r="AN149" s="1601" t="s">
        <v>4603</v>
      </c>
      <c r="AO149" s="1579" t="s">
        <v>4604</v>
      </c>
      <c r="AP149" s="1577" t="s">
        <v>4605</v>
      </c>
      <c r="AQ149" s="1573" t="s">
        <v>4606</v>
      </c>
      <c r="AR149" s="1573" t="s">
        <v>4934</v>
      </c>
      <c r="AS149" s="1573" t="s">
        <v>4935</v>
      </c>
      <c r="AT149" s="1602" t="s">
        <v>4936</v>
      </c>
      <c r="AV149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9" s="162" t="str">
        <f t="shared" si="73"/>
        <v xml:space="preserve"> * La variable Serv. Nac. Reinserción Social Juvenil no puede ser mayor al Total.</v>
      </c>
      <c r="CD149" s="162" t="str">
        <f t="shared" si="74"/>
        <v xml:space="preserve"> * La variable Pueblos Originarios no puede ser mayor al Total.</v>
      </c>
      <c r="CE149" s="162" t="str">
        <f t="shared" si="75"/>
        <v xml:space="preserve"> * La variable Migrantes no puede ser mayor al Total.</v>
      </c>
      <c r="CF149" s="162" t="str">
        <f t="shared" si="76"/>
        <v xml:space="preserve"> * La variable Demencia no puede ser mayor al Total.</v>
      </c>
      <c r="CG149" s="162" t="str">
        <f t="shared" si="77"/>
        <v xml:space="preserve"> * La variable Espacios Amigables/adolescentes no puede ser mayor al Total.</v>
      </c>
      <c r="CH149" s="162" t="str">
        <f t="shared" si="78"/>
        <v xml:space="preserve"> * La variable Serv. Nac. Reinserción Social Juvenil no puede ser mayor al Total.</v>
      </c>
      <c r="CK149" s="164"/>
      <c r="CL149" s="164"/>
      <c r="CM149" s="163">
        <f t="shared" si="79"/>
        <v>1</v>
      </c>
      <c r="CN149" s="163">
        <f t="shared" si="80"/>
        <v>1</v>
      </c>
      <c r="CO149" s="163">
        <f t="shared" si="81"/>
        <v>1</v>
      </c>
      <c r="CP149" s="163">
        <f t="shared" si="82"/>
        <v>1</v>
      </c>
      <c r="CQ149" s="163">
        <f t="shared" si="83"/>
        <v>1</v>
      </c>
      <c r="CR149" s="163">
        <f t="shared" si="84"/>
        <v>1</v>
      </c>
    </row>
    <row r="150" spans="1:96" s="161" customFormat="1" ht="21" x14ac:dyDescent="0.15">
      <c r="A150" s="5609">
        <v>32100900</v>
      </c>
      <c r="B150" s="6112"/>
      <c r="C150" s="1145" t="s">
        <v>1040</v>
      </c>
      <c r="D150" s="1603" t="s">
        <v>4567</v>
      </c>
      <c r="E150" s="1604" t="s">
        <v>4568</v>
      </c>
      <c r="F150" s="417" t="s">
        <v>4569</v>
      </c>
      <c r="G150" s="1605" t="s">
        <v>4570</v>
      </c>
      <c r="H150" s="418" t="s">
        <v>4571</v>
      </c>
      <c r="I150" s="1605" t="s">
        <v>4572</v>
      </c>
      <c r="J150" s="418" t="s">
        <v>4573</v>
      </c>
      <c r="K150" s="1605" t="s">
        <v>4574</v>
      </c>
      <c r="L150" s="418" t="s">
        <v>4575</v>
      </c>
      <c r="M150" s="1606" t="s">
        <v>4576</v>
      </c>
      <c r="N150" s="1607" t="s">
        <v>4577</v>
      </c>
      <c r="O150" s="1605" t="s">
        <v>4578</v>
      </c>
      <c r="P150" s="1608" t="s">
        <v>4579</v>
      </c>
      <c r="Q150" s="1605" t="s">
        <v>4580</v>
      </c>
      <c r="R150" s="1608" t="s">
        <v>4581</v>
      </c>
      <c r="S150" s="1606" t="s">
        <v>4582</v>
      </c>
      <c r="T150" s="1608" t="s">
        <v>4583</v>
      </c>
      <c r="U150" s="1606" t="s">
        <v>4584</v>
      </c>
      <c r="V150" s="1608" t="s">
        <v>4585</v>
      </c>
      <c r="W150" s="1605" t="s">
        <v>4586</v>
      </c>
      <c r="X150" s="418" t="s">
        <v>4587</v>
      </c>
      <c r="Y150" s="1606" t="s">
        <v>4588</v>
      </c>
      <c r="Z150" s="418" t="s">
        <v>4589</v>
      </c>
      <c r="AA150" s="1606" t="s">
        <v>4590</v>
      </c>
      <c r="AB150" s="1608" t="s">
        <v>4591</v>
      </c>
      <c r="AC150" s="1606" t="s">
        <v>4592</v>
      </c>
      <c r="AD150" s="1608" t="s">
        <v>4593</v>
      </c>
      <c r="AE150" s="1606" t="s">
        <v>4594</v>
      </c>
      <c r="AF150" s="1608" t="s">
        <v>4595</v>
      </c>
      <c r="AG150" s="1606" t="s">
        <v>4596</v>
      </c>
      <c r="AH150" s="1608" t="s">
        <v>4597</v>
      </c>
      <c r="AI150" s="1606" t="s">
        <v>4598</v>
      </c>
      <c r="AJ150" s="1608" t="s">
        <v>4599</v>
      </c>
      <c r="AK150" s="1606" t="s">
        <v>4600</v>
      </c>
      <c r="AL150" s="1608" t="s">
        <v>4601</v>
      </c>
      <c r="AM150" s="1606" t="s">
        <v>4602</v>
      </c>
      <c r="AN150" s="1607" t="s">
        <v>4603</v>
      </c>
      <c r="AO150" s="1609" t="s">
        <v>4604</v>
      </c>
      <c r="AP150" s="418" t="s">
        <v>4605</v>
      </c>
      <c r="AQ150" s="1610" t="s">
        <v>4606</v>
      </c>
      <c r="AR150" s="1610" t="s">
        <v>4934</v>
      </c>
      <c r="AS150" s="1610" t="s">
        <v>4935</v>
      </c>
      <c r="AT150" s="1608" t="s">
        <v>4936</v>
      </c>
      <c r="AV150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50" s="162" t="str">
        <f t="shared" si="73"/>
        <v xml:space="preserve"> * La variable Serv. Nac. Reinserción Social Juvenil no puede ser mayor al Total.</v>
      </c>
      <c r="CD150" s="162" t="str">
        <f t="shared" si="74"/>
        <v xml:space="preserve"> * La variable Pueblos Originarios no puede ser mayor al Total.</v>
      </c>
      <c r="CE150" s="162" t="str">
        <f t="shared" si="75"/>
        <v xml:space="preserve"> * La variable Migrantes no puede ser mayor al Total.</v>
      </c>
      <c r="CF150" s="162" t="str">
        <f t="shared" si="76"/>
        <v xml:space="preserve"> * La variable Demencia no puede ser mayor al Total.</v>
      </c>
      <c r="CG150" s="162" t="str">
        <f t="shared" si="77"/>
        <v xml:space="preserve"> * La variable Espacios Amigables/adolescentes no puede ser mayor al Total.</v>
      </c>
      <c r="CH150" s="162" t="str">
        <f t="shared" si="78"/>
        <v xml:space="preserve"> * La variable Serv. Nac. Reinserción Social Juvenil no puede ser mayor al Total.</v>
      </c>
      <c r="CK150" s="164"/>
      <c r="CL150" s="164"/>
      <c r="CM150" s="163">
        <f t="shared" si="79"/>
        <v>1</v>
      </c>
      <c r="CN150" s="163">
        <f t="shared" si="80"/>
        <v>1</v>
      </c>
      <c r="CO150" s="163">
        <f t="shared" si="81"/>
        <v>1</v>
      </c>
      <c r="CP150" s="163">
        <f t="shared" si="82"/>
        <v>1</v>
      </c>
      <c r="CQ150" s="163">
        <f t="shared" si="83"/>
        <v>1</v>
      </c>
      <c r="CR150" s="163">
        <f t="shared" si="84"/>
        <v>1</v>
      </c>
    </row>
    <row r="151" spans="1:96" s="161" customFormat="1" ht="15" customHeight="1" x14ac:dyDescent="0.2">
      <c r="A151" s="5958"/>
      <c r="B151" s="6842"/>
      <c r="C151" s="898" t="s">
        <v>77</v>
      </c>
      <c r="D151" s="1611">
        <f t="shared" si="69"/>
        <v>0</v>
      </c>
      <c r="E151" s="274">
        <f t="shared" ref="E151:AT151" si="85">SUM(E141:E150)</f>
        <v>0</v>
      </c>
      <c r="F151" s="1612">
        <f t="shared" si="85"/>
        <v>0</v>
      </c>
      <c r="G151" s="1552">
        <f t="shared" si="85"/>
        <v>0</v>
      </c>
      <c r="H151" s="1613">
        <f t="shared" si="85"/>
        <v>0</v>
      </c>
      <c r="I151" s="1552">
        <f t="shared" si="85"/>
        <v>0</v>
      </c>
      <c r="J151" s="1613">
        <f t="shared" si="85"/>
        <v>0</v>
      </c>
      <c r="K151" s="1552">
        <f t="shared" si="85"/>
        <v>0</v>
      </c>
      <c r="L151" s="1613">
        <f t="shared" si="85"/>
        <v>0</v>
      </c>
      <c r="M151" s="1553">
        <f t="shared" si="85"/>
        <v>0</v>
      </c>
      <c r="N151" s="275">
        <f t="shared" si="85"/>
        <v>0</v>
      </c>
      <c r="O151" s="1552">
        <f t="shared" si="85"/>
        <v>0</v>
      </c>
      <c r="P151" s="276">
        <f t="shared" si="85"/>
        <v>0</v>
      </c>
      <c r="Q151" s="1552">
        <f t="shared" si="85"/>
        <v>0</v>
      </c>
      <c r="R151" s="276">
        <f t="shared" si="85"/>
        <v>0</v>
      </c>
      <c r="S151" s="1614">
        <f t="shared" si="85"/>
        <v>0</v>
      </c>
      <c r="T151" s="276">
        <f t="shared" si="85"/>
        <v>0</v>
      </c>
      <c r="U151" s="1552">
        <f t="shared" si="85"/>
        <v>0</v>
      </c>
      <c r="V151" s="1613">
        <f t="shared" si="85"/>
        <v>0</v>
      </c>
      <c r="W151" s="277">
        <f t="shared" si="85"/>
        <v>0</v>
      </c>
      <c r="X151" s="276">
        <f t="shared" si="85"/>
        <v>0</v>
      </c>
      <c r="Y151" s="1553">
        <f t="shared" si="85"/>
        <v>0</v>
      </c>
      <c r="Z151" s="1613">
        <f t="shared" si="85"/>
        <v>0</v>
      </c>
      <c r="AA151" s="277">
        <f t="shared" si="85"/>
        <v>0</v>
      </c>
      <c r="AB151" s="1613">
        <f t="shared" si="85"/>
        <v>0</v>
      </c>
      <c r="AC151" s="277">
        <f t="shared" si="85"/>
        <v>0</v>
      </c>
      <c r="AD151" s="1613">
        <f t="shared" si="85"/>
        <v>0</v>
      </c>
      <c r="AE151" s="277">
        <f t="shared" si="85"/>
        <v>0</v>
      </c>
      <c r="AF151" s="1613">
        <f t="shared" si="85"/>
        <v>0</v>
      </c>
      <c r="AG151" s="277">
        <f t="shared" si="85"/>
        <v>0</v>
      </c>
      <c r="AH151" s="1613">
        <f t="shared" si="85"/>
        <v>0</v>
      </c>
      <c r="AI151" s="277">
        <f t="shared" si="85"/>
        <v>0</v>
      </c>
      <c r="AJ151" s="1613">
        <f t="shared" si="85"/>
        <v>0</v>
      </c>
      <c r="AK151" s="277">
        <f t="shared" si="85"/>
        <v>0</v>
      </c>
      <c r="AL151" s="1613">
        <f t="shared" si="85"/>
        <v>0</v>
      </c>
      <c r="AM151" s="277">
        <f t="shared" si="85"/>
        <v>0</v>
      </c>
      <c r="AN151" s="1614">
        <f t="shared" si="85"/>
        <v>0</v>
      </c>
      <c r="AO151" s="278">
        <f t="shared" si="85"/>
        <v>0</v>
      </c>
      <c r="AP151" s="1613">
        <f t="shared" ref="AP151" si="86">SUM(AP141:AP150)</f>
        <v>0</v>
      </c>
      <c r="AQ151" s="277">
        <f t="shared" si="85"/>
        <v>0</v>
      </c>
      <c r="AR151" s="277">
        <f t="shared" si="85"/>
        <v>0</v>
      </c>
      <c r="AS151" s="277">
        <f t="shared" si="85"/>
        <v>0</v>
      </c>
      <c r="AT151" s="276">
        <f t="shared" si="85"/>
        <v>0</v>
      </c>
    </row>
    <row r="152" spans="1:96" s="160" customFormat="1" ht="17.100000000000001" customHeight="1" x14ac:dyDescent="0.25">
      <c r="B152" s="144" t="s">
        <v>4052</v>
      </c>
    </row>
    <row r="153" spans="1:96" ht="15" customHeight="1" x14ac:dyDescent="0.25">
      <c r="B153" s="7729" t="s">
        <v>26</v>
      </c>
      <c r="C153" s="7729" t="s">
        <v>27</v>
      </c>
      <c r="D153" s="7673" t="s">
        <v>77</v>
      </c>
      <c r="E153" s="7674"/>
      <c r="F153" s="6786"/>
      <c r="G153" s="7257" t="s">
        <v>101</v>
      </c>
      <c r="H153" s="7746"/>
      <c r="I153" s="7746"/>
      <c r="J153" s="7746"/>
      <c r="K153" s="7746"/>
      <c r="L153" s="7746"/>
      <c r="M153" s="7746"/>
      <c r="N153" s="7746"/>
      <c r="O153" s="7746"/>
      <c r="P153" s="7746"/>
      <c r="Q153" s="7746"/>
      <c r="R153" s="7746"/>
      <c r="S153" s="7746"/>
      <c r="T153" s="7746"/>
      <c r="U153" s="7746"/>
      <c r="V153" s="7746"/>
      <c r="W153" s="7746"/>
      <c r="X153" s="7746"/>
      <c r="Y153" s="7746"/>
      <c r="Z153" s="7746"/>
      <c r="AA153" s="7746"/>
      <c r="AB153" s="7746"/>
      <c r="AC153" s="7746"/>
      <c r="AD153" s="7746"/>
      <c r="AE153" s="7746"/>
      <c r="AF153" s="7746"/>
      <c r="AG153" s="7746"/>
      <c r="AH153" s="7259"/>
      <c r="AI153" s="7836" t="s">
        <v>36</v>
      </c>
      <c r="AJ153" s="6786" t="s">
        <v>37</v>
      </c>
    </row>
    <row r="154" spans="1:96" ht="15" customHeight="1" x14ac:dyDescent="0.25">
      <c r="B154" s="6350"/>
      <c r="C154" s="6350"/>
      <c r="D154" s="6734"/>
      <c r="E154" s="6735"/>
      <c r="F154" s="6955"/>
      <c r="G154" s="7257" t="s">
        <v>44</v>
      </c>
      <c r="H154" s="7759"/>
      <c r="I154" s="7257" t="s">
        <v>45</v>
      </c>
      <c r="J154" s="7759"/>
      <c r="K154" s="7291" t="s">
        <v>46</v>
      </c>
      <c r="L154" s="7727"/>
      <c r="M154" s="7291" t="s">
        <v>47</v>
      </c>
      <c r="N154" s="7727"/>
      <c r="O154" s="7291" t="s">
        <v>48</v>
      </c>
      <c r="P154" s="7727"/>
      <c r="Q154" s="7291" t="s">
        <v>49</v>
      </c>
      <c r="R154" s="7727"/>
      <c r="S154" s="7291" t="s">
        <v>50</v>
      </c>
      <c r="T154" s="7727"/>
      <c r="U154" s="7291" t="s">
        <v>51</v>
      </c>
      <c r="V154" s="7727"/>
      <c r="W154" s="7291" t="s">
        <v>52</v>
      </c>
      <c r="X154" s="7727"/>
      <c r="Y154" s="7291" t="s">
        <v>53</v>
      </c>
      <c r="Z154" s="7727"/>
      <c r="AA154" s="7291" t="s">
        <v>54</v>
      </c>
      <c r="AB154" s="7727"/>
      <c r="AC154" s="7291" t="s">
        <v>55</v>
      </c>
      <c r="AD154" s="7727"/>
      <c r="AE154" s="7291" t="s">
        <v>56</v>
      </c>
      <c r="AF154" s="7727"/>
      <c r="AG154" s="7291" t="s">
        <v>57</v>
      </c>
      <c r="AH154" s="7339"/>
      <c r="AI154" s="6034"/>
      <c r="AJ154" s="6027"/>
    </row>
    <row r="155" spans="1:96" ht="15" customHeight="1" x14ac:dyDescent="0.25">
      <c r="B155" s="6733"/>
      <c r="C155" s="6733"/>
      <c r="D155" s="1287" t="s">
        <v>79</v>
      </c>
      <c r="E155" s="1110" t="s">
        <v>58</v>
      </c>
      <c r="F155" s="1433" t="s">
        <v>59</v>
      </c>
      <c r="G155" s="1286" t="s">
        <v>58</v>
      </c>
      <c r="H155" s="1433" t="s">
        <v>59</v>
      </c>
      <c r="I155" s="1286" t="s">
        <v>58</v>
      </c>
      <c r="J155" s="1433" t="s">
        <v>59</v>
      </c>
      <c r="K155" s="1286" t="s">
        <v>58</v>
      </c>
      <c r="L155" s="1433" t="s">
        <v>59</v>
      </c>
      <c r="M155" s="1286" t="s">
        <v>58</v>
      </c>
      <c r="N155" s="1433" t="s">
        <v>59</v>
      </c>
      <c r="O155" s="1286" t="s">
        <v>58</v>
      </c>
      <c r="P155" s="1433" t="s">
        <v>59</v>
      </c>
      <c r="Q155" s="1286" t="s">
        <v>58</v>
      </c>
      <c r="R155" s="1433" t="s">
        <v>59</v>
      </c>
      <c r="S155" s="1286" t="s">
        <v>58</v>
      </c>
      <c r="T155" s="1433" t="s">
        <v>59</v>
      </c>
      <c r="U155" s="1286" t="s">
        <v>58</v>
      </c>
      <c r="V155" s="1433" t="s">
        <v>59</v>
      </c>
      <c r="W155" s="1286" t="s">
        <v>58</v>
      </c>
      <c r="X155" s="1433" t="s">
        <v>59</v>
      </c>
      <c r="Y155" s="1286" t="s">
        <v>58</v>
      </c>
      <c r="Z155" s="1433" t="s">
        <v>59</v>
      </c>
      <c r="AA155" s="1286" t="s">
        <v>58</v>
      </c>
      <c r="AB155" s="1433" t="s">
        <v>59</v>
      </c>
      <c r="AC155" s="1286" t="s">
        <v>58</v>
      </c>
      <c r="AD155" s="1433" t="s">
        <v>59</v>
      </c>
      <c r="AE155" s="1286" t="s">
        <v>58</v>
      </c>
      <c r="AF155" s="1433" t="s">
        <v>59</v>
      </c>
      <c r="AG155" s="1286" t="s">
        <v>58</v>
      </c>
      <c r="AH155" s="1111" t="s">
        <v>59</v>
      </c>
      <c r="AI155" s="6035"/>
      <c r="AJ155" s="6955"/>
    </row>
    <row r="156" spans="1:96" ht="15" customHeight="1" x14ac:dyDescent="0.15">
      <c r="A156" s="5609">
        <v>32100920</v>
      </c>
      <c r="B156" s="7835" t="s">
        <v>4053</v>
      </c>
      <c r="C156" s="1418" t="s">
        <v>64</v>
      </c>
      <c r="D156" s="1619" t="s">
        <v>4567</v>
      </c>
      <c r="E156" s="1588" t="s">
        <v>4568</v>
      </c>
      <c r="F156" s="1589" t="s">
        <v>4569</v>
      </c>
      <c r="G156" s="1494" t="s">
        <v>4570</v>
      </c>
      <c r="H156" s="1470" t="s">
        <v>4571</v>
      </c>
      <c r="I156" s="1494" t="s">
        <v>4572</v>
      </c>
      <c r="J156" s="1470" t="s">
        <v>4573</v>
      </c>
      <c r="K156" s="1494" t="s">
        <v>4574</v>
      </c>
      <c r="L156" s="1470" t="s">
        <v>4575</v>
      </c>
      <c r="M156" s="1494" t="s">
        <v>4576</v>
      </c>
      <c r="N156" s="1470" t="s">
        <v>4577</v>
      </c>
      <c r="O156" s="1494" t="s">
        <v>4578</v>
      </c>
      <c r="P156" s="1470" t="s">
        <v>4579</v>
      </c>
      <c r="Q156" s="1494" t="s">
        <v>4580</v>
      </c>
      <c r="R156" s="1470" t="s">
        <v>4581</v>
      </c>
      <c r="S156" s="1494" t="s">
        <v>4582</v>
      </c>
      <c r="T156" s="1470" t="s">
        <v>4583</v>
      </c>
      <c r="U156" s="1494" t="s">
        <v>4584</v>
      </c>
      <c r="V156" s="1470" t="s">
        <v>4585</v>
      </c>
      <c r="W156" s="1494" t="s">
        <v>4586</v>
      </c>
      <c r="X156" s="1470" t="s">
        <v>4587</v>
      </c>
      <c r="Y156" s="1494" t="s">
        <v>4588</v>
      </c>
      <c r="Z156" s="1470" t="s">
        <v>4589</v>
      </c>
      <c r="AA156" s="1494" t="s">
        <v>4590</v>
      </c>
      <c r="AB156" s="1470" t="s">
        <v>4591</v>
      </c>
      <c r="AC156" s="1494" t="s">
        <v>4592</v>
      </c>
      <c r="AD156" s="1470" t="s">
        <v>4593</v>
      </c>
      <c r="AE156" s="1494" t="s">
        <v>4594</v>
      </c>
      <c r="AF156" s="1470" t="s">
        <v>4595</v>
      </c>
      <c r="AG156" s="1494" t="s">
        <v>4596</v>
      </c>
      <c r="AH156" s="1500" t="s">
        <v>4597</v>
      </c>
      <c r="AI156" s="1620" t="s">
        <v>4598</v>
      </c>
      <c r="AJ156" s="1473" t="s">
        <v>4599</v>
      </c>
      <c r="AK156" s="1937" t="str">
        <f t="shared" ref="AK156:AK163" si="87">CB156&amp;CC156&amp;CF156&amp;CG156</f>
        <v xml:space="preserve"> * La variable Pueblos originarios no puede ser mayor al Total Ambos Sexos. * La variable Migrantes no puede ser mayor al Total Ambos Sexos.</v>
      </c>
      <c r="CB156" s="162" t="str">
        <f>IF(AND(D156&gt;0,AI156="")," * No olvide digitar La variable Pueblos originarios, Digite CERO si no tiene.",IF(AI156&gt;D156," * La variable Pueblos originarios no puede ser mayor al Total Ambos Sexos.",""))</f>
        <v xml:space="preserve"> * La variable Pueblos originarios no puede ser mayor al Total Ambos Sexos.</v>
      </c>
      <c r="CC156" s="162" t="str">
        <f>IF(AND(D156&gt;0,AJ156="")," * No olvide digitar La variable Migrantes, Digite CERO si no tiene.",IF(AJ156&gt;D156," * La variable Migrantes no puede ser mayor al Total Ambos Sexos.",""))</f>
        <v xml:space="preserve"> * La variable Migrantes no puede ser mayor al Total Ambos Sexos.</v>
      </c>
      <c r="CF156" s="164"/>
      <c r="CG156" s="164"/>
      <c r="CH156" s="164"/>
      <c r="CI156" s="164"/>
      <c r="CJ156" s="164"/>
      <c r="CK156" s="161"/>
      <c r="CL156" s="163">
        <f>IF(AND(D156&gt;0,AI156=""),1,IF(AI156&gt;D156,1,0))</f>
        <v>1</v>
      </c>
      <c r="CM156" s="163">
        <f t="shared" ref="CM156:CM163" si="88">IF(AND(D156&gt;0,AJ156=""),1,IF(AJ156&gt;D156,1,0))</f>
        <v>1</v>
      </c>
    </row>
    <row r="157" spans="1:96" ht="15" customHeight="1" x14ac:dyDescent="0.15">
      <c r="A157" s="5609">
        <v>32100930</v>
      </c>
      <c r="B157" s="6112"/>
      <c r="C157" s="1435" t="s">
        <v>98</v>
      </c>
      <c r="D157" s="1621" t="s">
        <v>4567</v>
      </c>
      <c r="E157" s="1598" t="s">
        <v>4568</v>
      </c>
      <c r="F157" s="1599" t="s">
        <v>4569</v>
      </c>
      <c r="G157" s="1466" t="s">
        <v>4570</v>
      </c>
      <c r="H157" s="1475" t="s">
        <v>4571</v>
      </c>
      <c r="I157" s="1466" t="s">
        <v>4572</v>
      </c>
      <c r="J157" s="1475" t="s">
        <v>4573</v>
      </c>
      <c r="K157" s="1466" t="s">
        <v>4574</v>
      </c>
      <c r="L157" s="1475" t="s">
        <v>4575</v>
      </c>
      <c r="M157" s="1466" t="s">
        <v>4576</v>
      </c>
      <c r="N157" s="1475" t="s">
        <v>4577</v>
      </c>
      <c r="O157" s="1466" t="s">
        <v>4578</v>
      </c>
      <c r="P157" s="1475" t="s">
        <v>4579</v>
      </c>
      <c r="Q157" s="1466" t="s">
        <v>4580</v>
      </c>
      <c r="R157" s="1475" t="s">
        <v>4581</v>
      </c>
      <c r="S157" s="1466" t="s">
        <v>4582</v>
      </c>
      <c r="T157" s="1475" t="s">
        <v>4583</v>
      </c>
      <c r="U157" s="1466" t="s">
        <v>4584</v>
      </c>
      <c r="V157" s="1475" t="s">
        <v>4585</v>
      </c>
      <c r="W157" s="1466" t="s">
        <v>4586</v>
      </c>
      <c r="X157" s="1475" t="s">
        <v>4587</v>
      </c>
      <c r="Y157" s="1466" t="s">
        <v>4588</v>
      </c>
      <c r="Z157" s="1475" t="s">
        <v>4589</v>
      </c>
      <c r="AA157" s="1466" t="s">
        <v>4590</v>
      </c>
      <c r="AB157" s="1475" t="s">
        <v>4591</v>
      </c>
      <c r="AC157" s="1466" t="s">
        <v>4592</v>
      </c>
      <c r="AD157" s="1475" t="s">
        <v>4593</v>
      </c>
      <c r="AE157" s="1466" t="s">
        <v>4594</v>
      </c>
      <c r="AF157" s="1475" t="s">
        <v>4595</v>
      </c>
      <c r="AG157" s="1466" t="s">
        <v>4596</v>
      </c>
      <c r="AH157" s="1509" t="s">
        <v>4597</v>
      </c>
      <c r="AI157" s="1540" t="s">
        <v>4598</v>
      </c>
      <c r="AJ157" s="1478" t="s">
        <v>4599</v>
      </c>
      <c r="AK157" s="1937" t="str">
        <f t="shared" si="87"/>
        <v xml:space="preserve"> * La variable Pueblos originarios no puede ser mayor al Total Ambos Sexos. * La variable Migrantes no puede ser mayor al Total Ambos Sexos.</v>
      </c>
      <c r="CB157" s="162" t="str">
        <f t="shared" ref="CB157:CB163" si="89">IF(AND(D157&gt;0,AI157="")," * No olvide digitar La variable Pueblos originarios, Digite CERO si no tiene.",IF(AI157&gt;D157," * La variable Pueblos originarios no puede ser mayor al Total Ambos Sexos.",""))</f>
        <v xml:space="preserve"> * La variable Pueblos originarios no puede ser mayor al Total Ambos Sexos.</v>
      </c>
      <c r="CC157" s="162" t="str">
        <f t="shared" ref="CC157:CC163" si="90">IF(AND(D157&gt;0,AJ157="")," * No olvide digitar La variable Migrantes, Digite CERO si no tiene.",IF(AJ157&gt;D157," * La variable Migrantes no puede ser mayor al Total Ambos Sexos.",""))</f>
        <v xml:space="preserve"> * La variable Migrantes no puede ser mayor al Total Ambos Sexos.</v>
      </c>
      <c r="CF157" s="164"/>
      <c r="CG157" s="164"/>
      <c r="CH157" s="164"/>
      <c r="CI157" s="164"/>
      <c r="CJ157" s="164"/>
      <c r="CK157" s="161"/>
      <c r="CL157" s="163">
        <f t="shared" ref="CL157:CL163" si="91">IF(AND(D157&gt;0,AI157=""),1,IF(AI157&gt;D157,1,0))</f>
        <v>1</v>
      </c>
      <c r="CM157" s="163">
        <f t="shared" si="88"/>
        <v>1</v>
      </c>
    </row>
    <row r="158" spans="1:96" ht="15" customHeight="1" x14ac:dyDescent="0.15">
      <c r="A158" s="5609">
        <v>32100940</v>
      </c>
      <c r="B158" s="6112"/>
      <c r="C158" s="1420" t="s">
        <v>105</v>
      </c>
      <c r="D158" s="1621" t="s">
        <v>4567</v>
      </c>
      <c r="E158" s="1598" t="s">
        <v>4568</v>
      </c>
      <c r="F158" s="1599" t="s">
        <v>4569</v>
      </c>
      <c r="G158" s="1466" t="s">
        <v>4570</v>
      </c>
      <c r="H158" s="1475" t="s">
        <v>4571</v>
      </c>
      <c r="I158" s="1466" t="s">
        <v>4572</v>
      </c>
      <c r="J158" s="1475" t="s">
        <v>4573</v>
      </c>
      <c r="K158" s="1466" t="s">
        <v>4574</v>
      </c>
      <c r="L158" s="1475" t="s">
        <v>4575</v>
      </c>
      <c r="M158" s="1466" t="s">
        <v>4576</v>
      </c>
      <c r="N158" s="1475" t="s">
        <v>4577</v>
      </c>
      <c r="O158" s="1466" t="s">
        <v>4578</v>
      </c>
      <c r="P158" s="1475" t="s">
        <v>4579</v>
      </c>
      <c r="Q158" s="1466" t="s">
        <v>4580</v>
      </c>
      <c r="R158" s="1475" t="s">
        <v>4581</v>
      </c>
      <c r="S158" s="1466" t="s">
        <v>4582</v>
      </c>
      <c r="T158" s="1475" t="s">
        <v>4583</v>
      </c>
      <c r="U158" s="1466" t="s">
        <v>4584</v>
      </c>
      <c r="V158" s="1475" t="s">
        <v>4585</v>
      </c>
      <c r="W158" s="1466" t="s">
        <v>4586</v>
      </c>
      <c r="X158" s="1475" t="s">
        <v>4587</v>
      </c>
      <c r="Y158" s="1466" t="s">
        <v>4588</v>
      </c>
      <c r="Z158" s="1475" t="s">
        <v>4589</v>
      </c>
      <c r="AA158" s="1466" t="s">
        <v>4590</v>
      </c>
      <c r="AB158" s="1475" t="s">
        <v>4591</v>
      </c>
      <c r="AC158" s="1466" t="s">
        <v>4592</v>
      </c>
      <c r="AD158" s="1475" t="s">
        <v>4593</v>
      </c>
      <c r="AE158" s="1466" t="s">
        <v>4594</v>
      </c>
      <c r="AF158" s="1475" t="s">
        <v>4595</v>
      </c>
      <c r="AG158" s="1466" t="s">
        <v>4596</v>
      </c>
      <c r="AH158" s="1509" t="s">
        <v>4597</v>
      </c>
      <c r="AI158" s="1540" t="s">
        <v>4598</v>
      </c>
      <c r="AJ158" s="1478" t="s">
        <v>4599</v>
      </c>
      <c r="AK158" s="1937" t="str">
        <f t="shared" si="87"/>
        <v xml:space="preserve"> * La variable Pueblos originarios no puede ser mayor al Total Ambos Sexos. * La variable Migrantes no puede ser mayor al Total Ambos Sexos.</v>
      </c>
      <c r="CB158" s="162" t="str">
        <f t="shared" si="89"/>
        <v xml:space="preserve"> * La variable Pueblos originarios no puede ser mayor al Total Ambos Sexos.</v>
      </c>
      <c r="CC158" s="162" t="str">
        <f t="shared" si="90"/>
        <v xml:space="preserve"> * La variable Migrantes no puede ser mayor al Total Ambos Sexos.</v>
      </c>
      <c r="CF158" s="164"/>
      <c r="CG158" s="164"/>
      <c r="CH158" s="164"/>
      <c r="CI158" s="164"/>
      <c r="CJ158" s="164"/>
      <c r="CK158" s="161"/>
      <c r="CL158" s="163">
        <f t="shared" si="91"/>
        <v>1</v>
      </c>
      <c r="CM158" s="163">
        <f t="shared" si="88"/>
        <v>1</v>
      </c>
    </row>
    <row r="159" spans="1:96" ht="15" customHeight="1" x14ac:dyDescent="0.15">
      <c r="A159" s="5609">
        <v>32100950</v>
      </c>
      <c r="B159" s="6842"/>
      <c r="C159" s="1422" t="s">
        <v>194</v>
      </c>
      <c r="D159" s="1622" t="s">
        <v>4567</v>
      </c>
      <c r="E159" s="1604" t="s">
        <v>4568</v>
      </c>
      <c r="F159" s="417" t="s">
        <v>4569</v>
      </c>
      <c r="G159" s="1510" t="s">
        <v>4570</v>
      </c>
      <c r="H159" s="1512" t="s">
        <v>4571</v>
      </c>
      <c r="I159" s="1510" t="s">
        <v>4572</v>
      </c>
      <c r="J159" s="1512" t="s">
        <v>4573</v>
      </c>
      <c r="K159" s="1510" t="s">
        <v>4574</v>
      </c>
      <c r="L159" s="1512" t="s">
        <v>4575</v>
      </c>
      <c r="M159" s="1510" t="s">
        <v>4576</v>
      </c>
      <c r="N159" s="1512" t="s">
        <v>4577</v>
      </c>
      <c r="O159" s="1510" t="s">
        <v>4578</v>
      </c>
      <c r="P159" s="1512" t="s">
        <v>4579</v>
      </c>
      <c r="Q159" s="1510" t="s">
        <v>4580</v>
      </c>
      <c r="R159" s="1512" t="s">
        <v>4581</v>
      </c>
      <c r="S159" s="1510" t="s">
        <v>4582</v>
      </c>
      <c r="T159" s="1512" t="s">
        <v>4583</v>
      </c>
      <c r="U159" s="1510" t="s">
        <v>4584</v>
      </c>
      <c r="V159" s="1512" t="s">
        <v>4585</v>
      </c>
      <c r="W159" s="1510" t="s">
        <v>4586</v>
      </c>
      <c r="X159" s="1512" t="s">
        <v>4587</v>
      </c>
      <c r="Y159" s="1510" t="s">
        <v>4588</v>
      </c>
      <c r="Z159" s="1512" t="s">
        <v>4589</v>
      </c>
      <c r="AA159" s="1510" t="s">
        <v>4590</v>
      </c>
      <c r="AB159" s="1512" t="s">
        <v>4591</v>
      </c>
      <c r="AC159" s="1510" t="s">
        <v>4592</v>
      </c>
      <c r="AD159" s="1512" t="s">
        <v>4593</v>
      </c>
      <c r="AE159" s="1510" t="s">
        <v>4594</v>
      </c>
      <c r="AF159" s="1512" t="s">
        <v>4595</v>
      </c>
      <c r="AG159" s="1510" t="s">
        <v>4596</v>
      </c>
      <c r="AH159" s="1544" t="s">
        <v>4597</v>
      </c>
      <c r="AI159" s="1543" t="s">
        <v>4598</v>
      </c>
      <c r="AJ159" s="410" t="s">
        <v>4599</v>
      </c>
      <c r="AK159" s="1937" t="str">
        <f t="shared" si="87"/>
        <v xml:space="preserve"> * La variable Pueblos originarios no puede ser mayor al Total Ambos Sexos. * La variable Migrantes no puede ser mayor al Total Ambos Sexos.</v>
      </c>
      <c r="CB159" s="162" t="str">
        <f t="shared" si="89"/>
        <v xml:space="preserve"> * La variable Pueblos originarios no puede ser mayor al Total Ambos Sexos.</v>
      </c>
      <c r="CC159" s="162" t="str">
        <f t="shared" si="90"/>
        <v xml:space="preserve"> * La variable Migrantes no puede ser mayor al Total Ambos Sexos.</v>
      </c>
      <c r="CF159" s="164"/>
      <c r="CG159" s="164"/>
      <c r="CH159" s="164"/>
      <c r="CI159" s="164"/>
      <c r="CJ159" s="164"/>
      <c r="CK159" s="161"/>
      <c r="CL159" s="163">
        <f t="shared" si="91"/>
        <v>1</v>
      </c>
      <c r="CM159" s="163">
        <f t="shared" si="88"/>
        <v>1</v>
      </c>
    </row>
    <row r="160" spans="1:96" ht="15" customHeight="1" x14ac:dyDescent="0.15">
      <c r="A160" s="5609">
        <v>32100960</v>
      </c>
      <c r="B160" s="7859" t="s">
        <v>4054</v>
      </c>
      <c r="C160" s="1623" t="s">
        <v>64</v>
      </c>
      <c r="D160" s="1624" t="s">
        <v>4567</v>
      </c>
      <c r="E160" s="1588" t="s">
        <v>4568</v>
      </c>
      <c r="F160" s="1625" t="s">
        <v>4569</v>
      </c>
      <c r="G160" s="1494" t="s">
        <v>4570</v>
      </c>
      <c r="H160" s="1470" t="s">
        <v>4571</v>
      </c>
      <c r="I160" s="1494" t="s">
        <v>4572</v>
      </c>
      <c r="J160" s="1470" t="s">
        <v>4573</v>
      </c>
      <c r="K160" s="1494" t="s">
        <v>4574</v>
      </c>
      <c r="L160" s="1470" t="s">
        <v>4575</v>
      </c>
      <c r="M160" s="1494" t="s">
        <v>4576</v>
      </c>
      <c r="N160" s="1470" t="s">
        <v>4577</v>
      </c>
      <c r="O160" s="1494" t="s">
        <v>4578</v>
      </c>
      <c r="P160" s="1470" t="s">
        <v>4579</v>
      </c>
      <c r="Q160" s="1494" t="s">
        <v>4580</v>
      </c>
      <c r="R160" s="1470" t="s">
        <v>4581</v>
      </c>
      <c r="S160" s="1494" t="s">
        <v>4582</v>
      </c>
      <c r="T160" s="1470" t="s">
        <v>4583</v>
      </c>
      <c r="U160" s="1494" t="s">
        <v>4584</v>
      </c>
      <c r="V160" s="1470" t="s">
        <v>4585</v>
      </c>
      <c r="W160" s="1494" t="s">
        <v>4586</v>
      </c>
      <c r="X160" s="1470" t="s">
        <v>4587</v>
      </c>
      <c r="Y160" s="1494" t="s">
        <v>4588</v>
      </c>
      <c r="Z160" s="1470" t="s">
        <v>4589</v>
      </c>
      <c r="AA160" s="1494" t="s">
        <v>4590</v>
      </c>
      <c r="AB160" s="1470" t="s">
        <v>4591</v>
      </c>
      <c r="AC160" s="1494" t="s">
        <v>4592</v>
      </c>
      <c r="AD160" s="1470" t="s">
        <v>4593</v>
      </c>
      <c r="AE160" s="1494" t="s">
        <v>4594</v>
      </c>
      <c r="AF160" s="1470" t="s">
        <v>4595</v>
      </c>
      <c r="AG160" s="1494" t="s">
        <v>4596</v>
      </c>
      <c r="AH160" s="1500" t="s">
        <v>4597</v>
      </c>
      <c r="AI160" s="1620" t="s">
        <v>4598</v>
      </c>
      <c r="AJ160" s="1626" t="s">
        <v>4599</v>
      </c>
      <c r="AK160" s="1937" t="str">
        <f t="shared" si="87"/>
        <v xml:space="preserve"> * La variable Pueblos originarios no puede ser mayor al Total Ambos Sexos. * La variable Migrantes no puede ser mayor al Total Ambos Sexos.</v>
      </c>
      <c r="CB160" s="162" t="str">
        <f t="shared" si="89"/>
        <v xml:space="preserve"> * La variable Pueblos originarios no puede ser mayor al Total Ambos Sexos.</v>
      </c>
      <c r="CC160" s="162" t="str">
        <f t="shared" si="90"/>
        <v xml:space="preserve"> * La variable Migrantes no puede ser mayor al Total Ambos Sexos.</v>
      </c>
      <c r="CF160" s="164"/>
      <c r="CG160" s="164"/>
      <c r="CH160" s="164"/>
      <c r="CI160" s="164"/>
      <c r="CJ160" s="164"/>
      <c r="CK160" s="161"/>
      <c r="CL160" s="163">
        <f t="shared" si="91"/>
        <v>1</v>
      </c>
      <c r="CM160" s="163">
        <f t="shared" si="88"/>
        <v>1</v>
      </c>
    </row>
    <row r="161" spans="1:91" ht="15" customHeight="1" x14ac:dyDescent="0.15">
      <c r="A161" s="5609">
        <v>32100970</v>
      </c>
      <c r="B161" s="6112"/>
      <c r="C161" s="1435" t="s">
        <v>98</v>
      </c>
      <c r="D161" s="1627" t="s">
        <v>4567</v>
      </c>
      <c r="E161" s="1598" t="s">
        <v>4568</v>
      </c>
      <c r="F161" s="1599" t="s">
        <v>4569</v>
      </c>
      <c r="G161" s="1466" t="s">
        <v>4570</v>
      </c>
      <c r="H161" s="1475" t="s">
        <v>4571</v>
      </c>
      <c r="I161" s="1466" t="s">
        <v>4572</v>
      </c>
      <c r="J161" s="1475" t="s">
        <v>4573</v>
      </c>
      <c r="K161" s="1466" t="s">
        <v>4574</v>
      </c>
      <c r="L161" s="1475" t="s">
        <v>4575</v>
      </c>
      <c r="M161" s="1466" t="s">
        <v>4576</v>
      </c>
      <c r="N161" s="1475" t="s">
        <v>4577</v>
      </c>
      <c r="O161" s="1466" t="s">
        <v>4578</v>
      </c>
      <c r="P161" s="1475" t="s">
        <v>4579</v>
      </c>
      <c r="Q161" s="1466" t="s">
        <v>4580</v>
      </c>
      <c r="R161" s="1475" t="s">
        <v>4581</v>
      </c>
      <c r="S161" s="1466" t="s">
        <v>4582</v>
      </c>
      <c r="T161" s="1475" t="s">
        <v>4583</v>
      </c>
      <c r="U161" s="1466" t="s">
        <v>4584</v>
      </c>
      <c r="V161" s="1475" t="s">
        <v>4585</v>
      </c>
      <c r="W161" s="1466" t="s">
        <v>4586</v>
      </c>
      <c r="X161" s="1475" t="s">
        <v>4587</v>
      </c>
      <c r="Y161" s="1466" t="s">
        <v>4588</v>
      </c>
      <c r="Z161" s="1475" t="s">
        <v>4589</v>
      </c>
      <c r="AA161" s="1466" t="s">
        <v>4590</v>
      </c>
      <c r="AB161" s="1475" t="s">
        <v>4591</v>
      </c>
      <c r="AC161" s="1466" t="s">
        <v>4592</v>
      </c>
      <c r="AD161" s="1475" t="s">
        <v>4593</v>
      </c>
      <c r="AE161" s="1466" t="s">
        <v>4594</v>
      </c>
      <c r="AF161" s="1475" t="s">
        <v>4595</v>
      </c>
      <c r="AG161" s="1466" t="s">
        <v>4596</v>
      </c>
      <c r="AH161" s="1509" t="s">
        <v>4597</v>
      </c>
      <c r="AI161" s="1540" t="s">
        <v>4598</v>
      </c>
      <c r="AJ161" s="1478" t="s">
        <v>4599</v>
      </c>
      <c r="AK161" s="1937" t="str">
        <f t="shared" si="87"/>
        <v xml:space="preserve"> * La variable Pueblos originarios no puede ser mayor al Total Ambos Sexos. * La variable Migrantes no puede ser mayor al Total Ambos Sexos.</v>
      </c>
      <c r="CB161" s="162" t="str">
        <f t="shared" si="89"/>
        <v xml:space="preserve"> * La variable Pueblos originarios no puede ser mayor al Total Ambos Sexos.</v>
      </c>
      <c r="CC161" s="162" t="str">
        <f t="shared" si="90"/>
        <v xml:space="preserve"> * La variable Migrantes no puede ser mayor al Total Ambos Sexos.</v>
      </c>
      <c r="CF161" s="164"/>
      <c r="CG161" s="164"/>
      <c r="CH161" s="164"/>
      <c r="CI161" s="164"/>
      <c r="CJ161" s="164"/>
      <c r="CK161" s="161"/>
      <c r="CL161" s="163">
        <f t="shared" si="91"/>
        <v>1</v>
      </c>
      <c r="CM161" s="163">
        <f t="shared" si="88"/>
        <v>1</v>
      </c>
    </row>
    <row r="162" spans="1:91" ht="15" customHeight="1" x14ac:dyDescent="0.15">
      <c r="A162" s="5609">
        <v>32100980</v>
      </c>
      <c r="B162" s="6112"/>
      <c r="C162" s="1420" t="s">
        <v>105</v>
      </c>
      <c r="D162" s="1627" t="s">
        <v>4567</v>
      </c>
      <c r="E162" s="1598" t="s">
        <v>4568</v>
      </c>
      <c r="F162" s="1599" t="s">
        <v>4569</v>
      </c>
      <c r="G162" s="1466" t="s">
        <v>4570</v>
      </c>
      <c r="H162" s="1475" t="s">
        <v>4571</v>
      </c>
      <c r="I162" s="1466" t="s">
        <v>4572</v>
      </c>
      <c r="J162" s="1475" t="s">
        <v>4573</v>
      </c>
      <c r="K162" s="1466" t="s">
        <v>4574</v>
      </c>
      <c r="L162" s="1475" t="s">
        <v>4575</v>
      </c>
      <c r="M162" s="1466" t="s">
        <v>4576</v>
      </c>
      <c r="N162" s="1475" t="s">
        <v>4577</v>
      </c>
      <c r="O162" s="1466" t="s">
        <v>4578</v>
      </c>
      <c r="P162" s="1475" t="s">
        <v>4579</v>
      </c>
      <c r="Q162" s="1466" t="s">
        <v>4580</v>
      </c>
      <c r="R162" s="1475" t="s">
        <v>4581</v>
      </c>
      <c r="S162" s="1466" t="s">
        <v>4582</v>
      </c>
      <c r="T162" s="1475" t="s">
        <v>4583</v>
      </c>
      <c r="U162" s="1466" t="s">
        <v>4584</v>
      </c>
      <c r="V162" s="1475" t="s">
        <v>4585</v>
      </c>
      <c r="W162" s="1466" t="s">
        <v>4586</v>
      </c>
      <c r="X162" s="1475" t="s">
        <v>4587</v>
      </c>
      <c r="Y162" s="1466" t="s">
        <v>4588</v>
      </c>
      <c r="Z162" s="1475" t="s">
        <v>4589</v>
      </c>
      <c r="AA162" s="1466" t="s">
        <v>4590</v>
      </c>
      <c r="AB162" s="1475" t="s">
        <v>4591</v>
      </c>
      <c r="AC162" s="1466" t="s">
        <v>4592</v>
      </c>
      <c r="AD162" s="1475" t="s">
        <v>4593</v>
      </c>
      <c r="AE162" s="1466" t="s">
        <v>4594</v>
      </c>
      <c r="AF162" s="1475" t="s">
        <v>4595</v>
      </c>
      <c r="AG162" s="1466" t="s">
        <v>4596</v>
      </c>
      <c r="AH162" s="1509" t="s">
        <v>4597</v>
      </c>
      <c r="AI162" s="1540" t="s">
        <v>4598</v>
      </c>
      <c r="AJ162" s="1478" t="s">
        <v>4599</v>
      </c>
      <c r="AK162" s="1937" t="str">
        <f t="shared" si="87"/>
        <v xml:space="preserve"> * La variable Pueblos originarios no puede ser mayor al Total Ambos Sexos. * La variable Migrantes no puede ser mayor al Total Ambos Sexos.</v>
      </c>
      <c r="CB162" s="162" t="str">
        <f t="shared" si="89"/>
        <v xml:space="preserve"> * La variable Pueblos originarios no puede ser mayor al Total Ambos Sexos.</v>
      </c>
      <c r="CC162" s="162" t="str">
        <f t="shared" si="90"/>
        <v xml:space="preserve"> * La variable Migrantes no puede ser mayor al Total Ambos Sexos.</v>
      </c>
      <c r="CF162" s="164"/>
      <c r="CG162" s="164"/>
      <c r="CH162" s="164"/>
      <c r="CI162" s="164"/>
      <c r="CJ162" s="164"/>
      <c r="CK162" s="161"/>
      <c r="CL162" s="163">
        <f t="shared" si="91"/>
        <v>1</v>
      </c>
      <c r="CM162" s="163">
        <f t="shared" si="88"/>
        <v>1</v>
      </c>
    </row>
    <row r="163" spans="1:91" ht="15" customHeight="1" x14ac:dyDescent="0.15">
      <c r="A163" s="5609">
        <v>32100990</v>
      </c>
      <c r="B163" s="6842"/>
      <c r="C163" s="1422" t="s">
        <v>194</v>
      </c>
      <c r="D163" s="1628" t="s">
        <v>4567</v>
      </c>
      <c r="E163" s="1604" t="s">
        <v>4568</v>
      </c>
      <c r="F163" s="417" t="s">
        <v>4569</v>
      </c>
      <c r="G163" s="1510" t="s">
        <v>4570</v>
      </c>
      <c r="H163" s="1512" t="s">
        <v>4571</v>
      </c>
      <c r="I163" s="1510" t="s">
        <v>4572</v>
      </c>
      <c r="J163" s="1512" t="s">
        <v>4573</v>
      </c>
      <c r="K163" s="1510" t="s">
        <v>4574</v>
      </c>
      <c r="L163" s="1512" t="s">
        <v>4575</v>
      </c>
      <c r="M163" s="1510" t="s">
        <v>4576</v>
      </c>
      <c r="N163" s="1512" t="s">
        <v>4577</v>
      </c>
      <c r="O163" s="1510" t="s">
        <v>4578</v>
      </c>
      <c r="P163" s="1512" t="s">
        <v>4579</v>
      </c>
      <c r="Q163" s="1510" t="s">
        <v>4580</v>
      </c>
      <c r="R163" s="1512" t="s">
        <v>4581</v>
      </c>
      <c r="S163" s="1510" t="s">
        <v>4582</v>
      </c>
      <c r="T163" s="1512" t="s">
        <v>4583</v>
      </c>
      <c r="U163" s="1510" t="s">
        <v>4584</v>
      </c>
      <c r="V163" s="1512" t="s">
        <v>4585</v>
      </c>
      <c r="W163" s="1510" t="s">
        <v>4586</v>
      </c>
      <c r="X163" s="1512" t="s">
        <v>4587</v>
      </c>
      <c r="Y163" s="1510" t="s">
        <v>4588</v>
      </c>
      <c r="Z163" s="1512" t="s">
        <v>4589</v>
      </c>
      <c r="AA163" s="1510" t="s">
        <v>4590</v>
      </c>
      <c r="AB163" s="1512" t="s">
        <v>4591</v>
      </c>
      <c r="AC163" s="1510" t="s">
        <v>4592</v>
      </c>
      <c r="AD163" s="1512" t="s">
        <v>4593</v>
      </c>
      <c r="AE163" s="1510" t="s">
        <v>4594</v>
      </c>
      <c r="AF163" s="1512" t="s">
        <v>4595</v>
      </c>
      <c r="AG163" s="1510" t="s">
        <v>4596</v>
      </c>
      <c r="AH163" s="1544" t="s">
        <v>4597</v>
      </c>
      <c r="AI163" s="1543" t="s">
        <v>4598</v>
      </c>
      <c r="AJ163" s="410" t="s">
        <v>4599</v>
      </c>
      <c r="AK163" s="1937" t="str">
        <f t="shared" si="87"/>
        <v xml:space="preserve"> * La variable Pueblos originarios no puede ser mayor al Total Ambos Sexos. * La variable Migrantes no puede ser mayor al Total Ambos Sexos.</v>
      </c>
      <c r="CB163" s="162" t="str">
        <f t="shared" si="89"/>
        <v xml:space="preserve"> * La variable Pueblos originarios no puede ser mayor al Total Ambos Sexos.</v>
      </c>
      <c r="CC163" s="162" t="str">
        <f t="shared" si="90"/>
        <v xml:space="preserve"> * La variable Migrantes no puede ser mayor al Total Ambos Sexos.</v>
      </c>
      <c r="CF163" s="164"/>
      <c r="CG163" s="164"/>
      <c r="CH163" s="164"/>
      <c r="CI163" s="164"/>
      <c r="CJ163" s="164"/>
      <c r="CK163" s="161"/>
      <c r="CL163" s="163">
        <f t="shared" si="91"/>
        <v>1</v>
      </c>
      <c r="CM163" s="163">
        <f t="shared" si="88"/>
        <v>1</v>
      </c>
    </row>
    <row r="164" spans="1:91" s="160" customFormat="1" ht="18" customHeight="1" x14ac:dyDescent="0.25">
      <c r="B164" s="144" t="s">
        <v>4055</v>
      </c>
      <c r="CD164" s="161"/>
      <c r="CE164" s="161"/>
      <c r="CF164" s="161"/>
      <c r="CG164" s="161"/>
      <c r="CH164" s="161"/>
      <c r="CI164" s="161"/>
      <c r="CJ164" s="161"/>
      <c r="CK164" s="161"/>
      <c r="CL164" s="161"/>
      <c r="CM164" s="161"/>
    </row>
    <row r="165" spans="1:91" s="161" customFormat="1" ht="15" customHeight="1" x14ac:dyDescent="0.25">
      <c r="B165" s="7818" t="s">
        <v>1592</v>
      </c>
      <c r="C165" s="7673" t="s">
        <v>77</v>
      </c>
      <c r="D165" s="7674"/>
      <c r="E165" s="6786"/>
      <c r="F165" s="6814" t="s">
        <v>101</v>
      </c>
      <c r="G165" s="7849"/>
      <c r="H165" s="7849"/>
      <c r="I165" s="7849"/>
      <c r="J165" s="7849"/>
      <c r="K165" s="7849"/>
      <c r="L165" s="7849"/>
      <c r="M165" s="7849"/>
      <c r="N165" s="7849"/>
      <c r="O165" s="7849"/>
      <c r="P165" s="7849"/>
      <c r="Q165" s="7849"/>
      <c r="R165" s="7849"/>
      <c r="S165" s="7849"/>
      <c r="T165" s="7849"/>
      <c r="U165" s="7849"/>
      <c r="V165" s="7849"/>
      <c r="W165" s="7849"/>
      <c r="X165" s="7849"/>
      <c r="Y165" s="7849"/>
      <c r="Z165" s="7849"/>
      <c r="AA165" s="7849"/>
      <c r="AB165" s="7849"/>
      <c r="AC165" s="7849"/>
      <c r="AD165" s="7849"/>
      <c r="AE165" s="7849"/>
      <c r="AF165" s="7849"/>
      <c r="AG165" s="6816"/>
      <c r="AH165" s="7860" t="s">
        <v>2168</v>
      </c>
      <c r="AI165" s="7861" t="s">
        <v>36</v>
      </c>
      <c r="AJ165" s="6786" t="s">
        <v>37</v>
      </c>
    </row>
    <row r="166" spans="1:91" s="161" customFormat="1" ht="15" customHeight="1" x14ac:dyDescent="0.25">
      <c r="B166" s="6350"/>
      <c r="C166" s="6734"/>
      <c r="D166" s="6735"/>
      <c r="E166" s="6955"/>
      <c r="F166" s="6814" t="s">
        <v>44</v>
      </c>
      <c r="G166" s="7819"/>
      <c r="H166" s="6814" t="s">
        <v>45</v>
      </c>
      <c r="I166" s="7819"/>
      <c r="J166" s="6813" t="s">
        <v>46</v>
      </c>
      <c r="K166" s="7817"/>
      <c r="L166" s="6813" t="s">
        <v>47</v>
      </c>
      <c r="M166" s="7817"/>
      <c r="N166" s="6813" t="s">
        <v>48</v>
      </c>
      <c r="O166" s="7817"/>
      <c r="P166" s="6813" t="s">
        <v>49</v>
      </c>
      <c r="Q166" s="7817"/>
      <c r="R166" s="6813" t="s">
        <v>50</v>
      </c>
      <c r="S166" s="7817"/>
      <c r="T166" s="6813" t="s">
        <v>51</v>
      </c>
      <c r="U166" s="7817"/>
      <c r="V166" s="6813" t="s">
        <v>52</v>
      </c>
      <c r="W166" s="7817"/>
      <c r="X166" s="6813" t="s">
        <v>53</v>
      </c>
      <c r="Y166" s="7817"/>
      <c r="Z166" s="6813" t="s">
        <v>54</v>
      </c>
      <c r="AA166" s="7817"/>
      <c r="AB166" s="6813" t="s">
        <v>55</v>
      </c>
      <c r="AC166" s="7817"/>
      <c r="AD166" s="6813" t="s">
        <v>56</v>
      </c>
      <c r="AE166" s="7817"/>
      <c r="AF166" s="6813" t="s">
        <v>57</v>
      </c>
      <c r="AG166" s="7816"/>
      <c r="AH166" s="7206"/>
      <c r="AI166" s="6102"/>
      <c r="AJ166" s="6027"/>
    </row>
    <row r="167" spans="1:91" s="161" customFormat="1" ht="15" customHeight="1" x14ac:dyDescent="0.25">
      <c r="B167" s="6733"/>
      <c r="C167" s="1287" t="s">
        <v>79</v>
      </c>
      <c r="D167" s="1630" t="s">
        <v>58</v>
      </c>
      <c r="E167" s="1629" t="s">
        <v>59</v>
      </c>
      <c r="F167" s="1631" t="s">
        <v>58</v>
      </c>
      <c r="G167" s="1629" t="s">
        <v>59</v>
      </c>
      <c r="H167" s="1631" t="s">
        <v>58</v>
      </c>
      <c r="I167" s="1629" t="s">
        <v>59</v>
      </c>
      <c r="J167" s="1631" t="s">
        <v>58</v>
      </c>
      <c r="K167" s="1629" t="s">
        <v>59</v>
      </c>
      <c r="L167" s="1631" t="s">
        <v>58</v>
      </c>
      <c r="M167" s="1629" t="s">
        <v>59</v>
      </c>
      <c r="N167" s="1631" t="s">
        <v>58</v>
      </c>
      <c r="O167" s="1629" t="s">
        <v>59</v>
      </c>
      <c r="P167" s="1631" t="s">
        <v>58</v>
      </c>
      <c r="Q167" s="1629" t="s">
        <v>59</v>
      </c>
      <c r="R167" s="1631" t="s">
        <v>58</v>
      </c>
      <c r="S167" s="1629" t="s">
        <v>59</v>
      </c>
      <c r="T167" s="1631" t="s">
        <v>58</v>
      </c>
      <c r="U167" s="1629" t="s">
        <v>59</v>
      </c>
      <c r="V167" s="1631" t="s">
        <v>58</v>
      </c>
      <c r="W167" s="1629" t="s">
        <v>59</v>
      </c>
      <c r="X167" s="1631" t="s">
        <v>58</v>
      </c>
      <c r="Y167" s="1629" t="s">
        <v>59</v>
      </c>
      <c r="Z167" s="1631" t="s">
        <v>58</v>
      </c>
      <c r="AA167" s="1629" t="s">
        <v>59</v>
      </c>
      <c r="AB167" s="1631" t="s">
        <v>58</v>
      </c>
      <c r="AC167" s="1629" t="s">
        <v>59</v>
      </c>
      <c r="AD167" s="1631" t="s">
        <v>58</v>
      </c>
      <c r="AE167" s="1629" t="s">
        <v>59</v>
      </c>
      <c r="AF167" s="1631" t="s">
        <v>58</v>
      </c>
      <c r="AG167" s="1496" t="s">
        <v>59</v>
      </c>
      <c r="AH167" s="6937"/>
      <c r="AI167" s="6751"/>
      <c r="AJ167" s="6955"/>
    </row>
    <row r="168" spans="1:91" s="161" customFormat="1" ht="15" customHeight="1" x14ac:dyDescent="0.15">
      <c r="A168" s="5609">
        <v>32101100</v>
      </c>
      <c r="B168" s="318" t="s">
        <v>4044</v>
      </c>
      <c r="C168" s="1587" t="s">
        <v>4567</v>
      </c>
      <c r="D168" s="1588" t="s">
        <v>4568</v>
      </c>
      <c r="E168" s="1632" t="s">
        <v>4569</v>
      </c>
      <c r="F168" s="1633" t="s">
        <v>4570</v>
      </c>
      <c r="G168" s="1470" t="s">
        <v>4571</v>
      </c>
      <c r="H168" s="1633" t="s">
        <v>4572</v>
      </c>
      <c r="I168" s="1470" t="s">
        <v>4573</v>
      </c>
      <c r="J168" s="1633" t="s">
        <v>4574</v>
      </c>
      <c r="K168" s="1470" t="s">
        <v>4575</v>
      </c>
      <c r="L168" s="1633" t="s">
        <v>4576</v>
      </c>
      <c r="M168" s="1470" t="s">
        <v>4577</v>
      </c>
      <c r="N168" s="1633" t="s">
        <v>4578</v>
      </c>
      <c r="O168" s="1470" t="s">
        <v>4579</v>
      </c>
      <c r="P168" s="1633" t="s">
        <v>4580</v>
      </c>
      <c r="Q168" s="1470" t="s">
        <v>4581</v>
      </c>
      <c r="R168" s="1633" t="s">
        <v>4582</v>
      </c>
      <c r="S168" s="1470" t="s">
        <v>4583</v>
      </c>
      <c r="T168" s="1633" t="s">
        <v>4584</v>
      </c>
      <c r="U168" s="1470" t="s">
        <v>4585</v>
      </c>
      <c r="V168" s="1633" t="s">
        <v>4586</v>
      </c>
      <c r="W168" s="1470" t="s">
        <v>4587</v>
      </c>
      <c r="X168" s="1633" t="s">
        <v>4588</v>
      </c>
      <c r="Y168" s="1470" t="s">
        <v>4589</v>
      </c>
      <c r="Z168" s="1633" t="s">
        <v>4590</v>
      </c>
      <c r="AA168" s="1470" t="s">
        <v>4591</v>
      </c>
      <c r="AB168" s="1633" t="s">
        <v>4592</v>
      </c>
      <c r="AC168" s="1470" t="s">
        <v>4593</v>
      </c>
      <c r="AD168" s="1633" t="s">
        <v>4594</v>
      </c>
      <c r="AE168" s="1470" t="s">
        <v>4595</v>
      </c>
      <c r="AF168" s="1633" t="s">
        <v>4596</v>
      </c>
      <c r="AG168" s="1634" t="s">
        <v>4597</v>
      </c>
      <c r="AH168" s="1635" t="s">
        <v>4598</v>
      </c>
      <c r="AI168" s="1494" t="s">
        <v>4599</v>
      </c>
      <c r="AJ168" s="1473" t="s">
        <v>4600</v>
      </c>
      <c r="AK168" s="161" t="str">
        <f>CB168&amp;CC168&amp;CF168&amp;CG168</f>
        <v xml:space="preserve"> * La variable Pueblos Originarios no puede ser mayor al Total Ambos Sexos. * La variable Migrantes no puede ser mayor al Total Ambos Sexos.</v>
      </c>
      <c r="CB168" s="162" t="str">
        <f>IF(AND(C168&gt;0,AI168="")," * No olvide digitar La variable Pueblos Originarios. Digite CERO si no tiene.",IF(AI168&gt;C168," * La variable Pueblos Originarios no puede ser mayor al Total Ambos Sexos.",""))</f>
        <v xml:space="preserve"> * La variable Pueblos Originarios no puede ser mayor al Total Ambos Sexos.</v>
      </c>
      <c r="CC168" s="162" t="str">
        <f>IF(AND(C168&gt;0,AJ168="")," * No olvide digitar La variable Migrantes. Digite CERO si no tiene.",IF(AJ168&gt;C168," * La variable Migrantes no puede ser mayor al Total Ambos Sexos.",""))</f>
        <v xml:space="preserve"> * La variable Migrantes no puede ser mayor al Total Ambos Sexos.</v>
      </c>
      <c r="CL168" s="163">
        <f>IF(AND(C168&gt;0,AI168=""),1,IF(AI168&gt;C168,1,0))</f>
        <v>1</v>
      </c>
      <c r="CM168" s="163">
        <f>IF(AND(C168&gt;0,AJ168=""),1,IF(AJ168&gt;C168,1,0))</f>
        <v>1</v>
      </c>
    </row>
    <row r="169" spans="1:91" s="161" customFormat="1" ht="15" customHeight="1" x14ac:dyDescent="0.15">
      <c r="A169" s="5609">
        <v>32101110</v>
      </c>
      <c r="B169" s="318" t="s">
        <v>4045</v>
      </c>
      <c r="C169" s="419" t="s">
        <v>4567</v>
      </c>
      <c r="D169" s="1615" t="s">
        <v>4568</v>
      </c>
      <c r="E169" s="221" t="s">
        <v>4569</v>
      </c>
      <c r="F169" s="1466" t="s">
        <v>4570</v>
      </c>
      <c r="G169" s="1475" t="s">
        <v>4571</v>
      </c>
      <c r="H169" s="1466" t="s">
        <v>4572</v>
      </c>
      <c r="I169" s="1475" t="s">
        <v>4573</v>
      </c>
      <c r="J169" s="1466" t="s">
        <v>4574</v>
      </c>
      <c r="K169" s="1475" t="s">
        <v>4575</v>
      </c>
      <c r="L169" s="1466" t="s">
        <v>4576</v>
      </c>
      <c r="M169" s="1475" t="s">
        <v>4577</v>
      </c>
      <c r="N169" s="1466" t="s">
        <v>4578</v>
      </c>
      <c r="O169" s="1475" t="s">
        <v>4579</v>
      </c>
      <c r="P169" s="1466" t="s">
        <v>4580</v>
      </c>
      <c r="Q169" s="1475" t="s">
        <v>4581</v>
      </c>
      <c r="R169" s="1466" t="s">
        <v>4582</v>
      </c>
      <c r="S169" s="1475" t="s">
        <v>4583</v>
      </c>
      <c r="T169" s="1466" t="s">
        <v>4584</v>
      </c>
      <c r="U169" s="1475" t="s">
        <v>4585</v>
      </c>
      <c r="V169" s="1466" t="s">
        <v>4586</v>
      </c>
      <c r="W169" s="1475" t="s">
        <v>4587</v>
      </c>
      <c r="X169" s="1466" t="s">
        <v>4588</v>
      </c>
      <c r="Y169" s="1475" t="s">
        <v>4589</v>
      </c>
      <c r="Z169" s="1466" t="s">
        <v>4590</v>
      </c>
      <c r="AA169" s="1475" t="s">
        <v>4591</v>
      </c>
      <c r="AB169" s="1466" t="s">
        <v>4592</v>
      </c>
      <c r="AC169" s="1475" t="s">
        <v>4593</v>
      </c>
      <c r="AD169" s="1466" t="s">
        <v>4594</v>
      </c>
      <c r="AE169" s="1475" t="s">
        <v>4595</v>
      </c>
      <c r="AF169" s="1466" t="s">
        <v>4596</v>
      </c>
      <c r="AG169" s="1636" t="s">
        <v>4597</v>
      </c>
      <c r="AH169" s="1637" t="s">
        <v>4598</v>
      </c>
      <c r="AI169" s="1466" t="s">
        <v>4599</v>
      </c>
      <c r="AJ169" s="1478" t="s">
        <v>4600</v>
      </c>
      <c r="AK169" s="161" t="str">
        <f>CB169&amp;CC169&amp;CF169&amp;CG169</f>
        <v xml:space="preserve"> * La variable Pueblos Originarios no puede ser mayor al Total Ambos Sexos. * La variable Migrantes no puede ser mayor al Total Ambos Sexos.</v>
      </c>
      <c r="CB169" s="162" t="str">
        <f t="shared" ref="CB169:CB170" si="92">IF(AND(C169&gt;0,AI169="")," * No olvide digitar La variable Pueblos Originarios. Digite CERO si no tiene.",IF(AI169&gt;C169," * La variable Pueblos Originarios no puede ser mayor al Total Ambos Sexos.",""))</f>
        <v xml:space="preserve"> * La variable Pueblos Originarios no puede ser mayor al Total Ambos Sexos.</v>
      </c>
      <c r="CC169" s="162" t="str">
        <f t="shared" ref="CC169:CC170" si="93">IF(AND(C169&gt;0,AJ169="")," * No olvide digitar La variable Migrantes. Digite CERO si no tiene.",IF(AJ169&gt;C169," * La variable Migrantes no puede ser mayor al Total Ambos Sexos.",""))</f>
        <v xml:space="preserve"> * La variable Migrantes no puede ser mayor al Total Ambos Sexos.</v>
      </c>
      <c r="CL169" s="163">
        <f>IF(AND(C169&gt;0,AI169=""),1,IF(AI169&gt;C169,1,0))</f>
        <v>1</v>
      </c>
      <c r="CM169" s="163">
        <f>IF(AND(C169&gt;0,AJ169=""),1,IF(AJ169&gt;C169,1,0))</f>
        <v>1</v>
      </c>
    </row>
    <row r="170" spans="1:91" s="161" customFormat="1" ht="15" customHeight="1" x14ac:dyDescent="0.15">
      <c r="A170" s="5609">
        <v>32101586</v>
      </c>
      <c r="B170" s="318" t="s">
        <v>4056</v>
      </c>
      <c r="C170" s="419" t="s">
        <v>4567</v>
      </c>
      <c r="D170" s="1615" t="s">
        <v>4568</v>
      </c>
      <c r="E170" s="221" t="s">
        <v>4569</v>
      </c>
      <c r="F170" s="406" t="s">
        <v>4570</v>
      </c>
      <c r="G170" s="1501" t="s">
        <v>4571</v>
      </c>
      <c r="H170" s="406" t="s">
        <v>4572</v>
      </c>
      <c r="I170" s="1501" t="s">
        <v>4573</v>
      </c>
      <c r="J170" s="406" t="s">
        <v>4574</v>
      </c>
      <c r="K170" s="1501" t="s">
        <v>4575</v>
      </c>
      <c r="L170" s="406" t="s">
        <v>4576</v>
      </c>
      <c r="M170" s="1501" t="s">
        <v>4577</v>
      </c>
      <c r="N170" s="406" t="s">
        <v>4578</v>
      </c>
      <c r="O170" s="1501" t="s">
        <v>4579</v>
      </c>
      <c r="P170" s="406" t="s">
        <v>4580</v>
      </c>
      <c r="Q170" s="1501" t="s">
        <v>4581</v>
      </c>
      <c r="R170" s="406" t="s">
        <v>4582</v>
      </c>
      <c r="S170" s="1501" t="s">
        <v>4583</v>
      </c>
      <c r="T170" s="406" t="s">
        <v>4584</v>
      </c>
      <c r="U170" s="1501" t="s">
        <v>4585</v>
      </c>
      <c r="V170" s="406" t="s">
        <v>4586</v>
      </c>
      <c r="W170" s="1501" t="s">
        <v>4587</v>
      </c>
      <c r="X170" s="406" t="s">
        <v>4588</v>
      </c>
      <c r="Y170" s="1501" t="s">
        <v>4589</v>
      </c>
      <c r="Z170" s="406" t="s">
        <v>4590</v>
      </c>
      <c r="AA170" s="1501" t="s">
        <v>4591</v>
      </c>
      <c r="AB170" s="406" t="s">
        <v>4592</v>
      </c>
      <c r="AC170" s="1501" t="s">
        <v>4593</v>
      </c>
      <c r="AD170" s="406" t="s">
        <v>4594</v>
      </c>
      <c r="AE170" s="1501" t="s">
        <v>4595</v>
      </c>
      <c r="AF170" s="406" t="s">
        <v>4596</v>
      </c>
      <c r="AG170" s="1638" t="s">
        <v>4597</v>
      </c>
      <c r="AH170" s="414" t="s">
        <v>4598</v>
      </c>
      <c r="AI170" s="406" t="s">
        <v>4599</v>
      </c>
      <c r="AJ170" s="219" t="s">
        <v>4600</v>
      </c>
      <c r="AK170" s="161" t="str">
        <f>CB170&amp;CC170&amp;CF170&amp;CG170</f>
        <v xml:space="preserve"> * La variable Pueblos Originarios no puede ser mayor al Total Ambos Sexos. * La variable Migrantes no puede ser mayor al Total Ambos Sexos.</v>
      </c>
      <c r="CB170" s="162" t="str">
        <f t="shared" si="92"/>
        <v xml:space="preserve"> * La variable Pueblos Originarios no puede ser mayor al Total Ambos Sexos.</v>
      </c>
      <c r="CC170" s="162" t="str">
        <f t="shared" si="93"/>
        <v xml:space="preserve"> * La variable Migrantes no puede ser mayor al Total Ambos Sexos.</v>
      </c>
      <c r="CL170" s="163">
        <f>IF(AND(C170&gt;0,AI170=""),1,IF(AI170&gt;C170,1,0))</f>
        <v>1</v>
      </c>
      <c r="CM170" s="163">
        <f>IF(AND(C170&gt;0,AJ170=""),1,IF(AJ170&gt;C170,1,0))</f>
        <v>1</v>
      </c>
    </row>
    <row r="171" spans="1:91" s="161" customFormat="1" ht="15" customHeight="1" x14ac:dyDescent="0.15">
      <c r="A171" s="5609">
        <v>32101587</v>
      </c>
      <c r="B171" s="870" t="s">
        <v>4057</v>
      </c>
      <c r="C171" s="1639" t="s">
        <v>4567</v>
      </c>
      <c r="D171" s="1640" t="s">
        <v>4568</v>
      </c>
      <c r="E171" s="421" t="s">
        <v>4569</v>
      </c>
      <c r="F171" s="1641" t="s">
        <v>4570</v>
      </c>
      <c r="G171" s="279" t="s">
        <v>4571</v>
      </c>
      <c r="H171" s="1641" t="s">
        <v>4572</v>
      </c>
      <c r="I171" s="279" t="s">
        <v>4573</v>
      </c>
      <c r="J171" s="1641" t="s">
        <v>4574</v>
      </c>
      <c r="K171" s="279" t="s">
        <v>4575</v>
      </c>
      <c r="L171" s="1641" t="s">
        <v>4576</v>
      </c>
      <c r="M171" s="279" t="s">
        <v>4577</v>
      </c>
      <c r="N171" s="1641" t="s">
        <v>4578</v>
      </c>
      <c r="O171" s="279" t="s">
        <v>4579</v>
      </c>
      <c r="P171" s="1641" t="s">
        <v>4580</v>
      </c>
      <c r="Q171" s="279" t="s">
        <v>4581</v>
      </c>
      <c r="R171" s="1641" t="s">
        <v>4582</v>
      </c>
      <c r="S171" s="279" t="s">
        <v>4583</v>
      </c>
      <c r="T171" s="1641" t="s">
        <v>4584</v>
      </c>
      <c r="U171" s="279" t="s">
        <v>4585</v>
      </c>
      <c r="V171" s="1641" t="s">
        <v>4586</v>
      </c>
      <c r="W171" s="279" t="s">
        <v>4587</v>
      </c>
      <c r="X171" s="1641" t="s">
        <v>4588</v>
      </c>
      <c r="Y171" s="279" t="s">
        <v>4589</v>
      </c>
      <c r="Z171" s="1641" t="s">
        <v>4590</v>
      </c>
      <c r="AA171" s="279" t="s">
        <v>4591</v>
      </c>
      <c r="AB171" s="1641" t="s">
        <v>4592</v>
      </c>
      <c r="AC171" s="279" t="s">
        <v>4593</v>
      </c>
      <c r="AD171" s="1641" t="s">
        <v>4594</v>
      </c>
      <c r="AE171" s="279" t="s">
        <v>4595</v>
      </c>
      <c r="AF171" s="1641" t="s">
        <v>4596</v>
      </c>
      <c r="AG171" s="280" t="s">
        <v>4597</v>
      </c>
      <c r="AH171" s="281" t="s">
        <v>4598</v>
      </c>
      <c r="AI171" s="1641" t="s">
        <v>4599</v>
      </c>
      <c r="AJ171" s="1642" t="s">
        <v>4600</v>
      </c>
    </row>
    <row r="172" spans="1:91" s="161" customFormat="1" ht="17.100000000000001" customHeight="1" x14ac:dyDescent="0.15">
      <c r="A172" s="19"/>
      <c r="B172" s="144" t="s">
        <v>4058</v>
      </c>
    </row>
    <row r="173" spans="1:91" s="161" customFormat="1" ht="15" customHeight="1" x14ac:dyDescent="0.15">
      <c r="A173" s="19"/>
      <c r="B173" s="7828" t="s">
        <v>2337</v>
      </c>
      <c r="C173" s="7828" t="s">
        <v>4043</v>
      </c>
      <c r="D173" s="7850" t="s">
        <v>4059</v>
      </c>
      <c r="E173" s="7743"/>
      <c r="F173" s="7828" t="s">
        <v>4060</v>
      </c>
      <c r="G173" s="7850" t="s">
        <v>29</v>
      </c>
      <c r="H173" s="7743"/>
      <c r="I173" s="7743"/>
      <c r="J173" s="7743"/>
      <c r="K173" s="7743"/>
      <c r="L173" s="7743"/>
      <c r="M173" s="7743"/>
      <c r="N173" s="7743"/>
      <c r="O173" s="7743"/>
      <c r="P173" s="7743"/>
      <c r="Q173" s="7743"/>
      <c r="R173" s="7743"/>
      <c r="S173" s="7743"/>
      <c r="T173" s="7743"/>
      <c r="U173" s="7851"/>
    </row>
    <row r="174" spans="1:91" s="161" customFormat="1" ht="21" x14ac:dyDescent="0.15">
      <c r="A174" s="19"/>
      <c r="B174" s="7185"/>
      <c r="C174" s="7185"/>
      <c r="D174" s="1643" t="s">
        <v>4044</v>
      </c>
      <c r="E174" s="1644" t="s">
        <v>4061</v>
      </c>
      <c r="F174" s="7185"/>
      <c r="G174" s="1643" t="s">
        <v>81</v>
      </c>
      <c r="H174" s="1645" t="s">
        <v>82</v>
      </c>
      <c r="I174" s="1645" t="s">
        <v>83</v>
      </c>
      <c r="J174" s="1645" t="s">
        <v>84</v>
      </c>
      <c r="K174" s="1645" t="s">
        <v>2029</v>
      </c>
      <c r="L174" s="1645" t="s">
        <v>86</v>
      </c>
      <c r="M174" s="1645" t="s">
        <v>223</v>
      </c>
      <c r="N174" s="1645" t="s">
        <v>88</v>
      </c>
      <c r="O174" s="1645" t="s">
        <v>224</v>
      </c>
      <c r="P174" s="1645" t="s">
        <v>4062</v>
      </c>
      <c r="Q174" s="1645" t="s">
        <v>4063</v>
      </c>
      <c r="R174" s="1645" t="s">
        <v>4064</v>
      </c>
      <c r="S174" s="1645" t="s">
        <v>226</v>
      </c>
      <c r="T174" s="1645" t="s">
        <v>4065</v>
      </c>
      <c r="U174" s="1644" t="s">
        <v>4066</v>
      </c>
    </row>
    <row r="175" spans="1:91" s="161" customFormat="1" ht="15" customHeight="1" x14ac:dyDescent="0.15">
      <c r="A175" s="5609">
        <v>32101220</v>
      </c>
      <c r="B175" s="318" t="s">
        <v>98</v>
      </c>
      <c r="C175" s="1418" t="s">
        <v>4567</v>
      </c>
      <c r="D175" s="406" t="s">
        <v>4568</v>
      </c>
      <c r="E175" s="235" t="s">
        <v>4569</v>
      </c>
      <c r="F175" s="1418" t="s">
        <v>4570</v>
      </c>
      <c r="G175" s="1466" t="s">
        <v>4571</v>
      </c>
      <c r="H175" s="1467" t="s">
        <v>4572</v>
      </c>
      <c r="I175" s="1467" t="s">
        <v>4573</v>
      </c>
      <c r="J175" s="1467" t="s">
        <v>4574</v>
      </c>
      <c r="K175" s="1646" t="s">
        <v>4575</v>
      </c>
      <c r="L175" s="1467" t="s">
        <v>4576</v>
      </c>
      <c r="M175" s="1467" t="s">
        <v>4577</v>
      </c>
      <c r="N175" s="1467" t="s">
        <v>4578</v>
      </c>
      <c r="O175" s="1467" t="s">
        <v>4579</v>
      </c>
      <c r="P175" s="1467" t="s">
        <v>4580</v>
      </c>
      <c r="Q175" s="1467" t="s">
        <v>4581</v>
      </c>
      <c r="R175" s="1467" t="s">
        <v>4582</v>
      </c>
      <c r="S175" s="1467" t="s">
        <v>4583</v>
      </c>
      <c r="T175" s="1467" t="s">
        <v>4584</v>
      </c>
      <c r="U175" s="1478" t="s">
        <v>4585</v>
      </c>
    </row>
    <row r="176" spans="1:91" s="161" customFormat="1" ht="15" customHeight="1" x14ac:dyDescent="0.15">
      <c r="A176" s="5609">
        <v>32101230</v>
      </c>
      <c r="B176" s="318" t="s">
        <v>64</v>
      </c>
      <c r="C176" s="1458" t="s">
        <v>4567</v>
      </c>
      <c r="D176" s="1466" t="s">
        <v>4568</v>
      </c>
      <c r="E176" s="1474" t="s">
        <v>4569</v>
      </c>
      <c r="F176" s="1420" t="s">
        <v>4570</v>
      </c>
      <c r="G176" s="1466" t="s">
        <v>4571</v>
      </c>
      <c r="H176" s="1467" t="s">
        <v>4572</v>
      </c>
      <c r="I176" s="1467" t="s">
        <v>4573</v>
      </c>
      <c r="J176" s="1467" t="s">
        <v>4574</v>
      </c>
      <c r="K176" s="1647" t="s">
        <v>4575</v>
      </c>
      <c r="L176" s="1467" t="s">
        <v>4576</v>
      </c>
      <c r="M176" s="1467" t="s">
        <v>4577</v>
      </c>
      <c r="N176" s="1467" t="s">
        <v>4578</v>
      </c>
      <c r="O176" s="1467" t="s">
        <v>4579</v>
      </c>
      <c r="P176" s="1467" t="s">
        <v>4580</v>
      </c>
      <c r="Q176" s="1467" t="s">
        <v>4581</v>
      </c>
      <c r="R176" s="1467" t="s">
        <v>4582</v>
      </c>
      <c r="S176" s="1467" t="s">
        <v>4583</v>
      </c>
      <c r="T176" s="1467" t="s">
        <v>4584</v>
      </c>
      <c r="U176" s="1478" t="s">
        <v>4585</v>
      </c>
    </row>
    <row r="177" spans="1:21" s="161" customFormat="1" ht="15" customHeight="1" x14ac:dyDescent="0.15">
      <c r="A177" s="5609">
        <v>32101240</v>
      </c>
      <c r="B177" s="318" t="s">
        <v>105</v>
      </c>
      <c r="C177" s="1458" t="s">
        <v>4567</v>
      </c>
      <c r="D177" s="1466" t="s">
        <v>4568</v>
      </c>
      <c r="E177" s="1474" t="s">
        <v>4569</v>
      </c>
      <c r="F177" s="1420" t="s">
        <v>4570</v>
      </c>
      <c r="G177" s="1466" t="s">
        <v>4571</v>
      </c>
      <c r="H177" s="1467" t="s">
        <v>4572</v>
      </c>
      <c r="I177" s="1467" t="s">
        <v>4573</v>
      </c>
      <c r="J177" s="1467" t="s">
        <v>4574</v>
      </c>
      <c r="K177" s="1467" t="s">
        <v>4575</v>
      </c>
      <c r="L177" s="1467" t="s">
        <v>4576</v>
      </c>
      <c r="M177" s="1467" t="s">
        <v>4577</v>
      </c>
      <c r="N177" s="1467" t="s">
        <v>4578</v>
      </c>
      <c r="O177" s="1467" t="s">
        <v>4579</v>
      </c>
      <c r="P177" s="1467" t="s">
        <v>4580</v>
      </c>
      <c r="Q177" s="1467" t="s">
        <v>4581</v>
      </c>
      <c r="R177" s="1467" t="s">
        <v>4582</v>
      </c>
      <c r="S177" s="1467" t="s">
        <v>4583</v>
      </c>
      <c r="T177" s="1467" t="s">
        <v>4584</v>
      </c>
      <c r="U177" s="1478" t="s">
        <v>4585</v>
      </c>
    </row>
    <row r="178" spans="1:21" s="161" customFormat="1" ht="15" customHeight="1" x14ac:dyDescent="0.15">
      <c r="A178" s="5609">
        <v>32101250</v>
      </c>
      <c r="B178" s="1199" t="s">
        <v>4067</v>
      </c>
      <c r="C178" s="913" t="s">
        <v>4567</v>
      </c>
      <c r="D178" s="1510" t="s">
        <v>4568</v>
      </c>
      <c r="E178" s="1545" t="s">
        <v>4569</v>
      </c>
      <c r="F178" s="1648" t="s">
        <v>4570</v>
      </c>
      <c r="G178" s="1510" t="s">
        <v>4571</v>
      </c>
      <c r="H178" s="1511" t="s">
        <v>4572</v>
      </c>
      <c r="I178" s="1511" t="s">
        <v>4573</v>
      </c>
      <c r="J178" s="1511" t="s">
        <v>4574</v>
      </c>
      <c r="K178" s="282" t="s">
        <v>4575</v>
      </c>
      <c r="L178" s="1511" t="s">
        <v>4576</v>
      </c>
      <c r="M178" s="1511" t="s">
        <v>4577</v>
      </c>
      <c r="N178" s="1511" t="s">
        <v>4578</v>
      </c>
      <c r="O178" s="1511" t="s">
        <v>4579</v>
      </c>
      <c r="P178" s="1511" t="s">
        <v>4580</v>
      </c>
      <c r="Q178" s="1511" t="s">
        <v>4581</v>
      </c>
      <c r="R178" s="1511" t="s">
        <v>4582</v>
      </c>
      <c r="S178" s="1511" t="s">
        <v>4583</v>
      </c>
      <c r="T178" s="1511" t="s">
        <v>4584</v>
      </c>
      <c r="U178" s="410" t="s">
        <v>4585</v>
      </c>
    </row>
    <row r="179" spans="1:21" s="160" customFormat="1" ht="17.100000000000001" customHeight="1" x14ac:dyDescent="0.25">
      <c r="B179" s="144" t="s">
        <v>4068</v>
      </c>
    </row>
    <row r="180" spans="1:21" s="161" customFormat="1" ht="15" customHeight="1" x14ac:dyDescent="0.25">
      <c r="B180" s="7818" t="s">
        <v>4069</v>
      </c>
      <c r="C180" s="7823" t="s">
        <v>4070</v>
      </c>
      <c r="D180" s="7794"/>
      <c r="E180" s="7824"/>
      <c r="F180" s="7823" t="s">
        <v>4071</v>
      </c>
      <c r="G180" s="7794"/>
      <c r="H180" s="7824"/>
    </row>
    <row r="181" spans="1:21" s="161" customFormat="1" ht="15" customHeight="1" x14ac:dyDescent="0.25">
      <c r="B181" s="6733"/>
      <c r="C181" s="1650" t="s">
        <v>79</v>
      </c>
      <c r="D181" s="1643" t="s">
        <v>58</v>
      </c>
      <c r="E181" s="1644" t="s">
        <v>59</v>
      </c>
      <c r="F181" s="1650" t="s">
        <v>79</v>
      </c>
      <c r="G181" s="1643" t="s">
        <v>58</v>
      </c>
      <c r="H181" s="1644" t="s">
        <v>59</v>
      </c>
    </row>
    <row r="182" spans="1:21" s="161" customFormat="1" ht="15" customHeight="1" x14ac:dyDescent="0.15">
      <c r="A182" s="5609">
        <v>32101140</v>
      </c>
      <c r="B182" s="318" t="s">
        <v>4072</v>
      </c>
      <c r="C182" s="1651" t="s">
        <v>4567</v>
      </c>
      <c r="D182" s="1652" t="s">
        <v>4568</v>
      </c>
      <c r="E182" s="1653" t="s">
        <v>4569</v>
      </c>
      <c r="F182" s="1651" t="s">
        <v>4570</v>
      </c>
      <c r="G182" s="1652" t="s">
        <v>4571</v>
      </c>
      <c r="H182" s="1653" t="s">
        <v>4572</v>
      </c>
    </row>
    <row r="183" spans="1:21" s="161" customFormat="1" ht="15" customHeight="1" x14ac:dyDescent="0.15">
      <c r="A183" s="5609">
        <v>32101150</v>
      </c>
      <c r="B183" s="1199" t="s">
        <v>4073</v>
      </c>
      <c r="C183" s="1654" t="s">
        <v>4567</v>
      </c>
      <c r="D183" s="1655" t="s">
        <v>4568</v>
      </c>
      <c r="E183" s="1656" t="s">
        <v>4569</v>
      </c>
      <c r="F183" s="1654" t="s">
        <v>4570</v>
      </c>
      <c r="G183" s="1655" t="s">
        <v>4571</v>
      </c>
      <c r="H183" s="1656" t="s">
        <v>4572</v>
      </c>
    </row>
    <row r="184" spans="1:21" s="160" customFormat="1" ht="17.100000000000001" customHeight="1" x14ac:dyDescent="0.15">
      <c r="A184" s="25"/>
      <c r="B184" s="175" t="s">
        <v>4074</v>
      </c>
    </row>
    <row r="185" spans="1:21" x14ac:dyDescent="0.25">
      <c r="A185" s="5613"/>
      <c r="B185" s="7852" t="s">
        <v>219</v>
      </c>
      <c r="C185" s="7853" t="s">
        <v>4043</v>
      </c>
      <c r="D185" s="7855" t="s">
        <v>4075</v>
      </c>
      <c r="E185" s="6823"/>
      <c r="F185" s="7856"/>
      <c r="G185" s="7828" t="s">
        <v>4060</v>
      </c>
      <c r="H185" s="7857" t="s">
        <v>29</v>
      </c>
      <c r="I185" s="7858"/>
      <c r="J185" s="7858"/>
      <c r="K185" s="7858"/>
      <c r="L185" s="7858"/>
      <c r="M185" s="7852"/>
    </row>
    <row r="186" spans="1:21" ht="21" x14ac:dyDescent="0.25">
      <c r="A186" s="5613"/>
      <c r="B186" s="7167"/>
      <c r="C186" s="7854"/>
      <c r="D186" s="1657" t="s">
        <v>4076</v>
      </c>
      <c r="E186" s="1658" t="s">
        <v>4045</v>
      </c>
      <c r="F186" s="1659" t="s">
        <v>4077</v>
      </c>
      <c r="G186" s="7185"/>
      <c r="H186" s="1660" t="s">
        <v>222</v>
      </c>
      <c r="I186" s="1661" t="s">
        <v>4078</v>
      </c>
      <c r="J186" s="1661" t="s">
        <v>4079</v>
      </c>
      <c r="K186" s="1661" t="s">
        <v>4080</v>
      </c>
      <c r="L186" s="1661" t="s">
        <v>4081</v>
      </c>
      <c r="M186" s="1662" t="s">
        <v>4082</v>
      </c>
    </row>
    <row r="187" spans="1:21" x14ac:dyDescent="0.15">
      <c r="A187" s="5609">
        <v>32101330</v>
      </c>
      <c r="B187" s="318" t="s">
        <v>4083</v>
      </c>
      <c r="C187" s="422" t="s">
        <v>4567</v>
      </c>
      <c r="D187" s="406" t="s">
        <v>4568</v>
      </c>
      <c r="E187" s="1502" t="s">
        <v>4569</v>
      </c>
      <c r="F187" s="225" t="s">
        <v>4570</v>
      </c>
      <c r="G187" s="1418" t="s">
        <v>4571</v>
      </c>
      <c r="H187" s="1633" t="s">
        <v>4572</v>
      </c>
      <c r="I187" s="1469" t="s">
        <v>4573</v>
      </c>
      <c r="J187" s="1469" t="s">
        <v>4574</v>
      </c>
      <c r="K187" s="1469" t="s">
        <v>4575</v>
      </c>
      <c r="L187" s="1469" t="s">
        <v>4576</v>
      </c>
      <c r="M187" s="219" t="s">
        <v>4577</v>
      </c>
    </row>
    <row r="188" spans="1:21" x14ac:dyDescent="0.15">
      <c r="A188" s="5609">
        <v>32101340</v>
      </c>
      <c r="B188" s="318" t="s">
        <v>4084</v>
      </c>
      <c r="C188" s="1420" t="s">
        <v>4567</v>
      </c>
      <c r="D188" s="1466" t="s">
        <v>4568</v>
      </c>
      <c r="E188" s="1467" t="s">
        <v>4569</v>
      </c>
      <c r="F188" s="235" t="s">
        <v>4570</v>
      </c>
      <c r="G188" s="1420" t="s">
        <v>4571</v>
      </c>
      <c r="H188" s="1466" t="s">
        <v>4572</v>
      </c>
      <c r="I188" s="1467" t="s">
        <v>4573</v>
      </c>
      <c r="J188" s="1467" t="s">
        <v>4574</v>
      </c>
      <c r="K188" s="1467" t="s">
        <v>4575</v>
      </c>
      <c r="L188" s="1467" t="s">
        <v>4576</v>
      </c>
      <c r="M188" s="1478" t="s">
        <v>4577</v>
      </c>
    </row>
    <row r="189" spans="1:21" x14ac:dyDescent="0.15">
      <c r="A189" s="5609">
        <v>32101360</v>
      </c>
      <c r="B189" s="1199" t="s">
        <v>4085</v>
      </c>
      <c r="C189" s="1555" t="s">
        <v>4567</v>
      </c>
      <c r="D189" s="1510" t="s">
        <v>4568</v>
      </c>
      <c r="E189" s="1511" t="s">
        <v>4569</v>
      </c>
      <c r="F189" s="423" t="s">
        <v>4570</v>
      </c>
      <c r="G189" s="913" t="s">
        <v>4571</v>
      </c>
      <c r="H189" s="1510" t="s">
        <v>4572</v>
      </c>
      <c r="I189" s="1511" t="s">
        <v>4573</v>
      </c>
      <c r="J189" s="1511" t="s">
        <v>4574</v>
      </c>
      <c r="K189" s="1511" t="s">
        <v>4575</v>
      </c>
      <c r="L189" s="1511" t="s">
        <v>4576</v>
      </c>
      <c r="M189" s="410" t="s">
        <v>4577</v>
      </c>
    </row>
    <row r="190" spans="1:21" s="160" customFormat="1" ht="17.100000000000001" customHeight="1" x14ac:dyDescent="0.25">
      <c r="B190" s="7833" t="s">
        <v>4086</v>
      </c>
      <c r="C190" s="7833"/>
      <c r="D190" s="7833"/>
    </row>
    <row r="191" spans="1:21" ht="15" customHeight="1" x14ac:dyDescent="0.25">
      <c r="B191" s="7687" t="s">
        <v>4087</v>
      </c>
      <c r="C191" s="7676"/>
      <c r="D191" s="7838" t="s">
        <v>4088</v>
      </c>
      <c r="E191" s="6696" t="s">
        <v>4089</v>
      </c>
      <c r="F191" s="7847"/>
      <c r="G191" s="7847"/>
      <c r="H191" s="7847"/>
      <c r="I191" s="7847"/>
      <c r="J191" s="7847"/>
      <c r="K191" s="7848"/>
      <c r="L191" s="7849" t="s">
        <v>4090</v>
      </c>
      <c r="M191" s="7849"/>
      <c r="N191" s="7849"/>
      <c r="O191" s="7819"/>
    </row>
    <row r="192" spans="1:21" ht="21" x14ac:dyDescent="0.25">
      <c r="B192" s="6750"/>
      <c r="C192" s="6913"/>
      <c r="D192" s="6739"/>
      <c r="E192" s="1657" t="s">
        <v>4076</v>
      </c>
      <c r="F192" s="1658" t="s">
        <v>4091</v>
      </c>
      <c r="G192" s="1658" t="s">
        <v>4092</v>
      </c>
      <c r="H192" s="1659" t="s">
        <v>4093</v>
      </c>
      <c r="I192" s="1663" t="s">
        <v>4060</v>
      </c>
      <c r="J192" s="1657" t="s">
        <v>453</v>
      </c>
      <c r="K192" s="1659" t="s">
        <v>4094</v>
      </c>
      <c r="L192" s="1657" t="s">
        <v>4095</v>
      </c>
      <c r="M192" s="1658" t="s">
        <v>4096</v>
      </c>
      <c r="N192" s="1658" t="s">
        <v>4097</v>
      </c>
      <c r="O192" s="1664" t="s">
        <v>4098</v>
      </c>
    </row>
    <row r="193" spans="1:92" ht="15" customHeight="1" x14ac:dyDescent="0.15">
      <c r="A193" s="5609">
        <v>32101370</v>
      </c>
      <c r="B193" s="7835" t="s">
        <v>4099</v>
      </c>
      <c r="C193" s="1665" t="s">
        <v>4100</v>
      </c>
      <c r="D193" s="1418" t="s">
        <v>4567</v>
      </c>
      <c r="E193" s="1666" t="s">
        <v>4568</v>
      </c>
      <c r="F193" s="1467" t="s">
        <v>4569</v>
      </c>
      <c r="G193" s="1646" t="s">
        <v>4570</v>
      </c>
      <c r="H193" s="1474" t="s">
        <v>4571</v>
      </c>
      <c r="I193" s="1418" t="s">
        <v>4572</v>
      </c>
      <c r="J193" s="1666" t="s">
        <v>4573</v>
      </c>
      <c r="K193" s="1667" t="s">
        <v>4574</v>
      </c>
      <c r="L193" s="1474" t="s">
        <v>4575</v>
      </c>
      <c r="M193" s="1467" t="s">
        <v>4576</v>
      </c>
      <c r="N193" s="1467" t="s">
        <v>4577</v>
      </c>
      <c r="O193" s="1668" t="s">
        <v>4578</v>
      </c>
    </row>
    <row r="194" spans="1:92" ht="15" customHeight="1" x14ac:dyDescent="0.15">
      <c r="A194" s="5609">
        <v>32101380</v>
      </c>
      <c r="B194" s="6112"/>
      <c r="C194" s="1435" t="s">
        <v>4101</v>
      </c>
      <c r="D194" s="1420" t="s">
        <v>4567</v>
      </c>
      <c r="E194" s="1466" t="s">
        <v>4568</v>
      </c>
      <c r="F194" s="1467" t="s">
        <v>4569</v>
      </c>
      <c r="G194" s="1669" t="s">
        <v>4570</v>
      </c>
      <c r="H194" s="1474" t="s">
        <v>4571</v>
      </c>
      <c r="I194" s="1420" t="s">
        <v>4572</v>
      </c>
      <c r="J194" s="406" t="s">
        <v>4573</v>
      </c>
      <c r="K194" s="219" t="s">
        <v>4574</v>
      </c>
      <c r="L194" s="1474" t="s">
        <v>4575</v>
      </c>
      <c r="M194" s="1467" t="s">
        <v>4576</v>
      </c>
      <c r="N194" s="1467" t="s">
        <v>4577</v>
      </c>
      <c r="O194" s="1668" t="s">
        <v>4578</v>
      </c>
    </row>
    <row r="195" spans="1:92" ht="15" customHeight="1" x14ac:dyDescent="0.15">
      <c r="A195" s="5609">
        <v>32101390</v>
      </c>
      <c r="B195" s="6112"/>
      <c r="C195" s="1435" t="s">
        <v>4102</v>
      </c>
      <c r="D195" s="1420" t="s">
        <v>4567</v>
      </c>
      <c r="E195" s="424" t="s">
        <v>4568</v>
      </c>
      <c r="F195" s="1669" t="s">
        <v>4569</v>
      </c>
      <c r="G195" s="1467" t="s">
        <v>4570</v>
      </c>
      <c r="H195" s="1474" t="s">
        <v>4571</v>
      </c>
      <c r="I195" s="1420" t="s">
        <v>4572</v>
      </c>
      <c r="J195" s="1466" t="s">
        <v>4573</v>
      </c>
      <c r="K195" s="1478" t="s">
        <v>4574</v>
      </c>
      <c r="L195" s="1474" t="s">
        <v>4575</v>
      </c>
      <c r="M195" s="1467" t="s">
        <v>4576</v>
      </c>
      <c r="N195" s="1467" t="s">
        <v>4577</v>
      </c>
      <c r="O195" s="225" t="s">
        <v>4578</v>
      </c>
    </row>
    <row r="196" spans="1:92" ht="15" customHeight="1" x14ac:dyDescent="0.15">
      <c r="A196" s="5609">
        <v>32101400</v>
      </c>
      <c r="B196" s="6842"/>
      <c r="C196" s="1670" t="s">
        <v>4103</v>
      </c>
      <c r="D196" s="1368" t="s">
        <v>4567</v>
      </c>
      <c r="E196" s="1510" t="s">
        <v>4568</v>
      </c>
      <c r="F196" s="1511" t="s">
        <v>4569</v>
      </c>
      <c r="G196" s="1511" t="s">
        <v>4570</v>
      </c>
      <c r="H196" s="410" t="s">
        <v>4571</v>
      </c>
      <c r="I196" s="1648" t="s">
        <v>4572</v>
      </c>
      <c r="J196" s="1671" t="s">
        <v>4573</v>
      </c>
      <c r="K196" s="423" t="s">
        <v>4574</v>
      </c>
      <c r="L196" s="1672" t="s">
        <v>4575</v>
      </c>
      <c r="M196" s="1673" t="s">
        <v>4576</v>
      </c>
      <c r="N196" s="1673" t="s">
        <v>4577</v>
      </c>
      <c r="O196" s="410" t="s">
        <v>4578</v>
      </c>
    </row>
    <row r="197" spans="1:92" s="160" customFormat="1" ht="17.100000000000001" customHeight="1" x14ac:dyDescent="0.25">
      <c r="B197" s="175" t="s">
        <v>4104</v>
      </c>
    </row>
    <row r="198" spans="1:92" s="161" customFormat="1" ht="15.75" customHeight="1" x14ac:dyDescent="0.25">
      <c r="B198" s="7829" t="s">
        <v>219</v>
      </c>
      <c r="C198" s="7829" t="s">
        <v>4105</v>
      </c>
      <c r="D198" s="7830" t="s">
        <v>4106</v>
      </c>
      <c r="E198" s="7820" t="s">
        <v>4090</v>
      </c>
      <c r="F198" s="7832"/>
      <c r="G198" s="7820" t="s">
        <v>4107</v>
      </c>
      <c r="H198" s="7821"/>
      <c r="I198" s="7821"/>
      <c r="J198" s="7821"/>
      <c r="K198" s="7821"/>
      <c r="L198" s="7821"/>
      <c r="M198" s="7821"/>
      <c r="N198" s="7821"/>
      <c r="O198" s="7821"/>
      <c r="P198" s="7821"/>
      <c r="Q198" s="7821"/>
      <c r="R198" s="7821"/>
      <c r="S198" s="7821"/>
      <c r="T198" s="7821"/>
      <c r="U198" s="7804" t="s">
        <v>453</v>
      </c>
      <c r="V198" s="7810" t="s">
        <v>67</v>
      </c>
    </row>
    <row r="199" spans="1:92" s="161" customFormat="1" ht="21" x14ac:dyDescent="0.25">
      <c r="B199" s="7829"/>
      <c r="C199" s="7829"/>
      <c r="D199" s="7831"/>
      <c r="E199" s="1643" t="s">
        <v>4095</v>
      </c>
      <c r="F199" s="1644" t="s">
        <v>4402</v>
      </c>
      <c r="G199" s="1674" t="s">
        <v>529</v>
      </c>
      <c r="H199" s="1675" t="s">
        <v>325</v>
      </c>
      <c r="I199" s="1675" t="s">
        <v>326</v>
      </c>
      <c r="J199" s="1675" t="s">
        <v>94</v>
      </c>
      <c r="K199" s="1675" t="s">
        <v>44</v>
      </c>
      <c r="L199" s="1675" t="s">
        <v>305</v>
      </c>
      <c r="M199" s="1675" t="s">
        <v>46</v>
      </c>
      <c r="N199" s="1675" t="s">
        <v>47</v>
      </c>
      <c r="O199" s="1675" t="s">
        <v>48</v>
      </c>
      <c r="P199" s="1675" t="s">
        <v>49</v>
      </c>
      <c r="Q199" s="1675" t="s">
        <v>50</v>
      </c>
      <c r="R199" s="1675" t="s">
        <v>51</v>
      </c>
      <c r="S199" s="1675" t="s">
        <v>52</v>
      </c>
      <c r="T199" s="1676" t="s">
        <v>53</v>
      </c>
      <c r="U199" s="7806"/>
      <c r="V199" s="7812"/>
    </row>
    <row r="200" spans="1:92" s="161" customFormat="1" ht="15" customHeight="1" x14ac:dyDescent="0.15">
      <c r="A200" s="5609">
        <v>32101440</v>
      </c>
      <c r="B200" s="1677" t="s">
        <v>4108</v>
      </c>
      <c r="C200" s="1466" t="s">
        <v>4567</v>
      </c>
      <c r="D200" s="1678" t="s">
        <v>4568</v>
      </c>
      <c r="E200" s="1466" t="s">
        <v>4569</v>
      </c>
      <c r="F200" s="1474" t="s">
        <v>4570</v>
      </c>
      <c r="G200" s="1466" t="s">
        <v>4571</v>
      </c>
      <c r="H200" s="1467" t="s">
        <v>4572</v>
      </c>
      <c r="I200" s="1467" t="s">
        <v>4573</v>
      </c>
      <c r="J200" s="1467" t="s">
        <v>4574</v>
      </c>
      <c r="K200" s="1467" t="s">
        <v>4575</v>
      </c>
      <c r="L200" s="1467" t="s">
        <v>4576</v>
      </c>
      <c r="M200" s="1467" t="s">
        <v>4577</v>
      </c>
      <c r="N200" s="1467" t="s">
        <v>4578</v>
      </c>
      <c r="O200" s="1467" t="s">
        <v>4579</v>
      </c>
      <c r="P200" s="1467" t="s">
        <v>4580</v>
      </c>
      <c r="Q200" s="1467" t="s">
        <v>4581</v>
      </c>
      <c r="R200" s="1467" t="s">
        <v>4582</v>
      </c>
      <c r="S200" s="1467" t="s">
        <v>4583</v>
      </c>
      <c r="T200" s="1636" t="s">
        <v>4584</v>
      </c>
      <c r="U200" s="408" t="s">
        <v>4585</v>
      </c>
      <c r="V200" s="219" t="s">
        <v>4586</v>
      </c>
      <c r="W200" s="161" t="str">
        <f>CB200&amp;CC200&amp;CD200&amp;CG200</f>
        <v/>
      </c>
      <c r="CB200" s="162" t="str">
        <f>IF(AND(U200="",D200&gt;0)," * No olvide digitar la variable Gestantes. Digite CERO si no tiene.","")</f>
        <v/>
      </c>
      <c r="CC200" s="162" t="str">
        <f>IF(AND(V200="",D200&gt;0)," * No olvide digitar la variable Post Parto. Digite CERO si no tiene.","")</f>
        <v/>
      </c>
      <c r="CD200" s="162"/>
      <c r="CG200" s="1937"/>
      <c r="CH200" s="1937"/>
      <c r="CI200" s="1937"/>
      <c r="CJ200" s="1937"/>
      <c r="CK200" s="1937"/>
      <c r="CL200" s="163">
        <f>IF(AND(U200="",D200&gt;0),1,0)</f>
        <v>0</v>
      </c>
      <c r="CM200" s="163">
        <f>IF(AND(V200="",D200&gt;0),1,0)</f>
        <v>0</v>
      </c>
      <c r="CN200" s="163"/>
    </row>
    <row r="201" spans="1:92" s="161" customFormat="1" ht="15" customHeight="1" x14ac:dyDescent="0.15">
      <c r="A201" s="5609">
        <v>32101450</v>
      </c>
      <c r="B201" s="1677" t="s">
        <v>4109</v>
      </c>
      <c r="C201" s="1466" t="s">
        <v>4567</v>
      </c>
      <c r="D201" s="1679" t="s">
        <v>4568</v>
      </c>
      <c r="E201" s="1466" t="s">
        <v>4569</v>
      </c>
      <c r="F201" s="1474" t="s">
        <v>4570</v>
      </c>
      <c r="G201" s="1466" t="s">
        <v>4571</v>
      </c>
      <c r="H201" s="1467" t="s">
        <v>4572</v>
      </c>
      <c r="I201" s="1467" t="s">
        <v>4573</v>
      </c>
      <c r="J201" s="1467" t="s">
        <v>4574</v>
      </c>
      <c r="K201" s="1467" t="s">
        <v>4575</v>
      </c>
      <c r="L201" s="1467" t="s">
        <v>4576</v>
      </c>
      <c r="M201" s="1467" t="s">
        <v>4577</v>
      </c>
      <c r="N201" s="1467" t="s">
        <v>4578</v>
      </c>
      <c r="O201" s="1467" t="s">
        <v>4579</v>
      </c>
      <c r="P201" s="1467" t="s">
        <v>4580</v>
      </c>
      <c r="Q201" s="1467" t="s">
        <v>4581</v>
      </c>
      <c r="R201" s="1467" t="s">
        <v>4582</v>
      </c>
      <c r="S201" s="1467" t="s">
        <v>4583</v>
      </c>
      <c r="T201" s="1636" t="s">
        <v>4584</v>
      </c>
      <c r="U201" s="1540" t="s">
        <v>4585</v>
      </c>
      <c r="V201" s="1478" t="s">
        <v>4586</v>
      </c>
      <c r="W201" s="161" t="str">
        <f>CB201&amp;CC201&amp;CD201&amp;CG201</f>
        <v/>
      </c>
      <c r="CB201" s="162" t="str">
        <f>IF(AND(U201="",D201&gt;0)," * No olvide digitar la variable Gestantes. Digite CERO si no tiene.","")</f>
        <v/>
      </c>
      <c r="CC201" s="162" t="str">
        <f>IF(AND(V201="",D201&gt;0)," * No olvide digitar la variable Post Parto. Digite CERO si no tiene.","")</f>
        <v/>
      </c>
      <c r="CD201" s="162"/>
      <c r="CG201" s="1937"/>
      <c r="CH201" s="1937"/>
      <c r="CI201" s="1937"/>
      <c r="CJ201" s="1937"/>
      <c r="CK201" s="1937"/>
      <c r="CL201" s="163">
        <f>IF(AND(U201="",D201&gt;0),1,0)</f>
        <v>0</v>
      </c>
      <c r="CM201" s="163">
        <f>IF(AND(V201="",D201&gt;0),1,0)</f>
        <v>0</v>
      </c>
      <c r="CN201" s="163"/>
    </row>
    <row r="202" spans="1:92" s="161" customFormat="1" ht="15" customHeight="1" x14ac:dyDescent="0.15">
      <c r="A202" s="5609">
        <v>32101460</v>
      </c>
      <c r="B202" s="1680" t="s">
        <v>4110</v>
      </c>
      <c r="C202" s="1681" t="s">
        <v>4567</v>
      </c>
      <c r="D202" s="1682" t="s">
        <v>4568</v>
      </c>
      <c r="E202" s="1510" t="s">
        <v>4569</v>
      </c>
      <c r="F202" s="1545" t="s">
        <v>4570</v>
      </c>
      <c r="G202" s="1510" t="s">
        <v>4571</v>
      </c>
      <c r="H202" s="1511" t="s">
        <v>4572</v>
      </c>
      <c r="I202" s="1511" t="s">
        <v>4573</v>
      </c>
      <c r="J202" s="1511" t="s">
        <v>4574</v>
      </c>
      <c r="K202" s="1511" t="s">
        <v>4575</v>
      </c>
      <c r="L202" s="1511" t="s">
        <v>4576</v>
      </c>
      <c r="M202" s="1511" t="s">
        <v>4577</v>
      </c>
      <c r="N202" s="1511" t="s">
        <v>4578</v>
      </c>
      <c r="O202" s="1511" t="s">
        <v>4579</v>
      </c>
      <c r="P202" s="1511" t="s">
        <v>4580</v>
      </c>
      <c r="Q202" s="1511" t="s">
        <v>4581</v>
      </c>
      <c r="R202" s="1511" t="s">
        <v>4582</v>
      </c>
      <c r="S202" s="1511" t="s">
        <v>4583</v>
      </c>
      <c r="T202" s="1683" t="s">
        <v>4584</v>
      </c>
      <c r="U202" s="1543" t="s">
        <v>4585</v>
      </c>
      <c r="V202" s="410" t="s">
        <v>4586</v>
      </c>
      <c r="W202" s="161" t="str">
        <f>CB202&amp;CC202&amp;CD202&amp;CG202</f>
        <v/>
      </c>
      <c r="CB202" s="162" t="str">
        <f>IF(AND(U202="",D202&gt;0)," * No olvide digitar la variable Gestantes. Digite CERO si no tiene.","")</f>
        <v/>
      </c>
      <c r="CC202" s="162" t="str">
        <f>IF(AND(V202="",D202&gt;0)," * No olvide digitar la variable Post Parto. Digite CERO si no tiene.","")</f>
        <v/>
      </c>
      <c r="CD202" s="162"/>
      <c r="CG202" s="1937"/>
      <c r="CH202" s="1937"/>
      <c r="CI202" s="1937"/>
      <c r="CJ202" s="1937"/>
      <c r="CK202" s="1937"/>
      <c r="CL202" s="163">
        <f>IF(AND(U202="",D202&gt;0),1,0)</f>
        <v>0</v>
      </c>
      <c r="CM202" s="163">
        <f>IF(AND(V202="",D202&gt;0),1,0)</f>
        <v>0</v>
      </c>
      <c r="CN202" s="163"/>
    </row>
    <row r="203" spans="1:92" s="160" customFormat="1" ht="17.100000000000001" customHeight="1" x14ac:dyDescent="0.2">
      <c r="A203" s="5959"/>
      <c r="B203" s="7834" t="s">
        <v>4111</v>
      </c>
      <c r="C203" s="7834"/>
      <c r="D203" s="7834"/>
      <c r="E203" s="7834"/>
      <c r="F203" s="7834"/>
      <c r="G203" s="7834"/>
      <c r="H203" s="7834"/>
      <c r="I203" s="7834"/>
      <c r="J203" s="7834"/>
      <c r="K203" s="7834"/>
      <c r="CL203" s="161"/>
      <c r="CM203" s="161"/>
      <c r="CN203" s="161"/>
    </row>
    <row r="204" spans="1:92" ht="15" customHeight="1" x14ac:dyDescent="0.2">
      <c r="A204" s="5959"/>
      <c r="B204" s="7822" t="s">
        <v>3226</v>
      </c>
      <c r="C204" s="7822" t="s">
        <v>4112</v>
      </c>
      <c r="D204" s="7823" t="s">
        <v>4090</v>
      </c>
      <c r="E204" s="7824"/>
      <c r="F204" s="7794" t="s">
        <v>4107</v>
      </c>
      <c r="G204" s="7794"/>
      <c r="H204" s="7794"/>
      <c r="I204" s="7794"/>
      <c r="J204" s="7794"/>
      <c r="K204" s="7825"/>
      <c r="L204" s="7826" t="s">
        <v>453</v>
      </c>
      <c r="M204" s="7828" t="s">
        <v>67</v>
      </c>
      <c r="CL204" s="161"/>
      <c r="CM204" s="161"/>
      <c r="CN204" s="161"/>
    </row>
    <row r="205" spans="1:92" ht="21" x14ac:dyDescent="0.2">
      <c r="A205" s="5959"/>
      <c r="B205" s="7822"/>
      <c r="C205" s="7822"/>
      <c r="D205" s="1643" t="s">
        <v>4095</v>
      </c>
      <c r="E205" s="1644" t="s">
        <v>4402</v>
      </c>
      <c r="F205" s="1684" t="s">
        <v>529</v>
      </c>
      <c r="G205" s="1645" t="s">
        <v>325</v>
      </c>
      <c r="H205" s="1645" t="s">
        <v>326</v>
      </c>
      <c r="I205" s="1645" t="s">
        <v>94</v>
      </c>
      <c r="J205" s="1645" t="s">
        <v>44</v>
      </c>
      <c r="K205" s="1649" t="s">
        <v>3087</v>
      </c>
      <c r="L205" s="7827"/>
      <c r="M205" s="7185"/>
      <c r="CL205" s="161"/>
      <c r="CM205" s="161"/>
      <c r="CN205" s="161"/>
    </row>
    <row r="206" spans="1:92" x14ac:dyDescent="0.15">
      <c r="A206" s="5609">
        <v>32101470</v>
      </c>
      <c r="B206" s="1677" t="s">
        <v>4113</v>
      </c>
      <c r="C206" s="1685" t="s">
        <v>4567</v>
      </c>
      <c r="D206" s="1466" t="s">
        <v>4568</v>
      </c>
      <c r="E206" s="1475" t="s">
        <v>4569</v>
      </c>
      <c r="F206" s="1474" t="s">
        <v>4570</v>
      </c>
      <c r="G206" s="1467" t="s">
        <v>4571</v>
      </c>
      <c r="H206" s="1467" t="s">
        <v>4572</v>
      </c>
      <c r="I206" s="1467" t="s">
        <v>4573</v>
      </c>
      <c r="J206" s="1467" t="s">
        <v>4574</v>
      </c>
      <c r="K206" s="1636" t="s">
        <v>4575</v>
      </c>
      <c r="L206" s="414" t="s">
        <v>4576</v>
      </c>
      <c r="M206" s="425" t="s">
        <v>4577</v>
      </c>
      <c r="N206" s="1937" t="str">
        <f>CB206&amp;CC206</f>
        <v/>
      </c>
      <c r="CB206" s="162" t="str">
        <f>IF(AND(L206="",C206&gt;0)," * No olvide digitar la variable Gestantes. Digite CERO si no tiene.","")</f>
        <v/>
      </c>
      <c r="CC206" s="162" t="str">
        <f>IF(AND(M206="",C206&gt;0)," * No olvide digitar la variable Post Parto. Digite CERO si no tiene.","")</f>
        <v/>
      </c>
      <c r="CD206" s="161"/>
      <c r="CL206" s="163">
        <f>IF(AND(L206="",C206&gt;0),1,0)</f>
        <v>0</v>
      </c>
      <c r="CM206" s="163">
        <f>IF(AND(M206="",C206&gt;0),1,0)</f>
        <v>0</v>
      </c>
      <c r="CN206" s="161"/>
    </row>
    <row r="207" spans="1:92" x14ac:dyDescent="0.15">
      <c r="A207" s="5609">
        <v>32101480</v>
      </c>
      <c r="B207" s="1680" t="s">
        <v>4114</v>
      </c>
      <c r="C207" s="1686" t="s">
        <v>4567</v>
      </c>
      <c r="D207" s="1510" t="s">
        <v>4568</v>
      </c>
      <c r="E207" s="1512" t="s">
        <v>4569</v>
      </c>
      <c r="F207" s="1545" t="s">
        <v>4570</v>
      </c>
      <c r="G207" s="1511" t="s">
        <v>4571</v>
      </c>
      <c r="H207" s="1511" t="s">
        <v>4572</v>
      </c>
      <c r="I207" s="1511" t="s">
        <v>4573</v>
      </c>
      <c r="J207" s="1511" t="s">
        <v>4574</v>
      </c>
      <c r="K207" s="1683" t="s">
        <v>4575</v>
      </c>
      <c r="L207" s="1687" t="s">
        <v>4576</v>
      </c>
      <c r="M207" s="1681" t="s">
        <v>4577</v>
      </c>
      <c r="N207" s="1937" t="str">
        <f>CB207&amp;CC207</f>
        <v/>
      </c>
      <c r="CB207" s="162" t="str">
        <f>IF(AND(L207="",C207&gt;0)," * No olvide digitar la variable Gestantes. Digite CERO si no tiene.","")</f>
        <v/>
      </c>
      <c r="CC207" s="162" t="str">
        <f>IF(AND(M207="",C207&gt;0)," * No olvide digitar la variable Post Parto. Digite CERO si no tiene.","")</f>
        <v/>
      </c>
      <c r="CD207" s="161"/>
      <c r="CL207" s="163">
        <f>IF(AND(L207="",C207&gt;0),1,0)</f>
        <v>0</v>
      </c>
      <c r="CM207" s="163">
        <f>IF(AND(M207="",C207&gt;0),1,0)</f>
        <v>0</v>
      </c>
      <c r="CN207" s="161"/>
    </row>
    <row r="208" spans="1:92" s="160" customFormat="1" ht="17.100000000000001" customHeight="1" x14ac:dyDescent="0.25">
      <c r="B208" s="7834" t="s">
        <v>4115</v>
      </c>
      <c r="C208" s="7834"/>
      <c r="D208" s="7834"/>
      <c r="E208" s="7834"/>
      <c r="F208" s="7834"/>
      <c r="G208" s="7834"/>
      <c r="H208" s="7834"/>
    </row>
    <row r="209" spans="1:8" ht="15" customHeight="1" x14ac:dyDescent="0.25">
      <c r="B209" s="7787" t="s">
        <v>3121</v>
      </c>
      <c r="C209" s="7787" t="s">
        <v>4043</v>
      </c>
      <c r="D209" s="6813" t="s">
        <v>4107</v>
      </c>
      <c r="E209" s="7816"/>
      <c r="F209" s="7816"/>
      <c r="G209" s="7816"/>
      <c r="H209" s="7817"/>
    </row>
    <row r="210" spans="1:8" ht="15" customHeight="1" x14ac:dyDescent="0.25">
      <c r="B210" s="7788"/>
      <c r="C210" s="7788"/>
      <c r="D210" s="1631" t="s">
        <v>343</v>
      </c>
      <c r="E210" s="1110" t="s">
        <v>326</v>
      </c>
      <c r="F210" s="1213" t="s">
        <v>94</v>
      </c>
      <c r="G210" s="1213" t="s">
        <v>44</v>
      </c>
      <c r="H210" s="1227" t="s">
        <v>45</v>
      </c>
    </row>
    <row r="211" spans="1:8" ht="15" customHeight="1" x14ac:dyDescent="0.15">
      <c r="A211" s="5609">
        <v>32101591</v>
      </c>
      <c r="B211" s="1688" t="s">
        <v>4116</v>
      </c>
      <c r="C211" s="1689" t="s">
        <v>4567</v>
      </c>
      <c r="D211" s="1690" t="s">
        <v>4568</v>
      </c>
      <c r="E211" s="1691" t="s">
        <v>4569</v>
      </c>
      <c r="F211" s="1691" t="s">
        <v>4570</v>
      </c>
      <c r="G211" s="1692" t="s">
        <v>4571</v>
      </c>
      <c r="H211" s="1693" t="s">
        <v>4572</v>
      </c>
    </row>
    <row r="212" spans="1:8" s="160" customFormat="1" ht="18" customHeight="1" x14ac:dyDescent="0.25">
      <c r="B212" s="7833" t="s">
        <v>4117</v>
      </c>
      <c r="C212" s="7833"/>
      <c r="D212" s="7833"/>
      <c r="E212" s="7833"/>
    </row>
    <row r="213" spans="1:8" x14ac:dyDescent="0.25">
      <c r="B213" s="7818" t="s">
        <v>4118</v>
      </c>
      <c r="C213" s="6813" t="s">
        <v>3556</v>
      </c>
      <c r="D213" s="7816"/>
      <c r="E213" s="7817"/>
    </row>
    <row r="214" spans="1:8" x14ac:dyDescent="0.25">
      <c r="B214" s="6350"/>
      <c r="C214" s="1108" t="s">
        <v>3559</v>
      </c>
      <c r="D214" s="6814" t="s">
        <v>1594</v>
      </c>
      <c r="E214" s="7819"/>
    </row>
    <row r="215" spans="1:8" x14ac:dyDescent="0.25">
      <c r="B215" s="6733"/>
      <c r="C215" s="1417" t="s">
        <v>3724</v>
      </c>
      <c r="D215" s="1631" t="s">
        <v>3696</v>
      </c>
      <c r="E215" s="1629" t="s">
        <v>2503</v>
      </c>
    </row>
    <row r="216" spans="1:8" ht="15" customHeight="1" x14ac:dyDescent="0.15">
      <c r="A216" s="5609">
        <v>32101592</v>
      </c>
      <c r="B216" s="1694" t="s">
        <v>3780</v>
      </c>
      <c r="C216" s="1695" t="s">
        <v>4567</v>
      </c>
      <c r="D216" s="1532" t="s">
        <v>4568</v>
      </c>
      <c r="E216" s="1696" t="s">
        <v>4569</v>
      </c>
    </row>
    <row r="219" spans="1:8" x14ac:dyDescent="0.25">
      <c r="A219" s="1937" t="s">
        <v>4777</v>
      </c>
    </row>
    <row r="220" spans="1:8" x14ac:dyDescent="0.15">
      <c r="A220" s="5601">
        <v>32101533</v>
      </c>
    </row>
    <row r="221" spans="1:8" x14ac:dyDescent="0.15">
      <c r="A221" s="5818">
        <v>32101538</v>
      </c>
    </row>
    <row r="222" spans="1:8" x14ac:dyDescent="0.15">
      <c r="A222" s="5818">
        <v>32100210</v>
      </c>
    </row>
    <row r="223" spans="1:8" x14ac:dyDescent="0.15">
      <c r="A223" s="5818">
        <v>32101543</v>
      </c>
    </row>
    <row r="224" spans="1:8" x14ac:dyDescent="0.15">
      <c r="A224" s="5818">
        <v>32101544</v>
      </c>
    </row>
    <row r="225" spans="1:3" x14ac:dyDescent="0.15">
      <c r="A225" s="5818">
        <v>32101547</v>
      </c>
    </row>
    <row r="226" spans="1:3" x14ac:dyDescent="0.15">
      <c r="A226" s="5818">
        <v>32101548</v>
      </c>
    </row>
    <row r="227" spans="1:3" x14ac:dyDescent="0.15">
      <c r="A227" s="5818">
        <v>32101549</v>
      </c>
    </row>
    <row r="228" spans="1:3" x14ac:dyDescent="0.15">
      <c r="A228" s="5818">
        <v>32100230</v>
      </c>
    </row>
    <row r="229" spans="1:3" x14ac:dyDescent="0.15">
      <c r="A229" s="5601">
        <v>32101551</v>
      </c>
    </row>
    <row r="230" spans="1:3" x14ac:dyDescent="0.15">
      <c r="A230" s="5601">
        <v>32100240</v>
      </c>
    </row>
    <row r="231" spans="1:3" x14ac:dyDescent="0.15">
      <c r="A231" s="5818">
        <v>32101554</v>
      </c>
    </row>
    <row r="232" spans="1:3" x14ac:dyDescent="0.15">
      <c r="A232" s="5818">
        <v>32101555</v>
      </c>
    </row>
    <row r="233" spans="1:3" x14ac:dyDescent="0.15">
      <c r="A233" s="5818">
        <v>32101562</v>
      </c>
    </row>
    <row r="234" spans="1:3" x14ac:dyDescent="0.15">
      <c r="A234" s="5818">
        <v>32101565</v>
      </c>
    </row>
    <row r="235" spans="1:3" x14ac:dyDescent="0.15">
      <c r="A235" s="5818">
        <v>32101566</v>
      </c>
    </row>
    <row r="236" spans="1:3" hidden="1" x14ac:dyDescent="0.15">
      <c r="A236" s="5818">
        <v>32101573</v>
      </c>
      <c r="B236" s="176">
        <f>SUM(C11:C15,C19:C23,C28:C29,C35:C89,D95:D103,C109:C111,C116:C117,C123:C125,D130:D139,D141:D150,D156:D163,C168:C170,C175:C178,F175:F178,C182:C183,F182:F183,C187:C189,G187:G189,D193:D196,I193:I196,C200:C202,D200:D202,C206:C207,C211,C216:E216)</f>
        <v>0</v>
      </c>
      <c r="C236" s="177" t="e">
        <f>SUM(CL11:CS207)</f>
        <v>#VALUE!</v>
      </c>
    </row>
    <row r="237" spans="1:3" x14ac:dyDescent="0.15">
      <c r="A237" s="5818">
        <v>32101574</v>
      </c>
    </row>
    <row r="238" spans="1:3" x14ac:dyDescent="0.15">
      <c r="A238" s="5818">
        <v>32101575</v>
      </c>
    </row>
    <row r="239" spans="1:3" x14ac:dyDescent="0.15">
      <c r="A239" s="5818">
        <v>32101576</v>
      </c>
    </row>
    <row r="240" spans="1:3" x14ac:dyDescent="0.15">
      <c r="A240" s="5818">
        <v>32101577</v>
      </c>
    </row>
    <row r="241" spans="1:1" x14ac:dyDescent="0.15">
      <c r="A241" s="5818">
        <v>32101578</v>
      </c>
    </row>
    <row r="242" spans="1:1" x14ac:dyDescent="0.15">
      <c r="A242" s="5818">
        <v>32101579</v>
      </c>
    </row>
    <row r="243" spans="1:1" x14ac:dyDescent="0.15">
      <c r="A243" s="5818">
        <v>32101580</v>
      </c>
    </row>
    <row r="244" spans="1:1" x14ac:dyDescent="0.15">
      <c r="A244" s="5818">
        <v>32101582</v>
      </c>
    </row>
    <row r="245" spans="1:1" x14ac:dyDescent="0.25">
      <c r="A245" s="1937" t="s">
        <v>4566</v>
      </c>
    </row>
    <row r="246" spans="1:1" x14ac:dyDescent="0.15">
      <c r="A246" s="5605">
        <v>32111000</v>
      </c>
    </row>
    <row r="247" spans="1:1" x14ac:dyDescent="0.15">
      <c r="A247" s="5605">
        <v>32111001</v>
      </c>
    </row>
    <row r="248" spans="1:1" x14ac:dyDescent="0.15">
      <c r="A248" s="5605">
        <v>32111002</v>
      </c>
    </row>
    <row r="249" spans="1:1" x14ac:dyDescent="0.15">
      <c r="A249" s="5605">
        <v>32111003</v>
      </c>
    </row>
    <row r="250" spans="1:1" x14ac:dyDescent="0.15">
      <c r="A250" s="5605">
        <v>32111004</v>
      </c>
    </row>
    <row r="251" spans="1:1" x14ac:dyDescent="0.15">
      <c r="A251" s="5605">
        <v>32111005</v>
      </c>
    </row>
    <row r="252" spans="1:1" x14ac:dyDescent="0.15">
      <c r="A252" s="5605">
        <v>32111006</v>
      </c>
    </row>
    <row r="253" spans="1:1" x14ac:dyDescent="0.15">
      <c r="A253" s="5605">
        <v>32111007</v>
      </c>
    </row>
    <row r="254" spans="1:1" x14ac:dyDescent="0.15">
      <c r="A254" s="5605">
        <v>32111008</v>
      </c>
    </row>
    <row r="255" spans="1:1" x14ac:dyDescent="0.15">
      <c r="A255" s="5605">
        <v>32111009</v>
      </c>
    </row>
    <row r="256" spans="1:1" x14ac:dyDescent="0.15">
      <c r="A256" s="5605">
        <v>32111010</v>
      </c>
    </row>
    <row r="257" spans="1:1" x14ac:dyDescent="0.15">
      <c r="A257" s="5605">
        <v>32111011</v>
      </c>
    </row>
    <row r="258" spans="1:1" x14ac:dyDescent="0.15">
      <c r="A258" s="5605">
        <v>32111012</v>
      </c>
    </row>
    <row r="259" spans="1:1" x14ac:dyDescent="0.15">
      <c r="A259" s="5605">
        <v>32111013</v>
      </c>
    </row>
    <row r="260" spans="1:1" x14ac:dyDescent="0.15">
      <c r="A260" s="5605">
        <v>32111014</v>
      </c>
    </row>
    <row r="261" spans="1:1" x14ac:dyDescent="0.15">
      <c r="A261" s="5605">
        <v>32111015</v>
      </c>
    </row>
    <row r="262" spans="1:1" x14ac:dyDescent="0.15">
      <c r="A262" s="5605">
        <v>32111016</v>
      </c>
    </row>
    <row r="263" spans="1:1" x14ac:dyDescent="0.15">
      <c r="A263" s="5605">
        <v>32111017</v>
      </c>
    </row>
    <row r="264" spans="1:1" x14ac:dyDescent="0.15">
      <c r="A264" s="5605">
        <v>32111018</v>
      </c>
    </row>
    <row r="265" spans="1:1" x14ac:dyDescent="0.15">
      <c r="A265" s="5605">
        <v>32111019</v>
      </c>
    </row>
    <row r="266" spans="1:1" x14ac:dyDescent="0.15">
      <c r="A266" s="5605">
        <v>32111020</v>
      </c>
    </row>
    <row r="267" spans="1:1" x14ac:dyDescent="0.15">
      <c r="A267" s="5605">
        <v>32111021</v>
      </c>
    </row>
    <row r="268" spans="1:1" x14ac:dyDescent="0.15">
      <c r="A268" s="5605">
        <v>32111022</v>
      </c>
    </row>
  </sheetData>
  <mergeCells count="217">
    <mergeCell ref="B6:T6"/>
    <mergeCell ref="B8:D8"/>
    <mergeCell ref="B9:B10"/>
    <mergeCell ref="C9:C10"/>
    <mergeCell ref="D9:T9"/>
    <mergeCell ref="U9:V9"/>
    <mergeCell ref="B17:E17"/>
    <mergeCell ref="B25:M25"/>
    <mergeCell ref="B26:B27"/>
    <mergeCell ref="C26:C27"/>
    <mergeCell ref="D26:T26"/>
    <mergeCell ref="W9:W10"/>
    <mergeCell ref="X9:X10"/>
    <mergeCell ref="Y9:Y10"/>
    <mergeCell ref="Z9:Z10"/>
    <mergeCell ref="AA9:AA10"/>
    <mergeCell ref="AN32:AN34"/>
    <mergeCell ref="AO32:AO34"/>
    <mergeCell ref="AP32:AP34"/>
    <mergeCell ref="AQ32:AQ34"/>
    <mergeCell ref="W32:X33"/>
    <mergeCell ref="Y32:Z33"/>
    <mergeCell ref="AA32:AJ32"/>
    <mergeCell ref="AK32:AM33"/>
    <mergeCell ref="AR32:AR34"/>
    <mergeCell ref="U26:V26"/>
    <mergeCell ref="W26:W27"/>
    <mergeCell ref="X26:X27"/>
    <mergeCell ref="B30:M30"/>
    <mergeCell ref="Z121:Z122"/>
    <mergeCell ref="AA121:AA122"/>
    <mergeCell ref="AB121:AB122"/>
    <mergeCell ref="V107:V108"/>
    <mergeCell ref="W107:W108"/>
    <mergeCell ref="B119:C119"/>
    <mergeCell ref="B120:C120"/>
    <mergeCell ref="B121:B122"/>
    <mergeCell ref="C121:C122"/>
    <mergeCell ref="D121:T121"/>
    <mergeCell ref="U121:V121"/>
    <mergeCell ref="W121:W122"/>
    <mergeCell ref="X121:X122"/>
    <mergeCell ref="Y121:Y122"/>
    <mergeCell ref="Y26:Z26"/>
    <mergeCell ref="B31:M31"/>
    <mergeCell ref="B32:B34"/>
    <mergeCell ref="C32:C34"/>
    <mergeCell ref="D32:V32"/>
    <mergeCell ref="AU92:AU94"/>
    <mergeCell ref="AV92:AV94"/>
    <mergeCell ref="Y93:Z93"/>
    <mergeCell ref="AA93:AB93"/>
    <mergeCell ref="AC93:AD93"/>
    <mergeCell ref="AE93:AF93"/>
    <mergeCell ref="AG93:AH93"/>
    <mergeCell ref="AI93:AJ93"/>
    <mergeCell ref="AK93:AL93"/>
    <mergeCell ref="AM93:AN93"/>
    <mergeCell ref="B127:B129"/>
    <mergeCell ref="C127:C129"/>
    <mergeCell ref="G127:AN127"/>
    <mergeCell ref="AO127:AO129"/>
    <mergeCell ref="AQ127:AQ129"/>
    <mergeCell ref="AR127:AR129"/>
    <mergeCell ref="AS127:AS129"/>
    <mergeCell ref="AT127:AT129"/>
    <mergeCell ref="B126:C126"/>
    <mergeCell ref="D127:F128"/>
    <mergeCell ref="AP127:AP129"/>
    <mergeCell ref="G128:H128"/>
    <mergeCell ref="I128:J128"/>
    <mergeCell ref="K128:L128"/>
    <mergeCell ref="M128:N128"/>
    <mergeCell ref="O128:P128"/>
    <mergeCell ref="Q128:R128"/>
    <mergeCell ref="S128:T128"/>
    <mergeCell ref="U128:V128"/>
    <mergeCell ref="W128:X128"/>
    <mergeCell ref="Y128:Z128"/>
    <mergeCell ref="AA128:AB128"/>
    <mergeCell ref="AC128:AD128"/>
    <mergeCell ref="AE128:AF128"/>
    <mergeCell ref="AJ165:AJ167"/>
    <mergeCell ref="V166:W166"/>
    <mergeCell ref="X166:Y166"/>
    <mergeCell ref="Z166:AA166"/>
    <mergeCell ref="AB166:AC166"/>
    <mergeCell ref="AD166:AE166"/>
    <mergeCell ref="AF166:AG166"/>
    <mergeCell ref="B156:B159"/>
    <mergeCell ref="B160:B163"/>
    <mergeCell ref="AH165:AH167"/>
    <mergeCell ref="AI165:AI167"/>
    <mergeCell ref="F166:G166"/>
    <mergeCell ref="H166:I166"/>
    <mergeCell ref="J166:K166"/>
    <mergeCell ref="L166:M166"/>
    <mergeCell ref="N166:O166"/>
    <mergeCell ref="P166:Q166"/>
    <mergeCell ref="R166:S166"/>
    <mergeCell ref="T166:U166"/>
    <mergeCell ref="B190:D190"/>
    <mergeCell ref="B191:C192"/>
    <mergeCell ref="D191:D192"/>
    <mergeCell ref="E191:K191"/>
    <mergeCell ref="L191:O191"/>
    <mergeCell ref="B193:B196"/>
    <mergeCell ref="B165:B167"/>
    <mergeCell ref="C165:E166"/>
    <mergeCell ref="F165:AG165"/>
    <mergeCell ref="B173:B174"/>
    <mergeCell ref="C173:C174"/>
    <mergeCell ref="D173:E173"/>
    <mergeCell ref="F173:F174"/>
    <mergeCell ref="G173:U173"/>
    <mergeCell ref="B180:B181"/>
    <mergeCell ref="C180:E180"/>
    <mergeCell ref="F180:H180"/>
    <mergeCell ref="B185:B186"/>
    <mergeCell ref="C185:C186"/>
    <mergeCell ref="D185:F185"/>
    <mergeCell ref="G185:G186"/>
    <mergeCell ref="H185:M185"/>
    <mergeCell ref="AS32:AS34"/>
    <mergeCell ref="AT32:AT34"/>
    <mergeCell ref="D33:T33"/>
    <mergeCell ref="U33:V33"/>
    <mergeCell ref="AA33:AE33"/>
    <mergeCell ref="AF33:AJ33"/>
    <mergeCell ref="B91:F91"/>
    <mergeCell ref="B92:C94"/>
    <mergeCell ref="D92:F93"/>
    <mergeCell ref="G92:AN92"/>
    <mergeCell ref="AO92:AP93"/>
    <mergeCell ref="AQ92:AQ94"/>
    <mergeCell ref="AR92:AR94"/>
    <mergeCell ref="AS92:AS94"/>
    <mergeCell ref="AT92:AT94"/>
    <mergeCell ref="G93:H93"/>
    <mergeCell ref="I93:J93"/>
    <mergeCell ref="K93:L93"/>
    <mergeCell ref="M93:N93"/>
    <mergeCell ref="O93:P93"/>
    <mergeCell ref="Q93:R93"/>
    <mergeCell ref="S93:T93"/>
    <mergeCell ref="U93:V93"/>
    <mergeCell ref="W93:X93"/>
    <mergeCell ref="B104:C104"/>
    <mergeCell ref="B106:E106"/>
    <mergeCell ref="B107:B108"/>
    <mergeCell ref="C107:E107"/>
    <mergeCell ref="F107:Q107"/>
    <mergeCell ref="R107:R108"/>
    <mergeCell ref="S107:S108"/>
    <mergeCell ref="T107:T108"/>
    <mergeCell ref="U107:U108"/>
    <mergeCell ref="X107:X108"/>
    <mergeCell ref="B113:E113"/>
    <mergeCell ref="B114:B115"/>
    <mergeCell ref="C114:E114"/>
    <mergeCell ref="F114:M114"/>
    <mergeCell ref="N114:N115"/>
    <mergeCell ref="O114:O115"/>
    <mergeCell ref="P114:P115"/>
    <mergeCell ref="Q114:Q115"/>
    <mergeCell ref="R114:R115"/>
    <mergeCell ref="S114:S115"/>
    <mergeCell ref="T114:T115"/>
    <mergeCell ref="U114:U115"/>
    <mergeCell ref="AG128:AH128"/>
    <mergeCell ref="AI128:AJ128"/>
    <mergeCell ref="AK128:AL128"/>
    <mergeCell ref="AM128:AN128"/>
    <mergeCell ref="B130:B140"/>
    <mergeCell ref="B141:B151"/>
    <mergeCell ref="B153:B155"/>
    <mergeCell ref="C153:C155"/>
    <mergeCell ref="D153:F154"/>
    <mergeCell ref="G153:AH153"/>
    <mergeCell ref="AI153:AI155"/>
    <mergeCell ref="AJ153:AJ155"/>
    <mergeCell ref="G154:H154"/>
    <mergeCell ref="I154:J154"/>
    <mergeCell ref="K154:L154"/>
    <mergeCell ref="M154:N154"/>
    <mergeCell ref="O154:P154"/>
    <mergeCell ref="Q154:R154"/>
    <mergeCell ref="S154:T154"/>
    <mergeCell ref="U154:V154"/>
    <mergeCell ref="W154:X154"/>
    <mergeCell ref="Y154:Z154"/>
    <mergeCell ref="AA154:AB154"/>
    <mergeCell ref="AC154:AD154"/>
    <mergeCell ref="AE154:AF154"/>
    <mergeCell ref="AG154:AH154"/>
    <mergeCell ref="B209:B210"/>
    <mergeCell ref="C209:C210"/>
    <mergeCell ref="D209:H209"/>
    <mergeCell ref="B213:B215"/>
    <mergeCell ref="C213:E213"/>
    <mergeCell ref="D214:E214"/>
    <mergeCell ref="G198:T198"/>
    <mergeCell ref="U198:U199"/>
    <mergeCell ref="V198:V199"/>
    <mergeCell ref="B204:B205"/>
    <mergeCell ref="C204:C205"/>
    <mergeCell ref="D204:E204"/>
    <mergeCell ref="F204:K204"/>
    <mergeCell ref="L204:L205"/>
    <mergeCell ref="M204:M205"/>
    <mergeCell ref="B198:B199"/>
    <mergeCell ref="C198:C199"/>
    <mergeCell ref="D198:D199"/>
    <mergeCell ref="E198:F198"/>
    <mergeCell ref="B212:E212"/>
    <mergeCell ref="B208:H208"/>
    <mergeCell ref="B203:K203"/>
  </mergeCells>
  <dataValidations count="6">
    <dataValidation type="whole" operator="greaterThanOrEqual" allowBlank="1" showInputMessage="1" showErrorMessage="1" sqref="G130:AT139 D11:AA15 G95:AV103 D109:X111 D116:U117 G141:AT150 G156:AJ163 D123:AB125 F168:AJ171 D175:E178 G175:U178 D182:E183 G182:H183 D187:F189 H187:M189 E200:V202 J193:O196 C200:C202 D206:M207 D211:H211 E193:H196 C216:E216 AB35:AE89 AG35:AT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D35:Z89 D28:Z29" xr:uid="{5C51F41E-8A91-490C-9613-FF6EACC36F58}">
      <formula1>0</formula1>
    </dataValidation>
    <dataValidation allowBlank="1" prompt="Valor no Permitido" sqref="CD28:CE29 CB27:CC29 CD27 CL27:CN27 CF27:CK29" xr:uid="{D1CFEEF2-B84E-4AF4-AA38-F3898B3D2E0D}"/>
    <dataValidation type="whole" allowBlank="1" showInputMessage="1" showErrorMessage="1" sqref="D19:F23" xr:uid="{1049970E-B083-4429-A625-EFB5D2470825}">
      <formula1>0</formula1>
      <formula2>9.99999999999999E+37</formula2>
    </dataValidation>
    <dataValidation type="whole" allowBlank="1" showInputMessage="1" showErrorMessage="1" sqref="E96" xr:uid="{8C09382A-8FCF-4479-8599-2D924C17F414}">
      <formula1>0</formula1>
      <formula2>9.99999999999999E+33</formula2>
    </dataValidation>
    <dataValidation type="whole" allowBlank="1" showInputMessage="1" showErrorMessage="1" sqref="C171:E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P981"/>
  <sheetViews>
    <sheetView showGridLines="0" zoomScaleNormal="100" workbookViewId="0"/>
  </sheetViews>
  <sheetFormatPr baseColWidth="10" defaultColWidth="14.42578125" defaultRowHeight="15" x14ac:dyDescent="0.25"/>
  <cols>
    <col min="1" max="1" width="22.42578125" customWidth="1"/>
    <col min="2" max="2" width="51.28515625" customWidth="1"/>
    <col min="3" max="3" width="32.85546875" customWidth="1"/>
    <col min="4" max="4" width="46.5703125" customWidth="1"/>
    <col min="5" max="5" width="16.7109375" customWidth="1"/>
    <col min="6" max="6" width="14.42578125" customWidth="1"/>
    <col min="7" max="41" width="12.7109375" customWidth="1"/>
    <col min="42" max="42" width="14" customWidth="1"/>
    <col min="43" max="45" width="12.140625" customWidth="1"/>
    <col min="46" max="46" width="12.42578125" customWidth="1"/>
    <col min="47" max="47" width="10.7109375" customWidth="1"/>
    <col min="48" max="48" width="14.5703125" customWidth="1"/>
    <col min="49" max="49" width="10.7109375" customWidth="1"/>
    <col min="50" max="50" width="14.140625" customWidth="1"/>
    <col min="51" max="51" width="10.7109375" customWidth="1"/>
    <col min="52" max="52" width="11.42578125" customWidth="1"/>
    <col min="53" max="55" width="10.7109375" customWidth="1"/>
    <col min="56" max="56" width="14.28515625" customWidth="1"/>
    <col min="57" max="58" width="14.140625" customWidth="1"/>
    <col min="78" max="79" width="14.42578125" hidden="1" customWidth="1"/>
    <col min="80" max="80" width="20.28515625" hidden="1" customWidth="1"/>
    <col min="81" max="94" width="14.42578125" hidden="1" customWidth="1"/>
    <col min="95" max="96" width="14.42578125" customWidth="1"/>
  </cols>
  <sheetData>
    <row r="1" spans="1:92" x14ac:dyDescent="0.25">
      <c r="B1" s="50" t="s">
        <v>23</v>
      </c>
    </row>
    <row r="2" spans="1:92" x14ac:dyDescent="0.25">
      <c r="B2" s="50" t="str">
        <f>CONCATENATE("COMUNA: ",NOMBRE!B2, " (",NOMBRE!C2,NOMBRE!D2,NOMBRE!E2,NOMBRE!F2,NOMBRE!G2,")")</f>
        <v>COMUNA:  ()</v>
      </c>
    </row>
    <row r="3" spans="1:92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92" x14ac:dyDescent="0.25">
      <c r="B4" s="50" t="str">
        <f>CONCATENATE("MES: ",NOMBRE!B6, " (",NOMBRE!C6,NOMBRE!D6,")")</f>
        <v>MES:  ()</v>
      </c>
    </row>
    <row r="5" spans="1:92" x14ac:dyDescent="0.25">
      <c r="B5" s="87" t="str">
        <f>CONCATENATE("AÑO: ",NOMBRE!B7)</f>
        <v>AÑO: 2025</v>
      </c>
    </row>
    <row r="6" spans="1:92" s="185" customFormat="1" ht="18" customHeight="1" x14ac:dyDescent="0.2">
      <c r="B6" s="6087" t="s">
        <v>4119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  <c r="X6" s="6087"/>
      <c r="Y6" s="6087"/>
      <c r="Z6" s="6087"/>
      <c r="AA6" s="6087"/>
      <c r="AB6" s="6087"/>
      <c r="AC6" s="6087"/>
      <c r="AD6" s="1741"/>
      <c r="AE6" s="1741"/>
      <c r="AF6" s="1741"/>
      <c r="AG6" s="1741"/>
      <c r="AH6" s="1741"/>
      <c r="AI6" s="1741"/>
      <c r="AJ6" s="1741"/>
      <c r="AK6" s="1741"/>
      <c r="AL6" s="1741"/>
      <c r="AM6" s="1741"/>
      <c r="AN6" s="1741"/>
      <c r="AO6" s="1741"/>
      <c r="AP6" s="1741"/>
      <c r="AQ6" s="1741"/>
      <c r="AR6" s="1741"/>
      <c r="AS6" s="1741"/>
    </row>
    <row r="7" spans="1:92" x14ac:dyDescent="0.25">
      <c r="B7" s="2950"/>
      <c r="F7" s="183"/>
      <c r="G7" s="183"/>
      <c r="H7" s="183"/>
      <c r="I7" s="183"/>
      <c r="J7" s="183"/>
      <c r="K7" s="183"/>
      <c r="L7" s="183"/>
      <c r="M7" s="183"/>
      <c r="N7" s="183"/>
    </row>
    <row r="8" spans="1:92" ht="17.100000000000001" customHeight="1" x14ac:dyDescent="0.25">
      <c r="B8" s="7903" t="s">
        <v>4120</v>
      </c>
      <c r="C8" s="7903"/>
      <c r="D8" s="7903"/>
      <c r="E8" s="53"/>
      <c r="F8" s="53"/>
      <c r="G8" s="53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6"/>
      <c r="AW8" s="186"/>
    </row>
    <row r="9" spans="1:92" ht="15" customHeight="1" x14ac:dyDescent="0.25">
      <c r="B9" s="7904" t="s">
        <v>4121</v>
      </c>
      <c r="C9" s="7905"/>
      <c r="D9" s="7906"/>
      <c r="E9" s="6847" t="s">
        <v>77</v>
      </c>
      <c r="F9" s="6848"/>
      <c r="G9" s="6843"/>
      <c r="H9" s="7889" t="s">
        <v>29</v>
      </c>
      <c r="I9" s="7745"/>
      <c r="J9" s="7745"/>
      <c r="K9" s="7745"/>
      <c r="L9" s="7745"/>
      <c r="M9" s="7745"/>
      <c r="N9" s="7745"/>
      <c r="O9" s="7745"/>
      <c r="P9" s="7745"/>
      <c r="Q9" s="7745"/>
      <c r="R9" s="7745"/>
      <c r="S9" s="7745"/>
      <c r="T9" s="7745"/>
      <c r="U9" s="7745"/>
      <c r="V9" s="7745"/>
      <c r="W9" s="7745"/>
      <c r="X9" s="7745"/>
      <c r="Y9" s="7745"/>
      <c r="Z9" s="7745"/>
      <c r="AA9" s="7745"/>
      <c r="AB9" s="7745"/>
      <c r="AC9" s="7745"/>
      <c r="AD9" s="7745"/>
      <c r="AE9" s="7745"/>
      <c r="AF9" s="7745"/>
      <c r="AG9" s="7745"/>
      <c r="AH9" s="7745"/>
      <c r="AI9" s="7745"/>
      <c r="AJ9" s="7745"/>
      <c r="AK9" s="7745"/>
      <c r="AL9" s="7745"/>
      <c r="AM9" s="7745"/>
      <c r="AN9" s="7745"/>
      <c r="AO9" s="7910"/>
      <c r="AP9" s="7760" t="s">
        <v>322</v>
      </c>
      <c r="AQ9" s="6786" t="s">
        <v>37</v>
      </c>
      <c r="AR9" s="7760" t="s">
        <v>34</v>
      </c>
      <c r="AS9" s="6786" t="s">
        <v>35</v>
      </c>
      <c r="CB9" s="53" t="s">
        <v>322</v>
      </c>
      <c r="CC9" s="53" t="s">
        <v>37</v>
      </c>
      <c r="CD9" s="53" t="s">
        <v>4122</v>
      </c>
      <c r="CE9" s="1719" t="s">
        <v>34</v>
      </c>
      <c r="CF9" s="1719"/>
      <c r="CK9" s="53" t="s">
        <v>322</v>
      </c>
      <c r="CL9" s="6045" t="s">
        <v>37</v>
      </c>
      <c r="CM9" s="7902" t="s">
        <v>34</v>
      </c>
      <c r="CN9" s="7902" t="s">
        <v>35</v>
      </c>
    </row>
    <row r="10" spans="1:92" ht="15" customHeight="1" x14ac:dyDescent="0.25">
      <c r="B10" s="7907"/>
      <c r="C10" s="7908"/>
      <c r="D10" s="7909"/>
      <c r="E10" s="6846"/>
      <c r="F10" s="6849"/>
      <c r="G10" s="6798"/>
      <c r="H10" s="7901" t="s">
        <v>1334</v>
      </c>
      <c r="I10" s="7819"/>
      <c r="J10" s="6814" t="s">
        <v>1335</v>
      </c>
      <c r="K10" s="7819"/>
      <c r="L10" s="6814" t="s">
        <v>4123</v>
      </c>
      <c r="M10" s="7819"/>
      <c r="N10" s="6814" t="s">
        <v>44</v>
      </c>
      <c r="O10" s="7819"/>
      <c r="P10" s="6814" t="s">
        <v>45</v>
      </c>
      <c r="Q10" s="7819"/>
      <c r="R10" s="6814" t="s">
        <v>974</v>
      </c>
      <c r="S10" s="7819"/>
      <c r="T10" s="6814" t="s">
        <v>629</v>
      </c>
      <c r="U10" s="7819"/>
      <c r="V10" s="6814" t="s">
        <v>48</v>
      </c>
      <c r="W10" s="7819"/>
      <c r="X10" s="6814" t="s">
        <v>49</v>
      </c>
      <c r="Y10" s="7819"/>
      <c r="Z10" s="6814" t="s">
        <v>975</v>
      </c>
      <c r="AA10" s="7819"/>
      <c r="AB10" s="6814" t="s">
        <v>51</v>
      </c>
      <c r="AC10" s="7819"/>
      <c r="AD10" s="6814" t="s">
        <v>52</v>
      </c>
      <c r="AE10" s="7819"/>
      <c r="AF10" s="6814" t="s">
        <v>53</v>
      </c>
      <c r="AG10" s="7819"/>
      <c r="AH10" s="6814" t="s">
        <v>54</v>
      </c>
      <c r="AI10" s="7819"/>
      <c r="AJ10" s="6814" t="s">
        <v>55</v>
      </c>
      <c r="AK10" s="7819"/>
      <c r="AL10" s="6814" t="s">
        <v>56</v>
      </c>
      <c r="AM10" s="7819"/>
      <c r="AN10" s="6813" t="s">
        <v>1403</v>
      </c>
      <c r="AO10" s="7910"/>
      <c r="AP10" s="7118"/>
      <c r="AQ10" s="6027"/>
      <c r="AR10" s="7118"/>
      <c r="AS10" s="6027"/>
      <c r="CB10" s="53"/>
      <c r="CC10" s="53"/>
      <c r="CD10" s="53"/>
      <c r="CE10" s="1719"/>
      <c r="CF10" s="1719"/>
      <c r="CK10" s="53"/>
      <c r="CL10" s="6045"/>
      <c r="CM10" s="7902"/>
      <c r="CN10" s="7902"/>
    </row>
    <row r="11" spans="1:92" x14ac:dyDescent="0.25">
      <c r="B11" s="7907"/>
      <c r="C11" s="7908"/>
      <c r="D11" s="7909"/>
      <c r="E11" s="97" t="s">
        <v>79</v>
      </c>
      <c r="F11" s="5185" t="s">
        <v>58</v>
      </c>
      <c r="G11" s="21" t="s">
        <v>59</v>
      </c>
      <c r="H11" s="5186" t="s">
        <v>58</v>
      </c>
      <c r="I11" s="1629" t="s">
        <v>59</v>
      </c>
      <c r="J11" s="1631" t="s">
        <v>58</v>
      </c>
      <c r="K11" s="1629" t="s">
        <v>59</v>
      </c>
      <c r="L11" s="1631" t="s">
        <v>58</v>
      </c>
      <c r="M11" s="1629" t="s">
        <v>59</v>
      </c>
      <c r="N11" s="1631" t="s">
        <v>58</v>
      </c>
      <c r="O11" s="1629" t="s">
        <v>59</v>
      </c>
      <c r="P11" s="1631" t="s">
        <v>58</v>
      </c>
      <c r="Q11" s="1629" t="s">
        <v>59</v>
      </c>
      <c r="R11" s="1631" t="s">
        <v>58</v>
      </c>
      <c r="S11" s="1629" t="s">
        <v>59</v>
      </c>
      <c r="T11" s="1631" t="s">
        <v>58</v>
      </c>
      <c r="U11" s="1629" t="s">
        <v>59</v>
      </c>
      <c r="V11" s="1631" t="s">
        <v>58</v>
      </c>
      <c r="W11" s="1629" t="s">
        <v>59</v>
      </c>
      <c r="X11" s="1631" t="s">
        <v>58</v>
      </c>
      <c r="Y11" s="1629" t="s">
        <v>59</v>
      </c>
      <c r="Z11" s="1631" t="s">
        <v>58</v>
      </c>
      <c r="AA11" s="1629" t="s">
        <v>59</v>
      </c>
      <c r="AB11" s="1631" t="s">
        <v>58</v>
      </c>
      <c r="AC11" s="1629" t="s">
        <v>59</v>
      </c>
      <c r="AD11" s="1631" t="s">
        <v>58</v>
      </c>
      <c r="AE11" s="1629" t="s">
        <v>59</v>
      </c>
      <c r="AF11" s="1631" t="s">
        <v>58</v>
      </c>
      <c r="AG11" s="1629" t="s">
        <v>59</v>
      </c>
      <c r="AH11" s="1631" t="s">
        <v>58</v>
      </c>
      <c r="AI11" s="1629" t="s">
        <v>59</v>
      </c>
      <c r="AJ11" s="1631" t="s">
        <v>58</v>
      </c>
      <c r="AK11" s="1629" t="s">
        <v>59</v>
      </c>
      <c r="AL11" s="1631" t="s">
        <v>58</v>
      </c>
      <c r="AM11" s="1629" t="s">
        <v>59</v>
      </c>
      <c r="AN11" s="1631" t="s">
        <v>58</v>
      </c>
      <c r="AO11" s="5187" t="s">
        <v>59</v>
      </c>
      <c r="AP11" s="7675"/>
      <c r="AQ11" s="6955" t="s">
        <v>59</v>
      </c>
      <c r="AR11" s="7675"/>
      <c r="AS11" s="6955"/>
      <c r="CB11" s="53"/>
      <c r="CC11" s="53" t="s">
        <v>59</v>
      </c>
      <c r="CD11" s="53" t="s">
        <v>59</v>
      </c>
      <c r="CE11" s="1719"/>
      <c r="CF11" s="1719"/>
      <c r="CK11" s="53"/>
      <c r="CL11" s="6045" t="s">
        <v>59</v>
      </c>
      <c r="CM11" s="7902"/>
      <c r="CN11" s="7902"/>
    </row>
    <row r="12" spans="1:92" ht="15" customHeight="1" x14ac:dyDescent="0.25">
      <c r="A12" s="5617">
        <v>33000000</v>
      </c>
      <c r="B12" s="7911" t="s">
        <v>4124</v>
      </c>
      <c r="C12" s="7914" t="s">
        <v>4125</v>
      </c>
      <c r="D12" s="5188" t="s">
        <v>4126</v>
      </c>
      <c r="E12" s="5189" t="s">
        <v>4567</v>
      </c>
      <c r="F12" s="5190" t="s">
        <v>4568</v>
      </c>
      <c r="G12" s="5191" t="s">
        <v>4569</v>
      </c>
      <c r="H12" s="3147" t="s">
        <v>4570</v>
      </c>
      <c r="I12" s="5192" t="s">
        <v>4571</v>
      </c>
      <c r="J12" s="3147" t="s">
        <v>4572</v>
      </c>
      <c r="K12" s="5192" t="s">
        <v>4573</v>
      </c>
      <c r="L12" s="3147" t="s">
        <v>4574</v>
      </c>
      <c r="M12" s="5192" t="s">
        <v>4575</v>
      </c>
      <c r="N12" s="3147" t="s">
        <v>4576</v>
      </c>
      <c r="O12" s="5192" t="s">
        <v>4577</v>
      </c>
      <c r="P12" s="5193" t="s">
        <v>4578</v>
      </c>
      <c r="Q12" s="5192" t="s">
        <v>4579</v>
      </c>
      <c r="R12" s="5194" t="s">
        <v>4580</v>
      </c>
      <c r="S12" s="5192" t="s">
        <v>4581</v>
      </c>
      <c r="T12" s="5194" t="s">
        <v>4582</v>
      </c>
      <c r="U12" s="5192" t="s">
        <v>4583</v>
      </c>
      <c r="V12" s="5194" t="s">
        <v>4584</v>
      </c>
      <c r="W12" s="5192" t="s">
        <v>4585</v>
      </c>
      <c r="X12" s="3147" t="s">
        <v>4586</v>
      </c>
      <c r="Y12" s="5192" t="s">
        <v>4587</v>
      </c>
      <c r="Z12" s="3147" t="s">
        <v>4588</v>
      </c>
      <c r="AA12" s="5192" t="s">
        <v>4589</v>
      </c>
      <c r="AB12" s="3147" t="s">
        <v>4590</v>
      </c>
      <c r="AC12" s="5192" t="s">
        <v>4591</v>
      </c>
      <c r="AD12" s="3147" t="s">
        <v>4592</v>
      </c>
      <c r="AE12" s="5192" t="s">
        <v>4593</v>
      </c>
      <c r="AF12" s="3147" t="s">
        <v>4594</v>
      </c>
      <c r="AG12" s="5192" t="s">
        <v>4595</v>
      </c>
      <c r="AH12" s="3147" t="s">
        <v>4596</v>
      </c>
      <c r="AI12" s="5192" t="s">
        <v>4597</v>
      </c>
      <c r="AJ12" s="3147" t="s">
        <v>4598</v>
      </c>
      <c r="AK12" s="5192" t="s">
        <v>4599</v>
      </c>
      <c r="AL12" s="3147" t="s">
        <v>4600</v>
      </c>
      <c r="AM12" s="5192" t="s">
        <v>4601</v>
      </c>
      <c r="AN12" s="3147" t="s">
        <v>4602</v>
      </c>
      <c r="AO12" s="5195" t="s">
        <v>4603</v>
      </c>
      <c r="AP12" s="5196" t="s">
        <v>4604</v>
      </c>
      <c r="AQ12" s="5192" t="s">
        <v>4605</v>
      </c>
      <c r="AR12" s="5196" t="s">
        <v>4606</v>
      </c>
      <c r="AS12" s="5192" t="s">
        <v>4934</v>
      </c>
      <c r="AT12" t="str">
        <f t="shared" ref="AT12:AT34" si="0">CB12&amp;CC12&amp;CD12&amp;CE12&amp;CF12</f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2" s="1865" t="str">
        <f>IF(AND($E12&lt;&gt;0,AP12=""),"* No olvide ingresar la variable "&amp;AP$9&amp;""&amp;". Digite CERO si no tiene.  ",IF(AP12&gt;$E12,"* La variable "&amp;AP$9&amp;""&amp;" no debe ser mayor al TotalAmbos Sexos. ",""))</f>
        <v xml:space="preserve">* La variable Pueblos originarios no debe ser mayor al TotalAmbos Sexos. </v>
      </c>
      <c r="CC12" s="1865" t="str">
        <f>IF(AND($E12&lt;&gt;0,AQ12=""),"* No olvide ingresar la variable "&amp;AQ$9&amp;""&amp;". Digite CERO si no tiene.  ",IF(AQ12&gt;$E12,"* La variable "&amp;AQ$9&amp;""&amp;" no debe ser mayor al Total Ambos Sexos. ",""))</f>
        <v xml:space="preserve">* La variable Migrantes no debe ser mayor al Total Ambos Sexos. </v>
      </c>
      <c r="CD12" s="1865" t="str">
        <f>IF(AND($E12&lt;&gt;0,AR12=""),"* No olvide ingresar la variable "&amp;AR$9&amp;""&amp;". Digite CERO si no tiene.  ",IF(AR12&gt;$E12,"* La variable "&amp;AR$9&amp;""&amp;" no debe ser mayor al Total Ambos Sexos. ",""))</f>
        <v xml:space="preserve">* La variable Niños, Niñas, Adolescentes y Jóvenes SENAME no debe ser mayor al Total Ambos Sexos. </v>
      </c>
      <c r="CE12" s="1865" t="str">
        <f>IF(AND($E12&lt;&gt;0,AS12=""),"* No olvide ingresar la variable "&amp;AS$9&amp;""&amp;". Digite CERO si no tiene.  ",IF(AS12&gt;$E12,"* La variable "&amp;AS$9&amp;""&amp;" no debe ser mayor al Total Ambos Sexos. ",""))</f>
        <v xml:space="preserve">* La variable Niños, Niñas, Adolescentes y Jóvenes Mejor Niñez no debe ser mayor al Total Ambos Sexos. </v>
      </c>
      <c r="CK12" s="2948">
        <f>IF(AND($E12&lt;&gt;0,AP12=""),1,IF(AP12&gt;$E12,1,0))</f>
        <v>1</v>
      </c>
      <c r="CL12" s="2948">
        <f t="shared" ref="CL12:CM12" si="1">IF(AND($E12&lt;&gt;0,AQ12=""),1,IF(AQ12&gt;$E12,1,0))</f>
        <v>1</v>
      </c>
      <c r="CM12" s="2948">
        <f t="shared" si="1"/>
        <v>1</v>
      </c>
      <c r="CN12" s="2948">
        <f>IF(AND($E12&lt;&gt;0,AS12=""),1,IF(AS12&gt;$E12,1,0))</f>
        <v>1</v>
      </c>
    </row>
    <row r="13" spans="1:92" ht="15" customHeight="1" x14ac:dyDescent="0.25">
      <c r="A13" s="5617">
        <v>33000001</v>
      </c>
      <c r="B13" s="7912"/>
      <c r="C13" s="7915"/>
      <c r="D13" s="914" t="s">
        <v>4127</v>
      </c>
      <c r="E13" s="5197" t="s">
        <v>4567</v>
      </c>
      <c r="F13" s="5198" t="s">
        <v>4568</v>
      </c>
      <c r="G13" s="5199" t="s">
        <v>4569</v>
      </c>
      <c r="H13" s="5200" t="s">
        <v>4570</v>
      </c>
      <c r="I13" s="5201" t="s">
        <v>4571</v>
      </c>
      <c r="J13" s="5200" t="s">
        <v>4572</v>
      </c>
      <c r="K13" s="5201" t="s">
        <v>4573</v>
      </c>
      <c r="L13" s="5200" t="s">
        <v>4574</v>
      </c>
      <c r="M13" s="5201" t="s">
        <v>4575</v>
      </c>
      <c r="N13" s="5200" t="s">
        <v>4576</v>
      </c>
      <c r="O13" s="5201" t="s">
        <v>4577</v>
      </c>
      <c r="P13" s="5202" t="s">
        <v>4578</v>
      </c>
      <c r="Q13" s="5201" t="s">
        <v>4579</v>
      </c>
      <c r="R13" s="5202" t="s">
        <v>4580</v>
      </c>
      <c r="S13" s="5201" t="s">
        <v>4581</v>
      </c>
      <c r="T13" s="5202" t="s">
        <v>4582</v>
      </c>
      <c r="U13" s="5201" t="s">
        <v>4583</v>
      </c>
      <c r="V13" s="5202" t="s">
        <v>4584</v>
      </c>
      <c r="W13" s="5201" t="s">
        <v>4585</v>
      </c>
      <c r="X13" s="5200" t="s">
        <v>4586</v>
      </c>
      <c r="Y13" s="5201" t="s">
        <v>4587</v>
      </c>
      <c r="Z13" s="5200" t="s">
        <v>4588</v>
      </c>
      <c r="AA13" s="5201" t="s">
        <v>4589</v>
      </c>
      <c r="AB13" s="5200" t="s">
        <v>4590</v>
      </c>
      <c r="AC13" s="5201" t="s">
        <v>4591</v>
      </c>
      <c r="AD13" s="5200" t="s">
        <v>4592</v>
      </c>
      <c r="AE13" s="5201" t="s">
        <v>4593</v>
      </c>
      <c r="AF13" s="5200" t="s">
        <v>4594</v>
      </c>
      <c r="AG13" s="5201" t="s">
        <v>4595</v>
      </c>
      <c r="AH13" s="5200" t="s">
        <v>4596</v>
      </c>
      <c r="AI13" s="5201" t="s">
        <v>4597</v>
      </c>
      <c r="AJ13" s="5200" t="s">
        <v>4598</v>
      </c>
      <c r="AK13" s="5201" t="s">
        <v>4599</v>
      </c>
      <c r="AL13" s="5200" t="s">
        <v>4600</v>
      </c>
      <c r="AM13" s="5201" t="s">
        <v>4601</v>
      </c>
      <c r="AN13" s="5200" t="s">
        <v>4602</v>
      </c>
      <c r="AO13" s="5203" t="s">
        <v>4603</v>
      </c>
      <c r="AP13" s="5204" t="s">
        <v>4604</v>
      </c>
      <c r="AQ13" s="5201" t="s">
        <v>4605</v>
      </c>
      <c r="AR13" s="5204" t="s">
        <v>4606</v>
      </c>
      <c r="AS13" s="5201" t="s">
        <v>4934</v>
      </c>
      <c r="AT13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3" s="1865" t="str">
        <f t="shared" ref="CB13:CB34" si="2">IF(AND($E13&lt;&gt;0,AP13=""),"* No olvide ingresar la variable "&amp;AP$9&amp;""&amp;". Digite CERO si no tiene.  ",IF(AP13&gt;$E13,"* La variable "&amp;AP$9&amp;""&amp;" no debe ser mayor al TotalAmbos Sexos. ",""))</f>
        <v xml:space="preserve">* La variable Pueblos originarios no debe ser mayor al TotalAmbos Sexos. </v>
      </c>
      <c r="CC13" s="1865" t="str">
        <f t="shared" ref="CC13:CC34" si="3">IF(AND($E13&lt;&gt;0,AQ13=""),"* No olvide ingresar la variable "&amp;AQ$9&amp;""&amp;". Digite CERO si no tiene.  ",IF(AQ13&gt;$E13,"* La variable "&amp;AQ$9&amp;""&amp;" no debe ser mayor al Total Ambos Sexos. ",""))</f>
        <v xml:space="preserve">* La variable Migrantes no debe ser mayor al Total Ambos Sexos. </v>
      </c>
      <c r="CD13" s="1865" t="str">
        <f t="shared" ref="CD13:CD34" si="4">IF(AND($E13&lt;&gt;0,AR13=""),"* No olvide ingresar la variable "&amp;AR$9&amp;""&amp;". Digite CERO si no tiene.  ",IF(AR13&gt;$E13,"* La variable "&amp;AR$9&amp;""&amp;" no debe ser mayor al Total Ambos Sexos. ",""))</f>
        <v xml:space="preserve">* La variable Niños, Niñas, Adolescentes y Jóvenes SENAME no debe ser mayor al Total Ambos Sexos. </v>
      </c>
      <c r="CE13" s="1865" t="str">
        <f t="shared" ref="CE13:CE34" si="5">IF(AND($E13&lt;&gt;0,AS13=""),"* No olvide ingresar la variable "&amp;AS$9&amp;""&amp;". Digite CERO si no tiene.  ",IF(AS13&gt;$E13,"* La variable "&amp;AS$9&amp;""&amp;" no debe ser mayor al Total Ambos Sexos. ",""))</f>
        <v xml:space="preserve">* La variable Niños, Niñas, Adolescentes y Jóvenes Mejor Niñez no debe ser mayor al Total Ambos Sexos. </v>
      </c>
      <c r="CK13" s="2948">
        <f t="shared" ref="CK13:CK34" si="6">IF(AND($E13&lt;&gt;0,AP13=""),1,IF(AP13&gt;$E13,1,0))</f>
        <v>1</v>
      </c>
      <c r="CL13" s="2948">
        <f t="shared" ref="CL13:CL34" si="7">IF(AND($E13&lt;&gt;0,AQ13=""),1,IF(AQ13&gt;$E13,1,0))</f>
        <v>1</v>
      </c>
      <c r="CM13" s="2948">
        <f t="shared" ref="CM13:CM34" si="8">IF(AND($E13&lt;&gt;0,AR13=""),1,IF(AR13&gt;$E13,1,0))</f>
        <v>1</v>
      </c>
      <c r="CN13" s="2948">
        <f t="shared" ref="CN13:CN34" si="9">IF(AND($E13&lt;&gt;0,AS13=""),1,IF(AS13&gt;$E13,1,0))</f>
        <v>1</v>
      </c>
    </row>
    <row r="14" spans="1:92" ht="15" customHeight="1" x14ac:dyDescent="0.25">
      <c r="A14" s="5617">
        <v>33000002</v>
      </c>
      <c r="B14" s="7912"/>
      <c r="C14" s="7914" t="s">
        <v>4128</v>
      </c>
      <c r="D14" s="5205" t="s">
        <v>4129</v>
      </c>
      <c r="E14" s="5206" t="s">
        <v>4567</v>
      </c>
      <c r="F14" s="5206" t="s">
        <v>4568</v>
      </c>
      <c r="G14" s="5207" t="s">
        <v>4569</v>
      </c>
      <c r="H14" s="3175" t="s">
        <v>4570</v>
      </c>
      <c r="I14" s="3176" t="s">
        <v>4571</v>
      </c>
      <c r="J14" s="3175" t="s">
        <v>4572</v>
      </c>
      <c r="K14" s="3176" t="s">
        <v>4573</v>
      </c>
      <c r="L14" s="3175" t="s">
        <v>4574</v>
      </c>
      <c r="M14" s="3176" t="s">
        <v>4575</v>
      </c>
      <c r="N14" s="3175" t="s">
        <v>4576</v>
      </c>
      <c r="O14" s="3176" t="s">
        <v>4577</v>
      </c>
      <c r="P14" s="5208" t="s">
        <v>4578</v>
      </c>
      <c r="Q14" s="3176" t="s">
        <v>4579</v>
      </c>
      <c r="R14" s="5208" t="s">
        <v>4580</v>
      </c>
      <c r="S14" s="3176" t="s">
        <v>4581</v>
      </c>
      <c r="T14" s="5208" t="s">
        <v>4582</v>
      </c>
      <c r="U14" s="3176" t="s">
        <v>4583</v>
      </c>
      <c r="V14" s="5208" t="s">
        <v>4584</v>
      </c>
      <c r="W14" s="3176" t="s">
        <v>4585</v>
      </c>
      <c r="X14" s="3175" t="s">
        <v>4586</v>
      </c>
      <c r="Y14" s="3176" t="s">
        <v>4587</v>
      </c>
      <c r="Z14" s="3175" t="s">
        <v>4588</v>
      </c>
      <c r="AA14" s="3176" t="s">
        <v>4589</v>
      </c>
      <c r="AB14" s="3175" t="s">
        <v>4590</v>
      </c>
      <c r="AC14" s="3176" t="s">
        <v>4591</v>
      </c>
      <c r="AD14" s="3175" t="s">
        <v>4592</v>
      </c>
      <c r="AE14" s="3176" t="s">
        <v>4593</v>
      </c>
      <c r="AF14" s="3175" t="s">
        <v>4594</v>
      </c>
      <c r="AG14" s="3176" t="s">
        <v>4595</v>
      </c>
      <c r="AH14" s="3175" t="s">
        <v>4596</v>
      </c>
      <c r="AI14" s="3176" t="s">
        <v>4597</v>
      </c>
      <c r="AJ14" s="3175" t="s">
        <v>4598</v>
      </c>
      <c r="AK14" s="3176" t="s">
        <v>4599</v>
      </c>
      <c r="AL14" s="3175" t="s">
        <v>4600</v>
      </c>
      <c r="AM14" s="3176" t="s">
        <v>4601</v>
      </c>
      <c r="AN14" s="3175" t="s">
        <v>4602</v>
      </c>
      <c r="AO14" s="3177" t="s">
        <v>4603</v>
      </c>
      <c r="AP14" s="5209" t="s">
        <v>4604</v>
      </c>
      <c r="AQ14" s="3176" t="s">
        <v>4605</v>
      </c>
      <c r="AR14" s="5209" t="s">
        <v>4606</v>
      </c>
      <c r="AS14" s="3176" t="s">
        <v>4934</v>
      </c>
      <c r="AT14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4" s="1865" t="str">
        <f t="shared" si="2"/>
        <v xml:space="preserve">* La variable Pueblos originarios no debe ser mayor al TotalAmbos Sexos. </v>
      </c>
      <c r="CC14" s="1865" t="str">
        <f t="shared" si="3"/>
        <v xml:space="preserve">* La variable Migrantes no debe ser mayor al Total Ambos Sexos. </v>
      </c>
      <c r="CD14" s="1865" t="str">
        <f t="shared" si="4"/>
        <v xml:space="preserve">* La variable Niños, Niñas, Adolescentes y Jóvenes SENAME no debe ser mayor al Total Ambos Sexos. </v>
      </c>
      <c r="CE14" s="1865" t="str">
        <f t="shared" si="5"/>
        <v xml:space="preserve">* La variable Niños, Niñas, Adolescentes y Jóvenes Mejor Niñez no debe ser mayor al Total Ambos Sexos. </v>
      </c>
      <c r="CK14" s="2948">
        <f t="shared" si="6"/>
        <v>1</v>
      </c>
      <c r="CL14" s="2948">
        <f t="shared" si="7"/>
        <v>1</v>
      </c>
      <c r="CM14" s="2948">
        <f t="shared" si="8"/>
        <v>1</v>
      </c>
      <c r="CN14" s="2948">
        <f t="shared" si="9"/>
        <v>1</v>
      </c>
    </row>
    <row r="15" spans="1:92" ht="15" customHeight="1" x14ac:dyDescent="0.25">
      <c r="A15" s="5617">
        <v>33000003</v>
      </c>
      <c r="B15" s="7912"/>
      <c r="C15" s="7916"/>
      <c r="D15" s="4697" t="s">
        <v>4130</v>
      </c>
      <c r="E15" s="5189" t="s">
        <v>4567</v>
      </c>
      <c r="F15" s="5189" t="s">
        <v>4568</v>
      </c>
      <c r="G15" s="5191" t="s">
        <v>4569</v>
      </c>
      <c r="H15" s="5210" t="s">
        <v>4570</v>
      </c>
      <c r="I15" s="5192" t="s">
        <v>4571</v>
      </c>
      <c r="J15" s="5210" t="s">
        <v>4572</v>
      </c>
      <c r="K15" s="5192" t="s">
        <v>4573</v>
      </c>
      <c r="L15" s="5210" t="s">
        <v>4574</v>
      </c>
      <c r="M15" s="5192" t="s">
        <v>4575</v>
      </c>
      <c r="N15" s="5210" t="s">
        <v>4576</v>
      </c>
      <c r="O15" s="5192" t="s">
        <v>4577</v>
      </c>
      <c r="P15" s="5194" t="s">
        <v>4578</v>
      </c>
      <c r="Q15" s="5192" t="s">
        <v>4579</v>
      </c>
      <c r="R15" s="5194" t="s">
        <v>4580</v>
      </c>
      <c r="S15" s="5192" t="s">
        <v>4581</v>
      </c>
      <c r="T15" s="5194" t="s">
        <v>4582</v>
      </c>
      <c r="U15" s="5192" t="s">
        <v>4583</v>
      </c>
      <c r="V15" s="5194" t="s">
        <v>4584</v>
      </c>
      <c r="W15" s="5192" t="s">
        <v>4585</v>
      </c>
      <c r="X15" s="5210" t="s">
        <v>4586</v>
      </c>
      <c r="Y15" s="5192" t="s">
        <v>4587</v>
      </c>
      <c r="Z15" s="5210" t="s">
        <v>4588</v>
      </c>
      <c r="AA15" s="5192" t="s">
        <v>4589</v>
      </c>
      <c r="AB15" s="5210" t="s">
        <v>4590</v>
      </c>
      <c r="AC15" s="5192" t="s">
        <v>4591</v>
      </c>
      <c r="AD15" s="5210" t="s">
        <v>4592</v>
      </c>
      <c r="AE15" s="5192" t="s">
        <v>4593</v>
      </c>
      <c r="AF15" s="5210" t="s">
        <v>4594</v>
      </c>
      <c r="AG15" s="5192" t="s">
        <v>4595</v>
      </c>
      <c r="AH15" s="5210" t="s">
        <v>4596</v>
      </c>
      <c r="AI15" s="5192" t="s">
        <v>4597</v>
      </c>
      <c r="AJ15" s="5210" t="s">
        <v>4598</v>
      </c>
      <c r="AK15" s="5192" t="s">
        <v>4599</v>
      </c>
      <c r="AL15" s="5210" t="s">
        <v>4600</v>
      </c>
      <c r="AM15" s="5192" t="s">
        <v>4601</v>
      </c>
      <c r="AN15" s="5210" t="s">
        <v>4602</v>
      </c>
      <c r="AO15" s="5195" t="s">
        <v>4603</v>
      </c>
      <c r="AP15" s="5196" t="s">
        <v>4604</v>
      </c>
      <c r="AQ15" s="5192" t="s">
        <v>4605</v>
      </c>
      <c r="AR15" s="5196" t="s">
        <v>4606</v>
      </c>
      <c r="AS15" s="5192" t="s">
        <v>4934</v>
      </c>
      <c r="AT15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5" s="1865" t="str">
        <f t="shared" si="2"/>
        <v xml:space="preserve">* La variable Pueblos originarios no debe ser mayor al TotalAmbos Sexos. </v>
      </c>
      <c r="CC15" s="1865" t="str">
        <f t="shared" si="3"/>
        <v xml:space="preserve">* La variable Migrantes no debe ser mayor al Total Ambos Sexos. </v>
      </c>
      <c r="CD15" s="1865" t="str">
        <f t="shared" si="4"/>
        <v xml:space="preserve">* La variable Niños, Niñas, Adolescentes y Jóvenes SENAME no debe ser mayor al Total Ambos Sexos. </v>
      </c>
      <c r="CE15" s="1865" t="str">
        <f t="shared" si="5"/>
        <v xml:space="preserve">* La variable Niños, Niñas, Adolescentes y Jóvenes Mejor Niñez no debe ser mayor al Total Ambos Sexos. </v>
      </c>
      <c r="CK15" s="2948">
        <f t="shared" si="6"/>
        <v>1</v>
      </c>
      <c r="CL15" s="2948">
        <f t="shared" si="7"/>
        <v>1</v>
      </c>
      <c r="CM15" s="2948">
        <f t="shared" si="8"/>
        <v>1</v>
      </c>
      <c r="CN15" s="2948">
        <f t="shared" si="9"/>
        <v>1</v>
      </c>
    </row>
    <row r="16" spans="1:92" ht="15" customHeight="1" x14ac:dyDescent="0.25">
      <c r="A16" s="5617">
        <v>33000004</v>
      </c>
      <c r="B16" s="7912"/>
      <c r="C16" s="7916"/>
      <c r="D16" s="4697" t="s">
        <v>4131</v>
      </c>
      <c r="E16" s="5189" t="s">
        <v>4567</v>
      </c>
      <c r="F16" s="5189" t="s">
        <v>4568</v>
      </c>
      <c r="G16" s="5191" t="s">
        <v>4569</v>
      </c>
      <c r="H16" s="5210" t="s">
        <v>4570</v>
      </c>
      <c r="I16" s="5192" t="s">
        <v>4571</v>
      </c>
      <c r="J16" s="5210" t="s">
        <v>4572</v>
      </c>
      <c r="K16" s="5192" t="s">
        <v>4573</v>
      </c>
      <c r="L16" s="5210" t="s">
        <v>4574</v>
      </c>
      <c r="M16" s="5192" t="s">
        <v>4575</v>
      </c>
      <c r="N16" s="5210" t="s">
        <v>4576</v>
      </c>
      <c r="O16" s="5192" t="s">
        <v>4577</v>
      </c>
      <c r="P16" s="5194" t="s">
        <v>4578</v>
      </c>
      <c r="Q16" s="5192" t="s">
        <v>4579</v>
      </c>
      <c r="R16" s="5194" t="s">
        <v>4580</v>
      </c>
      <c r="S16" s="5192" t="s">
        <v>4581</v>
      </c>
      <c r="T16" s="5194" t="s">
        <v>4582</v>
      </c>
      <c r="U16" s="5192" t="s">
        <v>4583</v>
      </c>
      <c r="V16" s="5194" t="s">
        <v>4584</v>
      </c>
      <c r="W16" s="5192" t="s">
        <v>4585</v>
      </c>
      <c r="X16" s="5210" t="s">
        <v>4586</v>
      </c>
      <c r="Y16" s="5192" t="s">
        <v>4587</v>
      </c>
      <c r="Z16" s="5210" t="s">
        <v>4588</v>
      </c>
      <c r="AA16" s="5192" t="s">
        <v>4589</v>
      </c>
      <c r="AB16" s="5210" t="s">
        <v>4590</v>
      </c>
      <c r="AC16" s="5192" t="s">
        <v>4591</v>
      </c>
      <c r="AD16" s="5210" t="s">
        <v>4592</v>
      </c>
      <c r="AE16" s="5192" t="s">
        <v>4593</v>
      </c>
      <c r="AF16" s="5210" t="s">
        <v>4594</v>
      </c>
      <c r="AG16" s="5192" t="s">
        <v>4595</v>
      </c>
      <c r="AH16" s="5210" t="s">
        <v>4596</v>
      </c>
      <c r="AI16" s="5192" t="s">
        <v>4597</v>
      </c>
      <c r="AJ16" s="5210" t="s">
        <v>4598</v>
      </c>
      <c r="AK16" s="5192" t="s">
        <v>4599</v>
      </c>
      <c r="AL16" s="5210" t="s">
        <v>4600</v>
      </c>
      <c r="AM16" s="5192" t="s">
        <v>4601</v>
      </c>
      <c r="AN16" s="5210" t="s">
        <v>4602</v>
      </c>
      <c r="AO16" s="5195" t="s">
        <v>4603</v>
      </c>
      <c r="AP16" s="5196" t="s">
        <v>4604</v>
      </c>
      <c r="AQ16" s="5192" t="s">
        <v>4605</v>
      </c>
      <c r="AR16" s="5196" t="s">
        <v>4606</v>
      </c>
      <c r="AS16" s="5192" t="s">
        <v>4934</v>
      </c>
      <c r="AT16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6" s="1865" t="str">
        <f t="shared" si="2"/>
        <v xml:space="preserve">* La variable Pueblos originarios no debe ser mayor al TotalAmbos Sexos. </v>
      </c>
      <c r="CC16" s="1865" t="str">
        <f t="shared" si="3"/>
        <v xml:space="preserve">* La variable Migrantes no debe ser mayor al Total Ambos Sexos. </v>
      </c>
      <c r="CD16" s="1865" t="str">
        <f t="shared" si="4"/>
        <v xml:space="preserve">* La variable Niños, Niñas, Adolescentes y Jóvenes SENAME no debe ser mayor al Total Ambos Sexos. </v>
      </c>
      <c r="CE16" s="1865" t="str">
        <f t="shared" si="5"/>
        <v xml:space="preserve">* La variable Niños, Niñas, Adolescentes y Jóvenes Mejor Niñez no debe ser mayor al Total Ambos Sexos. </v>
      </c>
      <c r="CK16" s="2948">
        <f t="shared" si="6"/>
        <v>1</v>
      </c>
      <c r="CL16" s="2948">
        <f t="shared" si="7"/>
        <v>1</v>
      </c>
      <c r="CM16" s="2948">
        <f t="shared" si="8"/>
        <v>1</v>
      </c>
      <c r="CN16" s="2948">
        <f t="shared" si="9"/>
        <v>1</v>
      </c>
    </row>
    <row r="17" spans="1:92" ht="15" customHeight="1" x14ac:dyDescent="0.25">
      <c r="A17" s="5617">
        <v>33000005</v>
      </c>
      <c r="B17" s="7912"/>
      <c r="C17" s="7916"/>
      <c r="D17" s="4697" t="s">
        <v>4132</v>
      </c>
      <c r="E17" s="5189" t="s">
        <v>4567</v>
      </c>
      <c r="F17" s="5189" t="s">
        <v>4568</v>
      </c>
      <c r="G17" s="5191" t="s">
        <v>4569</v>
      </c>
      <c r="H17" s="5210" t="s">
        <v>4570</v>
      </c>
      <c r="I17" s="5192" t="s">
        <v>4571</v>
      </c>
      <c r="J17" s="5210" t="s">
        <v>4572</v>
      </c>
      <c r="K17" s="5192" t="s">
        <v>4573</v>
      </c>
      <c r="L17" s="5210" t="s">
        <v>4574</v>
      </c>
      <c r="M17" s="5192" t="s">
        <v>4575</v>
      </c>
      <c r="N17" s="5210" t="s">
        <v>4576</v>
      </c>
      <c r="O17" s="5192" t="s">
        <v>4577</v>
      </c>
      <c r="P17" s="5194" t="s">
        <v>4578</v>
      </c>
      <c r="Q17" s="5192" t="s">
        <v>4579</v>
      </c>
      <c r="R17" s="5194" t="s">
        <v>4580</v>
      </c>
      <c r="S17" s="5192" t="s">
        <v>4581</v>
      </c>
      <c r="T17" s="5194" t="s">
        <v>4582</v>
      </c>
      <c r="U17" s="5192" t="s">
        <v>4583</v>
      </c>
      <c r="V17" s="5194" t="s">
        <v>4584</v>
      </c>
      <c r="W17" s="5192" t="s">
        <v>4585</v>
      </c>
      <c r="X17" s="5210" t="s">
        <v>4586</v>
      </c>
      <c r="Y17" s="5192" t="s">
        <v>4587</v>
      </c>
      <c r="Z17" s="5210" t="s">
        <v>4588</v>
      </c>
      <c r="AA17" s="5192" t="s">
        <v>4589</v>
      </c>
      <c r="AB17" s="5210" t="s">
        <v>4590</v>
      </c>
      <c r="AC17" s="5192" t="s">
        <v>4591</v>
      </c>
      <c r="AD17" s="5210" t="s">
        <v>4592</v>
      </c>
      <c r="AE17" s="5192" t="s">
        <v>4593</v>
      </c>
      <c r="AF17" s="5210" t="s">
        <v>4594</v>
      </c>
      <c r="AG17" s="5192" t="s">
        <v>4595</v>
      </c>
      <c r="AH17" s="5210" t="s">
        <v>4596</v>
      </c>
      <c r="AI17" s="5192" t="s">
        <v>4597</v>
      </c>
      <c r="AJ17" s="5210" t="s">
        <v>4598</v>
      </c>
      <c r="AK17" s="5192" t="s">
        <v>4599</v>
      </c>
      <c r="AL17" s="5210" t="s">
        <v>4600</v>
      </c>
      <c r="AM17" s="5192" t="s">
        <v>4601</v>
      </c>
      <c r="AN17" s="5210" t="s">
        <v>4602</v>
      </c>
      <c r="AO17" s="5195" t="s">
        <v>4603</v>
      </c>
      <c r="AP17" s="5196" t="s">
        <v>4604</v>
      </c>
      <c r="AQ17" s="5192" t="s">
        <v>4605</v>
      </c>
      <c r="AR17" s="5196" t="s">
        <v>4606</v>
      </c>
      <c r="AS17" s="5192" t="s">
        <v>4934</v>
      </c>
      <c r="AT17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7" s="1865" t="str">
        <f t="shared" si="2"/>
        <v xml:space="preserve">* La variable Pueblos originarios no debe ser mayor al TotalAmbos Sexos. </v>
      </c>
      <c r="CC17" s="1865" t="str">
        <f t="shared" si="3"/>
        <v xml:space="preserve">* La variable Migrantes no debe ser mayor al Total Ambos Sexos. </v>
      </c>
      <c r="CD17" s="1865" t="str">
        <f t="shared" si="4"/>
        <v xml:space="preserve">* La variable Niños, Niñas, Adolescentes y Jóvenes SENAME no debe ser mayor al Total Ambos Sexos. </v>
      </c>
      <c r="CE17" s="1865" t="str">
        <f t="shared" si="5"/>
        <v xml:space="preserve">* La variable Niños, Niñas, Adolescentes y Jóvenes Mejor Niñez no debe ser mayor al Total Ambos Sexos. </v>
      </c>
      <c r="CK17" s="2948">
        <f t="shared" si="6"/>
        <v>1</v>
      </c>
      <c r="CL17" s="2948">
        <f t="shared" si="7"/>
        <v>1</v>
      </c>
      <c r="CM17" s="2948">
        <f t="shared" si="8"/>
        <v>1</v>
      </c>
      <c r="CN17" s="2948">
        <f t="shared" si="9"/>
        <v>1</v>
      </c>
    </row>
    <row r="18" spans="1:92" ht="15" customHeight="1" x14ac:dyDescent="0.25">
      <c r="A18" s="5617">
        <v>33000006</v>
      </c>
      <c r="B18" s="7912"/>
      <c r="C18" s="7916"/>
      <c r="D18" s="4697" t="s">
        <v>4133</v>
      </c>
      <c r="E18" s="5189" t="s">
        <v>4567</v>
      </c>
      <c r="F18" s="5189" t="s">
        <v>4568</v>
      </c>
      <c r="G18" s="5191" t="s">
        <v>4569</v>
      </c>
      <c r="H18" s="5210" t="s">
        <v>4570</v>
      </c>
      <c r="I18" s="5192" t="s">
        <v>4571</v>
      </c>
      <c r="J18" s="5210" t="s">
        <v>4572</v>
      </c>
      <c r="K18" s="5192" t="s">
        <v>4573</v>
      </c>
      <c r="L18" s="5210" t="s">
        <v>4574</v>
      </c>
      <c r="M18" s="5192" t="s">
        <v>4575</v>
      </c>
      <c r="N18" s="5210" t="s">
        <v>4576</v>
      </c>
      <c r="O18" s="5192" t="s">
        <v>4577</v>
      </c>
      <c r="P18" s="5194" t="s">
        <v>4578</v>
      </c>
      <c r="Q18" s="5192" t="s">
        <v>4579</v>
      </c>
      <c r="R18" s="5194" t="s">
        <v>4580</v>
      </c>
      <c r="S18" s="5192" t="s">
        <v>4581</v>
      </c>
      <c r="T18" s="5194" t="s">
        <v>4582</v>
      </c>
      <c r="U18" s="5192" t="s">
        <v>4583</v>
      </c>
      <c r="V18" s="5194" t="s">
        <v>4584</v>
      </c>
      <c r="W18" s="5192" t="s">
        <v>4585</v>
      </c>
      <c r="X18" s="5210" t="s">
        <v>4586</v>
      </c>
      <c r="Y18" s="5192" t="s">
        <v>4587</v>
      </c>
      <c r="Z18" s="5210" t="s">
        <v>4588</v>
      </c>
      <c r="AA18" s="5192" t="s">
        <v>4589</v>
      </c>
      <c r="AB18" s="5210" t="s">
        <v>4590</v>
      </c>
      <c r="AC18" s="5192" t="s">
        <v>4591</v>
      </c>
      <c r="AD18" s="5210" t="s">
        <v>4592</v>
      </c>
      <c r="AE18" s="5192" t="s">
        <v>4593</v>
      </c>
      <c r="AF18" s="5210" t="s">
        <v>4594</v>
      </c>
      <c r="AG18" s="5192" t="s">
        <v>4595</v>
      </c>
      <c r="AH18" s="5210" t="s">
        <v>4596</v>
      </c>
      <c r="AI18" s="5192" t="s">
        <v>4597</v>
      </c>
      <c r="AJ18" s="5210" t="s">
        <v>4598</v>
      </c>
      <c r="AK18" s="5192" t="s">
        <v>4599</v>
      </c>
      <c r="AL18" s="5210" t="s">
        <v>4600</v>
      </c>
      <c r="AM18" s="5192" t="s">
        <v>4601</v>
      </c>
      <c r="AN18" s="5210" t="s">
        <v>4602</v>
      </c>
      <c r="AO18" s="5195" t="s">
        <v>4603</v>
      </c>
      <c r="AP18" s="5196" t="s">
        <v>4604</v>
      </c>
      <c r="AQ18" s="5192" t="s">
        <v>4605</v>
      </c>
      <c r="AR18" s="5196" t="s">
        <v>4606</v>
      </c>
      <c r="AS18" s="5192" t="s">
        <v>4934</v>
      </c>
      <c r="AT18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8" s="1865" t="str">
        <f t="shared" si="2"/>
        <v xml:space="preserve">* La variable Pueblos originarios no debe ser mayor al TotalAmbos Sexos. </v>
      </c>
      <c r="CC18" s="1865" t="str">
        <f t="shared" si="3"/>
        <v xml:space="preserve">* La variable Migrantes no debe ser mayor al Total Ambos Sexos. </v>
      </c>
      <c r="CD18" s="1865" t="str">
        <f t="shared" si="4"/>
        <v xml:space="preserve">* La variable Niños, Niñas, Adolescentes y Jóvenes SENAME no debe ser mayor al Total Ambos Sexos. </v>
      </c>
      <c r="CE18" s="1865" t="str">
        <f t="shared" si="5"/>
        <v xml:space="preserve">* La variable Niños, Niñas, Adolescentes y Jóvenes Mejor Niñez no debe ser mayor al Total Ambos Sexos. </v>
      </c>
      <c r="CK18" s="2948">
        <f t="shared" si="6"/>
        <v>1</v>
      </c>
      <c r="CL18" s="2948">
        <f t="shared" si="7"/>
        <v>1</v>
      </c>
      <c r="CM18" s="2948">
        <f t="shared" si="8"/>
        <v>1</v>
      </c>
      <c r="CN18" s="2948">
        <f t="shared" si="9"/>
        <v>1</v>
      </c>
    </row>
    <row r="19" spans="1:92" ht="15" customHeight="1" x14ac:dyDescent="0.25">
      <c r="A19" s="5617">
        <v>33000007</v>
      </c>
      <c r="B19" s="7912"/>
      <c r="C19" s="7916"/>
      <c r="D19" s="4697" t="s">
        <v>4134</v>
      </c>
      <c r="E19" s="5189" t="s">
        <v>4567</v>
      </c>
      <c r="F19" s="5189" t="s">
        <v>4568</v>
      </c>
      <c r="G19" s="5191" t="s">
        <v>4569</v>
      </c>
      <c r="H19" s="5210" t="s">
        <v>4570</v>
      </c>
      <c r="I19" s="5192" t="s">
        <v>4571</v>
      </c>
      <c r="J19" s="5210" t="s">
        <v>4572</v>
      </c>
      <c r="K19" s="5192" t="s">
        <v>4573</v>
      </c>
      <c r="L19" s="5210" t="s">
        <v>4574</v>
      </c>
      <c r="M19" s="5192" t="s">
        <v>4575</v>
      </c>
      <c r="N19" s="5210" t="s">
        <v>4576</v>
      </c>
      <c r="O19" s="5192" t="s">
        <v>4577</v>
      </c>
      <c r="P19" s="5194" t="s">
        <v>4578</v>
      </c>
      <c r="Q19" s="5192" t="s">
        <v>4579</v>
      </c>
      <c r="R19" s="5194" t="s">
        <v>4580</v>
      </c>
      <c r="S19" s="5192" t="s">
        <v>4581</v>
      </c>
      <c r="T19" s="5194" t="s">
        <v>4582</v>
      </c>
      <c r="U19" s="5192" t="s">
        <v>4583</v>
      </c>
      <c r="V19" s="5194" t="s">
        <v>4584</v>
      </c>
      <c r="W19" s="5192" t="s">
        <v>4585</v>
      </c>
      <c r="X19" s="5210" t="s">
        <v>4586</v>
      </c>
      <c r="Y19" s="5192" t="s">
        <v>4587</v>
      </c>
      <c r="Z19" s="5210" t="s">
        <v>4588</v>
      </c>
      <c r="AA19" s="5192" t="s">
        <v>4589</v>
      </c>
      <c r="AB19" s="5210" t="s">
        <v>4590</v>
      </c>
      <c r="AC19" s="5192" t="s">
        <v>4591</v>
      </c>
      <c r="AD19" s="5210" t="s">
        <v>4592</v>
      </c>
      <c r="AE19" s="5192" t="s">
        <v>4593</v>
      </c>
      <c r="AF19" s="5210" t="s">
        <v>4594</v>
      </c>
      <c r="AG19" s="5192" t="s">
        <v>4595</v>
      </c>
      <c r="AH19" s="5210" t="s">
        <v>4596</v>
      </c>
      <c r="AI19" s="5192" t="s">
        <v>4597</v>
      </c>
      <c r="AJ19" s="5210" t="s">
        <v>4598</v>
      </c>
      <c r="AK19" s="5192" t="s">
        <v>4599</v>
      </c>
      <c r="AL19" s="5210" t="s">
        <v>4600</v>
      </c>
      <c r="AM19" s="5192" t="s">
        <v>4601</v>
      </c>
      <c r="AN19" s="5210" t="s">
        <v>4602</v>
      </c>
      <c r="AO19" s="5195" t="s">
        <v>4603</v>
      </c>
      <c r="AP19" s="5196" t="s">
        <v>4604</v>
      </c>
      <c r="AQ19" s="5192" t="s">
        <v>4605</v>
      </c>
      <c r="AR19" s="5196" t="s">
        <v>4606</v>
      </c>
      <c r="AS19" s="5192" t="s">
        <v>4934</v>
      </c>
      <c r="AT19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9" s="1865" t="str">
        <f t="shared" si="2"/>
        <v xml:space="preserve">* La variable Pueblos originarios no debe ser mayor al TotalAmbos Sexos. </v>
      </c>
      <c r="CC19" s="1865" t="str">
        <f t="shared" si="3"/>
        <v xml:space="preserve">* La variable Migrantes no debe ser mayor al Total Ambos Sexos. </v>
      </c>
      <c r="CD19" s="1865" t="str">
        <f t="shared" si="4"/>
        <v xml:space="preserve">* La variable Niños, Niñas, Adolescentes y Jóvenes SENAME no debe ser mayor al Total Ambos Sexos. </v>
      </c>
      <c r="CE19" s="1865" t="str">
        <f t="shared" si="5"/>
        <v xml:space="preserve">* La variable Niños, Niñas, Adolescentes y Jóvenes Mejor Niñez no debe ser mayor al Total Ambos Sexos. </v>
      </c>
      <c r="CK19" s="2948">
        <f t="shared" si="6"/>
        <v>1</v>
      </c>
      <c r="CL19" s="2948">
        <f t="shared" si="7"/>
        <v>1</v>
      </c>
      <c r="CM19" s="2948">
        <f t="shared" si="8"/>
        <v>1</v>
      </c>
      <c r="CN19" s="2948">
        <f t="shared" si="9"/>
        <v>1</v>
      </c>
    </row>
    <row r="20" spans="1:92" ht="24.75" customHeight="1" x14ac:dyDescent="0.25">
      <c r="A20" s="5617">
        <v>33000008</v>
      </c>
      <c r="B20" s="7912"/>
      <c r="C20" s="7916"/>
      <c r="D20" s="5211" t="s">
        <v>4135</v>
      </c>
      <c r="E20" s="5189" t="s">
        <v>4567</v>
      </c>
      <c r="F20" s="5189" t="s">
        <v>4568</v>
      </c>
      <c r="G20" s="5191" t="s">
        <v>4569</v>
      </c>
      <c r="H20" s="5210" t="s">
        <v>4570</v>
      </c>
      <c r="I20" s="5192" t="s">
        <v>4571</v>
      </c>
      <c r="J20" s="5210" t="s">
        <v>4572</v>
      </c>
      <c r="K20" s="5192" t="s">
        <v>4573</v>
      </c>
      <c r="L20" s="5210" t="s">
        <v>4574</v>
      </c>
      <c r="M20" s="5192" t="s">
        <v>4575</v>
      </c>
      <c r="N20" s="5210" t="s">
        <v>4576</v>
      </c>
      <c r="O20" s="5192" t="s">
        <v>4577</v>
      </c>
      <c r="P20" s="5194" t="s">
        <v>4578</v>
      </c>
      <c r="Q20" s="5192" t="s">
        <v>4579</v>
      </c>
      <c r="R20" s="5194" t="s">
        <v>4580</v>
      </c>
      <c r="S20" s="5192" t="s">
        <v>4581</v>
      </c>
      <c r="T20" s="5194" t="s">
        <v>4582</v>
      </c>
      <c r="U20" s="5192" t="s">
        <v>4583</v>
      </c>
      <c r="V20" s="5194" t="s">
        <v>4584</v>
      </c>
      <c r="W20" s="5192" t="s">
        <v>4585</v>
      </c>
      <c r="X20" s="5210" t="s">
        <v>4586</v>
      </c>
      <c r="Y20" s="5192" t="s">
        <v>4587</v>
      </c>
      <c r="Z20" s="5210" t="s">
        <v>4588</v>
      </c>
      <c r="AA20" s="5192" t="s">
        <v>4589</v>
      </c>
      <c r="AB20" s="5210" t="s">
        <v>4590</v>
      </c>
      <c r="AC20" s="5192" t="s">
        <v>4591</v>
      </c>
      <c r="AD20" s="5210" t="s">
        <v>4592</v>
      </c>
      <c r="AE20" s="5192" t="s">
        <v>4593</v>
      </c>
      <c r="AF20" s="5210" t="s">
        <v>4594</v>
      </c>
      <c r="AG20" s="5192" t="s">
        <v>4595</v>
      </c>
      <c r="AH20" s="5210" t="s">
        <v>4596</v>
      </c>
      <c r="AI20" s="5192" t="s">
        <v>4597</v>
      </c>
      <c r="AJ20" s="5210" t="s">
        <v>4598</v>
      </c>
      <c r="AK20" s="5192" t="s">
        <v>4599</v>
      </c>
      <c r="AL20" s="5210" t="s">
        <v>4600</v>
      </c>
      <c r="AM20" s="5192" t="s">
        <v>4601</v>
      </c>
      <c r="AN20" s="5210" t="s">
        <v>4602</v>
      </c>
      <c r="AO20" s="5195" t="s">
        <v>4603</v>
      </c>
      <c r="AP20" s="5196" t="s">
        <v>4604</v>
      </c>
      <c r="AQ20" s="5192" t="s">
        <v>4605</v>
      </c>
      <c r="AR20" s="5196" t="s">
        <v>4606</v>
      </c>
      <c r="AS20" s="5192" t="s">
        <v>4934</v>
      </c>
      <c r="AT20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0" s="1865" t="str">
        <f t="shared" si="2"/>
        <v xml:space="preserve">* La variable Pueblos originarios no debe ser mayor al TotalAmbos Sexos. </v>
      </c>
      <c r="CC20" s="1865" t="str">
        <f t="shared" si="3"/>
        <v xml:space="preserve">* La variable Migrantes no debe ser mayor al Total Ambos Sexos. </v>
      </c>
      <c r="CD20" s="1865" t="str">
        <f t="shared" si="4"/>
        <v xml:space="preserve">* La variable Niños, Niñas, Adolescentes y Jóvenes SENAME no debe ser mayor al Total Ambos Sexos. </v>
      </c>
      <c r="CE20" s="1865" t="str">
        <f t="shared" si="5"/>
        <v xml:space="preserve">* La variable Niños, Niñas, Adolescentes y Jóvenes Mejor Niñez no debe ser mayor al Total Ambos Sexos. </v>
      </c>
      <c r="CK20" s="2948">
        <f t="shared" si="6"/>
        <v>1</v>
      </c>
      <c r="CL20" s="2948">
        <f t="shared" si="7"/>
        <v>1</v>
      </c>
      <c r="CM20" s="2948">
        <f t="shared" si="8"/>
        <v>1</v>
      </c>
      <c r="CN20" s="2948">
        <f t="shared" si="9"/>
        <v>1</v>
      </c>
    </row>
    <row r="21" spans="1:92" ht="23.25" customHeight="1" x14ac:dyDescent="0.25">
      <c r="A21" s="5617">
        <v>33000009</v>
      </c>
      <c r="B21" s="7912"/>
      <c r="C21" s="7916"/>
      <c r="D21" s="5211" t="s">
        <v>4136</v>
      </c>
      <c r="E21" s="5189" t="s">
        <v>4567</v>
      </c>
      <c r="F21" s="5189" t="s">
        <v>4568</v>
      </c>
      <c r="G21" s="5191" t="s">
        <v>4569</v>
      </c>
      <c r="H21" s="5210" t="s">
        <v>4570</v>
      </c>
      <c r="I21" s="5192" t="s">
        <v>4571</v>
      </c>
      <c r="J21" s="5210" t="s">
        <v>4572</v>
      </c>
      <c r="K21" s="5192" t="s">
        <v>4573</v>
      </c>
      <c r="L21" s="5210" t="s">
        <v>4574</v>
      </c>
      <c r="M21" s="5192" t="s">
        <v>4575</v>
      </c>
      <c r="N21" s="5210" t="s">
        <v>4576</v>
      </c>
      <c r="O21" s="5192" t="s">
        <v>4577</v>
      </c>
      <c r="P21" s="5194" t="s">
        <v>4578</v>
      </c>
      <c r="Q21" s="5192" t="s">
        <v>4579</v>
      </c>
      <c r="R21" s="5194" t="s">
        <v>4580</v>
      </c>
      <c r="S21" s="5192" t="s">
        <v>4581</v>
      </c>
      <c r="T21" s="5194" t="s">
        <v>4582</v>
      </c>
      <c r="U21" s="5192" t="s">
        <v>4583</v>
      </c>
      <c r="V21" s="5194" t="s">
        <v>4584</v>
      </c>
      <c r="W21" s="5192" t="s">
        <v>4585</v>
      </c>
      <c r="X21" s="5210" t="s">
        <v>4586</v>
      </c>
      <c r="Y21" s="5192" t="s">
        <v>4587</v>
      </c>
      <c r="Z21" s="5210" t="s">
        <v>4588</v>
      </c>
      <c r="AA21" s="5192" t="s">
        <v>4589</v>
      </c>
      <c r="AB21" s="5210" t="s">
        <v>4590</v>
      </c>
      <c r="AC21" s="5192" t="s">
        <v>4591</v>
      </c>
      <c r="AD21" s="5210" t="s">
        <v>4592</v>
      </c>
      <c r="AE21" s="5192" t="s">
        <v>4593</v>
      </c>
      <c r="AF21" s="5210" t="s">
        <v>4594</v>
      </c>
      <c r="AG21" s="5192" t="s">
        <v>4595</v>
      </c>
      <c r="AH21" s="5210" t="s">
        <v>4596</v>
      </c>
      <c r="AI21" s="5192" t="s">
        <v>4597</v>
      </c>
      <c r="AJ21" s="5210" t="s">
        <v>4598</v>
      </c>
      <c r="AK21" s="5192" t="s">
        <v>4599</v>
      </c>
      <c r="AL21" s="5210" t="s">
        <v>4600</v>
      </c>
      <c r="AM21" s="5192" t="s">
        <v>4601</v>
      </c>
      <c r="AN21" s="5210" t="s">
        <v>4602</v>
      </c>
      <c r="AO21" s="5195" t="s">
        <v>4603</v>
      </c>
      <c r="AP21" s="5196" t="s">
        <v>4604</v>
      </c>
      <c r="AQ21" s="5192" t="s">
        <v>4605</v>
      </c>
      <c r="AR21" s="5196" t="s">
        <v>4606</v>
      </c>
      <c r="AS21" s="5192" t="s">
        <v>4934</v>
      </c>
      <c r="AT21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1" s="1865" t="str">
        <f t="shared" si="2"/>
        <v xml:space="preserve">* La variable Pueblos originarios no debe ser mayor al TotalAmbos Sexos. </v>
      </c>
      <c r="CC21" s="1865" t="str">
        <f t="shared" si="3"/>
        <v xml:space="preserve">* La variable Migrantes no debe ser mayor al Total Ambos Sexos. </v>
      </c>
      <c r="CD21" s="1865" t="str">
        <f t="shared" si="4"/>
        <v xml:space="preserve">* La variable Niños, Niñas, Adolescentes y Jóvenes SENAME no debe ser mayor al Total Ambos Sexos. </v>
      </c>
      <c r="CE21" s="1865" t="str">
        <f t="shared" si="5"/>
        <v xml:space="preserve">* La variable Niños, Niñas, Adolescentes y Jóvenes Mejor Niñez no debe ser mayor al Total Ambos Sexos. </v>
      </c>
      <c r="CK21" s="2948">
        <f t="shared" si="6"/>
        <v>1</v>
      </c>
      <c r="CL21" s="2948">
        <f t="shared" si="7"/>
        <v>1</v>
      </c>
      <c r="CM21" s="2948">
        <f t="shared" si="8"/>
        <v>1</v>
      </c>
      <c r="CN21" s="2948">
        <f t="shared" si="9"/>
        <v>1</v>
      </c>
    </row>
    <row r="22" spans="1:92" ht="15" customHeight="1" x14ac:dyDescent="0.25">
      <c r="A22" s="5617">
        <v>33000010</v>
      </c>
      <c r="B22" s="7912"/>
      <c r="C22" s="7916"/>
      <c r="D22" s="4697" t="s">
        <v>4137</v>
      </c>
      <c r="E22" s="5189" t="s">
        <v>4567</v>
      </c>
      <c r="F22" s="5189" t="s">
        <v>4568</v>
      </c>
      <c r="G22" s="5191" t="s">
        <v>4569</v>
      </c>
      <c r="H22" s="5210" t="s">
        <v>4570</v>
      </c>
      <c r="I22" s="5192" t="s">
        <v>4571</v>
      </c>
      <c r="J22" s="5210" t="s">
        <v>4572</v>
      </c>
      <c r="K22" s="5192" t="s">
        <v>4573</v>
      </c>
      <c r="L22" s="5210" t="s">
        <v>4574</v>
      </c>
      <c r="M22" s="5192" t="s">
        <v>4575</v>
      </c>
      <c r="N22" s="5210" t="s">
        <v>4576</v>
      </c>
      <c r="O22" s="5192" t="s">
        <v>4577</v>
      </c>
      <c r="P22" s="5194" t="s">
        <v>4578</v>
      </c>
      <c r="Q22" s="5192" t="s">
        <v>4579</v>
      </c>
      <c r="R22" s="5194" t="s">
        <v>4580</v>
      </c>
      <c r="S22" s="5192" t="s">
        <v>4581</v>
      </c>
      <c r="T22" s="5194" t="s">
        <v>4582</v>
      </c>
      <c r="U22" s="5192" t="s">
        <v>4583</v>
      </c>
      <c r="V22" s="5194" t="s">
        <v>4584</v>
      </c>
      <c r="W22" s="5192" t="s">
        <v>4585</v>
      </c>
      <c r="X22" s="5210" t="s">
        <v>4586</v>
      </c>
      <c r="Y22" s="5192" t="s">
        <v>4587</v>
      </c>
      <c r="Z22" s="5210" t="s">
        <v>4588</v>
      </c>
      <c r="AA22" s="5192" t="s">
        <v>4589</v>
      </c>
      <c r="AB22" s="5210" t="s">
        <v>4590</v>
      </c>
      <c r="AC22" s="5192" t="s">
        <v>4591</v>
      </c>
      <c r="AD22" s="5210" t="s">
        <v>4592</v>
      </c>
      <c r="AE22" s="5192" t="s">
        <v>4593</v>
      </c>
      <c r="AF22" s="5210" t="s">
        <v>4594</v>
      </c>
      <c r="AG22" s="5192" t="s">
        <v>4595</v>
      </c>
      <c r="AH22" s="5210" t="s">
        <v>4596</v>
      </c>
      <c r="AI22" s="5192" t="s">
        <v>4597</v>
      </c>
      <c r="AJ22" s="5210" t="s">
        <v>4598</v>
      </c>
      <c r="AK22" s="5192" t="s">
        <v>4599</v>
      </c>
      <c r="AL22" s="5210" t="s">
        <v>4600</v>
      </c>
      <c r="AM22" s="5192" t="s">
        <v>4601</v>
      </c>
      <c r="AN22" s="5210" t="s">
        <v>4602</v>
      </c>
      <c r="AO22" s="5195" t="s">
        <v>4603</v>
      </c>
      <c r="AP22" s="5196" t="s">
        <v>4604</v>
      </c>
      <c r="AQ22" s="5192" t="s">
        <v>4605</v>
      </c>
      <c r="AR22" s="5196" t="s">
        <v>4606</v>
      </c>
      <c r="AS22" s="5192" t="s">
        <v>4934</v>
      </c>
      <c r="AT22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2" s="1865" t="str">
        <f t="shared" si="2"/>
        <v xml:space="preserve">* La variable Pueblos originarios no debe ser mayor al TotalAmbos Sexos. </v>
      </c>
      <c r="CC22" s="1865" t="str">
        <f t="shared" si="3"/>
        <v xml:space="preserve">* La variable Migrantes no debe ser mayor al Total Ambos Sexos. </v>
      </c>
      <c r="CD22" s="1865" t="str">
        <f t="shared" si="4"/>
        <v xml:space="preserve">* La variable Niños, Niñas, Adolescentes y Jóvenes SENAME no debe ser mayor al Total Ambos Sexos. </v>
      </c>
      <c r="CE22" s="1865" t="str">
        <f t="shared" si="5"/>
        <v xml:space="preserve">* La variable Niños, Niñas, Adolescentes y Jóvenes Mejor Niñez no debe ser mayor al Total Ambos Sexos. </v>
      </c>
      <c r="CK22" s="2948">
        <f t="shared" si="6"/>
        <v>1</v>
      </c>
      <c r="CL22" s="2948">
        <f t="shared" si="7"/>
        <v>1</v>
      </c>
      <c r="CM22" s="2948">
        <f t="shared" si="8"/>
        <v>1</v>
      </c>
      <c r="CN22" s="2948">
        <f t="shared" si="9"/>
        <v>1</v>
      </c>
    </row>
    <row r="23" spans="1:92" ht="15" customHeight="1" x14ac:dyDescent="0.25">
      <c r="A23" s="5617">
        <v>33000011</v>
      </c>
      <c r="B23" s="7913"/>
      <c r="C23" s="7915"/>
      <c r="D23" s="5212" t="s">
        <v>4138</v>
      </c>
      <c r="E23" s="5197" t="s">
        <v>4567</v>
      </c>
      <c r="F23" s="5198" t="s">
        <v>4568</v>
      </c>
      <c r="G23" s="5199" t="s">
        <v>4569</v>
      </c>
      <c r="H23" s="5200" t="s">
        <v>4570</v>
      </c>
      <c r="I23" s="5201" t="s">
        <v>4571</v>
      </c>
      <c r="J23" s="5200" t="s">
        <v>4572</v>
      </c>
      <c r="K23" s="5201" t="s">
        <v>4573</v>
      </c>
      <c r="L23" s="5200" t="s">
        <v>4574</v>
      </c>
      <c r="M23" s="5201" t="s">
        <v>4575</v>
      </c>
      <c r="N23" s="5200" t="s">
        <v>4576</v>
      </c>
      <c r="O23" s="5201" t="s">
        <v>4577</v>
      </c>
      <c r="P23" s="5202" t="s">
        <v>4578</v>
      </c>
      <c r="Q23" s="5201" t="s">
        <v>4579</v>
      </c>
      <c r="R23" s="5202" t="s">
        <v>4580</v>
      </c>
      <c r="S23" s="5201" t="s">
        <v>4581</v>
      </c>
      <c r="T23" s="5202" t="s">
        <v>4582</v>
      </c>
      <c r="U23" s="5201" t="s">
        <v>4583</v>
      </c>
      <c r="V23" s="5202" t="s">
        <v>4584</v>
      </c>
      <c r="W23" s="5201" t="s">
        <v>4585</v>
      </c>
      <c r="X23" s="5200" t="s">
        <v>4586</v>
      </c>
      <c r="Y23" s="5201" t="s">
        <v>4587</v>
      </c>
      <c r="Z23" s="5200" t="s">
        <v>4588</v>
      </c>
      <c r="AA23" s="5201" t="s">
        <v>4589</v>
      </c>
      <c r="AB23" s="5200" t="s">
        <v>4590</v>
      </c>
      <c r="AC23" s="5201" t="s">
        <v>4591</v>
      </c>
      <c r="AD23" s="5200" t="s">
        <v>4592</v>
      </c>
      <c r="AE23" s="5201" t="s">
        <v>4593</v>
      </c>
      <c r="AF23" s="5200" t="s">
        <v>4594</v>
      </c>
      <c r="AG23" s="5201" t="s">
        <v>4595</v>
      </c>
      <c r="AH23" s="5200" t="s">
        <v>4596</v>
      </c>
      <c r="AI23" s="5201" t="s">
        <v>4597</v>
      </c>
      <c r="AJ23" s="5200" t="s">
        <v>4598</v>
      </c>
      <c r="AK23" s="5201" t="s">
        <v>4599</v>
      </c>
      <c r="AL23" s="5200" t="s">
        <v>4600</v>
      </c>
      <c r="AM23" s="5201" t="s">
        <v>4601</v>
      </c>
      <c r="AN23" s="5200" t="s">
        <v>4602</v>
      </c>
      <c r="AO23" s="5203" t="s">
        <v>4603</v>
      </c>
      <c r="AP23" s="5204" t="s">
        <v>4604</v>
      </c>
      <c r="AQ23" s="5201" t="s">
        <v>4605</v>
      </c>
      <c r="AR23" s="5204" t="s">
        <v>4606</v>
      </c>
      <c r="AS23" s="5201" t="s">
        <v>4934</v>
      </c>
      <c r="AT23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3" s="1865" t="str">
        <f t="shared" si="2"/>
        <v xml:space="preserve">* La variable Pueblos originarios no debe ser mayor al TotalAmbos Sexos. </v>
      </c>
      <c r="CC23" s="1865" t="str">
        <f t="shared" si="3"/>
        <v xml:space="preserve">* La variable Migrantes no debe ser mayor al Total Ambos Sexos. </v>
      </c>
      <c r="CD23" s="1865" t="str">
        <f t="shared" si="4"/>
        <v xml:space="preserve">* La variable Niños, Niñas, Adolescentes y Jóvenes SENAME no debe ser mayor al Total Ambos Sexos. </v>
      </c>
      <c r="CE23" s="1865" t="str">
        <f t="shared" si="5"/>
        <v xml:space="preserve">* La variable Niños, Niñas, Adolescentes y Jóvenes Mejor Niñez no debe ser mayor al Total Ambos Sexos. </v>
      </c>
      <c r="CK23" s="2948">
        <f t="shared" si="6"/>
        <v>1</v>
      </c>
      <c r="CL23" s="2948">
        <f t="shared" si="7"/>
        <v>1</v>
      </c>
      <c r="CM23" s="2948">
        <f t="shared" si="8"/>
        <v>1</v>
      </c>
      <c r="CN23" s="2948">
        <f t="shared" si="9"/>
        <v>1</v>
      </c>
    </row>
    <row r="24" spans="1:92" ht="15" customHeight="1" x14ac:dyDescent="0.25">
      <c r="A24" s="5617">
        <v>33000012</v>
      </c>
      <c r="B24" s="7890" t="s">
        <v>770</v>
      </c>
      <c r="C24" s="7890" t="s">
        <v>4125</v>
      </c>
      <c r="D24" s="5188" t="s">
        <v>4139</v>
      </c>
      <c r="E24" s="5206" t="s">
        <v>4567</v>
      </c>
      <c r="F24" s="5206" t="s">
        <v>4568</v>
      </c>
      <c r="G24" s="5207" t="s">
        <v>4569</v>
      </c>
      <c r="H24" s="3175" t="s">
        <v>4570</v>
      </c>
      <c r="I24" s="3176" t="s">
        <v>4571</v>
      </c>
      <c r="J24" s="3175" t="s">
        <v>4572</v>
      </c>
      <c r="K24" s="3176" t="s">
        <v>4573</v>
      </c>
      <c r="L24" s="3175" t="s">
        <v>4574</v>
      </c>
      <c r="M24" s="3176" t="s">
        <v>4575</v>
      </c>
      <c r="N24" s="3175" t="s">
        <v>4576</v>
      </c>
      <c r="O24" s="3176" t="s">
        <v>4577</v>
      </c>
      <c r="P24" s="5208" t="s">
        <v>4578</v>
      </c>
      <c r="Q24" s="3176" t="s">
        <v>4579</v>
      </c>
      <c r="R24" s="5208" t="s">
        <v>4580</v>
      </c>
      <c r="S24" s="3176" t="s">
        <v>4581</v>
      </c>
      <c r="T24" s="5208" t="s">
        <v>4582</v>
      </c>
      <c r="U24" s="3176" t="s">
        <v>4583</v>
      </c>
      <c r="V24" s="5208" t="s">
        <v>4584</v>
      </c>
      <c r="W24" s="3176" t="s">
        <v>4585</v>
      </c>
      <c r="X24" s="3175" t="s">
        <v>4586</v>
      </c>
      <c r="Y24" s="3176" t="s">
        <v>4587</v>
      </c>
      <c r="Z24" s="3175" t="s">
        <v>4588</v>
      </c>
      <c r="AA24" s="3176" t="s">
        <v>4589</v>
      </c>
      <c r="AB24" s="3175" t="s">
        <v>4590</v>
      </c>
      <c r="AC24" s="3176" t="s">
        <v>4591</v>
      </c>
      <c r="AD24" s="3175" t="s">
        <v>4592</v>
      </c>
      <c r="AE24" s="3176" t="s">
        <v>4593</v>
      </c>
      <c r="AF24" s="3175" t="s">
        <v>4594</v>
      </c>
      <c r="AG24" s="3176" t="s">
        <v>4595</v>
      </c>
      <c r="AH24" s="3175" t="s">
        <v>4596</v>
      </c>
      <c r="AI24" s="3176" t="s">
        <v>4597</v>
      </c>
      <c r="AJ24" s="3175" t="s">
        <v>4598</v>
      </c>
      <c r="AK24" s="3176" t="s">
        <v>4599</v>
      </c>
      <c r="AL24" s="3175" t="s">
        <v>4600</v>
      </c>
      <c r="AM24" s="3176" t="s">
        <v>4601</v>
      </c>
      <c r="AN24" s="3175" t="s">
        <v>4602</v>
      </c>
      <c r="AO24" s="3177" t="s">
        <v>4603</v>
      </c>
      <c r="AP24" s="5209" t="s">
        <v>4604</v>
      </c>
      <c r="AQ24" s="3176" t="s">
        <v>4605</v>
      </c>
      <c r="AR24" s="5209" t="s">
        <v>4606</v>
      </c>
      <c r="AS24" s="3176" t="s">
        <v>4934</v>
      </c>
      <c r="AT24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4" s="1865" t="str">
        <f t="shared" si="2"/>
        <v xml:space="preserve">* La variable Pueblos originarios no debe ser mayor al TotalAmbos Sexos. </v>
      </c>
      <c r="CC24" s="1865" t="str">
        <f t="shared" si="3"/>
        <v xml:space="preserve">* La variable Migrantes no debe ser mayor al Total Ambos Sexos. </v>
      </c>
      <c r="CD24" s="1865" t="str">
        <f t="shared" si="4"/>
        <v xml:space="preserve">* La variable Niños, Niñas, Adolescentes y Jóvenes SENAME no debe ser mayor al Total Ambos Sexos. </v>
      </c>
      <c r="CE24" s="1865" t="str">
        <f t="shared" si="5"/>
        <v xml:space="preserve">* La variable Niños, Niñas, Adolescentes y Jóvenes Mejor Niñez no debe ser mayor al Total Ambos Sexos. </v>
      </c>
      <c r="CK24" s="2948">
        <f t="shared" si="6"/>
        <v>1</v>
      </c>
      <c r="CL24" s="2948">
        <f t="shared" si="7"/>
        <v>1</v>
      </c>
      <c r="CM24" s="2948">
        <f t="shared" si="8"/>
        <v>1</v>
      </c>
      <c r="CN24" s="2948">
        <f t="shared" si="9"/>
        <v>1</v>
      </c>
    </row>
    <row r="25" spans="1:92" ht="15" customHeight="1" x14ac:dyDescent="0.25">
      <c r="A25" s="5617">
        <v>33000013</v>
      </c>
      <c r="B25" s="7917"/>
      <c r="C25" s="7917"/>
      <c r="D25" s="4994" t="s">
        <v>4140</v>
      </c>
      <c r="E25" s="5189" t="s">
        <v>4567</v>
      </c>
      <c r="F25" s="5189" t="s">
        <v>4568</v>
      </c>
      <c r="G25" s="5191" t="s">
        <v>4569</v>
      </c>
      <c r="H25" s="5210" t="s">
        <v>4570</v>
      </c>
      <c r="I25" s="5192" t="s">
        <v>4571</v>
      </c>
      <c r="J25" s="5210" t="s">
        <v>4572</v>
      </c>
      <c r="K25" s="5192" t="s">
        <v>4573</v>
      </c>
      <c r="L25" s="5210" t="s">
        <v>4574</v>
      </c>
      <c r="M25" s="5192" t="s">
        <v>4575</v>
      </c>
      <c r="N25" s="5210" t="s">
        <v>4576</v>
      </c>
      <c r="O25" s="5192" t="s">
        <v>4577</v>
      </c>
      <c r="P25" s="5194" t="s">
        <v>4578</v>
      </c>
      <c r="Q25" s="5192" t="s">
        <v>4579</v>
      </c>
      <c r="R25" s="5194" t="s">
        <v>4580</v>
      </c>
      <c r="S25" s="5192" t="s">
        <v>4581</v>
      </c>
      <c r="T25" s="5194" t="s">
        <v>4582</v>
      </c>
      <c r="U25" s="5192" t="s">
        <v>4583</v>
      </c>
      <c r="V25" s="5194" t="s">
        <v>4584</v>
      </c>
      <c r="W25" s="5192" t="s">
        <v>4585</v>
      </c>
      <c r="X25" s="5210" t="s">
        <v>4586</v>
      </c>
      <c r="Y25" s="5192" t="s">
        <v>4587</v>
      </c>
      <c r="Z25" s="5210" t="s">
        <v>4588</v>
      </c>
      <c r="AA25" s="5192" t="s">
        <v>4589</v>
      </c>
      <c r="AB25" s="5210" t="s">
        <v>4590</v>
      </c>
      <c r="AC25" s="5192" t="s">
        <v>4591</v>
      </c>
      <c r="AD25" s="5210" t="s">
        <v>4592</v>
      </c>
      <c r="AE25" s="5192" t="s">
        <v>4593</v>
      </c>
      <c r="AF25" s="5210" t="s">
        <v>4594</v>
      </c>
      <c r="AG25" s="5192" t="s">
        <v>4595</v>
      </c>
      <c r="AH25" s="5210" t="s">
        <v>4596</v>
      </c>
      <c r="AI25" s="5192" t="s">
        <v>4597</v>
      </c>
      <c r="AJ25" s="5210" t="s">
        <v>4598</v>
      </c>
      <c r="AK25" s="5192" t="s">
        <v>4599</v>
      </c>
      <c r="AL25" s="5210" t="s">
        <v>4600</v>
      </c>
      <c r="AM25" s="5192" t="s">
        <v>4601</v>
      </c>
      <c r="AN25" s="5210" t="s">
        <v>4602</v>
      </c>
      <c r="AO25" s="5195" t="s">
        <v>4603</v>
      </c>
      <c r="AP25" s="5196" t="s">
        <v>4604</v>
      </c>
      <c r="AQ25" s="5192" t="s">
        <v>4605</v>
      </c>
      <c r="AR25" s="5196" t="s">
        <v>4606</v>
      </c>
      <c r="AS25" s="5192" t="s">
        <v>4934</v>
      </c>
      <c r="AT25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5" s="1865" t="str">
        <f t="shared" si="2"/>
        <v xml:space="preserve">* La variable Pueblos originarios no debe ser mayor al TotalAmbos Sexos. </v>
      </c>
      <c r="CC25" s="1865" t="str">
        <f t="shared" si="3"/>
        <v xml:space="preserve">* La variable Migrantes no debe ser mayor al Total Ambos Sexos. </v>
      </c>
      <c r="CD25" s="1865" t="str">
        <f t="shared" si="4"/>
        <v xml:space="preserve">* La variable Niños, Niñas, Adolescentes y Jóvenes SENAME no debe ser mayor al Total Ambos Sexos. </v>
      </c>
      <c r="CE25" s="1865" t="str">
        <f t="shared" si="5"/>
        <v xml:space="preserve">* La variable Niños, Niñas, Adolescentes y Jóvenes Mejor Niñez no debe ser mayor al Total Ambos Sexos. </v>
      </c>
      <c r="CK25" s="2948">
        <f t="shared" si="6"/>
        <v>1</v>
      </c>
      <c r="CL25" s="2948">
        <f t="shared" si="7"/>
        <v>1</v>
      </c>
      <c r="CM25" s="2948">
        <f t="shared" si="8"/>
        <v>1</v>
      </c>
      <c r="CN25" s="2948">
        <f t="shared" si="9"/>
        <v>1</v>
      </c>
    </row>
    <row r="26" spans="1:92" ht="15" customHeight="1" x14ac:dyDescent="0.25">
      <c r="A26" s="5617">
        <v>33000014</v>
      </c>
      <c r="B26" s="7917"/>
      <c r="C26" s="7917"/>
      <c r="D26" s="4994" t="s">
        <v>4141</v>
      </c>
      <c r="E26" s="5189" t="s">
        <v>4567</v>
      </c>
      <c r="F26" s="5189" t="s">
        <v>4568</v>
      </c>
      <c r="G26" s="5191" t="s">
        <v>4569</v>
      </c>
      <c r="H26" s="5210" t="s">
        <v>4570</v>
      </c>
      <c r="I26" s="5192" t="s">
        <v>4571</v>
      </c>
      <c r="J26" s="5210" t="s">
        <v>4572</v>
      </c>
      <c r="K26" s="5192" t="s">
        <v>4573</v>
      </c>
      <c r="L26" s="5210" t="s">
        <v>4574</v>
      </c>
      <c r="M26" s="5192" t="s">
        <v>4575</v>
      </c>
      <c r="N26" s="5210" t="s">
        <v>4576</v>
      </c>
      <c r="O26" s="5192" t="s">
        <v>4577</v>
      </c>
      <c r="P26" s="5194" t="s">
        <v>4578</v>
      </c>
      <c r="Q26" s="5192" t="s">
        <v>4579</v>
      </c>
      <c r="R26" s="5194" t="s">
        <v>4580</v>
      </c>
      <c r="S26" s="5192" t="s">
        <v>4581</v>
      </c>
      <c r="T26" s="5194" t="s">
        <v>4582</v>
      </c>
      <c r="U26" s="5192" t="s">
        <v>4583</v>
      </c>
      <c r="V26" s="5194" t="s">
        <v>4584</v>
      </c>
      <c r="W26" s="5192" t="s">
        <v>4585</v>
      </c>
      <c r="X26" s="5210" t="s">
        <v>4586</v>
      </c>
      <c r="Y26" s="5192" t="s">
        <v>4587</v>
      </c>
      <c r="Z26" s="5210" t="s">
        <v>4588</v>
      </c>
      <c r="AA26" s="5192" t="s">
        <v>4589</v>
      </c>
      <c r="AB26" s="5210" t="s">
        <v>4590</v>
      </c>
      <c r="AC26" s="5192" t="s">
        <v>4591</v>
      </c>
      <c r="AD26" s="5210" t="s">
        <v>4592</v>
      </c>
      <c r="AE26" s="5192" t="s">
        <v>4593</v>
      </c>
      <c r="AF26" s="5210" t="s">
        <v>4594</v>
      </c>
      <c r="AG26" s="5192" t="s">
        <v>4595</v>
      </c>
      <c r="AH26" s="5210" t="s">
        <v>4596</v>
      </c>
      <c r="AI26" s="5192" t="s">
        <v>4597</v>
      </c>
      <c r="AJ26" s="5210" t="s">
        <v>4598</v>
      </c>
      <c r="AK26" s="5192" t="s">
        <v>4599</v>
      </c>
      <c r="AL26" s="5210" t="s">
        <v>4600</v>
      </c>
      <c r="AM26" s="5192" t="s">
        <v>4601</v>
      </c>
      <c r="AN26" s="5210" t="s">
        <v>4602</v>
      </c>
      <c r="AO26" s="5195" t="s">
        <v>4603</v>
      </c>
      <c r="AP26" s="5196" t="s">
        <v>4604</v>
      </c>
      <c r="AQ26" s="5192" t="s">
        <v>4605</v>
      </c>
      <c r="AR26" s="5196" t="s">
        <v>4606</v>
      </c>
      <c r="AS26" s="5192" t="s">
        <v>4934</v>
      </c>
      <c r="AT26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6" s="1865" t="str">
        <f t="shared" si="2"/>
        <v xml:space="preserve">* La variable Pueblos originarios no debe ser mayor al TotalAmbos Sexos. </v>
      </c>
      <c r="CC26" s="1865" t="str">
        <f t="shared" si="3"/>
        <v xml:space="preserve">* La variable Migrantes no debe ser mayor al Total Ambos Sexos. </v>
      </c>
      <c r="CD26" s="1865" t="str">
        <f t="shared" si="4"/>
        <v xml:space="preserve">* La variable Niños, Niñas, Adolescentes y Jóvenes SENAME no debe ser mayor al Total Ambos Sexos. </v>
      </c>
      <c r="CE26" s="1865" t="str">
        <f t="shared" si="5"/>
        <v xml:space="preserve">* La variable Niños, Niñas, Adolescentes y Jóvenes Mejor Niñez no debe ser mayor al Total Ambos Sexos. </v>
      </c>
      <c r="CK26" s="2948">
        <f t="shared" si="6"/>
        <v>1</v>
      </c>
      <c r="CL26" s="2948">
        <f t="shared" si="7"/>
        <v>1</v>
      </c>
      <c r="CM26" s="2948">
        <f t="shared" si="8"/>
        <v>1</v>
      </c>
      <c r="CN26" s="2948">
        <f t="shared" si="9"/>
        <v>1</v>
      </c>
    </row>
    <row r="27" spans="1:92" ht="15" customHeight="1" x14ac:dyDescent="0.25">
      <c r="A27" s="5617">
        <v>33000015</v>
      </c>
      <c r="B27" s="7917"/>
      <c r="C27" s="7917"/>
      <c r="D27" s="4994" t="s">
        <v>4142</v>
      </c>
      <c r="E27" s="5189" t="s">
        <v>4567</v>
      </c>
      <c r="F27" s="5189" t="s">
        <v>4568</v>
      </c>
      <c r="G27" s="5191" t="s">
        <v>4569</v>
      </c>
      <c r="H27" s="5210" t="s">
        <v>4570</v>
      </c>
      <c r="I27" s="5192" t="s">
        <v>4571</v>
      </c>
      <c r="J27" s="5210" t="s">
        <v>4572</v>
      </c>
      <c r="K27" s="5192" t="s">
        <v>4573</v>
      </c>
      <c r="L27" s="5210" t="s">
        <v>4574</v>
      </c>
      <c r="M27" s="5192" t="s">
        <v>4575</v>
      </c>
      <c r="N27" s="5210" t="s">
        <v>4576</v>
      </c>
      <c r="O27" s="5192" t="s">
        <v>4577</v>
      </c>
      <c r="P27" s="5194" t="s">
        <v>4578</v>
      </c>
      <c r="Q27" s="5192" t="s">
        <v>4579</v>
      </c>
      <c r="R27" s="5194" t="s">
        <v>4580</v>
      </c>
      <c r="S27" s="5192" t="s">
        <v>4581</v>
      </c>
      <c r="T27" s="5194" t="s">
        <v>4582</v>
      </c>
      <c r="U27" s="5192" t="s">
        <v>4583</v>
      </c>
      <c r="V27" s="5194" t="s">
        <v>4584</v>
      </c>
      <c r="W27" s="5192" t="s">
        <v>4585</v>
      </c>
      <c r="X27" s="5210" t="s">
        <v>4586</v>
      </c>
      <c r="Y27" s="5192" t="s">
        <v>4587</v>
      </c>
      <c r="Z27" s="5210" t="s">
        <v>4588</v>
      </c>
      <c r="AA27" s="5192" t="s">
        <v>4589</v>
      </c>
      <c r="AB27" s="5210" t="s">
        <v>4590</v>
      </c>
      <c r="AC27" s="5192" t="s">
        <v>4591</v>
      </c>
      <c r="AD27" s="5210" t="s">
        <v>4592</v>
      </c>
      <c r="AE27" s="5192" t="s">
        <v>4593</v>
      </c>
      <c r="AF27" s="5210" t="s">
        <v>4594</v>
      </c>
      <c r="AG27" s="5192" t="s">
        <v>4595</v>
      </c>
      <c r="AH27" s="5210" t="s">
        <v>4596</v>
      </c>
      <c r="AI27" s="5192" t="s">
        <v>4597</v>
      </c>
      <c r="AJ27" s="5210" t="s">
        <v>4598</v>
      </c>
      <c r="AK27" s="5192" t="s">
        <v>4599</v>
      </c>
      <c r="AL27" s="5210" t="s">
        <v>4600</v>
      </c>
      <c r="AM27" s="5192" t="s">
        <v>4601</v>
      </c>
      <c r="AN27" s="5210" t="s">
        <v>4602</v>
      </c>
      <c r="AO27" s="5195" t="s">
        <v>4603</v>
      </c>
      <c r="AP27" s="5196" t="s">
        <v>4604</v>
      </c>
      <c r="AQ27" s="5192" t="s">
        <v>4605</v>
      </c>
      <c r="AR27" s="5196" t="s">
        <v>4606</v>
      </c>
      <c r="AS27" s="5192" t="s">
        <v>4934</v>
      </c>
      <c r="AT27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7" s="1865" t="str">
        <f t="shared" si="2"/>
        <v xml:space="preserve">* La variable Pueblos originarios no debe ser mayor al TotalAmbos Sexos. </v>
      </c>
      <c r="CC27" s="1865" t="str">
        <f t="shared" si="3"/>
        <v xml:space="preserve">* La variable Migrantes no debe ser mayor al Total Ambos Sexos. </v>
      </c>
      <c r="CD27" s="1865" t="str">
        <f t="shared" si="4"/>
        <v xml:space="preserve">* La variable Niños, Niñas, Adolescentes y Jóvenes SENAME no debe ser mayor al Total Ambos Sexos. </v>
      </c>
      <c r="CE27" s="1865" t="str">
        <f t="shared" si="5"/>
        <v xml:space="preserve">* La variable Niños, Niñas, Adolescentes y Jóvenes Mejor Niñez no debe ser mayor al Total Ambos Sexos. </v>
      </c>
      <c r="CK27" s="2948">
        <f t="shared" si="6"/>
        <v>1</v>
      </c>
      <c r="CL27" s="2948">
        <f t="shared" si="7"/>
        <v>1</v>
      </c>
      <c r="CM27" s="2948">
        <f t="shared" si="8"/>
        <v>1</v>
      </c>
      <c r="CN27" s="2948">
        <f t="shared" si="9"/>
        <v>1</v>
      </c>
    </row>
    <row r="28" spans="1:92" ht="15" customHeight="1" x14ac:dyDescent="0.25">
      <c r="A28" s="5617">
        <v>33000016</v>
      </c>
      <c r="B28" s="7917"/>
      <c r="C28" s="7917"/>
      <c r="D28" s="4994" t="s">
        <v>4143</v>
      </c>
      <c r="E28" s="5189" t="s">
        <v>4567</v>
      </c>
      <c r="F28" s="5189" t="s">
        <v>4568</v>
      </c>
      <c r="G28" s="5191" t="s">
        <v>4569</v>
      </c>
      <c r="H28" s="5210" t="s">
        <v>4570</v>
      </c>
      <c r="I28" s="5192" t="s">
        <v>4571</v>
      </c>
      <c r="J28" s="5210" t="s">
        <v>4572</v>
      </c>
      <c r="K28" s="5192" t="s">
        <v>4573</v>
      </c>
      <c r="L28" s="5210" t="s">
        <v>4574</v>
      </c>
      <c r="M28" s="5192" t="s">
        <v>4575</v>
      </c>
      <c r="N28" s="5210" t="s">
        <v>4576</v>
      </c>
      <c r="O28" s="5192" t="s">
        <v>4577</v>
      </c>
      <c r="P28" s="5194" t="s">
        <v>4578</v>
      </c>
      <c r="Q28" s="5192" t="s">
        <v>4579</v>
      </c>
      <c r="R28" s="5194" t="s">
        <v>4580</v>
      </c>
      <c r="S28" s="5192" t="s">
        <v>4581</v>
      </c>
      <c r="T28" s="5194" t="s">
        <v>4582</v>
      </c>
      <c r="U28" s="5192" t="s">
        <v>4583</v>
      </c>
      <c r="V28" s="5194" t="s">
        <v>4584</v>
      </c>
      <c r="W28" s="5192" t="s">
        <v>4585</v>
      </c>
      <c r="X28" s="5210" t="s">
        <v>4586</v>
      </c>
      <c r="Y28" s="5192" t="s">
        <v>4587</v>
      </c>
      <c r="Z28" s="5210" t="s">
        <v>4588</v>
      </c>
      <c r="AA28" s="5192" t="s">
        <v>4589</v>
      </c>
      <c r="AB28" s="5210" t="s">
        <v>4590</v>
      </c>
      <c r="AC28" s="5192" t="s">
        <v>4591</v>
      </c>
      <c r="AD28" s="5210" t="s">
        <v>4592</v>
      </c>
      <c r="AE28" s="5192" t="s">
        <v>4593</v>
      </c>
      <c r="AF28" s="5210" t="s">
        <v>4594</v>
      </c>
      <c r="AG28" s="5192" t="s">
        <v>4595</v>
      </c>
      <c r="AH28" s="5210" t="s">
        <v>4596</v>
      </c>
      <c r="AI28" s="5192" t="s">
        <v>4597</v>
      </c>
      <c r="AJ28" s="5210" t="s">
        <v>4598</v>
      </c>
      <c r="AK28" s="5192" t="s">
        <v>4599</v>
      </c>
      <c r="AL28" s="5210" t="s">
        <v>4600</v>
      </c>
      <c r="AM28" s="5192" t="s">
        <v>4601</v>
      </c>
      <c r="AN28" s="5210" t="s">
        <v>4602</v>
      </c>
      <c r="AO28" s="5195" t="s">
        <v>4603</v>
      </c>
      <c r="AP28" s="5196" t="s">
        <v>4604</v>
      </c>
      <c r="AQ28" s="5192" t="s">
        <v>4605</v>
      </c>
      <c r="AR28" s="5196" t="s">
        <v>4606</v>
      </c>
      <c r="AS28" s="5192" t="s">
        <v>4934</v>
      </c>
      <c r="AT28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8" s="1865" t="str">
        <f t="shared" si="2"/>
        <v xml:space="preserve">* La variable Pueblos originarios no debe ser mayor al TotalAmbos Sexos. </v>
      </c>
      <c r="CC28" s="1865" t="str">
        <f t="shared" si="3"/>
        <v xml:space="preserve">* La variable Migrantes no debe ser mayor al Total Ambos Sexos. </v>
      </c>
      <c r="CD28" s="1865" t="str">
        <f t="shared" si="4"/>
        <v xml:space="preserve">* La variable Niños, Niñas, Adolescentes y Jóvenes SENAME no debe ser mayor al Total Ambos Sexos. </v>
      </c>
      <c r="CE28" s="1865" t="str">
        <f t="shared" si="5"/>
        <v xml:space="preserve">* La variable Niños, Niñas, Adolescentes y Jóvenes Mejor Niñez no debe ser mayor al Total Ambos Sexos. </v>
      </c>
      <c r="CK28" s="2948">
        <f t="shared" si="6"/>
        <v>1</v>
      </c>
      <c r="CL28" s="2948">
        <f t="shared" si="7"/>
        <v>1</v>
      </c>
      <c r="CM28" s="2948">
        <f t="shared" si="8"/>
        <v>1</v>
      </c>
      <c r="CN28" s="2948">
        <f t="shared" si="9"/>
        <v>1</v>
      </c>
    </row>
    <row r="29" spans="1:92" ht="15" customHeight="1" x14ac:dyDescent="0.25">
      <c r="A29" s="5617">
        <v>33000017</v>
      </c>
      <c r="B29" s="7917"/>
      <c r="C29" s="7153"/>
      <c r="D29" s="914" t="s">
        <v>4144</v>
      </c>
      <c r="E29" s="5197" t="s">
        <v>4567</v>
      </c>
      <c r="F29" s="5198" t="s">
        <v>4568</v>
      </c>
      <c r="G29" s="5199" t="s">
        <v>4569</v>
      </c>
      <c r="H29" s="5200" t="s">
        <v>4570</v>
      </c>
      <c r="I29" s="5201" t="s">
        <v>4571</v>
      </c>
      <c r="J29" s="5200" t="s">
        <v>4572</v>
      </c>
      <c r="K29" s="5201" t="s">
        <v>4573</v>
      </c>
      <c r="L29" s="5200" t="s">
        <v>4574</v>
      </c>
      <c r="M29" s="5201" t="s">
        <v>4575</v>
      </c>
      <c r="N29" s="5200" t="s">
        <v>4576</v>
      </c>
      <c r="O29" s="5201" t="s">
        <v>4577</v>
      </c>
      <c r="P29" s="5202" t="s">
        <v>4578</v>
      </c>
      <c r="Q29" s="5201" t="s">
        <v>4579</v>
      </c>
      <c r="R29" s="5202" t="s">
        <v>4580</v>
      </c>
      <c r="S29" s="5201" t="s">
        <v>4581</v>
      </c>
      <c r="T29" s="5202" t="s">
        <v>4582</v>
      </c>
      <c r="U29" s="5201" t="s">
        <v>4583</v>
      </c>
      <c r="V29" s="5202" t="s">
        <v>4584</v>
      </c>
      <c r="W29" s="5201" t="s">
        <v>4585</v>
      </c>
      <c r="X29" s="5200" t="s">
        <v>4586</v>
      </c>
      <c r="Y29" s="5201" t="s">
        <v>4587</v>
      </c>
      <c r="Z29" s="5200" t="s">
        <v>4588</v>
      </c>
      <c r="AA29" s="5201" t="s">
        <v>4589</v>
      </c>
      <c r="AB29" s="5200" t="s">
        <v>4590</v>
      </c>
      <c r="AC29" s="5201" t="s">
        <v>4591</v>
      </c>
      <c r="AD29" s="5200" t="s">
        <v>4592</v>
      </c>
      <c r="AE29" s="5201" t="s">
        <v>4593</v>
      </c>
      <c r="AF29" s="5200" t="s">
        <v>4594</v>
      </c>
      <c r="AG29" s="5201" t="s">
        <v>4595</v>
      </c>
      <c r="AH29" s="5200" t="s">
        <v>4596</v>
      </c>
      <c r="AI29" s="5201" t="s">
        <v>4597</v>
      </c>
      <c r="AJ29" s="5200" t="s">
        <v>4598</v>
      </c>
      <c r="AK29" s="5201" t="s">
        <v>4599</v>
      </c>
      <c r="AL29" s="5200" t="s">
        <v>4600</v>
      </c>
      <c r="AM29" s="5201" t="s">
        <v>4601</v>
      </c>
      <c r="AN29" s="5200" t="s">
        <v>4602</v>
      </c>
      <c r="AO29" s="5203" t="s">
        <v>4603</v>
      </c>
      <c r="AP29" s="5204" t="s">
        <v>4604</v>
      </c>
      <c r="AQ29" s="5201" t="s">
        <v>4605</v>
      </c>
      <c r="AR29" s="5204" t="s">
        <v>4606</v>
      </c>
      <c r="AS29" s="5201" t="s">
        <v>4934</v>
      </c>
      <c r="AT29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9" s="1865" t="str">
        <f t="shared" si="2"/>
        <v xml:space="preserve">* La variable Pueblos originarios no debe ser mayor al TotalAmbos Sexos. </v>
      </c>
      <c r="CC29" s="1865" t="str">
        <f t="shared" si="3"/>
        <v xml:space="preserve">* La variable Migrantes no debe ser mayor al Total Ambos Sexos. </v>
      </c>
      <c r="CD29" s="1865" t="str">
        <f t="shared" si="4"/>
        <v xml:space="preserve">* La variable Niños, Niñas, Adolescentes y Jóvenes SENAME no debe ser mayor al Total Ambos Sexos. </v>
      </c>
      <c r="CE29" s="1865" t="str">
        <f t="shared" si="5"/>
        <v xml:space="preserve">* La variable Niños, Niñas, Adolescentes y Jóvenes Mejor Niñez no debe ser mayor al Total Ambos Sexos. </v>
      </c>
      <c r="CK29" s="2948">
        <f t="shared" si="6"/>
        <v>1</v>
      </c>
      <c r="CL29" s="2948">
        <f t="shared" si="7"/>
        <v>1</v>
      </c>
      <c r="CM29" s="2948">
        <f t="shared" si="8"/>
        <v>1</v>
      </c>
      <c r="CN29" s="2948">
        <f t="shared" si="9"/>
        <v>1</v>
      </c>
    </row>
    <row r="30" spans="1:92" ht="15" customHeight="1" x14ac:dyDescent="0.25">
      <c r="A30" s="5617">
        <v>33000018</v>
      </c>
      <c r="B30" s="7917"/>
      <c r="C30" s="7890" t="s">
        <v>4128</v>
      </c>
      <c r="D30" s="5188" t="s">
        <v>4139</v>
      </c>
      <c r="E30" s="5206" t="s">
        <v>4567</v>
      </c>
      <c r="F30" s="5206" t="s">
        <v>4568</v>
      </c>
      <c r="G30" s="5207" t="s">
        <v>4569</v>
      </c>
      <c r="H30" s="3175" t="s">
        <v>4570</v>
      </c>
      <c r="I30" s="3176" t="s">
        <v>4571</v>
      </c>
      <c r="J30" s="3175" t="s">
        <v>4572</v>
      </c>
      <c r="K30" s="3176" t="s">
        <v>4573</v>
      </c>
      <c r="L30" s="3175" t="s">
        <v>4574</v>
      </c>
      <c r="M30" s="3176" t="s">
        <v>4575</v>
      </c>
      <c r="N30" s="3175" t="s">
        <v>4576</v>
      </c>
      <c r="O30" s="3176" t="s">
        <v>4577</v>
      </c>
      <c r="P30" s="5208" t="s">
        <v>4578</v>
      </c>
      <c r="Q30" s="3176" t="s">
        <v>4579</v>
      </c>
      <c r="R30" s="5208" t="s">
        <v>4580</v>
      </c>
      <c r="S30" s="3176" t="s">
        <v>4581</v>
      </c>
      <c r="T30" s="5208" t="s">
        <v>4582</v>
      </c>
      <c r="U30" s="3176" t="s">
        <v>4583</v>
      </c>
      <c r="V30" s="5208" t="s">
        <v>4584</v>
      </c>
      <c r="W30" s="3176" t="s">
        <v>4585</v>
      </c>
      <c r="X30" s="3175" t="s">
        <v>4586</v>
      </c>
      <c r="Y30" s="3176" t="s">
        <v>4587</v>
      </c>
      <c r="Z30" s="3175" t="s">
        <v>4588</v>
      </c>
      <c r="AA30" s="3176" t="s">
        <v>4589</v>
      </c>
      <c r="AB30" s="3175" t="s">
        <v>4590</v>
      </c>
      <c r="AC30" s="3176" t="s">
        <v>4591</v>
      </c>
      <c r="AD30" s="3175" t="s">
        <v>4592</v>
      </c>
      <c r="AE30" s="3176" t="s">
        <v>4593</v>
      </c>
      <c r="AF30" s="3175" t="s">
        <v>4594</v>
      </c>
      <c r="AG30" s="3176" t="s">
        <v>4595</v>
      </c>
      <c r="AH30" s="3175" t="s">
        <v>4596</v>
      </c>
      <c r="AI30" s="3176" t="s">
        <v>4597</v>
      </c>
      <c r="AJ30" s="3175" t="s">
        <v>4598</v>
      </c>
      <c r="AK30" s="3176" t="s">
        <v>4599</v>
      </c>
      <c r="AL30" s="3175" t="s">
        <v>4600</v>
      </c>
      <c r="AM30" s="3176" t="s">
        <v>4601</v>
      </c>
      <c r="AN30" s="3175" t="s">
        <v>4602</v>
      </c>
      <c r="AO30" s="3177" t="s">
        <v>4603</v>
      </c>
      <c r="AP30" s="5209" t="s">
        <v>4604</v>
      </c>
      <c r="AQ30" s="3176" t="s">
        <v>4605</v>
      </c>
      <c r="AR30" s="5209" t="s">
        <v>4606</v>
      </c>
      <c r="AS30" s="3176" t="s">
        <v>4934</v>
      </c>
      <c r="AT30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0" s="1865" t="str">
        <f t="shared" si="2"/>
        <v xml:space="preserve">* La variable Pueblos originarios no debe ser mayor al TotalAmbos Sexos. </v>
      </c>
      <c r="CC30" s="1865" t="str">
        <f t="shared" si="3"/>
        <v xml:space="preserve">* La variable Migrantes no debe ser mayor al Total Ambos Sexos. </v>
      </c>
      <c r="CD30" s="1865" t="str">
        <f t="shared" si="4"/>
        <v xml:space="preserve">* La variable Niños, Niñas, Adolescentes y Jóvenes SENAME no debe ser mayor al Total Ambos Sexos. </v>
      </c>
      <c r="CE30" s="1865" t="str">
        <f t="shared" si="5"/>
        <v xml:space="preserve">* La variable Niños, Niñas, Adolescentes y Jóvenes Mejor Niñez no debe ser mayor al Total Ambos Sexos. </v>
      </c>
      <c r="CK30" s="2948">
        <f t="shared" si="6"/>
        <v>1</v>
      </c>
      <c r="CL30" s="2948">
        <f t="shared" si="7"/>
        <v>1</v>
      </c>
      <c r="CM30" s="2948">
        <f t="shared" si="8"/>
        <v>1</v>
      </c>
      <c r="CN30" s="2948">
        <f t="shared" si="9"/>
        <v>1</v>
      </c>
    </row>
    <row r="31" spans="1:92" ht="21.75" customHeight="1" x14ac:dyDescent="0.25">
      <c r="A31" s="5617">
        <v>33000019</v>
      </c>
      <c r="B31" s="7917"/>
      <c r="C31" s="7917"/>
      <c r="D31" s="4994" t="s">
        <v>4140</v>
      </c>
      <c r="E31" s="5189" t="s">
        <v>4567</v>
      </c>
      <c r="F31" s="5189" t="s">
        <v>4568</v>
      </c>
      <c r="G31" s="5191" t="s">
        <v>4569</v>
      </c>
      <c r="H31" s="5210" t="s">
        <v>4570</v>
      </c>
      <c r="I31" s="5192" t="s">
        <v>4571</v>
      </c>
      <c r="J31" s="5210" t="s">
        <v>4572</v>
      </c>
      <c r="K31" s="5192" t="s">
        <v>4573</v>
      </c>
      <c r="L31" s="5210" t="s">
        <v>4574</v>
      </c>
      <c r="M31" s="5192" t="s">
        <v>4575</v>
      </c>
      <c r="N31" s="5210" t="s">
        <v>4576</v>
      </c>
      <c r="O31" s="5192" t="s">
        <v>4577</v>
      </c>
      <c r="P31" s="5194" t="s">
        <v>4578</v>
      </c>
      <c r="Q31" s="5192" t="s">
        <v>4579</v>
      </c>
      <c r="R31" s="5194" t="s">
        <v>4580</v>
      </c>
      <c r="S31" s="5192" t="s">
        <v>4581</v>
      </c>
      <c r="T31" s="5194" t="s">
        <v>4582</v>
      </c>
      <c r="U31" s="5192" t="s">
        <v>4583</v>
      </c>
      <c r="V31" s="5194" t="s">
        <v>4584</v>
      </c>
      <c r="W31" s="5192" t="s">
        <v>4585</v>
      </c>
      <c r="X31" s="5210" t="s">
        <v>4586</v>
      </c>
      <c r="Y31" s="5192" t="s">
        <v>4587</v>
      </c>
      <c r="Z31" s="5210" t="s">
        <v>4588</v>
      </c>
      <c r="AA31" s="5192" t="s">
        <v>4589</v>
      </c>
      <c r="AB31" s="5210" t="s">
        <v>4590</v>
      </c>
      <c r="AC31" s="5192" t="s">
        <v>4591</v>
      </c>
      <c r="AD31" s="5210" t="s">
        <v>4592</v>
      </c>
      <c r="AE31" s="5192" t="s">
        <v>4593</v>
      </c>
      <c r="AF31" s="5210" t="s">
        <v>4594</v>
      </c>
      <c r="AG31" s="5192" t="s">
        <v>4595</v>
      </c>
      <c r="AH31" s="5210" t="s">
        <v>4596</v>
      </c>
      <c r="AI31" s="5192" t="s">
        <v>4597</v>
      </c>
      <c r="AJ31" s="5210" t="s">
        <v>4598</v>
      </c>
      <c r="AK31" s="5192" t="s">
        <v>4599</v>
      </c>
      <c r="AL31" s="5210" t="s">
        <v>4600</v>
      </c>
      <c r="AM31" s="5192" t="s">
        <v>4601</v>
      </c>
      <c r="AN31" s="5210" t="s">
        <v>4602</v>
      </c>
      <c r="AO31" s="5195" t="s">
        <v>4603</v>
      </c>
      <c r="AP31" s="5196" t="s">
        <v>4604</v>
      </c>
      <c r="AQ31" s="5192" t="s">
        <v>4605</v>
      </c>
      <c r="AR31" s="5196" t="s">
        <v>4606</v>
      </c>
      <c r="AS31" s="5192" t="s">
        <v>4934</v>
      </c>
      <c r="AT31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1" s="1865" t="str">
        <f t="shared" si="2"/>
        <v xml:space="preserve">* La variable Pueblos originarios no debe ser mayor al TotalAmbos Sexos. </v>
      </c>
      <c r="CC31" s="1865" t="str">
        <f t="shared" si="3"/>
        <v xml:space="preserve">* La variable Migrantes no debe ser mayor al Total Ambos Sexos. </v>
      </c>
      <c r="CD31" s="1865" t="str">
        <f t="shared" si="4"/>
        <v xml:space="preserve">* La variable Niños, Niñas, Adolescentes y Jóvenes SENAME no debe ser mayor al Total Ambos Sexos. </v>
      </c>
      <c r="CE31" s="1865" t="str">
        <f t="shared" si="5"/>
        <v xml:space="preserve">* La variable Niños, Niñas, Adolescentes y Jóvenes Mejor Niñez no debe ser mayor al Total Ambos Sexos. </v>
      </c>
      <c r="CK31" s="2948">
        <f t="shared" si="6"/>
        <v>1</v>
      </c>
      <c r="CL31" s="2948">
        <f t="shared" si="7"/>
        <v>1</v>
      </c>
      <c r="CM31" s="2948">
        <f t="shared" si="8"/>
        <v>1</v>
      </c>
      <c r="CN31" s="2948">
        <f t="shared" si="9"/>
        <v>1</v>
      </c>
    </row>
    <row r="32" spans="1:92" ht="15" customHeight="1" x14ac:dyDescent="0.25">
      <c r="A32" s="5617">
        <v>33000020</v>
      </c>
      <c r="B32" s="7917"/>
      <c r="C32" s="7917"/>
      <c r="D32" s="4994" t="s">
        <v>4141</v>
      </c>
      <c r="E32" s="5189" t="s">
        <v>4567</v>
      </c>
      <c r="F32" s="5189" t="s">
        <v>4568</v>
      </c>
      <c r="G32" s="5191" t="s">
        <v>4569</v>
      </c>
      <c r="H32" s="5210" t="s">
        <v>4570</v>
      </c>
      <c r="I32" s="5192" t="s">
        <v>4571</v>
      </c>
      <c r="J32" s="5210" t="s">
        <v>4572</v>
      </c>
      <c r="K32" s="5192" t="s">
        <v>4573</v>
      </c>
      <c r="L32" s="5210" t="s">
        <v>4574</v>
      </c>
      <c r="M32" s="5192" t="s">
        <v>4575</v>
      </c>
      <c r="N32" s="5210" t="s">
        <v>4576</v>
      </c>
      <c r="O32" s="5192" t="s">
        <v>4577</v>
      </c>
      <c r="P32" s="5194" t="s">
        <v>4578</v>
      </c>
      <c r="Q32" s="5192" t="s">
        <v>4579</v>
      </c>
      <c r="R32" s="5194" t="s">
        <v>4580</v>
      </c>
      <c r="S32" s="5192" t="s">
        <v>4581</v>
      </c>
      <c r="T32" s="5194" t="s">
        <v>4582</v>
      </c>
      <c r="U32" s="5192" t="s">
        <v>4583</v>
      </c>
      <c r="V32" s="5194" t="s">
        <v>4584</v>
      </c>
      <c r="W32" s="5192" t="s">
        <v>4585</v>
      </c>
      <c r="X32" s="5210" t="s">
        <v>4586</v>
      </c>
      <c r="Y32" s="5192" t="s">
        <v>4587</v>
      </c>
      <c r="Z32" s="5210" t="s">
        <v>4588</v>
      </c>
      <c r="AA32" s="5192" t="s">
        <v>4589</v>
      </c>
      <c r="AB32" s="5210" t="s">
        <v>4590</v>
      </c>
      <c r="AC32" s="5192" t="s">
        <v>4591</v>
      </c>
      <c r="AD32" s="5210" t="s">
        <v>4592</v>
      </c>
      <c r="AE32" s="5192" t="s">
        <v>4593</v>
      </c>
      <c r="AF32" s="5210" t="s">
        <v>4594</v>
      </c>
      <c r="AG32" s="5192" t="s">
        <v>4595</v>
      </c>
      <c r="AH32" s="5210" t="s">
        <v>4596</v>
      </c>
      <c r="AI32" s="5192" t="s">
        <v>4597</v>
      </c>
      <c r="AJ32" s="5210" t="s">
        <v>4598</v>
      </c>
      <c r="AK32" s="5192" t="s">
        <v>4599</v>
      </c>
      <c r="AL32" s="5210" t="s">
        <v>4600</v>
      </c>
      <c r="AM32" s="5192" t="s">
        <v>4601</v>
      </c>
      <c r="AN32" s="5210" t="s">
        <v>4602</v>
      </c>
      <c r="AO32" s="5195" t="s">
        <v>4603</v>
      </c>
      <c r="AP32" s="5196" t="s">
        <v>4604</v>
      </c>
      <c r="AQ32" s="5192" t="s">
        <v>4605</v>
      </c>
      <c r="AR32" s="5196" t="s">
        <v>4606</v>
      </c>
      <c r="AS32" s="5192" t="s">
        <v>4934</v>
      </c>
      <c r="AT32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2" s="1865" t="str">
        <f t="shared" si="2"/>
        <v xml:space="preserve">* La variable Pueblos originarios no debe ser mayor al TotalAmbos Sexos. </v>
      </c>
      <c r="CC32" s="1865" t="str">
        <f t="shared" si="3"/>
        <v xml:space="preserve">* La variable Migrantes no debe ser mayor al Total Ambos Sexos. </v>
      </c>
      <c r="CD32" s="1865" t="str">
        <f t="shared" si="4"/>
        <v xml:space="preserve">* La variable Niños, Niñas, Adolescentes y Jóvenes SENAME no debe ser mayor al Total Ambos Sexos. </v>
      </c>
      <c r="CE32" s="1865" t="str">
        <f t="shared" si="5"/>
        <v xml:space="preserve">* La variable Niños, Niñas, Adolescentes y Jóvenes Mejor Niñez no debe ser mayor al Total Ambos Sexos. </v>
      </c>
      <c r="CK32" s="2948">
        <f t="shared" si="6"/>
        <v>1</v>
      </c>
      <c r="CL32" s="2948">
        <f t="shared" si="7"/>
        <v>1</v>
      </c>
      <c r="CM32" s="2948">
        <f t="shared" si="8"/>
        <v>1</v>
      </c>
      <c r="CN32" s="2948">
        <f t="shared" si="9"/>
        <v>1</v>
      </c>
    </row>
    <row r="33" spans="1:93" ht="15" customHeight="1" x14ac:dyDescent="0.25">
      <c r="A33" s="5617">
        <v>33000021</v>
      </c>
      <c r="B33" s="7917"/>
      <c r="C33" s="7917"/>
      <c r="D33" s="4994" t="s">
        <v>4143</v>
      </c>
      <c r="E33" s="5189" t="s">
        <v>4567</v>
      </c>
      <c r="F33" s="5189" t="s">
        <v>4568</v>
      </c>
      <c r="G33" s="5191" t="s">
        <v>4569</v>
      </c>
      <c r="H33" s="5210" t="s">
        <v>4570</v>
      </c>
      <c r="I33" s="5192" t="s">
        <v>4571</v>
      </c>
      <c r="J33" s="5210" t="s">
        <v>4572</v>
      </c>
      <c r="K33" s="5192" t="s">
        <v>4573</v>
      </c>
      <c r="L33" s="5210" t="s">
        <v>4574</v>
      </c>
      <c r="M33" s="5192" t="s">
        <v>4575</v>
      </c>
      <c r="N33" s="5210" t="s">
        <v>4576</v>
      </c>
      <c r="O33" s="5192" t="s">
        <v>4577</v>
      </c>
      <c r="P33" s="5194" t="s">
        <v>4578</v>
      </c>
      <c r="Q33" s="5192" t="s">
        <v>4579</v>
      </c>
      <c r="R33" s="5194" t="s">
        <v>4580</v>
      </c>
      <c r="S33" s="5192" t="s">
        <v>4581</v>
      </c>
      <c r="T33" s="5194" t="s">
        <v>4582</v>
      </c>
      <c r="U33" s="5192" t="s">
        <v>4583</v>
      </c>
      <c r="V33" s="5194" t="s">
        <v>4584</v>
      </c>
      <c r="W33" s="5192" t="s">
        <v>4585</v>
      </c>
      <c r="X33" s="5210" t="s">
        <v>4586</v>
      </c>
      <c r="Y33" s="5192" t="s">
        <v>4587</v>
      </c>
      <c r="Z33" s="5210" t="s">
        <v>4588</v>
      </c>
      <c r="AA33" s="5192" t="s">
        <v>4589</v>
      </c>
      <c r="AB33" s="5210" t="s">
        <v>4590</v>
      </c>
      <c r="AC33" s="5192" t="s">
        <v>4591</v>
      </c>
      <c r="AD33" s="5210" t="s">
        <v>4592</v>
      </c>
      <c r="AE33" s="5192" t="s">
        <v>4593</v>
      </c>
      <c r="AF33" s="5210" t="s">
        <v>4594</v>
      </c>
      <c r="AG33" s="5192" t="s">
        <v>4595</v>
      </c>
      <c r="AH33" s="5210" t="s">
        <v>4596</v>
      </c>
      <c r="AI33" s="5192" t="s">
        <v>4597</v>
      </c>
      <c r="AJ33" s="5210" t="s">
        <v>4598</v>
      </c>
      <c r="AK33" s="5192" t="s">
        <v>4599</v>
      </c>
      <c r="AL33" s="5210" t="s">
        <v>4600</v>
      </c>
      <c r="AM33" s="5192" t="s">
        <v>4601</v>
      </c>
      <c r="AN33" s="5210" t="s">
        <v>4602</v>
      </c>
      <c r="AO33" s="5195" t="s">
        <v>4603</v>
      </c>
      <c r="AP33" s="5196" t="s">
        <v>4604</v>
      </c>
      <c r="AQ33" s="5192" t="s">
        <v>4605</v>
      </c>
      <c r="AR33" s="5196" t="s">
        <v>4606</v>
      </c>
      <c r="AS33" s="5192" t="s">
        <v>4934</v>
      </c>
      <c r="AT33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3" s="1865" t="str">
        <f t="shared" si="2"/>
        <v xml:space="preserve">* La variable Pueblos originarios no debe ser mayor al TotalAmbos Sexos. </v>
      </c>
      <c r="CC33" s="1865" t="str">
        <f t="shared" si="3"/>
        <v xml:space="preserve">* La variable Migrantes no debe ser mayor al Total Ambos Sexos. </v>
      </c>
      <c r="CD33" s="1865" t="str">
        <f t="shared" si="4"/>
        <v xml:space="preserve">* La variable Niños, Niñas, Adolescentes y Jóvenes SENAME no debe ser mayor al Total Ambos Sexos. </v>
      </c>
      <c r="CE33" s="1865" t="str">
        <f t="shared" si="5"/>
        <v xml:space="preserve">* La variable Niños, Niñas, Adolescentes y Jóvenes Mejor Niñez no debe ser mayor al Total Ambos Sexos. </v>
      </c>
      <c r="CK33" s="2948">
        <f t="shared" si="6"/>
        <v>1</v>
      </c>
      <c r="CL33" s="2948">
        <f t="shared" si="7"/>
        <v>1</v>
      </c>
      <c r="CM33" s="2948">
        <f t="shared" si="8"/>
        <v>1</v>
      </c>
      <c r="CN33" s="2948">
        <f t="shared" si="9"/>
        <v>1</v>
      </c>
    </row>
    <row r="34" spans="1:93" ht="15" customHeight="1" x14ac:dyDescent="0.25">
      <c r="A34" s="5617">
        <v>33000022</v>
      </c>
      <c r="B34" s="7153"/>
      <c r="C34" s="7153"/>
      <c r="D34" s="914" t="s">
        <v>4144</v>
      </c>
      <c r="E34" s="5197" t="s">
        <v>4567</v>
      </c>
      <c r="F34" s="5198" t="s">
        <v>4568</v>
      </c>
      <c r="G34" s="5199" t="s">
        <v>4569</v>
      </c>
      <c r="H34" s="5200" t="s">
        <v>4570</v>
      </c>
      <c r="I34" s="5201" t="s">
        <v>4571</v>
      </c>
      <c r="J34" s="5200" t="s">
        <v>4572</v>
      </c>
      <c r="K34" s="5201" t="s">
        <v>4573</v>
      </c>
      <c r="L34" s="5200" t="s">
        <v>4574</v>
      </c>
      <c r="M34" s="5201" t="s">
        <v>4575</v>
      </c>
      <c r="N34" s="5200" t="s">
        <v>4576</v>
      </c>
      <c r="O34" s="5201" t="s">
        <v>4577</v>
      </c>
      <c r="P34" s="5202" t="s">
        <v>4578</v>
      </c>
      <c r="Q34" s="5201" t="s">
        <v>4579</v>
      </c>
      <c r="R34" s="5202" t="s">
        <v>4580</v>
      </c>
      <c r="S34" s="5201" t="s">
        <v>4581</v>
      </c>
      <c r="T34" s="5202" t="s">
        <v>4582</v>
      </c>
      <c r="U34" s="5201" t="s">
        <v>4583</v>
      </c>
      <c r="V34" s="5202" t="s">
        <v>4584</v>
      </c>
      <c r="W34" s="5201" t="s">
        <v>4585</v>
      </c>
      <c r="X34" s="5200" t="s">
        <v>4586</v>
      </c>
      <c r="Y34" s="5201" t="s">
        <v>4587</v>
      </c>
      <c r="Z34" s="5200" t="s">
        <v>4588</v>
      </c>
      <c r="AA34" s="5201" t="s">
        <v>4589</v>
      </c>
      <c r="AB34" s="5200" t="s">
        <v>4590</v>
      </c>
      <c r="AC34" s="5201" t="s">
        <v>4591</v>
      </c>
      <c r="AD34" s="5200" t="s">
        <v>4592</v>
      </c>
      <c r="AE34" s="5201" t="s">
        <v>4593</v>
      </c>
      <c r="AF34" s="5200" t="s">
        <v>4594</v>
      </c>
      <c r="AG34" s="5201" t="s">
        <v>4595</v>
      </c>
      <c r="AH34" s="5200" t="s">
        <v>4596</v>
      </c>
      <c r="AI34" s="5201" t="s">
        <v>4597</v>
      </c>
      <c r="AJ34" s="5200" t="s">
        <v>4598</v>
      </c>
      <c r="AK34" s="5201" t="s">
        <v>4599</v>
      </c>
      <c r="AL34" s="5200" t="s">
        <v>4600</v>
      </c>
      <c r="AM34" s="5201" t="s">
        <v>4601</v>
      </c>
      <c r="AN34" s="5200" t="s">
        <v>4602</v>
      </c>
      <c r="AO34" s="5203" t="s">
        <v>4603</v>
      </c>
      <c r="AP34" s="5204" t="s">
        <v>4604</v>
      </c>
      <c r="AQ34" s="5201" t="s">
        <v>4605</v>
      </c>
      <c r="AR34" s="5204" t="s">
        <v>4606</v>
      </c>
      <c r="AS34" s="5201" t="s">
        <v>4934</v>
      </c>
      <c r="AT34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4" s="1865" t="str">
        <f t="shared" si="2"/>
        <v xml:space="preserve">* La variable Pueblos originarios no debe ser mayor al TotalAmbos Sexos. </v>
      </c>
      <c r="CC34" s="1865" t="str">
        <f t="shared" si="3"/>
        <v xml:space="preserve">* La variable Migrantes no debe ser mayor al Total Ambos Sexos. </v>
      </c>
      <c r="CD34" s="1865" t="str">
        <f t="shared" si="4"/>
        <v xml:space="preserve">* La variable Niños, Niñas, Adolescentes y Jóvenes SENAME no debe ser mayor al Total Ambos Sexos. </v>
      </c>
      <c r="CE34" s="1865" t="str">
        <f t="shared" si="5"/>
        <v xml:space="preserve">* La variable Niños, Niñas, Adolescentes y Jóvenes Mejor Niñez no debe ser mayor al Total Ambos Sexos. </v>
      </c>
      <c r="CK34" s="2948">
        <f t="shared" si="6"/>
        <v>1</v>
      </c>
      <c r="CL34" s="2948">
        <f t="shared" si="7"/>
        <v>1</v>
      </c>
      <c r="CM34" s="2948">
        <f t="shared" si="8"/>
        <v>1</v>
      </c>
      <c r="CN34" s="2948">
        <f t="shared" si="9"/>
        <v>1</v>
      </c>
    </row>
    <row r="35" spans="1:93" ht="17.100000000000001" customHeight="1" x14ac:dyDescent="0.25">
      <c r="B35" s="5493" t="s">
        <v>4145</v>
      </c>
    </row>
    <row r="36" spans="1:93" ht="15" customHeight="1" x14ac:dyDescent="0.25">
      <c r="B36" s="7888" t="s">
        <v>1362</v>
      </c>
      <c r="C36" s="7893" t="s">
        <v>1093</v>
      </c>
      <c r="D36" s="6847" t="s">
        <v>77</v>
      </c>
      <c r="E36" s="6334"/>
      <c r="F36" s="7627"/>
      <c r="G36" s="7889" t="s">
        <v>101</v>
      </c>
      <c r="H36" s="7745"/>
      <c r="I36" s="7745"/>
      <c r="J36" s="7745"/>
      <c r="K36" s="7745"/>
      <c r="L36" s="7745"/>
      <c r="M36" s="7745"/>
      <c r="N36" s="7745"/>
      <c r="O36" s="7745"/>
      <c r="P36" s="7745"/>
      <c r="Q36" s="7745"/>
      <c r="R36" s="7745"/>
      <c r="S36" s="7745"/>
      <c r="T36" s="7745"/>
      <c r="U36" s="7745"/>
      <c r="V36" s="7745"/>
      <c r="W36" s="7745"/>
      <c r="X36" s="7745"/>
      <c r="Y36" s="7745"/>
      <c r="Z36" s="7745"/>
      <c r="AA36" s="7745"/>
      <c r="AB36" s="7745"/>
      <c r="AC36" s="7745"/>
      <c r="AD36" s="7745"/>
      <c r="AE36" s="7745"/>
      <c r="AF36" s="7745"/>
      <c r="AG36" s="7745"/>
      <c r="AH36" s="7745"/>
      <c r="AI36" s="7745"/>
      <c r="AJ36" s="7745"/>
      <c r="AK36" s="7857" t="s">
        <v>4146</v>
      </c>
      <c r="AL36" s="7858"/>
      <c r="AM36" s="7858"/>
      <c r="AN36" s="7858"/>
      <c r="AO36" s="7858"/>
      <c r="AP36" s="7858"/>
      <c r="AQ36" s="7858"/>
      <c r="AR36" s="7858"/>
      <c r="AS36" s="7858"/>
      <c r="AT36" s="7852"/>
      <c r="AU36" s="7897" t="s">
        <v>4147</v>
      </c>
      <c r="AV36" s="7898"/>
      <c r="AW36" s="7822" t="s">
        <v>4148</v>
      </c>
      <c r="AX36" s="7822"/>
    </row>
    <row r="37" spans="1:93" x14ac:dyDescent="0.25">
      <c r="B37" s="7888"/>
      <c r="C37" s="7894"/>
      <c r="D37" s="6797"/>
      <c r="E37" s="7896"/>
      <c r="F37" s="7628"/>
      <c r="G37" s="7901" t="s">
        <v>1334</v>
      </c>
      <c r="H37" s="7819"/>
      <c r="I37" s="6814" t="s">
        <v>1335</v>
      </c>
      <c r="J37" s="7819"/>
      <c r="K37" s="6814" t="s">
        <v>94</v>
      </c>
      <c r="L37" s="7819"/>
      <c r="M37" s="6814" t="s">
        <v>4149</v>
      </c>
      <c r="N37" s="7819"/>
      <c r="O37" s="6814" t="s">
        <v>4150</v>
      </c>
      <c r="P37" s="7819"/>
      <c r="Q37" s="6814" t="s">
        <v>974</v>
      </c>
      <c r="R37" s="7819"/>
      <c r="S37" s="6814" t="s">
        <v>629</v>
      </c>
      <c r="T37" s="7819"/>
      <c r="U37" s="6814" t="s">
        <v>48</v>
      </c>
      <c r="V37" s="7819"/>
      <c r="W37" s="6814" t="s">
        <v>4151</v>
      </c>
      <c r="X37" s="7819"/>
      <c r="Y37" s="6814" t="s">
        <v>975</v>
      </c>
      <c r="Z37" s="7819"/>
      <c r="AA37" s="6814" t="s">
        <v>51</v>
      </c>
      <c r="AB37" s="7819"/>
      <c r="AC37" s="6814" t="s">
        <v>52</v>
      </c>
      <c r="AD37" s="7819"/>
      <c r="AE37" s="6814" t="s">
        <v>53</v>
      </c>
      <c r="AF37" s="7819"/>
      <c r="AG37" s="6814" t="s">
        <v>54</v>
      </c>
      <c r="AH37" s="7819"/>
      <c r="AI37" s="6814" t="s">
        <v>4152</v>
      </c>
      <c r="AJ37" s="7746"/>
      <c r="AK37" s="6853"/>
      <c r="AL37" s="7169"/>
      <c r="AM37" s="7169"/>
      <c r="AN37" s="7169"/>
      <c r="AO37" s="7169"/>
      <c r="AP37" s="7169"/>
      <c r="AQ37" s="7169"/>
      <c r="AR37" s="7169"/>
      <c r="AS37" s="7169"/>
      <c r="AT37" s="7167"/>
      <c r="AU37" s="7899"/>
      <c r="AV37" s="7900"/>
      <c r="AW37" s="7822"/>
      <c r="AX37" s="7822"/>
      <c r="CD37" s="5213"/>
    </row>
    <row r="38" spans="1:93" ht="33.75" customHeight="1" x14ac:dyDescent="0.25">
      <c r="B38" s="7888"/>
      <c r="C38" s="7895"/>
      <c r="D38" s="97" t="s">
        <v>79</v>
      </c>
      <c r="E38" s="5185" t="s">
        <v>58</v>
      </c>
      <c r="F38" s="21" t="s">
        <v>59</v>
      </c>
      <c r="G38" s="5186" t="s">
        <v>58</v>
      </c>
      <c r="H38" s="1629" t="s">
        <v>59</v>
      </c>
      <c r="I38" s="1631" t="s">
        <v>58</v>
      </c>
      <c r="J38" s="1629" t="s">
        <v>59</v>
      </c>
      <c r="K38" s="1631" t="s">
        <v>58</v>
      </c>
      <c r="L38" s="1629" t="s">
        <v>59</v>
      </c>
      <c r="M38" s="1631" t="s">
        <v>58</v>
      </c>
      <c r="N38" s="1629" t="s">
        <v>59</v>
      </c>
      <c r="O38" s="1631" t="s">
        <v>58</v>
      </c>
      <c r="P38" s="1629" t="s">
        <v>59</v>
      </c>
      <c r="Q38" s="1631" t="s">
        <v>58</v>
      </c>
      <c r="R38" s="1629" t="s">
        <v>59</v>
      </c>
      <c r="S38" s="1631" t="s">
        <v>58</v>
      </c>
      <c r="T38" s="1629" t="s">
        <v>59</v>
      </c>
      <c r="U38" s="1631" t="s">
        <v>58</v>
      </c>
      <c r="V38" s="1629" t="s">
        <v>59</v>
      </c>
      <c r="W38" s="1631" t="s">
        <v>58</v>
      </c>
      <c r="X38" s="1629" t="s">
        <v>59</v>
      </c>
      <c r="Y38" s="1631" t="s">
        <v>58</v>
      </c>
      <c r="Z38" s="1629" t="s">
        <v>59</v>
      </c>
      <c r="AA38" s="1631" t="s">
        <v>58</v>
      </c>
      <c r="AB38" s="1629" t="s">
        <v>59</v>
      </c>
      <c r="AC38" s="1631" t="s">
        <v>58</v>
      </c>
      <c r="AD38" s="1629" t="s">
        <v>59</v>
      </c>
      <c r="AE38" s="1631" t="s">
        <v>58</v>
      </c>
      <c r="AF38" s="1629" t="s">
        <v>59</v>
      </c>
      <c r="AG38" s="1631" t="s">
        <v>58</v>
      </c>
      <c r="AH38" s="1629" t="s">
        <v>59</v>
      </c>
      <c r="AI38" s="1631" t="s">
        <v>58</v>
      </c>
      <c r="AJ38" s="1629" t="s">
        <v>59</v>
      </c>
      <c r="AK38" s="5214" t="s">
        <v>64</v>
      </c>
      <c r="AL38" s="5215" t="s">
        <v>98</v>
      </c>
      <c r="AM38" s="5215" t="s">
        <v>1406</v>
      </c>
      <c r="AN38" s="5216" t="s">
        <v>99</v>
      </c>
      <c r="AO38" s="5215" t="s">
        <v>1034</v>
      </c>
      <c r="AP38" s="5215" t="s">
        <v>4153</v>
      </c>
      <c r="AQ38" s="5215" t="s">
        <v>105</v>
      </c>
      <c r="AR38" s="5215" t="s">
        <v>504</v>
      </c>
      <c r="AS38" s="5216" t="s">
        <v>1037</v>
      </c>
      <c r="AT38" s="5216" t="s">
        <v>1035</v>
      </c>
      <c r="AU38" s="1643" t="s">
        <v>58</v>
      </c>
      <c r="AV38" s="1644" t="s">
        <v>59</v>
      </c>
      <c r="AW38" s="1643" t="s">
        <v>4154</v>
      </c>
      <c r="AX38" s="1644" t="s">
        <v>4155</v>
      </c>
      <c r="BV38" s="5213"/>
      <c r="BX38" s="5213"/>
      <c r="BY38" s="5217"/>
      <c r="BZ38" s="5217"/>
      <c r="CA38" s="7887" t="s">
        <v>4156</v>
      </c>
      <c r="CB38" s="7887"/>
      <c r="CC38" s="5217" t="s">
        <v>4157</v>
      </c>
      <c r="CD38" s="5217" t="s">
        <v>4158</v>
      </c>
      <c r="CE38" s="5217" t="s">
        <v>4159</v>
      </c>
    </row>
    <row r="39" spans="1:93" ht="15" customHeight="1" x14ac:dyDescent="0.25">
      <c r="A39" s="5617">
        <v>33000023</v>
      </c>
      <c r="B39" s="7888" t="s">
        <v>4160</v>
      </c>
      <c r="C39" s="5218" t="s">
        <v>4161</v>
      </c>
      <c r="D39" s="5219" t="s">
        <v>4567</v>
      </c>
      <c r="E39" s="5190" t="s">
        <v>4568</v>
      </c>
      <c r="F39" s="5191" t="s">
        <v>4569</v>
      </c>
      <c r="G39" s="3147" t="s">
        <v>4570</v>
      </c>
      <c r="H39" s="5192" t="s">
        <v>4571</v>
      </c>
      <c r="I39" s="3147" t="s">
        <v>4572</v>
      </c>
      <c r="J39" s="5192" t="s">
        <v>4573</v>
      </c>
      <c r="K39" s="3147" t="s">
        <v>4574</v>
      </c>
      <c r="L39" s="5192" t="s">
        <v>4575</v>
      </c>
      <c r="M39" s="3147" t="s">
        <v>4576</v>
      </c>
      <c r="N39" s="5192" t="s">
        <v>4577</v>
      </c>
      <c r="O39" s="3147" t="s">
        <v>4578</v>
      </c>
      <c r="P39" s="5192" t="s">
        <v>4579</v>
      </c>
      <c r="Q39" s="3147" t="s">
        <v>4580</v>
      </c>
      <c r="R39" s="5192" t="s">
        <v>4581</v>
      </c>
      <c r="S39" s="3147" t="s">
        <v>4582</v>
      </c>
      <c r="T39" s="5192" t="s">
        <v>4583</v>
      </c>
      <c r="U39" s="3147" t="s">
        <v>4584</v>
      </c>
      <c r="V39" s="5192" t="s">
        <v>4585</v>
      </c>
      <c r="W39" s="3147" t="s">
        <v>4586</v>
      </c>
      <c r="X39" s="5192" t="s">
        <v>4587</v>
      </c>
      <c r="Y39" s="3147" t="s">
        <v>4588</v>
      </c>
      <c r="Z39" s="5192" t="s">
        <v>4589</v>
      </c>
      <c r="AA39" s="3147" t="s">
        <v>4590</v>
      </c>
      <c r="AB39" s="5192" t="s">
        <v>4591</v>
      </c>
      <c r="AC39" s="3147" t="s">
        <v>4592</v>
      </c>
      <c r="AD39" s="5192" t="s">
        <v>4593</v>
      </c>
      <c r="AE39" s="3147" t="s">
        <v>4594</v>
      </c>
      <c r="AF39" s="5192" t="s">
        <v>4595</v>
      </c>
      <c r="AG39" s="3147" t="s">
        <v>4596</v>
      </c>
      <c r="AH39" s="5192" t="s">
        <v>4597</v>
      </c>
      <c r="AI39" s="3147" t="s">
        <v>4598</v>
      </c>
      <c r="AJ39" s="5192" t="s">
        <v>4599</v>
      </c>
      <c r="AK39" s="5196" t="s">
        <v>4600</v>
      </c>
      <c r="AL39" s="5196" t="s">
        <v>4601</v>
      </c>
      <c r="AM39" s="5196" t="s">
        <v>4602</v>
      </c>
      <c r="AN39" s="5196" t="s">
        <v>4603</v>
      </c>
      <c r="AO39" s="5196" t="s">
        <v>4604</v>
      </c>
      <c r="AP39" s="5196" t="s">
        <v>4605</v>
      </c>
      <c r="AQ39" s="5196" t="s">
        <v>4606</v>
      </c>
      <c r="AR39" s="5196" t="s">
        <v>4934</v>
      </c>
      <c r="AS39" s="5196" t="s">
        <v>4935</v>
      </c>
      <c r="AT39" s="5196" t="s">
        <v>4936</v>
      </c>
      <c r="AU39" s="5220" t="s">
        <v>4937</v>
      </c>
      <c r="AV39" s="5221" t="s">
        <v>5234</v>
      </c>
      <c r="AW39" s="5222" t="s">
        <v>5235</v>
      </c>
      <c r="AX39" s="5223" t="s">
        <v>5236</v>
      </c>
      <c r="AY39" t="e">
        <f>CA39&amp;CB39&amp;CC39&amp;CD39&amp;CE39&amp;CF39</f>
        <v>#VALUE!</v>
      </c>
      <c r="CA39" s="2946" t="str" cm="1">
        <f t="array" ref="CA39">IF(AND($D39&lt;&gt;0,AK39:AT39=""),"* No olvide ingresar la variable "&amp;AK$36&amp;""&amp;". Digite CERO si no tiene. ","")</f>
        <v/>
      </c>
      <c r="CB39" s="1865" t="e">
        <f>IF((AK39+AL39+AM39+AN39+AO39+AP39+AQ39+AR39+AS39+AT39)&lt;$D39," * La suma de la variable Ambos Sexos no puede ser Mayor a la suma de ATENCIONES POR PROFESIONAL O TÉCNICO","")</f>
        <v>#VALUE!</v>
      </c>
      <c r="CC39" s="1865" t="str">
        <f>IF(AND($D39&lt;&gt;0,AU39=""),"* No olvide ingresar la variable "&amp;AU$36&amp;""&amp;" Hombres. Digite CERO si no tiene.  ",IF(AU39&gt;$D39,"* La variable "&amp;AU$36&amp;""&amp;" Hombres no debe ser mayor al Total. ",""))</f>
        <v xml:space="preserve">* La variable Dependencia Severa en APS Hombres no debe ser mayor al Total. </v>
      </c>
      <c r="CD39" s="1865" t="str">
        <f>IF(AND($D39&lt;&gt;0,AV39=""),"* No olvide ingresar la variable "&amp;AU$36&amp;""&amp;" Mujeres. Digite CERO si no tiene.  ",IF(AV39&gt;$D39,"* La variable "&amp;AU$36&amp;""&amp;" Mujeres no debe ser mayor al Total. ",""))</f>
        <v xml:space="preserve">* La variable Dependencia Severa en APS Mujeres no debe ser mayor al Total. </v>
      </c>
      <c r="CE39" s="1865" t="str">
        <f>IF(AND($D39&lt;&gt;0,AW39=""),"* No olvide ingresar la variable "&amp;AW$36&amp;""&amp;" 0-19 años. Digite CERO si no tiene.  ",IF(AW39&gt;$D39,"* La variable "&amp;AW$36&amp;""&amp;" 0-19 años no debe ser mayor al Total. ",""))</f>
        <v xml:space="preserve">* La variable Atenciones a personas oncológicas 0-19 años no debe ser mayor al Total. </v>
      </c>
      <c r="CF39" s="1865" t="str">
        <f>IF(AND($D39&lt;&gt;0,AX39=""),"* No olvide ingresar la variable "&amp;AW$36&amp;""&amp;" 20 años y más. Digite CERO si no tiene.  ",IF(AX39&gt;$D39,"* La variable "&amp;AW$36&amp;""&amp;" 20 años y más no debe ser mayor al Total. ",""))</f>
        <v xml:space="preserve">* La variable Atenciones a personas oncológicas 20 años y más no debe ser mayor al Total. </v>
      </c>
      <c r="CJ39" s="2948" cm="1">
        <f t="array" ref="CJ39">IF(AND($D39&lt;&gt;0,AK39:AT39=""),1,0)</f>
        <v>0</v>
      </c>
      <c r="CK39" s="3922" t="e">
        <f>IF((AK39+AL39+AM39+AN39+AO39+AP39+AQ39+AR39+AS39+AT39)&lt;$D39,1,0)</f>
        <v>#VALUE!</v>
      </c>
      <c r="CL39" s="3922">
        <f>IF(AND($D39&lt;&gt;0,AU39=""),1,IF(AU39&gt;D39,1,0))</f>
        <v>1</v>
      </c>
      <c r="CM39" s="3922">
        <f>IF(AND($D39&lt;&gt;0,AV39=""),1,IF(AV39&gt;D39,1,0))</f>
        <v>1</v>
      </c>
      <c r="CN39" s="3922">
        <f>IF(AND($D39&lt;&gt;0,AW39=""),1,IF(AW39&gt;D39,1,0))</f>
        <v>1</v>
      </c>
      <c r="CO39" s="3922">
        <f>IF(AND($D39&lt;&gt;0,AX39=""),1,IF(AX39&gt;D39,1,0))</f>
        <v>1</v>
      </c>
    </row>
    <row r="40" spans="1:93" ht="15" customHeight="1" x14ac:dyDescent="0.25">
      <c r="A40" s="5617">
        <v>33000024</v>
      </c>
      <c r="B40" s="7888"/>
      <c r="C40" s="5224" t="s">
        <v>4162</v>
      </c>
      <c r="D40" s="5219" t="s">
        <v>4567</v>
      </c>
      <c r="E40" s="5189" t="s">
        <v>4568</v>
      </c>
      <c r="F40" s="5191" t="s">
        <v>4569</v>
      </c>
      <c r="G40" s="5210" t="s">
        <v>4570</v>
      </c>
      <c r="H40" s="5192" t="s">
        <v>4571</v>
      </c>
      <c r="I40" s="5210" t="s">
        <v>4572</v>
      </c>
      <c r="J40" s="5192" t="s">
        <v>4573</v>
      </c>
      <c r="K40" s="5210" t="s">
        <v>4574</v>
      </c>
      <c r="L40" s="5192" t="s">
        <v>4575</v>
      </c>
      <c r="M40" s="5210" t="s">
        <v>4576</v>
      </c>
      <c r="N40" s="5192" t="s">
        <v>4577</v>
      </c>
      <c r="O40" s="5210" t="s">
        <v>4578</v>
      </c>
      <c r="P40" s="5192" t="s">
        <v>4579</v>
      </c>
      <c r="Q40" s="5210" t="s">
        <v>4580</v>
      </c>
      <c r="R40" s="5192" t="s">
        <v>4581</v>
      </c>
      <c r="S40" s="5210" t="s">
        <v>4582</v>
      </c>
      <c r="T40" s="5192" t="s">
        <v>4583</v>
      </c>
      <c r="U40" s="5210" t="s">
        <v>4584</v>
      </c>
      <c r="V40" s="5192" t="s">
        <v>4585</v>
      </c>
      <c r="W40" s="5210" t="s">
        <v>4586</v>
      </c>
      <c r="X40" s="5192" t="s">
        <v>4587</v>
      </c>
      <c r="Y40" s="5210" t="s">
        <v>4588</v>
      </c>
      <c r="Z40" s="5192" t="s">
        <v>4589</v>
      </c>
      <c r="AA40" s="5210" t="s">
        <v>4590</v>
      </c>
      <c r="AB40" s="5192" t="s">
        <v>4591</v>
      </c>
      <c r="AC40" s="5210" t="s">
        <v>4592</v>
      </c>
      <c r="AD40" s="5192" t="s">
        <v>4593</v>
      </c>
      <c r="AE40" s="5210" t="s">
        <v>4594</v>
      </c>
      <c r="AF40" s="5192" t="s">
        <v>4595</v>
      </c>
      <c r="AG40" s="5210" t="s">
        <v>4596</v>
      </c>
      <c r="AH40" s="5192" t="s">
        <v>4597</v>
      </c>
      <c r="AI40" s="5210" t="s">
        <v>4598</v>
      </c>
      <c r="AJ40" s="5192" t="s">
        <v>4599</v>
      </c>
      <c r="AK40" s="5196" t="s">
        <v>4600</v>
      </c>
      <c r="AL40" s="5196" t="s">
        <v>4601</v>
      </c>
      <c r="AM40" s="5196" t="s">
        <v>4602</v>
      </c>
      <c r="AN40" s="5196" t="s">
        <v>4603</v>
      </c>
      <c r="AO40" s="5196" t="s">
        <v>4604</v>
      </c>
      <c r="AP40" s="5196" t="s">
        <v>4605</v>
      </c>
      <c r="AQ40" s="5196" t="s">
        <v>4606</v>
      </c>
      <c r="AR40" s="5196" t="s">
        <v>4934</v>
      </c>
      <c r="AS40" s="5196" t="s">
        <v>4935</v>
      </c>
      <c r="AT40" s="5196" t="s">
        <v>4936</v>
      </c>
      <c r="AU40" s="5220" t="s">
        <v>4937</v>
      </c>
      <c r="AV40" s="5221" t="s">
        <v>5234</v>
      </c>
      <c r="AW40" s="5220" t="s">
        <v>5235</v>
      </c>
      <c r="AX40" s="5225" t="s">
        <v>5236</v>
      </c>
      <c r="AY40" t="e">
        <f t="shared" ref="AY40:AY51" si="10">CA40&amp;CB40&amp;CC40&amp;CD40&amp;CE40&amp;CF40</f>
        <v>#VALUE!</v>
      </c>
      <c r="BV40" t="str">
        <f t="shared" ref="BV40:BV51" si="11">IF(CJ40=1," * La suma de Atenciones por profesional no debe ser mayor al Total.","")</f>
        <v/>
      </c>
      <c r="CA40" s="2946" t="str" cm="1">
        <f t="array" ref="CA40">IF(AND($D40&lt;&gt;0,AK40:AT40=""),"* No olvide ingresar la variable "&amp;AK$36&amp;""&amp;". Digite CERO si no tiene. ","")</f>
        <v/>
      </c>
      <c r="CB40" s="1865" t="e">
        <f>IF((AK40+AL40+AM40+AN40+AO40+AP40+AQ40+AR40+AS40+AT40)&lt;$D40," * La suma de la variable Ambos Sexos no puede ser Mayor a la suma de ATENCIONES POR PROFESIONAL O TÉCNICO","")</f>
        <v>#VALUE!</v>
      </c>
      <c r="CC40" s="1865" t="str">
        <f t="shared" ref="CC40:CC41" si="12">IF(AND($D40&lt;&gt;0,AU40=""),"* No olvide ingresar la variable "&amp;AU$36&amp;""&amp;" Hombres. Digite CERO si no tiene.  ",IF(AU40&gt;$D40,"* La variable "&amp;AU$36&amp;""&amp;" Hombres no debe ser mayor al Total. ",""))</f>
        <v xml:space="preserve">* La variable Dependencia Severa en APS Hombres no debe ser mayor al Total. </v>
      </c>
      <c r="CD40" s="1865" t="str">
        <f t="shared" ref="CD40:CD41" si="13">IF(AND($D40&lt;&gt;0,AV40=""),"* No olvide ingresar la variable "&amp;AU$36&amp;""&amp;" Mujeres. Digite CERO si no tiene.  ",IF(AV40&gt;$D40,"* La variable "&amp;AU$36&amp;""&amp;" Mujeres no debe ser mayor al Total. ",""))</f>
        <v xml:space="preserve">* La variable Dependencia Severa en APS Mujeres no debe ser mayor al Total. </v>
      </c>
      <c r="CE40" s="1865" t="str">
        <f t="shared" ref="CE40:CE51" si="14">IF(AND($D40&lt;&gt;0,AW40=""),"* No olvide ingresar la variable "&amp;AW$36&amp;""&amp;" 0-19 años. Digite CERO si no tiene.  ",IF(AW40&gt;$D40,"* La variable "&amp;AW$36&amp;""&amp;" 0-19 años no debe ser mayor al Total. ",""))</f>
        <v xml:space="preserve">* La variable Atenciones a personas oncológicas 0-19 años no debe ser mayor al Total. </v>
      </c>
      <c r="CF40" s="1865" t="str">
        <f t="shared" ref="CF40:CF51" si="15">IF(AND($D40&lt;&gt;0,AX40=""),"* No olvide ingresar la variable "&amp;AW$36&amp;""&amp;" 20 años y más. Digite CERO si no tiene.  ",IF(AX40&gt;$D40,"* La variable "&amp;AW$36&amp;""&amp;" 20 años y más no debe ser mayor al Total. ",""))</f>
        <v xml:space="preserve">* La variable Atenciones a personas oncológicas 20 años y más no debe ser mayor al Total. </v>
      </c>
      <c r="CJ40" s="2948" cm="1">
        <f t="array" ref="CJ40">IF(AND($D40&lt;&gt;0,AK40:AT40=""),1,0)</f>
        <v>0</v>
      </c>
      <c r="CK40" s="3922" t="e">
        <f>IF((AK40+AL40+AM40+AN40+AO40+AP40+AQ40+AR40+AS40+AT40)&lt;$D40,1,0)</f>
        <v>#VALUE!</v>
      </c>
      <c r="CL40" s="3922">
        <f t="shared" ref="CL40:CL41" si="16">IF(AND($D40&lt;&gt;0,AU40=""),1,IF(AU40&gt;D40,1,0))</f>
        <v>1</v>
      </c>
      <c r="CM40" s="3922">
        <f t="shared" ref="CM40:CM41" si="17">IF(AND($D40&lt;&gt;0,AV40=""),1,IF(AV40&gt;D40,1,0))</f>
        <v>1</v>
      </c>
      <c r="CN40" s="3922">
        <f t="shared" ref="CN40:CN41" si="18">IF(AND($D40&lt;&gt;0,AW40=""),1,IF(AW40&gt;D40,1,0))</f>
        <v>1</v>
      </c>
      <c r="CO40" s="3922">
        <f t="shared" ref="CO40:CO41" si="19">IF(AND($D40&lt;&gt;0,AX40=""),1,IF(AX40&gt;D40,1,0))</f>
        <v>1</v>
      </c>
    </row>
    <row r="41" spans="1:93" ht="15" customHeight="1" x14ac:dyDescent="0.25">
      <c r="A41" s="5617">
        <v>33000025</v>
      </c>
      <c r="B41" s="7888"/>
      <c r="C41" s="5226" t="s">
        <v>4163</v>
      </c>
      <c r="D41" s="5227" t="s">
        <v>4567</v>
      </c>
      <c r="E41" s="5228" t="s">
        <v>4568</v>
      </c>
      <c r="F41" s="5229" t="s">
        <v>4569</v>
      </c>
      <c r="G41" s="3163" t="s">
        <v>4570</v>
      </c>
      <c r="H41" s="5230" t="s">
        <v>4571</v>
      </c>
      <c r="I41" s="3163" t="s">
        <v>4572</v>
      </c>
      <c r="J41" s="5230" t="s">
        <v>4573</v>
      </c>
      <c r="K41" s="3163" t="s">
        <v>4574</v>
      </c>
      <c r="L41" s="5230" t="s">
        <v>4575</v>
      </c>
      <c r="M41" s="3163" t="s">
        <v>4576</v>
      </c>
      <c r="N41" s="5230" t="s">
        <v>4577</v>
      </c>
      <c r="O41" s="3163" t="s">
        <v>4578</v>
      </c>
      <c r="P41" s="5230" t="s">
        <v>4579</v>
      </c>
      <c r="Q41" s="3163" t="s">
        <v>4580</v>
      </c>
      <c r="R41" s="5230" t="s">
        <v>4581</v>
      </c>
      <c r="S41" s="3163" t="s">
        <v>4582</v>
      </c>
      <c r="T41" s="5230" t="s">
        <v>4583</v>
      </c>
      <c r="U41" s="3163" t="s">
        <v>4584</v>
      </c>
      <c r="V41" s="5230" t="s">
        <v>4585</v>
      </c>
      <c r="W41" s="3163" t="s">
        <v>4586</v>
      </c>
      <c r="X41" s="5230" t="s">
        <v>4587</v>
      </c>
      <c r="Y41" s="3163" t="s">
        <v>4588</v>
      </c>
      <c r="Z41" s="5230" t="s">
        <v>4589</v>
      </c>
      <c r="AA41" s="3163" t="s">
        <v>4590</v>
      </c>
      <c r="AB41" s="5230" t="s">
        <v>4591</v>
      </c>
      <c r="AC41" s="3163" t="s">
        <v>4592</v>
      </c>
      <c r="AD41" s="5230" t="s">
        <v>4593</v>
      </c>
      <c r="AE41" s="3163" t="s">
        <v>4594</v>
      </c>
      <c r="AF41" s="5230" t="s">
        <v>4595</v>
      </c>
      <c r="AG41" s="3163" t="s">
        <v>4596</v>
      </c>
      <c r="AH41" s="5230" t="s">
        <v>4597</v>
      </c>
      <c r="AI41" s="3163" t="s">
        <v>4598</v>
      </c>
      <c r="AJ41" s="5230" t="s">
        <v>4599</v>
      </c>
      <c r="AK41" s="5231" t="s">
        <v>4600</v>
      </c>
      <c r="AL41" s="5231" t="s">
        <v>4601</v>
      </c>
      <c r="AM41" s="5231" t="s">
        <v>4602</v>
      </c>
      <c r="AN41" s="5231" t="s">
        <v>4603</v>
      </c>
      <c r="AO41" s="5231" t="s">
        <v>4604</v>
      </c>
      <c r="AP41" s="5231" t="s">
        <v>4605</v>
      </c>
      <c r="AQ41" s="5231" t="s">
        <v>4606</v>
      </c>
      <c r="AR41" s="5231" t="s">
        <v>4934</v>
      </c>
      <c r="AS41" s="5231" t="s">
        <v>4935</v>
      </c>
      <c r="AT41" s="5231" t="s">
        <v>4936</v>
      </c>
      <c r="AU41" s="5232" t="s">
        <v>4937</v>
      </c>
      <c r="AV41" s="5233" t="s">
        <v>5234</v>
      </c>
      <c r="AW41" s="5232" t="s">
        <v>5235</v>
      </c>
      <c r="AX41" s="5234" t="s">
        <v>5236</v>
      </c>
      <c r="AY41" t="e">
        <f t="shared" si="10"/>
        <v>#VALUE!</v>
      </c>
      <c r="BV41" t="str">
        <f t="shared" si="11"/>
        <v/>
      </c>
      <c r="CA41" s="2946" t="str" cm="1">
        <f t="array" ref="CA41">IF(AND($D41&lt;&gt;0,AK41:AT41=""),"* No olvide ingresar la variable "&amp;AK$36&amp;""&amp;". Digite CERO si no tiene. ","")</f>
        <v/>
      </c>
      <c r="CB41" s="1865" t="e">
        <f>IF((AK41+AL41+AM41+AN41+AO41+AP41+AQ41+AR41+AS41+AT41)&lt;$D41," * La suma de la variable Ambos Sexos no puede ser Mayor a la suma de ATENCIONES POR PROFESIONAL O TÉCNICO","")</f>
        <v>#VALUE!</v>
      </c>
      <c r="CC41" s="1865" t="str">
        <f t="shared" si="12"/>
        <v xml:space="preserve">* La variable Dependencia Severa en APS Hombres no debe ser mayor al Total. </v>
      </c>
      <c r="CD41" s="1865" t="str">
        <f t="shared" si="13"/>
        <v xml:space="preserve">* La variable Dependencia Severa en APS Mujeres no debe ser mayor al Total. </v>
      </c>
      <c r="CE41" s="1865" t="str">
        <f t="shared" si="14"/>
        <v xml:space="preserve">* La variable Atenciones a personas oncológicas 0-19 años no debe ser mayor al Total. </v>
      </c>
      <c r="CF41" s="1865" t="str">
        <f t="shared" si="15"/>
        <v xml:space="preserve">* La variable Atenciones a personas oncológicas 20 años y más no debe ser mayor al Total. </v>
      </c>
      <c r="CJ41" s="2948" cm="1">
        <f t="array" ref="CJ41">IF(AND($D41&lt;&gt;0,AK41:AT41=""),1,0)</f>
        <v>0</v>
      </c>
      <c r="CK41" s="3922" t="e">
        <f>IF((AK41+AL41+AM41+AN41+AO41+AP41+AQ41+AR41+AS41+AT41)&lt;$D41,1,0)</f>
        <v>#VALUE!</v>
      </c>
      <c r="CL41" s="3922">
        <f t="shared" si="16"/>
        <v>1</v>
      </c>
      <c r="CM41" s="3922">
        <f t="shared" si="17"/>
        <v>1</v>
      </c>
      <c r="CN41" s="3922">
        <f t="shared" si="18"/>
        <v>1</v>
      </c>
      <c r="CO41" s="3922">
        <f t="shared" si="19"/>
        <v>1</v>
      </c>
    </row>
    <row r="42" spans="1:93" ht="15" customHeight="1" x14ac:dyDescent="0.25">
      <c r="A42" s="5617">
        <v>33000026</v>
      </c>
      <c r="B42" s="7888" t="s">
        <v>4164</v>
      </c>
      <c r="C42" s="5235" t="s">
        <v>4165</v>
      </c>
      <c r="D42" s="5236" t="s">
        <v>4567</v>
      </c>
      <c r="E42" s="5206" t="s">
        <v>4568</v>
      </c>
      <c r="F42" s="5207" t="s">
        <v>4569</v>
      </c>
      <c r="G42" s="3175" t="s">
        <v>4570</v>
      </c>
      <c r="H42" s="3176" t="s">
        <v>4571</v>
      </c>
      <c r="I42" s="3175" t="s">
        <v>4572</v>
      </c>
      <c r="J42" s="3176" t="s">
        <v>4573</v>
      </c>
      <c r="K42" s="3175" t="s">
        <v>4574</v>
      </c>
      <c r="L42" s="3176" t="s">
        <v>4575</v>
      </c>
      <c r="M42" s="3175" t="s">
        <v>4576</v>
      </c>
      <c r="N42" s="3176" t="s">
        <v>4577</v>
      </c>
      <c r="O42" s="3175" t="s">
        <v>4578</v>
      </c>
      <c r="P42" s="3176" t="s">
        <v>4579</v>
      </c>
      <c r="Q42" s="3175" t="s">
        <v>4580</v>
      </c>
      <c r="R42" s="3176" t="s">
        <v>4581</v>
      </c>
      <c r="S42" s="3175" t="s">
        <v>4582</v>
      </c>
      <c r="T42" s="3176" t="s">
        <v>4583</v>
      </c>
      <c r="U42" s="3175" t="s">
        <v>4584</v>
      </c>
      <c r="V42" s="3176" t="s">
        <v>4585</v>
      </c>
      <c r="W42" s="3175" t="s">
        <v>4586</v>
      </c>
      <c r="X42" s="3176" t="s">
        <v>4587</v>
      </c>
      <c r="Y42" s="3175" t="s">
        <v>4588</v>
      </c>
      <c r="Z42" s="3176" t="s">
        <v>4589</v>
      </c>
      <c r="AA42" s="3175" t="s">
        <v>4590</v>
      </c>
      <c r="AB42" s="3176" t="s">
        <v>4591</v>
      </c>
      <c r="AC42" s="3175" t="s">
        <v>4592</v>
      </c>
      <c r="AD42" s="3176" t="s">
        <v>4593</v>
      </c>
      <c r="AE42" s="3175" t="s">
        <v>4594</v>
      </c>
      <c r="AF42" s="3176" t="s">
        <v>4595</v>
      </c>
      <c r="AG42" s="3175" t="s">
        <v>4596</v>
      </c>
      <c r="AH42" s="3176" t="s">
        <v>4597</v>
      </c>
      <c r="AI42" s="3175" t="s">
        <v>4598</v>
      </c>
      <c r="AJ42" s="3176" t="s">
        <v>4599</v>
      </c>
      <c r="AK42" s="5209" t="s">
        <v>4600</v>
      </c>
      <c r="AL42" s="5209" t="s">
        <v>4601</v>
      </c>
      <c r="AM42" s="5209" t="s">
        <v>4602</v>
      </c>
      <c r="AN42" s="5209" t="s">
        <v>4603</v>
      </c>
      <c r="AO42" s="5209" t="s">
        <v>4604</v>
      </c>
      <c r="AP42" s="5209" t="s">
        <v>4605</v>
      </c>
      <c r="AQ42" s="5209" t="s">
        <v>4606</v>
      </c>
      <c r="AR42" s="5209" t="s">
        <v>4934</v>
      </c>
      <c r="AS42" s="5209" t="s">
        <v>4935</v>
      </c>
      <c r="AT42" s="5209" t="s">
        <v>4936</v>
      </c>
      <c r="AU42" s="5237" t="s">
        <v>4937</v>
      </c>
      <c r="AV42" s="5238" t="s">
        <v>5234</v>
      </c>
      <c r="AW42" s="5239" t="s">
        <v>5235</v>
      </c>
      <c r="AX42" s="5240" t="s">
        <v>5236</v>
      </c>
      <c r="AY42" t="e">
        <f t="shared" si="10"/>
        <v>#VALUE!</v>
      </c>
      <c r="BV42" t="str">
        <f t="shared" si="11"/>
        <v/>
      </c>
      <c r="CA42" s="2946" t="str" cm="1">
        <f t="array" ref="CA42">IF(AND($D42&lt;&gt;0,AK42:AT42=""),"* No olvide ingresar la variable "&amp;AK$36&amp;""&amp;". Digite CERO si no tiene. ","")</f>
        <v/>
      </c>
      <c r="CB42" s="1865" t="e">
        <f>IF((AK42+AL42+AM42+AN42+AO42+AP42+AQ42+AR42+AS42+AT42)&lt;$D42," * La suma de la variable Ambos Sexos no puede ser Mayor a la suma de ATENCIONES POR PROFESIONAL O TÉCNICO","")</f>
        <v>#VALUE!</v>
      </c>
      <c r="CC42" s="5241"/>
      <c r="CD42" s="5241"/>
      <c r="CE42" s="1865" t="str">
        <f t="shared" si="14"/>
        <v xml:space="preserve">* La variable Atenciones a personas oncológicas 0-19 años no debe ser mayor al Total. </v>
      </c>
      <c r="CF42" s="1865" t="str">
        <f t="shared" si="15"/>
        <v xml:space="preserve">* La variable Atenciones a personas oncológicas 20 años y más no debe ser mayor al Total. </v>
      </c>
      <c r="CJ42" s="2948" cm="1">
        <f t="array" ref="CJ42">IF(AND($D42&lt;&gt;0,AK42:AT42=""),1,0)</f>
        <v>0</v>
      </c>
      <c r="CK42" s="3922" t="e">
        <f>IF((AK42+AL42+AM42+AN42+AO42+AP42+AQ42+AR42+AS42+AT42)&lt;$D42,1,0)</f>
        <v>#VALUE!</v>
      </c>
      <c r="CL42" s="5242"/>
      <c r="CM42" s="5242"/>
      <c r="CN42" s="3922">
        <f t="shared" ref="CN42:CN51" si="20">IF(AND($D42&lt;&gt;0,AW42=""),1,IF(AW42&gt;D42,1,0))</f>
        <v>1</v>
      </c>
      <c r="CO42" s="3922">
        <f t="shared" ref="CO42:CO51" si="21">IF(AND($D42&lt;&gt;0,AX42=""),1,IF(AX42&gt;D42,1,0))</f>
        <v>1</v>
      </c>
    </row>
    <row r="43" spans="1:93" ht="15" customHeight="1" x14ac:dyDescent="0.25">
      <c r="A43" s="5617">
        <v>33000027</v>
      </c>
      <c r="B43" s="7888"/>
      <c r="C43" s="4028" t="s">
        <v>4166</v>
      </c>
      <c r="D43" s="5243" t="s">
        <v>4567</v>
      </c>
      <c r="E43" s="5198" t="s">
        <v>4568</v>
      </c>
      <c r="F43" s="5199" t="s">
        <v>4569</v>
      </c>
      <c r="G43" s="5200" t="s">
        <v>4570</v>
      </c>
      <c r="H43" s="5201" t="s">
        <v>4571</v>
      </c>
      <c r="I43" s="5200" t="s">
        <v>4572</v>
      </c>
      <c r="J43" s="5201" t="s">
        <v>4573</v>
      </c>
      <c r="K43" s="5200" t="s">
        <v>4574</v>
      </c>
      <c r="L43" s="5201" t="s">
        <v>4575</v>
      </c>
      <c r="M43" s="5200" t="s">
        <v>4576</v>
      </c>
      <c r="N43" s="5201" t="s">
        <v>4577</v>
      </c>
      <c r="O43" s="5200" t="s">
        <v>4578</v>
      </c>
      <c r="P43" s="5201" t="s">
        <v>4579</v>
      </c>
      <c r="Q43" s="5200" t="s">
        <v>4580</v>
      </c>
      <c r="R43" s="5201" t="s">
        <v>4581</v>
      </c>
      <c r="S43" s="5200" t="s">
        <v>4582</v>
      </c>
      <c r="T43" s="5201" t="s">
        <v>4583</v>
      </c>
      <c r="U43" s="5200" t="s">
        <v>4584</v>
      </c>
      <c r="V43" s="5201" t="s">
        <v>4585</v>
      </c>
      <c r="W43" s="5200" t="s">
        <v>4586</v>
      </c>
      <c r="X43" s="5201" t="s">
        <v>4587</v>
      </c>
      <c r="Y43" s="5200" t="s">
        <v>4588</v>
      </c>
      <c r="Z43" s="5201" t="s">
        <v>4589</v>
      </c>
      <c r="AA43" s="5200" t="s">
        <v>4590</v>
      </c>
      <c r="AB43" s="5201" t="s">
        <v>4591</v>
      </c>
      <c r="AC43" s="5200" t="s">
        <v>4592</v>
      </c>
      <c r="AD43" s="5201" t="s">
        <v>4593</v>
      </c>
      <c r="AE43" s="5200" t="s">
        <v>4594</v>
      </c>
      <c r="AF43" s="5201" t="s">
        <v>4595</v>
      </c>
      <c r="AG43" s="5200" t="s">
        <v>4596</v>
      </c>
      <c r="AH43" s="5201" t="s">
        <v>4597</v>
      </c>
      <c r="AI43" s="5200" t="s">
        <v>4598</v>
      </c>
      <c r="AJ43" s="5201" t="s">
        <v>4599</v>
      </c>
      <c r="AK43" s="5204" t="s">
        <v>4600</v>
      </c>
      <c r="AL43" s="5204" t="s">
        <v>4601</v>
      </c>
      <c r="AM43" s="5204" t="s">
        <v>4602</v>
      </c>
      <c r="AN43" s="5204" t="s">
        <v>4603</v>
      </c>
      <c r="AO43" s="5204" t="s">
        <v>4604</v>
      </c>
      <c r="AP43" s="5204" t="s">
        <v>4605</v>
      </c>
      <c r="AQ43" s="5204" t="s">
        <v>4606</v>
      </c>
      <c r="AR43" s="5204" t="s">
        <v>4934</v>
      </c>
      <c r="AS43" s="5204" t="s">
        <v>4935</v>
      </c>
      <c r="AT43" s="5204" t="s">
        <v>4936</v>
      </c>
      <c r="AU43" s="5244" t="s">
        <v>4937</v>
      </c>
      <c r="AV43" s="5245" t="s">
        <v>5234</v>
      </c>
      <c r="AW43" s="5246" t="s">
        <v>5235</v>
      </c>
      <c r="AX43" s="5247" t="s">
        <v>5236</v>
      </c>
      <c r="AY43" t="e">
        <f t="shared" si="10"/>
        <v>#VALUE!</v>
      </c>
      <c r="BV43" t="str">
        <f t="shared" si="11"/>
        <v/>
      </c>
      <c r="CA43" s="2946" t="str" cm="1">
        <f t="array" ref="CA43">IF(AND($D43&lt;&gt;0,AK43:AT43=""),"* No olvide ingresar la variable "&amp;AK$36&amp;""&amp;". Digite CERO si no tiene. ","")</f>
        <v/>
      </c>
      <c r="CB43" s="1865" t="e">
        <f>IF((AK43+AL43+AM43+AN43+AO43+AP43+AQ43+AR43+AS43+AT43)&lt;$D43," * La suma de la variable Ambos Sexos no puede ser Mayor a la suma de ATENCIONES POR PROFESIONAL O TÉCNICO","")</f>
        <v>#VALUE!</v>
      </c>
      <c r="CC43" s="5241"/>
      <c r="CD43" s="5241"/>
      <c r="CE43" s="1865" t="str">
        <f t="shared" si="14"/>
        <v xml:space="preserve">* La variable Atenciones a personas oncológicas 0-19 años no debe ser mayor al Total. </v>
      </c>
      <c r="CF43" s="1865" t="str">
        <f t="shared" si="15"/>
        <v xml:space="preserve">* La variable Atenciones a personas oncológicas 20 años y más no debe ser mayor al Total. </v>
      </c>
      <c r="CJ43" s="2948" cm="1">
        <f t="array" ref="CJ43">IF(AND($D43&lt;&gt;0,AK43:AT43=""),1,0)</f>
        <v>0</v>
      </c>
      <c r="CK43" s="3922" t="e">
        <f>IF((AK43+AL43+AM43+AN43+AO43+AP43+AQ43+AR43+AS43+AT43)&lt;$D43,1,0)</f>
        <v>#VALUE!</v>
      </c>
      <c r="CL43" s="5242"/>
      <c r="CM43" s="5242"/>
      <c r="CN43" s="3922">
        <f t="shared" si="20"/>
        <v>1</v>
      </c>
      <c r="CO43" s="3922">
        <f t="shared" si="21"/>
        <v>1</v>
      </c>
    </row>
    <row r="44" spans="1:93" ht="15" customHeight="1" x14ac:dyDescent="0.25">
      <c r="A44" s="5617">
        <v>33000028</v>
      </c>
      <c r="B44" s="7927" t="s">
        <v>4167</v>
      </c>
      <c r="C44" s="5494" t="s">
        <v>4408</v>
      </c>
      <c r="D44" s="5236" t="s">
        <v>4567</v>
      </c>
      <c r="E44" s="5206" t="s">
        <v>4568</v>
      </c>
      <c r="F44" s="5207" t="s">
        <v>4569</v>
      </c>
      <c r="G44" s="3175" t="s">
        <v>4570</v>
      </c>
      <c r="H44" s="3176" t="s">
        <v>4571</v>
      </c>
      <c r="I44" s="3175" t="s">
        <v>4572</v>
      </c>
      <c r="J44" s="3176" t="s">
        <v>4573</v>
      </c>
      <c r="K44" s="3175" t="s">
        <v>4574</v>
      </c>
      <c r="L44" s="3176" t="s">
        <v>4575</v>
      </c>
      <c r="M44" s="3175" t="s">
        <v>4576</v>
      </c>
      <c r="N44" s="3176" t="s">
        <v>4577</v>
      </c>
      <c r="O44" s="3175" t="s">
        <v>4578</v>
      </c>
      <c r="P44" s="3176" t="s">
        <v>4579</v>
      </c>
      <c r="Q44" s="3175" t="s">
        <v>4580</v>
      </c>
      <c r="R44" s="3176" t="s">
        <v>4581</v>
      </c>
      <c r="S44" s="3175" t="s">
        <v>4582</v>
      </c>
      <c r="T44" s="3176" t="s">
        <v>4583</v>
      </c>
      <c r="U44" s="3175" t="s">
        <v>4584</v>
      </c>
      <c r="V44" s="3176" t="s">
        <v>4585</v>
      </c>
      <c r="W44" s="3175" t="s">
        <v>4586</v>
      </c>
      <c r="X44" s="3176" t="s">
        <v>4587</v>
      </c>
      <c r="Y44" s="3175" t="s">
        <v>4588</v>
      </c>
      <c r="Z44" s="3176" t="s">
        <v>4589</v>
      </c>
      <c r="AA44" s="3175" t="s">
        <v>4590</v>
      </c>
      <c r="AB44" s="3176" t="s">
        <v>4591</v>
      </c>
      <c r="AC44" s="3175" t="s">
        <v>4592</v>
      </c>
      <c r="AD44" s="3176" t="s">
        <v>4593</v>
      </c>
      <c r="AE44" s="3175" t="s">
        <v>4594</v>
      </c>
      <c r="AF44" s="3176" t="s">
        <v>4595</v>
      </c>
      <c r="AG44" s="3175" t="s">
        <v>4596</v>
      </c>
      <c r="AH44" s="3176" t="s">
        <v>4597</v>
      </c>
      <c r="AI44" s="3175" t="s">
        <v>4598</v>
      </c>
      <c r="AJ44" s="3176" t="s">
        <v>4599</v>
      </c>
      <c r="AK44" s="5196" t="s">
        <v>4600</v>
      </c>
      <c r="AL44" s="5209" t="s">
        <v>4601</v>
      </c>
      <c r="AM44" s="5249" t="s">
        <v>4602</v>
      </c>
      <c r="AN44" s="5209" t="s">
        <v>4603</v>
      </c>
      <c r="AO44" s="5209" t="s">
        <v>4604</v>
      </c>
      <c r="AP44" s="5209" t="s">
        <v>4605</v>
      </c>
      <c r="AQ44" s="5209" t="s">
        <v>4606</v>
      </c>
      <c r="AR44" s="5209" t="s">
        <v>4934</v>
      </c>
      <c r="AS44" s="5209" t="s">
        <v>4935</v>
      </c>
      <c r="AT44" s="5249" t="s">
        <v>4936</v>
      </c>
      <c r="AU44" s="5237" t="s">
        <v>4937</v>
      </c>
      <c r="AV44" s="5238" t="s">
        <v>5234</v>
      </c>
      <c r="AW44" s="5250" t="s">
        <v>5235</v>
      </c>
      <c r="AX44" s="5251" t="s">
        <v>5236</v>
      </c>
      <c r="AY44" t="e">
        <f t="shared" si="10"/>
        <v>#VALUE!</v>
      </c>
      <c r="BV44" t="str">
        <f t="shared" si="11"/>
        <v/>
      </c>
      <c r="CA44" s="2946" t="str" cm="1">
        <f t="array" ref="CA44">IF(AND($D44&lt;&gt;0,AK44:AT44=""),"* No olvide ingresar la variable "&amp;AK$36&amp;""&amp;". Digite CERO si no tiene. ","")</f>
        <v/>
      </c>
      <c r="CB44" s="1865" t="e">
        <f t="shared" ref="CB44:CB45" si="22">IF((AK44+AL44+AM44+AN44+AO44+AP44+AQ44+AR44+AS44+AT44)&lt;$D44," * La suma de la variable Ambos Sexos no puede ser Mayor a la suma de ATENCIONES POR PROFESIONAL O TÉCNICO","")</f>
        <v>#VALUE!</v>
      </c>
      <c r="CC44" s="5241"/>
      <c r="CD44" s="5241"/>
      <c r="CE44" s="1865" t="str">
        <f t="shared" si="14"/>
        <v xml:space="preserve">* La variable Atenciones a personas oncológicas 0-19 años no debe ser mayor al Total. </v>
      </c>
      <c r="CF44" s="1865" t="str">
        <f t="shared" si="15"/>
        <v xml:space="preserve">* La variable Atenciones a personas oncológicas 20 años y más no debe ser mayor al Total. </v>
      </c>
      <c r="CJ44" s="2948" cm="1">
        <f t="array" ref="CJ44">IF(AND($D44&lt;&gt;0,AK44:AT44=""),1,0)</f>
        <v>0</v>
      </c>
      <c r="CK44" s="3922" t="e">
        <f t="shared" ref="CK44:CK45" si="23">IF((AK44+AL44+AM44+AN44+AO44+AP44+AQ44+AR44+AS44+AT44)&lt;$D44,1,0)</f>
        <v>#VALUE!</v>
      </c>
      <c r="CL44" s="5242"/>
      <c r="CM44" s="5242"/>
      <c r="CN44" s="3922">
        <f t="shared" si="20"/>
        <v>1</v>
      </c>
      <c r="CO44" s="3922">
        <f t="shared" si="21"/>
        <v>1</v>
      </c>
    </row>
    <row r="45" spans="1:93" ht="15" customHeight="1" x14ac:dyDescent="0.25">
      <c r="A45" s="5617">
        <v>33000029</v>
      </c>
      <c r="B45" s="7928"/>
      <c r="C45" s="5495" t="s">
        <v>4168</v>
      </c>
      <c r="D45" s="5219" t="s">
        <v>4567</v>
      </c>
      <c r="E45" s="5189" t="s">
        <v>4568</v>
      </c>
      <c r="F45" s="5191" t="s">
        <v>4569</v>
      </c>
      <c r="G45" s="5210" t="s">
        <v>4570</v>
      </c>
      <c r="H45" s="5192" t="s">
        <v>4571</v>
      </c>
      <c r="I45" s="5210" t="s">
        <v>4572</v>
      </c>
      <c r="J45" s="5192" t="s">
        <v>4573</v>
      </c>
      <c r="K45" s="5210" t="s">
        <v>4574</v>
      </c>
      <c r="L45" s="5192" t="s">
        <v>4575</v>
      </c>
      <c r="M45" s="5210" t="s">
        <v>4576</v>
      </c>
      <c r="N45" s="5192" t="s">
        <v>4577</v>
      </c>
      <c r="O45" s="5210" t="s">
        <v>4578</v>
      </c>
      <c r="P45" s="5192" t="s">
        <v>4579</v>
      </c>
      <c r="Q45" s="5210" t="s">
        <v>4580</v>
      </c>
      <c r="R45" s="5192" t="s">
        <v>4581</v>
      </c>
      <c r="S45" s="5210" t="s">
        <v>4582</v>
      </c>
      <c r="T45" s="5192" t="s">
        <v>4583</v>
      </c>
      <c r="U45" s="5210" t="s">
        <v>4584</v>
      </c>
      <c r="V45" s="5192" t="s">
        <v>4585</v>
      </c>
      <c r="W45" s="5210" t="s">
        <v>4586</v>
      </c>
      <c r="X45" s="5192" t="s">
        <v>4587</v>
      </c>
      <c r="Y45" s="5210" t="s">
        <v>4588</v>
      </c>
      <c r="Z45" s="5192" t="s">
        <v>4589</v>
      </c>
      <c r="AA45" s="5210" t="s">
        <v>4590</v>
      </c>
      <c r="AB45" s="5192" t="s">
        <v>4591</v>
      </c>
      <c r="AC45" s="5210" t="s">
        <v>4592</v>
      </c>
      <c r="AD45" s="5192" t="s">
        <v>4593</v>
      </c>
      <c r="AE45" s="5210" t="s">
        <v>4594</v>
      </c>
      <c r="AF45" s="5192" t="s">
        <v>4595</v>
      </c>
      <c r="AG45" s="5210" t="s">
        <v>4596</v>
      </c>
      <c r="AH45" s="5192" t="s">
        <v>4597</v>
      </c>
      <c r="AI45" s="5210" t="s">
        <v>4598</v>
      </c>
      <c r="AJ45" s="5192" t="s">
        <v>4599</v>
      </c>
      <c r="AK45" s="5196" t="s">
        <v>4600</v>
      </c>
      <c r="AL45" s="5196" t="s">
        <v>4601</v>
      </c>
      <c r="AM45" s="5252" t="s">
        <v>4602</v>
      </c>
      <c r="AN45" s="5196" t="s">
        <v>4603</v>
      </c>
      <c r="AO45" s="5209" t="s">
        <v>4604</v>
      </c>
      <c r="AP45" s="5209" t="s">
        <v>4605</v>
      </c>
      <c r="AQ45" s="5209" t="s">
        <v>4606</v>
      </c>
      <c r="AR45" s="5209" t="s">
        <v>4934</v>
      </c>
      <c r="AS45" s="5209" t="s">
        <v>4935</v>
      </c>
      <c r="AT45" s="5252" t="s">
        <v>4936</v>
      </c>
      <c r="AU45" s="5253" t="s">
        <v>4937</v>
      </c>
      <c r="AV45" s="5254" t="s">
        <v>5234</v>
      </c>
      <c r="AW45" s="5255" t="s">
        <v>5235</v>
      </c>
      <c r="AX45" s="5256" t="s">
        <v>5236</v>
      </c>
      <c r="AY45" t="e">
        <f t="shared" si="10"/>
        <v>#VALUE!</v>
      </c>
      <c r="BV45" t="str">
        <f t="shared" si="11"/>
        <v/>
      </c>
      <c r="CA45" s="2946" t="str" cm="1">
        <f t="array" ref="CA45">IF(AND($D45&lt;&gt;0,AK45:AT45=""),"* No olvide ingresar la variable "&amp;AK$36&amp;""&amp;". Digite CERO si no tiene. ","")</f>
        <v/>
      </c>
      <c r="CB45" s="1865" t="e">
        <f t="shared" si="22"/>
        <v>#VALUE!</v>
      </c>
      <c r="CC45" s="5241"/>
      <c r="CD45" s="5241"/>
      <c r="CE45" s="1865" t="str">
        <f>IF(AND($D45&lt;&gt;0,AW45=""),"* No olvide ingresar la variable "&amp;AW$36&amp;""&amp;" 0-19 años. Digite CERO si no tiene.  ",IF(AW45&gt;$D45,"* La variable "&amp;AW$36&amp;""&amp;" 0-19 años no debe ser mayor al Total. ",""))</f>
        <v xml:space="preserve">* La variable Atenciones a personas oncológicas 0-19 años no debe ser mayor al Total. </v>
      </c>
      <c r="CF45" s="1865" t="str">
        <f t="shared" si="15"/>
        <v xml:space="preserve">* La variable Atenciones a personas oncológicas 20 años y más no debe ser mayor al Total. </v>
      </c>
      <c r="CJ45" s="2948" cm="1">
        <f t="array" ref="CJ45">IF(AND($D45&lt;&gt;0,AK45:AT45=""),1,0)</f>
        <v>0</v>
      </c>
      <c r="CK45" s="3922" t="e">
        <f t="shared" si="23"/>
        <v>#VALUE!</v>
      </c>
      <c r="CL45" s="5242"/>
      <c r="CM45" s="5242"/>
      <c r="CN45" s="3922">
        <f t="shared" si="20"/>
        <v>1</v>
      </c>
      <c r="CO45" s="3922">
        <f t="shared" si="21"/>
        <v>1</v>
      </c>
    </row>
    <row r="46" spans="1:93" ht="15" customHeight="1" x14ac:dyDescent="0.25">
      <c r="A46" s="5617">
        <v>33000030</v>
      </c>
      <c r="B46" s="7928"/>
      <c r="C46" s="5495" t="s">
        <v>4169</v>
      </c>
      <c r="D46" s="5219" t="s">
        <v>4567</v>
      </c>
      <c r="E46" s="5189" t="s">
        <v>4568</v>
      </c>
      <c r="F46" s="5191" t="s">
        <v>4569</v>
      </c>
      <c r="G46" s="5210" t="s">
        <v>4570</v>
      </c>
      <c r="H46" s="5192" t="s">
        <v>4571</v>
      </c>
      <c r="I46" s="5210" t="s">
        <v>4572</v>
      </c>
      <c r="J46" s="5192" t="s">
        <v>4573</v>
      </c>
      <c r="K46" s="5210" t="s">
        <v>4574</v>
      </c>
      <c r="L46" s="5192" t="s">
        <v>4575</v>
      </c>
      <c r="M46" s="5210" t="s">
        <v>4576</v>
      </c>
      <c r="N46" s="5192" t="s">
        <v>4577</v>
      </c>
      <c r="O46" s="5210" t="s">
        <v>4578</v>
      </c>
      <c r="P46" s="5192" t="s">
        <v>4579</v>
      </c>
      <c r="Q46" s="5210" t="s">
        <v>4580</v>
      </c>
      <c r="R46" s="5192" t="s">
        <v>4581</v>
      </c>
      <c r="S46" s="5210" t="s">
        <v>4582</v>
      </c>
      <c r="T46" s="5192" t="s">
        <v>4583</v>
      </c>
      <c r="U46" s="5210" t="s">
        <v>4584</v>
      </c>
      <c r="V46" s="5192" t="s">
        <v>4585</v>
      </c>
      <c r="W46" s="5210" t="s">
        <v>4586</v>
      </c>
      <c r="X46" s="5192" t="s">
        <v>4587</v>
      </c>
      <c r="Y46" s="5210" t="s">
        <v>4588</v>
      </c>
      <c r="Z46" s="5192" t="s">
        <v>4589</v>
      </c>
      <c r="AA46" s="5210" t="s">
        <v>4590</v>
      </c>
      <c r="AB46" s="5192" t="s">
        <v>4591</v>
      </c>
      <c r="AC46" s="5210" t="s">
        <v>4592</v>
      </c>
      <c r="AD46" s="5192" t="s">
        <v>4593</v>
      </c>
      <c r="AE46" s="5210" t="s">
        <v>4594</v>
      </c>
      <c r="AF46" s="5192" t="s">
        <v>4595</v>
      </c>
      <c r="AG46" s="5210" t="s">
        <v>4596</v>
      </c>
      <c r="AH46" s="5192" t="s">
        <v>4597</v>
      </c>
      <c r="AI46" s="5210" t="s">
        <v>4598</v>
      </c>
      <c r="AJ46" s="5192" t="s">
        <v>4599</v>
      </c>
      <c r="AK46" s="5196" t="s">
        <v>4600</v>
      </c>
      <c r="AL46" s="5196" t="s">
        <v>4601</v>
      </c>
      <c r="AM46" s="5196" t="s">
        <v>4602</v>
      </c>
      <c r="AN46" s="5196" t="s">
        <v>4603</v>
      </c>
      <c r="AO46" s="5196" t="s">
        <v>4604</v>
      </c>
      <c r="AP46" s="5196" t="s">
        <v>4605</v>
      </c>
      <c r="AQ46" s="5196" t="s">
        <v>4606</v>
      </c>
      <c r="AR46" s="5196" t="s">
        <v>4934</v>
      </c>
      <c r="AS46" s="5196" t="s">
        <v>4935</v>
      </c>
      <c r="AT46" s="5196" t="s">
        <v>4936</v>
      </c>
      <c r="AU46" s="5253" t="s">
        <v>4937</v>
      </c>
      <c r="AV46" s="5254" t="s">
        <v>5234</v>
      </c>
      <c r="AW46" s="5255" t="s">
        <v>5235</v>
      </c>
      <c r="AX46" s="5256" t="s">
        <v>5236</v>
      </c>
      <c r="AY46" t="e">
        <f t="shared" si="10"/>
        <v>#VALUE!</v>
      </c>
      <c r="BV46" t="str">
        <f t="shared" si="11"/>
        <v/>
      </c>
      <c r="CA46" s="2946" t="str" cm="1">
        <f t="array" ref="CA46">IF(AND($D46&lt;&gt;0,AK46:AT46=""),"* No olvide ingresar la variable "&amp;AK$36&amp;""&amp;". Digite CERO si no tiene. ","")</f>
        <v/>
      </c>
      <c r="CB46" s="1865" t="e">
        <f>IF((AK46+AL46+AM46+AN46+AO46+AP46+AQ46+AR46+AS46+AT46)&lt;$D46," * La suma de la variable Ambos Sexos no puede ser Mayor a la suma de ATENCIONES POR PROFESIONAL O TÉCNICO","")</f>
        <v>#VALUE!</v>
      </c>
      <c r="CC46" s="5241"/>
      <c r="CD46" s="5241"/>
      <c r="CE46" s="1865" t="str">
        <f t="shared" si="14"/>
        <v xml:space="preserve">* La variable Atenciones a personas oncológicas 0-19 años no debe ser mayor al Total. </v>
      </c>
      <c r="CF46" s="1865" t="str">
        <f t="shared" si="15"/>
        <v xml:space="preserve">* La variable Atenciones a personas oncológicas 20 años y más no debe ser mayor al Total. </v>
      </c>
      <c r="CJ46" s="2948" cm="1">
        <f t="array" ref="CJ46">IF(AND($D46&lt;&gt;0,AK46:AT46=""),1,0)</f>
        <v>0</v>
      </c>
      <c r="CK46" s="3922" t="e">
        <f t="shared" ref="CK46:CK51" si="24">IF((AK46+AL46+AM46+AN46+AO46+AP46+AQ46+AR46+AS46+AT46)&lt;$D46,1,0)</f>
        <v>#VALUE!</v>
      </c>
      <c r="CL46" s="5242"/>
      <c r="CM46" s="5242"/>
      <c r="CN46" s="3922">
        <f t="shared" si="20"/>
        <v>1</v>
      </c>
      <c r="CO46" s="3922">
        <f t="shared" si="21"/>
        <v>1</v>
      </c>
    </row>
    <row r="47" spans="1:93" ht="15" customHeight="1" x14ac:dyDescent="0.25">
      <c r="A47" s="5617">
        <v>33000031</v>
      </c>
      <c r="B47" s="7929"/>
      <c r="C47" s="5496" t="s">
        <v>622</v>
      </c>
      <c r="D47" s="5243" t="s">
        <v>4567</v>
      </c>
      <c r="E47" s="5198" t="s">
        <v>4568</v>
      </c>
      <c r="F47" s="5199" t="s">
        <v>4569</v>
      </c>
      <c r="G47" s="5200" t="s">
        <v>4570</v>
      </c>
      <c r="H47" s="5201" t="s">
        <v>4571</v>
      </c>
      <c r="I47" s="5200" t="s">
        <v>4572</v>
      </c>
      <c r="J47" s="5201" t="s">
        <v>4573</v>
      </c>
      <c r="K47" s="5200" t="s">
        <v>4574</v>
      </c>
      <c r="L47" s="5201" t="s">
        <v>4575</v>
      </c>
      <c r="M47" s="5200" t="s">
        <v>4576</v>
      </c>
      <c r="N47" s="5201" t="s">
        <v>4577</v>
      </c>
      <c r="O47" s="5200" t="s">
        <v>4578</v>
      </c>
      <c r="P47" s="5201" t="s">
        <v>4579</v>
      </c>
      <c r="Q47" s="5200" t="s">
        <v>4580</v>
      </c>
      <c r="R47" s="5201" t="s">
        <v>4581</v>
      </c>
      <c r="S47" s="5200" t="s">
        <v>4582</v>
      </c>
      <c r="T47" s="5201" t="s">
        <v>4583</v>
      </c>
      <c r="U47" s="5200" t="s">
        <v>4584</v>
      </c>
      <c r="V47" s="5201" t="s">
        <v>4585</v>
      </c>
      <c r="W47" s="5200" t="s">
        <v>4586</v>
      </c>
      <c r="X47" s="5201" t="s">
        <v>4587</v>
      </c>
      <c r="Y47" s="5200" t="s">
        <v>4588</v>
      </c>
      <c r="Z47" s="5201" t="s">
        <v>4589</v>
      </c>
      <c r="AA47" s="5200" t="s">
        <v>4590</v>
      </c>
      <c r="AB47" s="5201" t="s">
        <v>4591</v>
      </c>
      <c r="AC47" s="5200" t="s">
        <v>4592</v>
      </c>
      <c r="AD47" s="5201" t="s">
        <v>4593</v>
      </c>
      <c r="AE47" s="5200" t="s">
        <v>4594</v>
      </c>
      <c r="AF47" s="5201" t="s">
        <v>4595</v>
      </c>
      <c r="AG47" s="5200" t="s">
        <v>4596</v>
      </c>
      <c r="AH47" s="5201" t="s">
        <v>4597</v>
      </c>
      <c r="AI47" s="5200" t="s">
        <v>4598</v>
      </c>
      <c r="AJ47" s="5201" t="s">
        <v>4599</v>
      </c>
      <c r="AK47" s="5204" t="s">
        <v>4600</v>
      </c>
      <c r="AL47" s="5204" t="s">
        <v>4601</v>
      </c>
      <c r="AM47" s="5204" t="s">
        <v>4602</v>
      </c>
      <c r="AN47" s="5204" t="s">
        <v>4603</v>
      </c>
      <c r="AO47" s="5204" t="s">
        <v>4604</v>
      </c>
      <c r="AP47" s="5204" t="s">
        <v>4605</v>
      </c>
      <c r="AQ47" s="5204" t="s">
        <v>4606</v>
      </c>
      <c r="AR47" s="5204" t="s">
        <v>4934</v>
      </c>
      <c r="AS47" s="5204" t="s">
        <v>4935</v>
      </c>
      <c r="AT47" s="5204" t="s">
        <v>4936</v>
      </c>
      <c r="AU47" s="5244" t="s">
        <v>4937</v>
      </c>
      <c r="AV47" s="5245" t="s">
        <v>5234</v>
      </c>
      <c r="AW47" s="5246" t="s">
        <v>5235</v>
      </c>
      <c r="AX47" s="5247" t="s">
        <v>5236</v>
      </c>
      <c r="AY47" t="e">
        <f t="shared" si="10"/>
        <v>#VALUE!</v>
      </c>
      <c r="CA47" s="2946" t="str" cm="1">
        <f t="array" ref="CA47">IF(AND($D47&lt;&gt;0,AK47:AT47=""),"* No olvide ingresar la variable "&amp;AK$36&amp;""&amp;". Digite CERO si no tiene. ","")</f>
        <v/>
      </c>
      <c r="CB47" s="1865" t="e">
        <f t="shared" ref="CB47:CB51" si="25">IF((AK47+AL47+AM47+AN47+AO47+AP47+AQ47+AR47+AS47+AT47)&lt;$D47," * La suma de la variable Ambos Sexos no puede ser Mayor a la suma de ATENCIONES POR PROFESIONAL O TÉCNICO","")</f>
        <v>#VALUE!</v>
      </c>
      <c r="CC47" s="5241"/>
      <c r="CD47" s="5241"/>
      <c r="CE47" s="1865" t="str">
        <f t="shared" si="14"/>
        <v xml:space="preserve">* La variable Atenciones a personas oncológicas 0-19 años no debe ser mayor al Total. </v>
      </c>
      <c r="CF47" s="1865" t="str">
        <f t="shared" si="15"/>
        <v xml:space="preserve">* La variable Atenciones a personas oncológicas 20 años y más no debe ser mayor al Total. </v>
      </c>
      <c r="CJ47" s="2948" cm="1">
        <f t="array" ref="CJ47">IF(AND($D47&lt;&gt;0,AK47:AT47=""),1,0)</f>
        <v>0</v>
      </c>
      <c r="CK47" s="3922" t="e">
        <f t="shared" si="24"/>
        <v>#VALUE!</v>
      </c>
      <c r="CL47" s="5242"/>
      <c r="CM47" s="5242"/>
      <c r="CN47" s="3922">
        <f t="shared" si="20"/>
        <v>1</v>
      </c>
      <c r="CO47" s="3922">
        <f t="shared" si="21"/>
        <v>1</v>
      </c>
    </row>
    <row r="48" spans="1:93" ht="15" customHeight="1" x14ac:dyDescent="0.25">
      <c r="A48" s="5617">
        <v>33000032</v>
      </c>
      <c r="B48" s="7888" t="s">
        <v>4170</v>
      </c>
      <c r="C48" s="5248" t="s">
        <v>4171</v>
      </c>
      <c r="D48" s="5236" t="s">
        <v>4567</v>
      </c>
      <c r="E48" s="5206" t="s">
        <v>4568</v>
      </c>
      <c r="F48" s="5207" t="s">
        <v>4569</v>
      </c>
      <c r="G48" s="3175" t="s">
        <v>4570</v>
      </c>
      <c r="H48" s="3176" t="s">
        <v>4571</v>
      </c>
      <c r="I48" s="3175" t="s">
        <v>4572</v>
      </c>
      <c r="J48" s="3176" t="s">
        <v>4573</v>
      </c>
      <c r="K48" s="3175" t="s">
        <v>4574</v>
      </c>
      <c r="L48" s="3176" t="s">
        <v>4575</v>
      </c>
      <c r="M48" s="3175" t="s">
        <v>4576</v>
      </c>
      <c r="N48" s="3176" t="s">
        <v>4577</v>
      </c>
      <c r="O48" s="3175" t="s">
        <v>4578</v>
      </c>
      <c r="P48" s="3176" t="s">
        <v>4579</v>
      </c>
      <c r="Q48" s="3175" t="s">
        <v>4580</v>
      </c>
      <c r="R48" s="3176" t="s">
        <v>4581</v>
      </c>
      <c r="S48" s="3175" t="s">
        <v>4582</v>
      </c>
      <c r="T48" s="3176" t="s">
        <v>4583</v>
      </c>
      <c r="U48" s="3175" t="s">
        <v>4584</v>
      </c>
      <c r="V48" s="3176" t="s">
        <v>4585</v>
      </c>
      <c r="W48" s="3175" t="s">
        <v>4586</v>
      </c>
      <c r="X48" s="3176" t="s">
        <v>4587</v>
      </c>
      <c r="Y48" s="3175" t="s">
        <v>4588</v>
      </c>
      <c r="Z48" s="3176" t="s">
        <v>4589</v>
      </c>
      <c r="AA48" s="3175" t="s">
        <v>4590</v>
      </c>
      <c r="AB48" s="3176" t="s">
        <v>4591</v>
      </c>
      <c r="AC48" s="3175" t="s">
        <v>4592</v>
      </c>
      <c r="AD48" s="3176" t="s">
        <v>4593</v>
      </c>
      <c r="AE48" s="3175" t="s">
        <v>4594</v>
      </c>
      <c r="AF48" s="3176" t="s">
        <v>4595</v>
      </c>
      <c r="AG48" s="3175" t="s">
        <v>4596</v>
      </c>
      <c r="AH48" s="3176" t="s">
        <v>4597</v>
      </c>
      <c r="AI48" s="3175" t="s">
        <v>4598</v>
      </c>
      <c r="AJ48" s="3176" t="s">
        <v>4599</v>
      </c>
      <c r="AK48" s="5209" t="s">
        <v>4600</v>
      </c>
      <c r="AL48" s="5209" t="s">
        <v>4601</v>
      </c>
      <c r="AM48" s="5209" t="s">
        <v>4602</v>
      </c>
      <c r="AN48" s="5209" t="s">
        <v>4603</v>
      </c>
      <c r="AO48" s="5209" t="s">
        <v>4604</v>
      </c>
      <c r="AP48" s="5209" t="s">
        <v>4605</v>
      </c>
      <c r="AQ48" s="5209" t="s">
        <v>4606</v>
      </c>
      <c r="AR48" s="5209" t="s">
        <v>4934</v>
      </c>
      <c r="AS48" s="5209" t="s">
        <v>4935</v>
      </c>
      <c r="AT48" s="5209" t="s">
        <v>4936</v>
      </c>
      <c r="AU48" s="5237" t="s">
        <v>4937</v>
      </c>
      <c r="AV48" s="5238" t="s">
        <v>5234</v>
      </c>
      <c r="AW48" s="5491" t="s">
        <v>5235</v>
      </c>
      <c r="AX48" s="5492" t="s">
        <v>5236</v>
      </c>
      <c r="AY48" t="e">
        <f t="shared" si="10"/>
        <v>#VALUE!</v>
      </c>
      <c r="BV48" t="str">
        <f t="shared" si="11"/>
        <v/>
      </c>
      <c r="CA48" s="2946" t="str" cm="1">
        <f t="array" ref="CA48">IF(AND($D48&lt;&gt;0,AK48:AT48=""),"* No olvide ingresar la variable "&amp;AK$36&amp;""&amp;". Digite CERO si no tiene. ","")</f>
        <v/>
      </c>
      <c r="CB48" s="1865" t="e">
        <f t="shared" si="25"/>
        <v>#VALUE!</v>
      </c>
      <c r="CC48" s="5241"/>
      <c r="CD48" s="5241"/>
      <c r="CE48" s="1865" t="str">
        <f t="shared" si="14"/>
        <v xml:space="preserve">* La variable Atenciones a personas oncológicas 0-19 años no debe ser mayor al Total. </v>
      </c>
      <c r="CF48" s="1865" t="str">
        <f t="shared" si="15"/>
        <v xml:space="preserve">* La variable Atenciones a personas oncológicas 20 años y más no debe ser mayor al Total. </v>
      </c>
      <c r="CJ48" s="2948" cm="1">
        <f t="array" ref="CJ48">IF(AND($D48&lt;&gt;0,AK48:AT48=""),1,0)</f>
        <v>0</v>
      </c>
      <c r="CK48" s="3922" t="e">
        <f t="shared" si="24"/>
        <v>#VALUE!</v>
      </c>
      <c r="CL48" s="5242"/>
      <c r="CM48" s="5242"/>
      <c r="CN48" s="3922">
        <f t="shared" si="20"/>
        <v>1</v>
      </c>
      <c r="CO48" s="3922">
        <f t="shared" si="21"/>
        <v>1</v>
      </c>
    </row>
    <row r="49" spans="1:93" ht="15" customHeight="1" x14ac:dyDescent="0.25">
      <c r="A49" s="5617">
        <v>33000033</v>
      </c>
      <c r="B49" s="7890"/>
      <c r="C49" s="5257" t="s">
        <v>4168</v>
      </c>
      <c r="D49" s="5243" t="s">
        <v>4567</v>
      </c>
      <c r="E49" s="5198" t="s">
        <v>4568</v>
      </c>
      <c r="F49" s="5199" t="s">
        <v>4569</v>
      </c>
      <c r="G49" s="5200" t="s">
        <v>4570</v>
      </c>
      <c r="H49" s="5201" t="s">
        <v>4571</v>
      </c>
      <c r="I49" s="5200" t="s">
        <v>4572</v>
      </c>
      <c r="J49" s="5201" t="s">
        <v>4573</v>
      </c>
      <c r="K49" s="5200" t="s">
        <v>4574</v>
      </c>
      <c r="L49" s="5201" t="s">
        <v>4575</v>
      </c>
      <c r="M49" s="5200" t="s">
        <v>4576</v>
      </c>
      <c r="N49" s="5201" t="s">
        <v>4577</v>
      </c>
      <c r="O49" s="5200" t="s">
        <v>4578</v>
      </c>
      <c r="P49" s="5201" t="s">
        <v>4579</v>
      </c>
      <c r="Q49" s="5200" t="s">
        <v>4580</v>
      </c>
      <c r="R49" s="5201" t="s">
        <v>4581</v>
      </c>
      <c r="S49" s="5200" t="s">
        <v>4582</v>
      </c>
      <c r="T49" s="5201" t="s">
        <v>4583</v>
      </c>
      <c r="U49" s="5200" t="s">
        <v>4584</v>
      </c>
      <c r="V49" s="5201" t="s">
        <v>4585</v>
      </c>
      <c r="W49" s="5200" t="s">
        <v>4586</v>
      </c>
      <c r="X49" s="5201" t="s">
        <v>4587</v>
      </c>
      <c r="Y49" s="5200" t="s">
        <v>4588</v>
      </c>
      <c r="Z49" s="5201" t="s">
        <v>4589</v>
      </c>
      <c r="AA49" s="5200" t="s">
        <v>4590</v>
      </c>
      <c r="AB49" s="5201" t="s">
        <v>4591</v>
      </c>
      <c r="AC49" s="5200" t="s">
        <v>4592</v>
      </c>
      <c r="AD49" s="5201" t="s">
        <v>4593</v>
      </c>
      <c r="AE49" s="5200" t="s">
        <v>4594</v>
      </c>
      <c r="AF49" s="5201" t="s">
        <v>4595</v>
      </c>
      <c r="AG49" s="5200" t="s">
        <v>4596</v>
      </c>
      <c r="AH49" s="5201" t="s">
        <v>4597</v>
      </c>
      <c r="AI49" s="5200" t="s">
        <v>4598</v>
      </c>
      <c r="AJ49" s="5201" t="s">
        <v>4599</v>
      </c>
      <c r="AK49" s="5204" t="s">
        <v>4600</v>
      </c>
      <c r="AL49" s="5204" t="s">
        <v>4601</v>
      </c>
      <c r="AM49" s="5204" t="s">
        <v>4602</v>
      </c>
      <c r="AN49" s="5204" t="s">
        <v>4603</v>
      </c>
      <c r="AO49" s="5204" t="s">
        <v>4604</v>
      </c>
      <c r="AP49" s="5204" t="s">
        <v>4605</v>
      </c>
      <c r="AQ49" s="5204" t="s">
        <v>4606</v>
      </c>
      <c r="AR49" s="5204" t="s">
        <v>4934</v>
      </c>
      <c r="AS49" s="5204" t="s">
        <v>4935</v>
      </c>
      <c r="AT49" s="5204" t="s">
        <v>4936</v>
      </c>
      <c r="AU49" s="5244" t="s">
        <v>4937</v>
      </c>
      <c r="AV49" s="5245" t="s">
        <v>5234</v>
      </c>
      <c r="AW49" s="5246" t="s">
        <v>5235</v>
      </c>
      <c r="AX49" s="5247" t="s">
        <v>5236</v>
      </c>
      <c r="AY49" t="e">
        <f t="shared" si="10"/>
        <v>#VALUE!</v>
      </c>
      <c r="BV49" t="str">
        <f t="shared" si="11"/>
        <v/>
      </c>
      <c r="CA49" s="2946" t="str" cm="1">
        <f t="array" ref="CA49">IF(AND($D49&lt;&gt;0,AK49:AT49=""),"* No olvide ingresar la variable "&amp;AK$36&amp;""&amp;". Digite CERO si no tiene. ","")</f>
        <v/>
      </c>
      <c r="CB49" s="1865" t="e">
        <f t="shared" si="25"/>
        <v>#VALUE!</v>
      </c>
      <c r="CC49" s="5241"/>
      <c r="CD49" s="5241"/>
      <c r="CE49" s="1865" t="str">
        <f t="shared" si="14"/>
        <v xml:space="preserve">* La variable Atenciones a personas oncológicas 0-19 años no debe ser mayor al Total. </v>
      </c>
      <c r="CF49" s="1865" t="str">
        <f t="shared" si="15"/>
        <v xml:space="preserve">* La variable Atenciones a personas oncológicas 20 años y más no debe ser mayor al Total. </v>
      </c>
      <c r="CJ49" s="2948" cm="1">
        <f t="array" ref="CJ49">IF(AND($D49&lt;&gt;0,AK49:AT49=""),1,0)</f>
        <v>0</v>
      </c>
      <c r="CK49" s="3922" t="e">
        <f t="shared" si="24"/>
        <v>#VALUE!</v>
      </c>
      <c r="CL49" s="5242"/>
      <c r="CM49" s="5242"/>
      <c r="CN49" s="3922">
        <f t="shared" si="20"/>
        <v>1</v>
      </c>
      <c r="CO49" s="3922">
        <f t="shared" si="21"/>
        <v>1</v>
      </c>
    </row>
    <row r="50" spans="1:93" ht="15" customHeight="1" x14ac:dyDescent="0.25">
      <c r="A50" s="5617">
        <v>33000034</v>
      </c>
      <c r="B50" s="7888" t="s">
        <v>580</v>
      </c>
      <c r="C50" s="5258" t="s">
        <v>4172</v>
      </c>
      <c r="D50" s="5236" t="s">
        <v>4567</v>
      </c>
      <c r="E50" s="5206" t="s">
        <v>4568</v>
      </c>
      <c r="F50" s="5207" t="s">
        <v>4569</v>
      </c>
      <c r="G50" s="3175" t="s">
        <v>4570</v>
      </c>
      <c r="H50" s="3176" t="s">
        <v>4571</v>
      </c>
      <c r="I50" s="3175" t="s">
        <v>4572</v>
      </c>
      <c r="J50" s="3176" t="s">
        <v>4573</v>
      </c>
      <c r="K50" s="3175" t="s">
        <v>4574</v>
      </c>
      <c r="L50" s="3176" t="s">
        <v>4575</v>
      </c>
      <c r="M50" s="3175" t="s">
        <v>4576</v>
      </c>
      <c r="N50" s="3176" t="s">
        <v>4577</v>
      </c>
      <c r="O50" s="3175" t="s">
        <v>4578</v>
      </c>
      <c r="P50" s="3176" t="s">
        <v>4579</v>
      </c>
      <c r="Q50" s="3175" t="s">
        <v>4580</v>
      </c>
      <c r="R50" s="3176" t="s">
        <v>4581</v>
      </c>
      <c r="S50" s="3175" t="s">
        <v>4582</v>
      </c>
      <c r="T50" s="3176" t="s">
        <v>4583</v>
      </c>
      <c r="U50" s="3175" t="s">
        <v>4584</v>
      </c>
      <c r="V50" s="3176" t="s">
        <v>4585</v>
      </c>
      <c r="W50" s="3175" t="s">
        <v>4586</v>
      </c>
      <c r="X50" s="3176" t="s">
        <v>4587</v>
      </c>
      <c r="Y50" s="3175" t="s">
        <v>4588</v>
      </c>
      <c r="Z50" s="3176" t="s">
        <v>4589</v>
      </c>
      <c r="AA50" s="3175" t="s">
        <v>4590</v>
      </c>
      <c r="AB50" s="3176" t="s">
        <v>4591</v>
      </c>
      <c r="AC50" s="3175" t="s">
        <v>4592</v>
      </c>
      <c r="AD50" s="3176" t="s">
        <v>4593</v>
      </c>
      <c r="AE50" s="3175" t="s">
        <v>4594</v>
      </c>
      <c r="AF50" s="3176" t="s">
        <v>4595</v>
      </c>
      <c r="AG50" s="3175" t="s">
        <v>4596</v>
      </c>
      <c r="AH50" s="3176" t="s">
        <v>4597</v>
      </c>
      <c r="AI50" s="3175" t="s">
        <v>4598</v>
      </c>
      <c r="AJ50" s="3176" t="s">
        <v>4599</v>
      </c>
      <c r="AK50" s="5209" t="s">
        <v>4600</v>
      </c>
      <c r="AL50" s="5209" t="s">
        <v>4601</v>
      </c>
      <c r="AM50" s="5209" t="s">
        <v>4602</v>
      </c>
      <c r="AN50" s="5209" t="s">
        <v>4603</v>
      </c>
      <c r="AO50" s="5209" t="s">
        <v>4604</v>
      </c>
      <c r="AP50" s="5209" t="s">
        <v>4605</v>
      </c>
      <c r="AQ50" s="5209" t="s">
        <v>4606</v>
      </c>
      <c r="AR50" s="5209" t="s">
        <v>4934</v>
      </c>
      <c r="AS50" s="5209" t="s">
        <v>4935</v>
      </c>
      <c r="AT50" s="5209" t="s">
        <v>4936</v>
      </c>
      <c r="AU50" s="5237" t="s">
        <v>4937</v>
      </c>
      <c r="AV50" s="5238" t="s">
        <v>5234</v>
      </c>
      <c r="AW50" s="5250" t="s">
        <v>5235</v>
      </c>
      <c r="AX50" s="5251" t="s">
        <v>5236</v>
      </c>
      <c r="AY50" t="e">
        <f t="shared" si="10"/>
        <v>#VALUE!</v>
      </c>
      <c r="BV50" t="str">
        <f t="shared" si="11"/>
        <v/>
      </c>
      <c r="CA50" s="2946" t="str" cm="1">
        <f t="array" ref="CA50">IF(AND($D50&lt;&gt;0,AK50:AT50=""),"* No olvide ingresar la variable "&amp;AK$36&amp;""&amp;". Digite CERO si no tiene. ","")</f>
        <v/>
      </c>
      <c r="CB50" s="1865" t="e">
        <f t="shared" si="25"/>
        <v>#VALUE!</v>
      </c>
      <c r="CC50" s="5241"/>
      <c r="CD50" s="5241"/>
      <c r="CE50" s="1865" t="str">
        <f t="shared" si="14"/>
        <v xml:space="preserve">* La variable Atenciones a personas oncológicas 0-19 años no debe ser mayor al Total. </v>
      </c>
      <c r="CF50" s="1865" t="str">
        <f t="shared" si="15"/>
        <v xml:space="preserve">* La variable Atenciones a personas oncológicas 20 años y más no debe ser mayor al Total. </v>
      </c>
      <c r="CJ50" s="2948" cm="1">
        <f t="array" ref="CJ50">IF(AND($D50&lt;&gt;0,AK50:AT50=""),1,0)</f>
        <v>0</v>
      </c>
      <c r="CK50" s="3922" t="e">
        <f t="shared" si="24"/>
        <v>#VALUE!</v>
      </c>
      <c r="CL50" s="5242"/>
      <c r="CM50" s="5242"/>
      <c r="CN50" s="3922">
        <f t="shared" si="20"/>
        <v>1</v>
      </c>
      <c r="CO50" s="3922">
        <f t="shared" si="21"/>
        <v>1</v>
      </c>
    </row>
    <row r="51" spans="1:93" ht="15" customHeight="1" x14ac:dyDescent="0.25">
      <c r="A51" s="5617">
        <v>33000035</v>
      </c>
      <c r="B51" s="7888"/>
      <c r="C51" s="4028" t="s">
        <v>4173</v>
      </c>
      <c r="D51" s="5259" t="s">
        <v>4567</v>
      </c>
      <c r="E51" s="5260" t="s">
        <v>4568</v>
      </c>
      <c r="F51" s="5261" t="s">
        <v>4569</v>
      </c>
      <c r="G51" s="3163" t="s">
        <v>4570</v>
      </c>
      <c r="H51" s="5230" t="s">
        <v>4571</v>
      </c>
      <c r="I51" s="3163" t="s">
        <v>4572</v>
      </c>
      <c r="J51" s="5230" t="s">
        <v>4573</v>
      </c>
      <c r="K51" s="3163" t="s">
        <v>4574</v>
      </c>
      <c r="L51" s="5230" t="s">
        <v>4575</v>
      </c>
      <c r="M51" s="3163" t="s">
        <v>4576</v>
      </c>
      <c r="N51" s="5230" t="s">
        <v>4577</v>
      </c>
      <c r="O51" s="3163" t="s">
        <v>4578</v>
      </c>
      <c r="P51" s="5230" t="s">
        <v>4579</v>
      </c>
      <c r="Q51" s="3163" t="s">
        <v>4580</v>
      </c>
      <c r="R51" s="5230" t="s">
        <v>4581</v>
      </c>
      <c r="S51" s="3163" t="s">
        <v>4582</v>
      </c>
      <c r="T51" s="5230" t="s">
        <v>4583</v>
      </c>
      <c r="U51" s="3163" t="s">
        <v>4584</v>
      </c>
      <c r="V51" s="5230" t="s">
        <v>4585</v>
      </c>
      <c r="W51" s="3163" t="s">
        <v>4586</v>
      </c>
      <c r="X51" s="5230" t="s">
        <v>4587</v>
      </c>
      <c r="Y51" s="3163" t="s">
        <v>4588</v>
      </c>
      <c r="Z51" s="5230" t="s">
        <v>4589</v>
      </c>
      <c r="AA51" s="3163" t="s">
        <v>4590</v>
      </c>
      <c r="AB51" s="5230" t="s">
        <v>4591</v>
      </c>
      <c r="AC51" s="3163" t="s">
        <v>4592</v>
      </c>
      <c r="AD51" s="5230" t="s">
        <v>4593</v>
      </c>
      <c r="AE51" s="3163" t="s">
        <v>4594</v>
      </c>
      <c r="AF51" s="5230" t="s">
        <v>4595</v>
      </c>
      <c r="AG51" s="3163" t="s">
        <v>4596</v>
      </c>
      <c r="AH51" s="5230" t="s">
        <v>4597</v>
      </c>
      <c r="AI51" s="3163" t="s">
        <v>4598</v>
      </c>
      <c r="AJ51" s="5230" t="s">
        <v>4599</v>
      </c>
      <c r="AK51" s="5231" t="s">
        <v>4600</v>
      </c>
      <c r="AL51" s="5231" t="s">
        <v>4601</v>
      </c>
      <c r="AM51" s="5231" t="s">
        <v>4602</v>
      </c>
      <c r="AN51" s="5231" t="s">
        <v>4603</v>
      </c>
      <c r="AO51" s="5231" t="s">
        <v>4604</v>
      </c>
      <c r="AP51" s="5231" t="s">
        <v>4605</v>
      </c>
      <c r="AQ51" s="5231" t="s">
        <v>4606</v>
      </c>
      <c r="AR51" s="5231" t="s">
        <v>4934</v>
      </c>
      <c r="AS51" s="5231" t="s">
        <v>4935</v>
      </c>
      <c r="AT51" s="5231" t="s">
        <v>4936</v>
      </c>
      <c r="AU51" s="5262" t="s">
        <v>4937</v>
      </c>
      <c r="AV51" s="5263" t="s">
        <v>5234</v>
      </c>
      <c r="AW51" s="5232" t="s">
        <v>5235</v>
      </c>
      <c r="AX51" s="5234" t="s">
        <v>5236</v>
      </c>
      <c r="AY51" t="e">
        <f t="shared" si="10"/>
        <v>#VALUE!</v>
      </c>
      <c r="BV51" t="str">
        <f t="shared" si="11"/>
        <v/>
      </c>
      <c r="CA51" s="2946" t="str" cm="1">
        <f t="array" ref="CA51">IF(AND($D51&lt;&gt;0,AK51:AT51=""),"* No olvide ingresar la variable "&amp;AK$36&amp;""&amp;". Digite CERO si no tiene. ","")</f>
        <v/>
      </c>
      <c r="CB51" s="1865" t="e">
        <f t="shared" si="25"/>
        <v>#VALUE!</v>
      </c>
      <c r="CC51" s="5241"/>
      <c r="CD51" s="5241"/>
      <c r="CE51" s="1865" t="str">
        <f t="shared" si="14"/>
        <v xml:space="preserve">* La variable Atenciones a personas oncológicas 0-19 años no debe ser mayor al Total. </v>
      </c>
      <c r="CF51" s="1865" t="str">
        <f t="shared" si="15"/>
        <v xml:space="preserve">* La variable Atenciones a personas oncológicas 20 años y más no debe ser mayor al Total. </v>
      </c>
      <c r="CJ51" s="2948" cm="1">
        <f t="array" ref="CJ51">IF(AND($D51&lt;&gt;0,AK51:AT51=""),1,0)</f>
        <v>0</v>
      </c>
      <c r="CK51" s="3922" t="e">
        <f t="shared" si="24"/>
        <v>#VALUE!</v>
      </c>
      <c r="CL51" s="5242"/>
      <c r="CM51" s="5242"/>
      <c r="CN51" s="3922">
        <f t="shared" si="20"/>
        <v>1</v>
      </c>
      <c r="CO51" s="3922">
        <f t="shared" si="21"/>
        <v>1</v>
      </c>
    </row>
    <row r="52" spans="1:93" ht="17.100000000000001" customHeight="1" x14ac:dyDescent="0.25">
      <c r="B52" s="2474" t="s">
        <v>4174</v>
      </c>
      <c r="C52" s="187"/>
      <c r="D52" s="187"/>
      <c r="E52" s="187"/>
      <c r="F52" s="187"/>
      <c r="G52" s="187"/>
      <c r="L52" s="187"/>
    </row>
    <row r="53" spans="1:93" ht="15" customHeight="1" x14ac:dyDescent="0.25">
      <c r="B53" s="7822" t="s">
        <v>4175</v>
      </c>
      <c r="C53" s="1800" t="s">
        <v>3533</v>
      </c>
      <c r="D53" s="5264" t="s">
        <v>3215</v>
      </c>
      <c r="E53" s="1801" t="s">
        <v>4176</v>
      </c>
      <c r="L53" s="187"/>
    </row>
    <row r="54" spans="1:93" ht="15" customHeight="1" x14ac:dyDescent="0.25">
      <c r="A54" s="5617">
        <v>33000036</v>
      </c>
      <c r="B54" s="7822"/>
      <c r="C54" s="5265" t="s">
        <v>4177</v>
      </c>
      <c r="D54" s="5266" t="s">
        <v>4567</v>
      </c>
      <c r="E54" s="5267" t="s">
        <v>4568</v>
      </c>
      <c r="K54" s="187"/>
    </row>
    <row r="55" spans="1:93" ht="15" customHeight="1" x14ac:dyDescent="0.25">
      <c r="A55" s="5617">
        <v>33000037</v>
      </c>
      <c r="B55" s="7822"/>
      <c r="C55" s="5268" t="s">
        <v>4178</v>
      </c>
      <c r="D55" s="5269" t="s">
        <v>4567</v>
      </c>
      <c r="E55" s="5270" t="s">
        <v>4568</v>
      </c>
      <c r="K55" s="187"/>
    </row>
    <row r="56" spans="1:93" ht="15" customHeight="1" x14ac:dyDescent="0.25">
      <c r="A56" s="5616"/>
      <c r="B56" s="7822"/>
      <c r="C56" s="5271" t="s">
        <v>919</v>
      </c>
      <c r="D56" s="5272">
        <f>SUM(D54:D55)</f>
        <v>0</v>
      </c>
      <c r="E56" s="5273">
        <f>SUM(E54:E55)</f>
        <v>0</v>
      </c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  <c r="BE56" s="188"/>
    </row>
    <row r="57" spans="1:93" s="188" customFormat="1" ht="17.100000000000001" customHeight="1" x14ac:dyDescent="0.25">
      <c r="B57" s="2474" t="s">
        <v>4179</v>
      </c>
      <c r="H57" s="189"/>
      <c r="I57" s="5274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  <c r="BF57" s="189"/>
    </row>
    <row r="58" spans="1:93" s="189" customFormat="1" x14ac:dyDescent="0.25">
      <c r="B58" s="7891" t="s">
        <v>4180</v>
      </c>
      <c r="C58" s="7888" t="s">
        <v>4181</v>
      </c>
      <c r="D58" s="7888"/>
      <c r="E58" s="7888"/>
      <c r="F58" s="7850" t="s">
        <v>4182</v>
      </c>
      <c r="G58" s="7851"/>
    </row>
    <row r="59" spans="1:93" s="189" customFormat="1" ht="27" customHeight="1" x14ac:dyDescent="0.25">
      <c r="B59" s="7892"/>
      <c r="C59" s="5275" t="s">
        <v>3533</v>
      </c>
      <c r="D59" s="5276" t="s">
        <v>4183</v>
      </c>
      <c r="E59" s="5276" t="s">
        <v>4184</v>
      </c>
      <c r="F59" s="5277" t="s">
        <v>4183</v>
      </c>
      <c r="G59" s="5278" t="s">
        <v>2521</v>
      </c>
    </row>
    <row r="60" spans="1:93" s="189" customFormat="1" x14ac:dyDescent="0.25">
      <c r="A60" s="5617">
        <v>33000038</v>
      </c>
      <c r="B60" s="7857" t="s">
        <v>4185</v>
      </c>
      <c r="C60" s="5265" t="s">
        <v>4186</v>
      </c>
      <c r="D60" s="5279" t="s">
        <v>4567</v>
      </c>
      <c r="E60" s="5279" t="s">
        <v>4568</v>
      </c>
      <c r="F60" s="5266" t="s">
        <v>4569</v>
      </c>
      <c r="G60" s="5267" t="s">
        <v>4570</v>
      </c>
    </row>
    <row r="61" spans="1:93" s="189" customFormat="1" x14ac:dyDescent="0.25">
      <c r="A61" s="5617">
        <v>33000039</v>
      </c>
      <c r="B61" s="6853"/>
      <c r="C61" s="5268" t="s">
        <v>4187</v>
      </c>
      <c r="D61" s="5280" t="s">
        <v>4567</v>
      </c>
      <c r="E61" s="5280" t="s">
        <v>4568</v>
      </c>
      <c r="F61" s="5281" t="s">
        <v>4569</v>
      </c>
      <c r="G61" s="5270" t="s">
        <v>4570</v>
      </c>
    </row>
    <row r="62" spans="1:93" s="189" customFormat="1" x14ac:dyDescent="0.25">
      <c r="A62" s="5617">
        <v>33000040</v>
      </c>
      <c r="B62" s="7857" t="s">
        <v>4188</v>
      </c>
      <c r="C62" s="5205" t="s">
        <v>4186</v>
      </c>
      <c r="D62" s="5279" t="s">
        <v>4567</v>
      </c>
      <c r="E62" s="5279" t="s">
        <v>4568</v>
      </c>
      <c r="F62" s="5282" t="s">
        <v>4569</v>
      </c>
      <c r="G62" s="5283" t="s">
        <v>4570</v>
      </c>
    </row>
    <row r="63" spans="1:93" s="189" customFormat="1" x14ac:dyDescent="0.25">
      <c r="A63" s="5617">
        <v>33000041</v>
      </c>
      <c r="B63" s="6853"/>
      <c r="C63" s="5268" t="s">
        <v>4187</v>
      </c>
      <c r="D63" s="5280" t="s">
        <v>4567</v>
      </c>
      <c r="E63" s="5280" t="s">
        <v>4568</v>
      </c>
      <c r="F63" s="5284" t="s">
        <v>4569</v>
      </c>
      <c r="G63" s="5285" t="s">
        <v>4570</v>
      </c>
    </row>
    <row r="64" spans="1:93" s="189" customFormat="1" x14ac:dyDescent="0.25">
      <c r="A64" s="5617">
        <v>33000042</v>
      </c>
      <c r="B64" s="7857" t="s">
        <v>4189</v>
      </c>
      <c r="C64" s="5265" t="s">
        <v>4186</v>
      </c>
      <c r="D64" s="5279" t="s">
        <v>4567</v>
      </c>
      <c r="E64" s="5279" t="s">
        <v>4568</v>
      </c>
      <c r="F64" s="5266" t="s">
        <v>4569</v>
      </c>
      <c r="G64" s="5267" t="s">
        <v>4570</v>
      </c>
      <c r="BE64" s="19"/>
      <c r="BF64" s="19"/>
    </row>
    <row r="65" spans="1:58" s="19" customFormat="1" x14ac:dyDescent="0.25">
      <c r="A65" s="5617">
        <v>33000043</v>
      </c>
      <c r="B65" s="6853"/>
      <c r="C65" s="5271" t="s">
        <v>4187</v>
      </c>
      <c r="D65" s="5280" t="s">
        <v>4567</v>
      </c>
      <c r="E65" s="5280" t="s">
        <v>4568</v>
      </c>
      <c r="F65" s="5269" t="s">
        <v>4569</v>
      </c>
      <c r="G65" s="5270" t="s">
        <v>4570</v>
      </c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  <c r="BF65" s="189"/>
    </row>
    <row r="66" spans="1:58" s="189" customFormat="1" x14ac:dyDescent="0.25">
      <c r="A66" s="5617">
        <v>33000044</v>
      </c>
      <c r="B66" s="7857" t="s">
        <v>4190</v>
      </c>
      <c r="C66" s="5265" t="s">
        <v>4186</v>
      </c>
      <c r="D66" s="5279" t="s">
        <v>4567</v>
      </c>
      <c r="E66" s="5279" t="s">
        <v>4568</v>
      </c>
      <c r="F66" s="5266" t="s">
        <v>4569</v>
      </c>
      <c r="G66" s="5267" t="s">
        <v>4570</v>
      </c>
    </row>
    <row r="67" spans="1:58" s="189" customFormat="1" x14ac:dyDescent="0.25">
      <c r="A67" s="5617">
        <v>33000045</v>
      </c>
      <c r="B67" s="6853"/>
      <c r="C67" s="5268" t="s">
        <v>4187</v>
      </c>
      <c r="D67" s="5280" t="s">
        <v>4567</v>
      </c>
      <c r="E67" s="5280" t="s">
        <v>4568</v>
      </c>
      <c r="F67" s="5269" t="s">
        <v>4569</v>
      </c>
      <c r="G67" s="5270" t="s">
        <v>4570</v>
      </c>
    </row>
    <row r="68" spans="1:58" s="189" customFormat="1" ht="17.100000000000001" customHeight="1" x14ac:dyDescent="0.25">
      <c r="B68" s="2474" t="s">
        <v>4191</v>
      </c>
      <c r="D68" s="5274"/>
      <c r="E68" s="5274"/>
      <c r="F68" s="5274"/>
      <c r="G68" s="5274"/>
      <c r="H68" s="5274"/>
      <c r="J68" s="5274"/>
    </row>
    <row r="69" spans="1:58" s="189" customFormat="1" x14ac:dyDescent="0.25">
      <c r="B69" s="7891" t="s">
        <v>4192</v>
      </c>
      <c r="C69" s="7919" t="s">
        <v>4193</v>
      </c>
      <c r="D69" s="7920"/>
      <c r="E69" s="7920"/>
      <c r="F69" s="7920"/>
      <c r="G69" s="7920"/>
      <c r="H69" s="7921"/>
      <c r="I69" s="7850" t="s">
        <v>1048</v>
      </c>
      <c r="J69" s="7743"/>
      <c r="K69" s="7743"/>
      <c r="L69" s="7851"/>
      <c r="M69" s="1719"/>
      <c r="N69" s="1719"/>
    </row>
    <row r="70" spans="1:58" s="189" customFormat="1" ht="26.25" customHeight="1" x14ac:dyDescent="0.25">
      <c r="B70" s="7918"/>
      <c r="C70" s="7891" t="s">
        <v>4194</v>
      </c>
      <c r="D70" s="7922"/>
      <c r="E70" s="7923" t="s">
        <v>4195</v>
      </c>
      <c r="F70" s="7924"/>
      <c r="G70" s="7923" t="s">
        <v>4196</v>
      </c>
      <c r="H70" s="7924"/>
      <c r="I70" s="7925" t="s">
        <v>58</v>
      </c>
      <c r="J70" s="7926"/>
      <c r="K70" s="7925" t="s">
        <v>59</v>
      </c>
      <c r="L70" s="7926"/>
      <c r="M70" s="19"/>
      <c r="N70" s="19"/>
    </row>
    <row r="71" spans="1:58" s="189" customFormat="1" ht="24.75" customHeight="1" x14ac:dyDescent="0.25">
      <c r="B71" s="7892"/>
      <c r="C71" s="5286" t="s">
        <v>4186</v>
      </c>
      <c r="D71" s="5287" t="s">
        <v>4187</v>
      </c>
      <c r="E71" s="5288" t="s">
        <v>4186</v>
      </c>
      <c r="F71" s="5289" t="s">
        <v>4187</v>
      </c>
      <c r="G71" s="5288" t="s">
        <v>4186</v>
      </c>
      <c r="H71" s="5289" t="s">
        <v>4187</v>
      </c>
      <c r="I71" s="5290" t="s">
        <v>4197</v>
      </c>
      <c r="J71" s="2916" t="s">
        <v>706</v>
      </c>
      <c r="K71" s="5290" t="s">
        <v>4197</v>
      </c>
      <c r="L71" s="2916" t="s">
        <v>706</v>
      </c>
      <c r="M71" s="19"/>
      <c r="N71" s="19"/>
    </row>
    <row r="72" spans="1:58" s="189" customFormat="1" x14ac:dyDescent="0.25">
      <c r="A72" s="5617">
        <v>33000046</v>
      </c>
      <c r="B72" s="5205" t="s">
        <v>4198</v>
      </c>
      <c r="C72" s="2932" t="s">
        <v>4567</v>
      </c>
      <c r="D72" s="5291" t="s">
        <v>4568</v>
      </c>
      <c r="E72" s="5292" t="s">
        <v>4569</v>
      </c>
      <c r="F72" s="5283" t="s">
        <v>4570</v>
      </c>
      <c r="G72" s="5293" t="s">
        <v>4571</v>
      </c>
      <c r="H72" s="5294" t="s">
        <v>4572</v>
      </c>
      <c r="I72" s="5293" t="s">
        <v>4573</v>
      </c>
      <c r="J72" s="5294" t="s">
        <v>4574</v>
      </c>
      <c r="K72" s="2936" t="s">
        <v>4575</v>
      </c>
      <c r="L72" s="2932" t="s">
        <v>4576</v>
      </c>
      <c r="M72" s="19"/>
      <c r="N72" s="19"/>
    </row>
    <row r="73" spans="1:58" s="189" customFormat="1" x14ac:dyDescent="0.25">
      <c r="A73" s="5617">
        <v>33000047</v>
      </c>
      <c r="B73" s="5271" t="s">
        <v>4199</v>
      </c>
      <c r="C73" s="5295" t="s">
        <v>4567</v>
      </c>
      <c r="D73" s="5296" t="s">
        <v>4568</v>
      </c>
      <c r="E73" s="5297" t="s">
        <v>4569</v>
      </c>
      <c r="F73" s="5295" t="s">
        <v>4570</v>
      </c>
      <c r="G73" s="5297" t="s">
        <v>4571</v>
      </c>
      <c r="H73" s="5295" t="s">
        <v>4572</v>
      </c>
      <c r="I73" s="5297" t="s">
        <v>4573</v>
      </c>
      <c r="J73" s="5295" t="s">
        <v>4574</v>
      </c>
      <c r="K73" s="5298" t="s">
        <v>4575</v>
      </c>
      <c r="L73" s="5295" t="s">
        <v>4576</v>
      </c>
      <c r="M73" s="19"/>
      <c r="N73" s="19"/>
    </row>
    <row r="74" spans="1:58" s="189" customFormat="1" x14ac:dyDescent="0.25">
      <c r="A74" s="5921"/>
      <c r="B74" s="5299" t="s">
        <v>4200</v>
      </c>
      <c r="C74" s="5300">
        <f>SUM(C72:C73)</f>
        <v>0</v>
      </c>
      <c r="D74" s="5300">
        <f t="shared" ref="D74:L74" si="26">SUM(D72:D73)</f>
        <v>0</v>
      </c>
      <c r="E74" s="5301">
        <f t="shared" si="26"/>
        <v>0</v>
      </c>
      <c r="F74" s="5302">
        <f t="shared" si="26"/>
        <v>0</v>
      </c>
      <c r="G74" s="5301">
        <f t="shared" si="26"/>
        <v>0</v>
      </c>
      <c r="H74" s="5302">
        <f t="shared" si="26"/>
        <v>0</v>
      </c>
      <c r="I74" s="5301">
        <f>SUM(I72:I73)</f>
        <v>0</v>
      </c>
      <c r="J74" s="5302">
        <f t="shared" si="26"/>
        <v>0</v>
      </c>
      <c r="K74" s="5303">
        <f t="shared" si="26"/>
        <v>0</v>
      </c>
      <c r="L74" s="5302">
        <f t="shared" si="26"/>
        <v>0</v>
      </c>
      <c r="M74" s="19"/>
      <c r="N74" s="19"/>
    </row>
    <row r="75" spans="1:58" s="189" customFormat="1" x14ac:dyDescent="0.25">
      <c r="B75"/>
      <c r="C75"/>
      <c r="D75"/>
      <c r="E75"/>
      <c r="F75"/>
      <c r="G75"/>
      <c r="H75"/>
      <c r="I75"/>
      <c r="J75"/>
      <c r="K75"/>
      <c r="L75"/>
    </row>
    <row r="76" spans="1:58" ht="15.75" customHeight="1" x14ac:dyDescent="0.25"/>
    <row r="77" spans="1:58" ht="15.75" customHeight="1" x14ac:dyDescent="0.25">
      <c r="A77" t="s">
        <v>4777</v>
      </c>
    </row>
    <row r="78" spans="1:58" ht="15.75" customHeight="1" x14ac:dyDescent="0.25">
      <c r="A78" s="5601">
        <v>32101593</v>
      </c>
    </row>
    <row r="79" spans="1:58" ht="15.75" customHeight="1" x14ac:dyDescent="0.25">
      <c r="A79" s="5601">
        <v>32101594</v>
      </c>
    </row>
    <row r="80" spans="1:58" ht="15.75" customHeight="1" x14ac:dyDescent="0.25">
      <c r="A80" s="5601">
        <v>32101595</v>
      </c>
    </row>
    <row r="81" spans="1:1" ht="15.75" customHeight="1" x14ac:dyDescent="0.25">
      <c r="A81" s="5601">
        <v>32101596</v>
      </c>
    </row>
    <row r="82" spans="1:1" ht="15.75" customHeight="1" x14ac:dyDescent="0.25">
      <c r="A82" s="5601">
        <v>32101597</v>
      </c>
    </row>
    <row r="83" spans="1:1" ht="15.75" customHeight="1" x14ac:dyDescent="0.25">
      <c r="A83" s="5601">
        <v>32101598</v>
      </c>
    </row>
    <row r="84" spans="1:1" ht="15.75" customHeight="1" x14ac:dyDescent="0.25">
      <c r="A84" s="5601">
        <v>32101599</v>
      </c>
    </row>
    <row r="85" spans="1:1" ht="15.75" customHeight="1" x14ac:dyDescent="0.25">
      <c r="A85" s="5601">
        <v>32101600</v>
      </c>
    </row>
    <row r="86" spans="1:1" ht="15.75" customHeight="1" x14ac:dyDescent="0.25">
      <c r="A86" s="5601">
        <v>32101601</v>
      </c>
    </row>
    <row r="87" spans="1:1" ht="15.75" customHeight="1" x14ac:dyDescent="0.25">
      <c r="A87" s="5601">
        <v>32101602</v>
      </c>
    </row>
    <row r="88" spans="1:1" ht="15.75" customHeight="1" x14ac:dyDescent="0.25">
      <c r="A88" s="5601">
        <v>32101603</v>
      </c>
    </row>
    <row r="89" spans="1:1" ht="15.75" customHeight="1" x14ac:dyDescent="0.25">
      <c r="A89" s="5601">
        <v>32101604</v>
      </c>
    </row>
    <row r="90" spans="1:1" ht="15.75" customHeight="1" x14ac:dyDescent="0.25">
      <c r="A90" s="5601">
        <v>32101605</v>
      </c>
    </row>
    <row r="91" spans="1:1" ht="15.75" customHeight="1" x14ac:dyDescent="0.25">
      <c r="A91" s="5601">
        <v>32101606</v>
      </c>
    </row>
    <row r="92" spans="1:1" ht="15.75" customHeight="1" x14ac:dyDescent="0.25">
      <c r="A92" s="5601">
        <v>32101607</v>
      </c>
    </row>
    <row r="93" spans="1:1" ht="15.75" customHeight="1" x14ac:dyDescent="0.25">
      <c r="A93" s="5601">
        <v>32101608</v>
      </c>
    </row>
    <row r="94" spans="1:1" ht="15.75" customHeight="1" x14ac:dyDescent="0.25">
      <c r="A94" s="5601">
        <v>32101609</v>
      </c>
    </row>
    <row r="95" spans="1:1" ht="15.75" customHeight="1" x14ac:dyDescent="0.25">
      <c r="A95" s="5601">
        <v>32101610</v>
      </c>
    </row>
    <row r="96" spans="1:1" ht="15.75" customHeight="1" x14ac:dyDescent="0.25">
      <c r="A96" s="5601">
        <v>32101611</v>
      </c>
    </row>
    <row r="97" spans="1:3" ht="15.75" customHeight="1" x14ac:dyDescent="0.25">
      <c r="A97" s="5601">
        <v>32101612</v>
      </c>
    </row>
    <row r="98" spans="1:3" ht="15.75" customHeight="1" x14ac:dyDescent="0.25">
      <c r="A98" s="5601">
        <v>32101613</v>
      </c>
    </row>
    <row r="99" spans="1:3" ht="15.75" customHeight="1" x14ac:dyDescent="0.25">
      <c r="A99" s="5601">
        <v>32101614</v>
      </c>
    </row>
    <row r="100" spans="1:3" ht="15.75" customHeight="1" x14ac:dyDescent="0.25">
      <c r="A100" s="5601">
        <v>32101615</v>
      </c>
    </row>
    <row r="101" spans="1:3" ht="15.75" hidden="1" customHeight="1" x14ac:dyDescent="0.25">
      <c r="A101" s="5601">
        <v>32101616</v>
      </c>
      <c r="B101" s="105">
        <f>SUM(E12:E34,D39:D51,D54:E55,D60:G67,C72:L73)</f>
        <v>0</v>
      </c>
      <c r="C101" s="105" t="e">
        <f>SUM(CJ12:CP51)</f>
        <v>#VALUE!</v>
      </c>
    </row>
    <row r="102" spans="1:3" ht="15.75" customHeight="1" x14ac:dyDescent="0.25">
      <c r="A102" s="5601">
        <v>32101617</v>
      </c>
    </row>
    <row r="103" spans="1:3" ht="15.75" customHeight="1" x14ac:dyDescent="0.25">
      <c r="A103" s="5601">
        <v>32101618</v>
      </c>
    </row>
    <row r="104" spans="1:3" ht="15.75" customHeight="1" x14ac:dyDescent="0.25">
      <c r="A104" s="5601">
        <v>32101619</v>
      </c>
    </row>
    <row r="105" spans="1:3" ht="15.75" customHeight="1" x14ac:dyDescent="0.25">
      <c r="A105" s="5601">
        <v>32101620</v>
      </c>
    </row>
    <row r="106" spans="1:3" ht="15.75" customHeight="1" x14ac:dyDescent="0.25">
      <c r="A106" s="5601">
        <v>32101621</v>
      </c>
    </row>
    <row r="107" spans="1:3" ht="15.75" customHeight="1" x14ac:dyDescent="0.25">
      <c r="A107" s="5601">
        <v>32101622</v>
      </c>
    </row>
    <row r="108" spans="1:3" ht="15.75" customHeight="1" x14ac:dyDescent="0.25">
      <c r="A108" s="5601">
        <v>32101623</v>
      </c>
    </row>
    <row r="109" spans="1:3" ht="15.75" customHeight="1" x14ac:dyDescent="0.25">
      <c r="A109" s="5601">
        <v>32101624</v>
      </c>
    </row>
    <row r="110" spans="1:3" ht="15.75" customHeight="1" x14ac:dyDescent="0.25">
      <c r="A110" s="5601">
        <v>32101625</v>
      </c>
    </row>
    <row r="111" spans="1:3" ht="15.75" customHeight="1" x14ac:dyDescent="0.25">
      <c r="A111" s="5601">
        <v>32101626</v>
      </c>
    </row>
    <row r="112" spans="1:3" ht="15.75" customHeight="1" x14ac:dyDescent="0.25">
      <c r="A112" s="5601">
        <v>32101627</v>
      </c>
    </row>
    <row r="113" spans="1:1" ht="15.75" customHeight="1" x14ac:dyDescent="0.25">
      <c r="A113" s="5601">
        <v>32101628</v>
      </c>
    </row>
    <row r="114" spans="1:1" ht="15.75" customHeight="1" x14ac:dyDescent="0.25">
      <c r="A114" s="5601">
        <v>32101629</v>
      </c>
    </row>
    <row r="115" spans="1:1" ht="15.75" customHeight="1" x14ac:dyDescent="0.25">
      <c r="A115" s="5601">
        <v>32101630</v>
      </c>
    </row>
    <row r="116" spans="1:1" ht="15.75" customHeight="1" x14ac:dyDescent="0.25">
      <c r="A116" s="5601">
        <v>32101631</v>
      </c>
    </row>
    <row r="117" spans="1:1" ht="15.75" customHeight="1" x14ac:dyDescent="0.25">
      <c r="A117" s="5601">
        <v>32101632</v>
      </c>
    </row>
    <row r="118" spans="1:1" ht="15.75" customHeight="1" x14ac:dyDescent="0.25">
      <c r="A118" s="5601">
        <v>32101633</v>
      </c>
    </row>
    <row r="119" spans="1:1" ht="15.75" customHeight="1" x14ac:dyDescent="0.25">
      <c r="A119" s="5601">
        <v>32101634</v>
      </c>
    </row>
    <row r="120" spans="1:1" ht="15.75" customHeight="1" x14ac:dyDescent="0.25">
      <c r="A120" s="5601">
        <v>32101635</v>
      </c>
    </row>
    <row r="121" spans="1:1" ht="15.75" customHeight="1" x14ac:dyDescent="0.25">
      <c r="A121" s="5601">
        <v>32101636</v>
      </c>
    </row>
    <row r="122" spans="1:1" ht="15.75" customHeight="1" x14ac:dyDescent="0.25">
      <c r="A122" s="5601">
        <v>32101637</v>
      </c>
    </row>
    <row r="123" spans="1:1" ht="15.75" customHeight="1" x14ac:dyDescent="0.25">
      <c r="A123" s="5601">
        <v>32101638</v>
      </c>
    </row>
    <row r="124" spans="1:1" ht="15.75" customHeight="1" x14ac:dyDescent="0.25">
      <c r="A124" s="5601">
        <v>32101639</v>
      </c>
    </row>
    <row r="125" spans="1:1" ht="15.75" customHeight="1" x14ac:dyDescent="0.25">
      <c r="A125" s="5601">
        <v>32101640</v>
      </c>
    </row>
    <row r="126" spans="1:1" ht="15.75" customHeight="1" x14ac:dyDescent="0.25">
      <c r="A126" s="5601">
        <v>32101641</v>
      </c>
    </row>
    <row r="127" spans="1:1" ht="15.75" customHeight="1" x14ac:dyDescent="0.25">
      <c r="A127" s="5601">
        <v>32101642</v>
      </c>
    </row>
    <row r="128" spans="1:1" ht="15.75" customHeight="1" x14ac:dyDescent="0.25">
      <c r="A128" s="5601">
        <v>32101643</v>
      </c>
    </row>
    <row r="129" spans="1:1" ht="15.75" customHeight="1" x14ac:dyDescent="0.25">
      <c r="A129" s="5601">
        <v>32101644</v>
      </c>
    </row>
    <row r="130" spans="1:1" ht="15.75" customHeight="1" x14ac:dyDescent="0.25">
      <c r="A130" s="5601">
        <v>32101645</v>
      </c>
    </row>
    <row r="131" spans="1:1" ht="15.75" customHeight="1" x14ac:dyDescent="0.25">
      <c r="A131" s="5601">
        <v>32101646</v>
      </c>
    </row>
    <row r="132" spans="1:1" ht="15.75" customHeight="1" x14ac:dyDescent="0.25">
      <c r="A132" s="5601">
        <v>32101647</v>
      </c>
    </row>
    <row r="133" spans="1:1" ht="15.75" customHeight="1" x14ac:dyDescent="0.25">
      <c r="A133" s="5601">
        <v>32101648</v>
      </c>
    </row>
    <row r="134" spans="1:1" ht="15.75" customHeight="1" x14ac:dyDescent="0.25">
      <c r="A134" s="5601">
        <v>32101649</v>
      </c>
    </row>
    <row r="135" spans="1:1" ht="15.75" customHeight="1" x14ac:dyDescent="0.25">
      <c r="A135" s="5601">
        <v>32101650</v>
      </c>
    </row>
    <row r="136" spans="1:1" ht="15.75" customHeight="1" x14ac:dyDescent="0.25">
      <c r="A136" s="5601">
        <v>32101651</v>
      </c>
    </row>
    <row r="137" spans="1:1" ht="15.75" customHeight="1" x14ac:dyDescent="0.25">
      <c r="A137" s="5601">
        <v>32101652</v>
      </c>
    </row>
    <row r="138" spans="1:1" ht="15.75" customHeight="1" x14ac:dyDescent="0.25">
      <c r="A138" s="5601">
        <v>32101653</v>
      </c>
    </row>
    <row r="139" spans="1:1" ht="15.75" customHeight="1" x14ac:dyDescent="0.25">
      <c r="A139" s="5601">
        <v>32101654</v>
      </c>
    </row>
    <row r="140" spans="1:1" ht="15.75" customHeight="1" x14ac:dyDescent="0.25">
      <c r="A140" s="5601">
        <v>32101655</v>
      </c>
    </row>
    <row r="141" spans="1:1" ht="15.75" customHeight="1" x14ac:dyDescent="0.25">
      <c r="A141" s="5601">
        <v>32101656</v>
      </c>
    </row>
    <row r="142" spans="1:1" ht="15.75" customHeight="1" x14ac:dyDescent="0.25">
      <c r="A142" s="5601">
        <v>32101657</v>
      </c>
    </row>
    <row r="143" spans="1:1" ht="15.75" customHeight="1" x14ac:dyDescent="0.25">
      <c r="A143" s="5601">
        <v>32101658</v>
      </c>
    </row>
    <row r="144" spans="1:1" ht="15.75" customHeight="1" x14ac:dyDescent="0.25">
      <c r="A144" s="5601">
        <v>32101659</v>
      </c>
    </row>
    <row r="145" spans="1:1" ht="15.75" customHeight="1" x14ac:dyDescent="0.25">
      <c r="A145" s="5601">
        <v>32101660</v>
      </c>
    </row>
    <row r="146" spans="1:1" ht="15.75" customHeight="1" x14ac:dyDescent="0.25">
      <c r="A146" s="5601">
        <v>32101661</v>
      </c>
    </row>
    <row r="147" spans="1:1" ht="15.75" customHeight="1" x14ac:dyDescent="0.25">
      <c r="A147" s="5601">
        <v>32101662</v>
      </c>
    </row>
    <row r="148" spans="1:1" ht="15.75" customHeight="1" x14ac:dyDescent="0.25">
      <c r="A148" s="5601">
        <v>32101663</v>
      </c>
    </row>
    <row r="149" spans="1:1" ht="15.75" customHeight="1" x14ac:dyDescent="0.25">
      <c r="A149" s="5601">
        <v>32101664</v>
      </c>
    </row>
    <row r="150" spans="1:1" ht="15.75" customHeight="1" x14ac:dyDescent="0.25">
      <c r="A150" s="5601">
        <v>32101665</v>
      </c>
    </row>
    <row r="151" spans="1:1" ht="15.75" customHeight="1" x14ac:dyDescent="0.25">
      <c r="A151" s="5601">
        <v>32101666</v>
      </c>
    </row>
    <row r="152" spans="1:1" ht="15.75" customHeight="1" x14ac:dyDescent="0.25">
      <c r="A152" s="5601">
        <v>32101667</v>
      </c>
    </row>
    <row r="153" spans="1:1" ht="15.75" customHeight="1" x14ac:dyDescent="0.25">
      <c r="A153" s="5601">
        <v>32101668</v>
      </c>
    </row>
    <row r="154" spans="1:1" ht="15.75" customHeight="1" x14ac:dyDescent="0.25">
      <c r="A154" s="5601">
        <v>32101669</v>
      </c>
    </row>
    <row r="155" spans="1:1" ht="15.75" customHeight="1" x14ac:dyDescent="0.25">
      <c r="A155" s="5601">
        <v>32101670</v>
      </c>
    </row>
    <row r="156" spans="1:1" ht="15.75" customHeight="1" x14ac:dyDescent="0.25">
      <c r="A156" s="5601">
        <v>32101671</v>
      </c>
    </row>
    <row r="157" spans="1:1" ht="15.75" customHeight="1" x14ac:dyDescent="0.25">
      <c r="A157" s="5601">
        <v>32101672</v>
      </c>
    </row>
    <row r="158" spans="1:1" ht="15.75" customHeight="1" x14ac:dyDescent="0.25">
      <c r="A158" s="5601">
        <v>32101673</v>
      </c>
    </row>
    <row r="159" spans="1:1" ht="15.75" customHeight="1" x14ac:dyDescent="0.25">
      <c r="A159" s="5601">
        <v>32101674</v>
      </c>
    </row>
    <row r="160" spans="1:1" ht="15.75" customHeight="1" x14ac:dyDescent="0.25">
      <c r="A160" s="5601">
        <v>32101675</v>
      </c>
    </row>
    <row r="161" spans="1:1" ht="15.75" customHeight="1" x14ac:dyDescent="0.25">
      <c r="A161" s="5601">
        <v>32101676</v>
      </c>
    </row>
    <row r="162" spans="1:1" ht="15.75" customHeight="1" x14ac:dyDescent="0.25">
      <c r="A162" s="5601">
        <v>32101677</v>
      </c>
    </row>
    <row r="163" spans="1:1" ht="15.75" customHeight="1" x14ac:dyDescent="0.25">
      <c r="A163" s="5601">
        <v>32101678</v>
      </c>
    </row>
    <row r="164" spans="1:1" ht="15.75" customHeight="1" x14ac:dyDescent="0.25"/>
    <row r="165" spans="1:1" ht="15.75" customHeight="1" x14ac:dyDescent="0.25">
      <c r="A165" t="s">
        <v>4566</v>
      </c>
    </row>
    <row r="166" spans="1:1" ht="15.75" customHeight="1" x14ac:dyDescent="0.25">
      <c r="A166" s="5867">
        <v>33000000</v>
      </c>
    </row>
    <row r="167" spans="1:1" ht="15.75" customHeight="1" x14ac:dyDescent="0.25">
      <c r="A167" s="5867">
        <v>33000001</v>
      </c>
    </row>
    <row r="168" spans="1:1" ht="15.75" customHeight="1" x14ac:dyDescent="0.25">
      <c r="A168" s="5867">
        <v>33000002</v>
      </c>
    </row>
    <row r="169" spans="1:1" ht="15.75" customHeight="1" x14ac:dyDescent="0.25">
      <c r="A169" s="5867">
        <v>33000003</v>
      </c>
    </row>
    <row r="170" spans="1:1" ht="15.75" customHeight="1" x14ac:dyDescent="0.25">
      <c r="A170" s="5867">
        <v>33000004</v>
      </c>
    </row>
    <row r="171" spans="1:1" ht="15.75" customHeight="1" x14ac:dyDescent="0.25">
      <c r="A171" s="5867">
        <v>33000005</v>
      </c>
    </row>
    <row r="172" spans="1:1" ht="15.75" customHeight="1" x14ac:dyDescent="0.25">
      <c r="A172" s="5867">
        <v>33000006</v>
      </c>
    </row>
    <row r="173" spans="1:1" ht="15.75" customHeight="1" x14ac:dyDescent="0.25">
      <c r="A173" s="5867">
        <v>33000007</v>
      </c>
    </row>
    <row r="174" spans="1:1" ht="15.75" customHeight="1" x14ac:dyDescent="0.25">
      <c r="A174" s="5867">
        <v>33000008</v>
      </c>
    </row>
    <row r="175" spans="1:1" ht="15.75" customHeight="1" x14ac:dyDescent="0.25">
      <c r="A175" s="5867">
        <v>33000009</v>
      </c>
    </row>
    <row r="176" spans="1:1" ht="15.75" customHeight="1" x14ac:dyDescent="0.25">
      <c r="A176" s="5867">
        <v>33000010</v>
      </c>
    </row>
    <row r="177" spans="1:1" ht="15.75" customHeight="1" x14ac:dyDescent="0.25">
      <c r="A177" s="5867">
        <v>33000011</v>
      </c>
    </row>
    <row r="178" spans="1:1" ht="15.75" customHeight="1" x14ac:dyDescent="0.25">
      <c r="A178" s="5867">
        <v>33000012</v>
      </c>
    </row>
    <row r="179" spans="1:1" ht="15.75" customHeight="1" x14ac:dyDescent="0.25">
      <c r="A179" s="5867">
        <v>33000013</v>
      </c>
    </row>
    <row r="180" spans="1:1" ht="15.75" customHeight="1" x14ac:dyDescent="0.25">
      <c r="A180" s="5867">
        <v>33000014</v>
      </c>
    </row>
    <row r="181" spans="1:1" ht="15.75" customHeight="1" x14ac:dyDescent="0.25">
      <c r="A181" s="5867">
        <v>33000015</v>
      </c>
    </row>
    <row r="182" spans="1:1" ht="15.75" customHeight="1" x14ac:dyDescent="0.25">
      <c r="A182" s="5867">
        <v>33000016</v>
      </c>
    </row>
    <row r="183" spans="1:1" ht="15.75" customHeight="1" x14ac:dyDescent="0.25">
      <c r="A183" s="5867">
        <v>33000017</v>
      </c>
    </row>
    <row r="184" spans="1:1" ht="15.75" customHeight="1" x14ac:dyDescent="0.25">
      <c r="A184" s="5867">
        <v>33000018</v>
      </c>
    </row>
    <row r="185" spans="1:1" ht="15.75" customHeight="1" x14ac:dyDescent="0.25">
      <c r="A185" s="5867">
        <v>33000019</v>
      </c>
    </row>
    <row r="186" spans="1:1" ht="15.75" customHeight="1" x14ac:dyDescent="0.25">
      <c r="A186" s="5867">
        <v>33000020</v>
      </c>
    </row>
    <row r="187" spans="1:1" ht="15.75" customHeight="1" x14ac:dyDescent="0.25">
      <c r="A187" s="5867">
        <v>33000021</v>
      </c>
    </row>
    <row r="188" spans="1:1" ht="15.75" customHeight="1" x14ac:dyDescent="0.25">
      <c r="A188" s="5867">
        <v>33000022</v>
      </c>
    </row>
    <row r="189" spans="1:1" ht="15.75" customHeight="1" x14ac:dyDescent="0.25">
      <c r="A189" s="5867">
        <v>33000023</v>
      </c>
    </row>
    <row r="190" spans="1:1" ht="15.75" customHeight="1" x14ac:dyDescent="0.25">
      <c r="A190" s="5867">
        <v>33000024</v>
      </c>
    </row>
    <row r="191" spans="1:1" ht="15.75" customHeight="1" x14ac:dyDescent="0.25">
      <c r="A191" s="5867">
        <v>33000025</v>
      </c>
    </row>
    <row r="192" spans="1:1" ht="15.75" customHeight="1" x14ac:dyDescent="0.25">
      <c r="A192" s="5867">
        <v>33000026</v>
      </c>
    </row>
    <row r="193" spans="1:1" ht="15.75" customHeight="1" x14ac:dyDescent="0.25">
      <c r="A193" s="5867">
        <v>33000027</v>
      </c>
    </row>
    <row r="194" spans="1:1" ht="15.75" customHeight="1" x14ac:dyDescent="0.25">
      <c r="A194" s="5867">
        <v>33000028</v>
      </c>
    </row>
    <row r="195" spans="1:1" ht="15.75" customHeight="1" x14ac:dyDescent="0.25">
      <c r="A195" s="5867">
        <v>33000029</v>
      </c>
    </row>
    <row r="196" spans="1:1" ht="15.75" customHeight="1" x14ac:dyDescent="0.25">
      <c r="A196" s="5867">
        <v>33000030</v>
      </c>
    </row>
    <row r="197" spans="1:1" ht="15.75" customHeight="1" x14ac:dyDescent="0.25">
      <c r="A197" s="5867">
        <v>33000031</v>
      </c>
    </row>
    <row r="198" spans="1:1" ht="15.75" customHeight="1" x14ac:dyDescent="0.25">
      <c r="A198" s="5867">
        <v>33000032</v>
      </c>
    </row>
    <row r="199" spans="1:1" ht="15.75" customHeight="1" x14ac:dyDescent="0.25">
      <c r="A199" s="5867">
        <v>33000033</v>
      </c>
    </row>
    <row r="200" spans="1:1" ht="15.75" customHeight="1" x14ac:dyDescent="0.25">
      <c r="A200" s="5867">
        <v>33000034</v>
      </c>
    </row>
    <row r="201" spans="1:1" ht="15.75" customHeight="1" x14ac:dyDescent="0.25">
      <c r="A201" s="5867">
        <v>33000035</v>
      </c>
    </row>
    <row r="202" spans="1:1" ht="15.75" customHeight="1" x14ac:dyDescent="0.25">
      <c r="A202" s="5867">
        <v>33000036</v>
      </c>
    </row>
    <row r="203" spans="1:1" ht="15.75" customHeight="1" x14ac:dyDescent="0.25">
      <c r="A203" s="5867">
        <v>33000037</v>
      </c>
    </row>
    <row r="204" spans="1:1" ht="15.75" customHeight="1" x14ac:dyDescent="0.25">
      <c r="A204" s="5867">
        <v>33000038</v>
      </c>
    </row>
    <row r="205" spans="1:1" ht="15.75" customHeight="1" x14ac:dyDescent="0.25">
      <c r="A205" s="5867">
        <v>33000039</v>
      </c>
    </row>
    <row r="206" spans="1:1" ht="15.75" customHeight="1" x14ac:dyDescent="0.25">
      <c r="A206" s="5867">
        <v>33000040</v>
      </c>
    </row>
    <row r="207" spans="1:1" ht="15.75" customHeight="1" x14ac:dyDescent="0.25">
      <c r="A207" s="5867">
        <v>33000041</v>
      </c>
    </row>
    <row r="208" spans="1:1" ht="15.75" customHeight="1" x14ac:dyDescent="0.25">
      <c r="A208" s="5867">
        <v>33000042</v>
      </c>
    </row>
    <row r="209" spans="1:1" ht="15.75" customHeight="1" x14ac:dyDescent="0.25">
      <c r="A209" s="5867">
        <v>33000043</v>
      </c>
    </row>
    <row r="210" spans="1:1" ht="15.75" customHeight="1" x14ac:dyDescent="0.25">
      <c r="A210" s="5867">
        <v>33000044</v>
      </c>
    </row>
    <row r="211" spans="1:1" ht="15.75" customHeight="1" x14ac:dyDescent="0.25">
      <c r="A211" s="5867">
        <v>33000045</v>
      </c>
    </row>
    <row r="212" spans="1:1" ht="15.75" customHeight="1" x14ac:dyDescent="0.25">
      <c r="A212" s="5867">
        <v>33000046</v>
      </c>
    </row>
    <row r="213" spans="1:1" ht="15.75" customHeight="1" x14ac:dyDescent="0.25">
      <c r="A213" s="5867">
        <v>33000047</v>
      </c>
    </row>
    <row r="214" spans="1:1" ht="15.75" customHeight="1" x14ac:dyDescent="0.25"/>
    <row r="215" spans="1:1" ht="15.75" customHeight="1" x14ac:dyDescent="0.25"/>
    <row r="216" spans="1:1" ht="15.75" customHeight="1" x14ac:dyDescent="0.25"/>
    <row r="217" spans="1:1" ht="15.75" customHeight="1" x14ac:dyDescent="0.25"/>
    <row r="218" spans="1:1" ht="15.75" customHeight="1" x14ac:dyDescent="0.25"/>
    <row r="219" spans="1:1" ht="15.75" customHeight="1" x14ac:dyDescent="0.25"/>
    <row r="220" spans="1:1" ht="15.75" customHeight="1" x14ac:dyDescent="0.25"/>
    <row r="221" spans="1:1" ht="15.75" customHeight="1" x14ac:dyDescent="0.25"/>
    <row r="222" spans="1:1" ht="15.75" customHeight="1" x14ac:dyDescent="0.25"/>
    <row r="223" spans="1:1" ht="15.75" customHeight="1" x14ac:dyDescent="0.25"/>
    <row r="224" spans="1:1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mergeCells count="79">
    <mergeCell ref="F58:G58"/>
    <mergeCell ref="B60:B61"/>
    <mergeCell ref="B62:B63"/>
    <mergeCell ref="B64:B65"/>
    <mergeCell ref="AG37:AH37"/>
    <mergeCell ref="B44:B47"/>
    <mergeCell ref="I37:J37"/>
    <mergeCell ref="B66:B67"/>
    <mergeCell ref="B69:B71"/>
    <mergeCell ref="C69:H69"/>
    <mergeCell ref="I69:L69"/>
    <mergeCell ref="C70:D70"/>
    <mergeCell ref="E70:F70"/>
    <mergeCell ref="G70:H70"/>
    <mergeCell ref="I70:J70"/>
    <mergeCell ref="K70:L70"/>
    <mergeCell ref="B12:B23"/>
    <mergeCell ref="C12:C13"/>
    <mergeCell ref="C14:C23"/>
    <mergeCell ref="B24:B34"/>
    <mergeCell ref="C24:C29"/>
    <mergeCell ref="C30:C34"/>
    <mergeCell ref="B8:D8"/>
    <mergeCell ref="B9:D11"/>
    <mergeCell ref="E9:G10"/>
    <mergeCell ref="H9:AO9"/>
    <mergeCell ref="AH10:AI10"/>
    <mergeCell ref="AJ10:AK10"/>
    <mergeCell ref="AN10:AO10"/>
    <mergeCell ref="AF10:AG10"/>
    <mergeCell ref="AL10:AM10"/>
    <mergeCell ref="R10:S10"/>
    <mergeCell ref="T10:U10"/>
    <mergeCell ref="V10:W10"/>
    <mergeCell ref="X10:Y10"/>
    <mergeCell ref="Z10:AA10"/>
    <mergeCell ref="H10:I10"/>
    <mergeCell ref="J10:K10"/>
    <mergeCell ref="L10:M10"/>
    <mergeCell ref="N10:O10"/>
    <mergeCell ref="P10:Q10"/>
    <mergeCell ref="AC37:AD37"/>
    <mergeCell ref="AE37:AF37"/>
    <mergeCell ref="S37:T37"/>
    <mergeCell ref="U37:V37"/>
    <mergeCell ref="W37:X37"/>
    <mergeCell ref="Y37:Z37"/>
    <mergeCell ref="K37:L37"/>
    <mergeCell ref="M37:N37"/>
    <mergeCell ref="O37:P37"/>
    <mergeCell ref="Q37:R37"/>
    <mergeCell ref="AK36:AT37"/>
    <mergeCell ref="AI37:AJ37"/>
    <mergeCell ref="CN9:CN11"/>
    <mergeCell ref="AB10:AC10"/>
    <mergeCell ref="AD10:AE10"/>
    <mergeCell ref="CL9:CL11"/>
    <mergeCell ref="CM9:CM11"/>
    <mergeCell ref="AP9:AP11"/>
    <mergeCell ref="AR9:AR11"/>
    <mergeCell ref="AS9:AS11"/>
    <mergeCell ref="AQ9:AQ11"/>
    <mergeCell ref="AA37:AB37"/>
    <mergeCell ref="B6:AC6"/>
    <mergeCell ref="CA38:CB38"/>
    <mergeCell ref="C58:E58"/>
    <mergeCell ref="G36:AJ36"/>
    <mergeCell ref="B48:B49"/>
    <mergeCell ref="B50:B51"/>
    <mergeCell ref="B53:B56"/>
    <mergeCell ref="B58:B59"/>
    <mergeCell ref="B36:B38"/>
    <mergeCell ref="C36:C38"/>
    <mergeCell ref="D36:F37"/>
    <mergeCell ref="B39:B41"/>
    <mergeCell ref="B42:B43"/>
    <mergeCell ref="AU36:AV37"/>
    <mergeCell ref="AW36:AX37"/>
    <mergeCell ref="G37:H37"/>
  </mergeCells>
  <dataValidations count="4">
    <dataValidation type="whole" operator="greaterThanOrEqual" allowBlank="1" showErrorMessage="1" error="Sólo ingrese números enteros." prompt="Valor no Permitido" sqref="H12:AS34" xr:uid="{C59C8A16-DB1E-4AAA-94A8-3CE1EEF472CD}">
      <formula1>0</formula1>
    </dataValidation>
    <dataValidation allowBlank="1" prompt="Valor no Permitido" sqref="CK9:CL11 BC27:CA34 BB1:XFD7 CP8:XFD8 H37:AJ37 BB12:CA26 B12 D24:D34 CK39:CK51 H7:AQ11 CG10:CL11 C7:D7 AT1:BA34 E7:G35 B35:D35 C39:C41 AK36 AR7:AS8 C52:G52 D38:F51 G38:AX38 C36:D36 BF54:XFD56 K54:BE55 L52:XFD53 AY36:BW37 B102:C1048576 CB39:CB51 M76:XFD1048576 B24 AW36 G36:G37 BV39:BW51 AU36 CG39:CG51 H35:CE35 CC38:CM38 BB8:CM8 BY36:CC37 BB9:CD11 CG9:CJ9 BW38:CA38 D75:L1048576 B75:C100 B5:B9 C1:AS5 C44:C51 CE36:CM37 CF12:CN35 CQ36:XFD51 CR9:XFD35 AY38:BU51" xr:uid="{E82FDE04-2A28-4166-B2BD-8213FB3B2951}"/>
    <dataValidation type="whole" allowBlank="1" showInputMessage="1" showErrorMessage="1" sqref="D54:E55 D60:G67 C72:L73" xr:uid="{FBE7BF2B-43B3-401A-993A-3F98C591E2EF}">
      <formula1>0</formula1>
      <formula2>9.99999999999999E+43</formula2>
    </dataValidation>
    <dataValidation type="whole" allowBlank="1" showInputMessage="1" showErrorMessage="1" sqref="G39:AX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H197"/>
  <sheetViews>
    <sheetView showGridLines="0" zoomScaleNormal="100" workbookViewId="0"/>
  </sheetViews>
  <sheetFormatPr baseColWidth="10" defaultColWidth="11.42578125" defaultRowHeight="15" x14ac:dyDescent="0.25"/>
  <cols>
    <col min="1" max="1" width="16.7109375" customWidth="1"/>
    <col min="2" max="2" width="34.42578125" customWidth="1"/>
    <col min="3" max="3" width="23.140625" customWidth="1"/>
    <col min="4" max="4" width="15.7109375" customWidth="1"/>
    <col min="5" max="5" width="17.28515625" customWidth="1"/>
    <col min="11" max="11" width="12.7109375" customWidth="1"/>
    <col min="27" max="41" width="11.42578125" style="3211"/>
    <col min="42" max="42" width="10" style="3211" customWidth="1"/>
    <col min="43" max="44" width="11.42578125" style="3211"/>
    <col min="45" max="45" width="7.85546875" style="3211" customWidth="1"/>
    <col min="46" max="48" width="11.42578125" style="3211"/>
    <col min="53" max="53" width="11.42578125" style="3211"/>
    <col min="79" max="79" width="0" hidden="1" customWidth="1"/>
    <col min="80" max="80" width="11.42578125" hidden="1" customWidth="1"/>
    <col min="81" max="83" width="11.42578125" style="3211" hidden="1" customWidth="1"/>
    <col min="84" max="92" width="11.42578125" hidden="1" customWidth="1"/>
    <col min="93" max="94" width="11.42578125" customWidth="1"/>
    <col min="112" max="580" width="11.42578125" style="3211"/>
  </cols>
  <sheetData>
    <row r="1" spans="1:91" s="3211" customFormat="1" x14ac:dyDescent="0.25">
      <c r="B1" s="50" t="s">
        <v>23</v>
      </c>
      <c r="C1" s="4566"/>
    </row>
    <row r="2" spans="1:91" s="3211" customFormat="1" x14ac:dyDescent="0.25">
      <c r="B2" s="50" t="str">
        <f>CONCATENATE("COMUNA: ",NOMBRE!B2, " (",NOMBRE!C2,NOMBRE!D2,NOMBRE!E2,NOMBRE!F2,NOMBRE!G2,")")</f>
        <v>COMUNA:  ()</v>
      </c>
      <c r="C2" s="4566"/>
    </row>
    <row r="3" spans="1:91" s="3211" customFormat="1" x14ac:dyDescent="0.25">
      <c r="B3" s="50" t="str">
        <f>CONCATENATE("ESTABLECIMIENTO/ESTRATEGIA: ", NOMBRE!B3, " (",NOMBRE!C3,NOMBRE!D3,NOMBRE!E3,NOMBRE!F3,NOMBRE!G3,NOMBRE!H3,")")</f>
        <v>ESTABLECIMIENTO/ESTRATEGIA:  ()</v>
      </c>
      <c r="C3" s="4566"/>
    </row>
    <row r="4" spans="1:91" s="3211" customFormat="1" x14ac:dyDescent="0.25">
      <c r="B4" s="50" t="str">
        <f>CONCATENATE("MES: ",NOMBRE!B6, " (",NOMBRE!C6,NOMBRE!D6,")")</f>
        <v>MES:  ()</v>
      </c>
      <c r="C4" s="4566"/>
    </row>
    <row r="5" spans="1:91" s="3211" customFormat="1" x14ac:dyDescent="0.25">
      <c r="B5" s="4566" t="str">
        <f>CONCATENATE("AÑO: ",NOMBRE!B7)</f>
        <v>AÑO: 2025</v>
      </c>
      <c r="C5" s="4566"/>
    </row>
    <row r="6" spans="1:91" s="3211" customFormat="1" x14ac:dyDescent="0.25">
      <c r="B6" s="7930" t="s">
        <v>4201</v>
      </c>
      <c r="C6" s="7930"/>
      <c r="D6" s="7930"/>
      <c r="E6" s="7930"/>
      <c r="F6" s="7930"/>
      <c r="G6" s="7930"/>
      <c r="H6" s="7930"/>
      <c r="I6" s="7930"/>
      <c r="J6" s="7930"/>
      <c r="K6" s="7930"/>
      <c r="L6" s="7930"/>
      <c r="M6" s="7930"/>
      <c r="N6" s="7930"/>
      <c r="O6" s="7930"/>
      <c r="P6" s="7930"/>
      <c r="Q6" s="7930"/>
      <c r="R6" s="7930"/>
      <c r="S6" s="7930"/>
      <c r="T6" s="7930"/>
      <c r="U6" s="7930"/>
      <c r="V6" s="7930"/>
      <c r="W6" s="7930"/>
      <c r="X6" s="7930"/>
    </row>
    <row r="7" spans="1:91" s="3211" customFormat="1" x14ac:dyDescent="0.25"/>
    <row r="8" spans="1:91" s="3211" customFormat="1" ht="17.100000000000001" customHeight="1" x14ac:dyDescent="0.25">
      <c r="B8" s="5304" t="s">
        <v>4202</v>
      </c>
      <c r="C8" s="5304"/>
      <c r="D8" s="5305"/>
      <c r="E8" s="5305"/>
      <c r="F8" s="5305"/>
      <c r="G8" s="5305"/>
      <c r="H8" s="5305"/>
      <c r="I8" s="5305"/>
      <c r="J8" s="5305"/>
      <c r="K8" s="5305"/>
      <c r="L8" s="5305"/>
      <c r="M8" s="5305"/>
      <c r="N8" s="5305"/>
      <c r="O8" s="5305"/>
      <c r="P8" s="5305"/>
      <c r="Q8" s="5305"/>
      <c r="R8" s="5305"/>
      <c r="S8" s="5305"/>
      <c r="T8" s="5305"/>
      <c r="U8" s="5305"/>
      <c r="V8" s="5305"/>
      <c r="W8" s="5305"/>
      <c r="X8" s="5305"/>
      <c r="Y8" s="5305"/>
      <c r="Z8" s="5305"/>
      <c r="AA8" s="5305"/>
      <c r="AB8" s="5305"/>
      <c r="AC8" s="5305"/>
      <c r="AD8" s="5305"/>
      <c r="AE8" s="5305"/>
      <c r="AF8" s="5305"/>
      <c r="AG8" s="5305"/>
      <c r="AH8" s="5305"/>
      <c r="AI8" s="5305"/>
      <c r="AJ8" s="5305"/>
      <c r="AK8" s="5305"/>
      <c r="AL8" s="5305"/>
      <c r="AM8" s="5305"/>
      <c r="AN8" s="5305"/>
      <c r="AP8" s="5306"/>
      <c r="AQ8" s="5306"/>
      <c r="AR8" s="5306"/>
      <c r="AS8" s="5306"/>
      <c r="AT8" s="5306"/>
      <c r="AU8" s="5306"/>
      <c r="AV8" s="5306"/>
      <c r="AW8" s="5306"/>
      <c r="AX8" s="5306"/>
      <c r="AY8" s="5306"/>
      <c r="AZ8" s="5306"/>
      <c r="BA8" s="5306"/>
      <c r="BB8" s="5306"/>
      <c r="BC8" s="5306"/>
      <c r="BD8" s="5306"/>
      <c r="BE8" s="5306"/>
      <c r="BF8" s="5306"/>
      <c r="BG8" s="5306"/>
      <c r="BH8" s="5306"/>
      <c r="BI8" s="5306"/>
      <c r="BJ8" s="5306"/>
      <c r="BK8" s="5306"/>
      <c r="BL8" s="5306"/>
      <c r="BM8" s="5306"/>
      <c r="BN8" s="5306"/>
      <c r="BO8" s="5306"/>
      <c r="BP8" s="5306"/>
      <c r="BQ8" s="5306"/>
      <c r="BR8" s="5306"/>
      <c r="BS8" s="5306"/>
      <c r="BT8" s="5306"/>
      <c r="BU8" s="5306"/>
      <c r="BV8" s="5306"/>
      <c r="BW8" s="5306"/>
      <c r="BX8" s="5306"/>
      <c r="BY8" s="5306"/>
      <c r="BZ8" s="5306"/>
      <c r="CA8" s="5306"/>
      <c r="CB8" s="5306"/>
      <c r="CC8" s="5306"/>
      <c r="CD8" s="5306"/>
      <c r="CE8" s="5306"/>
      <c r="CF8" s="5306"/>
      <c r="CG8" s="5306"/>
      <c r="CH8" s="5306"/>
      <c r="CI8" s="5306"/>
      <c r="CJ8" s="5306"/>
      <c r="CK8" s="5306"/>
      <c r="CL8" s="5306"/>
      <c r="CM8" s="5306"/>
    </row>
    <row r="9" spans="1:91" s="3211" customFormat="1" ht="17.100000000000001" customHeight="1" x14ac:dyDescent="0.25">
      <c r="B9" s="5304" t="s">
        <v>4203</v>
      </c>
      <c r="C9" s="5304"/>
      <c r="D9" s="5306"/>
      <c r="E9" s="5306"/>
      <c r="F9" s="5306"/>
      <c r="G9" s="5306"/>
      <c r="H9" s="5306"/>
      <c r="I9" s="5306"/>
      <c r="J9" s="5306"/>
      <c r="K9" s="5306"/>
      <c r="L9" s="5306"/>
      <c r="M9" s="5306"/>
      <c r="N9" s="5306"/>
      <c r="O9" s="5306"/>
      <c r="P9" s="5306"/>
      <c r="Q9" s="5306"/>
      <c r="R9" s="5306"/>
      <c r="S9" s="5306"/>
      <c r="T9" s="5306"/>
      <c r="U9" s="5306"/>
      <c r="V9" s="5306"/>
      <c r="W9" s="5306"/>
      <c r="X9" s="5306"/>
      <c r="Y9" s="5306"/>
      <c r="Z9" s="5306"/>
      <c r="AA9" s="5306"/>
      <c r="AB9" s="5306"/>
      <c r="AC9" s="5306"/>
      <c r="AD9" s="5306"/>
      <c r="AE9" s="5306"/>
      <c r="AF9" s="5306"/>
      <c r="AG9" s="5306"/>
      <c r="AH9" s="5306"/>
      <c r="AI9" s="5306"/>
      <c r="AJ9" s="5306"/>
      <c r="AK9" s="5306"/>
      <c r="AL9" s="5306"/>
      <c r="AM9" s="5306"/>
      <c r="AN9" s="5306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</row>
    <row r="10" spans="1:91" s="3211" customFormat="1" x14ac:dyDescent="0.25">
      <c r="B10" s="7931" t="s">
        <v>219</v>
      </c>
      <c r="C10" s="7931" t="s">
        <v>27</v>
      </c>
      <c r="D10" s="7932" t="s">
        <v>452</v>
      </c>
      <c r="E10" s="7932"/>
      <c r="F10" s="7932"/>
      <c r="G10" s="7933" t="s">
        <v>101</v>
      </c>
      <c r="H10" s="7933"/>
      <c r="I10" s="7933"/>
      <c r="J10" s="7933"/>
      <c r="K10" s="7933"/>
      <c r="L10" s="7933"/>
      <c r="M10" s="7933"/>
      <c r="N10" s="7933"/>
      <c r="O10" s="7933"/>
      <c r="P10" s="7933"/>
      <c r="Q10" s="7933"/>
      <c r="R10" s="7933"/>
      <c r="S10" s="7933"/>
      <c r="T10" s="7933"/>
      <c r="U10" s="7933"/>
      <c r="V10" s="7933"/>
      <c r="W10" s="7933"/>
      <c r="X10" s="7933"/>
      <c r="Y10" s="7933"/>
      <c r="Z10" s="7933"/>
      <c r="AA10" s="7933"/>
      <c r="AB10" s="7933"/>
      <c r="AC10" s="7933"/>
      <c r="AD10" s="7933"/>
      <c r="AE10" s="7933"/>
      <c r="AF10" s="7933"/>
      <c r="AG10" s="7933"/>
      <c r="AH10" s="7933"/>
      <c r="AI10" s="7933"/>
      <c r="AJ10" s="7933"/>
      <c r="AK10" s="7933"/>
      <c r="AL10" s="7933"/>
      <c r="AM10" s="7933"/>
      <c r="AN10" s="7934"/>
      <c r="AO10" s="7848" t="s">
        <v>36</v>
      </c>
    </row>
    <row r="11" spans="1:91" s="3211" customFormat="1" ht="14.25" customHeight="1" x14ac:dyDescent="0.25">
      <c r="B11" s="7931"/>
      <c r="C11" s="7931"/>
      <c r="D11" s="7932"/>
      <c r="E11" s="7932"/>
      <c r="F11" s="7932"/>
      <c r="G11" s="7935" t="s">
        <v>343</v>
      </c>
      <c r="H11" s="7935"/>
      <c r="I11" s="7935" t="s">
        <v>326</v>
      </c>
      <c r="J11" s="7935"/>
      <c r="K11" s="7935" t="s">
        <v>94</v>
      </c>
      <c r="L11" s="7935"/>
      <c r="M11" s="7935" t="s">
        <v>44</v>
      </c>
      <c r="N11" s="7935"/>
      <c r="O11" s="7935" t="s">
        <v>45</v>
      </c>
      <c r="P11" s="7935"/>
      <c r="Q11" s="7935" t="s">
        <v>46</v>
      </c>
      <c r="R11" s="7935"/>
      <c r="S11" s="7935" t="s">
        <v>47</v>
      </c>
      <c r="T11" s="7935"/>
      <c r="U11" s="7935" t="s">
        <v>48</v>
      </c>
      <c r="V11" s="7935"/>
      <c r="W11" s="7935" t="s">
        <v>49</v>
      </c>
      <c r="X11" s="7935"/>
      <c r="Y11" s="7935" t="s">
        <v>50</v>
      </c>
      <c r="Z11" s="7935"/>
      <c r="AA11" s="7935" t="s">
        <v>51</v>
      </c>
      <c r="AB11" s="7935"/>
      <c r="AC11" s="7935" t="s">
        <v>52</v>
      </c>
      <c r="AD11" s="7935"/>
      <c r="AE11" s="7935" t="s">
        <v>53</v>
      </c>
      <c r="AF11" s="7935"/>
      <c r="AG11" s="7935" t="s">
        <v>54</v>
      </c>
      <c r="AH11" s="7935"/>
      <c r="AI11" s="7935" t="s">
        <v>55</v>
      </c>
      <c r="AJ11" s="7935"/>
      <c r="AK11" s="7935" t="s">
        <v>56</v>
      </c>
      <c r="AL11" s="7935"/>
      <c r="AM11" s="7935" t="s">
        <v>57</v>
      </c>
      <c r="AN11" s="7934"/>
      <c r="AO11" s="7848"/>
    </row>
    <row r="12" spans="1:91" s="3211" customFormat="1" x14ac:dyDescent="0.25">
      <c r="B12" s="7931"/>
      <c r="C12" s="7931"/>
      <c r="D12" s="5307" t="s">
        <v>79</v>
      </c>
      <c r="E12" s="5308" t="s">
        <v>58</v>
      </c>
      <c r="F12" s="5309" t="s">
        <v>59</v>
      </c>
      <c r="G12" s="5310" t="s">
        <v>58</v>
      </c>
      <c r="H12" s="5128" t="s">
        <v>59</v>
      </c>
      <c r="I12" s="5310" t="s">
        <v>58</v>
      </c>
      <c r="J12" s="5128" t="s">
        <v>59</v>
      </c>
      <c r="K12" s="5310" t="s">
        <v>58</v>
      </c>
      <c r="L12" s="5128" t="s">
        <v>59</v>
      </c>
      <c r="M12" s="5310" t="s">
        <v>58</v>
      </c>
      <c r="N12" s="5128" t="s">
        <v>59</v>
      </c>
      <c r="O12" s="5310" t="s">
        <v>58</v>
      </c>
      <c r="P12" s="5128" t="s">
        <v>59</v>
      </c>
      <c r="Q12" s="5310" t="s">
        <v>58</v>
      </c>
      <c r="R12" s="5128" t="s">
        <v>59</v>
      </c>
      <c r="S12" s="5310" t="s">
        <v>58</v>
      </c>
      <c r="T12" s="5128" t="s">
        <v>59</v>
      </c>
      <c r="U12" s="5310" t="s">
        <v>58</v>
      </c>
      <c r="V12" s="5128" t="s">
        <v>59</v>
      </c>
      <c r="W12" s="5310" t="s">
        <v>58</v>
      </c>
      <c r="X12" s="5128" t="s">
        <v>59</v>
      </c>
      <c r="Y12" s="5310" t="s">
        <v>58</v>
      </c>
      <c r="Z12" s="5128" t="s">
        <v>59</v>
      </c>
      <c r="AA12" s="5310" t="s">
        <v>58</v>
      </c>
      <c r="AB12" s="5128" t="s">
        <v>59</v>
      </c>
      <c r="AC12" s="5310" t="s">
        <v>58</v>
      </c>
      <c r="AD12" s="5128" t="s">
        <v>59</v>
      </c>
      <c r="AE12" s="5310" t="s">
        <v>58</v>
      </c>
      <c r="AF12" s="5128" t="s">
        <v>59</v>
      </c>
      <c r="AG12" s="5310" t="s">
        <v>58</v>
      </c>
      <c r="AH12" s="5128" t="s">
        <v>59</v>
      </c>
      <c r="AI12" s="5310" t="s">
        <v>58</v>
      </c>
      <c r="AJ12" s="5128" t="s">
        <v>59</v>
      </c>
      <c r="AK12" s="5310" t="s">
        <v>58</v>
      </c>
      <c r="AL12" s="5128" t="s">
        <v>59</v>
      </c>
      <c r="AM12" s="5310" t="s">
        <v>58</v>
      </c>
      <c r="AN12" s="5311" t="s">
        <v>59</v>
      </c>
      <c r="AO12" s="7848"/>
    </row>
    <row r="13" spans="1:91" x14ac:dyDescent="0.25">
      <c r="A13" s="5617">
        <v>34000000</v>
      </c>
      <c r="B13" s="7936" t="s">
        <v>4204</v>
      </c>
      <c r="C13" s="5312" t="s">
        <v>1035</v>
      </c>
      <c r="D13" s="5313" t="s">
        <v>4567</v>
      </c>
      <c r="E13" s="5314" t="s">
        <v>4568</v>
      </c>
      <c r="F13" s="5315" t="s">
        <v>4569</v>
      </c>
      <c r="G13" s="2671" t="s">
        <v>4570</v>
      </c>
      <c r="H13" s="5316" t="s">
        <v>4571</v>
      </c>
      <c r="I13" s="2671" t="s">
        <v>4572</v>
      </c>
      <c r="J13" s="5316" t="s">
        <v>4573</v>
      </c>
      <c r="K13" s="2671" t="s">
        <v>4574</v>
      </c>
      <c r="L13" s="5316" t="s">
        <v>4575</v>
      </c>
      <c r="M13" s="2671" t="s">
        <v>4576</v>
      </c>
      <c r="N13" s="5316" t="s">
        <v>4577</v>
      </c>
      <c r="O13" s="2671" t="s">
        <v>4578</v>
      </c>
      <c r="P13" s="5316" t="s">
        <v>4579</v>
      </c>
      <c r="Q13" s="2671" t="s">
        <v>4580</v>
      </c>
      <c r="R13" s="5316" t="s">
        <v>4581</v>
      </c>
      <c r="S13" s="2671" t="s">
        <v>4582</v>
      </c>
      <c r="T13" s="5316" t="s">
        <v>4583</v>
      </c>
      <c r="U13" s="2671" t="s">
        <v>4584</v>
      </c>
      <c r="V13" s="5316" t="s">
        <v>4585</v>
      </c>
      <c r="W13" s="2671" t="s">
        <v>4586</v>
      </c>
      <c r="X13" s="5316" t="s">
        <v>4587</v>
      </c>
      <c r="Y13" s="2671" t="s">
        <v>4588</v>
      </c>
      <c r="Z13" s="5316" t="s">
        <v>4589</v>
      </c>
      <c r="AA13" s="2671" t="s">
        <v>4590</v>
      </c>
      <c r="AB13" s="5316" t="s">
        <v>4591</v>
      </c>
      <c r="AC13" s="2671" t="s">
        <v>4592</v>
      </c>
      <c r="AD13" s="5316" t="s">
        <v>4593</v>
      </c>
      <c r="AE13" s="2671" t="s">
        <v>4594</v>
      </c>
      <c r="AF13" s="5316" t="s">
        <v>4595</v>
      </c>
      <c r="AG13" s="2671" t="s">
        <v>4596</v>
      </c>
      <c r="AH13" s="5316" t="s">
        <v>4597</v>
      </c>
      <c r="AI13" s="2671" t="s">
        <v>4598</v>
      </c>
      <c r="AJ13" s="5316" t="s">
        <v>4599</v>
      </c>
      <c r="AK13" s="2671" t="s">
        <v>4600</v>
      </c>
      <c r="AL13" s="5316" t="s">
        <v>4601</v>
      </c>
      <c r="AM13" s="2670" t="s">
        <v>4602</v>
      </c>
      <c r="AN13" s="5317" t="s">
        <v>4603</v>
      </c>
      <c r="AO13" s="5318" t="s">
        <v>4604</v>
      </c>
      <c r="AP13" s="2193" t="str">
        <f>$CB13</f>
        <v xml:space="preserve">* El número de Pueblos Originarios no puede superar el Total.  </v>
      </c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4174" t="str">
        <f>IF(AND($D13&lt;&gt;0,AO13=""),"* No olvide ingresar la columna Pueblos Originarios, digite CERO si no tiene.  ",IF(AO13&gt;$D13,"* El número de Pueblos Originarios no puede superar el Total.  ",""))</f>
        <v xml:space="preserve">* El número de Pueblos Originarios no puede superar el Total.  </v>
      </c>
      <c r="CC13" s="2194"/>
      <c r="CD13" s="2194"/>
      <c r="CE13" s="2194"/>
      <c r="CF13" s="6"/>
      <c r="CG13" s="6"/>
      <c r="CH13" s="6"/>
      <c r="CI13" s="6"/>
      <c r="CJ13" s="6"/>
      <c r="CK13" s="6"/>
      <c r="CL13" s="6"/>
      <c r="CM13" s="55">
        <f>IF(AND($D13&lt;&gt;0,AO13=""),1,IF(AO13&gt;$D13,1,0))</f>
        <v>1</v>
      </c>
    </row>
    <row r="14" spans="1:91" ht="15" customHeight="1" x14ac:dyDescent="0.25">
      <c r="A14" s="5617">
        <v>34000001</v>
      </c>
      <c r="B14" s="7936"/>
      <c r="C14" s="5319" t="s">
        <v>4205</v>
      </c>
      <c r="D14" s="2208" t="s">
        <v>4567</v>
      </c>
      <c r="E14" s="2890" t="s">
        <v>4568</v>
      </c>
      <c r="F14" s="213" t="s">
        <v>4569</v>
      </c>
      <c r="G14" s="2670" t="s">
        <v>4570</v>
      </c>
      <c r="H14" s="2668" t="s">
        <v>4571</v>
      </c>
      <c r="I14" s="2670" t="s">
        <v>4572</v>
      </c>
      <c r="J14" s="2668" t="s">
        <v>4573</v>
      </c>
      <c r="K14" s="2670" t="s">
        <v>4574</v>
      </c>
      <c r="L14" s="2668" t="s">
        <v>4575</v>
      </c>
      <c r="M14" s="2670" t="s">
        <v>4576</v>
      </c>
      <c r="N14" s="2668" t="s">
        <v>4577</v>
      </c>
      <c r="O14" s="2670" t="s">
        <v>4578</v>
      </c>
      <c r="P14" s="2668" t="s">
        <v>4579</v>
      </c>
      <c r="Q14" s="2670" t="s">
        <v>4580</v>
      </c>
      <c r="R14" s="2668" t="s">
        <v>4581</v>
      </c>
      <c r="S14" s="2670" t="s">
        <v>4582</v>
      </c>
      <c r="T14" s="2668" t="s">
        <v>4583</v>
      </c>
      <c r="U14" s="2670" t="s">
        <v>4584</v>
      </c>
      <c r="V14" s="2668" t="s">
        <v>4585</v>
      </c>
      <c r="W14" s="2670" t="s">
        <v>4586</v>
      </c>
      <c r="X14" s="2668" t="s">
        <v>4587</v>
      </c>
      <c r="Y14" s="2670" t="s">
        <v>4588</v>
      </c>
      <c r="Z14" s="2668" t="s">
        <v>4589</v>
      </c>
      <c r="AA14" s="2670" t="s">
        <v>4590</v>
      </c>
      <c r="AB14" s="2668" t="s">
        <v>4591</v>
      </c>
      <c r="AC14" s="2670" t="s">
        <v>4592</v>
      </c>
      <c r="AD14" s="2668" t="s">
        <v>4593</v>
      </c>
      <c r="AE14" s="2670" t="s">
        <v>4594</v>
      </c>
      <c r="AF14" s="2668" t="s">
        <v>4595</v>
      </c>
      <c r="AG14" s="2670" t="s">
        <v>4596</v>
      </c>
      <c r="AH14" s="2668" t="s">
        <v>4597</v>
      </c>
      <c r="AI14" s="2670" t="s">
        <v>4598</v>
      </c>
      <c r="AJ14" s="2668" t="s">
        <v>4599</v>
      </c>
      <c r="AK14" s="2670" t="s">
        <v>4600</v>
      </c>
      <c r="AL14" s="2668" t="s">
        <v>4601</v>
      </c>
      <c r="AM14" s="2671" t="s">
        <v>4602</v>
      </c>
      <c r="AN14" s="5320" t="s">
        <v>4603</v>
      </c>
      <c r="AO14" s="2668" t="s">
        <v>4604</v>
      </c>
      <c r="AP14" s="2193" t="str">
        <f t="shared" ref="AP14:AP15" si="0">$CB14</f>
        <v xml:space="preserve">* El número de Pueblos Originarios no puede superar el Total.  </v>
      </c>
      <c r="AQ14" s="5321"/>
      <c r="AR14" s="5321"/>
      <c r="AS14" s="5321"/>
      <c r="AT14" s="5321"/>
      <c r="AU14" s="5321"/>
      <c r="AV14" s="5321"/>
      <c r="AW14" s="5321"/>
      <c r="AX14" s="5321"/>
      <c r="AY14" s="5321"/>
      <c r="AZ14" s="5321"/>
      <c r="BA14" s="5321"/>
      <c r="BB14" s="5321"/>
      <c r="BC14" s="5321"/>
      <c r="BD14" s="5321"/>
      <c r="BE14" s="5321"/>
      <c r="BF14" s="5321"/>
      <c r="BG14" s="5321"/>
      <c r="BH14" s="5321"/>
      <c r="BI14" s="5321"/>
      <c r="BJ14" s="5321"/>
      <c r="BK14" s="5321"/>
      <c r="BL14" s="5321"/>
      <c r="BM14" s="5321"/>
      <c r="BN14" s="5321"/>
      <c r="BO14" s="5321"/>
      <c r="BP14" s="5321"/>
      <c r="BQ14" s="5321"/>
      <c r="BR14" s="5321"/>
      <c r="BS14" s="5321"/>
      <c r="BT14" s="5321"/>
      <c r="BU14" s="25"/>
      <c r="BV14" s="25"/>
      <c r="BW14" s="6"/>
      <c r="BX14" s="6"/>
      <c r="BY14" s="6"/>
      <c r="BZ14" s="6"/>
      <c r="CA14" s="6"/>
      <c r="CB14" s="4174" t="str">
        <f t="shared" ref="CB14:CB15" si="1">IF(AND($D14&lt;&gt;0,AO14=""),"* No olvide ingresar la columna Pueblos Originarios, digite CERO si no tiene.  ",IF(AO14&gt;$D14,"* El número de Pueblos Originarios no puede superar el Total.  ",""))</f>
        <v xml:space="preserve">* El número de Pueblos Originarios no puede superar el Total.  </v>
      </c>
      <c r="CC14" s="2194"/>
      <c r="CD14" s="2194"/>
      <c r="CE14" s="2194"/>
      <c r="CF14" s="6"/>
      <c r="CG14" s="6"/>
      <c r="CH14" s="6"/>
      <c r="CI14" s="6"/>
      <c r="CJ14" s="6"/>
      <c r="CK14" s="6"/>
      <c r="CL14" s="6"/>
      <c r="CM14" s="55">
        <f t="shared" ref="CM14:CM15" si="2">IF(AND($D14&lt;&gt;0,AO14=""),1,IF(AO14&gt;$D14,1,0))</f>
        <v>1</v>
      </c>
    </row>
    <row r="15" spans="1:91" ht="22.5" x14ac:dyDescent="0.25">
      <c r="A15" s="5617">
        <v>34000002</v>
      </c>
      <c r="B15" s="7936"/>
      <c r="C15" s="5322" t="s">
        <v>4206</v>
      </c>
      <c r="D15" s="4913" t="s">
        <v>4567</v>
      </c>
      <c r="E15" s="5323" t="s">
        <v>4568</v>
      </c>
      <c r="F15" s="5324" t="s">
        <v>4569</v>
      </c>
      <c r="G15" s="2670" t="s">
        <v>4570</v>
      </c>
      <c r="H15" s="2668" t="s">
        <v>4571</v>
      </c>
      <c r="I15" s="2670" t="s">
        <v>4572</v>
      </c>
      <c r="J15" s="2668" t="s">
        <v>4573</v>
      </c>
      <c r="K15" s="2670" t="s">
        <v>4574</v>
      </c>
      <c r="L15" s="2668" t="s">
        <v>4575</v>
      </c>
      <c r="M15" s="2670" t="s">
        <v>4576</v>
      </c>
      <c r="N15" s="2668" t="s">
        <v>4577</v>
      </c>
      <c r="O15" s="2670" t="s">
        <v>4578</v>
      </c>
      <c r="P15" s="2668" t="s">
        <v>4579</v>
      </c>
      <c r="Q15" s="2670" t="s">
        <v>4580</v>
      </c>
      <c r="R15" s="2668" t="s">
        <v>4581</v>
      </c>
      <c r="S15" s="2670" t="s">
        <v>4582</v>
      </c>
      <c r="T15" s="2668" t="s">
        <v>4583</v>
      </c>
      <c r="U15" s="2670" t="s">
        <v>4584</v>
      </c>
      <c r="V15" s="2668" t="s">
        <v>4585</v>
      </c>
      <c r="W15" s="2670" t="s">
        <v>4586</v>
      </c>
      <c r="X15" s="2668" t="s">
        <v>4587</v>
      </c>
      <c r="Y15" s="2670" t="s">
        <v>4588</v>
      </c>
      <c r="Z15" s="2668" t="s">
        <v>4589</v>
      </c>
      <c r="AA15" s="2670" t="s">
        <v>4590</v>
      </c>
      <c r="AB15" s="2668" t="s">
        <v>4591</v>
      </c>
      <c r="AC15" s="2670" t="s">
        <v>4592</v>
      </c>
      <c r="AD15" s="2668" t="s">
        <v>4593</v>
      </c>
      <c r="AE15" s="2670" t="s">
        <v>4594</v>
      </c>
      <c r="AF15" s="2668" t="s">
        <v>4595</v>
      </c>
      <c r="AG15" s="2670" t="s">
        <v>4596</v>
      </c>
      <c r="AH15" s="2668" t="s">
        <v>4597</v>
      </c>
      <c r="AI15" s="2670" t="s">
        <v>4598</v>
      </c>
      <c r="AJ15" s="2668" t="s">
        <v>4599</v>
      </c>
      <c r="AK15" s="2670" t="s">
        <v>4600</v>
      </c>
      <c r="AL15" s="2668" t="s">
        <v>4601</v>
      </c>
      <c r="AM15" s="2671" t="s">
        <v>4602</v>
      </c>
      <c r="AN15" s="5325" t="s">
        <v>4603</v>
      </c>
      <c r="AO15" s="2668" t="s">
        <v>4604</v>
      </c>
      <c r="AP15" s="2193" t="str">
        <f t="shared" si="0"/>
        <v xml:space="preserve">* El número de Pueblos Originarios no puede superar el Total.  </v>
      </c>
      <c r="AQ15" s="5321"/>
      <c r="AR15" s="5321"/>
      <c r="AS15" s="5321"/>
      <c r="AT15" s="5321"/>
      <c r="AU15" s="5321"/>
      <c r="AV15" s="5321"/>
      <c r="AW15" s="5321"/>
      <c r="AX15" s="5321"/>
      <c r="AY15" s="5321"/>
      <c r="AZ15" s="5321"/>
      <c r="BA15" s="5321"/>
      <c r="BB15" s="5321"/>
      <c r="BC15" s="5321"/>
      <c r="BD15" s="5321"/>
      <c r="BE15" s="5321"/>
      <c r="BF15" s="5321"/>
      <c r="BG15" s="5321"/>
      <c r="BH15" s="5321"/>
      <c r="BI15" s="5321"/>
      <c r="BJ15" s="5321"/>
      <c r="BK15" s="5321"/>
      <c r="BL15" s="5321"/>
      <c r="BM15" s="5321"/>
      <c r="BN15" s="5321"/>
      <c r="BO15" s="5321"/>
      <c r="BP15" s="5321"/>
      <c r="BQ15" s="5321"/>
      <c r="BR15" s="5321"/>
      <c r="BS15" s="5321"/>
      <c r="BT15" s="5321"/>
      <c r="BU15" s="25"/>
      <c r="BV15" s="25"/>
      <c r="BW15" s="6"/>
      <c r="BX15" s="6"/>
      <c r="BY15" s="6"/>
      <c r="BZ15" s="6"/>
      <c r="CA15" s="6"/>
      <c r="CB15" s="4174" t="str">
        <f t="shared" si="1"/>
        <v xml:space="preserve">* El número de Pueblos Originarios no puede superar el Total.  </v>
      </c>
      <c r="CC15" s="2194"/>
      <c r="CD15" s="2194"/>
      <c r="CE15" s="2194"/>
      <c r="CF15" s="6"/>
      <c r="CG15" s="6"/>
      <c r="CH15" s="6"/>
      <c r="CI15" s="6"/>
      <c r="CJ15" s="6"/>
      <c r="CK15" s="6"/>
      <c r="CL15" s="6"/>
      <c r="CM15" s="55">
        <f t="shared" si="2"/>
        <v>1</v>
      </c>
    </row>
    <row r="16" spans="1:91" ht="15" customHeight="1" x14ac:dyDescent="0.25">
      <c r="A16" s="5828"/>
      <c r="B16" s="7850" t="s">
        <v>77</v>
      </c>
      <c r="C16" s="7850"/>
      <c r="D16" s="5326">
        <f>SUM(E16,F16)</f>
        <v>0</v>
      </c>
      <c r="E16" s="5327">
        <f t="shared" ref="E16:F16" si="3">SUM(G16,I16,K16,M16,O16,Q16,S16,U16,W16,Y16,AA16,AC16,AE16,AG16,AI16,AK16,AM16)</f>
        <v>0</v>
      </c>
      <c r="F16" s="5328">
        <f t="shared" si="3"/>
        <v>0</v>
      </c>
      <c r="G16" s="5329">
        <f>SUM(G13:G15)</f>
        <v>0</v>
      </c>
      <c r="H16" s="5330">
        <f t="shared" ref="H16:AN16" si="4">SUM(H13:H15)</f>
        <v>0</v>
      </c>
      <c r="I16" s="5329">
        <f>SUM(I13:I15)</f>
        <v>0</v>
      </c>
      <c r="J16" s="5330">
        <f t="shared" si="4"/>
        <v>0</v>
      </c>
      <c r="K16" s="5329">
        <f t="shared" si="4"/>
        <v>0</v>
      </c>
      <c r="L16" s="5331">
        <f>SUM(L13:L15)</f>
        <v>0</v>
      </c>
      <c r="M16" s="5329">
        <f t="shared" si="4"/>
        <v>0</v>
      </c>
      <c r="N16" s="5331">
        <f t="shared" si="4"/>
        <v>0</v>
      </c>
      <c r="O16" s="5329">
        <f t="shared" si="4"/>
        <v>0</v>
      </c>
      <c r="P16" s="5331">
        <f t="shared" si="4"/>
        <v>0</v>
      </c>
      <c r="Q16" s="5329">
        <f t="shared" si="4"/>
        <v>0</v>
      </c>
      <c r="R16" s="5331">
        <f t="shared" si="4"/>
        <v>0</v>
      </c>
      <c r="S16" s="5329">
        <f t="shared" si="4"/>
        <v>0</v>
      </c>
      <c r="T16" s="5331">
        <f t="shared" si="4"/>
        <v>0</v>
      </c>
      <c r="U16" s="5329">
        <f t="shared" si="4"/>
        <v>0</v>
      </c>
      <c r="V16" s="5331">
        <f t="shared" si="4"/>
        <v>0</v>
      </c>
      <c r="W16" s="5329">
        <f t="shared" si="4"/>
        <v>0</v>
      </c>
      <c r="X16" s="5331">
        <f t="shared" si="4"/>
        <v>0</v>
      </c>
      <c r="Y16" s="5329">
        <f t="shared" si="4"/>
        <v>0</v>
      </c>
      <c r="Z16" s="5331">
        <f t="shared" si="4"/>
        <v>0</v>
      </c>
      <c r="AA16" s="5332">
        <f t="shared" si="4"/>
        <v>0</v>
      </c>
      <c r="AB16" s="5333">
        <f t="shared" si="4"/>
        <v>0</v>
      </c>
      <c r="AC16" s="5332">
        <f t="shared" si="4"/>
        <v>0</v>
      </c>
      <c r="AD16" s="5333">
        <f t="shared" si="4"/>
        <v>0</v>
      </c>
      <c r="AE16" s="5332">
        <f t="shared" si="4"/>
        <v>0</v>
      </c>
      <c r="AF16" s="5333">
        <f t="shared" si="4"/>
        <v>0</v>
      </c>
      <c r="AG16" s="5332">
        <f t="shared" si="4"/>
        <v>0</v>
      </c>
      <c r="AH16" s="5333">
        <f t="shared" si="4"/>
        <v>0</v>
      </c>
      <c r="AI16" s="5332">
        <f t="shared" si="4"/>
        <v>0</v>
      </c>
      <c r="AJ16" s="5333">
        <f t="shared" si="4"/>
        <v>0</v>
      </c>
      <c r="AK16" s="5332">
        <f t="shared" si="4"/>
        <v>0</v>
      </c>
      <c r="AL16" s="5333">
        <f t="shared" si="4"/>
        <v>0</v>
      </c>
      <c r="AM16" s="5334">
        <f t="shared" si="4"/>
        <v>0</v>
      </c>
      <c r="AN16" s="5335">
        <f t="shared" si="4"/>
        <v>0</v>
      </c>
      <c r="AO16" s="5336">
        <f>SUM(AO13:AO15)</f>
        <v>0</v>
      </c>
      <c r="AW16" s="3211"/>
      <c r="AX16" s="3211"/>
      <c r="AY16" s="3211"/>
      <c r="AZ16" s="3211"/>
      <c r="BB16" s="3211"/>
      <c r="BC16" s="3211"/>
      <c r="BD16" s="3211"/>
      <c r="BE16" s="3211"/>
      <c r="BF16" s="3211"/>
      <c r="BG16" s="3211"/>
      <c r="BH16" s="3211"/>
      <c r="BI16" s="3211"/>
      <c r="BJ16" s="3211"/>
      <c r="BK16" s="3211"/>
      <c r="BL16" s="3211"/>
      <c r="BM16" s="3211"/>
      <c r="BN16" s="3211"/>
      <c r="BO16" s="3211"/>
      <c r="BP16" s="3211"/>
      <c r="BQ16" s="3211"/>
      <c r="BR16" s="3211"/>
      <c r="BS16" s="3211"/>
      <c r="BT16" s="3211"/>
      <c r="BU16" s="3211"/>
      <c r="BV16" s="3211"/>
      <c r="BW16" s="3211"/>
      <c r="BX16" s="3211"/>
      <c r="BY16" s="3211"/>
      <c r="BZ16" s="3211"/>
      <c r="CA16" s="3211"/>
      <c r="CB16" s="5337"/>
      <c r="CF16" s="3211"/>
      <c r="CG16" s="3211"/>
      <c r="CH16" s="3211"/>
      <c r="CI16" s="3211"/>
      <c r="CJ16" s="3211"/>
      <c r="CK16" s="3211"/>
      <c r="CL16" s="3211"/>
      <c r="CM16" s="3211"/>
    </row>
    <row r="17" spans="1:91" ht="17.100000000000001" customHeight="1" x14ac:dyDescent="0.25">
      <c r="A17" s="5612"/>
      <c r="B17" s="3" t="s">
        <v>4207</v>
      </c>
      <c r="C17" s="6"/>
      <c r="D17" s="4"/>
      <c r="E17" s="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321"/>
      <c r="S17" s="5321"/>
      <c r="T17" s="5321"/>
      <c r="U17" s="5321"/>
      <c r="V17" s="5321"/>
      <c r="W17" s="5321"/>
      <c r="X17" s="5321"/>
      <c r="Y17" s="5321"/>
      <c r="Z17" s="5321"/>
      <c r="AA17" s="5321"/>
      <c r="AB17" s="5321"/>
      <c r="AC17" s="5321"/>
      <c r="AD17" s="5321"/>
      <c r="AE17" s="5321"/>
      <c r="AF17" s="5321"/>
      <c r="AG17" s="5321"/>
      <c r="AH17" s="5321"/>
      <c r="AI17" s="5321"/>
      <c r="AJ17" s="5321"/>
      <c r="AK17" s="5321"/>
      <c r="AL17" s="5321"/>
      <c r="AM17" s="5321"/>
      <c r="AN17" s="5321"/>
      <c r="AP17" s="5321"/>
      <c r="AQ17" s="5321"/>
      <c r="AR17" s="5321"/>
      <c r="AS17" s="5321"/>
      <c r="AT17" s="5321"/>
      <c r="AU17" s="5321"/>
      <c r="AV17" s="5321"/>
      <c r="AW17" s="5321"/>
      <c r="AX17" s="5321"/>
      <c r="AY17" s="5321"/>
      <c r="AZ17" s="5321"/>
      <c r="BA17" s="5321"/>
      <c r="BB17" s="5321"/>
      <c r="BC17" s="5321"/>
      <c r="BD17" s="5321"/>
      <c r="BE17" s="5321"/>
      <c r="BF17" s="5321"/>
      <c r="BG17" s="5321"/>
      <c r="BH17" s="5321"/>
      <c r="BI17" s="5321"/>
      <c r="BJ17" s="5321"/>
      <c r="BK17" s="5321"/>
      <c r="BL17" s="5321"/>
      <c r="BM17" s="5321"/>
      <c r="BN17" s="5321"/>
      <c r="BO17" s="5321"/>
      <c r="BP17" s="5321"/>
      <c r="BQ17" s="5321"/>
      <c r="BR17" s="5321"/>
      <c r="BS17" s="5321"/>
      <c r="BT17" s="5321"/>
      <c r="BU17" s="5321"/>
      <c r="BV17" s="5321"/>
      <c r="BW17" s="5321"/>
      <c r="BX17" s="5321"/>
      <c r="BY17" s="5321"/>
      <c r="BZ17" s="5321"/>
      <c r="CA17" s="5321"/>
      <c r="CB17" s="5306"/>
      <c r="CC17" s="5321"/>
      <c r="CD17" s="5321"/>
      <c r="CE17" s="5321"/>
      <c r="CF17" s="5321"/>
      <c r="CG17" s="5321"/>
      <c r="CH17" s="5321"/>
      <c r="CI17" s="5321"/>
      <c r="CJ17" s="5321"/>
      <c r="CK17" s="5321"/>
      <c r="CL17" s="5321"/>
      <c r="CM17" s="5321"/>
    </row>
    <row r="18" spans="1:91" ht="15" customHeight="1" x14ac:dyDescent="0.25">
      <c r="A18" s="5612"/>
      <c r="B18" s="7828" t="s">
        <v>4208</v>
      </c>
      <c r="C18" s="7890" t="s">
        <v>1363</v>
      </c>
      <c r="D18" s="6814" t="s">
        <v>4209</v>
      </c>
      <c r="E18" s="7746"/>
      <c r="F18" s="7746"/>
      <c r="G18" s="7819"/>
      <c r="H18" s="7937" t="s">
        <v>4210</v>
      </c>
      <c r="I18" s="7937"/>
      <c r="J18" s="7937"/>
      <c r="K18" s="7937"/>
      <c r="L18" s="7937"/>
      <c r="M18" s="3211"/>
      <c r="N18" s="3211"/>
      <c r="O18" s="3211"/>
      <c r="P18" s="3211"/>
      <c r="Q18" s="3211"/>
      <c r="R18" s="3211"/>
      <c r="S18" s="3211"/>
      <c r="T18" s="3211"/>
      <c r="U18" s="3211"/>
      <c r="V18" s="3211"/>
      <c r="W18" s="3211"/>
      <c r="X18" s="3211"/>
      <c r="Y18" s="3211"/>
      <c r="Z18" s="3211"/>
      <c r="AW18" s="3211"/>
      <c r="AX18" s="3211"/>
      <c r="AY18" s="3211"/>
      <c r="AZ18" s="3211"/>
      <c r="BB18" s="3211"/>
      <c r="BC18" s="3211"/>
      <c r="BD18" s="3211"/>
      <c r="BE18" s="3211"/>
      <c r="BF18" s="3211"/>
      <c r="BG18" s="3211"/>
      <c r="BH18" s="3211"/>
      <c r="BI18" s="3211"/>
      <c r="BJ18" s="3211"/>
      <c r="BK18" s="3211"/>
      <c r="BL18" s="3211"/>
      <c r="BM18" s="3211"/>
      <c r="BN18" s="3211"/>
      <c r="BO18" s="3211"/>
      <c r="BP18" s="3211"/>
      <c r="BQ18" s="3211"/>
      <c r="BR18" s="3211"/>
      <c r="BS18" s="3211"/>
      <c r="BT18" s="3211"/>
      <c r="BU18" s="3211"/>
      <c r="BV18" s="3211"/>
      <c r="BW18" s="3211"/>
      <c r="BX18" s="3211"/>
      <c r="BY18" s="3211"/>
      <c r="BZ18" s="3211"/>
      <c r="CA18" s="3211"/>
      <c r="CB18" s="5337"/>
      <c r="CF18" s="3211"/>
      <c r="CG18" s="3211"/>
      <c r="CH18" s="3211"/>
      <c r="CI18" s="3211"/>
      <c r="CJ18" s="3211"/>
      <c r="CK18" s="3211"/>
      <c r="CL18" s="3211"/>
      <c r="CM18" s="3211"/>
    </row>
    <row r="19" spans="1:91" ht="15" customHeight="1" x14ac:dyDescent="0.25">
      <c r="A19" s="5612"/>
      <c r="B19" s="7828"/>
      <c r="C19" s="7890"/>
      <c r="D19" s="7938" t="s">
        <v>4211</v>
      </c>
      <c r="E19" s="7939" t="s">
        <v>4212</v>
      </c>
      <c r="F19" s="7939" t="s">
        <v>4213</v>
      </c>
      <c r="G19" s="7819" t="s">
        <v>4214</v>
      </c>
      <c r="H19" s="7938" t="s">
        <v>4215</v>
      </c>
      <c r="I19" s="7939" t="s">
        <v>4216</v>
      </c>
      <c r="J19" s="7939" t="s">
        <v>4217</v>
      </c>
      <c r="K19" s="7939" t="s">
        <v>4218</v>
      </c>
      <c r="L19" s="7819" t="s">
        <v>4219</v>
      </c>
      <c r="M19" s="3211"/>
      <c r="N19" s="3211"/>
      <c r="O19" s="3211"/>
      <c r="P19" s="3211"/>
      <c r="Q19" s="3211"/>
      <c r="R19" s="3211"/>
      <c r="S19" s="3211"/>
      <c r="T19" s="3211"/>
      <c r="U19" s="3211"/>
      <c r="V19" s="3211"/>
      <c r="W19" s="3211"/>
      <c r="X19" s="3211"/>
      <c r="Y19" s="3211"/>
      <c r="Z19" s="3211"/>
      <c r="AW19" s="3211"/>
      <c r="AX19" s="3211"/>
      <c r="AY19" s="3211"/>
      <c r="AZ19" s="3211"/>
      <c r="BB19" s="3211"/>
      <c r="BC19" s="3211"/>
      <c r="BD19" s="3211"/>
      <c r="BE19" s="3211"/>
      <c r="BF19" s="3211"/>
      <c r="BG19" s="3211"/>
      <c r="BH19" s="3211"/>
      <c r="BI19" s="3211"/>
      <c r="BJ19" s="3211"/>
      <c r="BK19" s="3211"/>
      <c r="BL19" s="3211"/>
      <c r="BM19" s="3211"/>
      <c r="BN19" s="3211"/>
      <c r="BO19" s="3211"/>
      <c r="BP19" s="3211"/>
      <c r="BQ19" s="3211"/>
      <c r="BR19" s="3211"/>
      <c r="BS19" s="3211"/>
      <c r="BT19" s="3211"/>
      <c r="BU19" s="3211"/>
      <c r="BV19" s="3211"/>
      <c r="BW19" s="3211"/>
      <c r="BX19" s="3211"/>
      <c r="BY19" s="3211"/>
      <c r="BZ19" s="3211"/>
      <c r="CA19" s="3211"/>
      <c r="CB19" s="5337"/>
      <c r="CF19" s="3211"/>
      <c r="CG19" s="3211"/>
      <c r="CH19" s="3211"/>
      <c r="CI19" s="3211"/>
      <c r="CJ19" s="3211"/>
      <c r="CK19" s="3211"/>
      <c r="CL19" s="3211"/>
      <c r="CM19" s="3211"/>
    </row>
    <row r="20" spans="1:91" ht="19.5" customHeight="1" x14ac:dyDescent="0.25">
      <c r="A20" s="5612"/>
      <c r="B20" s="7828"/>
      <c r="C20" s="7890"/>
      <c r="D20" s="7938"/>
      <c r="E20" s="7939"/>
      <c r="F20" s="7939"/>
      <c r="G20" s="7819"/>
      <c r="H20" s="7938"/>
      <c r="I20" s="7939"/>
      <c r="J20" s="7939"/>
      <c r="K20" s="7939"/>
      <c r="L20" s="7819"/>
      <c r="M20" s="3211"/>
      <c r="N20" s="3211"/>
      <c r="O20" s="3211"/>
      <c r="P20" s="3211"/>
      <c r="Q20" s="3211"/>
      <c r="R20" s="3211"/>
      <c r="S20" s="3211"/>
      <c r="T20" s="3211"/>
      <c r="U20" s="3211"/>
      <c r="V20" s="3211"/>
      <c r="W20" s="3211"/>
      <c r="X20" s="3211"/>
      <c r="Y20" s="3211"/>
      <c r="Z20" s="3211"/>
      <c r="AW20" s="3211"/>
      <c r="AX20" s="3211"/>
      <c r="AY20" s="3211"/>
      <c r="AZ20" s="3211"/>
      <c r="BB20" s="3211"/>
      <c r="BC20" s="3211"/>
      <c r="BD20" s="3211"/>
      <c r="BE20" s="3211"/>
      <c r="BF20" s="3211"/>
      <c r="BG20" s="3211"/>
      <c r="BH20" s="3211"/>
      <c r="BI20" s="3211"/>
      <c r="BJ20" s="3211"/>
      <c r="BK20" s="3211"/>
      <c r="BL20" s="3211"/>
      <c r="BM20" s="3211"/>
      <c r="BN20" s="3211"/>
      <c r="BO20" s="3211"/>
      <c r="BP20" s="3211"/>
      <c r="BQ20" s="3211"/>
      <c r="BR20" s="3211"/>
      <c r="BS20" s="3211"/>
      <c r="BT20" s="3211"/>
      <c r="BU20" s="3211"/>
      <c r="BV20" s="3211"/>
      <c r="BW20" s="3211"/>
      <c r="BX20" s="3211"/>
      <c r="BY20" s="3211"/>
      <c r="BZ20" s="3211"/>
      <c r="CA20" s="3211"/>
      <c r="CB20" s="5337"/>
      <c r="CF20" s="3211"/>
      <c r="CG20" s="3211"/>
      <c r="CH20" s="3211"/>
      <c r="CI20" s="3211"/>
      <c r="CJ20" s="3211"/>
      <c r="CK20" s="3211"/>
      <c r="CL20" s="3211"/>
      <c r="CM20" s="3211"/>
    </row>
    <row r="21" spans="1:91" ht="16.5" customHeight="1" x14ac:dyDescent="0.25">
      <c r="A21" s="5617">
        <v>34000003</v>
      </c>
      <c r="B21" s="5339" t="s">
        <v>4220</v>
      </c>
      <c r="C21" s="5340" t="s">
        <v>4567</v>
      </c>
      <c r="D21" s="5341" t="s">
        <v>4568</v>
      </c>
      <c r="E21" s="750" t="s">
        <v>4569</v>
      </c>
      <c r="F21" s="750" t="s">
        <v>4570</v>
      </c>
      <c r="G21" s="2999" t="s">
        <v>4571</v>
      </c>
      <c r="H21" s="1726" t="s">
        <v>4572</v>
      </c>
      <c r="I21" s="750" t="s">
        <v>4573</v>
      </c>
      <c r="J21" s="750" t="s">
        <v>4574</v>
      </c>
      <c r="K21" s="750" t="s">
        <v>4575</v>
      </c>
      <c r="L21" s="2999" t="s">
        <v>4576</v>
      </c>
      <c r="M21" s="3211"/>
      <c r="N21" s="3211"/>
      <c r="O21" s="3211"/>
      <c r="P21" s="3211"/>
      <c r="Q21" s="3211"/>
      <c r="R21" s="3211"/>
      <c r="S21" s="3211"/>
      <c r="T21" s="3211"/>
      <c r="U21" s="3211"/>
      <c r="V21" s="3211"/>
      <c r="W21" s="3211"/>
      <c r="X21" s="3211"/>
      <c r="Y21" s="3211"/>
      <c r="Z21" s="3211"/>
      <c r="AW21" s="3211"/>
      <c r="AX21" s="3211"/>
      <c r="AY21" s="3211"/>
      <c r="AZ21" s="3211"/>
      <c r="BB21" s="3211"/>
      <c r="BC21" s="3211"/>
      <c r="BD21" s="3211"/>
      <c r="BE21" s="3211"/>
      <c r="BF21" s="3211"/>
      <c r="BG21" s="3211"/>
      <c r="BH21" s="3211"/>
      <c r="BI21" s="3211"/>
      <c r="BJ21" s="3211"/>
      <c r="BK21" s="3211"/>
      <c r="BL21" s="3211"/>
      <c r="BM21" s="3211"/>
      <c r="BN21" s="3211"/>
      <c r="BO21" s="3211"/>
      <c r="BP21" s="3211"/>
      <c r="BQ21" s="3211"/>
      <c r="BR21" s="3211"/>
      <c r="BS21" s="3211"/>
      <c r="BT21" s="3211"/>
      <c r="BU21" s="3211"/>
      <c r="BV21" s="3211"/>
      <c r="BW21" s="3211"/>
      <c r="BX21" s="3211"/>
      <c r="BY21" s="3211"/>
      <c r="BZ21" s="3211"/>
      <c r="CA21" s="3211"/>
      <c r="CB21" s="5337"/>
      <c r="CF21" s="3211"/>
      <c r="CG21" s="3211"/>
      <c r="CH21" s="3211"/>
      <c r="CI21" s="3211"/>
      <c r="CJ21" s="3211"/>
      <c r="CK21" s="3211"/>
      <c r="CL21" s="3211"/>
      <c r="CM21" s="3211"/>
    </row>
    <row r="22" spans="1:91" x14ac:dyDescent="0.25">
      <c r="A22" s="5617">
        <v>34000004</v>
      </c>
      <c r="B22" s="5136" t="s">
        <v>4221</v>
      </c>
      <c r="C22" s="5342" t="s">
        <v>4567</v>
      </c>
      <c r="D22" s="1089" t="s">
        <v>4568</v>
      </c>
      <c r="E22" s="1253" t="s">
        <v>4569</v>
      </c>
      <c r="F22" s="1253" t="s">
        <v>4570</v>
      </c>
      <c r="G22" s="1090" t="s">
        <v>4571</v>
      </c>
      <c r="H22" s="1089" t="s">
        <v>4572</v>
      </c>
      <c r="I22" s="1253" t="s">
        <v>4573</v>
      </c>
      <c r="J22" s="1253" t="s">
        <v>4574</v>
      </c>
      <c r="K22" s="1253" t="s">
        <v>4575</v>
      </c>
      <c r="L22" s="1090" t="s">
        <v>4576</v>
      </c>
      <c r="M22" s="3211"/>
      <c r="N22" s="3211"/>
      <c r="O22" s="3211"/>
      <c r="P22" s="3211"/>
      <c r="Q22" s="3211"/>
      <c r="R22" s="3211"/>
      <c r="S22" s="3211"/>
      <c r="T22" s="3211"/>
      <c r="U22" s="3211"/>
      <c r="V22" s="3211"/>
      <c r="W22" s="3211"/>
      <c r="X22" s="3211"/>
      <c r="Y22" s="3211"/>
      <c r="Z22" s="3211"/>
      <c r="AW22" s="3211"/>
      <c r="AX22" s="3211"/>
      <c r="AY22" s="3211"/>
      <c r="AZ22" s="3211"/>
      <c r="BB22" s="3211"/>
      <c r="BC22" s="3211"/>
      <c r="BD22" s="3211"/>
      <c r="BE22" s="3211"/>
      <c r="BF22" s="3211"/>
      <c r="BG22" s="3211"/>
      <c r="BH22" s="3211"/>
      <c r="BI22" s="3211"/>
      <c r="BJ22" s="3211"/>
      <c r="BK22" s="3211"/>
      <c r="BL22" s="3211"/>
      <c r="BM22" s="3211"/>
      <c r="BN22" s="3211"/>
      <c r="BO22" s="3211"/>
      <c r="BP22" s="3211"/>
      <c r="BQ22" s="3211"/>
      <c r="BR22" s="3211"/>
      <c r="BS22" s="3211"/>
      <c r="BT22" s="3211"/>
      <c r="BU22" s="3211"/>
      <c r="BV22" s="3211"/>
      <c r="BW22" s="3211"/>
      <c r="BX22" s="3211"/>
      <c r="BY22" s="3211"/>
      <c r="BZ22" s="3211"/>
      <c r="CA22" s="3211"/>
      <c r="CB22" s="5337"/>
      <c r="CF22" s="3211"/>
      <c r="CG22" s="3211"/>
      <c r="CH22" s="3211"/>
      <c r="CI22" s="3211"/>
      <c r="CJ22" s="3211"/>
      <c r="CK22" s="3211"/>
      <c r="CL22" s="3211"/>
      <c r="CM22" s="3211"/>
    </row>
    <row r="23" spans="1:91" x14ac:dyDescent="0.25">
      <c r="A23" s="5617">
        <v>34000005</v>
      </c>
      <c r="B23" s="1670" t="s">
        <v>4222</v>
      </c>
      <c r="C23" s="5343" t="s">
        <v>4567</v>
      </c>
      <c r="D23" s="1089" t="s">
        <v>4568</v>
      </c>
      <c r="E23" s="1253" t="s">
        <v>4569</v>
      </c>
      <c r="F23" s="1253" t="s">
        <v>4570</v>
      </c>
      <c r="G23" s="1090" t="s">
        <v>4571</v>
      </c>
      <c r="H23" s="1089" t="s">
        <v>4572</v>
      </c>
      <c r="I23" s="1253" t="s">
        <v>4573</v>
      </c>
      <c r="J23" s="1253" t="s">
        <v>4574</v>
      </c>
      <c r="K23" s="1253" t="s">
        <v>4575</v>
      </c>
      <c r="L23" s="2" t="s">
        <v>4576</v>
      </c>
      <c r="M23" s="3211"/>
      <c r="N23" s="3211"/>
      <c r="O23" s="3211"/>
      <c r="P23" s="3211"/>
      <c r="Q23" s="3211"/>
      <c r="R23" s="3211"/>
      <c r="S23" s="3211"/>
      <c r="T23" s="3211"/>
      <c r="U23" s="3211"/>
      <c r="V23" s="3211"/>
      <c r="W23" s="3211"/>
      <c r="X23" s="3211"/>
      <c r="Y23" s="3211"/>
      <c r="Z23" s="3211"/>
      <c r="AW23" s="3211"/>
      <c r="AX23" s="3211"/>
      <c r="AY23" s="3211"/>
      <c r="AZ23" s="3211"/>
      <c r="BB23" s="3211"/>
      <c r="BC23" s="3211"/>
      <c r="BD23" s="3211"/>
      <c r="BE23" s="3211"/>
      <c r="BF23" s="3211"/>
      <c r="BG23" s="3211"/>
      <c r="BH23" s="3211"/>
      <c r="BI23" s="3211"/>
      <c r="BJ23" s="3211"/>
      <c r="BK23" s="3211"/>
      <c r="BL23" s="3211"/>
      <c r="BM23" s="3211"/>
      <c r="BN23" s="3211"/>
      <c r="BO23" s="3211"/>
      <c r="BP23" s="3211"/>
      <c r="BQ23" s="3211"/>
      <c r="BR23" s="3211"/>
      <c r="BS23" s="3211"/>
      <c r="BT23" s="3211"/>
      <c r="BU23" s="3211"/>
      <c r="BV23" s="3211"/>
      <c r="BW23" s="3211"/>
      <c r="BX23" s="3211"/>
      <c r="BY23" s="3211"/>
      <c r="BZ23" s="3211"/>
      <c r="CA23" s="3211"/>
      <c r="CB23" s="5337"/>
      <c r="CF23" s="3211"/>
      <c r="CG23" s="3211"/>
      <c r="CH23" s="3211"/>
      <c r="CI23" s="3211"/>
      <c r="CJ23" s="3211"/>
      <c r="CK23" s="3211"/>
      <c r="CL23" s="3211"/>
      <c r="CM23" s="3211"/>
    </row>
    <row r="24" spans="1:91" ht="15" customHeight="1" x14ac:dyDescent="0.25">
      <c r="A24" s="5828"/>
      <c r="B24" s="1790" t="s">
        <v>77</v>
      </c>
      <c r="C24" s="3076">
        <f>SUM(C21:C23)</f>
        <v>0</v>
      </c>
      <c r="D24" s="5329">
        <f>SUM(D22:D23)</f>
        <v>0</v>
      </c>
      <c r="E24" s="5344">
        <f t="shared" ref="E24:L24" si="5">SUM(E21:E23)</f>
        <v>0</v>
      </c>
      <c r="F24" s="5344">
        <f t="shared" si="5"/>
        <v>0</v>
      </c>
      <c r="G24" s="5330">
        <f t="shared" si="5"/>
        <v>0</v>
      </c>
      <c r="H24" s="5329">
        <f t="shared" si="5"/>
        <v>0</v>
      </c>
      <c r="I24" s="5344">
        <f t="shared" si="5"/>
        <v>0</v>
      </c>
      <c r="J24" s="5344">
        <f t="shared" si="5"/>
        <v>0</v>
      </c>
      <c r="K24" s="5344">
        <f t="shared" si="5"/>
        <v>0</v>
      </c>
      <c r="L24" s="5330">
        <f t="shared" si="5"/>
        <v>0</v>
      </c>
      <c r="M24" s="3211"/>
      <c r="N24" s="3211"/>
      <c r="O24" s="3211"/>
      <c r="P24" s="3211"/>
      <c r="Q24" s="3211"/>
      <c r="R24" s="3211"/>
      <c r="S24" s="3211"/>
      <c r="T24" s="3211"/>
      <c r="U24" s="3211"/>
      <c r="V24" s="3211"/>
      <c r="W24" s="3211"/>
      <c r="X24" s="3211"/>
      <c r="Y24" s="3211"/>
      <c r="Z24" s="3211"/>
      <c r="AW24" s="3211"/>
      <c r="AX24" s="3211"/>
      <c r="AY24" s="3211"/>
      <c r="AZ24" s="3211"/>
      <c r="BB24" s="3211"/>
      <c r="BC24" s="3211"/>
      <c r="BD24" s="3211"/>
      <c r="BE24" s="3211"/>
      <c r="BF24" s="3211"/>
      <c r="BG24" s="3211"/>
      <c r="BH24" s="3211"/>
      <c r="BI24" s="3211"/>
      <c r="BJ24" s="3211"/>
      <c r="BK24" s="3211"/>
      <c r="BL24" s="3211"/>
      <c r="BM24" s="3211"/>
      <c r="BN24" s="3211"/>
      <c r="BO24" s="3211"/>
      <c r="BP24" s="3211"/>
      <c r="BQ24" s="3211"/>
      <c r="BR24" s="3211"/>
      <c r="BS24" s="3211"/>
      <c r="BT24" s="3211"/>
      <c r="BU24" s="3211"/>
      <c r="BV24" s="3211"/>
      <c r="BW24" s="3211"/>
      <c r="BX24" s="3211"/>
      <c r="BY24" s="3211"/>
      <c r="BZ24" s="3211"/>
      <c r="CA24" s="3211"/>
      <c r="CB24" s="5337"/>
      <c r="CF24" s="3211"/>
      <c r="CG24" s="3211"/>
      <c r="CH24" s="3211"/>
      <c r="CI24" s="3211"/>
      <c r="CJ24" s="3211"/>
      <c r="CK24" s="3211"/>
      <c r="CL24" s="3211"/>
      <c r="CM24" s="3211"/>
    </row>
    <row r="25" spans="1:91" ht="17.100000000000001" customHeight="1" x14ac:dyDescent="0.25">
      <c r="A25" s="5612"/>
      <c r="B25" s="11" t="s">
        <v>4223</v>
      </c>
      <c r="C25" s="11"/>
      <c r="D25" s="5"/>
      <c r="E25" s="5306"/>
      <c r="F25" s="5306"/>
      <c r="G25" s="5306"/>
      <c r="H25" s="5306"/>
      <c r="I25" s="5306"/>
      <c r="J25" s="5306"/>
      <c r="K25" s="5306"/>
      <c r="L25" s="5306"/>
      <c r="M25" s="5306"/>
      <c r="N25" s="5306"/>
      <c r="O25" s="5306"/>
      <c r="P25" s="5306"/>
      <c r="Q25" s="5306"/>
      <c r="R25" s="5306"/>
      <c r="S25" s="5306"/>
      <c r="T25" s="5306"/>
      <c r="U25" s="5306"/>
      <c r="V25" s="5306"/>
      <c r="W25" s="5306"/>
      <c r="X25" s="5306"/>
      <c r="Y25" s="5306"/>
      <c r="Z25" s="5306"/>
      <c r="AA25" s="5306"/>
      <c r="AB25" s="5306"/>
      <c r="AC25" s="5306"/>
      <c r="AD25" s="5306"/>
      <c r="AE25" s="5306"/>
      <c r="AF25" s="5306"/>
      <c r="AG25" s="5306"/>
      <c r="AH25" s="5306"/>
      <c r="AI25" s="5306"/>
      <c r="AJ25" s="5306"/>
      <c r="AK25" s="5306"/>
      <c r="AL25" s="5306"/>
      <c r="AM25" s="5306"/>
      <c r="AN25" s="5306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3211"/>
      <c r="BY25" s="3211"/>
      <c r="BZ25" s="3211"/>
      <c r="CA25" s="3211"/>
      <c r="CB25" s="5337"/>
      <c r="CF25" s="3211"/>
      <c r="CG25" s="3211"/>
      <c r="CH25" s="3211"/>
      <c r="CI25" s="3211"/>
      <c r="CJ25" s="3211"/>
      <c r="CK25" s="3211"/>
      <c r="CL25" s="3211"/>
      <c r="CM25" s="3211"/>
    </row>
    <row r="26" spans="1:91" ht="21.75" customHeight="1" x14ac:dyDescent="0.25">
      <c r="A26" s="5827"/>
      <c r="B26" s="7676" t="s">
        <v>219</v>
      </c>
      <c r="C26" s="7729" t="s">
        <v>27</v>
      </c>
      <c r="D26" s="7943" t="s">
        <v>77</v>
      </c>
      <c r="E26" s="7943"/>
      <c r="F26" s="7943"/>
      <c r="G26" s="7948" t="s">
        <v>101</v>
      </c>
      <c r="H26" s="7949"/>
      <c r="I26" s="7949"/>
      <c r="J26" s="7949"/>
      <c r="K26" s="7949"/>
      <c r="L26" s="7949"/>
      <c r="M26" s="7949"/>
      <c r="N26" s="7949"/>
      <c r="O26" s="7949"/>
      <c r="P26" s="7949"/>
      <c r="Q26" s="7949"/>
      <c r="R26" s="7949"/>
      <c r="S26" s="7949"/>
      <c r="T26" s="7949"/>
      <c r="U26" s="7949"/>
      <c r="V26" s="7950"/>
      <c r="W26" s="7951" t="s">
        <v>4224</v>
      </c>
      <c r="X26" s="7952"/>
      <c r="Y26" s="7952"/>
      <c r="Z26" s="7952"/>
      <c r="AA26" s="7952"/>
      <c r="AB26" s="7952"/>
      <c r="AC26" s="7952"/>
      <c r="AD26" s="7952"/>
      <c r="AE26" s="7952"/>
      <c r="AF26" s="7952"/>
      <c r="AG26" s="7952"/>
      <c r="AH26" s="7952"/>
      <c r="AI26" s="7952"/>
      <c r="AJ26" s="7953"/>
      <c r="AK26" s="7856" t="s">
        <v>36</v>
      </c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X26" s="3211"/>
      <c r="BY26" s="3211"/>
      <c r="BZ26" s="3211"/>
      <c r="CA26" s="3211"/>
      <c r="CB26" s="5337"/>
      <c r="CF26" s="3211"/>
      <c r="CG26" s="3211"/>
      <c r="CH26" s="3211"/>
      <c r="CI26" s="3211"/>
      <c r="CJ26" s="3211"/>
      <c r="CK26" s="3211"/>
      <c r="CL26" s="3211"/>
      <c r="CM26" s="3211"/>
    </row>
    <row r="27" spans="1:91" ht="28.5" customHeight="1" x14ac:dyDescent="0.25">
      <c r="A27" s="5827"/>
      <c r="B27" s="7676"/>
      <c r="C27" s="7729"/>
      <c r="D27" s="7943"/>
      <c r="E27" s="7943"/>
      <c r="F27" s="7943"/>
      <c r="G27" s="6466" t="s">
        <v>3789</v>
      </c>
      <c r="H27" s="7940"/>
      <c r="I27" s="6466" t="s">
        <v>4225</v>
      </c>
      <c r="J27" s="7941"/>
      <c r="K27" s="7940" t="s">
        <v>1459</v>
      </c>
      <c r="L27" s="7941"/>
      <c r="M27" s="6466" t="s">
        <v>1460</v>
      </c>
      <c r="N27" s="7941"/>
      <c r="O27" s="6466" t="s">
        <v>1461</v>
      </c>
      <c r="P27" s="7941"/>
      <c r="Q27" s="6466" t="s">
        <v>1462</v>
      </c>
      <c r="R27" s="7941"/>
      <c r="S27" s="6466" t="s">
        <v>1463</v>
      </c>
      <c r="T27" s="7941"/>
      <c r="U27" s="7946" t="s">
        <v>938</v>
      </c>
      <c r="V27" s="7947"/>
      <c r="W27" s="7819" t="s">
        <v>4211</v>
      </c>
      <c r="X27" s="7942"/>
      <c r="Y27" s="7822" t="s">
        <v>4212</v>
      </c>
      <c r="Z27" s="7822"/>
      <c r="AA27" s="7822"/>
      <c r="AB27" s="7944" t="s">
        <v>4216</v>
      </c>
      <c r="AC27" s="7944"/>
      <c r="AD27" s="7944"/>
      <c r="AE27" s="7944" t="s">
        <v>4219</v>
      </c>
      <c r="AF27" s="7944"/>
      <c r="AG27" s="7944"/>
      <c r="AH27" s="7935" t="s">
        <v>4226</v>
      </c>
      <c r="AI27" s="7935"/>
      <c r="AJ27" s="7934"/>
      <c r="AK27" s="6355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9"/>
      <c r="AX27" s="19"/>
      <c r="AY27" s="19"/>
      <c r="AZ27" s="19"/>
      <c r="BA27" s="151"/>
      <c r="BB27" s="19"/>
      <c r="BC27" s="19"/>
      <c r="BD27" s="19"/>
      <c r="BE27" s="19"/>
      <c r="BX27" s="3211"/>
      <c r="BY27" s="3211"/>
      <c r="BZ27" s="3211"/>
      <c r="CA27" s="3211"/>
      <c r="CB27" s="5337"/>
      <c r="CF27" s="3211"/>
      <c r="CG27" s="3211"/>
      <c r="CH27" s="3211"/>
      <c r="CI27" s="3211"/>
      <c r="CJ27" s="3211"/>
      <c r="CK27" s="3211"/>
      <c r="CL27" s="3211"/>
      <c r="CM27" s="3211"/>
    </row>
    <row r="28" spans="1:91" ht="21.75" customHeight="1" x14ac:dyDescent="0.25">
      <c r="A28" s="5827"/>
      <c r="B28" s="7676"/>
      <c r="C28" s="7729"/>
      <c r="D28" s="5345" t="s">
        <v>79</v>
      </c>
      <c r="E28" s="5346" t="s">
        <v>58</v>
      </c>
      <c r="F28" s="1789" t="s">
        <v>59</v>
      </c>
      <c r="G28" s="5345" t="s">
        <v>58</v>
      </c>
      <c r="H28" s="1789" t="s">
        <v>59</v>
      </c>
      <c r="I28" s="5345" t="s">
        <v>58</v>
      </c>
      <c r="J28" s="1789" t="s">
        <v>59</v>
      </c>
      <c r="K28" s="5346" t="s">
        <v>58</v>
      </c>
      <c r="L28" s="1788" t="s">
        <v>59</v>
      </c>
      <c r="M28" s="5345" t="s">
        <v>58</v>
      </c>
      <c r="N28" s="1789" t="s">
        <v>59</v>
      </c>
      <c r="O28" s="5345" t="s">
        <v>58</v>
      </c>
      <c r="P28" s="1789" t="s">
        <v>59</v>
      </c>
      <c r="Q28" s="5345" t="s">
        <v>58</v>
      </c>
      <c r="R28" s="1789" t="s">
        <v>59</v>
      </c>
      <c r="S28" s="5345" t="s">
        <v>58</v>
      </c>
      <c r="T28" s="1789" t="s">
        <v>59</v>
      </c>
      <c r="U28" s="5345" t="s">
        <v>58</v>
      </c>
      <c r="V28" s="3049" t="s">
        <v>59</v>
      </c>
      <c r="W28" s="5347" t="s">
        <v>4221</v>
      </c>
      <c r="X28" s="1801" t="s">
        <v>4222</v>
      </c>
      <c r="Y28" s="1643" t="s">
        <v>4220</v>
      </c>
      <c r="Z28" s="1645" t="s">
        <v>4221</v>
      </c>
      <c r="AA28" s="1793" t="s">
        <v>4222</v>
      </c>
      <c r="AB28" s="1674" t="s">
        <v>4220</v>
      </c>
      <c r="AC28" s="1675" t="s">
        <v>4221</v>
      </c>
      <c r="AD28" s="1793" t="s">
        <v>4222</v>
      </c>
      <c r="AE28" s="1674" t="s">
        <v>4220</v>
      </c>
      <c r="AF28" s="1675" t="s">
        <v>4221</v>
      </c>
      <c r="AG28" s="1793" t="s">
        <v>4222</v>
      </c>
      <c r="AH28" s="1674" t="s">
        <v>4220</v>
      </c>
      <c r="AI28" s="1675" t="s">
        <v>4221</v>
      </c>
      <c r="AJ28" s="5348" t="s">
        <v>4222</v>
      </c>
      <c r="AK28" s="7065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9"/>
      <c r="AX28" s="19"/>
      <c r="AY28" s="19"/>
      <c r="AZ28" s="19"/>
      <c r="BA28" s="151"/>
      <c r="BB28" s="19"/>
      <c r="BC28" s="19"/>
      <c r="BD28" s="19"/>
      <c r="BE28" s="19"/>
      <c r="BX28" s="3211"/>
      <c r="BY28" s="3211"/>
      <c r="BZ28" s="3211"/>
      <c r="CA28" s="3211"/>
      <c r="CB28" s="5337"/>
      <c r="CF28" s="3211"/>
      <c r="CG28" s="3211"/>
      <c r="CH28" s="3211"/>
      <c r="CI28" s="3211"/>
      <c r="CJ28" s="3211"/>
      <c r="CK28" s="3211"/>
      <c r="CL28" s="3211"/>
      <c r="CM28" s="3211"/>
    </row>
    <row r="29" spans="1:91" ht="15" customHeight="1" x14ac:dyDescent="0.25">
      <c r="A29" s="5617">
        <v>34000006</v>
      </c>
      <c r="B29" s="7945" t="s">
        <v>4227</v>
      </c>
      <c r="C29" s="5349" t="s">
        <v>4228</v>
      </c>
      <c r="D29" s="5350" t="s">
        <v>4567</v>
      </c>
      <c r="E29" s="171" t="s">
        <v>4568</v>
      </c>
      <c r="F29" s="204" t="s">
        <v>4569</v>
      </c>
      <c r="G29" s="326" t="s">
        <v>4570</v>
      </c>
      <c r="H29" s="142" t="s">
        <v>4571</v>
      </c>
      <c r="I29" s="326" t="s">
        <v>4572</v>
      </c>
      <c r="J29" s="882" t="s">
        <v>4573</v>
      </c>
      <c r="K29" s="44" t="s">
        <v>4574</v>
      </c>
      <c r="L29" s="1133" t="s">
        <v>4575</v>
      </c>
      <c r="M29" s="326" t="s">
        <v>4576</v>
      </c>
      <c r="N29" s="882" t="s">
        <v>4577</v>
      </c>
      <c r="O29" s="326" t="s">
        <v>4578</v>
      </c>
      <c r="P29" s="882" t="s">
        <v>4579</v>
      </c>
      <c r="Q29" s="326" t="s">
        <v>4580</v>
      </c>
      <c r="R29" s="882" t="s">
        <v>4581</v>
      </c>
      <c r="S29" s="326" t="s">
        <v>4582</v>
      </c>
      <c r="T29" s="882" t="s">
        <v>4583</v>
      </c>
      <c r="U29" s="326" t="s">
        <v>4584</v>
      </c>
      <c r="V29" s="1001" t="s">
        <v>4585</v>
      </c>
      <c r="W29" s="943" t="s">
        <v>4586</v>
      </c>
      <c r="X29" s="942" t="s">
        <v>4587</v>
      </c>
      <c r="Y29" s="1861" t="s">
        <v>4588</v>
      </c>
      <c r="Z29" s="935" t="s">
        <v>4589</v>
      </c>
      <c r="AA29" s="935" t="s">
        <v>4590</v>
      </c>
      <c r="AB29" s="1861" t="s">
        <v>4591</v>
      </c>
      <c r="AC29" s="935" t="s">
        <v>4592</v>
      </c>
      <c r="AD29" s="935" t="s">
        <v>4593</v>
      </c>
      <c r="AE29" s="1861" t="s">
        <v>4594</v>
      </c>
      <c r="AF29" s="935" t="s">
        <v>4595</v>
      </c>
      <c r="AG29" s="935" t="s">
        <v>4596</v>
      </c>
      <c r="AH29" s="1861" t="s">
        <v>4597</v>
      </c>
      <c r="AI29" s="935" t="s">
        <v>4598</v>
      </c>
      <c r="AJ29" s="869" t="s">
        <v>4599</v>
      </c>
      <c r="AK29" s="5351" t="s">
        <v>4600</v>
      </c>
      <c r="AL29" s="2193" t="str">
        <f>$CB29</f>
        <v xml:space="preserve">* El número de Pueblos Originarios no puede superar el Total.  </v>
      </c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CB29" s="4174" t="str">
        <f>IF(AND($D29&lt;&gt;0,AK29=""),"* No olvide ingresar la columna Pueblos Originarios, digite CERO si no tiene.  ",IF(AK29&gt;$D29,"* El número de Pueblos Originarios no puede superar el Total.  ",""))</f>
        <v xml:space="preserve">* El número de Pueblos Originarios no puede superar el Total.  </v>
      </c>
      <c r="CC29" s="2194"/>
      <c r="CD29" s="2194"/>
      <c r="CE29" s="2194"/>
      <c r="CF29" s="6"/>
      <c r="CG29" s="6"/>
      <c r="CH29" s="6"/>
      <c r="CI29" s="6"/>
      <c r="CJ29" s="6"/>
      <c r="CK29" s="6"/>
      <c r="CL29" s="6"/>
      <c r="CM29" s="55">
        <f>IF(AND($D29&lt;&gt;0,AK29=""),1,IF(AK29&gt;$D29,1,0))</f>
        <v>1</v>
      </c>
    </row>
    <row r="30" spans="1:91" x14ac:dyDescent="0.25">
      <c r="A30" s="5617">
        <v>34000007</v>
      </c>
      <c r="B30" s="7945"/>
      <c r="C30" s="5352" t="s">
        <v>1035</v>
      </c>
      <c r="D30" s="937" t="s">
        <v>4567</v>
      </c>
      <c r="E30" s="171" t="s">
        <v>4568</v>
      </c>
      <c r="F30" s="204" t="s">
        <v>4569</v>
      </c>
      <c r="G30" s="940" t="s">
        <v>4570</v>
      </c>
      <c r="H30" s="941" t="s">
        <v>4571</v>
      </c>
      <c r="I30" s="940" t="s">
        <v>4572</v>
      </c>
      <c r="J30" s="942" t="s">
        <v>4573</v>
      </c>
      <c r="K30" s="943" t="s">
        <v>4574</v>
      </c>
      <c r="L30" s="944" t="s">
        <v>4575</v>
      </c>
      <c r="M30" s="940" t="s">
        <v>4576</v>
      </c>
      <c r="N30" s="942" t="s">
        <v>4577</v>
      </c>
      <c r="O30" s="940" t="s">
        <v>4578</v>
      </c>
      <c r="P30" s="942" t="s">
        <v>4579</v>
      </c>
      <c r="Q30" s="940" t="s">
        <v>4580</v>
      </c>
      <c r="R30" s="942" t="s">
        <v>4581</v>
      </c>
      <c r="S30" s="940" t="s">
        <v>4582</v>
      </c>
      <c r="T30" s="942" t="s">
        <v>4583</v>
      </c>
      <c r="U30" s="940" t="s">
        <v>4584</v>
      </c>
      <c r="V30" s="946" t="s">
        <v>4585</v>
      </c>
      <c r="W30" s="943" t="s">
        <v>4586</v>
      </c>
      <c r="X30" s="942" t="s">
        <v>4587</v>
      </c>
      <c r="Y30" s="940" t="s">
        <v>4588</v>
      </c>
      <c r="Z30" s="948" t="s">
        <v>4589</v>
      </c>
      <c r="AA30" s="948" t="s">
        <v>4590</v>
      </c>
      <c r="AB30" s="940" t="s">
        <v>4591</v>
      </c>
      <c r="AC30" s="948" t="s">
        <v>4592</v>
      </c>
      <c r="AD30" s="948" t="s">
        <v>4593</v>
      </c>
      <c r="AE30" s="940" t="s">
        <v>4594</v>
      </c>
      <c r="AF30" s="948" t="s">
        <v>4595</v>
      </c>
      <c r="AG30" s="948" t="s">
        <v>4596</v>
      </c>
      <c r="AH30" s="940" t="s">
        <v>4597</v>
      </c>
      <c r="AI30" s="948" t="s">
        <v>4598</v>
      </c>
      <c r="AJ30" s="946" t="s">
        <v>4599</v>
      </c>
      <c r="AK30" s="1155" t="s">
        <v>4600</v>
      </c>
      <c r="AL30" s="2193" t="str">
        <f t="shared" ref="AL30:AL33" si="6">$CB30</f>
        <v xml:space="preserve">* El número de Pueblos Originarios no puede superar el Total.  </v>
      </c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CB30" s="4174" t="str">
        <f t="shared" ref="CB30:CB33" si="7">IF(AND($D30&lt;&gt;0,AK30=""),"* No olvide ingresar la columna Pueblos Originarios, digite CERO si no tiene.  ",IF(AK30&gt;$D30,"* El número de Pueblos Originarios no puede superar el Total.  ",""))</f>
        <v xml:space="preserve">* El número de Pueblos Originarios no puede superar el Total.  </v>
      </c>
      <c r="CC30" s="2194"/>
      <c r="CD30" s="2194"/>
      <c r="CE30" s="2194"/>
      <c r="CF30" s="6"/>
      <c r="CG30" s="6"/>
      <c r="CH30" s="6"/>
      <c r="CI30" s="6"/>
      <c r="CJ30" s="6"/>
      <c r="CK30" s="6"/>
      <c r="CL30" s="6"/>
      <c r="CM30" s="55">
        <f t="shared" ref="CM30:CM33" si="8">IF(AND($D30&lt;&gt;0,AK30=""),1,IF(AK30&gt;$D30,1,0))</f>
        <v>1</v>
      </c>
    </row>
    <row r="31" spans="1:91" x14ac:dyDescent="0.25">
      <c r="A31" s="5617">
        <v>34000008</v>
      </c>
      <c r="B31" s="7945"/>
      <c r="C31" s="5352" t="s">
        <v>4229</v>
      </c>
      <c r="D31" s="937" t="s">
        <v>4567</v>
      </c>
      <c r="E31" s="171" t="s">
        <v>4568</v>
      </c>
      <c r="F31" s="204" t="s">
        <v>4569</v>
      </c>
      <c r="G31" s="940" t="s">
        <v>4570</v>
      </c>
      <c r="H31" s="941" t="s">
        <v>4571</v>
      </c>
      <c r="I31" s="940" t="s">
        <v>4572</v>
      </c>
      <c r="J31" s="942" t="s">
        <v>4573</v>
      </c>
      <c r="K31" s="943" t="s">
        <v>4574</v>
      </c>
      <c r="L31" s="944" t="s">
        <v>4575</v>
      </c>
      <c r="M31" s="940" t="s">
        <v>4576</v>
      </c>
      <c r="N31" s="942" t="s">
        <v>4577</v>
      </c>
      <c r="O31" s="940" t="s">
        <v>4578</v>
      </c>
      <c r="P31" s="942" t="s">
        <v>4579</v>
      </c>
      <c r="Q31" s="940" t="s">
        <v>4580</v>
      </c>
      <c r="R31" s="942" t="s">
        <v>4581</v>
      </c>
      <c r="S31" s="940" t="s">
        <v>4582</v>
      </c>
      <c r="T31" s="942" t="s">
        <v>4583</v>
      </c>
      <c r="U31" s="940" t="s">
        <v>4584</v>
      </c>
      <c r="V31" s="946" t="s">
        <v>4585</v>
      </c>
      <c r="W31" s="943" t="s">
        <v>4586</v>
      </c>
      <c r="X31" s="942" t="s">
        <v>4587</v>
      </c>
      <c r="Y31" s="940" t="s">
        <v>4588</v>
      </c>
      <c r="Z31" s="948" t="s">
        <v>4589</v>
      </c>
      <c r="AA31" s="948" t="s">
        <v>4590</v>
      </c>
      <c r="AB31" s="940" t="s">
        <v>4591</v>
      </c>
      <c r="AC31" s="948" t="s">
        <v>4592</v>
      </c>
      <c r="AD31" s="948" t="s">
        <v>4593</v>
      </c>
      <c r="AE31" s="940" t="s">
        <v>4594</v>
      </c>
      <c r="AF31" s="948" t="s">
        <v>4595</v>
      </c>
      <c r="AG31" s="948" t="s">
        <v>4596</v>
      </c>
      <c r="AH31" s="940" t="s">
        <v>4597</v>
      </c>
      <c r="AI31" s="948" t="s">
        <v>4598</v>
      </c>
      <c r="AJ31" s="946" t="s">
        <v>4599</v>
      </c>
      <c r="AK31" s="1155" t="s">
        <v>4600</v>
      </c>
      <c r="AL31" s="2193" t="str">
        <f t="shared" si="6"/>
        <v xml:space="preserve">* El número de Pueblos Originarios no puede superar el Total.  </v>
      </c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CB31" s="4174" t="str">
        <f t="shared" si="7"/>
        <v xml:space="preserve">* El número de Pueblos Originarios no puede superar el Total.  </v>
      </c>
      <c r="CC31" s="2194"/>
      <c r="CD31" s="2194"/>
      <c r="CE31" s="2194"/>
      <c r="CF31" s="6"/>
      <c r="CG31" s="6"/>
      <c r="CH31" s="6"/>
      <c r="CI31" s="6"/>
      <c r="CJ31" s="6"/>
      <c r="CK31" s="6"/>
      <c r="CL31" s="6"/>
      <c r="CM31" s="55">
        <f t="shared" si="8"/>
        <v>1</v>
      </c>
    </row>
    <row r="32" spans="1:91" x14ac:dyDescent="0.25">
      <c r="A32" s="5617">
        <v>34000009</v>
      </c>
      <c r="B32" s="7945"/>
      <c r="C32" s="5353" t="s">
        <v>4230</v>
      </c>
      <c r="D32" s="1020" t="s">
        <v>4567</v>
      </c>
      <c r="E32" s="1143" t="s">
        <v>4568</v>
      </c>
      <c r="F32" s="413" t="s">
        <v>4569</v>
      </c>
      <c r="G32" s="964" t="s">
        <v>4570</v>
      </c>
      <c r="H32" s="854" t="s">
        <v>4571</v>
      </c>
      <c r="I32" s="964" t="s">
        <v>4572</v>
      </c>
      <c r="J32" s="965" t="s">
        <v>4573</v>
      </c>
      <c r="K32" s="966" t="s">
        <v>4574</v>
      </c>
      <c r="L32" s="966" t="s">
        <v>4575</v>
      </c>
      <c r="M32" s="964" t="s">
        <v>4576</v>
      </c>
      <c r="N32" s="965" t="s">
        <v>4577</v>
      </c>
      <c r="O32" s="964" t="s">
        <v>4578</v>
      </c>
      <c r="P32" s="965" t="s">
        <v>4579</v>
      </c>
      <c r="Q32" s="964" t="s">
        <v>4580</v>
      </c>
      <c r="R32" s="965" t="s">
        <v>4581</v>
      </c>
      <c r="S32" s="964" t="s">
        <v>4582</v>
      </c>
      <c r="T32" s="965" t="s">
        <v>4583</v>
      </c>
      <c r="U32" s="964" t="s">
        <v>4584</v>
      </c>
      <c r="V32" s="969" t="s">
        <v>4585</v>
      </c>
      <c r="W32" s="966" t="s">
        <v>4586</v>
      </c>
      <c r="X32" s="965" t="s">
        <v>4587</v>
      </c>
      <c r="Y32" s="212" t="s">
        <v>4588</v>
      </c>
      <c r="Z32" s="993" t="s">
        <v>4589</v>
      </c>
      <c r="AA32" s="993" t="s">
        <v>4590</v>
      </c>
      <c r="AB32" s="212" t="s">
        <v>4591</v>
      </c>
      <c r="AC32" s="993" t="s">
        <v>4592</v>
      </c>
      <c r="AD32" s="993" t="s">
        <v>4593</v>
      </c>
      <c r="AE32" s="212" t="s">
        <v>4594</v>
      </c>
      <c r="AF32" s="993" t="s">
        <v>4595</v>
      </c>
      <c r="AG32" s="993" t="s">
        <v>4596</v>
      </c>
      <c r="AH32" s="212" t="s">
        <v>4597</v>
      </c>
      <c r="AI32" s="993" t="s">
        <v>4598</v>
      </c>
      <c r="AJ32" s="2410" t="s">
        <v>4599</v>
      </c>
      <c r="AK32" s="3444" t="s">
        <v>4600</v>
      </c>
      <c r="AL32" s="2193" t="str">
        <f t="shared" si="6"/>
        <v xml:space="preserve">* El número de Pueblos Originarios no puede superar el Total.  </v>
      </c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CB32" s="4174" t="str">
        <f t="shared" si="7"/>
        <v xml:space="preserve">* El número de Pueblos Originarios no puede superar el Total.  </v>
      </c>
      <c r="CC32" s="2194"/>
      <c r="CD32" s="2194"/>
      <c r="CE32" s="2194"/>
      <c r="CF32" s="6"/>
      <c r="CG32" s="6"/>
      <c r="CH32" s="6"/>
      <c r="CI32" s="6"/>
      <c r="CJ32" s="6"/>
      <c r="CK32" s="6"/>
      <c r="CL32" s="6"/>
      <c r="CM32" s="55">
        <f t="shared" si="8"/>
        <v>1</v>
      </c>
    </row>
    <row r="33" spans="1:91" x14ac:dyDescent="0.25">
      <c r="A33" s="5617">
        <v>34000010</v>
      </c>
      <c r="B33" s="7945"/>
      <c r="C33" s="5354" t="s">
        <v>4231</v>
      </c>
      <c r="D33" s="970">
        <f>SUM(E33,F33)</f>
        <v>0</v>
      </c>
      <c r="E33" s="4917">
        <f t="shared" ref="E33:F50" si="9">SUM(G33,I33,K33,M33,O33,Q33,S33,U33)</f>
        <v>0</v>
      </c>
      <c r="F33" s="28">
        <f t="shared" si="9"/>
        <v>0</v>
      </c>
      <c r="G33" s="326"/>
      <c r="H33" s="142"/>
      <c r="I33" s="326"/>
      <c r="J33" s="882"/>
      <c r="K33" s="44"/>
      <c r="L33" s="44"/>
      <c r="M33" s="326"/>
      <c r="N33" s="882"/>
      <c r="O33" s="326"/>
      <c r="P33" s="882"/>
      <c r="Q33" s="326"/>
      <c r="R33" s="882"/>
      <c r="S33" s="326"/>
      <c r="T33" s="882"/>
      <c r="U33" s="326"/>
      <c r="V33" s="1001"/>
      <c r="W33" s="5355"/>
      <c r="X33" s="5356"/>
      <c r="Y33" s="5357"/>
      <c r="Z33" s="5358"/>
      <c r="AA33" s="5358"/>
      <c r="AB33" s="5357"/>
      <c r="AC33" s="5358"/>
      <c r="AD33" s="5356"/>
      <c r="AE33" s="5359"/>
      <c r="AF33" s="5358"/>
      <c r="AG33" s="5356"/>
      <c r="AH33" s="5359"/>
      <c r="AI33" s="5358"/>
      <c r="AJ33" s="5360"/>
      <c r="AK33" s="5361"/>
      <c r="AL33" s="2193" t="str">
        <f t="shared" si="6"/>
        <v/>
      </c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CB33" s="4174" t="str">
        <f t="shared" si="7"/>
        <v/>
      </c>
      <c r="CC33" s="2194"/>
      <c r="CD33" s="2194"/>
      <c r="CE33" s="2194"/>
      <c r="CF33" s="6"/>
      <c r="CG33" s="6"/>
      <c r="CH33" s="6"/>
      <c r="CI33" s="6"/>
      <c r="CJ33" s="6"/>
      <c r="CK33" s="6"/>
      <c r="CL33" s="6"/>
      <c r="CM33" s="55">
        <f t="shared" si="8"/>
        <v>0</v>
      </c>
    </row>
    <row r="34" spans="1:91" x14ac:dyDescent="0.25">
      <c r="A34" s="5828"/>
      <c r="B34" s="6814" t="s">
        <v>77</v>
      </c>
      <c r="C34" s="6814"/>
      <c r="D34" s="5362">
        <f>SUM(D29:D33)</f>
        <v>0</v>
      </c>
      <c r="E34" s="5363">
        <f>SUM(G34,I34,K34,M34,O34,Q34,S34,U34)</f>
        <v>0</v>
      </c>
      <c r="F34" s="5364">
        <f>SUM(H34,J34,L34,N34,P34,R34,T34,V34)</f>
        <v>0</v>
      </c>
      <c r="G34" s="5365">
        <f>SUM(G29:G33)</f>
        <v>0</v>
      </c>
      <c r="H34" s="5366">
        <f t="shared" ref="H34:V34" si="10">SUM(H29:H33)</f>
        <v>0</v>
      </c>
      <c r="I34" s="5365">
        <f t="shared" si="10"/>
        <v>0</v>
      </c>
      <c r="J34" s="5367">
        <f t="shared" si="10"/>
        <v>0</v>
      </c>
      <c r="K34" s="5366">
        <f t="shared" si="10"/>
        <v>0</v>
      </c>
      <c r="L34" s="5366">
        <f t="shared" si="10"/>
        <v>0</v>
      </c>
      <c r="M34" s="5365">
        <f t="shared" si="10"/>
        <v>0</v>
      </c>
      <c r="N34" s="5366">
        <f t="shared" si="10"/>
        <v>0</v>
      </c>
      <c r="O34" s="5365">
        <f t="shared" si="10"/>
        <v>0</v>
      </c>
      <c r="P34" s="5366">
        <f t="shared" si="10"/>
        <v>0</v>
      </c>
      <c r="Q34" s="5365">
        <f t="shared" si="10"/>
        <v>0</v>
      </c>
      <c r="R34" s="5366">
        <f t="shared" si="10"/>
        <v>0</v>
      </c>
      <c r="S34" s="5365">
        <f t="shared" si="10"/>
        <v>0</v>
      </c>
      <c r="T34" s="5366">
        <f t="shared" si="10"/>
        <v>0</v>
      </c>
      <c r="U34" s="5365">
        <f t="shared" si="10"/>
        <v>0</v>
      </c>
      <c r="V34" s="5368">
        <f t="shared" si="10"/>
        <v>0</v>
      </c>
      <c r="W34" s="5369"/>
      <c r="X34" s="5370"/>
      <c r="Y34" s="5369"/>
      <c r="Z34" s="5370"/>
      <c r="AA34" s="5371"/>
      <c r="AB34" s="5370"/>
      <c r="AC34" s="5370"/>
      <c r="AD34" s="5371"/>
      <c r="AE34" s="5370"/>
      <c r="AF34" s="5370"/>
      <c r="AG34" s="5371"/>
      <c r="AH34" s="5370"/>
      <c r="AI34" s="5370"/>
      <c r="AJ34" s="5372"/>
      <c r="AK34" s="5373">
        <f>SUM(AK29:AK33)</f>
        <v>0</v>
      </c>
      <c r="AW34" s="3211"/>
      <c r="AX34" s="3211"/>
      <c r="AY34" s="3211"/>
      <c r="AZ34" s="3211"/>
      <c r="BB34" s="3211"/>
      <c r="BC34" s="3211"/>
      <c r="BD34" s="3211"/>
      <c r="BE34" s="3211"/>
      <c r="BF34" s="3211"/>
      <c r="BG34" s="3211"/>
      <c r="BH34" s="3211"/>
      <c r="BI34" s="3211"/>
      <c r="BJ34" s="3211"/>
      <c r="BK34" s="3211"/>
      <c r="BL34" s="3211"/>
      <c r="BM34" s="3211"/>
      <c r="BN34" s="3211"/>
      <c r="BO34" s="3211"/>
      <c r="BP34" s="3211"/>
      <c r="BQ34" s="3211"/>
      <c r="BR34" s="3211"/>
      <c r="BS34" s="3211"/>
      <c r="BT34" s="3211"/>
      <c r="BU34" s="3211"/>
      <c r="BV34" s="3211"/>
      <c r="BW34" s="3211"/>
      <c r="BX34" s="3211"/>
      <c r="BY34" s="3211"/>
      <c r="BZ34" s="3211"/>
      <c r="CA34" s="3211"/>
      <c r="CB34" s="5337"/>
      <c r="CF34" s="3211"/>
      <c r="CG34" s="3211"/>
      <c r="CH34" s="3211"/>
      <c r="CI34" s="3211"/>
      <c r="CJ34" s="3211"/>
      <c r="CK34" s="3211"/>
      <c r="CL34" s="3211"/>
      <c r="CM34" s="3211"/>
    </row>
    <row r="35" spans="1:91" x14ac:dyDescent="0.25">
      <c r="A35" s="5617">
        <v>34000011</v>
      </c>
      <c r="B35" s="7937" t="s">
        <v>4232</v>
      </c>
      <c r="C35" s="5312" t="s">
        <v>4229</v>
      </c>
      <c r="D35" s="5350" t="s">
        <v>4567</v>
      </c>
      <c r="E35" s="171" t="s">
        <v>4568</v>
      </c>
      <c r="F35" s="204" t="s">
        <v>4569</v>
      </c>
      <c r="G35" s="940" t="s">
        <v>4570</v>
      </c>
      <c r="H35" s="941" t="s">
        <v>4571</v>
      </c>
      <c r="I35" s="940" t="s">
        <v>4572</v>
      </c>
      <c r="J35" s="941" t="s">
        <v>4573</v>
      </c>
      <c r="K35" s="943" t="s">
        <v>4574</v>
      </c>
      <c r="L35" s="941" t="s">
        <v>4575</v>
      </c>
      <c r="M35" s="940" t="s">
        <v>4576</v>
      </c>
      <c r="N35" s="941" t="s">
        <v>4577</v>
      </c>
      <c r="O35" s="940" t="s">
        <v>4578</v>
      </c>
      <c r="P35" s="941" t="s">
        <v>4579</v>
      </c>
      <c r="Q35" s="940" t="s">
        <v>4580</v>
      </c>
      <c r="R35" s="941" t="s">
        <v>4581</v>
      </c>
      <c r="S35" s="940" t="s">
        <v>4582</v>
      </c>
      <c r="T35" s="941" t="s">
        <v>4583</v>
      </c>
      <c r="U35" s="940" t="s">
        <v>4584</v>
      </c>
      <c r="V35" s="5374" t="s">
        <v>4585</v>
      </c>
      <c r="W35" s="44" t="s">
        <v>4586</v>
      </c>
      <c r="X35" s="142" t="s">
        <v>4587</v>
      </c>
      <c r="Y35" s="1861" t="s">
        <v>4588</v>
      </c>
      <c r="Z35" s="935" t="s">
        <v>4589</v>
      </c>
      <c r="AA35" s="935" t="s">
        <v>4590</v>
      </c>
      <c r="AB35" s="1861" t="s">
        <v>4591</v>
      </c>
      <c r="AC35" s="935" t="s">
        <v>4592</v>
      </c>
      <c r="AD35" s="935" t="s">
        <v>4593</v>
      </c>
      <c r="AE35" s="1861" t="s">
        <v>4594</v>
      </c>
      <c r="AF35" s="935" t="s">
        <v>4595</v>
      </c>
      <c r="AG35" s="867" t="s">
        <v>4596</v>
      </c>
      <c r="AH35" s="5375" t="s">
        <v>4597</v>
      </c>
      <c r="AI35" s="935" t="s">
        <v>4598</v>
      </c>
      <c r="AJ35" s="869" t="s">
        <v>4599</v>
      </c>
      <c r="AK35" s="5351" t="s">
        <v>4600</v>
      </c>
      <c r="AL35" s="2193" t="str">
        <f t="shared" ref="AL35:AL39" si="11">$CB35</f>
        <v xml:space="preserve">* El número de Pueblos Originarios no puede superar el Total.  </v>
      </c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CB35" s="4174" t="str">
        <f t="shared" ref="CB35:CB39" si="12">IF(AND($D35&lt;&gt;0,AK35=""),"* No olvide ingresar la columna Pueblos Originarios, digite CERO si no tiene.  ",IF(AK35&gt;$D35,"* El número de Pueblos Originarios no puede superar el Total.  ",""))</f>
        <v xml:space="preserve">* El número de Pueblos Originarios no puede superar el Total.  </v>
      </c>
      <c r="CC35" s="2194"/>
      <c r="CD35" s="2194"/>
      <c r="CE35" s="2194"/>
      <c r="CF35" s="6"/>
      <c r="CG35" s="6"/>
      <c r="CH35" s="6"/>
      <c r="CI35" s="6"/>
      <c r="CJ35" s="6"/>
      <c r="CK35" s="6"/>
      <c r="CL35" s="6"/>
      <c r="CM35" s="55">
        <f t="shared" ref="CM35:CM39" si="13">IF(AND($D35&lt;&gt;0,AK35=""),1,IF(AK35&gt;$D35,1,0))</f>
        <v>1</v>
      </c>
    </row>
    <row r="36" spans="1:91" x14ac:dyDescent="0.25">
      <c r="A36" s="5617">
        <v>34000012</v>
      </c>
      <c r="B36" s="7937"/>
      <c r="C36" s="5319" t="s">
        <v>4233</v>
      </c>
      <c r="D36" s="937" t="s">
        <v>4567</v>
      </c>
      <c r="E36" s="171" t="s">
        <v>4568</v>
      </c>
      <c r="F36" s="204" t="s">
        <v>4569</v>
      </c>
      <c r="G36" s="940" t="s">
        <v>4570</v>
      </c>
      <c r="H36" s="941" t="s">
        <v>4571</v>
      </c>
      <c r="I36" s="940" t="s">
        <v>4572</v>
      </c>
      <c r="J36" s="941" t="s">
        <v>4573</v>
      </c>
      <c r="K36" s="943" t="s">
        <v>4574</v>
      </c>
      <c r="L36" s="941" t="s">
        <v>4575</v>
      </c>
      <c r="M36" s="940" t="s">
        <v>4576</v>
      </c>
      <c r="N36" s="941" t="s">
        <v>4577</v>
      </c>
      <c r="O36" s="940" t="s">
        <v>4578</v>
      </c>
      <c r="P36" s="941" t="s">
        <v>4579</v>
      </c>
      <c r="Q36" s="940" t="s">
        <v>4580</v>
      </c>
      <c r="R36" s="941" t="s">
        <v>4581</v>
      </c>
      <c r="S36" s="940" t="s">
        <v>4582</v>
      </c>
      <c r="T36" s="941" t="s">
        <v>4583</v>
      </c>
      <c r="U36" s="940" t="s">
        <v>4584</v>
      </c>
      <c r="V36" s="5374" t="s">
        <v>4585</v>
      </c>
      <c r="W36" s="943" t="s">
        <v>4586</v>
      </c>
      <c r="X36" s="941" t="s">
        <v>4587</v>
      </c>
      <c r="Y36" s="940" t="s">
        <v>4588</v>
      </c>
      <c r="Z36" s="948" t="s">
        <v>4589</v>
      </c>
      <c r="AA36" s="948" t="s">
        <v>4590</v>
      </c>
      <c r="AB36" s="940" t="s">
        <v>4591</v>
      </c>
      <c r="AC36" s="948" t="s">
        <v>4592</v>
      </c>
      <c r="AD36" s="948" t="s">
        <v>4593</v>
      </c>
      <c r="AE36" s="940" t="s">
        <v>4594</v>
      </c>
      <c r="AF36" s="948" t="s">
        <v>4595</v>
      </c>
      <c r="AG36" s="948" t="s">
        <v>4596</v>
      </c>
      <c r="AH36" s="940" t="s">
        <v>4597</v>
      </c>
      <c r="AI36" s="948" t="s">
        <v>4598</v>
      </c>
      <c r="AJ36" s="946" t="s">
        <v>4599</v>
      </c>
      <c r="AK36" s="1155" t="s">
        <v>4600</v>
      </c>
      <c r="AL36" s="2193" t="str">
        <f t="shared" si="11"/>
        <v xml:space="preserve">* El número de Pueblos Originarios no puede superar el Total.  </v>
      </c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CB36" s="4174" t="str">
        <f t="shared" si="12"/>
        <v xml:space="preserve">* El número de Pueblos Originarios no puede superar el Total.  </v>
      </c>
      <c r="CC36" s="2194"/>
      <c r="CD36" s="2194"/>
      <c r="CE36" s="2194"/>
      <c r="CF36" s="6"/>
      <c r="CG36" s="6"/>
      <c r="CH36" s="6"/>
      <c r="CI36" s="6"/>
      <c r="CJ36" s="6"/>
      <c r="CK36" s="6"/>
      <c r="CL36" s="6"/>
      <c r="CM36" s="55">
        <f t="shared" si="13"/>
        <v>1</v>
      </c>
    </row>
    <row r="37" spans="1:91" x14ac:dyDescent="0.25">
      <c r="A37" s="5617">
        <v>34000013</v>
      </c>
      <c r="B37" s="7937"/>
      <c r="C37" s="5319" t="s">
        <v>4234</v>
      </c>
      <c r="D37" s="937" t="s">
        <v>4567</v>
      </c>
      <c r="E37" s="171" t="s">
        <v>4568</v>
      </c>
      <c r="F37" s="204" t="s">
        <v>4569</v>
      </c>
      <c r="G37" s="940" t="s">
        <v>4570</v>
      </c>
      <c r="H37" s="941" t="s">
        <v>4571</v>
      </c>
      <c r="I37" s="940" t="s">
        <v>4572</v>
      </c>
      <c r="J37" s="941" t="s">
        <v>4573</v>
      </c>
      <c r="K37" s="943" t="s">
        <v>4574</v>
      </c>
      <c r="L37" s="941" t="s">
        <v>4575</v>
      </c>
      <c r="M37" s="940" t="s">
        <v>4576</v>
      </c>
      <c r="N37" s="941" t="s">
        <v>4577</v>
      </c>
      <c r="O37" s="940" t="s">
        <v>4578</v>
      </c>
      <c r="P37" s="941" t="s">
        <v>4579</v>
      </c>
      <c r="Q37" s="940" t="s">
        <v>4580</v>
      </c>
      <c r="R37" s="941" t="s">
        <v>4581</v>
      </c>
      <c r="S37" s="940" t="s">
        <v>4582</v>
      </c>
      <c r="T37" s="941" t="s">
        <v>4583</v>
      </c>
      <c r="U37" s="940" t="s">
        <v>4584</v>
      </c>
      <c r="V37" s="5374" t="s">
        <v>4585</v>
      </c>
      <c r="W37" s="943" t="s">
        <v>4586</v>
      </c>
      <c r="X37" s="941" t="s">
        <v>4587</v>
      </c>
      <c r="Y37" s="940" t="s">
        <v>4588</v>
      </c>
      <c r="Z37" s="948" t="s">
        <v>4589</v>
      </c>
      <c r="AA37" s="948" t="s">
        <v>4590</v>
      </c>
      <c r="AB37" s="940" t="s">
        <v>4591</v>
      </c>
      <c r="AC37" s="948" t="s">
        <v>4592</v>
      </c>
      <c r="AD37" s="948" t="s">
        <v>4593</v>
      </c>
      <c r="AE37" s="940" t="s">
        <v>4594</v>
      </c>
      <c r="AF37" s="948" t="s">
        <v>4595</v>
      </c>
      <c r="AG37" s="948" t="s">
        <v>4596</v>
      </c>
      <c r="AH37" s="940" t="s">
        <v>4597</v>
      </c>
      <c r="AI37" s="948" t="s">
        <v>4598</v>
      </c>
      <c r="AJ37" s="946" t="s">
        <v>4599</v>
      </c>
      <c r="AK37" s="1155" t="s">
        <v>4600</v>
      </c>
      <c r="AL37" s="2193" t="str">
        <f t="shared" si="11"/>
        <v xml:space="preserve">* El número de Pueblos Originarios no puede superar el Total.  </v>
      </c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CB37" s="4174" t="str">
        <f t="shared" si="12"/>
        <v xml:space="preserve">* El número de Pueblos Originarios no puede superar el Total.  </v>
      </c>
      <c r="CC37" s="2194"/>
      <c r="CD37" s="2194"/>
      <c r="CE37" s="2194"/>
      <c r="CF37" s="6"/>
      <c r="CG37" s="6"/>
      <c r="CH37" s="6"/>
      <c r="CI37" s="6"/>
      <c r="CJ37" s="6"/>
      <c r="CK37" s="6"/>
      <c r="CL37" s="6"/>
      <c r="CM37" s="55">
        <f t="shared" si="13"/>
        <v>1</v>
      </c>
    </row>
    <row r="38" spans="1:91" x14ac:dyDescent="0.25">
      <c r="A38" s="5617">
        <v>34000014</v>
      </c>
      <c r="B38" s="7937"/>
      <c r="C38" s="5319" t="s">
        <v>1035</v>
      </c>
      <c r="D38" s="937" t="s">
        <v>4567</v>
      </c>
      <c r="E38" s="171" t="s">
        <v>4568</v>
      </c>
      <c r="F38" s="204" t="s">
        <v>4569</v>
      </c>
      <c r="G38" s="940" t="s">
        <v>4570</v>
      </c>
      <c r="H38" s="941" t="s">
        <v>4571</v>
      </c>
      <c r="I38" s="940" t="s">
        <v>4572</v>
      </c>
      <c r="J38" s="941" t="s">
        <v>4573</v>
      </c>
      <c r="K38" s="943" t="s">
        <v>4574</v>
      </c>
      <c r="L38" s="941" t="s">
        <v>4575</v>
      </c>
      <c r="M38" s="940" t="s">
        <v>4576</v>
      </c>
      <c r="N38" s="941" t="s">
        <v>4577</v>
      </c>
      <c r="O38" s="940" t="s">
        <v>4578</v>
      </c>
      <c r="P38" s="941" t="s">
        <v>4579</v>
      </c>
      <c r="Q38" s="940" t="s">
        <v>4580</v>
      </c>
      <c r="R38" s="941" t="s">
        <v>4581</v>
      </c>
      <c r="S38" s="940" t="s">
        <v>4582</v>
      </c>
      <c r="T38" s="941" t="s">
        <v>4583</v>
      </c>
      <c r="U38" s="940" t="s">
        <v>4584</v>
      </c>
      <c r="V38" s="5374" t="s">
        <v>4585</v>
      </c>
      <c r="W38" s="943" t="s">
        <v>4586</v>
      </c>
      <c r="X38" s="941" t="s">
        <v>4587</v>
      </c>
      <c r="Y38" s="940" t="s">
        <v>4588</v>
      </c>
      <c r="Z38" s="948" t="s">
        <v>4589</v>
      </c>
      <c r="AA38" s="948" t="s">
        <v>4590</v>
      </c>
      <c r="AB38" s="940" t="s">
        <v>4591</v>
      </c>
      <c r="AC38" s="948" t="s">
        <v>4592</v>
      </c>
      <c r="AD38" s="948" t="s">
        <v>4593</v>
      </c>
      <c r="AE38" s="940" t="s">
        <v>4594</v>
      </c>
      <c r="AF38" s="948" t="s">
        <v>4595</v>
      </c>
      <c r="AG38" s="948" t="s">
        <v>4596</v>
      </c>
      <c r="AH38" s="212" t="s">
        <v>4597</v>
      </c>
      <c r="AI38" s="948" t="s">
        <v>4598</v>
      </c>
      <c r="AJ38" s="946" t="s">
        <v>4599</v>
      </c>
      <c r="AK38" s="3444" t="s">
        <v>4600</v>
      </c>
      <c r="AL38" s="2193" t="str">
        <f t="shared" si="11"/>
        <v xml:space="preserve">* El número de Pueblos Originarios no puede superar el Total.  </v>
      </c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CB38" s="4174" t="str">
        <f t="shared" si="12"/>
        <v xml:space="preserve">* El número de Pueblos Originarios no puede superar el Total.  </v>
      </c>
      <c r="CC38" s="2194"/>
      <c r="CD38" s="2194"/>
      <c r="CE38" s="2194"/>
      <c r="CF38" s="6"/>
      <c r="CG38" s="6"/>
      <c r="CH38" s="6"/>
      <c r="CI38" s="6"/>
      <c r="CJ38" s="6"/>
      <c r="CK38" s="6"/>
      <c r="CL38" s="6"/>
      <c r="CM38" s="55">
        <f t="shared" si="13"/>
        <v>1</v>
      </c>
    </row>
    <row r="39" spans="1:91" x14ac:dyDescent="0.25">
      <c r="A39" s="5617">
        <v>34000015</v>
      </c>
      <c r="B39" s="7937"/>
      <c r="C39" s="5319" t="s">
        <v>1034</v>
      </c>
      <c r="D39" s="1020" t="s">
        <v>4567</v>
      </c>
      <c r="E39" s="4917" t="s">
        <v>4568</v>
      </c>
      <c r="F39" s="28" t="s">
        <v>4569</v>
      </c>
      <c r="G39" s="940" t="s">
        <v>4570</v>
      </c>
      <c r="H39" s="941" t="s">
        <v>4571</v>
      </c>
      <c r="I39" s="940" t="s">
        <v>4572</v>
      </c>
      <c r="J39" s="941" t="s">
        <v>4573</v>
      </c>
      <c r="K39" s="943" t="s">
        <v>4574</v>
      </c>
      <c r="L39" s="941" t="s">
        <v>4575</v>
      </c>
      <c r="M39" s="940" t="s">
        <v>4576</v>
      </c>
      <c r="N39" s="941" t="s">
        <v>4577</v>
      </c>
      <c r="O39" s="940" t="s">
        <v>4578</v>
      </c>
      <c r="P39" s="941" t="s">
        <v>4579</v>
      </c>
      <c r="Q39" s="940" t="s">
        <v>4580</v>
      </c>
      <c r="R39" s="941" t="s">
        <v>4581</v>
      </c>
      <c r="S39" s="940" t="s">
        <v>4582</v>
      </c>
      <c r="T39" s="941" t="s">
        <v>4583</v>
      </c>
      <c r="U39" s="940" t="s">
        <v>4584</v>
      </c>
      <c r="V39" s="946" t="s">
        <v>4585</v>
      </c>
      <c r="W39" s="943" t="s">
        <v>4586</v>
      </c>
      <c r="X39" s="941" t="s">
        <v>4587</v>
      </c>
      <c r="Y39" s="940" t="s">
        <v>4588</v>
      </c>
      <c r="Z39" s="948" t="s">
        <v>4589</v>
      </c>
      <c r="AA39" s="948" t="s">
        <v>4590</v>
      </c>
      <c r="AB39" s="940" t="s">
        <v>4591</v>
      </c>
      <c r="AC39" s="948" t="s">
        <v>4592</v>
      </c>
      <c r="AD39" s="948" t="s">
        <v>4593</v>
      </c>
      <c r="AE39" s="940" t="s">
        <v>4594</v>
      </c>
      <c r="AF39" s="948" t="s">
        <v>4595</v>
      </c>
      <c r="AG39" s="948" t="s">
        <v>4596</v>
      </c>
      <c r="AH39" s="964" t="s">
        <v>4597</v>
      </c>
      <c r="AI39" s="1014" t="s">
        <v>4598</v>
      </c>
      <c r="AJ39" s="1001" t="s">
        <v>4599</v>
      </c>
      <c r="AK39" s="1157" t="s">
        <v>4600</v>
      </c>
      <c r="AL39" s="2193" t="str">
        <f t="shared" si="11"/>
        <v xml:space="preserve">* El número de Pueblos Originarios no puede superar el Total.  </v>
      </c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CB39" s="4174" t="str">
        <f t="shared" si="12"/>
        <v xml:space="preserve">* El número de Pueblos Originarios no puede superar el Total.  </v>
      </c>
      <c r="CC39" s="2194"/>
      <c r="CD39" s="2194"/>
      <c r="CE39" s="2194"/>
      <c r="CF39" s="6"/>
      <c r="CG39" s="6"/>
      <c r="CH39" s="6"/>
      <c r="CI39" s="6"/>
      <c r="CJ39" s="6"/>
      <c r="CK39" s="6"/>
      <c r="CL39" s="6"/>
      <c r="CM39" s="55">
        <f t="shared" si="13"/>
        <v>1</v>
      </c>
    </row>
    <row r="40" spans="1:91" x14ac:dyDescent="0.25">
      <c r="A40" s="5828"/>
      <c r="B40" s="6814" t="s">
        <v>77</v>
      </c>
      <c r="C40" s="6814"/>
      <c r="D40" s="5362">
        <f>SUM(D35:D39)</f>
        <v>0</v>
      </c>
      <c r="E40" s="5363">
        <f t="shared" si="9"/>
        <v>0</v>
      </c>
      <c r="F40" s="5364">
        <f t="shared" si="9"/>
        <v>0</v>
      </c>
      <c r="G40" s="5365">
        <f t="shared" ref="G40:V40" si="14">SUM(G35:G39)</f>
        <v>0</v>
      </c>
      <c r="H40" s="5366">
        <f t="shared" si="14"/>
        <v>0</v>
      </c>
      <c r="I40" s="5365">
        <f t="shared" si="14"/>
        <v>0</v>
      </c>
      <c r="J40" s="5367">
        <f t="shared" si="14"/>
        <v>0</v>
      </c>
      <c r="K40" s="5366">
        <f t="shared" si="14"/>
        <v>0</v>
      </c>
      <c r="L40" s="5366">
        <f t="shared" si="14"/>
        <v>0</v>
      </c>
      <c r="M40" s="5365">
        <f t="shared" si="14"/>
        <v>0</v>
      </c>
      <c r="N40" s="5366">
        <f t="shared" si="14"/>
        <v>0</v>
      </c>
      <c r="O40" s="5365">
        <f t="shared" si="14"/>
        <v>0</v>
      </c>
      <c r="P40" s="5366">
        <f t="shared" si="14"/>
        <v>0</v>
      </c>
      <c r="Q40" s="5365">
        <f t="shared" si="14"/>
        <v>0</v>
      </c>
      <c r="R40" s="5366">
        <f>SUM(R35:R39)</f>
        <v>0</v>
      </c>
      <c r="S40" s="5365">
        <f>SUM(S35:S39)</f>
        <v>0</v>
      </c>
      <c r="T40" s="5366">
        <f t="shared" si="14"/>
        <v>0</v>
      </c>
      <c r="U40" s="5365">
        <f t="shared" si="14"/>
        <v>0</v>
      </c>
      <c r="V40" s="5368">
        <f t="shared" si="14"/>
        <v>0</v>
      </c>
      <c r="W40" s="5370"/>
      <c r="X40" s="5370"/>
      <c r="Y40" s="5369"/>
      <c r="Z40" s="5370"/>
      <c r="AA40" s="5371"/>
      <c r="AB40" s="5370"/>
      <c r="AC40" s="5370"/>
      <c r="AD40" s="5371"/>
      <c r="AE40" s="5370"/>
      <c r="AF40" s="5370"/>
      <c r="AG40" s="5371"/>
      <c r="AH40" s="5370"/>
      <c r="AI40" s="5370"/>
      <c r="AJ40" s="5371"/>
      <c r="AK40" s="5373">
        <f>SUM(AK35:AK39)</f>
        <v>0</v>
      </c>
      <c r="AW40" s="3211"/>
      <c r="AX40" s="3211"/>
      <c r="AY40" s="3211"/>
      <c r="AZ40" s="3211"/>
      <c r="BB40" s="3211"/>
      <c r="BC40" s="3211"/>
      <c r="BD40" s="3211"/>
      <c r="BE40" s="3211"/>
      <c r="BF40" s="3211"/>
      <c r="BG40" s="3211"/>
      <c r="BH40" s="3211"/>
      <c r="BI40" s="3211"/>
      <c r="BJ40" s="3211"/>
      <c r="BK40" s="3211"/>
      <c r="BL40" s="3211"/>
      <c r="BM40" s="3211"/>
      <c r="BX40" s="3211"/>
      <c r="BY40" s="3211"/>
      <c r="BZ40" s="3211"/>
      <c r="CA40" s="3211"/>
      <c r="CB40" s="5337"/>
      <c r="CF40" s="3211"/>
      <c r="CG40" s="3211"/>
      <c r="CH40" s="3211"/>
      <c r="CI40" s="3211"/>
      <c r="CJ40" s="3211"/>
      <c r="CK40" s="3211"/>
      <c r="CL40" s="3211"/>
      <c r="CM40" s="3211"/>
    </row>
    <row r="41" spans="1:91" x14ac:dyDescent="0.25">
      <c r="A41" s="5617">
        <v>34000016</v>
      </c>
      <c r="B41" s="7942" t="s">
        <v>4235</v>
      </c>
      <c r="C41" s="5312" t="s">
        <v>4229</v>
      </c>
      <c r="D41" s="937" t="s">
        <v>4567</v>
      </c>
      <c r="E41" s="171" t="s">
        <v>4568</v>
      </c>
      <c r="F41" s="204" t="s">
        <v>4569</v>
      </c>
      <c r="G41" s="940" t="s">
        <v>4570</v>
      </c>
      <c r="H41" s="941" t="s">
        <v>4571</v>
      </c>
      <c r="I41" s="940" t="s">
        <v>4572</v>
      </c>
      <c r="J41" s="941" t="s">
        <v>4573</v>
      </c>
      <c r="K41" s="943" t="s">
        <v>4574</v>
      </c>
      <c r="L41" s="941" t="s">
        <v>4575</v>
      </c>
      <c r="M41" s="940" t="s">
        <v>4576</v>
      </c>
      <c r="N41" s="941" t="s">
        <v>4577</v>
      </c>
      <c r="O41" s="940" t="s">
        <v>4578</v>
      </c>
      <c r="P41" s="941" t="s">
        <v>4579</v>
      </c>
      <c r="Q41" s="940" t="s">
        <v>4580</v>
      </c>
      <c r="R41" s="941" t="s">
        <v>4581</v>
      </c>
      <c r="S41" s="940" t="s">
        <v>4582</v>
      </c>
      <c r="T41" s="941" t="s">
        <v>4583</v>
      </c>
      <c r="U41" s="940" t="s">
        <v>4584</v>
      </c>
      <c r="V41" s="946" t="s">
        <v>4585</v>
      </c>
      <c r="W41" s="943" t="s">
        <v>4586</v>
      </c>
      <c r="X41" s="941" t="s">
        <v>4587</v>
      </c>
      <c r="Y41" s="1861" t="s">
        <v>4588</v>
      </c>
      <c r="Z41" s="935" t="s">
        <v>4589</v>
      </c>
      <c r="AA41" s="935" t="s">
        <v>4590</v>
      </c>
      <c r="AB41" s="1861" t="s">
        <v>4591</v>
      </c>
      <c r="AC41" s="935" t="s">
        <v>4592</v>
      </c>
      <c r="AD41" s="867" t="s">
        <v>4593</v>
      </c>
      <c r="AE41" s="5375" t="s">
        <v>4594</v>
      </c>
      <c r="AF41" s="935" t="s">
        <v>4595</v>
      </c>
      <c r="AG41" s="867" t="s">
        <v>4596</v>
      </c>
      <c r="AH41" s="5375" t="s">
        <v>4597</v>
      </c>
      <c r="AI41" s="935" t="s">
        <v>4598</v>
      </c>
      <c r="AJ41" s="869" t="s">
        <v>4599</v>
      </c>
      <c r="AK41" s="5351" t="s">
        <v>4600</v>
      </c>
      <c r="AL41" s="2193" t="str">
        <f t="shared" ref="AL41:AL45" si="15">$CB41</f>
        <v xml:space="preserve">* El número de Pueblos Originarios no puede superar el Total.  </v>
      </c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CB41" s="4174" t="str">
        <f t="shared" ref="CB41:CB45" si="16">IF(AND($D41&lt;&gt;0,AK41=""),"* No olvide ingresar la columna Pueblos Originarios, digite CERO si no tiene.  ",IF(AK41&gt;$D41,"* El número de Pueblos Originarios no puede superar el Total.  ",""))</f>
        <v xml:space="preserve">* El número de Pueblos Originarios no puede superar el Total.  </v>
      </c>
      <c r="CC41" s="2194"/>
      <c r="CD41" s="2194"/>
      <c r="CE41" s="2194"/>
      <c r="CF41" s="6"/>
      <c r="CG41" s="6"/>
      <c r="CH41" s="6"/>
      <c r="CI41" s="6"/>
      <c r="CJ41" s="6"/>
      <c r="CK41" s="6"/>
      <c r="CL41" s="6"/>
      <c r="CM41" s="55">
        <f t="shared" ref="CM41:CM45" si="17">IF(AND($D41&lt;&gt;0,AK41=""),1,IF(AK41&gt;$D41,1,0))</f>
        <v>1</v>
      </c>
    </row>
    <row r="42" spans="1:91" x14ac:dyDescent="0.25">
      <c r="A42" s="5617">
        <v>34000017</v>
      </c>
      <c r="B42" s="7942"/>
      <c r="C42" s="5319" t="s">
        <v>4233</v>
      </c>
      <c r="D42" s="937" t="s">
        <v>4567</v>
      </c>
      <c r="E42" s="171" t="s">
        <v>4568</v>
      </c>
      <c r="F42" s="204" t="s">
        <v>4569</v>
      </c>
      <c r="G42" s="940" t="s">
        <v>4570</v>
      </c>
      <c r="H42" s="941" t="s">
        <v>4571</v>
      </c>
      <c r="I42" s="940" t="s">
        <v>4572</v>
      </c>
      <c r="J42" s="941" t="s">
        <v>4573</v>
      </c>
      <c r="K42" s="943" t="s">
        <v>4574</v>
      </c>
      <c r="L42" s="941" t="s">
        <v>4575</v>
      </c>
      <c r="M42" s="940" t="s">
        <v>4576</v>
      </c>
      <c r="N42" s="941" t="s">
        <v>4577</v>
      </c>
      <c r="O42" s="940" t="s">
        <v>4578</v>
      </c>
      <c r="P42" s="941" t="s">
        <v>4579</v>
      </c>
      <c r="Q42" s="940" t="s">
        <v>4580</v>
      </c>
      <c r="R42" s="941" t="s">
        <v>4581</v>
      </c>
      <c r="S42" s="940" t="s">
        <v>4582</v>
      </c>
      <c r="T42" s="941" t="s">
        <v>4583</v>
      </c>
      <c r="U42" s="940" t="s">
        <v>4584</v>
      </c>
      <c r="V42" s="5374" t="s">
        <v>4585</v>
      </c>
      <c r="W42" s="943" t="s">
        <v>4586</v>
      </c>
      <c r="X42" s="941" t="s">
        <v>4587</v>
      </c>
      <c r="Y42" s="940" t="s">
        <v>4588</v>
      </c>
      <c r="Z42" s="948" t="s">
        <v>4589</v>
      </c>
      <c r="AA42" s="948" t="s">
        <v>4590</v>
      </c>
      <c r="AB42" s="940" t="s">
        <v>4591</v>
      </c>
      <c r="AC42" s="948" t="s">
        <v>4592</v>
      </c>
      <c r="AD42" s="942" t="s">
        <v>4593</v>
      </c>
      <c r="AE42" s="943" t="s">
        <v>4594</v>
      </c>
      <c r="AF42" s="948" t="s">
        <v>4595</v>
      </c>
      <c r="AG42" s="942" t="s">
        <v>4596</v>
      </c>
      <c r="AH42" s="943" t="s">
        <v>4597</v>
      </c>
      <c r="AI42" s="948" t="s">
        <v>4598</v>
      </c>
      <c r="AJ42" s="946" t="s">
        <v>4599</v>
      </c>
      <c r="AK42" s="1155" t="s">
        <v>4600</v>
      </c>
      <c r="AL42" s="2193" t="str">
        <f t="shared" si="15"/>
        <v xml:space="preserve">* El número de Pueblos Originarios no puede superar el Total.  </v>
      </c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CB42" s="4174" t="str">
        <f t="shared" si="16"/>
        <v xml:space="preserve">* El número de Pueblos Originarios no puede superar el Total.  </v>
      </c>
      <c r="CC42" s="2194"/>
      <c r="CD42" s="2194"/>
      <c r="CE42" s="2194"/>
      <c r="CF42" s="6"/>
      <c r="CG42" s="6"/>
      <c r="CH42" s="6"/>
      <c r="CI42" s="6"/>
      <c r="CJ42" s="6"/>
      <c r="CK42" s="6"/>
      <c r="CL42" s="6"/>
      <c r="CM42" s="55">
        <f t="shared" si="17"/>
        <v>1</v>
      </c>
    </row>
    <row r="43" spans="1:91" x14ac:dyDescent="0.25">
      <c r="A43" s="5617">
        <v>34000018</v>
      </c>
      <c r="B43" s="7942"/>
      <c r="C43" s="5319" t="s">
        <v>4234</v>
      </c>
      <c r="D43" s="937" t="s">
        <v>4567</v>
      </c>
      <c r="E43" s="171" t="s">
        <v>4568</v>
      </c>
      <c r="F43" s="204" t="s">
        <v>4569</v>
      </c>
      <c r="G43" s="940" t="s">
        <v>4570</v>
      </c>
      <c r="H43" s="941" t="s">
        <v>4571</v>
      </c>
      <c r="I43" s="940" t="s">
        <v>4572</v>
      </c>
      <c r="J43" s="941" t="s">
        <v>4573</v>
      </c>
      <c r="K43" s="943" t="s">
        <v>4574</v>
      </c>
      <c r="L43" s="941" t="s">
        <v>4575</v>
      </c>
      <c r="M43" s="940" t="s">
        <v>4576</v>
      </c>
      <c r="N43" s="941" t="s">
        <v>4577</v>
      </c>
      <c r="O43" s="940" t="s">
        <v>4578</v>
      </c>
      <c r="P43" s="941" t="s">
        <v>4579</v>
      </c>
      <c r="Q43" s="940" t="s">
        <v>4580</v>
      </c>
      <c r="R43" s="941" t="s">
        <v>4581</v>
      </c>
      <c r="S43" s="940" t="s">
        <v>4582</v>
      </c>
      <c r="T43" s="941" t="s">
        <v>4583</v>
      </c>
      <c r="U43" s="940" t="s">
        <v>4584</v>
      </c>
      <c r="V43" s="5374" t="s">
        <v>4585</v>
      </c>
      <c r="W43" s="943" t="s">
        <v>4586</v>
      </c>
      <c r="X43" s="941" t="s">
        <v>4587</v>
      </c>
      <c r="Y43" s="940" t="s">
        <v>4588</v>
      </c>
      <c r="Z43" s="948" t="s">
        <v>4589</v>
      </c>
      <c r="AA43" s="948" t="s">
        <v>4590</v>
      </c>
      <c r="AB43" s="940" t="s">
        <v>4591</v>
      </c>
      <c r="AC43" s="948" t="s">
        <v>4592</v>
      </c>
      <c r="AD43" s="942" t="s">
        <v>4593</v>
      </c>
      <c r="AE43" s="943" t="s">
        <v>4594</v>
      </c>
      <c r="AF43" s="948" t="s">
        <v>4595</v>
      </c>
      <c r="AG43" s="942" t="s">
        <v>4596</v>
      </c>
      <c r="AH43" s="943" t="s">
        <v>4597</v>
      </c>
      <c r="AI43" s="948" t="s">
        <v>4598</v>
      </c>
      <c r="AJ43" s="946" t="s">
        <v>4599</v>
      </c>
      <c r="AK43" s="1155" t="s">
        <v>4600</v>
      </c>
      <c r="AL43" s="2193" t="str">
        <f t="shared" si="15"/>
        <v xml:space="preserve">* El número de Pueblos Originarios no puede superar el Total.  </v>
      </c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CB43" s="4174" t="str">
        <f t="shared" si="16"/>
        <v xml:space="preserve">* El número de Pueblos Originarios no puede superar el Total.  </v>
      </c>
      <c r="CC43" s="2194"/>
      <c r="CD43" s="2194"/>
      <c r="CE43" s="2194"/>
      <c r="CF43" s="6"/>
      <c r="CG43" s="6"/>
      <c r="CH43" s="6"/>
      <c r="CI43" s="6"/>
      <c r="CJ43" s="6"/>
      <c r="CK43" s="6"/>
      <c r="CL43" s="6"/>
      <c r="CM43" s="55">
        <f t="shared" si="17"/>
        <v>1</v>
      </c>
    </row>
    <row r="44" spans="1:91" x14ac:dyDescent="0.25">
      <c r="A44" s="5617">
        <v>34000019</v>
      </c>
      <c r="B44" s="7942"/>
      <c r="C44" s="5319" t="s">
        <v>1035</v>
      </c>
      <c r="D44" s="937" t="s">
        <v>4567</v>
      </c>
      <c r="E44" s="171" t="s">
        <v>4568</v>
      </c>
      <c r="F44" s="204" t="s">
        <v>4569</v>
      </c>
      <c r="G44" s="940" t="s">
        <v>4570</v>
      </c>
      <c r="H44" s="941" t="s">
        <v>4571</v>
      </c>
      <c r="I44" s="940" t="s">
        <v>4572</v>
      </c>
      <c r="J44" s="941" t="s">
        <v>4573</v>
      </c>
      <c r="K44" s="943" t="s">
        <v>4574</v>
      </c>
      <c r="L44" s="941" t="s">
        <v>4575</v>
      </c>
      <c r="M44" s="940" t="s">
        <v>4576</v>
      </c>
      <c r="N44" s="941" t="s">
        <v>4577</v>
      </c>
      <c r="O44" s="940" t="s">
        <v>4578</v>
      </c>
      <c r="P44" s="941" t="s">
        <v>4579</v>
      </c>
      <c r="Q44" s="940" t="s">
        <v>4580</v>
      </c>
      <c r="R44" s="941" t="s">
        <v>4581</v>
      </c>
      <c r="S44" s="940" t="s">
        <v>4582</v>
      </c>
      <c r="T44" s="941" t="s">
        <v>4583</v>
      </c>
      <c r="U44" s="940" t="s">
        <v>4584</v>
      </c>
      <c r="V44" s="5374" t="s">
        <v>4585</v>
      </c>
      <c r="W44" s="943" t="s">
        <v>4586</v>
      </c>
      <c r="X44" s="941" t="s">
        <v>4587</v>
      </c>
      <c r="Y44" s="940" t="s">
        <v>4588</v>
      </c>
      <c r="Z44" s="948" t="s">
        <v>4589</v>
      </c>
      <c r="AA44" s="948" t="s">
        <v>4590</v>
      </c>
      <c r="AB44" s="940" t="s">
        <v>4591</v>
      </c>
      <c r="AC44" s="948" t="s">
        <v>4592</v>
      </c>
      <c r="AD44" s="942" t="s">
        <v>4593</v>
      </c>
      <c r="AE44" s="943" t="s">
        <v>4594</v>
      </c>
      <c r="AF44" s="948" t="s">
        <v>4595</v>
      </c>
      <c r="AG44" s="942" t="s">
        <v>4596</v>
      </c>
      <c r="AH44" s="943" t="s">
        <v>4597</v>
      </c>
      <c r="AI44" s="948" t="s">
        <v>4598</v>
      </c>
      <c r="AJ44" s="946" t="s">
        <v>4599</v>
      </c>
      <c r="AK44" s="1155" t="s">
        <v>4600</v>
      </c>
      <c r="AL44" s="2193" t="str">
        <f t="shared" si="15"/>
        <v xml:space="preserve">* El número de Pueblos Originarios no puede superar el Total.  </v>
      </c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CB44" s="4174" t="str">
        <f t="shared" si="16"/>
        <v xml:space="preserve">* El número de Pueblos Originarios no puede superar el Total.  </v>
      </c>
      <c r="CC44" s="2194"/>
      <c r="CD44" s="2194"/>
      <c r="CE44" s="2194"/>
      <c r="CF44" s="6"/>
      <c r="CG44" s="6"/>
      <c r="CH44" s="6"/>
      <c r="CI44" s="6"/>
      <c r="CJ44" s="6"/>
      <c r="CK44" s="6"/>
      <c r="CL44" s="6"/>
      <c r="CM44" s="55">
        <f t="shared" si="17"/>
        <v>1</v>
      </c>
    </row>
    <row r="45" spans="1:91" x14ac:dyDescent="0.25">
      <c r="A45" s="5617">
        <v>34000020</v>
      </c>
      <c r="B45" s="7942"/>
      <c r="C45" s="5319" t="s">
        <v>1034</v>
      </c>
      <c r="D45" s="5376" t="s">
        <v>4567</v>
      </c>
      <c r="E45" s="4917" t="s">
        <v>4568</v>
      </c>
      <c r="F45" s="28" t="s">
        <v>4569</v>
      </c>
      <c r="G45" s="940" t="s">
        <v>4570</v>
      </c>
      <c r="H45" s="941" t="s">
        <v>4571</v>
      </c>
      <c r="I45" s="940" t="s">
        <v>4572</v>
      </c>
      <c r="J45" s="941" t="s">
        <v>4573</v>
      </c>
      <c r="K45" s="943" t="s">
        <v>4574</v>
      </c>
      <c r="L45" s="941" t="s">
        <v>4575</v>
      </c>
      <c r="M45" s="940" t="s">
        <v>4576</v>
      </c>
      <c r="N45" s="941" t="s">
        <v>4577</v>
      </c>
      <c r="O45" s="940" t="s">
        <v>4578</v>
      </c>
      <c r="P45" s="941" t="s">
        <v>4579</v>
      </c>
      <c r="Q45" s="940" t="s">
        <v>4580</v>
      </c>
      <c r="R45" s="941" t="s">
        <v>4581</v>
      </c>
      <c r="S45" s="940" t="s">
        <v>4582</v>
      </c>
      <c r="T45" s="941" t="s">
        <v>4583</v>
      </c>
      <c r="U45" s="940" t="s">
        <v>4584</v>
      </c>
      <c r="V45" s="5374" t="s">
        <v>4585</v>
      </c>
      <c r="W45" s="943" t="s">
        <v>4586</v>
      </c>
      <c r="X45" s="941" t="s">
        <v>4587</v>
      </c>
      <c r="Y45" s="940" t="s">
        <v>4588</v>
      </c>
      <c r="Z45" s="948" t="s">
        <v>4589</v>
      </c>
      <c r="AA45" s="948" t="s">
        <v>4590</v>
      </c>
      <c r="AB45" s="940" t="s">
        <v>4591</v>
      </c>
      <c r="AC45" s="948" t="s">
        <v>4592</v>
      </c>
      <c r="AD45" s="942" t="s">
        <v>4593</v>
      </c>
      <c r="AE45" s="943" t="s">
        <v>4594</v>
      </c>
      <c r="AF45" s="948" t="s">
        <v>4595</v>
      </c>
      <c r="AG45" s="942" t="s">
        <v>4596</v>
      </c>
      <c r="AH45" s="943" t="s">
        <v>4597</v>
      </c>
      <c r="AI45" s="948" t="s">
        <v>4598</v>
      </c>
      <c r="AJ45" s="946" t="s">
        <v>4599</v>
      </c>
      <c r="AK45" s="1155" t="s">
        <v>4600</v>
      </c>
      <c r="AL45" s="2193" t="str">
        <f t="shared" si="15"/>
        <v xml:space="preserve">* El número de Pueblos Originarios no puede superar el Total.  </v>
      </c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CB45" s="4174" t="str">
        <f t="shared" si="16"/>
        <v xml:space="preserve">* El número de Pueblos Originarios no puede superar el Total.  </v>
      </c>
      <c r="CC45" s="2194"/>
      <c r="CD45" s="2194"/>
      <c r="CE45" s="2194"/>
      <c r="CF45" s="6"/>
      <c r="CG45" s="6"/>
      <c r="CH45" s="6"/>
      <c r="CI45" s="6"/>
      <c r="CJ45" s="6"/>
      <c r="CK45" s="6"/>
      <c r="CL45" s="6"/>
      <c r="CM45" s="55">
        <f t="shared" si="17"/>
        <v>1</v>
      </c>
    </row>
    <row r="46" spans="1:91" x14ac:dyDescent="0.25">
      <c r="A46" s="5828"/>
      <c r="B46" s="6814" t="s">
        <v>77</v>
      </c>
      <c r="C46" s="6814"/>
      <c r="D46" s="5362">
        <f t="shared" ref="D46" si="18">SUM(E46,F46)</f>
        <v>0</v>
      </c>
      <c r="E46" s="5363">
        <f t="shared" si="9"/>
        <v>0</v>
      </c>
      <c r="F46" s="5364">
        <f t="shared" si="9"/>
        <v>0</v>
      </c>
      <c r="G46" s="5365">
        <f t="shared" ref="G46:T46" si="19">SUM(G41:G45)</f>
        <v>0</v>
      </c>
      <c r="H46" s="5366">
        <f t="shared" si="19"/>
        <v>0</v>
      </c>
      <c r="I46" s="5365">
        <f t="shared" si="19"/>
        <v>0</v>
      </c>
      <c r="J46" s="5367">
        <f t="shared" si="19"/>
        <v>0</v>
      </c>
      <c r="K46" s="5366">
        <f t="shared" si="19"/>
        <v>0</v>
      </c>
      <c r="L46" s="5366">
        <f t="shared" si="19"/>
        <v>0</v>
      </c>
      <c r="M46" s="5365">
        <f t="shared" si="19"/>
        <v>0</v>
      </c>
      <c r="N46" s="5366">
        <f t="shared" si="19"/>
        <v>0</v>
      </c>
      <c r="O46" s="5365">
        <f t="shared" si="19"/>
        <v>0</v>
      </c>
      <c r="P46" s="5366">
        <f t="shared" si="19"/>
        <v>0</v>
      </c>
      <c r="Q46" s="5365">
        <f t="shared" si="19"/>
        <v>0</v>
      </c>
      <c r="R46" s="5366">
        <f t="shared" si="19"/>
        <v>0</v>
      </c>
      <c r="S46" s="5365">
        <f t="shared" si="19"/>
        <v>0</v>
      </c>
      <c r="T46" s="5366">
        <f t="shared" si="19"/>
        <v>0</v>
      </c>
      <c r="U46" s="5365">
        <f t="shared" ref="U46:V46" si="20">SUM(U41:U45)</f>
        <v>0</v>
      </c>
      <c r="V46" s="5377">
        <f t="shared" si="20"/>
        <v>0</v>
      </c>
      <c r="W46" s="5369"/>
      <c r="X46" s="5370"/>
      <c r="Y46" s="5370"/>
      <c r="Z46" s="5370"/>
      <c r="AA46" s="5371"/>
      <c r="AB46" s="5370"/>
      <c r="AC46" s="5370"/>
      <c r="AD46" s="5371"/>
      <c r="AE46" s="5370"/>
      <c r="AF46" s="5370"/>
      <c r="AG46" s="5371"/>
      <c r="AH46" s="5370"/>
      <c r="AI46" s="5370"/>
      <c r="AJ46" s="5371"/>
      <c r="AK46" s="5373">
        <f>SUM(AK41:AK45)</f>
        <v>0</v>
      </c>
      <c r="AW46" s="3211"/>
      <c r="AX46" s="3211"/>
      <c r="AY46" s="3211"/>
      <c r="AZ46" s="3211"/>
      <c r="BB46" s="3211"/>
      <c r="BC46" s="3211"/>
      <c r="BD46" s="3211"/>
      <c r="BE46" s="3211"/>
      <c r="BF46" s="3211"/>
      <c r="BG46" s="3211"/>
      <c r="BH46" s="3211"/>
      <c r="BI46" s="3211"/>
      <c r="BJ46" s="3211"/>
      <c r="BK46" s="3211"/>
      <c r="BL46" s="3211"/>
      <c r="BM46" s="3211"/>
      <c r="BX46" s="3211"/>
      <c r="BY46" s="3211"/>
      <c r="BZ46" s="3211"/>
      <c r="CA46" s="3211"/>
      <c r="CB46" s="5337"/>
      <c r="CF46" s="3211"/>
      <c r="CG46" s="3211"/>
      <c r="CH46" s="3211"/>
      <c r="CI46" s="3211"/>
      <c r="CJ46" s="3211"/>
      <c r="CK46" s="3211"/>
      <c r="CL46" s="3211"/>
      <c r="CM46" s="3211"/>
    </row>
    <row r="47" spans="1:91" x14ac:dyDescent="0.25">
      <c r="A47" s="5617">
        <v>34000021</v>
      </c>
      <c r="B47" s="7942" t="s">
        <v>4236</v>
      </c>
      <c r="C47" s="5312" t="s">
        <v>4229</v>
      </c>
      <c r="D47" s="937" t="s">
        <v>4567</v>
      </c>
      <c r="E47" s="171" t="s">
        <v>4568</v>
      </c>
      <c r="F47" s="204" t="s">
        <v>4569</v>
      </c>
      <c r="G47" s="940" t="s">
        <v>4570</v>
      </c>
      <c r="H47" s="941" t="s">
        <v>4571</v>
      </c>
      <c r="I47" s="940" t="s">
        <v>4572</v>
      </c>
      <c r="J47" s="941" t="s">
        <v>4573</v>
      </c>
      <c r="K47" s="943" t="s">
        <v>4574</v>
      </c>
      <c r="L47" s="941" t="s">
        <v>4575</v>
      </c>
      <c r="M47" s="940" t="s">
        <v>4576</v>
      </c>
      <c r="N47" s="941" t="s">
        <v>4577</v>
      </c>
      <c r="O47" s="940" t="s">
        <v>4578</v>
      </c>
      <c r="P47" s="941" t="s">
        <v>4579</v>
      </c>
      <c r="Q47" s="940" t="s">
        <v>4580</v>
      </c>
      <c r="R47" s="941" t="s">
        <v>4581</v>
      </c>
      <c r="S47" s="940" t="s">
        <v>4582</v>
      </c>
      <c r="T47" s="941" t="s">
        <v>4583</v>
      </c>
      <c r="U47" s="940" t="s">
        <v>4584</v>
      </c>
      <c r="V47" s="5374" t="s">
        <v>4585</v>
      </c>
      <c r="W47" s="943" t="s">
        <v>4586</v>
      </c>
      <c r="X47" s="941" t="s">
        <v>4587</v>
      </c>
      <c r="Y47" s="940" t="s">
        <v>4588</v>
      </c>
      <c r="Z47" s="948" t="s">
        <v>4589</v>
      </c>
      <c r="AA47" s="935" t="s">
        <v>4590</v>
      </c>
      <c r="AB47" s="1861" t="s">
        <v>4591</v>
      </c>
      <c r="AC47" s="935" t="s">
        <v>4592</v>
      </c>
      <c r="AD47" s="935" t="s">
        <v>4593</v>
      </c>
      <c r="AE47" s="1861" t="s">
        <v>4594</v>
      </c>
      <c r="AF47" s="935" t="s">
        <v>4595</v>
      </c>
      <c r="AG47" s="935" t="s">
        <v>4596</v>
      </c>
      <c r="AH47" s="1861" t="s">
        <v>4597</v>
      </c>
      <c r="AI47" s="935" t="s">
        <v>4598</v>
      </c>
      <c r="AJ47" s="869" t="s">
        <v>4599</v>
      </c>
      <c r="AK47" s="5351" t="s">
        <v>4600</v>
      </c>
      <c r="AL47" s="2193" t="str">
        <f t="shared" ref="AL47:AL49" si="21">$CB47</f>
        <v xml:space="preserve">* El número de Pueblos Originarios no puede superar el Total.  </v>
      </c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CB47" s="4174" t="str">
        <f t="shared" ref="CB47:CB49" si="22">IF(AND($D47&lt;&gt;0,AK47=""),"* No olvide ingresar la columna Pueblos Originarios, digite CERO si no tiene.  ",IF(AK47&gt;$D47,"* El número de Pueblos Originarios no puede superar el Total.  ",""))</f>
        <v xml:space="preserve">* El número de Pueblos Originarios no puede superar el Total.  </v>
      </c>
      <c r="CC47" s="2194"/>
      <c r="CD47" s="2194"/>
      <c r="CE47" s="2194"/>
      <c r="CF47" s="6"/>
      <c r="CG47" s="6"/>
      <c r="CH47" s="6"/>
      <c r="CI47" s="6"/>
      <c r="CJ47" s="6"/>
      <c r="CK47" s="6"/>
      <c r="CL47" s="6"/>
      <c r="CM47" s="55">
        <f t="shared" ref="CM47:CM49" si="23">IF(AND($D47&lt;&gt;0,AK47=""),1,IF(AK47&gt;$D47,1,0))</f>
        <v>1</v>
      </c>
    </row>
    <row r="48" spans="1:91" x14ac:dyDescent="0.25">
      <c r="A48" s="5617">
        <v>34000022</v>
      </c>
      <c r="B48" s="7942"/>
      <c r="C48" s="5319" t="s">
        <v>4233</v>
      </c>
      <c r="D48" s="937" t="s">
        <v>4567</v>
      </c>
      <c r="E48" s="171" t="s">
        <v>4568</v>
      </c>
      <c r="F48" s="204" t="s">
        <v>4569</v>
      </c>
      <c r="G48" s="940" t="s">
        <v>4570</v>
      </c>
      <c r="H48" s="941" t="s">
        <v>4571</v>
      </c>
      <c r="I48" s="940" t="s">
        <v>4572</v>
      </c>
      <c r="J48" s="941" t="s">
        <v>4573</v>
      </c>
      <c r="K48" s="943" t="s">
        <v>4574</v>
      </c>
      <c r="L48" s="941" t="s">
        <v>4575</v>
      </c>
      <c r="M48" s="940" t="s">
        <v>4576</v>
      </c>
      <c r="N48" s="941" t="s">
        <v>4577</v>
      </c>
      <c r="O48" s="940" t="s">
        <v>4578</v>
      </c>
      <c r="P48" s="941" t="s">
        <v>4579</v>
      </c>
      <c r="Q48" s="940" t="s">
        <v>4580</v>
      </c>
      <c r="R48" s="941" t="s">
        <v>4581</v>
      </c>
      <c r="S48" s="940" t="s">
        <v>4582</v>
      </c>
      <c r="T48" s="941" t="s">
        <v>4583</v>
      </c>
      <c r="U48" s="940" t="s">
        <v>4584</v>
      </c>
      <c r="V48" s="5374" t="s">
        <v>4585</v>
      </c>
      <c r="W48" s="943" t="s">
        <v>4586</v>
      </c>
      <c r="X48" s="941" t="s">
        <v>4587</v>
      </c>
      <c r="Y48" s="940" t="s">
        <v>4588</v>
      </c>
      <c r="Z48" s="948" t="s">
        <v>4589</v>
      </c>
      <c r="AA48" s="948" t="s">
        <v>4590</v>
      </c>
      <c r="AB48" s="940" t="s">
        <v>4591</v>
      </c>
      <c r="AC48" s="948" t="s">
        <v>4592</v>
      </c>
      <c r="AD48" s="948" t="s">
        <v>4593</v>
      </c>
      <c r="AE48" s="940" t="s">
        <v>4594</v>
      </c>
      <c r="AF48" s="948" t="s">
        <v>4595</v>
      </c>
      <c r="AG48" s="948" t="s">
        <v>4596</v>
      </c>
      <c r="AH48" s="940" t="s">
        <v>4597</v>
      </c>
      <c r="AI48" s="948" t="s">
        <v>4598</v>
      </c>
      <c r="AJ48" s="946" t="s">
        <v>4599</v>
      </c>
      <c r="AK48" s="1155" t="s">
        <v>4600</v>
      </c>
      <c r="AL48" s="2193" t="str">
        <f t="shared" si="21"/>
        <v xml:space="preserve">* El número de Pueblos Originarios no puede superar el Total.  </v>
      </c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CB48" s="4174" t="str">
        <f t="shared" si="22"/>
        <v xml:space="preserve">* El número de Pueblos Originarios no puede superar el Total.  </v>
      </c>
      <c r="CC48" s="2194"/>
      <c r="CD48" s="2194"/>
      <c r="CE48" s="2194"/>
      <c r="CF48" s="6"/>
      <c r="CG48" s="6"/>
      <c r="CH48" s="6"/>
      <c r="CI48" s="6"/>
      <c r="CJ48" s="6"/>
      <c r="CK48" s="6"/>
      <c r="CL48" s="6"/>
      <c r="CM48" s="55">
        <f t="shared" si="23"/>
        <v>1</v>
      </c>
    </row>
    <row r="49" spans="1:91" x14ac:dyDescent="0.25">
      <c r="A49" s="5617">
        <v>34000023</v>
      </c>
      <c r="B49" s="7942"/>
      <c r="C49" s="5319" t="s">
        <v>4234</v>
      </c>
      <c r="D49" s="937" t="s">
        <v>4567</v>
      </c>
      <c r="E49" s="4917" t="s">
        <v>4568</v>
      </c>
      <c r="F49" s="28" t="s">
        <v>4569</v>
      </c>
      <c r="G49" s="940" t="s">
        <v>4570</v>
      </c>
      <c r="H49" s="941" t="s">
        <v>4571</v>
      </c>
      <c r="I49" s="940" t="s">
        <v>4572</v>
      </c>
      <c r="J49" s="941" t="s">
        <v>4573</v>
      </c>
      <c r="K49" s="943" t="s">
        <v>4574</v>
      </c>
      <c r="L49" s="941" t="s">
        <v>4575</v>
      </c>
      <c r="M49" s="940" t="s">
        <v>4576</v>
      </c>
      <c r="N49" s="941" t="s">
        <v>4577</v>
      </c>
      <c r="O49" s="940" t="s">
        <v>4578</v>
      </c>
      <c r="P49" s="941" t="s">
        <v>4579</v>
      </c>
      <c r="Q49" s="940" t="s">
        <v>4580</v>
      </c>
      <c r="R49" s="941" t="s">
        <v>4581</v>
      </c>
      <c r="S49" s="940" t="s">
        <v>4582</v>
      </c>
      <c r="T49" s="941" t="s">
        <v>4583</v>
      </c>
      <c r="U49" s="940" t="s">
        <v>4584</v>
      </c>
      <c r="V49" s="5374" t="s">
        <v>4585</v>
      </c>
      <c r="W49" s="943" t="s">
        <v>4586</v>
      </c>
      <c r="X49" s="941" t="s">
        <v>4587</v>
      </c>
      <c r="Y49" s="940" t="s">
        <v>4588</v>
      </c>
      <c r="Z49" s="948" t="s">
        <v>4589</v>
      </c>
      <c r="AA49" s="948" t="s">
        <v>4590</v>
      </c>
      <c r="AB49" s="940" t="s">
        <v>4591</v>
      </c>
      <c r="AC49" s="948" t="s">
        <v>4592</v>
      </c>
      <c r="AD49" s="948" t="s">
        <v>4593</v>
      </c>
      <c r="AE49" s="940" t="s">
        <v>4594</v>
      </c>
      <c r="AF49" s="948" t="s">
        <v>4595</v>
      </c>
      <c r="AG49" s="948" t="s">
        <v>4596</v>
      </c>
      <c r="AH49" s="940" t="s">
        <v>4597</v>
      </c>
      <c r="AI49" s="948" t="s">
        <v>4598</v>
      </c>
      <c r="AJ49" s="946" t="s">
        <v>4599</v>
      </c>
      <c r="AK49" s="1157" t="s">
        <v>4600</v>
      </c>
      <c r="AL49" s="2193" t="str">
        <f t="shared" si="21"/>
        <v xml:space="preserve">* El número de Pueblos Originarios no puede superar el Total.  </v>
      </c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CB49" s="4174" t="str">
        <f t="shared" si="22"/>
        <v xml:space="preserve">* El número de Pueblos Originarios no puede superar el Total.  </v>
      </c>
      <c r="CC49" s="2194"/>
      <c r="CD49" s="2194"/>
      <c r="CE49" s="2194"/>
      <c r="CF49" s="6"/>
      <c r="CG49" s="6"/>
      <c r="CH49" s="6"/>
      <c r="CI49" s="6"/>
      <c r="CJ49" s="6"/>
      <c r="CK49" s="6"/>
      <c r="CL49" s="6"/>
      <c r="CM49" s="55">
        <f t="shared" si="23"/>
        <v>1</v>
      </c>
    </row>
    <row r="50" spans="1:91" ht="15" customHeight="1" x14ac:dyDescent="0.25">
      <c r="A50" s="5828"/>
      <c r="B50" s="6813" t="s">
        <v>77</v>
      </c>
      <c r="C50" s="6813"/>
      <c r="D50" s="5362">
        <f t="shared" ref="D50:V50" si="24">SUM(D47:D49)</f>
        <v>0</v>
      </c>
      <c r="E50" s="5363">
        <f t="shared" si="9"/>
        <v>0</v>
      </c>
      <c r="F50" s="5364">
        <f t="shared" si="9"/>
        <v>0</v>
      </c>
      <c r="G50" s="5365">
        <f>SUM(G47:G49)</f>
        <v>0</v>
      </c>
      <c r="H50" s="5366">
        <f>SUM(H47:H49)</f>
        <v>0</v>
      </c>
      <c r="I50" s="5365">
        <f>SUM(I47:I49)</f>
        <v>0</v>
      </c>
      <c r="J50" s="5367">
        <f>SUM(J47:J49)</f>
        <v>0</v>
      </c>
      <c r="K50" s="5366">
        <f t="shared" si="24"/>
        <v>0</v>
      </c>
      <c r="L50" s="5366">
        <f t="shared" si="24"/>
        <v>0</v>
      </c>
      <c r="M50" s="5365">
        <f t="shared" si="24"/>
        <v>0</v>
      </c>
      <c r="N50" s="5366">
        <f t="shared" si="24"/>
        <v>0</v>
      </c>
      <c r="O50" s="5365">
        <f t="shared" si="24"/>
        <v>0</v>
      </c>
      <c r="P50" s="5366">
        <f t="shared" si="24"/>
        <v>0</v>
      </c>
      <c r="Q50" s="5365">
        <f t="shared" si="24"/>
        <v>0</v>
      </c>
      <c r="R50" s="5366">
        <f t="shared" si="24"/>
        <v>0</v>
      </c>
      <c r="S50" s="5365">
        <f t="shared" si="24"/>
        <v>0</v>
      </c>
      <c r="T50" s="5366">
        <f t="shared" si="24"/>
        <v>0</v>
      </c>
      <c r="U50" s="5365">
        <f t="shared" si="24"/>
        <v>0</v>
      </c>
      <c r="V50" s="5377">
        <f t="shared" si="24"/>
        <v>0</v>
      </c>
      <c r="W50" s="5369"/>
      <c r="X50" s="5370"/>
      <c r="Y50" s="5369"/>
      <c r="Z50" s="5370"/>
      <c r="AA50" s="5371"/>
      <c r="AB50" s="5370"/>
      <c r="AC50" s="5370"/>
      <c r="AD50" s="5371"/>
      <c r="AE50" s="5370"/>
      <c r="AF50" s="5370"/>
      <c r="AG50" s="5371"/>
      <c r="AH50" s="5370"/>
      <c r="AI50" s="5370"/>
      <c r="AJ50" s="5372"/>
      <c r="AK50" s="5378">
        <f>SUM(AK47:AK49)</f>
        <v>0</v>
      </c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9"/>
      <c r="BO50" s="19"/>
      <c r="BP50" s="19"/>
      <c r="BQ50" s="19"/>
      <c r="BR50" s="19"/>
      <c r="BS50" s="19"/>
      <c r="BT50" s="19"/>
      <c r="BU50" s="19"/>
      <c r="BX50" s="3211"/>
      <c r="BY50" s="3211"/>
      <c r="BZ50" s="3211"/>
      <c r="CA50" s="3211"/>
      <c r="CB50" s="3211"/>
      <c r="CF50" s="151"/>
      <c r="CG50" s="151"/>
      <c r="CH50" s="151"/>
      <c r="CI50" s="151"/>
      <c r="CJ50" s="151"/>
      <c r="CK50" s="151"/>
      <c r="CL50" s="151"/>
      <c r="CM50" s="151"/>
    </row>
    <row r="51" spans="1:91" s="3211" customFormat="1" ht="17.100000000000001" customHeight="1" x14ac:dyDescent="0.25">
      <c r="A51" s="5920"/>
      <c r="B51" s="11" t="s">
        <v>4237</v>
      </c>
      <c r="C51" s="11"/>
      <c r="D51" s="5306"/>
      <c r="E51" s="5306"/>
      <c r="F51" s="5306"/>
      <c r="G51" s="5306"/>
      <c r="H51" s="5306"/>
      <c r="I51" s="5306"/>
      <c r="J51" s="5306"/>
      <c r="K51" s="5306"/>
      <c r="L51" s="5306"/>
      <c r="M51" s="5306"/>
      <c r="N51" s="5306"/>
      <c r="O51" s="5306"/>
      <c r="P51" s="5306"/>
      <c r="Q51" s="5306"/>
      <c r="R51" s="5306"/>
      <c r="S51" s="5306"/>
      <c r="T51" s="5306"/>
      <c r="U51" s="5306"/>
      <c r="V51" s="5306"/>
      <c r="W51" s="5306"/>
      <c r="X51" s="5306"/>
      <c r="Y51" s="5306"/>
      <c r="Z51" s="5306"/>
      <c r="AA51" s="5306"/>
      <c r="AB51" s="5306"/>
      <c r="AC51" s="5306"/>
      <c r="AD51" s="5306"/>
      <c r="AE51" s="5306"/>
      <c r="AF51" s="5306"/>
      <c r="AG51" s="5306"/>
      <c r="AH51" s="5306"/>
      <c r="AI51" s="5306"/>
      <c r="AJ51" s="5306"/>
      <c r="AK51" s="5306"/>
      <c r="AL51" s="5306"/>
      <c r="AM51" s="5306"/>
      <c r="AN51" s="5306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</row>
    <row r="52" spans="1:91" ht="15" customHeight="1" x14ac:dyDescent="0.25">
      <c r="A52" s="5612"/>
      <c r="B52" s="7729" t="s">
        <v>277</v>
      </c>
      <c r="C52" s="7943" t="s">
        <v>77</v>
      </c>
      <c r="D52" s="7943"/>
      <c r="E52" s="7943"/>
      <c r="F52" s="7320" t="s">
        <v>101</v>
      </c>
      <c r="G52" s="7955"/>
      <c r="H52" s="7955"/>
      <c r="I52" s="7955"/>
      <c r="J52" s="7955"/>
      <c r="K52" s="7955"/>
      <c r="L52" s="7955"/>
      <c r="M52" s="7955"/>
      <c r="N52" s="7955"/>
      <c r="O52" s="7955"/>
      <c r="P52" s="7955"/>
      <c r="Q52" s="7955"/>
      <c r="R52" s="7955"/>
      <c r="S52" s="7955"/>
      <c r="T52" s="7955"/>
      <c r="U52" s="7956"/>
      <c r="V52" s="7674" t="s">
        <v>4211</v>
      </c>
      <c r="W52" s="6786"/>
      <c r="X52" s="7957" t="s">
        <v>4212</v>
      </c>
      <c r="Y52" s="7792"/>
      <c r="Z52" s="7725"/>
      <c r="AA52" s="7959" t="s">
        <v>4216</v>
      </c>
      <c r="AB52" s="7960"/>
      <c r="AC52" s="7961"/>
      <c r="AD52" s="7959" t="s">
        <v>4219</v>
      </c>
      <c r="AE52" s="7960"/>
      <c r="AF52" s="7961"/>
      <c r="AG52" s="7932" t="s">
        <v>4226</v>
      </c>
      <c r="AH52" s="7965"/>
      <c r="AI52" s="7966"/>
      <c r="AJ52" s="7856" t="s">
        <v>36</v>
      </c>
      <c r="AK52" s="7954"/>
      <c r="AN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</row>
    <row r="53" spans="1:91" x14ac:dyDescent="0.25">
      <c r="A53" s="5612"/>
      <c r="B53" s="7729"/>
      <c r="C53" s="7943"/>
      <c r="D53" s="7943"/>
      <c r="E53" s="7943"/>
      <c r="F53" s="6466" t="s">
        <v>3789</v>
      </c>
      <c r="G53" s="7940"/>
      <c r="H53" s="6466" t="s">
        <v>4225</v>
      </c>
      <c r="I53" s="7941"/>
      <c r="J53" s="7940" t="s">
        <v>1459</v>
      </c>
      <c r="K53" s="7941"/>
      <c r="L53" s="6466" t="s">
        <v>1460</v>
      </c>
      <c r="M53" s="7941"/>
      <c r="N53" s="6466" t="s">
        <v>1461</v>
      </c>
      <c r="O53" s="7941"/>
      <c r="P53" s="6466" t="s">
        <v>1462</v>
      </c>
      <c r="Q53" s="7941"/>
      <c r="R53" s="6466" t="s">
        <v>1463</v>
      </c>
      <c r="S53" s="7941"/>
      <c r="T53" s="7946" t="s">
        <v>938</v>
      </c>
      <c r="U53" s="7947"/>
      <c r="V53" s="6735"/>
      <c r="W53" s="6955"/>
      <c r="X53" s="7958"/>
      <c r="Y53" s="7377"/>
      <c r="Z53" s="7178"/>
      <c r="AA53" s="7962"/>
      <c r="AB53" s="7963"/>
      <c r="AC53" s="7964"/>
      <c r="AD53" s="7962"/>
      <c r="AE53" s="7963"/>
      <c r="AF53" s="7964"/>
      <c r="AG53" s="7967"/>
      <c r="AH53" s="7968"/>
      <c r="AI53" s="7969"/>
      <c r="AJ53" s="6355"/>
      <c r="AK53" s="7954"/>
      <c r="AN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</row>
    <row r="54" spans="1:91" ht="21" x14ac:dyDescent="0.25">
      <c r="A54" s="5612"/>
      <c r="B54" s="7729"/>
      <c r="C54" s="5345" t="s">
        <v>79</v>
      </c>
      <c r="D54" s="3053" t="s">
        <v>58</v>
      </c>
      <c r="E54" s="1789" t="s">
        <v>59</v>
      </c>
      <c r="F54" s="5345" t="s">
        <v>58</v>
      </c>
      <c r="G54" s="1789" t="s">
        <v>59</v>
      </c>
      <c r="H54" s="5345" t="s">
        <v>58</v>
      </c>
      <c r="I54" s="1789" t="s">
        <v>59</v>
      </c>
      <c r="J54" s="5345" t="s">
        <v>58</v>
      </c>
      <c r="K54" s="1789" t="s">
        <v>59</v>
      </c>
      <c r="L54" s="5345" t="s">
        <v>58</v>
      </c>
      <c r="M54" s="1789" t="s">
        <v>59</v>
      </c>
      <c r="N54" s="5345" t="s">
        <v>58</v>
      </c>
      <c r="O54" s="1789" t="s">
        <v>59</v>
      </c>
      <c r="P54" s="5345" t="s">
        <v>58</v>
      </c>
      <c r="Q54" s="1789" t="s">
        <v>59</v>
      </c>
      <c r="R54" s="5345" t="s">
        <v>58</v>
      </c>
      <c r="S54" s="1789" t="s">
        <v>59</v>
      </c>
      <c r="T54" s="5345" t="s">
        <v>58</v>
      </c>
      <c r="U54" s="3049" t="s">
        <v>59</v>
      </c>
      <c r="V54" s="5347" t="s">
        <v>4221</v>
      </c>
      <c r="W54" s="1787" t="s">
        <v>4222</v>
      </c>
      <c r="X54" s="1643" t="s">
        <v>4220</v>
      </c>
      <c r="Y54" s="1645" t="s">
        <v>4221</v>
      </c>
      <c r="Z54" s="1783" t="s">
        <v>4222</v>
      </c>
      <c r="AA54" s="1674" t="s">
        <v>4220</v>
      </c>
      <c r="AB54" s="1675" t="s">
        <v>4221</v>
      </c>
      <c r="AC54" s="1791" t="s">
        <v>4222</v>
      </c>
      <c r="AD54" s="1674" t="s">
        <v>4220</v>
      </c>
      <c r="AE54" s="1675" t="s">
        <v>4221</v>
      </c>
      <c r="AF54" s="1791" t="s">
        <v>4222</v>
      </c>
      <c r="AG54" s="1674" t="s">
        <v>4220</v>
      </c>
      <c r="AH54" s="1675" t="s">
        <v>4221</v>
      </c>
      <c r="AI54" s="5348" t="s">
        <v>4222</v>
      </c>
      <c r="AJ54" s="6355"/>
      <c r="AK54" s="7954"/>
      <c r="AN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</row>
    <row r="55" spans="1:91" x14ac:dyDescent="0.25">
      <c r="A55" s="5617">
        <v>34000024</v>
      </c>
      <c r="B55" s="5379" t="s">
        <v>4238</v>
      </c>
      <c r="C55" s="5350" t="s">
        <v>4567</v>
      </c>
      <c r="D55" s="5380" t="s">
        <v>4568</v>
      </c>
      <c r="E55" s="5381" t="s">
        <v>4569</v>
      </c>
      <c r="F55" s="940" t="s">
        <v>4570</v>
      </c>
      <c r="G55" s="941" t="s">
        <v>4571</v>
      </c>
      <c r="H55" s="940" t="s">
        <v>4572</v>
      </c>
      <c r="I55" s="941" t="s">
        <v>4573</v>
      </c>
      <c r="J55" s="940" t="s">
        <v>4574</v>
      </c>
      <c r="K55" s="941" t="s">
        <v>4575</v>
      </c>
      <c r="L55" s="940" t="s">
        <v>4576</v>
      </c>
      <c r="M55" s="941" t="s">
        <v>4577</v>
      </c>
      <c r="N55" s="940" t="s">
        <v>4578</v>
      </c>
      <c r="O55" s="941" t="s">
        <v>4579</v>
      </c>
      <c r="P55" s="940" t="s">
        <v>4580</v>
      </c>
      <c r="Q55" s="941" t="s">
        <v>4581</v>
      </c>
      <c r="R55" s="940" t="s">
        <v>4582</v>
      </c>
      <c r="S55" s="941" t="s">
        <v>4583</v>
      </c>
      <c r="T55" s="940" t="s">
        <v>4584</v>
      </c>
      <c r="U55" s="5374" t="s">
        <v>4585</v>
      </c>
      <c r="V55" s="5375" t="s">
        <v>4586</v>
      </c>
      <c r="W55" s="5382" t="s">
        <v>4587</v>
      </c>
      <c r="X55" s="5375" t="s">
        <v>4588</v>
      </c>
      <c r="Y55" s="935" t="s">
        <v>4589</v>
      </c>
      <c r="Z55" s="5382" t="s">
        <v>4590</v>
      </c>
      <c r="AA55" s="1861" t="s">
        <v>4591</v>
      </c>
      <c r="AB55" s="935" t="s">
        <v>4592</v>
      </c>
      <c r="AC55" s="935" t="s">
        <v>4593</v>
      </c>
      <c r="AD55" s="1861" t="s">
        <v>4594</v>
      </c>
      <c r="AE55" s="935" t="s">
        <v>4595</v>
      </c>
      <c r="AF55" s="935" t="s">
        <v>4596</v>
      </c>
      <c r="AG55" s="1861" t="s">
        <v>4597</v>
      </c>
      <c r="AH55" s="935" t="s">
        <v>4598</v>
      </c>
      <c r="AI55" s="869" t="s">
        <v>4599</v>
      </c>
      <c r="AJ55" s="5382" t="s">
        <v>4600</v>
      </c>
      <c r="AK55" s="2193" t="str">
        <f>$CB55</f>
        <v xml:space="preserve">* El número de Pueblos Originarios no puede superar el Total.  </v>
      </c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CB55" s="4174" t="str">
        <f>IF(AND($C55&lt;&gt;0,AJ55=""),"* No olvide ingresar la columna Pueblos Originarios, digite CERO si no tiene.  ",IF(AJ55&gt;$C55,"* El número de Pueblos Originarios no puede superar el Total.  ",""))</f>
        <v xml:space="preserve">* El número de Pueblos Originarios no puede superar el Total.  </v>
      </c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55">
        <f>IF(AND($C55&lt;&gt;0,AJ55=""),1,IF(AJ55&gt;$C55,1,0))</f>
        <v>1</v>
      </c>
    </row>
    <row r="56" spans="1:91" x14ac:dyDescent="0.25">
      <c r="A56" s="5617">
        <v>34000025</v>
      </c>
      <c r="B56" s="4877" t="s">
        <v>1042</v>
      </c>
      <c r="C56" s="937" t="s">
        <v>4567</v>
      </c>
      <c r="D56" s="171" t="s">
        <v>4568</v>
      </c>
      <c r="E56" s="204" t="s">
        <v>4569</v>
      </c>
      <c r="F56" s="940" t="s">
        <v>4570</v>
      </c>
      <c r="G56" s="941" t="s">
        <v>4571</v>
      </c>
      <c r="H56" s="940" t="s">
        <v>4572</v>
      </c>
      <c r="I56" s="941" t="s">
        <v>4573</v>
      </c>
      <c r="J56" s="940" t="s">
        <v>4574</v>
      </c>
      <c r="K56" s="941" t="s">
        <v>4575</v>
      </c>
      <c r="L56" s="940" t="s">
        <v>4576</v>
      </c>
      <c r="M56" s="941" t="s">
        <v>4577</v>
      </c>
      <c r="N56" s="940" t="s">
        <v>4578</v>
      </c>
      <c r="O56" s="941" t="s">
        <v>4579</v>
      </c>
      <c r="P56" s="940" t="s">
        <v>4580</v>
      </c>
      <c r="Q56" s="941" t="s">
        <v>4581</v>
      </c>
      <c r="R56" s="940" t="s">
        <v>4582</v>
      </c>
      <c r="S56" s="941" t="s">
        <v>4583</v>
      </c>
      <c r="T56" s="940" t="s">
        <v>4584</v>
      </c>
      <c r="U56" s="5374" t="s">
        <v>4585</v>
      </c>
      <c r="V56" s="943" t="s">
        <v>4586</v>
      </c>
      <c r="W56" s="941" t="s">
        <v>4587</v>
      </c>
      <c r="X56" s="943" t="s">
        <v>4588</v>
      </c>
      <c r="Y56" s="948" t="s">
        <v>4589</v>
      </c>
      <c r="Z56" s="941" t="s">
        <v>4590</v>
      </c>
      <c r="AA56" s="940" t="s">
        <v>4591</v>
      </c>
      <c r="AB56" s="948" t="s">
        <v>4592</v>
      </c>
      <c r="AC56" s="948" t="s">
        <v>4593</v>
      </c>
      <c r="AD56" s="940" t="s">
        <v>4594</v>
      </c>
      <c r="AE56" s="948" t="s">
        <v>4595</v>
      </c>
      <c r="AF56" s="948" t="s">
        <v>4596</v>
      </c>
      <c r="AG56" s="940" t="s">
        <v>4597</v>
      </c>
      <c r="AH56" s="948" t="s">
        <v>4598</v>
      </c>
      <c r="AI56" s="946" t="s">
        <v>4599</v>
      </c>
      <c r="AJ56" s="941" t="s">
        <v>4600</v>
      </c>
      <c r="AK56" s="2193" t="str">
        <f t="shared" ref="AK56:AK57" si="25">$CB56</f>
        <v xml:space="preserve">* El número de Pueblos Originarios no puede superar el Total.  </v>
      </c>
      <c r="AN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4174" t="str">
        <f t="shared" ref="CB56:CB57" si="26">IF(AND($C56&lt;&gt;0,AJ56=""),"* No olvide ingresar la columna Pueblos Originarios, digite CERO si no tiene.  ",IF(AJ56&gt;$C56,"* El número de Pueblos Originarios no puede superar el Total.  ",""))</f>
        <v xml:space="preserve">* El número de Pueblos Originarios no puede superar el Total.  </v>
      </c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55">
        <f t="shared" ref="CM56:CM57" si="27">IF(AND($C56&lt;&gt;0,AJ56=""),1,IF(AJ56&gt;$C56,1,0))</f>
        <v>1</v>
      </c>
    </row>
    <row r="57" spans="1:91" x14ac:dyDescent="0.25">
      <c r="A57" s="5617">
        <v>34000026</v>
      </c>
      <c r="B57" s="4439" t="s">
        <v>4239</v>
      </c>
      <c r="C57" s="937" t="s">
        <v>4567</v>
      </c>
      <c r="D57" s="1541" t="s">
        <v>4568</v>
      </c>
      <c r="E57" s="171" t="s">
        <v>4569</v>
      </c>
      <c r="F57" s="212" t="s">
        <v>4570</v>
      </c>
      <c r="G57" s="34" t="s">
        <v>4571</v>
      </c>
      <c r="H57" s="212" t="s">
        <v>4572</v>
      </c>
      <c r="I57" s="34" t="s">
        <v>4573</v>
      </c>
      <c r="J57" s="212" t="s">
        <v>4574</v>
      </c>
      <c r="K57" s="34" t="s">
        <v>4575</v>
      </c>
      <c r="L57" s="212" t="s">
        <v>4576</v>
      </c>
      <c r="M57" s="34" t="s">
        <v>4577</v>
      </c>
      <c r="N57" s="212" t="s">
        <v>4578</v>
      </c>
      <c r="O57" s="34" t="s">
        <v>4579</v>
      </c>
      <c r="P57" s="212" t="s">
        <v>4580</v>
      </c>
      <c r="Q57" s="34" t="s">
        <v>4581</v>
      </c>
      <c r="R57" s="212" t="s">
        <v>4582</v>
      </c>
      <c r="S57" s="34" t="s">
        <v>4583</v>
      </c>
      <c r="T57" s="212" t="s">
        <v>4584</v>
      </c>
      <c r="U57" s="1878" t="s">
        <v>4585</v>
      </c>
      <c r="V57" s="966" t="s">
        <v>4586</v>
      </c>
      <c r="W57" s="854" t="s">
        <v>4587</v>
      </c>
      <c r="X57" s="966" t="s">
        <v>4588</v>
      </c>
      <c r="Y57" s="1006" t="s">
        <v>4589</v>
      </c>
      <c r="Z57" s="854" t="s">
        <v>4590</v>
      </c>
      <c r="AA57" s="964" t="s">
        <v>4591</v>
      </c>
      <c r="AB57" s="1006" t="s">
        <v>4592</v>
      </c>
      <c r="AC57" s="1006" t="s">
        <v>4593</v>
      </c>
      <c r="AD57" s="964" t="s">
        <v>4594</v>
      </c>
      <c r="AE57" s="1006" t="s">
        <v>4595</v>
      </c>
      <c r="AF57" s="1006" t="s">
        <v>4596</v>
      </c>
      <c r="AG57" s="964" t="s">
        <v>4597</v>
      </c>
      <c r="AH57" s="1006" t="s">
        <v>4598</v>
      </c>
      <c r="AI57" s="969" t="s">
        <v>4599</v>
      </c>
      <c r="AJ57" s="854" t="s">
        <v>4600</v>
      </c>
      <c r="AK57" s="2193" t="str">
        <f t="shared" si="25"/>
        <v xml:space="preserve">* El número de Pueblos Originarios no puede superar el Total.  </v>
      </c>
      <c r="AN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4174" t="str">
        <f t="shared" si="26"/>
        <v xml:space="preserve">* El número de Pueblos Originarios no puede superar el Total.  </v>
      </c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55">
        <f t="shared" si="27"/>
        <v>1</v>
      </c>
    </row>
    <row r="58" spans="1:91" x14ac:dyDescent="0.25">
      <c r="A58" s="5828"/>
      <c r="B58" s="898" t="s">
        <v>77</v>
      </c>
      <c r="C58" s="5362">
        <f>SUM(D58,E58)</f>
        <v>0</v>
      </c>
      <c r="D58" s="5363">
        <f t="shared" ref="D58:U58" si="28">SUM(D55:D57)</f>
        <v>0</v>
      </c>
      <c r="E58" s="5363">
        <f t="shared" si="28"/>
        <v>0</v>
      </c>
      <c r="F58" s="5365">
        <f t="shared" si="28"/>
        <v>0</v>
      </c>
      <c r="G58" s="5366">
        <f t="shared" si="28"/>
        <v>0</v>
      </c>
      <c r="H58" s="5365">
        <f t="shared" si="28"/>
        <v>0</v>
      </c>
      <c r="I58" s="5366">
        <f t="shared" si="28"/>
        <v>0</v>
      </c>
      <c r="J58" s="5365">
        <f t="shared" si="28"/>
        <v>0</v>
      </c>
      <c r="K58" s="5366">
        <f t="shared" si="28"/>
        <v>0</v>
      </c>
      <c r="L58" s="5365">
        <f t="shared" si="28"/>
        <v>0</v>
      </c>
      <c r="M58" s="5383">
        <f t="shared" si="28"/>
        <v>0</v>
      </c>
      <c r="N58" s="5365">
        <f t="shared" si="28"/>
        <v>0</v>
      </c>
      <c r="O58" s="5367">
        <f t="shared" si="28"/>
        <v>0</v>
      </c>
      <c r="P58" s="5365">
        <f t="shared" si="28"/>
        <v>0</v>
      </c>
      <c r="Q58" s="5367">
        <f t="shared" si="28"/>
        <v>0</v>
      </c>
      <c r="R58" s="5365">
        <f t="shared" si="28"/>
        <v>0</v>
      </c>
      <c r="S58" s="5367">
        <f t="shared" si="28"/>
        <v>0</v>
      </c>
      <c r="T58" s="1564">
        <f t="shared" si="28"/>
        <v>0</v>
      </c>
      <c r="U58" s="5377">
        <f t="shared" si="28"/>
        <v>0</v>
      </c>
      <c r="V58" s="5370"/>
      <c r="W58" s="5370"/>
      <c r="X58" s="5370"/>
      <c r="Y58" s="5370"/>
      <c r="Z58" s="5371"/>
      <c r="AA58" s="5369"/>
      <c r="AB58" s="5370"/>
      <c r="AC58" s="5371"/>
      <c r="AD58" s="5369"/>
      <c r="AE58" s="5370"/>
      <c r="AF58" s="5371"/>
      <c r="AG58" s="5369"/>
      <c r="AH58" s="5370"/>
      <c r="AI58" s="5372"/>
      <c r="AJ58" s="5378">
        <f>SUM(AJ55:AJ57)</f>
        <v>0</v>
      </c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3211"/>
      <c r="BZ58" s="3211"/>
      <c r="CA58" s="3211"/>
      <c r="CB58" s="3211"/>
      <c r="CF58" s="3211"/>
      <c r="CG58" s="3211"/>
      <c r="CH58" s="3211"/>
      <c r="CI58" s="3211"/>
      <c r="CJ58" s="3211"/>
      <c r="CK58" s="3211"/>
      <c r="CL58" s="3211"/>
      <c r="CM58" s="3211"/>
    </row>
    <row r="59" spans="1:91" ht="17.100000000000001" customHeight="1" x14ac:dyDescent="0.25">
      <c r="A59" s="5612"/>
      <c r="B59" s="11" t="s">
        <v>4240</v>
      </c>
      <c r="C59" s="11"/>
      <c r="D59" s="5306"/>
      <c r="E59" s="5306"/>
      <c r="F59" s="5306"/>
      <c r="G59" s="5306"/>
      <c r="H59" s="5306" t="s">
        <v>10</v>
      </c>
      <c r="I59" s="5306"/>
      <c r="J59" s="5306"/>
      <c r="K59" s="5306"/>
      <c r="L59" s="5306"/>
      <c r="M59" s="5306"/>
      <c r="N59" s="5306"/>
      <c r="O59" s="5306"/>
      <c r="P59" s="5306"/>
      <c r="Q59" s="5306"/>
      <c r="R59" s="5306"/>
      <c r="S59" s="5306"/>
      <c r="T59" s="5306"/>
      <c r="U59" s="5306"/>
      <c r="V59" s="5306"/>
      <c r="W59" s="5306"/>
      <c r="X59" s="5306"/>
      <c r="Y59" s="5306"/>
      <c r="Z59" s="5306"/>
      <c r="AA59" s="5306"/>
      <c r="AB59" s="5306"/>
      <c r="AC59" s="5306"/>
      <c r="AD59" s="5306"/>
      <c r="AE59" s="5306"/>
      <c r="AF59" s="5306"/>
      <c r="AG59" s="5306"/>
      <c r="AH59" s="5306"/>
      <c r="AI59" s="5306"/>
      <c r="AJ59" s="5306"/>
      <c r="AK59" s="5306"/>
      <c r="AL59" s="5306"/>
      <c r="AM59" s="5306"/>
      <c r="AN59" s="5306"/>
      <c r="AW59" s="3211"/>
      <c r="AX59" s="3211"/>
      <c r="AY59" s="3211"/>
      <c r="AZ59" s="3211"/>
      <c r="BB59" s="3211"/>
      <c r="BC59" s="3211"/>
      <c r="BD59" s="3211"/>
      <c r="BE59" s="3211"/>
      <c r="BF59" s="3211"/>
      <c r="BG59" s="3211"/>
      <c r="BH59" s="3211"/>
      <c r="BI59" s="3211"/>
      <c r="BJ59" s="3211"/>
      <c r="BK59" s="3211"/>
      <c r="BL59" s="3211"/>
      <c r="BM59" s="3211"/>
      <c r="BN59" s="3211"/>
      <c r="BO59" s="3211"/>
      <c r="BP59" s="3211"/>
      <c r="BQ59" s="3211"/>
      <c r="BR59" s="3211"/>
      <c r="BS59" s="3211"/>
      <c r="BT59" s="3211"/>
      <c r="BU59" s="3211"/>
      <c r="BV59" s="3211"/>
      <c r="BW59" s="3211"/>
      <c r="BX59" s="3211"/>
      <c r="BY59" s="3211"/>
      <c r="BZ59" s="3211"/>
      <c r="CA59" s="3211"/>
      <c r="CB59" s="3211"/>
      <c r="CF59" s="3211"/>
      <c r="CG59" s="3211"/>
      <c r="CH59" s="3211"/>
      <c r="CI59" s="3211"/>
      <c r="CJ59" s="3211"/>
      <c r="CK59" s="3211"/>
      <c r="CL59" s="3211"/>
      <c r="CM59" s="3211"/>
    </row>
    <row r="60" spans="1:91" ht="17.100000000000001" customHeight="1" x14ac:dyDescent="0.25">
      <c r="A60" s="5612"/>
      <c r="B60" s="11" t="s">
        <v>4241</v>
      </c>
      <c r="C60" s="11"/>
      <c r="D60" s="5306"/>
      <c r="E60" s="5306"/>
      <c r="F60" s="5306"/>
      <c r="G60" s="5306"/>
      <c r="H60" s="5306"/>
      <c r="I60" s="5306"/>
      <c r="J60" s="5306"/>
      <c r="K60" s="5306"/>
      <c r="L60" s="5306"/>
      <c r="M60" s="5306"/>
      <c r="N60" s="5306"/>
      <c r="O60" s="5306"/>
      <c r="P60" s="5306"/>
      <c r="Q60" s="5306"/>
      <c r="R60" s="5306"/>
      <c r="S60" s="5306"/>
      <c r="T60" s="5306"/>
      <c r="U60" s="5306"/>
      <c r="V60" s="5306"/>
      <c r="W60" s="5306"/>
      <c r="X60" s="5306"/>
      <c r="Y60" s="5306"/>
      <c r="Z60" s="5306"/>
      <c r="AA60" s="5306"/>
      <c r="AB60" s="5306"/>
      <c r="AC60" s="5306"/>
      <c r="AD60" s="5306"/>
      <c r="AE60" s="5306"/>
      <c r="AF60" s="5306"/>
      <c r="AG60" s="5306"/>
      <c r="AH60" s="5306"/>
      <c r="AI60" s="5306"/>
      <c r="AJ60" s="5306"/>
      <c r="AK60" s="5306"/>
      <c r="AL60" s="5306"/>
      <c r="AM60" s="5306"/>
      <c r="AN60" s="5306"/>
      <c r="AW60" s="3211"/>
      <c r="AX60" s="3211"/>
      <c r="AY60" s="3211"/>
      <c r="AZ60" s="3211"/>
      <c r="BB60" s="3211"/>
      <c r="BC60" s="3211"/>
      <c r="BD60" s="3211"/>
      <c r="BE60" s="3211"/>
      <c r="BF60" s="3211"/>
      <c r="BG60" s="3211"/>
      <c r="BH60" s="3211"/>
      <c r="BI60" s="3211"/>
      <c r="BJ60" s="3211"/>
      <c r="BK60" s="3211"/>
      <c r="BL60" s="3211"/>
      <c r="BM60" s="3211"/>
      <c r="BN60" s="3211"/>
      <c r="BO60" s="3211"/>
      <c r="BP60" s="3211"/>
      <c r="BQ60" s="3211"/>
      <c r="BR60" s="3211"/>
      <c r="BS60" s="3211"/>
      <c r="BT60" s="3211"/>
      <c r="BU60" s="3211"/>
      <c r="BV60" s="3211"/>
      <c r="BW60" s="3211"/>
      <c r="BX60" s="3211"/>
      <c r="BY60" s="3211"/>
      <c r="BZ60" s="3211"/>
      <c r="CA60" s="3211"/>
      <c r="CB60" s="3211"/>
      <c r="CF60" s="3211"/>
      <c r="CG60" s="3211"/>
      <c r="CH60" s="3211"/>
      <c r="CI60" s="3211"/>
      <c r="CJ60" s="3211"/>
      <c r="CK60" s="3211"/>
      <c r="CL60" s="3211"/>
      <c r="CM60" s="3211"/>
    </row>
    <row r="61" spans="1:91" x14ac:dyDescent="0.25">
      <c r="A61" s="5612"/>
      <c r="B61" s="6489" t="s">
        <v>3234</v>
      </c>
      <c r="C61" s="7676" t="s">
        <v>27</v>
      </c>
      <c r="D61" s="7687" t="s">
        <v>77</v>
      </c>
      <c r="E61" s="7687"/>
      <c r="F61" s="7687"/>
      <c r="G61" s="7320" t="s">
        <v>101</v>
      </c>
      <c r="H61" s="7955"/>
      <c r="I61" s="7955"/>
      <c r="J61" s="7955"/>
      <c r="K61" s="7955"/>
      <c r="L61" s="7955"/>
      <c r="M61" s="7955"/>
      <c r="N61" s="7955"/>
      <c r="O61" s="7955"/>
      <c r="P61" s="7955"/>
      <c r="Q61" s="7955"/>
      <c r="R61" s="7955"/>
      <c r="S61" s="7955"/>
      <c r="T61" s="7955"/>
      <c r="U61" s="7955"/>
      <c r="V61" s="7956"/>
      <c r="W61" s="7674" t="s">
        <v>4211</v>
      </c>
      <c r="X61" s="6786"/>
      <c r="Y61" s="7957" t="s">
        <v>4212</v>
      </c>
      <c r="Z61" s="7792"/>
      <c r="AA61" s="7725"/>
      <c r="AB61" s="7959" t="s">
        <v>4216</v>
      </c>
      <c r="AC61" s="7960"/>
      <c r="AD61" s="7961"/>
      <c r="AE61" s="7959" t="s">
        <v>4219</v>
      </c>
      <c r="AF61" s="7960"/>
      <c r="AG61" s="7961"/>
      <c r="AH61" s="7932" t="s">
        <v>4226</v>
      </c>
      <c r="AI61" s="7965"/>
      <c r="AJ61" s="7966"/>
      <c r="AK61" s="7856" t="s">
        <v>36</v>
      </c>
      <c r="AL61" s="5384"/>
      <c r="AM61" s="5385"/>
      <c r="AP61" s="151"/>
      <c r="AR61" s="151"/>
      <c r="AS61" s="151"/>
      <c r="AW61" s="3211"/>
      <c r="AX61" s="3211"/>
      <c r="AY61" s="3211"/>
      <c r="AZ61" s="3211"/>
      <c r="BB61" s="3211"/>
      <c r="BC61" s="3211"/>
      <c r="BD61" s="3211"/>
      <c r="BE61" s="3211"/>
      <c r="BF61" s="3211"/>
      <c r="BG61" s="3211"/>
      <c r="BH61" s="3211"/>
      <c r="BI61" s="3211"/>
      <c r="BJ61" s="3211"/>
      <c r="BK61" s="3211"/>
      <c r="BL61" s="3211"/>
      <c r="BM61" s="3211"/>
      <c r="BN61" s="3211"/>
      <c r="BO61" s="3211"/>
      <c r="BP61" s="3211"/>
      <c r="BQ61" s="3211"/>
      <c r="BR61" s="3211"/>
      <c r="BS61" s="3211"/>
      <c r="BT61" s="3211"/>
      <c r="BU61" s="3211"/>
      <c r="BV61" s="3211"/>
      <c r="BW61" s="3211"/>
      <c r="BX61" s="3211"/>
      <c r="BY61" s="3211"/>
      <c r="BZ61" s="3211"/>
      <c r="CA61" s="3211"/>
      <c r="CB61" s="3211"/>
      <c r="CF61" s="3211"/>
      <c r="CG61" s="3211"/>
      <c r="CH61" s="3211"/>
      <c r="CI61" s="3211"/>
      <c r="CJ61" s="3211"/>
      <c r="CK61" s="3211"/>
      <c r="CL61" s="3211"/>
      <c r="CM61" s="3211"/>
    </row>
    <row r="62" spans="1:91" x14ac:dyDescent="0.25">
      <c r="A62" s="5612"/>
      <c r="B62" s="6039"/>
      <c r="C62" s="7676"/>
      <c r="D62" s="7687"/>
      <c r="E62" s="7687"/>
      <c r="F62" s="7687"/>
      <c r="G62" s="6466" t="s">
        <v>3789</v>
      </c>
      <c r="H62" s="7940"/>
      <c r="I62" s="6466" t="s">
        <v>4225</v>
      </c>
      <c r="J62" s="7941"/>
      <c r="K62" s="7940" t="s">
        <v>1459</v>
      </c>
      <c r="L62" s="7941"/>
      <c r="M62" s="6466" t="s">
        <v>1460</v>
      </c>
      <c r="N62" s="7941"/>
      <c r="O62" s="6466" t="s">
        <v>1461</v>
      </c>
      <c r="P62" s="7941"/>
      <c r="Q62" s="6466" t="s">
        <v>1462</v>
      </c>
      <c r="R62" s="7941"/>
      <c r="S62" s="6466" t="s">
        <v>1463</v>
      </c>
      <c r="T62" s="7941"/>
      <c r="U62" s="7946" t="s">
        <v>938</v>
      </c>
      <c r="V62" s="7947"/>
      <c r="W62" s="6735"/>
      <c r="X62" s="6955"/>
      <c r="Y62" s="7958"/>
      <c r="Z62" s="7377"/>
      <c r="AA62" s="7178"/>
      <c r="AB62" s="7962"/>
      <c r="AC62" s="7963"/>
      <c r="AD62" s="7964"/>
      <c r="AE62" s="7962"/>
      <c r="AF62" s="7963"/>
      <c r="AG62" s="7964"/>
      <c r="AH62" s="7967"/>
      <c r="AI62" s="7968"/>
      <c r="AJ62" s="7969"/>
      <c r="AK62" s="7856"/>
      <c r="AL62" s="5386"/>
      <c r="AM62" s="5385"/>
      <c r="AN62" s="151"/>
      <c r="AW62" s="3211"/>
      <c r="AX62" s="3211"/>
      <c r="AY62" s="3211"/>
      <c r="AZ62" s="3211"/>
      <c r="BB62" s="3211"/>
      <c r="BC62" s="3211"/>
      <c r="BD62" s="3211"/>
      <c r="BE62" s="3211"/>
      <c r="BF62" s="3211"/>
      <c r="BG62" s="3211"/>
      <c r="BH62" s="3211"/>
      <c r="BI62" s="3211"/>
      <c r="BJ62" s="3211"/>
      <c r="BK62" s="3211"/>
      <c r="BL62" s="3211"/>
      <c r="BM62" s="3211"/>
      <c r="BN62" s="3211"/>
      <c r="BO62" s="3211"/>
      <c r="BP62" s="3211"/>
      <c r="BQ62" s="3211"/>
      <c r="BR62" s="3211"/>
      <c r="BS62" s="3211"/>
      <c r="BT62" s="3211"/>
      <c r="BU62" s="3211"/>
      <c r="BV62" s="3211"/>
      <c r="BW62" s="3211"/>
      <c r="BX62" s="3211"/>
      <c r="BY62" s="3211"/>
      <c r="BZ62" s="3211"/>
      <c r="CA62" s="3211"/>
      <c r="CB62" s="3211"/>
      <c r="CF62" s="3211"/>
      <c r="CG62" s="3211"/>
      <c r="CH62" s="3211"/>
      <c r="CI62" s="3211"/>
      <c r="CJ62" s="3211"/>
      <c r="CK62" s="3211"/>
      <c r="CL62" s="3211"/>
      <c r="CM62" s="3211"/>
    </row>
    <row r="63" spans="1:91" ht="21" x14ac:dyDescent="0.25">
      <c r="A63" s="5612"/>
      <c r="B63" s="6490"/>
      <c r="C63" s="7676"/>
      <c r="D63" s="5345" t="s">
        <v>79</v>
      </c>
      <c r="E63" s="5346" t="s">
        <v>58</v>
      </c>
      <c r="F63" s="1325" t="s">
        <v>59</v>
      </c>
      <c r="G63" s="5104" t="s">
        <v>58</v>
      </c>
      <c r="H63" s="1325" t="s">
        <v>59</v>
      </c>
      <c r="I63" s="5047" t="s">
        <v>58</v>
      </c>
      <c r="J63" s="1796" t="s">
        <v>59</v>
      </c>
      <c r="K63" s="5104" t="s">
        <v>58</v>
      </c>
      <c r="L63" s="1325" t="s">
        <v>59</v>
      </c>
      <c r="M63" s="5047" t="s">
        <v>58</v>
      </c>
      <c r="N63" s="1796" t="s">
        <v>59</v>
      </c>
      <c r="O63" s="5104" t="s">
        <v>58</v>
      </c>
      <c r="P63" s="1325" t="s">
        <v>59</v>
      </c>
      <c r="Q63" s="5047" t="s">
        <v>58</v>
      </c>
      <c r="R63" s="1796" t="s">
        <v>59</v>
      </c>
      <c r="S63" s="5104" t="s">
        <v>58</v>
      </c>
      <c r="T63" s="1325" t="s">
        <v>59</v>
      </c>
      <c r="U63" s="5047" t="s">
        <v>58</v>
      </c>
      <c r="V63" s="5048" t="s">
        <v>59</v>
      </c>
      <c r="W63" s="5347" t="s">
        <v>4221</v>
      </c>
      <c r="X63" s="1787" t="s">
        <v>4222</v>
      </c>
      <c r="Y63" s="1643" t="s">
        <v>4220</v>
      </c>
      <c r="Z63" s="1645" t="s">
        <v>4221</v>
      </c>
      <c r="AA63" s="1791" t="s">
        <v>4222</v>
      </c>
      <c r="AB63" s="1674" t="s">
        <v>4220</v>
      </c>
      <c r="AC63" s="1675" t="s">
        <v>4221</v>
      </c>
      <c r="AD63" s="1791" t="s">
        <v>4222</v>
      </c>
      <c r="AE63" s="1674" t="s">
        <v>4220</v>
      </c>
      <c r="AF63" s="1675" t="s">
        <v>4221</v>
      </c>
      <c r="AG63" s="1791" t="s">
        <v>4222</v>
      </c>
      <c r="AH63" s="1674" t="s">
        <v>4220</v>
      </c>
      <c r="AI63" s="1675" t="s">
        <v>4221</v>
      </c>
      <c r="AJ63" s="5348" t="s">
        <v>4222</v>
      </c>
      <c r="AK63" s="7856"/>
      <c r="AL63" s="5386"/>
      <c r="AM63" s="5385"/>
      <c r="AN63" s="151"/>
      <c r="AW63" s="3211"/>
      <c r="AX63" s="3211"/>
      <c r="AY63" s="3211"/>
      <c r="AZ63" s="3211"/>
      <c r="BB63" s="3211"/>
      <c r="BC63" s="3211"/>
      <c r="BD63" s="3211"/>
      <c r="BE63" s="3211"/>
      <c r="BF63" s="3211"/>
      <c r="BG63" s="3211"/>
      <c r="BH63" s="3211"/>
      <c r="BI63" s="3211"/>
      <c r="BJ63" s="3211"/>
      <c r="BK63" s="3211"/>
      <c r="BL63" s="3211"/>
      <c r="BM63" s="3211"/>
      <c r="BN63" s="3211"/>
      <c r="BO63" s="3211"/>
      <c r="BP63" s="3211"/>
      <c r="BQ63" s="3211"/>
      <c r="BR63" s="3211"/>
      <c r="BS63" s="3211"/>
      <c r="BT63" s="3211"/>
      <c r="BU63" s="3211"/>
      <c r="BV63" s="3211"/>
      <c r="BW63" s="3211"/>
      <c r="BX63" s="3211"/>
      <c r="BY63" s="3211"/>
      <c r="BZ63" s="3211"/>
      <c r="CA63" s="3211"/>
      <c r="CB63" s="3211"/>
      <c r="CF63" s="3211"/>
      <c r="CG63" s="3211"/>
      <c r="CH63" s="3211"/>
      <c r="CI63" s="3211"/>
      <c r="CJ63" s="3211"/>
      <c r="CK63" s="3211"/>
      <c r="CL63" s="3211"/>
      <c r="CM63" s="3211"/>
    </row>
    <row r="64" spans="1:91" x14ac:dyDescent="0.25">
      <c r="A64" s="5617">
        <v>34000027</v>
      </c>
      <c r="B64" s="7890" t="s">
        <v>4242</v>
      </c>
      <c r="C64" s="5387" t="s">
        <v>4228</v>
      </c>
      <c r="D64" s="5388" t="s">
        <v>4567</v>
      </c>
      <c r="E64" s="5389" t="s">
        <v>4568</v>
      </c>
      <c r="F64" s="5390" t="s">
        <v>4569</v>
      </c>
      <c r="G64" s="5391" t="s">
        <v>4570</v>
      </c>
      <c r="H64" s="2999" t="s">
        <v>4571</v>
      </c>
      <c r="I64" s="5391" t="s">
        <v>4572</v>
      </c>
      <c r="J64" s="4773" t="s">
        <v>4573</v>
      </c>
      <c r="K64" s="1726" t="s">
        <v>4574</v>
      </c>
      <c r="L64" s="748" t="s">
        <v>4575</v>
      </c>
      <c r="M64" s="5391" t="s">
        <v>4576</v>
      </c>
      <c r="N64" s="4773" t="s">
        <v>4577</v>
      </c>
      <c r="O64" s="1726" t="s">
        <v>4578</v>
      </c>
      <c r="P64" s="748" t="s">
        <v>4579</v>
      </c>
      <c r="Q64" s="5391" t="s">
        <v>4580</v>
      </c>
      <c r="R64" s="4773" t="s">
        <v>4581</v>
      </c>
      <c r="S64" s="1726" t="s">
        <v>4582</v>
      </c>
      <c r="T64" s="748" t="s">
        <v>4583</v>
      </c>
      <c r="U64" s="5391" t="s">
        <v>4584</v>
      </c>
      <c r="V64" s="736" t="s">
        <v>4585</v>
      </c>
      <c r="W64" s="5391" t="s">
        <v>4586</v>
      </c>
      <c r="X64" s="748" t="s">
        <v>4587</v>
      </c>
      <c r="Y64" s="940" t="s">
        <v>4588</v>
      </c>
      <c r="Z64" s="948" t="s">
        <v>4589</v>
      </c>
      <c r="AA64" s="748" t="s">
        <v>4590</v>
      </c>
      <c r="AB64" s="940" t="s">
        <v>4591</v>
      </c>
      <c r="AC64" s="948" t="s">
        <v>4592</v>
      </c>
      <c r="AD64" s="748" t="s">
        <v>4593</v>
      </c>
      <c r="AE64" s="940" t="s">
        <v>4594</v>
      </c>
      <c r="AF64" s="948" t="s">
        <v>4595</v>
      </c>
      <c r="AG64" s="748" t="s">
        <v>4596</v>
      </c>
      <c r="AH64" s="940" t="s">
        <v>4597</v>
      </c>
      <c r="AI64" s="948" t="s">
        <v>4598</v>
      </c>
      <c r="AJ64" s="736" t="s">
        <v>4599</v>
      </c>
      <c r="AK64" s="5351" t="s">
        <v>4600</v>
      </c>
      <c r="AL64" s="2193" t="str">
        <f>$CB64</f>
        <v xml:space="preserve">* El número de Pueblos Originarios no puede superar el Total.  </v>
      </c>
      <c r="AM64" s="6"/>
      <c r="AN64" s="1936"/>
      <c r="AO64" s="1936"/>
      <c r="AP64" s="1936"/>
      <c r="AQ64" s="193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CB64" s="4174" t="str">
        <f>IF(AND($D64&lt;&gt;0,AK64=""),"* No olvide ingresar la columna Pueblos Originarios, digite CERO si no tiene.  ",IF(AK64&gt;$D64,"* El número de Pueblos Originarios no puede superar el Total.  ",""))</f>
        <v xml:space="preserve">* El número de Pueblos Originarios no puede superar el Total.  </v>
      </c>
      <c r="CC64" s="2194"/>
      <c r="CD64" s="2194"/>
      <c r="CE64" s="2194"/>
      <c r="CF64" s="6"/>
      <c r="CG64" s="6"/>
      <c r="CH64" s="6"/>
      <c r="CI64" s="6"/>
      <c r="CJ64" s="6"/>
      <c r="CK64" s="6"/>
      <c r="CL64" s="6"/>
      <c r="CM64" s="55">
        <f t="shared" ref="CM64:CM71" si="29">IF(AND($D64&lt;&gt;0,AK64=""),1,IF(AK64&gt;$D64,1,0))</f>
        <v>1</v>
      </c>
    </row>
    <row r="65" spans="1:91" x14ac:dyDescent="0.25">
      <c r="A65" s="5617">
        <v>34000028</v>
      </c>
      <c r="B65" s="7153"/>
      <c r="C65" s="4115" t="s">
        <v>4230</v>
      </c>
      <c r="D65" s="302" t="s">
        <v>4567</v>
      </c>
      <c r="E65" s="210" t="s">
        <v>4568</v>
      </c>
      <c r="F65" s="3346" t="s">
        <v>4569</v>
      </c>
      <c r="G65" s="1127" t="s">
        <v>4570</v>
      </c>
      <c r="H65" s="387" t="s">
        <v>4571</v>
      </c>
      <c r="I65" s="1127" t="s">
        <v>4572</v>
      </c>
      <c r="J65" s="1128" t="s">
        <v>4573</v>
      </c>
      <c r="K65" s="1114" t="s">
        <v>4574</v>
      </c>
      <c r="L65" s="1115" t="s">
        <v>4575</v>
      </c>
      <c r="M65" s="1127" t="s">
        <v>4576</v>
      </c>
      <c r="N65" s="1128" t="s">
        <v>4577</v>
      </c>
      <c r="O65" s="1114" t="s">
        <v>4578</v>
      </c>
      <c r="P65" s="1115" t="s">
        <v>4579</v>
      </c>
      <c r="Q65" s="1127" t="s">
        <v>4580</v>
      </c>
      <c r="R65" s="1128" t="s">
        <v>4581</v>
      </c>
      <c r="S65" s="1114" t="s">
        <v>4582</v>
      </c>
      <c r="T65" s="1115" t="s">
        <v>4583</v>
      </c>
      <c r="U65" s="1114" t="s">
        <v>4584</v>
      </c>
      <c r="V65" s="1324" t="s">
        <v>4585</v>
      </c>
      <c r="W65" s="1303" t="s">
        <v>4586</v>
      </c>
      <c r="X65" s="1115" t="s">
        <v>4587</v>
      </c>
      <c r="Y65" s="964" t="s">
        <v>4588</v>
      </c>
      <c r="Z65" s="1006" t="s">
        <v>4589</v>
      </c>
      <c r="AA65" s="1115" t="s">
        <v>4590</v>
      </c>
      <c r="AB65" s="964" t="s">
        <v>4591</v>
      </c>
      <c r="AC65" s="1006" t="s">
        <v>4592</v>
      </c>
      <c r="AD65" s="1115" t="s">
        <v>4593</v>
      </c>
      <c r="AE65" s="964" t="s">
        <v>4594</v>
      </c>
      <c r="AF65" s="1006" t="s">
        <v>4595</v>
      </c>
      <c r="AG65" s="1115" t="s">
        <v>4596</v>
      </c>
      <c r="AH65" s="964" t="s">
        <v>4597</v>
      </c>
      <c r="AI65" s="1006" t="s">
        <v>4598</v>
      </c>
      <c r="AJ65" s="1324" t="s">
        <v>4599</v>
      </c>
      <c r="AK65" s="3444" t="s">
        <v>4600</v>
      </c>
      <c r="AL65" s="2193" t="str">
        <f t="shared" ref="AL65:AL71" si="30">$CB65</f>
        <v xml:space="preserve">* El número de Pueblos Originarios no puede superar el Total.  </v>
      </c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CB65" s="4174" t="str">
        <f t="shared" ref="CB65:CB71" si="31">IF(AND($D65&lt;&gt;0,AK65=""),"* No olvide ingresar la columna Pueblos Originarios, digite CERO si no tiene.  ",IF(AK65&gt;$D65,"* El número de Pueblos Originarios no puede superar el Total.  ",""))</f>
        <v xml:space="preserve">* El número de Pueblos Originarios no puede superar el Total.  </v>
      </c>
      <c r="CC65" s="2194"/>
      <c r="CD65" s="2194"/>
      <c r="CE65" s="2194"/>
      <c r="CF65" s="6"/>
      <c r="CG65" s="6"/>
      <c r="CH65" s="6"/>
      <c r="CI65" s="6"/>
      <c r="CJ65" s="6"/>
      <c r="CK65" s="6"/>
      <c r="CL65" s="6"/>
      <c r="CM65" s="55">
        <f t="shared" si="29"/>
        <v>1</v>
      </c>
    </row>
    <row r="66" spans="1:91" x14ac:dyDescent="0.25">
      <c r="A66" s="5617">
        <v>34000029</v>
      </c>
      <c r="B66" s="7890" t="s">
        <v>4243</v>
      </c>
      <c r="C66" s="4779" t="s">
        <v>4228</v>
      </c>
      <c r="D66" s="5388" t="s">
        <v>4567</v>
      </c>
      <c r="E66" s="5389" t="s">
        <v>4568</v>
      </c>
      <c r="F66" s="5390" t="s">
        <v>4569</v>
      </c>
      <c r="G66" s="4517" t="s">
        <v>4570</v>
      </c>
      <c r="H66" s="42" t="s">
        <v>4571</v>
      </c>
      <c r="I66" s="4517" t="s">
        <v>4572</v>
      </c>
      <c r="J66" s="3099" t="s">
        <v>4573</v>
      </c>
      <c r="K66" s="47" t="s">
        <v>4574</v>
      </c>
      <c r="L66" s="95" t="s">
        <v>4575</v>
      </c>
      <c r="M66" s="4517" t="s">
        <v>4576</v>
      </c>
      <c r="N66" s="3099" t="s">
        <v>4577</v>
      </c>
      <c r="O66" s="47" t="s">
        <v>4578</v>
      </c>
      <c r="P66" s="95" t="s">
        <v>4579</v>
      </c>
      <c r="Q66" s="4517" t="s">
        <v>4580</v>
      </c>
      <c r="R66" s="3099" t="s">
        <v>4581</v>
      </c>
      <c r="S66" s="47" t="s">
        <v>4582</v>
      </c>
      <c r="T66" s="95" t="s">
        <v>4583</v>
      </c>
      <c r="U66" s="4517" t="s">
        <v>4584</v>
      </c>
      <c r="V66" s="4519" t="s">
        <v>4585</v>
      </c>
      <c r="W66" s="4517" t="s">
        <v>4586</v>
      </c>
      <c r="X66" s="95" t="s">
        <v>4587</v>
      </c>
      <c r="Y66" s="326" t="s">
        <v>4588</v>
      </c>
      <c r="Z66" s="1014" t="s">
        <v>4589</v>
      </c>
      <c r="AA66" s="95" t="s">
        <v>4590</v>
      </c>
      <c r="AB66" s="326" t="s">
        <v>4591</v>
      </c>
      <c r="AC66" s="1014" t="s">
        <v>4592</v>
      </c>
      <c r="AD66" s="95" t="s">
        <v>4593</v>
      </c>
      <c r="AE66" s="326" t="s">
        <v>4594</v>
      </c>
      <c r="AF66" s="1014" t="s">
        <v>4595</v>
      </c>
      <c r="AG66" s="95" t="s">
        <v>4596</v>
      </c>
      <c r="AH66" s="326" t="s">
        <v>4597</v>
      </c>
      <c r="AI66" s="1014" t="s">
        <v>4598</v>
      </c>
      <c r="AJ66" s="4519" t="s">
        <v>4599</v>
      </c>
      <c r="AK66" s="5392" t="s">
        <v>4600</v>
      </c>
      <c r="AL66" s="2193" t="str">
        <f t="shared" si="30"/>
        <v xml:space="preserve">* El número de Pueblos Originarios no puede superar el Total.  </v>
      </c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CB66" s="4174" t="str">
        <f t="shared" si="31"/>
        <v xml:space="preserve">* El número de Pueblos Originarios no puede superar el Total.  </v>
      </c>
      <c r="CC66" s="2194"/>
      <c r="CD66" s="2194"/>
      <c r="CE66" s="2194"/>
      <c r="CF66" s="6"/>
      <c r="CG66" s="6"/>
      <c r="CH66" s="6"/>
      <c r="CI66" s="6"/>
      <c r="CJ66" s="6"/>
      <c r="CK66" s="6"/>
      <c r="CL66" s="6"/>
      <c r="CM66" s="55">
        <f t="shared" si="29"/>
        <v>1</v>
      </c>
    </row>
    <row r="67" spans="1:91" x14ac:dyDescent="0.25">
      <c r="A67" s="5617">
        <v>34000030</v>
      </c>
      <c r="B67" s="7917"/>
      <c r="C67" s="1162" t="s">
        <v>1035</v>
      </c>
      <c r="D67" s="231" t="s">
        <v>4567</v>
      </c>
      <c r="E67" s="41" t="s">
        <v>4568</v>
      </c>
      <c r="F67" s="141" t="s">
        <v>4569</v>
      </c>
      <c r="G67" s="481" t="s">
        <v>4570</v>
      </c>
      <c r="H67" s="2" t="s">
        <v>4571</v>
      </c>
      <c r="I67" s="481" t="s">
        <v>4572</v>
      </c>
      <c r="J67" s="1098" t="s">
        <v>4573</v>
      </c>
      <c r="K67" s="192" t="s">
        <v>4574</v>
      </c>
      <c r="L67" s="382" t="s">
        <v>4575</v>
      </c>
      <c r="M67" s="481" t="s">
        <v>4576</v>
      </c>
      <c r="N67" s="1098" t="s">
        <v>4577</v>
      </c>
      <c r="O67" s="192" t="s">
        <v>4578</v>
      </c>
      <c r="P67" s="382" t="s">
        <v>4579</v>
      </c>
      <c r="Q67" s="481" t="s">
        <v>4580</v>
      </c>
      <c r="R67" s="1098" t="s">
        <v>4581</v>
      </c>
      <c r="S67" s="192" t="s">
        <v>4582</v>
      </c>
      <c r="T67" s="382" t="s">
        <v>4583</v>
      </c>
      <c r="U67" s="481" t="s">
        <v>4584</v>
      </c>
      <c r="V67" s="383" t="s">
        <v>4585</v>
      </c>
      <c r="W67" s="481" t="s">
        <v>4586</v>
      </c>
      <c r="X67" s="382" t="s">
        <v>4587</v>
      </c>
      <c r="Y67" s="940" t="s">
        <v>4588</v>
      </c>
      <c r="Z67" s="948" t="s">
        <v>4589</v>
      </c>
      <c r="AA67" s="382" t="s">
        <v>4590</v>
      </c>
      <c r="AB67" s="940" t="s">
        <v>4591</v>
      </c>
      <c r="AC67" s="948" t="s">
        <v>4592</v>
      </c>
      <c r="AD67" s="382" t="s">
        <v>4593</v>
      </c>
      <c r="AE67" s="940" t="s">
        <v>4594</v>
      </c>
      <c r="AF67" s="948" t="s">
        <v>4595</v>
      </c>
      <c r="AG67" s="382" t="s">
        <v>4596</v>
      </c>
      <c r="AH67" s="940" t="s">
        <v>4597</v>
      </c>
      <c r="AI67" s="948" t="s">
        <v>4598</v>
      </c>
      <c r="AJ67" s="383" t="s">
        <v>4599</v>
      </c>
      <c r="AK67" s="4770" t="s">
        <v>4600</v>
      </c>
      <c r="AL67" s="2193" t="str">
        <f t="shared" si="30"/>
        <v xml:space="preserve">* El número de Pueblos Originarios no puede superar el Total.  </v>
      </c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CB67" s="4174" t="str">
        <f t="shared" si="31"/>
        <v xml:space="preserve">* El número de Pueblos Originarios no puede superar el Total.  </v>
      </c>
      <c r="CC67" s="2194"/>
      <c r="CD67" s="2194"/>
      <c r="CE67" s="2194"/>
      <c r="CF67" s="6"/>
      <c r="CG67" s="6"/>
      <c r="CH67" s="6"/>
      <c r="CI67" s="6"/>
      <c r="CJ67" s="6"/>
      <c r="CK67" s="6"/>
      <c r="CL67" s="6"/>
      <c r="CM67" s="55">
        <f t="shared" si="29"/>
        <v>1</v>
      </c>
    </row>
    <row r="68" spans="1:91" x14ac:dyDescent="0.25">
      <c r="A68" s="5617">
        <v>34000031</v>
      </c>
      <c r="B68" s="7153"/>
      <c r="C68" s="3108" t="s">
        <v>4229</v>
      </c>
      <c r="D68" s="1096" t="s">
        <v>4567</v>
      </c>
      <c r="E68" s="5393" t="s">
        <v>4568</v>
      </c>
      <c r="F68" s="3346" t="s">
        <v>4569</v>
      </c>
      <c r="G68" s="1114" t="s">
        <v>4570</v>
      </c>
      <c r="H68" s="387" t="s">
        <v>4571</v>
      </c>
      <c r="I68" s="1127" t="s">
        <v>4572</v>
      </c>
      <c r="J68" s="1128" t="s">
        <v>4573</v>
      </c>
      <c r="K68" s="1114" t="s">
        <v>4574</v>
      </c>
      <c r="L68" s="1115" t="s">
        <v>4575</v>
      </c>
      <c r="M68" s="1127" t="s">
        <v>4576</v>
      </c>
      <c r="N68" s="1128" t="s">
        <v>4577</v>
      </c>
      <c r="O68" s="1114" t="s">
        <v>4578</v>
      </c>
      <c r="P68" s="1115" t="s">
        <v>4579</v>
      </c>
      <c r="Q68" s="1127" t="s">
        <v>4580</v>
      </c>
      <c r="R68" s="1128" t="s">
        <v>4581</v>
      </c>
      <c r="S68" s="1114" t="s">
        <v>4582</v>
      </c>
      <c r="T68" s="1115" t="s">
        <v>4583</v>
      </c>
      <c r="U68" s="1127" t="s">
        <v>4584</v>
      </c>
      <c r="V68" s="1324" t="s">
        <v>4585</v>
      </c>
      <c r="W68" s="1127" t="s">
        <v>4586</v>
      </c>
      <c r="X68" s="1115" t="s">
        <v>4587</v>
      </c>
      <c r="Y68" s="964" t="s">
        <v>4588</v>
      </c>
      <c r="Z68" s="1006" t="s">
        <v>4589</v>
      </c>
      <c r="AA68" s="1115" t="s">
        <v>4590</v>
      </c>
      <c r="AB68" s="964" t="s">
        <v>4591</v>
      </c>
      <c r="AC68" s="1006" t="s">
        <v>4592</v>
      </c>
      <c r="AD68" s="1115" t="s">
        <v>4593</v>
      </c>
      <c r="AE68" s="964" t="s">
        <v>4594</v>
      </c>
      <c r="AF68" s="1006" t="s">
        <v>4595</v>
      </c>
      <c r="AG68" s="1115" t="s">
        <v>4596</v>
      </c>
      <c r="AH68" s="964" t="s">
        <v>4597</v>
      </c>
      <c r="AI68" s="1006" t="s">
        <v>4598</v>
      </c>
      <c r="AJ68" s="1324" t="s">
        <v>4599</v>
      </c>
      <c r="AK68" s="1255" t="s">
        <v>4600</v>
      </c>
      <c r="AL68" s="2193" t="str">
        <f t="shared" si="30"/>
        <v xml:space="preserve">* El número de Pueblos Originarios no puede superar el Total.  </v>
      </c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CB68" s="4174" t="str">
        <f t="shared" si="31"/>
        <v xml:space="preserve">* El número de Pueblos Originarios no puede superar el Total.  </v>
      </c>
      <c r="CC68" s="2194"/>
      <c r="CD68" s="2194"/>
      <c r="CE68" s="2194"/>
      <c r="CF68" s="6"/>
      <c r="CG68" s="6"/>
      <c r="CH68" s="6"/>
      <c r="CI68" s="6"/>
      <c r="CJ68" s="6"/>
      <c r="CK68" s="6"/>
      <c r="CL68" s="6"/>
      <c r="CM68" s="55">
        <f t="shared" si="29"/>
        <v>1</v>
      </c>
    </row>
    <row r="69" spans="1:91" x14ac:dyDescent="0.25">
      <c r="A69" s="5617">
        <v>34000032</v>
      </c>
      <c r="B69" s="7838" t="s">
        <v>4244</v>
      </c>
      <c r="C69" s="4779" t="s">
        <v>4228</v>
      </c>
      <c r="D69" s="5394" t="s">
        <v>4567</v>
      </c>
      <c r="E69" s="5395" t="s">
        <v>4568</v>
      </c>
      <c r="F69" s="5390" t="s">
        <v>4569</v>
      </c>
      <c r="G69" s="5375" t="s">
        <v>4570</v>
      </c>
      <c r="H69" s="882" t="s">
        <v>4571</v>
      </c>
      <c r="I69" s="5375" t="s">
        <v>4572</v>
      </c>
      <c r="J69" s="882" t="s">
        <v>4573</v>
      </c>
      <c r="K69" s="5375" t="s">
        <v>4574</v>
      </c>
      <c r="L69" s="882" t="s">
        <v>4575</v>
      </c>
      <c r="M69" s="5375" t="s">
        <v>4576</v>
      </c>
      <c r="N69" s="882" t="s">
        <v>4577</v>
      </c>
      <c r="O69" s="5375" t="s">
        <v>4578</v>
      </c>
      <c r="P69" s="882" t="s">
        <v>4579</v>
      </c>
      <c r="Q69" s="5375" t="s">
        <v>4580</v>
      </c>
      <c r="R69" s="882" t="s">
        <v>4581</v>
      </c>
      <c r="S69" s="5375" t="s">
        <v>4582</v>
      </c>
      <c r="T69" s="882" t="s">
        <v>4583</v>
      </c>
      <c r="U69" s="5375" t="s">
        <v>4584</v>
      </c>
      <c r="V69" s="1001" t="s">
        <v>4585</v>
      </c>
      <c r="W69" s="4517" t="s">
        <v>4586</v>
      </c>
      <c r="X69" s="95" t="s">
        <v>4587</v>
      </c>
      <c r="Y69" s="326" t="s">
        <v>4588</v>
      </c>
      <c r="Z69" s="1014" t="s">
        <v>4589</v>
      </c>
      <c r="AA69" s="95" t="s">
        <v>4590</v>
      </c>
      <c r="AB69" s="326" t="s">
        <v>4591</v>
      </c>
      <c r="AC69" s="1014" t="s">
        <v>4592</v>
      </c>
      <c r="AD69" s="95" t="s">
        <v>4593</v>
      </c>
      <c r="AE69" s="326" t="s">
        <v>4594</v>
      </c>
      <c r="AF69" s="1014" t="s">
        <v>4595</v>
      </c>
      <c r="AG69" s="95" t="s">
        <v>4596</v>
      </c>
      <c r="AH69" s="326" t="s">
        <v>4597</v>
      </c>
      <c r="AI69" s="1014" t="s">
        <v>4598</v>
      </c>
      <c r="AJ69" s="4519" t="s">
        <v>4599</v>
      </c>
      <c r="AK69" s="42" t="s">
        <v>4600</v>
      </c>
      <c r="AL69" s="2193" t="str">
        <f t="shared" si="30"/>
        <v xml:space="preserve">* El número de Pueblos Originarios no puede superar el Total.  </v>
      </c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CB69" s="4174" t="str">
        <f t="shared" si="31"/>
        <v xml:space="preserve">* El número de Pueblos Originarios no puede superar el Total.  </v>
      </c>
      <c r="CC69" s="2194"/>
      <c r="CD69" s="2194"/>
      <c r="CE69" s="2194"/>
      <c r="CF69" s="6"/>
      <c r="CG69" s="6"/>
      <c r="CH69" s="6"/>
      <c r="CI69" s="6"/>
      <c r="CJ69" s="6"/>
      <c r="CK69" s="6"/>
      <c r="CL69" s="6"/>
      <c r="CM69" s="55">
        <f t="shared" si="29"/>
        <v>1</v>
      </c>
    </row>
    <row r="70" spans="1:91" x14ac:dyDescent="0.25">
      <c r="A70" s="5617">
        <v>34000033</v>
      </c>
      <c r="B70" s="7838"/>
      <c r="C70" s="1162" t="s">
        <v>1035</v>
      </c>
      <c r="D70" s="4911" t="s">
        <v>4567</v>
      </c>
      <c r="E70" s="1182" t="s">
        <v>4568</v>
      </c>
      <c r="F70" s="141" t="s">
        <v>4569</v>
      </c>
      <c r="G70" s="943" t="s">
        <v>4570</v>
      </c>
      <c r="H70" s="942" t="s">
        <v>4571</v>
      </c>
      <c r="I70" s="943" t="s">
        <v>4572</v>
      </c>
      <c r="J70" s="942" t="s">
        <v>4573</v>
      </c>
      <c r="K70" s="943" t="s">
        <v>4574</v>
      </c>
      <c r="L70" s="942" t="s">
        <v>4575</v>
      </c>
      <c r="M70" s="943" t="s">
        <v>4576</v>
      </c>
      <c r="N70" s="942" t="s">
        <v>4577</v>
      </c>
      <c r="O70" s="943" t="s">
        <v>4578</v>
      </c>
      <c r="P70" s="942" t="s">
        <v>4579</v>
      </c>
      <c r="Q70" s="943" t="s">
        <v>4580</v>
      </c>
      <c r="R70" s="942" t="s">
        <v>4581</v>
      </c>
      <c r="S70" s="943" t="s">
        <v>4582</v>
      </c>
      <c r="T70" s="942" t="s">
        <v>4583</v>
      </c>
      <c r="U70" s="943" t="s">
        <v>4584</v>
      </c>
      <c r="V70" s="946" t="s">
        <v>4585</v>
      </c>
      <c r="W70" s="481" t="s">
        <v>4586</v>
      </c>
      <c r="X70" s="382" t="s">
        <v>4587</v>
      </c>
      <c r="Y70" s="940" t="s">
        <v>4588</v>
      </c>
      <c r="Z70" s="948" t="s">
        <v>4589</v>
      </c>
      <c r="AA70" s="382" t="s">
        <v>4590</v>
      </c>
      <c r="AB70" s="940" t="s">
        <v>4591</v>
      </c>
      <c r="AC70" s="948" t="s">
        <v>4592</v>
      </c>
      <c r="AD70" s="382" t="s">
        <v>4593</v>
      </c>
      <c r="AE70" s="940" t="s">
        <v>4594</v>
      </c>
      <c r="AF70" s="948" t="s">
        <v>4595</v>
      </c>
      <c r="AG70" s="382" t="s">
        <v>4596</v>
      </c>
      <c r="AH70" s="940" t="s">
        <v>4597</v>
      </c>
      <c r="AI70" s="948" t="s">
        <v>4598</v>
      </c>
      <c r="AJ70" s="383" t="s">
        <v>4599</v>
      </c>
      <c r="AK70" s="2" t="s">
        <v>4600</v>
      </c>
      <c r="AL70" s="2193" t="str">
        <f t="shared" si="30"/>
        <v xml:space="preserve">* El número de Pueblos Originarios no puede superar el Total.  </v>
      </c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CB70" s="4174" t="str">
        <f t="shared" si="31"/>
        <v xml:space="preserve">* El número de Pueblos Originarios no puede superar el Total.  </v>
      </c>
      <c r="CC70" s="2194"/>
      <c r="CD70" s="2194"/>
      <c r="CE70" s="2194"/>
      <c r="CF70" s="6"/>
      <c r="CG70" s="6"/>
      <c r="CH70" s="6"/>
      <c r="CI70" s="6"/>
      <c r="CJ70" s="6"/>
      <c r="CK70" s="6"/>
      <c r="CL70" s="6"/>
      <c r="CM70" s="55">
        <f t="shared" si="29"/>
        <v>1</v>
      </c>
    </row>
    <row r="71" spans="1:91" x14ac:dyDescent="0.25">
      <c r="A71" s="5617">
        <v>34000034</v>
      </c>
      <c r="B71" s="7942"/>
      <c r="C71" s="5396" t="s">
        <v>4229</v>
      </c>
      <c r="D71" s="1200" t="s">
        <v>4567</v>
      </c>
      <c r="E71" s="1186" t="s">
        <v>4568</v>
      </c>
      <c r="F71" s="3346" t="s">
        <v>4569</v>
      </c>
      <c r="G71" s="964" t="s">
        <v>4570</v>
      </c>
      <c r="H71" s="965" t="s">
        <v>4571</v>
      </c>
      <c r="I71" s="966" t="s">
        <v>4572</v>
      </c>
      <c r="J71" s="965" t="s">
        <v>4573</v>
      </c>
      <c r="K71" s="966" t="s">
        <v>4574</v>
      </c>
      <c r="L71" s="965" t="s">
        <v>4575</v>
      </c>
      <c r="M71" s="966" t="s">
        <v>4576</v>
      </c>
      <c r="N71" s="965" t="s">
        <v>4577</v>
      </c>
      <c r="O71" s="966" t="s">
        <v>4578</v>
      </c>
      <c r="P71" s="965" t="s">
        <v>4579</v>
      </c>
      <c r="Q71" s="966" t="s">
        <v>4580</v>
      </c>
      <c r="R71" s="965" t="s">
        <v>4581</v>
      </c>
      <c r="S71" s="966" t="s">
        <v>4582</v>
      </c>
      <c r="T71" s="965" t="s">
        <v>4583</v>
      </c>
      <c r="U71" s="966" t="s">
        <v>4584</v>
      </c>
      <c r="V71" s="969" t="s">
        <v>4585</v>
      </c>
      <c r="W71" s="1127" t="s">
        <v>4586</v>
      </c>
      <c r="X71" s="1115" t="s">
        <v>4587</v>
      </c>
      <c r="Y71" s="964" t="s">
        <v>4588</v>
      </c>
      <c r="Z71" s="1006" t="s">
        <v>4589</v>
      </c>
      <c r="AA71" s="1115" t="s">
        <v>4590</v>
      </c>
      <c r="AB71" s="964" t="s">
        <v>4591</v>
      </c>
      <c r="AC71" s="1006" t="s">
        <v>4592</v>
      </c>
      <c r="AD71" s="1115" t="s">
        <v>4593</v>
      </c>
      <c r="AE71" s="964" t="s">
        <v>4594</v>
      </c>
      <c r="AF71" s="1006" t="s">
        <v>4595</v>
      </c>
      <c r="AG71" s="1115" t="s">
        <v>4596</v>
      </c>
      <c r="AH71" s="964" t="s">
        <v>4597</v>
      </c>
      <c r="AI71" s="1006" t="s">
        <v>4598</v>
      </c>
      <c r="AJ71" s="1324" t="s">
        <v>4599</v>
      </c>
      <c r="AK71" s="387" t="s">
        <v>4600</v>
      </c>
      <c r="AL71" s="2193" t="str">
        <f t="shared" si="30"/>
        <v xml:space="preserve">* El número de Pueblos Originarios no puede superar el Total.  </v>
      </c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CB71" s="4174" t="str">
        <f t="shared" si="31"/>
        <v xml:space="preserve">* El número de Pueblos Originarios no puede superar el Total.  </v>
      </c>
      <c r="CC71" s="2194"/>
      <c r="CD71" s="2194"/>
      <c r="CE71" s="2194"/>
      <c r="CF71" s="6"/>
      <c r="CG71" s="6"/>
      <c r="CH71" s="6"/>
      <c r="CI71" s="6"/>
      <c r="CJ71" s="6"/>
      <c r="CK71" s="6"/>
      <c r="CL71" s="6"/>
      <c r="CM71" s="55">
        <f t="shared" si="29"/>
        <v>1</v>
      </c>
    </row>
    <row r="72" spans="1:91" ht="17.100000000000001" customHeight="1" x14ac:dyDescent="0.25">
      <c r="A72" s="5612"/>
      <c r="B72" s="1" t="s">
        <v>4245</v>
      </c>
      <c r="C72" s="11"/>
      <c r="D72" s="5306"/>
      <c r="E72" s="5306"/>
      <c r="F72" s="5306"/>
      <c r="G72" s="5306"/>
      <c r="H72" s="5306"/>
      <c r="I72" s="5306"/>
      <c r="J72" s="5306"/>
      <c r="K72" s="5306"/>
      <c r="L72" s="5306"/>
      <c r="M72" s="5306"/>
      <c r="N72" s="5306"/>
      <c r="O72" s="5306"/>
      <c r="P72" s="5306"/>
      <c r="Q72" s="5306"/>
      <c r="R72" s="5306"/>
      <c r="S72" s="5306"/>
      <c r="T72" s="5306"/>
      <c r="U72" s="5306"/>
      <c r="V72" s="5306"/>
      <c r="W72" s="5306"/>
      <c r="X72" s="5306"/>
      <c r="Y72" s="5306"/>
      <c r="Z72" s="5306"/>
      <c r="AA72" s="5306"/>
      <c r="AB72" s="5306"/>
      <c r="AC72" s="5306"/>
      <c r="AD72" s="5306"/>
      <c r="AE72" s="5306"/>
      <c r="AF72" s="5306"/>
      <c r="AG72" s="5306"/>
      <c r="AH72" s="5306"/>
      <c r="AI72" s="5306"/>
      <c r="AJ72" s="5306"/>
      <c r="AK72" s="5306"/>
      <c r="AL72" s="5306"/>
      <c r="AM72" s="5306"/>
      <c r="AN72" s="5306"/>
      <c r="AW72" s="3211"/>
      <c r="AX72" s="3211"/>
      <c r="AY72" s="3211"/>
      <c r="AZ72" s="3211"/>
      <c r="BB72" s="3211"/>
      <c r="BC72" s="3211"/>
      <c r="BD72" s="3211"/>
      <c r="BE72" s="3211"/>
      <c r="BF72" s="3211"/>
      <c r="BG72" s="3211"/>
      <c r="BH72" s="3211"/>
      <c r="BI72" s="3211"/>
      <c r="BJ72" s="3211"/>
      <c r="BK72" s="3211"/>
      <c r="BL72" s="3211"/>
      <c r="BM72" s="3211"/>
      <c r="BN72" s="3211"/>
      <c r="BO72" s="3211"/>
      <c r="BP72" s="3211"/>
      <c r="BQ72" s="3211"/>
      <c r="BR72" s="3211"/>
      <c r="BS72" s="3211"/>
      <c r="BT72" s="3211"/>
      <c r="BU72" s="3211"/>
      <c r="BV72" s="3211"/>
      <c r="BW72" s="3211"/>
      <c r="BX72" s="3211"/>
      <c r="BY72" s="3211"/>
      <c r="BZ72" s="3211"/>
      <c r="CA72" s="3211"/>
      <c r="CB72" s="3211"/>
      <c r="CF72" s="3211"/>
      <c r="CG72" s="3211"/>
      <c r="CH72" s="3211"/>
      <c r="CI72" s="3211"/>
      <c r="CJ72" s="3211"/>
      <c r="CK72" s="3211"/>
      <c r="CL72" s="3211"/>
      <c r="CM72" s="3211"/>
    </row>
    <row r="73" spans="1:91" x14ac:dyDescent="0.25">
      <c r="A73" s="5612"/>
      <c r="B73" s="7970" t="s">
        <v>4246</v>
      </c>
      <c r="C73" s="7970" t="s">
        <v>1159</v>
      </c>
      <c r="D73" s="7970" t="s">
        <v>2520</v>
      </c>
      <c r="E73" s="7971" t="s">
        <v>2521</v>
      </c>
      <c r="F73" s="7973" t="s">
        <v>4224</v>
      </c>
      <c r="G73" s="7973"/>
      <c r="H73" s="7973"/>
      <c r="I73" s="7973"/>
      <c r="J73" s="7951"/>
      <c r="K73" s="5306"/>
      <c r="L73" s="5306"/>
      <c r="M73" s="5306"/>
      <c r="N73" s="5306"/>
      <c r="O73" s="5306"/>
      <c r="P73" s="5306"/>
      <c r="Q73" s="5306"/>
      <c r="R73" s="5306"/>
      <c r="S73" s="5306"/>
      <c r="T73" s="5306"/>
      <c r="U73" s="5306"/>
      <c r="V73" s="5306"/>
      <c r="W73" s="5306"/>
      <c r="X73" s="5306"/>
      <c r="Y73" s="5306"/>
      <c r="Z73" s="5306"/>
      <c r="AA73" s="5306"/>
      <c r="AB73" s="5306"/>
      <c r="AC73" s="5306"/>
      <c r="AD73" s="5306"/>
      <c r="AE73" s="5306"/>
      <c r="AF73" s="5306"/>
      <c r="AG73" s="5306"/>
      <c r="AH73" s="5306"/>
      <c r="AI73" s="5306"/>
      <c r="AJ73" s="5306"/>
      <c r="AK73" s="5306"/>
      <c r="AL73" s="5306"/>
      <c r="AM73" s="5306"/>
      <c r="AN73" s="5306"/>
      <c r="AW73" s="3211"/>
      <c r="AX73" s="3211"/>
      <c r="AY73" s="3211"/>
      <c r="AZ73" s="3211"/>
      <c r="BB73" s="3211"/>
      <c r="BC73" s="3211"/>
      <c r="BD73" s="3211"/>
      <c r="BE73" s="3211"/>
      <c r="BF73" s="3211"/>
      <c r="BG73" s="3211"/>
      <c r="BH73" s="3211"/>
      <c r="BI73" s="3211"/>
      <c r="BJ73" s="3211"/>
      <c r="BK73" s="3211"/>
      <c r="BL73" s="3211"/>
      <c r="BM73" s="3211"/>
      <c r="BN73" s="3211"/>
      <c r="BO73" s="3211"/>
      <c r="BP73" s="3211"/>
      <c r="BQ73" s="3211"/>
      <c r="BR73" s="3211"/>
      <c r="BS73" s="3211"/>
      <c r="BT73" s="3211"/>
      <c r="BU73" s="3211"/>
      <c r="BV73" s="3211"/>
      <c r="BW73" s="3211"/>
      <c r="BX73" s="3211"/>
      <c r="BY73" s="3211"/>
      <c r="BZ73" s="3211"/>
      <c r="CA73" s="3211"/>
      <c r="CB73" s="3211"/>
      <c r="CF73" s="3211"/>
      <c r="CG73" s="3211"/>
      <c r="CH73" s="3211"/>
      <c r="CI73" s="3211"/>
      <c r="CJ73" s="3211"/>
      <c r="CK73" s="3211"/>
      <c r="CL73" s="3211"/>
      <c r="CM73" s="3211"/>
    </row>
    <row r="74" spans="1:91" ht="63.75" customHeight="1" x14ac:dyDescent="0.25">
      <c r="A74" s="5612"/>
      <c r="B74" s="6932"/>
      <c r="C74" s="6932"/>
      <c r="D74" s="6932"/>
      <c r="E74" s="7972"/>
      <c r="F74" s="5397" t="s">
        <v>4211</v>
      </c>
      <c r="G74" s="5398" t="s">
        <v>4212</v>
      </c>
      <c r="H74" s="5398" t="s">
        <v>4216</v>
      </c>
      <c r="I74" s="5398" t="s">
        <v>4219</v>
      </c>
      <c r="J74" s="5399" t="s">
        <v>4226</v>
      </c>
      <c r="K74" s="3211"/>
      <c r="L74" s="164"/>
      <c r="M74" s="164"/>
      <c r="N74" s="3211"/>
      <c r="O74" s="164"/>
      <c r="P74" s="164"/>
      <c r="Q74" s="3211"/>
      <c r="R74" s="5400"/>
      <c r="S74" s="5400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W74" s="3211"/>
      <c r="AX74" s="3211"/>
      <c r="AY74" s="3211"/>
      <c r="AZ74" s="3211"/>
      <c r="BB74" s="3211"/>
      <c r="BC74" s="3211"/>
      <c r="BD74" s="3211"/>
      <c r="BE74" s="3211"/>
      <c r="BF74" s="3211"/>
      <c r="BG74" s="3211"/>
      <c r="BH74" s="3211"/>
      <c r="BI74" s="3211"/>
      <c r="BJ74" s="3211"/>
      <c r="BK74" s="3211"/>
      <c r="BL74" s="3211"/>
      <c r="BM74" s="3211"/>
      <c r="BN74" s="3211"/>
      <c r="BO74" s="3211"/>
      <c r="BP74" s="3211"/>
      <c r="BQ74" s="3211"/>
      <c r="BR74" s="3211"/>
      <c r="BS74" s="3211"/>
      <c r="BT74" s="3211"/>
      <c r="BU74" s="3211"/>
      <c r="BV74" s="3211"/>
      <c r="BW74" s="3211"/>
      <c r="BX74" s="3211"/>
      <c r="BY74" s="3211"/>
      <c r="BZ74" s="3211"/>
      <c r="CA74" s="3211"/>
      <c r="CB74" s="3211"/>
      <c r="CF74" s="3211"/>
      <c r="CG74" s="3211"/>
      <c r="CH74" s="3211"/>
      <c r="CI74" s="3211"/>
      <c r="CJ74" s="3211"/>
      <c r="CK74" s="3211"/>
      <c r="CL74" s="3211"/>
      <c r="CM74" s="3211"/>
    </row>
    <row r="75" spans="1:91" ht="12.75" customHeight="1" x14ac:dyDescent="0.25">
      <c r="A75" s="5617">
        <v>34000035</v>
      </c>
      <c r="B75" s="7970" t="s">
        <v>1068</v>
      </c>
      <c r="C75" s="5387" t="s">
        <v>4228</v>
      </c>
      <c r="D75" s="5401" t="s">
        <v>4567</v>
      </c>
      <c r="E75" s="5402" t="s">
        <v>4568</v>
      </c>
      <c r="F75" s="5403" t="s">
        <v>4569</v>
      </c>
      <c r="G75" s="935" t="s">
        <v>4570</v>
      </c>
      <c r="H75" s="935" t="s">
        <v>4571</v>
      </c>
      <c r="I75" s="935" t="s">
        <v>4572</v>
      </c>
      <c r="J75" s="5382" t="s">
        <v>4573</v>
      </c>
      <c r="K75" s="164"/>
      <c r="L75" s="164"/>
      <c r="M75" s="164"/>
      <c r="N75" s="164"/>
      <c r="O75" s="164"/>
      <c r="P75" s="164"/>
      <c r="Q75" s="5400"/>
      <c r="R75" s="5400"/>
      <c r="S75" s="5400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W75" s="3211"/>
      <c r="AX75" s="3211"/>
      <c r="AY75" s="3211"/>
      <c r="AZ75" s="3211"/>
      <c r="BB75" s="3211"/>
      <c r="BC75" s="3211"/>
      <c r="BD75" s="3211"/>
      <c r="BE75" s="3211"/>
      <c r="BF75" s="3211"/>
      <c r="BG75" s="3211"/>
      <c r="BH75" s="3211"/>
      <c r="BI75" s="3211"/>
      <c r="BJ75" s="3211"/>
      <c r="BK75" s="3211"/>
      <c r="BL75" s="3211"/>
      <c r="BM75" s="3211"/>
      <c r="BN75" s="3211"/>
      <c r="BO75" s="3211"/>
      <c r="BP75" s="3211"/>
      <c r="BQ75" s="3211"/>
      <c r="BR75" s="3211"/>
      <c r="BS75" s="3211"/>
      <c r="BT75" s="3211"/>
      <c r="BU75" s="3211"/>
      <c r="BV75" s="3211"/>
      <c r="BW75" s="3211"/>
      <c r="BX75" s="3211"/>
      <c r="BY75" s="3211"/>
      <c r="BZ75" s="3211"/>
      <c r="CA75" s="3211"/>
      <c r="CB75" s="3211"/>
      <c r="CF75" s="3211"/>
      <c r="CG75" s="3211"/>
      <c r="CH75" s="3211"/>
      <c r="CI75" s="3211"/>
      <c r="CJ75" s="3211"/>
      <c r="CK75" s="3211"/>
      <c r="CL75" s="3211"/>
      <c r="CM75" s="3211"/>
    </row>
    <row r="76" spans="1:91" x14ac:dyDescent="0.25">
      <c r="A76" s="5617">
        <v>34000036</v>
      </c>
      <c r="B76" s="7970"/>
      <c r="C76" s="4115" t="s">
        <v>4230</v>
      </c>
      <c r="D76" s="4109" t="s">
        <v>4567</v>
      </c>
      <c r="E76" s="4147" t="s">
        <v>4568</v>
      </c>
      <c r="F76" s="992" t="s">
        <v>4569</v>
      </c>
      <c r="G76" s="993" t="s">
        <v>4570</v>
      </c>
      <c r="H76" s="993" t="s">
        <v>4571</v>
      </c>
      <c r="I76" s="993" t="s">
        <v>4572</v>
      </c>
      <c r="J76" s="34" t="s">
        <v>4573</v>
      </c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W76" s="3211"/>
      <c r="AX76" s="3211"/>
      <c r="AY76" s="3211"/>
      <c r="AZ76" s="3211"/>
      <c r="BB76" s="3211"/>
      <c r="BC76" s="3211"/>
      <c r="BD76" s="3211"/>
      <c r="BE76" s="3211"/>
      <c r="BF76" s="3211"/>
      <c r="BG76" s="3211"/>
      <c r="BH76" s="3211"/>
      <c r="BI76" s="3211"/>
      <c r="BJ76" s="3211"/>
      <c r="BK76" s="3211"/>
      <c r="BL76" s="3211"/>
      <c r="BM76" s="3211"/>
      <c r="BN76" s="3211"/>
      <c r="BO76" s="3211"/>
      <c r="BP76" s="3211"/>
      <c r="BQ76" s="3211"/>
      <c r="BR76" s="3211"/>
      <c r="BS76" s="3211"/>
      <c r="BT76" s="3211"/>
      <c r="BU76" s="3211"/>
      <c r="BV76" s="3211"/>
      <c r="BW76" s="3211"/>
      <c r="BX76" s="3211"/>
      <c r="BY76" s="3211"/>
      <c r="BZ76" s="3211"/>
      <c r="CA76" s="3211"/>
      <c r="CB76" s="3211"/>
      <c r="CF76" s="3211"/>
      <c r="CG76" s="3211"/>
      <c r="CH76" s="3211"/>
      <c r="CI76" s="3211"/>
      <c r="CJ76" s="3211"/>
      <c r="CK76" s="3211"/>
      <c r="CL76" s="3211"/>
      <c r="CM76" s="3211"/>
    </row>
    <row r="77" spans="1:91" x14ac:dyDescent="0.25">
      <c r="A77" s="5617">
        <v>34000037</v>
      </c>
      <c r="B77" s="7970" t="s">
        <v>1067</v>
      </c>
      <c r="C77" s="5387" t="s">
        <v>4228</v>
      </c>
      <c r="D77" s="5401" t="s">
        <v>4567</v>
      </c>
      <c r="E77" s="5402" t="s">
        <v>4568</v>
      </c>
      <c r="F77" s="5403" t="s">
        <v>4569</v>
      </c>
      <c r="G77" s="935" t="s">
        <v>4570</v>
      </c>
      <c r="H77" s="935" t="s">
        <v>4571</v>
      </c>
      <c r="I77" s="935" t="s">
        <v>4572</v>
      </c>
      <c r="J77" s="5382" t="s">
        <v>4573</v>
      </c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W77" s="3211"/>
      <c r="AX77" s="3211"/>
      <c r="AY77" s="3211"/>
      <c r="AZ77" s="3211"/>
      <c r="BB77" s="3211"/>
      <c r="BC77" s="3211"/>
      <c r="BD77" s="3211"/>
      <c r="BE77" s="3211"/>
      <c r="BF77" s="3211"/>
      <c r="BG77" s="3211"/>
      <c r="BH77" s="3211"/>
      <c r="BI77" s="3211"/>
      <c r="BJ77" s="3211"/>
      <c r="BK77" s="3211"/>
      <c r="BL77" s="3211"/>
      <c r="BM77" s="3211"/>
      <c r="BN77" s="3211"/>
      <c r="BO77" s="3211"/>
      <c r="BP77" s="3211"/>
      <c r="BQ77" s="3211"/>
      <c r="BR77" s="3211"/>
      <c r="BS77" s="3211"/>
      <c r="BT77" s="3211"/>
      <c r="BU77" s="3211"/>
      <c r="BV77" s="3211"/>
      <c r="BW77" s="3211"/>
      <c r="BX77" s="3211"/>
      <c r="BY77" s="3211"/>
      <c r="BZ77" s="3211"/>
      <c r="CA77" s="3211"/>
      <c r="CB77" s="3211"/>
      <c r="CF77" s="3211"/>
      <c r="CG77" s="3211"/>
      <c r="CH77" s="3211"/>
      <c r="CI77" s="3211"/>
      <c r="CJ77" s="3211"/>
      <c r="CK77" s="3211"/>
      <c r="CL77" s="3211"/>
      <c r="CM77" s="3211"/>
    </row>
    <row r="78" spans="1:91" x14ac:dyDescent="0.25">
      <c r="A78" s="5617">
        <v>34000038</v>
      </c>
      <c r="B78" s="7974"/>
      <c r="C78" s="1113" t="s">
        <v>4230</v>
      </c>
      <c r="D78" s="1268" t="s">
        <v>4567</v>
      </c>
      <c r="E78" s="5404" t="s">
        <v>4568</v>
      </c>
      <c r="F78" s="1005" t="s">
        <v>4569</v>
      </c>
      <c r="G78" s="1006" t="s">
        <v>4570</v>
      </c>
      <c r="H78" s="1006" t="s">
        <v>4571</v>
      </c>
      <c r="I78" s="1006" t="s">
        <v>4572</v>
      </c>
      <c r="J78" s="854" t="s">
        <v>4573</v>
      </c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W78" s="3211"/>
      <c r="AX78" s="3211"/>
      <c r="AY78" s="3211"/>
      <c r="AZ78" s="3211"/>
      <c r="BB78" s="3211"/>
      <c r="BC78" s="3211"/>
      <c r="BD78" s="3211"/>
      <c r="BE78" s="3211"/>
      <c r="BF78" s="3211"/>
      <c r="BG78" s="3211"/>
      <c r="BH78" s="3211"/>
      <c r="BI78" s="3211"/>
      <c r="BJ78" s="3211"/>
      <c r="BK78" s="3211"/>
      <c r="BL78" s="3211"/>
      <c r="BM78" s="3211"/>
      <c r="BN78" s="3211"/>
      <c r="BO78" s="3211"/>
      <c r="BP78" s="3211"/>
      <c r="BQ78" s="3211"/>
      <c r="BR78" s="3211"/>
      <c r="BS78" s="3211"/>
      <c r="BT78" s="3211"/>
      <c r="BU78" s="3211"/>
      <c r="BV78" s="3211"/>
      <c r="BW78" s="3211"/>
      <c r="BX78" s="3211"/>
      <c r="BY78" s="3211"/>
      <c r="BZ78" s="3211"/>
      <c r="CA78" s="3211"/>
      <c r="CB78" s="3211"/>
      <c r="CF78" s="3211"/>
      <c r="CG78" s="3211"/>
      <c r="CH78" s="3211"/>
      <c r="CI78" s="3211"/>
      <c r="CJ78" s="3211"/>
      <c r="CK78" s="3211"/>
      <c r="CL78" s="3211"/>
      <c r="CM78" s="3211"/>
    </row>
    <row r="79" spans="1:91" x14ac:dyDescent="0.25">
      <c r="A79" s="5617">
        <v>34000039</v>
      </c>
      <c r="B79" s="7975" t="s">
        <v>1041</v>
      </c>
      <c r="C79" s="3500" t="s">
        <v>1035</v>
      </c>
      <c r="D79" s="2036" t="s">
        <v>4567</v>
      </c>
      <c r="E79" s="3344" t="s">
        <v>4568</v>
      </c>
      <c r="F79" s="336" t="s">
        <v>4569</v>
      </c>
      <c r="G79" s="1014" t="s">
        <v>4570</v>
      </c>
      <c r="H79" s="1014" t="s">
        <v>4571</v>
      </c>
      <c r="I79" s="1014" t="s">
        <v>4572</v>
      </c>
      <c r="J79" s="142" t="s">
        <v>4573</v>
      </c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W79" s="3211"/>
      <c r="AX79" s="3211"/>
      <c r="AY79" s="3211"/>
      <c r="AZ79" s="3211"/>
      <c r="BB79" s="3211"/>
      <c r="BC79" s="3211"/>
      <c r="BD79" s="3211"/>
      <c r="BE79" s="3211"/>
      <c r="BF79" s="3211"/>
      <c r="BG79" s="3211"/>
      <c r="BH79" s="3211"/>
      <c r="BI79" s="3211"/>
      <c r="BJ79" s="3211"/>
      <c r="BK79" s="3211"/>
      <c r="BL79" s="3211"/>
      <c r="BM79" s="3211"/>
      <c r="BN79" s="3211"/>
      <c r="BO79" s="3211"/>
      <c r="BP79" s="3211"/>
      <c r="BQ79" s="3211"/>
      <c r="BR79" s="3211"/>
      <c r="BS79" s="3211"/>
      <c r="BT79" s="3211"/>
      <c r="BU79" s="3211"/>
      <c r="BV79" s="3211"/>
      <c r="BW79" s="3211"/>
      <c r="BX79" s="3211"/>
      <c r="BY79" s="3211"/>
      <c r="BZ79" s="3211"/>
      <c r="CA79" s="3211"/>
      <c r="CB79" s="3211"/>
      <c r="CF79" s="3211"/>
      <c r="CG79" s="3211"/>
      <c r="CH79" s="3211"/>
      <c r="CI79" s="3211"/>
      <c r="CJ79" s="3211"/>
      <c r="CK79" s="3211"/>
      <c r="CL79" s="3211"/>
      <c r="CM79" s="3211"/>
    </row>
    <row r="80" spans="1:91" x14ac:dyDescent="0.25">
      <c r="A80" s="5617">
        <v>34000040</v>
      </c>
      <c r="B80" s="7976"/>
      <c r="C80" s="5405" t="s">
        <v>4228</v>
      </c>
      <c r="D80" s="1266" t="s">
        <v>4567</v>
      </c>
      <c r="E80" s="5406" t="s">
        <v>4568</v>
      </c>
      <c r="F80" s="947" t="s">
        <v>4569</v>
      </c>
      <c r="G80" s="948" t="s">
        <v>4570</v>
      </c>
      <c r="H80" s="948" t="s">
        <v>4571</v>
      </c>
      <c r="I80" s="948" t="s">
        <v>4572</v>
      </c>
      <c r="J80" s="941" t="s">
        <v>4573</v>
      </c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W80" s="3211"/>
      <c r="AX80" s="3211"/>
      <c r="AY80" s="3211"/>
      <c r="AZ80" s="3211"/>
      <c r="BB80" s="3211"/>
      <c r="BC80" s="3211"/>
      <c r="BD80" s="3211"/>
      <c r="BE80" s="3211"/>
      <c r="BF80" s="3211"/>
      <c r="BG80" s="3211"/>
      <c r="BH80" s="3211"/>
      <c r="BI80" s="3211"/>
      <c r="BJ80" s="3211"/>
      <c r="BK80" s="3211"/>
      <c r="BL80" s="3211"/>
      <c r="BM80" s="3211"/>
      <c r="BN80" s="3211"/>
      <c r="BO80" s="3211"/>
      <c r="BP80" s="3211"/>
      <c r="BQ80" s="3211"/>
      <c r="BR80" s="3211"/>
      <c r="BS80" s="3211"/>
      <c r="BT80" s="3211"/>
      <c r="BU80" s="3211"/>
      <c r="BV80" s="3211"/>
      <c r="BW80" s="3211"/>
      <c r="BX80" s="3211"/>
      <c r="BY80" s="3211"/>
      <c r="BZ80" s="3211"/>
      <c r="CA80" s="3211"/>
      <c r="CB80" s="3211"/>
      <c r="CF80" s="3211"/>
      <c r="CG80" s="3211"/>
      <c r="CH80" s="3211"/>
      <c r="CI80" s="3211"/>
      <c r="CJ80" s="3211"/>
      <c r="CK80" s="3211"/>
      <c r="CL80" s="3211"/>
      <c r="CM80" s="3211"/>
    </row>
    <row r="81" spans="1:91" x14ac:dyDescent="0.25">
      <c r="A81" s="5617">
        <v>34000041</v>
      </c>
      <c r="B81" s="7976"/>
      <c r="C81" s="5407" t="s">
        <v>4229</v>
      </c>
      <c r="D81" s="1268" t="s">
        <v>4567</v>
      </c>
      <c r="E81" s="5404" t="s">
        <v>4568</v>
      </c>
      <c r="F81" s="1005" t="s">
        <v>4569</v>
      </c>
      <c r="G81" s="1006" t="s">
        <v>4570</v>
      </c>
      <c r="H81" s="1006" t="s">
        <v>4571</v>
      </c>
      <c r="I81" s="1006" t="s">
        <v>4572</v>
      </c>
      <c r="J81" s="854" t="s">
        <v>4573</v>
      </c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W81" s="3211"/>
      <c r="AX81" s="3211"/>
      <c r="AY81" s="3211"/>
      <c r="AZ81" s="3211"/>
      <c r="BB81" s="3211"/>
      <c r="BC81" s="3211"/>
      <c r="BD81" s="3211"/>
      <c r="BE81" s="3211"/>
      <c r="BF81" s="3211"/>
      <c r="BG81" s="3211"/>
      <c r="BH81" s="3211"/>
      <c r="BI81" s="3211"/>
      <c r="BJ81" s="3211"/>
      <c r="BK81" s="3211"/>
      <c r="BL81" s="3211"/>
      <c r="BM81" s="3211"/>
      <c r="BN81" s="3211"/>
      <c r="BO81" s="3211"/>
      <c r="BP81" s="3211"/>
      <c r="BQ81" s="3211"/>
      <c r="BR81" s="3211"/>
      <c r="BS81" s="3211"/>
      <c r="BT81" s="3211"/>
      <c r="BU81" s="3211"/>
      <c r="BV81" s="3211"/>
      <c r="BW81" s="3211"/>
      <c r="BX81" s="3211"/>
      <c r="BY81" s="3211"/>
      <c r="BZ81" s="3211"/>
      <c r="CA81" s="3211"/>
      <c r="CB81" s="3211"/>
      <c r="CF81" s="3211"/>
      <c r="CG81" s="3211"/>
      <c r="CH81" s="3211"/>
      <c r="CI81" s="3211"/>
      <c r="CJ81" s="3211"/>
      <c r="CK81" s="3211"/>
      <c r="CL81" s="3211"/>
      <c r="CM81" s="3211"/>
    </row>
    <row r="82" spans="1:91" ht="17.100000000000001" customHeight="1" x14ac:dyDescent="0.25">
      <c r="A82" s="5612"/>
      <c r="B82" s="15" t="s">
        <v>4247</v>
      </c>
      <c r="C82" s="15"/>
      <c r="D82" s="25"/>
      <c r="E82" s="25"/>
      <c r="F82" s="5306"/>
      <c r="G82" s="5306"/>
      <c r="H82" s="5306"/>
      <c r="I82" s="5306"/>
      <c r="J82" s="5306"/>
      <c r="K82" s="5306"/>
      <c r="L82" s="5306"/>
      <c r="M82" s="5306"/>
      <c r="N82" s="5306"/>
      <c r="O82" s="5306"/>
      <c r="P82" s="5306"/>
      <c r="Q82" s="5306"/>
      <c r="R82" s="5306"/>
      <c r="S82" s="5306"/>
      <c r="T82" s="5306"/>
      <c r="U82" s="5306"/>
      <c r="V82" s="5306"/>
      <c r="W82" s="5306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5306"/>
      <c r="AW82" s="3211"/>
      <c r="AX82" s="3211"/>
      <c r="AY82" s="3211"/>
      <c r="AZ82" s="3211"/>
      <c r="BB82" s="3211"/>
      <c r="BC82" s="3211"/>
      <c r="BD82" s="3211"/>
      <c r="BE82" s="3211"/>
      <c r="BF82" s="3211"/>
      <c r="BG82" s="3211"/>
      <c r="BH82" s="3211"/>
      <c r="BI82" s="3211"/>
      <c r="BJ82" s="3211"/>
      <c r="BK82" s="3211"/>
      <c r="BL82" s="3211"/>
      <c r="BM82" s="3211"/>
      <c r="BN82" s="3211"/>
      <c r="BO82" s="3211"/>
      <c r="BP82" s="3211"/>
      <c r="BQ82" s="3211"/>
      <c r="BR82" s="3211"/>
      <c r="BS82" s="3211"/>
      <c r="BT82" s="3211"/>
      <c r="BU82" s="3211"/>
      <c r="BV82" s="3211"/>
      <c r="BW82" s="3211"/>
      <c r="BX82" s="3211"/>
      <c r="BY82" s="3211"/>
      <c r="BZ82" s="3211"/>
      <c r="CA82" s="3211"/>
      <c r="CB82" s="3211"/>
      <c r="CF82" s="3211"/>
      <c r="CG82" s="3211"/>
      <c r="CH82" s="3211"/>
      <c r="CI82" s="3211"/>
      <c r="CJ82" s="3211"/>
      <c r="CK82" s="3211"/>
      <c r="CL82" s="3211"/>
      <c r="CM82" s="3211"/>
    </row>
    <row r="83" spans="1:91" ht="15" customHeight="1" x14ac:dyDescent="0.25">
      <c r="A83" s="5827"/>
      <c r="B83" s="7977" t="s">
        <v>4248</v>
      </c>
      <c r="C83" s="7970" t="s">
        <v>27</v>
      </c>
      <c r="D83" s="7978" t="s">
        <v>77</v>
      </c>
      <c r="E83" s="7978"/>
      <c r="F83" s="7978"/>
      <c r="G83" s="7320" t="s">
        <v>101</v>
      </c>
      <c r="H83" s="7955"/>
      <c r="I83" s="7955"/>
      <c r="J83" s="7955"/>
      <c r="K83" s="7955"/>
      <c r="L83" s="7955"/>
      <c r="M83" s="7955"/>
      <c r="N83" s="7955"/>
      <c r="O83" s="7955"/>
      <c r="P83" s="7955"/>
      <c r="Q83" s="7955"/>
      <c r="R83" s="7955"/>
      <c r="S83" s="7955"/>
      <c r="T83" s="7955"/>
      <c r="U83" s="7955"/>
      <c r="V83" s="7956"/>
      <c r="W83" s="6786" t="s">
        <v>36</v>
      </c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5386"/>
      <c r="AW83" s="3211"/>
      <c r="AX83" s="3211"/>
      <c r="AY83" s="3211"/>
      <c r="AZ83" s="3211"/>
      <c r="BB83" s="3211"/>
      <c r="BC83" s="3211"/>
      <c r="BD83" s="3211"/>
      <c r="BE83" s="3211"/>
      <c r="BF83" s="3211"/>
      <c r="BG83" s="3211"/>
      <c r="BH83" s="3211"/>
      <c r="BI83" s="3211"/>
      <c r="BJ83" s="3211"/>
      <c r="BK83" s="3211"/>
      <c r="BL83" s="3211"/>
      <c r="BM83" s="3211"/>
      <c r="BN83" s="3211"/>
      <c r="BO83" s="3211"/>
      <c r="BP83" s="3211"/>
      <c r="BQ83" s="3211"/>
      <c r="BR83" s="3211"/>
      <c r="BS83" s="3211"/>
      <c r="BT83" s="3211"/>
      <c r="BU83" s="3211"/>
      <c r="BV83" s="3211"/>
      <c r="BW83" s="3211"/>
      <c r="BX83" s="3211"/>
      <c r="BY83" s="3211"/>
      <c r="BZ83" s="3211"/>
      <c r="CA83" s="3211"/>
      <c r="CB83" s="3211"/>
      <c r="CF83" s="3211"/>
      <c r="CG83" s="3211"/>
      <c r="CH83" s="3211"/>
      <c r="CI83" s="3211"/>
      <c r="CJ83" s="3211"/>
      <c r="CK83" s="3211"/>
      <c r="CL83" s="3211"/>
      <c r="CM83" s="3211"/>
    </row>
    <row r="84" spans="1:91" ht="21" customHeight="1" x14ac:dyDescent="0.25">
      <c r="A84" s="5827"/>
      <c r="B84" s="7977"/>
      <c r="C84" s="6931"/>
      <c r="D84" s="7978"/>
      <c r="E84" s="7978"/>
      <c r="F84" s="7978"/>
      <c r="G84" s="7673" t="s">
        <v>3789</v>
      </c>
      <c r="H84" s="7673"/>
      <c r="I84" s="6813" t="s">
        <v>4225</v>
      </c>
      <c r="J84" s="6813"/>
      <c r="K84" s="6814" t="s">
        <v>1459</v>
      </c>
      <c r="L84" s="6814"/>
      <c r="M84" s="7673" t="s">
        <v>1460</v>
      </c>
      <c r="N84" s="7673"/>
      <c r="O84" s="7673" t="s">
        <v>1461</v>
      </c>
      <c r="P84" s="7673"/>
      <c r="Q84" s="6813" t="s">
        <v>1462</v>
      </c>
      <c r="R84" s="6813"/>
      <c r="S84" s="7687" t="s">
        <v>1463</v>
      </c>
      <c r="T84" s="7687"/>
      <c r="U84" s="6813" t="s">
        <v>938</v>
      </c>
      <c r="V84" s="7979"/>
      <c r="W84" s="6027"/>
      <c r="X84" s="151"/>
      <c r="Y84" s="151"/>
      <c r="Z84" s="151"/>
      <c r="AA84" s="151"/>
      <c r="AB84" s="151"/>
      <c r="AC84" s="151"/>
      <c r="AD84" s="151"/>
      <c r="AE84" s="151"/>
      <c r="AW84" s="3211"/>
      <c r="AX84" s="3211"/>
      <c r="AY84" s="3211"/>
      <c r="AZ84" s="3211"/>
      <c r="BB84" s="3211"/>
      <c r="BC84" s="3211"/>
      <c r="BD84" s="3211"/>
      <c r="BE84" s="3211"/>
      <c r="BF84" s="3211"/>
      <c r="BG84" s="3211"/>
      <c r="BH84" s="3211"/>
      <c r="BI84" s="3211"/>
      <c r="BJ84" s="3211"/>
      <c r="BK84" s="3211"/>
      <c r="BL84" s="3211"/>
      <c r="BM84" s="3211"/>
      <c r="BN84" s="3211"/>
      <c r="BO84" s="3211"/>
      <c r="BP84" s="3211"/>
      <c r="BQ84" s="3211"/>
      <c r="BR84" s="3211"/>
      <c r="BS84" s="3211"/>
      <c r="BT84" s="3211"/>
      <c r="BU84" s="3211"/>
      <c r="BV84" s="3211"/>
      <c r="BW84" s="3211"/>
      <c r="BX84" s="3211"/>
      <c r="BY84" s="3211"/>
      <c r="BZ84" s="3211"/>
      <c r="CA84" s="3211"/>
      <c r="CB84" s="3211"/>
      <c r="CF84" s="3211"/>
      <c r="CG84" s="3211"/>
      <c r="CH84" s="3211"/>
      <c r="CI84" s="3211"/>
      <c r="CJ84" s="3211"/>
      <c r="CK84" s="3211"/>
      <c r="CL84" s="3211"/>
      <c r="CM84" s="3211"/>
    </row>
    <row r="85" spans="1:91" x14ac:dyDescent="0.25">
      <c r="A85" s="5827"/>
      <c r="B85" s="7977"/>
      <c r="C85" s="6932"/>
      <c r="D85" s="5408" t="s">
        <v>79</v>
      </c>
      <c r="E85" s="5409" t="s">
        <v>58</v>
      </c>
      <c r="F85" s="5410" t="s">
        <v>59</v>
      </c>
      <c r="G85" s="5345" t="s">
        <v>58</v>
      </c>
      <c r="H85" s="5411" t="s">
        <v>59</v>
      </c>
      <c r="I85" s="5346" t="s">
        <v>58</v>
      </c>
      <c r="J85" s="5411" t="s">
        <v>59</v>
      </c>
      <c r="K85" s="5346" t="s">
        <v>58</v>
      </c>
      <c r="L85" s="5411" t="s">
        <v>59</v>
      </c>
      <c r="M85" s="5346" t="s">
        <v>58</v>
      </c>
      <c r="N85" s="5411" t="s">
        <v>59</v>
      </c>
      <c r="O85" s="5346" t="s">
        <v>58</v>
      </c>
      <c r="P85" s="5411" t="s">
        <v>59</v>
      </c>
      <c r="Q85" s="5346" t="s">
        <v>58</v>
      </c>
      <c r="R85" s="5411" t="s">
        <v>59</v>
      </c>
      <c r="S85" s="5346" t="s">
        <v>58</v>
      </c>
      <c r="T85" s="5411" t="s">
        <v>59</v>
      </c>
      <c r="U85" s="5346" t="s">
        <v>58</v>
      </c>
      <c r="V85" s="5412" t="s">
        <v>59</v>
      </c>
      <c r="W85" s="6955"/>
      <c r="X85" s="151"/>
      <c r="Y85" s="151"/>
      <c r="Z85" s="151"/>
      <c r="AA85" s="151"/>
      <c r="AB85" s="151"/>
      <c r="AC85" s="151"/>
      <c r="AD85" s="151"/>
      <c r="AE85" s="151"/>
      <c r="AW85" s="3211"/>
      <c r="AX85" s="3211"/>
      <c r="AY85" s="3211"/>
      <c r="AZ85" s="3211"/>
      <c r="BB85" s="3211"/>
      <c r="BC85" s="3211"/>
      <c r="BD85" s="3211"/>
      <c r="BE85" s="3211"/>
      <c r="BF85" s="3211"/>
      <c r="BG85" s="3211"/>
      <c r="BH85" s="3211"/>
      <c r="BI85" s="3211"/>
      <c r="BJ85" s="3211"/>
      <c r="BK85" s="3211"/>
      <c r="BL85" s="3211"/>
      <c r="BM85" s="3211"/>
      <c r="BN85" s="3211"/>
      <c r="BO85" s="3211"/>
      <c r="BP85" s="3211"/>
      <c r="BQ85" s="3211"/>
      <c r="BR85" s="3211"/>
      <c r="BS85" s="3211"/>
      <c r="BT85" s="3211"/>
      <c r="BU85" s="3211"/>
      <c r="BV85" s="3211"/>
      <c r="BW85" s="3211"/>
      <c r="BX85" s="3211"/>
      <c r="BY85" s="3211"/>
      <c r="BZ85" s="3211"/>
      <c r="CA85" s="3211"/>
      <c r="CB85" s="3211"/>
      <c r="CF85" s="151"/>
      <c r="CG85" s="151"/>
      <c r="CH85" s="151"/>
      <c r="CI85" s="151"/>
      <c r="CJ85" s="151"/>
      <c r="CK85" s="151"/>
      <c r="CL85" s="151"/>
      <c r="CM85" s="151"/>
    </row>
    <row r="86" spans="1:91" ht="15" customHeight="1" x14ac:dyDescent="0.25">
      <c r="A86" s="5617">
        <v>34000042</v>
      </c>
      <c r="B86" s="7970" t="s">
        <v>4249</v>
      </c>
      <c r="C86" s="4771" t="s">
        <v>4228</v>
      </c>
      <c r="D86" s="5413" t="s">
        <v>4567</v>
      </c>
      <c r="E86" s="5395" t="s">
        <v>4568</v>
      </c>
      <c r="F86" s="5315" t="s">
        <v>4569</v>
      </c>
      <c r="G86" s="5414" t="s">
        <v>4570</v>
      </c>
      <c r="H86" s="5415" t="s">
        <v>4571</v>
      </c>
      <c r="I86" s="5414" t="s">
        <v>4572</v>
      </c>
      <c r="J86" s="5415" t="s">
        <v>4573</v>
      </c>
      <c r="K86" s="5414" t="s">
        <v>4574</v>
      </c>
      <c r="L86" s="5415" t="s">
        <v>4575</v>
      </c>
      <c r="M86" s="5414" t="s">
        <v>4576</v>
      </c>
      <c r="N86" s="5415" t="s">
        <v>4577</v>
      </c>
      <c r="O86" s="5414" t="s">
        <v>4578</v>
      </c>
      <c r="P86" s="5415" t="s">
        <v>4579</v>
      </c>
      <c r="Q86" s="5414" t="s">
        <v>4580</v>
      </c>
      <c r="R86" s="5415" t="s">
        <v>4581</v>
      </c>
      <c r="S86" s="5414" t="s">
        <v>4582</v>
      </c>
      <c r="T86" s="5415" t="s">
        <v>4583</v>
      </c>
      <c r="U86" s="5414" t="s">
        <v>4584</v>
      </c>
      <c r="V86" s="5416" t="s">
        <v>4585</v>
      </c>
      <c r="W86" s="5417" t="s">
        <v>4586</v>
      </c>
      <c r="X86" s="2193" t="str">
        <f>$CB86</f>
        <v xml:space="preserve">* El número de Pueblos Originarios no puede superar el Total.  </v>
      </c>
      <c r="Y86" s="193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Z86" s="151"/>
      <c r="CA86" s="151"/>
      <c r="CB86" s="4174" t="str">
        <f>IF(AND($D86&lt;&gt;0,W86=""),"* No olvide ingresar la columna Pueblos Originarios, digite CERO si no tiene.  ",IF(W86&gt;$D86,"* El número de Pueblos Originarios no puede superar el Total.  ",""))</f>
        <v xml:space="preserve">* El número de Pueblos Originarios no puede superar el Total.  </v>
      </c>
      <c r="CC86" s="2194"/>
      <c r="CD86" s="2194"/>
      <c r="CE86" s="2194"/>
      <c r="CF86" s="6"/>
      <c r="CG86" s="6"/>
      <c r="CH86" s="6"/>
      <c r="CI86" s="6"/>
      <c r="CJ86" s="6"/>
      <c r="CK86" s="6"/>
      <c r="CL86" s="6"/>
      <c r="CM86" s="55">
        <f>IF(AND($D86&lt;&gt;0,W86=""),1,IF(W86&gt;$D86,1,0))</f>
        <v>1</v>
      </c>
    </row>
    <row r="87" spans="1:91" ht="15" customHeight="1" x14ac:dyDescent="0.25">
      <c r="A87" s="5617">
        <v>34000043</v>
      </c>
      <c r="B87" s="7980"/>
      <c r="C87" s="3696" t="s">
        <v>1035</v>
      </c>
      <c r="D87" s="5418" t="s">
        <v>4567</v>
      </c>
      <c r="E87" s="48" t="s">
        <v>4568</v>
      </c>
      <c r="F87" s="213" t="s">
        <v>4569</v>
      </c>
      <c r="G87" s="1137" t="s">
        <v>4570</v>
      </c>
      <c r="H87" s="1136" t="s">
        <v>4571</v>
      </c>
      <c r="I87" s="1137" t="s">
        <v>4572</v>
      </c>
      <c r="J87" s="1136" t="s">
        <v>4573</v>
      </c>
      <c r="K87" s="1137" t="s">
        <v>4574</v>
      </c>
      <c r="L87" s="1136" t="s">
        <v>4575</v>
      </c>
      <c r="M87" s="1137" t="s">
        <v>4576</v>
      </c>
      <c r="N87" s="1136" t="s">
        <v>4577</v>
      </c>
      <c r="O87" s="1137" t="s">
        <v>4578</v>
      </c>
      <c r="P87" s="1136" t="s">
        <v>4579</v>
      </c>
      <c r="Q87" s="1137" t="s">
        <v>4580</v>
      </c>
      <c r="R87" s="1136" t="s">
        <v>4581</v>
      </c>
      <c r="S87" s="1137" t="s">
        <v>4582</v>
      </c>
      <c r="T87" s="1136" t="s">
        <v>4583</v>
      </c>
      <c r="U87" s="1137" t="s">
        <v>4584</v>
      </c>
      <c r="V87" s="2410" t="s">
        <v>4585</v>
      </c>
      <c r="W87" s="34" t="s">
        <v>4586</v>
      </c>
      <c r="X87" s="2193" t="str">
        <f t="shared" ref="X87:X94" si="32">$CB87</f>
        <v xml:space="preserve">* El número de Pueblos Originarios no puede superar el Total.  </v>
      </c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Z87" s="151"/>
      <c r="CA87" s="151"/>
      <c r="CB87" s="4174" t="str">
        <f t="shared" ref="CB87:CB94" si="33">IF(AND($D87&lt;&gt;0,W87=""),"* No olvide ingresar la columna Pueblos Originarios, digite CERO si no tiene.  ",IF(W87&gt;$D87,"* El número de Pueblos Originarios no puede superar el Total.  ",""))</f>
        <v xml:space="preserve">* El número de Pueblos Originarios no puede superar el Total.  </v>
      </c>
      <c r="CC87" s="2194"/>
      <c r="CD87" s="2194"/>
      <c r="CE87" s="2194"/>
      <c r="CF87" s="6"/>
      <c r="CG87" s="6"/>
      <c r="CH87" s="6"/>
      <c r="CI87" s="6"/>
      <c r="CJ87" s="6"/>
      <c r="CK87" s="6"/>
      <c r="CL87" s="6"/>
      <c r="CM87" s="55">
        <f t="shared" ref="CM87:CM94" si="34">IF(AND($D87&lt;&gt;0,W87=""),1,IF(W87&gt;$D87,1,0))</f>
        <v>1</v>
      </c>
    </row>
    <row r="88" spans="1:91" ht="15" customHeight="1" x14ac:dyDescent="0.25">
      <c r="A88" s="5617">
        <v>34000044</v>
      </c>
      <c r="B88" s="7974"/>
      <c r="C88" s="5419" t="s">
        <v>4229</v>
      </c>
      <c r="D88" s="5420" t="s">
        <v>4567</v>
      </c>
      <c r="E88" s="1186" t="s">
        <v>4568</v>
      </c>
      <c r="F88" s="4055" t="s">
        <v>4569</v>
      </c>
      <c r="G88" s="966" t="s">
        <v>4570</v>
      </c>
      <c r="H88" s="965" t="s">
        <v>4571</v>
      </c>
      <c r="I88" s="966" t="s">
        <v>4572</v>
      </c>
      <c r="J88" s="965" t="s">
        <v>4573</v>
      </c>
      <c r="K88" s="966" t="s">
        <v>4574</v>
      </c>
      <c r="L88" s="965" t="s">
        <v>4575</v>
      </c>
      <c r="M88" s="966" t="s">
        <v>4576</v>
      </c>
      <c r="N88" s="965" t="s">
        <v>4577</v>
      </c>
      <c r="O88" s="966" t="s">
        <v>4578</v>
      </c>
      <c r="P88" s="965" t="s">
        <v>4579</v>
      </c>
      <c r="Q88" s="966" t="s">
        <v>4580</v>
      </c>
      <c r="R88" s="965" t="s">
        <v>4581</v>
      </c>
      <c r="S88" s="966" t="s">
        <v>4582</v>
      </c>
      <c r="T88" s="965" t="s">
        <v>4583</v>
      </c>
      <c r="U88" s="966" t="s">
        <v>4584</v>
      </c>
      <c r="V88" s="969" t="s">
        <v>4585</v>
      </c>
      <c r="W88" s="854" t="s">
        <v>4586</v>
      </c>
      <c r="X88" s="2193" t="str">
        <f t="shared" si="32"/>
        <v xml:space="preserve">* El número de Pueblos Originarios no puede superar el Total.  </v>
      </c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Z88" s="151"/>
      <c r="CA88" s="151"/>
      <c r="CB88" s="4174" t="str">
        <f t="shared" si="33"/>
        <v xml:space="preserve">* El número de Pueblos Originarios no puede superar el Total.  </v>
      </c>
      <c r="CC88" s="2194"/>
      <c r="CD88" s="2194"/>
      <c r="CE88" s="2194"/>
      <c r="CF88" s="6"/>
      <c r="CG88" s="6"/>
      <c r="CH88" s="6"/>
      <c r="CI88" s="6"/>
      <c r="CJ88" s="6"/>
      <c r="CK88" s="6"/>
      <c r="CL88" s="6"/>
      <c r="CM88" s="55">
        <f t="shared" si="34"/>
        <v>1</v>
      </c>
    </row>
    <row r="89" spans="1:91" ht="15" customHeight="1" x14ac:dyDescent="0.25">
      <c r="A89" s="5617">
        <v>34000045</v>
      </c>
      <c r="B89" s="7970" t="s">
        <v>4250</v>
      </c>
      <c r="C89" s="4771" t="s">
        <v>4228</v>
      </c>
      <c r="D89" s="5413" t="s">
        <v>4567</v>
      </c>
      <c r="E89" s="5395" t="s">
        <v>4568</v>
      </c>
      <c r="F89" s="5315" t="s">
        <v>4569</v>
      </c>
      <c r="G89" s="5414" t="s">
        <v>4570</v>
      </c>
      <c r="H89" s="5415" t="s">
        <v>4571</v>
      </c>
      <c r="I89" s="5414" t="s">
        <v>4572</v>
      </c>
      <c r="J89" s="5415" t="s">
        <v>4573</v>
      </c>
      <c r="K89" s="5414" t="s">
        <v>4574</v>
      </c>
      <c r="L89" s="5415" t="s">
        <v>4575</v>
      </c>
      <c r="M89" s="5414" t="s">
        <v>4576</v>
      </c>
      <c r="N89" s="5415" t="s">
        <v>4577</v>
      </c>
      <c r="O89" s="5414" t="s">
        <v>4578</v>
      </c>
      <c r="P89" s="5415" t="s">
        <v>4579</v>
      </c>
      <c r="Q89" s="5414" t="s">
        <v>4580</v>
      </c>
      <c r="R89" s="5415" t="s">
        <v>4581</v>
      </c>
      <c r="S89" s="5414" t="s">
        <v>4582</v>
      </c>
      <c r="T89" s="5415" t="s">
        <v>4583</v>
      </c>
      <c r="U89" s="5414" t="s">
        <v>4584</v>
      </c>
      <c r="V89" s="5416" t="s">
        <v>4585</v>
      </c>
      <c r="W89" s="5417" t="s">
        <v>4586</v>
      </c>
      <c r="X89" s="2193" t="str">
        <f t="shared" si="32"/>
        <v xml:space="preserve">* El número de Pueblos Originarios no puede superar el Total.  </v>
      </c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Z89" s="151"/>
      <c r="CA89" s="151"/>
      <c r="CB89" s="4174" t="str">
        <f t="shared" si="33"/>
        <v xml:space="preserve">* El número de Pueblos Originarios no puede superar el Total.  </v>
      </c>
      <c r="CC89" s="2194"/>
      <c r="CD89" s="2194"/>
      <c r="CE89" s="2194"/>
      <c r="CF89" s="6"/>
      <c r="CG89" s="6"/>
      <c r="CH89" s="6"/>
      <c r="CI89" s="6"/>
      <c r="CJ89" s="6"/>
      <c r="CK89" s="6"/>
      <c r="CL89" s="6"/>
      <c r="CM89" s="55">
        <f t="shared" si="34"/>
        <v>1</v>
      </c>
    </row>
    <row r="90" spans="1:91" ht="15" customHeight="1" x14ac:dyDescent="0.25">
      <c r="A90" s="5617">
        <v>34000046</v>
      </c>
      <c r="B90" s="7980"/>
      <c r="C90" s="4896" t="s">
        <v>1035</v>
      </c>
      <c r="D90" s="5418" t="s">
        <v>4567</v>
      </c>
      <c r="E90" s="48" t="s">
        <v>4568</v>
      </c>
      <c r="F90" s="213" t="s">
        <v>4569</v>
      </c>
      <c r="G90" s="1137" t="s">
        <v>4570</v>
      </c>
      <c r="H90" s="1136" t="s">
        <v>4571</v>
      </c>
      <c r="I90" s="1137" t="s">
        <v>4572</v>
      </c>
      <c r="J90" s="1136" t="s">
        <v>4573</v>
      </c>
      <c r="K90" s="1137" t="s">
        <v>4574</v>
      </c>
      <c r="L90" s="1136" t="s">
        <v>4575</v>
      </c>
      <c r="M90" s="1137" t="s">
        <v>4576</v>
      </c>
      <c r="N90" s="1136" t="s">
        <v>4577</v>
      </c>
      <c r="O90" s="1137" t="s">
        <v>4578</v>
      </c>
      <c r="P90" s="1136" t="s">
        <v>4579</v>
      </c>
      <c r="Q90" s="1137" t="s">
        <v>4580</v>
      </c>
      <c r="R90" s="1136" t="s">
        <v>4581</v>
      </c>
      <c r="S90" s="1137" t="s">
        <v>4582</v>
      </c>
      <c r="T90" s="1136" t="s">
        <v>4583</v>
      </c>
      <c r="U90" s="1137" t="s">
        <v>4584</v>
      </c>
      <c r="V90" s="2410" t="s">
        <v>4585</v>
      </c>
      <c r="W90" s="34" t="s">
        <v>4586</v>
      </c>
      <c r="X90" s="2193" t="str">
        <f t="shared" si="32"/>
        <v xml:space="preserve">* El número de Pueblos Originarios no puede superar el Total.  </v>
      </c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Z90" s="151"/>
      <c r="CA90" s="151"/>
      <c r="CB90" s="4174" t="str">
        <f t="shared" si="33"/>
        <v xml:space="preserve">* El número de Pueblos Originarios no puede superar el Total.  </v>
      </c>
      <c r="CC90" s="2194"/>
      <c r="CD90" s="2194"/>
      <c r="CE90" s="2194"/>
      <c r="CF90" s="6"/>
      <c r="CG90" s="6"/>
      <c r="CH90" s="6"/>
      <c r="CI90" s="6"/>
      <c r="CJ90" s="6"/>
      <c r="CK90" s="6"/>
      <c r="CL90" s="6"/>
      <c r="CM90" s="55">
        <f t="shared" si="34"/>
        <v>1</v>
      </c>
    </row>
    <row r="91" spans="1:91" ht="15" customHeight="1" x14ac:dyDescent="0.25">
      <c r="A91" s="5617">
        <v>34000047</v>
      </c>
      <c r="B91" s="7974"/>
      <c r="C91" s="1139" t="s">
        <v>4229</v>
      </c>
      <c r="D91" s="5420" t="s">
        <v>4567</v>
      </c>
      <c r="E91" s="1186" t="s">
        <v>4568</v>
      </c>
      <c r="F91" s="4055" t="s">
        <v>4569</v>
      </c>
      <c r="G91" s="966" t="s">
        <v>4570</v>
      </c>
      <c r="H91" s="965" t="s">
        <v>4571</v>
      </c>
      <c r="I91" s="966" t="s">
        <v>4572</v>
      </c>
      <c r="J91" s="965" t="s">
        <v>4573</v>
      </c>
      <c r="K91" s="966" t="s">
        <v>4574</v>
      </c>
      <c r="L91" s="965" t="s">
        <v>4575</v>
      </c>
      <c r="M91" s="966" t="s">
        <v>4576</v>
      </c>
      <c r="N91" s="965" t="s">
        <v>4577</v>
      </c>
      <c r="O91" s="966" t="s">
        <v>4578</v>
      </c>
      <c r="P91" s="965" t="s">
        <v>4579</v>
      </c>
      <c r="Q91" s="966" t="s">
        <v>4580</v>
      </c>
      <c r="R91" s="965" t="s">
        <v>4581</v>
      </c>
      <c r="S91" s="966" t="s">
        <v>4582</v>
      </c>
      <c r="T91" s="965" t="s">
        <v>4583</v>
      </c>
      <c r="U91" s="966" t="s">
        <v>4584</v>
      </c>
      <c r="V91" s="969" t="s">
        <v>4585</v>
      </c>
      <c r="W91" s="854" t="s">
        <v>4586</v>
      </c>
      <c r="X91" s="2193" t="str">
        <f t="shared" si="32"/>
        <v xml:space="preserve">* El número de Pueblos Originarios no puede superar el Total.  </v>
      </c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Z91" s="151"/>
      <c r="CA91" s="151"/>
      <c r="CB91" s="4174" t="str">
        <f t="shared" si="33"/>
        <v xml:space="preserve">* El número de Pueblos Originarios no puede superar el Total.  </v>
      </c>
      <c r="CC91" s="2194"/>
      <c r="CD91" s="2194"/>
      <c r="CE91" s="2194"/>
      <c r="CF91" s="6"/>
      <c r="CG91" s="6"/>
      <c r="CH91" s="6"/>
      <c r="CI91" s="6"/>
      <c r="CJ91" s="6"/>
      <c r="CK91" s="6"/>
      <c r="CL91" s="6"/>
      <c r="CM91" s="55">
        <f t="shared" si="34"/>
        <v>1</v>
      </c>
    </row>
    <row r="92" spans="1:91" ht="15" customHeight="1" x14ac:dyDescent="0.25">
      <c r="A92" s="5617">
        <v>34000048</v>
      </c>
      <c r="B92" s="6931" t="s">
        <v>4251</v>
      </c>
      <c r="C92" s="5421" t="s">
        <v>4228</v>
      </c>
      <c r="D92" s="3526" t="s">
        <v>4567</v>
      </c>
      <c r="E92" s="48" t="s">
        <v>4568</v>
      </c>
      <c r="F92" s="213" t="s">
        <v>4569</v>
      </c>
      <c r="G92" s="214" t="s">
        <v>4570</v>
      </c>
      <c r="H92" s="30" t="s">
        <v>4571</v>
      </c>
      <c r="I92" s="214" t="s">
        <v>4572</v>
      </c>
      <c r="J92" s="30" t="s">
        <v>4573</v>
      </c>
      <c r="K92" s="214" t="s">
        <v>4574</v>
      </c>
      <c r="L92" s="30" t="s">
        <v>4575</v>
      </c>
      <c r="M92" s="214" t="s">
        <v>4576</v>
      </c>
      <c r="N92" s="30" t="s">
        <v>4577</v>
      </c>
      <c r="O92" s="214" t="s">
        <v>4578</v>
      </c>
      <c r="P92" s="30" t="s">
        <v>4579</v>
      </c>
      <c r="Q92" s="214" t="s">
        <v>4580</v>
      </c>
      <c r="R92" s="30" t="s">
        <v>4581</v>
      </c>
      <c r="S92" s="214" t="s">
        <v>4582</v>
      </c>
      <c r="T92" s="30" t="s">
        <v>4583</v>
      </c>
      <c r="U92" s="214" t="s">
        <v>4584</v>
      </c>
      <c r="V92" s="5422" t="s">
        <v>4585</v>
      </c>
      <c r="W92" s="29" t="s">
        <v>4586</v>
      </c>
      <c r="X92" s="2193" t="str">
        <f t="shared" si="32"/>
        <v xml:space="preserve">* El número de Pueblos Originarios no puede superar el Total.  </v>
      </c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Z92" s="151"/>
      <c r="CA92" s="151"/>
      <c r="CB92" s="4174" t="str">
        <f t="shared" si="33"/>
        <v xml:space="preserve">* El número de Pueblos Originarios no puede superar el Total.  </v>
      </c>
      <c r="CC92" s="2194"/>
      <c r="CD92" s="2194"/>
      <c r="CE92" s="2194"/>
      <c r="CF92" s="6"/>
      <c r="CG92" s="6"/>
      <c r="CH92" s="6"/>
      <c r="CI92" s="6"/>
      <c r="CJ92" s="6"/>
      <c r="CK92" s="6"/>
      <c r="CL92" s="6"/>
      <c r="CM92" s="55">
        <f t="shared" si="34"/>
        <v>1</v>
      </c>
    </row>
    <row r="93" spans="1:91" ht="15" customHeight="1" x14ac:dyDescent="0.25">
      <c r="A93" s="5617">
        <v>34000049</v>
      </c>
      <c r="B93" s="6931"/>
      <c r="C93" s="4896" t="s">
        <v>1035</v>
      </c>
      <c r="D93" s="5418" t="s">
        <v>4567</v>
      </c>
      <c r="E93" s="48" t="s">
        <v>4568</v>
      </c>
      <c r="F93" s="213" t="s">
        <v>4569</v>
      </c>
      <c r="G93" s="1137" t="s">
        <v>4570</v>
      </c>
      <c r="H93" s="1136" t="s">
        <v>4571</v>
      </c>
      <c r="I93" s="1137" t="s">
        <v>4572</v>
      </c>
      <c r="J93" s="1136" t="s">
        <v>4573</v>
      </c>
      <c r="K93" s="1137" t="s">
        <v>4574</v>
      </c>
      <c r="L93" s="1136" t="s">
        <v>4575</v>
      </c>
      <c r="M93" s="1137" t="s">
        <v>4576</v>
      </c>
      <c r="N93" s="1136" t="s">
        <v>4577</v>
      </c>
      <c r="O93" s="1137" t="s">
        <v>4578</v>
      </c>
      <c r="P93" s="1136" t="s">
        <v>4579</v>
      </c>
      <c r="Q93" s="1137" t="s">
        <v>4580</v>
      </c>
      <c r="R93" s="1136" t="s">
        <v>4581</v>
      </c>
      <c r="S93" s="1137" t="s">
        <v>4582</v>
      </c>
      <c r="T93" s="1136" t="s">
        <v>4583</v>
      </c>
      <c r="U93" s="1137" t="s">
        <v>4584</v>
      </c>
      <c r="V93" s="2410" t="s">
        <v>4585</v>
      </c>
      <c r="W93" s="34" t="s">
        <v>4586</v>
      </c>
      <c r="X93" s="2193" t="str">
        <f t="shared" si="32"/>
        <v xml:space="preserve">* El número de Pueblos Originarios no puede superar el Total.  </v>
      </c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Z93" s="151"/>
      <c r="CA93" s="151"/>
      <c r="CB93" s="4174" t="str">
        <f t="shared" si="33"/>
        <v xml:space="preserve">* El número de Pueblos Originarios no puede superar el Total.  </v>
      </c>
      <c r="CC93" s="2194"/>
      <c r="CD93" s="2194"/>
      <c r="CE93" s="2194"/>
      <c r="CF93" s="6"/>
      <c r="CG93" s="6"/>
      <c r="CH93" s="6"/>
      <c r="CI93" s="6"/>
      <c r="CJ93" s="6"/>
      <c r="CK93" s="6"/>
      <c r="CL93" s="6"/>
      <c r="CM93" s="55">
        <f t="shared" si="34"/>
        <v>1</v>
      </c>
    </row>
    <row r="94" spans="1:91" ht="15" customHeight="1" x14ac:dyDescent="0.25">
      <c r="A94" s="5617">
        <v>34000050</v>
      </c>
      <c r="B94" s="6932"/>
      <c r="C94" s="5419" t="s">
        <v>4229</v>
      </c>
      <c r="D94" s="5420" t="s">
        <v>4567</v>
      </c>
      <c r="E94" s="1186" t="s">
        <v>4568</v>
      </c>
      <c r="F94" s="4055" t="s">
        <v>4569</v>
      </c>
      <c r="G94" s="1137" t="s">
        <v>4570</v>
      </c>
      <c r="H94" s="1136" t="s">
        <v>4571</v>
      </c>
      <c r="I94" s="1137" t="s">
        <v>4572</v>
      </c>
      <c r="J94" s="965" t="s">
        <v>4573</v>
      </c>
      <c r="K94" s="966" t="s">
        <v>4574</v>
      </c>
      <c r="L94" s="965" t="s">
        <v>4575</v>
      </c>
      <c r="M94" s="966" t="s">
        <v>4576</v>
      </c>
      <c r="N94" s="965" t="s">
        <v>4577</v>
      </c>
      <c r="O94" s="966" t="s">
        <v>4578</v>
      </c>
      <c r="P94" s="965" t="s">
        <v>4579</v>
      </c>
      <c r="Q94" s="966" t="s">
        <v>4580</v>
      </c>
      <c r="R94" s="965" t="s">
        <v>4581</v>
      </c>
      <c r="S94" s="966" t="s">
        <v>4582</v>
      </c>
      <c r="T94" s="965" t="s">
        <v>4583</v>
      </c>
      <c r="U94" s="966" t="s">
        <v>4584</v>
      </c>
      <c r="V94" s="969" t="s">
        <v>4585</v>
      </c>
      <c r="W94" s="854" t="s">
        <v>4586</v>
      </c>
      <c r="X94" s="2193" t="str">
        <f t="shared" si="32"/>
        <v xml:space="preserve">* El número de Pueblos Originarios no puede superar el Total.  </v>
      </c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Z94" s="151"/>
      <c r="CA94" s="151"/>
      <c r="CB94" s="4174" t="str">
        <f t="shared" si="33"/>
        <v xml:space="preserve">* El número de Pueblos Originarios no puede superar el Total.  </v>
      </c>
      <c r="CC94" s="2194"/>
      <c r="CD94" s="2194"/>
      <c r="CE94" s="2194"/>
      <c r="CF94" s="6"/>
      <c r="CG94" s="6"/>
      <c r="CH94" s="6"/>
      <c r="CI94" s="6"/>
      <c r="CJ94" s="6"/>
      <c r="CK94" s="6"/>
      <c r="CL94" s="6"/>
      <c r="CM94" s="55">
        <f t="shared" si="34"/>
        <v>1</v>
      </c>
    </row>
    <row r="95" spans="1:91" ht="17.100000000000001" customHeight="1" x14ac:dyDescent="0.25">
      <c r="A95" s="5612"/>
      <c r="B95" s="7981" t="s">
        <v>4252</v>
      </c>
      <c r="C95" s="7982"/>
      <c r="D95" s="7982"/>
      <c r="E95" s="7982"/>
      <c r="F95" s="7982"/>
      <c r="G95" s="7982"/>
      <c r="H95" s="7982"/>
      <c r="I95" s="7982"/>
      <c r="J95" s="5423"/>
      <c r="K95" s="5423"/>
      <c r="L95" s="5423"/>
      <c r="M95" s="5423"/>
      <c r="N95" s="5423"/>
      <c r="O95" s="5423"/>
      <c r="P95" s="5423"/>
      <c r="Q95" s="5423"/>
      <c r="R95" s="5423"/>
      <c r="S95" s="5423"/>
      <c r="T95" s="187"/>
      <c r="U95" s="187"/>
      <c r="V95" s="187"/>
      <c r="W95" s="187"/>
      <c r="X95" s="5423"/>
      <c r="Y95" s="5423"/>
      <c r="Z95" s="5423"/>
      <c r="AA95" s="5423"/>
      <c r="AB95" s="5423"/>
      <c r="AC95" s="5423"/>
      <c r="AD95" s="5423"/>
      <c r="AE95" s="5423"/>
      <c r="AF95" s="5423"/>
      <c r="AG95" s="5423"/>
      <c r="AH95" s="5423"/>
      <c r="AI95" s="5423"/>
      <c r="AJ95" s="5423"/>
      <c r="AK95" s="5423"/>
      <c r="AL95" s="5423"/>
      <c r="AM95" s="5423"/>
      <c r="AN95" s="5423"/>
      <c r="AP95" s="5423"/>
      <c r="AQ95" s="5423"/>
      <c r="AR95" s="5423"/>
      <c r="AS95" s="5423"/>
      <c r="AT95" s="5423"/>
      <c r="AU95" s="5423"/>
      <c r="AV95" s="5423"/>
      <c r="AW95" s="5423"/>
      <c r="AX95" s="5423"/>
      <c r="AY95" s="5423"/>
      <c r="AZ95" s="5423"/>
      <c r="BA95" s="5423"/>
      <c r="BB95" s="5423"/>
      <c r="BC95" s="5423"/>
      <c r="BD95" s="5423"/>
      <c r="BE95" s="5423"/>
      <c r="BF95" s="5423"/>
      <c r="BG95" s="5423"/>
      <c r="BH95" s="5423"/>
      <c r="BI95" s="5423"/>
      <c r="BJ95" s="5423"/>
      <c r="BK95" s="5423"/>
      <c r="BL95" s="5423"/>
      <c r="BM95" s="5423"/>
      <c r="BN95" s="5423"/>
      <c r="BO95" s="5423"/>
      <c r="BP95" s="5423"/>
      <c r="BQ95" s="5423"/>
      <c r="BR95" s="5423"/>
      <c r="BS95" s="5423"/>
      <c r="BT95" s="5423"/>
      <c r="BU95" s="5423"/>
      <c r="BV95" s="5423"/>
      <c r="BW95" s="5423"/>
      <c r="BX95" s="5423"/>
      <c r="BY95" s="5423"/>
      <c r="BZ95" s="5423"/>
      <c r="CA95" s="5423"/>
      <c r="CB95" s="5423"/>
      <c r="CC95" s="5423"/>
      <c r="CD95" s="5423"/>
      <c r="CE95" s="5423"/>
      <c r="CF95" s="5423"/>
      <c r="CG95" s="5423"/>
      <c r="CH95" s="5423"/>
      <c r="CI95" s="5423"/>
      <c r="CJ95" s="5423"/>
      <c r="CK95" s="5423"/>
      <c r="CL95" s="5423"/>
      <c r="CM95" s="5423"/>
    </row>
    <row r="96" spans="1:91" ht="25.5" customHeight="1" x14ac:dyDescent="0.25">
      <c r="A96" s="5827"/>
      <c r="B96" s="5424" t="s">
        <v>4248</v>
      </c>
      <c r="C96" s="1792" t="s">
        <v>1613</v>
      </c>
      <c r="D96" s="5425" t="s">
        <v>4229</v>
      </c>
      <c r="E96" s="5426" t="s">
        <v>4233</v>
      </c>
      <c r="F96" s="5398" t="s">
        <v>4228</v>
      </c>
      <c r="G96" s="5399" t="s">
        <v>1035</v>
      </c>
      <c r="H96" s="5400"/>
      <c r="I96" s="5423"/>
      <c r="J96" s="5423"/>
      <c r="K96" s="5423"/>
      <c r="L96" s="5423"/>
      <c r="M96" s="5423"/>
      <c r="N96" s="5423"/>
      <c r="O96" s="5423"/>
      <c r="P96" s="5423"/>
      <c r="Q96" s="5423"/>
      <c r="R96" s="5423"/>
      <c r="S96" s="5423"/>
      <c r="T96" s="5423"/>
      <c r="U96" s="5423"/>
      <c r="V96" s="5423"/>
      <c r="W96" s="5423"/>
      <c r="X96" s="5423"/>
      <c r="Y96" s="5423"/>
      <c r="Z96" s="5423"/>
      <c r="AA96" s="5423"/>
      <c r="AB96" s="5423"/>
      <c r="AC96" s="5423"/>
      <c r="AD96" s="5423"/>
      <c r="AE96" s="5423"/>
      <c r="AF96" s="5423"/>
      <c r="AG96" s="5423"/>
      <c r="AH96" s="5423"/>
      <c r="AI96" s="5423"/>
      <c r="AJ96" s="5423"/>
      <c r="AK96" s="5423"/>
      <c r="AL96" s="5423"/>
      <c r="AM96" s="5423"/>
      <c r="AO96" s="5423"/>
      <c r="AP96" s="5423"/>
      <c r="AQ96" s="5423"/>
      <c r="AR96" s="5423"/>
      <c r="AS96" s="5423"/>
      <c r="AT96" s="5423"/>
      <c r="AU96" s="5423"/>
      <c r="AV96" s="5423"/>
      <c r="AW96" s="5423"/>
      <c r="AX96" s="5423"/>
      <c r="AY96" s="5423"/>
      <c r="AZ96" s="5423"/>
      <c r="BA96" s="5423"/>
      <c r="BB96" s="5423"/>
      <c r="BC96" s="5423"/>
      <c r="BD96" s="5423"/>
      <c r="BE96" s="5423"/>
      <c r="BF96" s="5423"/>
      <c r="BG96" s="5423"/>
      <c r="BH96" s="5423"/>
      <c r="BI96" s="5423"/>
      <c r="BJ96" s="5423"/>
      <c r="BK96" s="5423"/>
      <c r="BL96" s="5423"/>
      <c r="BM96" s="5423"/>
      <c r="BN96" s="5423"/>
      <c r="BO96" s="5423"/>
      <c r="BP96" s="5423"/>
      <c r="BQ96" s="5423"/>
      <c r="BR96" s="5423"/>
      <c r="BS96" s="5423"/>
      <c r="BT96" s="5423"/>
      <c r="BU96" s="5423"/>
      <c r="BV96" s="5423"/>
      <c r="BW96" s="5423"/>
      <c r="BX96" s="5423"/>
      <c r="BY96" s="5423"/>
      <c r="BZ96" s="5423"/>
      <c r="CA96" s="5423"/>
      <c r="CB96" s="5423"/>
      <c r="CC96" s="5423"/>
      <c r="CD96" s="5423"/>
      <c r="CE96" s="5423"/>
      <c r="CF96" s="5423"/>
      <c r="CG96" s="5423"/>
      <c r="CH96" s="5423"/>
      <c r="CI96" s="5423"/>
      <c r="CJ96" s="5423"/>
      <c r="CK96" s="5423"/>
      <c r="CL96" s="5423"/>
      <c r="CM96" s="5423"/>
    </row>
    <row r="97" spans="1:91" ht="15" customHeight="1" x14ac:dyDescent="0.25">
      <c r="A97" s="5617">
        <v>34000051</v>
      </c>
      <c r="B97" s="5427" t="s">
        <v>4253</v>
      </c>
      <c r="C97" s="3999" t="s">
        <v>4567</v>
      </c>
      <c r="D97" s="5428" t="s">
        <v>4568</v>
      </c>
      <c r="E97" s="5429" t="s">
        <v>4569</v>
      </c>
      <c r="F97" s="5430" t="s">
        <v>4570</v>
      </c>
      <c r="G97" s="5431" t="s">
        <v>4571</v>
      </c>
      <c r="N97" s="5423"/>
      <c r="O97" s="5423"/>
      <c r="P97" s="5423"/>
      <c r="Q97" s="5423"/>
      <c r="R97" s="5423"/>
      <c r="S97" s="5423"/>
      <c r="T97" s="5423"/>
      <c r="U97" s="5423"/>
      <c r="V97" s="5423"/>
      <c r="W97" s="5423"/>
      <c r="X97" s="5423"/>
      <c r="Y97" s="5423"/>
      <c r="Z97" s="5423"/>
      <c r="AA97" s="5423"/>
      <c r="AB97" s="5423"/>
      <c r="AC97" s="5423"/>
      <c r="AD97" s="5423"/>
      <c r="AE97" s="5423"/>
      <c r="AF97" s="5423"/>
      <c r="AG97" s="5423"/>
      <c r="AH97" s="5423"/>
      <c r="AI97" s="5423"/>
      <c r="AJ97" s="5423"/>
      <c r="AK97" s="5423"/>
      <c r="AL97" s="5423"/>
      <c r="AM97" s="5423"/>
      <c r="AO97" s="5423"/>
      <c r="AP97" s="5423"/>
      <c r="AQ97" s="5423"/>
      <c r="AR97" s="5423"/>
      <c r="AS97" s="5423"/>
      <c r="AT97" s="5423"/>
      <c r="AU97" s="5423"/>
      <c r="AV97" s="5423"/>
      <c r="AW97" s="5423"/>
      <c r="AX97" s="5423"/>
      <c r="AY97" s="5423"/>
      <c r="AZ97" s="5423"/>
      <c r="BA97" s="5423"/>
      <c r="BB97" s="5423"/>
      <c r="BC97" s="5423"/>
      <c r="BD97" s="5423"/>
      <c r="BE97" s="5423"/>
      <c r="BF97" s="5423"/>
      <c r="BG97" s="5423"/>
      <c r="BH97" s="5423"/>
      <c r="BI97" s="5423"/>
      <c r="BJ97" s="5423"/>
      <c r="BK97" s="5423"/>
      <c r="BL97" s="5423"/>
      <c r="BM97" s="5423"/>
      <c r="BN97" s="5423"/>
      <c r="BO97" s="5423"/>
      <c r="BP97" s="5423"/>
      <c r="BQ97" s="5423"/>
      <c r="BR97" s="5423"/>
      <c r="BS97" s="5423"/>
      <c r="BT97" s="5423"/>
      <c r="BU97" s="5423"/>
      <c r="BV97" s="5423"/>
      <c r="BW97" s="5423"/>
      <c r="BX97" s="5423"/>
      <c r="BY97" s="5423"/>
      <c r="BZ97" s="5423"/>
      <c r="CA97" s="5423"/>
      <c r="CB97" s="5423"/>
      <c r="CC97" s="5423"/>
      <c r="CD97" s="5423"/>
      <c r="CE97" s="5423"/>
      <c r="CF97" s="5423"/>
      <c r="CG97" s="5423"/>
      <c r="CH97" s="5423"/>
      <c r="CI97" s="5423"/>
      <c r="CJ97" s="5423"/>
      <c r="CK97" s="5423"/>
      <c r="CL97" s="5423"/>
      <c r="CM97" s="5423"/>
    </row>
    <row r="98" spans="1:91" ht="15" customHeight="1" x14ac:dyDescent="0.25">
      <c r="A98" s="5617">
        <v>34000052</v>
      </c>
      <c r="B98" s="5136" t="s">
        <v>4254</v>
      </c>
      <c r="C98" s="5432" t="s">
        <v>4567</v>
      </c>
      <c r="D98" s="5428" t="s">
        <v>4568</v>
      </c>
      <c r="E98" s="5429" t="s">
        <v>4569</v>
      </c>
      <c r="F98" s="5429" t="s">
        <v>4570</v>
      </c>
      <c r="G98" s="5433" t="s">
        <v>4571</v>
      </c>
      <c r="N98" s="5423"/>
      <c r="O98" s="5423"/>
      <c r="P98" s="5423"/>
      <c r="Q98" s="5423"/>
      <c r="R98" s="5423"/>
      <c r="S98" s="5423"/>
      <c r="T98" s="5423"/>
      <c r="U98" s="5423"/>
      <c r="V98" s="5423"/>
      <c r="W98" s="5423"/>
      <c r="X98" s="5423"/>
      <c r="Y98" s="5423"/>
      <c r="Z98" s="5423"/>
      <c r="AA98" s="5423"/>
      <c r="AB98" s="5423"/>
      <c r="AC98" s="5423"/>
      <c r="AD98" s="5423"/>
      <c r="AE98" s="5423"/>
      <c r="AF98" s="5423"/>
      <c r="AG98" s="5423"/>
      <c r="AH98" s="5423"/>
      <c r="AI98" s="5423"/>
      <c r="AJ98" s="5423"/>
      <c r="AK98" s="5423"/>
      <c r="AL98" s="5423"/>
      <c r="AM98" s="5423"/>
      <c r="AO98" s="5423"/>
      <c r="AP98" s="5423"/>
      <c r="AQ98" s="5423"/>
      <c r="AR98" s="5423"/>
      <c r="AS98" s="5423"/>
      <c r="AT98" s="5423"/>
      <c r="AU98" s="5423"/>
      <c r="AV98" s="5423"/>
      <c r="AW98" s="5423"/>
      <c r="AX98" s="5423"/>
      <c r="AY98" s="5423"/>
      <c r="AZ98" s="5423"/>
      <c r="BA98" s="5423"/>
      <c r="BB98" s="5423"/>
      <c r="BC98" s="5423"/>
      <c r="BD98" s="5423"/>
      <c r="BE98" s="5423"/>
      <c r="BF98" s="5423"/>
      <c r="BG98" s="5423"/>
      <c r="BH98" s="5423"/>
      <c r="BI98" s="5423"/>
      <c r="BJ98" s="5423"/>
      <c r="BK98" s="5423"/>
      <c r="BL98" s="5423"/>
      <c r="BM98" s="5423"/>
      <c r="BN98" s="5423"/>
      <c r="BO98" s="5423"/>
      <c r="BP98" s="5423"/>
      <c r="BQ98" s="5423"/>
      <c r="BR98" s="5423"/>
      <c r="BS98" s="5423"/>
      <c r="BT98" s="5423"/>
      <c r="BU98" s="5423"/>
      <c r="BV98" s="5423"/>
      <c r="BW98" s="5423"/>
      <c r="BX98" s="5423"/>
      <c r="BY98" s="5423"/>
      <c r="BZ98" s="5423"/>
      <c r="CA98" s="5423"/>
      <c r="CB98" s="5423"/>
      <c r="CC98" s="5423"/>
      <c r="CD98" s="5423"/>
      <c r="CE98" s="5423"/>
      <c r="CF98" s="5423"/>
      <c r="CG98" s="5423"/>
      <c r="CH98" s="5423"/>
      <c r="CI98" s="5423"/>
      <c r="CJ98" s="5423"/>
      <c r="CK98" s="5423"/>
      <c r="CL98" s="5423"/>
      <c r="CM98" s="5423"/>
    </row>
    <row r="99" spans="1:91" ht="15" customHeight="1" x14ac:dyDescent="0.25">
      <c r="A99" s="5617">
        <v>34000053</v>
      </c>
      <c r="B99" s="5434" t="s">
        <v>4255</v>
      </c>
      <c r="C99" s="5435" t="s">
        <v>4567</v>
      </c>
      <c r="D99" s="5436" t="s">
        <v>4568</v>
      </c>
      <c r="E99" s="5437" t="s">
        <v>4569</v>
      </c>
      <c r="F99" s="5437" t="s">
        <v>4570</v>
      </c>
      <c r="G99" s="5438" t="s">
        <v>4571</v>
      </c>
      <c r="N99" s="5423"/>
      <c r="O99" s="5423"/>
      <c r="P99" s="5423"/>
      <c r="Q99" s="5423"/>
      <c r="R99" s="5423"/>
      <c r="S99" s="5423"/>
      <c r="T99" s="5423"/>
      <c r="U99" s="5423"/>
      <c r="V99" s="5423"/>
      <c r="W99" s="5423"/>
      <c r="X99" s="5423"/>
      <c r="Y99" s="5423"/>
      <c r="Z99" s="5423"/>
      <c r="AA99" s="5423"/>
      <c r="AB99" s="5423"/>
      <c r="AC99" s="5423"/>
      <c r="AD99" s="5423"/>
      <c r="AE99" s="5423"/>
      <c r="AF99" s="5423"/>
      <c r="AG99" s="5423"/>
      <c r="AH99" s="5423"/>
      <c r="AI99" s="5423"/>
      <c r="AJ99" s="5423"/>
      <c r="AK99" s="5423"/>
      <c r="AL99" s="5423"/>
      <c r="AN99" s="5423"/>
      <c r="AO99" s="5423"/>
      <c r="AP99" s="5423"/>
      <c r="AQ99" s="5423"/>
      <c r="AR99" s="5423"/>
      <c r="AS99" s="5423"/>
      <c r="AT99" s="5423"/>
      <c r="AU99" s="5423"/>
      <c r="AV99" s="5423"/>
      <c r="AW99" s="5423"/>
      <c r="AX99" s="5423"/>
      <c r="AY99" s="5423"/>
      <c r="AZ99" s="5423"/>
      <c r="BA99" s="5423"/>
      <c r="BB99" s="5423"/>
      <c r="BC99" s="5423"/>
      <c r="BD99" s="5423"/>
      <c r="BE99" s="5423"/>
      <c r="BF99" s="5423"/>
      <c r="BG99" s="5423"/>
      <c r="BH99" s="5423"/>
      <c r="BI99" s="5423"/>
      <c r="BJ99" s="5423"/>
      <c r="BK99" s="5423"/>
      <c r="BL99" s="5423"/>
      <c r="BM99" s="5423"/>
      <c r="BN99" s="5423"/>
      <c r="BO99" s="5423"/>
      <c r="BP99" s="5423"/>
      <c r="BQ99" s="5423"/>
      <c r="BR99" s="5423"/>
      <c r="BS99" s="5423"/>
      <c r="BT99" s="5423"/>
      <c r="BU99" s="5423"/>
      <c r="BV99" s="5423"/>
      <c r="BW99" s="5423"/>
      <c r="BX99" s="5423"/>
      <c r="BY99" s="5423"/>
      <c r="BZ99" s="5423"/>
      <c r="CA99" s="5423"/>
      <c r="CB99" s="5423"/>
      <c r="CC99" s="5423"/>
      <c r="CD99" s="5423"/>
      <c r="CE99" s="5423"/>
      <c r="CF99" s="3211"/>
      <c r="CG99" s="3211"/>
      <c r="CH99" s="3211"/>
      <c r="CI99" s="3211"/>
      <c r="CJ99" s="3211"/>
      <c r="CK99" s="3211"/>
      <c r="CL99" s="3211"/>
      <c r="CM99" s="3211"/>
    </row>
    <row r="100" spans="1:91" ht="17.100000000000001" customHeight="1" x14ac:dyDescent="0.25">
      <c r="A100" s="5612"/>
      <c r="B100" s="7983" t="s">
        <v>4256</v>
      </c>
      <c r="C100" s="7984"/>
      <c r="D100" s="7984"/>
      <c r="E100" s="7983"/>
      <c r="F100" s="5306"/>
      <c r="G100" s="5306"/>
      <c r="H100" s="5306"/>
      <c r="I100" s="5306"/>
      <c r="J100" s="5306"/>
      <c r="K100" s="5306"/>
      <c r="L100" s="5306"/>
      <c r="M100" s="5306"/>
      <c r="N100" s="5306"/>
      <c r="O100" s="5306"/>
      <c r="P100" s="5306"/>
      <c r="Q100" s="5306"/>
      <c r="R100" s="5306"/>
      <c r="S100" s="5306"/>
      <c r="T100" s="5306"/>
      <c r="U100" s="5306"/>
      <c r="V100" s="5306"/>
      <c r="W100" s="5306"/>
      <c r="X100" s="5306"/>
      <c r="Y100" s="5306"/>
      <c r="Z100" s="5306"/>
      <c r="AA100" s="5306"/>
      <c r="AB100" s="5306"/>
      <c r="AC100" s="5306"/>
      <c r="AD100" s="5306"/>
      <c r="AE100" s="5306"/>
      <c r="AF100" s="5306"/>
      <c r="AG100" s="5306"/>
      <c r="AH100" s="5306"/>
      <c r="AI100" s="5306"/>
      <c r="AJ100" s="5306"/>
      <c r="AK100" s="5306"/>
      <c r="AL100" s="5306"/>
      <c r="AM100" s="5306"/>
      <c r="AN100" s="5306"/>
      <c r="AW100" s="3211"/>
      <c r="AX100" s="3211"/>
      <c r="AY100" s="3211"/>
      <c r="AZ100" s="3211"/>
      <c r="BB100" s="3211"/>
      <c r="BC100" s="3211"/>
      <c r="BD100" s="3211"/>
      <c r="BE100" s="3211"/>
      <c r="BF100" s="3211"/>
      <c r="BG100" s="3211"/>
      <c r="BH100" s="3211"/>
      <c r="BI100" s="3211"/>
      <c r="BJ100" s="3211"/>
      <c r="BK100" s="3211"/>
      <c r="BL100" s="3211"/>
      <c r="BM100" s="3211"/>
      <c r="BN100" s="3211"/>
      <c r="BO100" s="3211"/>
      <c r="BP100" s="3211"/>
      <c r="BQ100" s="3211"/>
      <c r="BR100" s="3211"/>
      <c r="BS100" s="3211"/>
      <c r="BT100" s="3211"/>
      <c r="BU100" s="3211"/>
      <c r="BV100" s="3211"/>
      <c r="BW100" s="3211"/>
      <c r="BX100" s="3211"/>
      <c r="BY100" s="3211"/>
      <c r="BZ100" s="3211"/>
      <c r="CA100" s="3211"/>
      <c r="CB100" s="3211"/>
      <c r="CF100" s="3211"/>
      <c r="CG100" s="3211"/>
      <c r="CH100" s="3211"/>
      <c r="CI100" s="3211"/>
      <c r="CJ100" s="3211"/>
      <c r="CK100" s="3211"/>
      <c r="CL100" s="3211"/>
      <c r="CM100" s="3211"/>
    </row>
    <row r="101" spans="1:91" ht="21" customHeight="1" x14ac:dyDescent="0.25">
      <c r="A101" s="5827"/>
      <c r="B101" s="7985" t="s">
        <v>1093</v>
      </c>
      <c r="C101" s="7986" t="s">
        <v>2520</v>
      </c>
      <c r="D101" s="7986" t="s">
        <v>2521</v>
      </c>
      <c r="E101" s="7320" t="s">
        <v>101</v>
      </c>
      <c r="F101" s="7955"/>
      <c r="G101" s="7955"/>
      <c r="H101" s="7955"/>
      <c r="I101" s="7955"/>
      <c r="J101" s="7955"/>
      <c r="K101" s="7955"/>
      <c r="L101" s="7955"/>
      <c r="M101" s="7955"/>
      <c r="N101" s="7955"/>
      <c r="O101" s="7955"/>
      <c r="P101" s="7955"/>
      <c r="Q101" s="7955"/>
      <c r="R101" s="7955"/>
      <c r="S101" s="7955"/>
      <c r="T101" s="7956"/>
      <c r="U101" s="7987" t="s">
        <v>4257</v>
      </c>
      <c r="V101" s="7988"/>
      <c r="W101" s="7988"/>
      <c r="X101" s="7988"/>
      <c r="Y101" s="7989"/>
      <c r="Z101" s="6786" t="s">
        <v>36</v>
      </c>
      <c r="AA101" s="151"/>
      <c r="AB101" s="151"/>
      <c r="AC101" s="151"/>
      <c r="AD101" s="151"/>
      <c r="AE101" s="151"/>
      <c r="AW101" s="3211"/>
      <c r="AX101" s="3211"/>
      <c r="AY101" s="3211"/>
      <c r="AZ101" s="3211"/>
      <c r="BB101" s="3211"/>
      <c r="BC101" s="3211"/>
      <c r="BD101" s="3211"/>
      <c r="BE101" s="3211"/>
      <c r="BF101" s="3211"/>
      <c r="BG101" s="3211"/>
      <c r="BH101" s="3211"/>
      <c r="BI101" s="3211"/>
      <c r="BJ101" s="3211"/>
      <c r="BK101" s="3211"/>
      <c r="BL101" s="3211"/>
      <c r="BM101" s="3211"/>
      <c r="BN101" s="3211"/>
      <c r="BO101" s="3211"/>
      <c r="BP101" s="3211"/>
      <c r="BQ101" s="3211"/>
      <c r="BR101" s="3211"/>
      <c r="BS101" s="3211"/>
      <c r="BT101" s="3211"/>
      <c r="BU101" s="3211"/>
      <c r="BV101" s="3211"/>
      <c r="BW101" s="3211"/>
      <c r="BX101" s="3211"/>
      <c r="BY101" s="3211"/>
      <c r="BZ101" s="3211"/>
      <c r="CA101" s="3211"/>
      <c r="CB101" s="3211"/>
      <c r="CF101" s="3211"/>
      <c r="CG101" s="3211"/>
      <c r="CH101" s="3211"/>
      <c r="CI101" s="3211"/>
      <c r="CJ101" s="3211"/>
      <c r="CK101" s="3211"/>
      <c r="CL101" s="3211"/>
      <c r="CM101" s="3211"/>
    </row>
    <row r="102" spans="1:91" ht="47.25" customHeight="1" thickBot="1" x14ac:dyDescent="0.3">
      <c r="A102" s="5827"/>
      <c r="B102" s="7024"/>
      <c r="C102" s="6931"/>
      <c r="D102" s="6931"/>
      <c r="E102" s="7823" t="s">
        <v>3789</v>
      </c>
      <c r="F102" s="7794"/>
      <c r="G102" s="7823" t="s">
        <v>4225</v>
      </c>
      <c r="H102" s="7824"/>
      <c r="I102" s="7794" t="s">
        <v>1459</v>
      </c>
      <c r="J102" s="7824"/>
      <c r="K102" s="7823" t="s">
        <v>1460</v>
      </c>
      <c r="L102" s="7824"/>
      <c r="M102" s="7823" t="s">
        <v>1461</v>
      </c>
      <c r="N102" s="7824"/>
      <c r="O102" s="7823" t="s">
        <v>1462</v>
      </c>
      <c r="P102" s="7824"/>
      <c r="Q102" s="7823" t="s">
        <v>1463</v>
      </c>
      <c r="R102" s="7824"/>
      <c r="S102" s="7822" t="s">
        <v>938</v>
      </c>
      <c r="T102" s="7994"/>
      <c r="U102" s="7995" t="s">
        <v>4211</v>
      </c>
      <c r="V102" s="7990" t="s">
        <v>4212</v>
      </c>
      <c r="W102" s="7990" t="s">
        <v>4216</v>
      </c>
      <c r="X102" s="7990" t="s">
        <v>4219</v>
      </c>
      <c r="Y102" s="7992" t="s">
        <v>4226</v>
      </c>
      <c r="Z102" s="6786"/>
      <c r="AA102" s="151"/>
      <c r="AB102" s="151"/>
      <c r="AC102" s="151"/>
      <c r="AW102" s="3211"/>
      <c r="AX102" s="3211"/>
      <c r="AY102" s="3211"/>
      <c r="AZ102" s="3211"/>
      <c r="BB102" s="3211"/>
      <c r="BC102" s="3211"/>
      <c r="BD102" s="3211"/>
      <c r="BE102" s="3211"/>
      <c r="BF102" s="3211"/>
      <c r="BG102" s="3211"/>
      <c r="BH102" s="3211"/>
      <c r="BI102" s="3211"/>
      <c r="BJ102" s="3211"/>
      <c r="BK102" s="3211"/>
      <c r="BL102" s="3211"/>
      <c r="BM102" s="3211"/>
      <c r="BN102" s="3211"/>
      <c r="BO102" s="3211"/>
      <c r="BP102" s="3211"/>
      <c r="BQ102" s="3211"/>
      <c r="BR102" s="3211"/>
      <c r="BS102" s="3211"/>
      <c r="BT102" s="3211"/>
      <c r="BU102" s="3211"/>
      <c r="BV102" s="3211"/>
      <c r="BW102" s="3211"/>
      <c r="BX102" s="3211"/>
      <c r="BY102" s="3211"/>
      <c r="BZ102" s="3211"/>
      <c r="CA102" s="3211"/>
      <c r="CB102" s="3211"/>
      <c r="CF102" s="3211"/>
      <c r="CG102" s="3211"/>
      <c r="CH102" s="3211"/>
      <c r="CI102" s="3211"/>
      <c r="CJ102" s="3211"/>
      <c r="CK102" s="3211"/>
      <c r="CL102" s="3211"/>
    </row>
    <row r="103" spans="1:91" ht="15.75" thickTop="1" x14ac:dyDescent="0.25">
      <c r="A103" s="5827"/>
      <c r="B103" s="6897"/>
      <c r="C103" s="6932"/>
      <c r="D103" s="6932"/>
      <c r="E103" s="5104" t="s">
        <v>58</v>
      </c>
      <c r="F103" s="1325" t="s">
        <v>59</v>
      </c>
      <c r="G103" s="5047" t="s">
        <v>58</v>
      </c>
      <c r="H103" s="1796" t="s">
        <v>59</v>
      </c>
      <c r="I103" s="5104" t="s">
        <v>58</v>
      </c>
      <c r="J103" s="1325" t="s">
        <v>59</v>
      </c>
      <c r="K103" s="5047" t="s">
        <v>58</v>
      </c>
      <c r="L103" s="1796" t="s">
        <v>59</v>
      </c>
      <c r="M103" s="5104" t="s">
        <v>58</v>
      </c>
      <c r="N103" s="1325" t="s">
        <v>59</v>
      </c>
      <c r="O103" s="5047" t="s">
        <v>58</v>
      </c>
      <c r="P103" s="1796" t="s">
        <v>59</v>
      </c>
      <c r="Q103" s="5104" t="s">
        <v>58</v>
      </c>
      <c r="R103" s="1325" t="s">
        <v>59</v>
      </c>
      <c r="S103" s="5047" t="s">
        <v>58</v>
      </c>
      <c r="T103" s="3049" t="s">
        <v>59</v>
      </c>
      <c r="U103" s="7996"/>
      <c r="V103" s="7991"/>
      <c r="W103" s="7991"/>
      <c r="X103" s="7991"/>
      <c r="Y103" s="7993"/>
      <c r="Z103" s="6786"/>
      <c r="AA103" s="151"/>
      <c r="AB103" s="151"/>
      <c r="AC103" s="151"/>
      <c r="AW103" s="3211"/>
      <c r="AX103" s="3211"/>
      <c r="AY103" s="3211"/>
      <c r="AZ103" s="3211"/>
      <c r="BB103" s="3211"/>
      <c r="BC103" s="3211"/>
      <c r="BD103" s="3211"/>
      <c r="BE103" s="3211"/>
      <c r="BF103" s="3211"/>
      <c r="BG103" s="3211"/>
      <c r="BH103" s="3211"/>
      <c r="BI103" s="3211"/>
      <c r="BJ103" s="3211"/>
      <c r="BK103" s="3211"/>
      <c r="BL103" s="3211"/>
      <c r="BM103" s="3211"/>
      <c r="BN103" s="3211"/>
      <c r="BO103" s="3211"/>
      <c r="BP103" s="3211"/>
      <c r="BQ103" s="3211"/>
      <c r="BR103" s="3211"/>
      <c r="BS103" s="3211"/>
      <c r="BT103" s="3211"/>
      <c r="BU103" s="3211"/>
      <c r="BV103" s="3211"/>
      <c r="BW103" s="3211"/>
      <c r="BX103" s="3211"/>
      <c r="BY103" s="3211"/>
      <c r="BZ103" s="3211"/>
      <c r="CA103" s="3211"/>
      <c r="CB103" s="3211"/>
      <c r="CF103" s="3211"/>
      <c r="CG103" s="3211"/>
      <c r="CH103" s="3211"/>
      <c r="CI103" s="3211"/>
      <c r="CJ103" s="3211"/>
      <c r="CK103" s="3211"/>
      <c r="CL103" s="3211"/>
      <c r="CM103" s="3211"/>
    </row>
    <row r="104" spans="1:91" x14ac:dyDescent="0.25">
      <c r="A104" s="5617">
        <v>34000054</v>
      </c>
      <c r="B104" s="5439" t="s">
        <v>4258</v>
      </c>
      <c r="C104" s="5440" t="s">
        <v>4567</v>
      </c>
      <c r="D104" s="5401" t="s">
        <v>4568</v>
      </c>
      <c r="E104" s="1861" t="s">
        <v>4569</v>
      </c>
      <c r="F104" s="867" t="s">
        <v>4570</v>
      </c>
      <c r="G104" s="1861" t="s">
        <v>4571</v>
      </c>
      <c r="H104" s="867" t="s">
        <v>4572</v>
      </c>
      <c r="I104" s="1861" t="s">
        <v>4573</v>
      </c>
      <c r="J104" s="867" t="s">
        <v>4574</v>
      </c>
      <c r="K104" s="1861" t="s">
        <v>4575</v>
      </c>
      <c r="L104" s="867" t="s">
        <v>4576</v>
      </c>
      <c r="M104" s="1861" t="s">
        <v>4577</v>
      </c>
      <c r="N104" s="867" t="s">
        <v>4578</v>
      </c>
      <c r="O104" s="1861" t="s">
        <v>4579</v>
      </c>
      <c r="P104" s="867" t="s">
        <v>4580</v>
      </c>
      <c r="Q104" s="1861" t="s">
        <v>4581</v>
      </c>
      <c r="R104" s="867" t="s">
        <v>4582</v>
      </c>
      <c r="S104" s="1861" t="s">
        <v>4583</v>
      </c>
      <c r="T104" s="869" t="s">
        <v>4584</v>
      </c>
      <c r="U104" s="5403" t="s">
        <v>4585</v>
      </c>
      <c r="V104" s="935" t="s">
        <v>4586</v>
      </c>
      <c r="W104" s="935" t="s">
        <v>4587</v>
      </c>
      <c r="X104" s="935" t="s">
        <v>4588</v>
      </c>
      <c r="Y104" s="5441" t="s">
        <v>4589</v>
      </c>
      <c r="Z104" s="5382" t="s">
        <v>4590</v>
      </c>
      <c r="AA104" s="2193" t="str">
        <f>$CB104</f>
        <v xml:space="preserve">* El número de Pueblos Originarios no puede superar el N° de Participantes  </v>
      </c>
      <c r="AB104" s="6"/>
      <c r="AC104" s="6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CB104" s="4174" t="str">
        <f>IF(AND($D104&lt;&gt;0,Z104=""),"* No olvide ingresar la columna Pueblos Originarios, digite CERO si no tiene.  ",IF(Z104&gt;$D104,"* El número de Pueblos Originarios no puede superar el N° de Participantes  ",""))</f>
        <v xml:space="preserve">* El número de Pueblos Originarios no puede superar el N° de Participantes  </v>
      </c>
      <c r="CC104" s="151"/>
      <c r="CD104" s="151"/>
      <c r="CF104" s="3211"/>
      <c r="CG104" s="3211"/>
      <c r="CH104" s="3211"/>
      <c r="CI104" s="3211"/>
      <c r="CJ104" s="3211"/>
      <c r="CK104" s="3211"/>
      <c r="CL104" s="3211"/>
      <c r="CM104" s="55">
        <f>IF(AND($D104&lt;&gt;0,Z104=""),1,IF(Z104&gt;$D104,1,0))</f>
        <v>1</v>
      </c>
    </row>
    <row r="105" spans="1:91" ht="15" customHeight="1" x14ac:dyDescent="0.25">
      <c r="A105" s="5617">
        <v>34000055</v>
      </c>
      <c r="B105" s="5442" t="s">
        <v>4259</v>
      </c>
      <c r="C105" s="1004" t="s">
        <v>4567</v>
      </c>
      <c r="D105" s="1268" t="s">
        <v>4568</v>
      </c>
      <c r="E105" s="964" t="s">
        <v>4569</v>
      </c>
      <c r="F105" s="965" t="s">
        <v>4570</v>
      </c>
      <c r="G105" s="964" t="s">
        <v>4571</v>
      </c>
      <c r="H105" s="965" t="s">
        <v>4572</v>
      </c>
      <c r="I105" s="964" t="s">
        <v>4573</v>
      </c>
      <c r="J105" s="965" t="s">
        <v>4574</v>
      </c>
      <c r="K105" s="964" t="s">
        <v>4575</v>
      </c>
      <c r="L105" s="965" t="s">
        <v>4576</v>
      </c>
      <c r="M105" s="964" t="s">
        <v>4577</v>
      </c>
      <c r="N105" s="965" t="s">
        <v>4578</v>
      </c>
      <c r="O105" s="964" t="s">
        <v>4579</v>
      </c>
      <c r="P105" s="965" t="s">
        <v>4580</v>
      </c>
      <c r="Q105" s="964" t="s">
        <v>4581</v>
      </c>
      <c r="R105" s="965" t="s">
        <v>4582</v>
      </c>
      <c r="S105" s="964" t="s">
        <v>4583</v>
      </c>
      <c r="T105" s="969" t="s">
        <v>4584</v>
      </c>
      <c r="U105" s="1005" t="s">
        <v>4585</v>
      </c>
      <c r="V105" s="1006" t="s">
        <v>4586</v>
      </c>
      <c r="W105" s="1006" t="s">
        <v>4587</v>
      </c>
      <c r="X105" s="1006" t="s">
        <v>4588</v>
      </c>
      <c r="Y105" s="1878" t="s">
        <v>4589</v>
      </c>
      <c r="Z105" s="854" t="s">
        <v>4590</v>
      </c>
      <c r="AA105" s="2193" t="str">
        <f>$CB105</f>
        <v xml:space="preserve">* El número de Pueblos Originarios no puede superar el N° de Participantes  </v>
      </c>
      <c r="AB105" s="6"/>
      <c r="AC105" s="6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CB105" s="4174" t="str">
        <f>IF(AND($D105&lt;&gt;0,Z105=""),"* No olvide ingresar la columna Pueblos Originarios, digite CERO si no tiene.  ",IF(Z105&gt;$D105,"* El número de Pueblos Originarios no puede superar el N° de Participantes  ",""))</f>
        <v xml:space="preserve">* El número de Pueblos Originarios no puede superar el N° de Participantes  </v>
      </c>
      <c r="CC105" s="151"/>
      <c r="CD105" s="151"/>
      <c r="CF105" s="3211"/>
      <c r="CG105" s="3211"/>
      <c r="CH105" s="3211"/>
      <c r="CI105" s="3211"/>
      <c r="CJ105" s="3211"/>
      <c r="CK105" s="3211"/>
      <c r="CL105" s="3211"/>
      <c r="CM105" s="55">
        <f>IF(AND($D105&lt;&gt;0,Z105=""),1,IF(Z105&gt;$D105,1,0))</f>
        <v>1</v>
      </c>
    </row>
    <row r="106" spans="1:91" ht="17.100000000000001" customHeight="1" x14ac:dyDescent="0.25">
      <c r="A106" s="5612"/>
      <c r="B106" s="7997" t="s">
        <v>4260</v>
      </c>
      <c r="C106" s="7997"/>
      <c r="D106" s="7997"/>
      <c r="E106" s="7997"/>
      <c r="F106" s="5443"/>
      <c r="G106" s="5443"/>
      <c r="H106" s="5443"/>
      <c r="I106" s="5443"/>
      <c r="J106" s="5443"/>
      <c r="K106" s="5443"/>
      <c r="L106" s="5443"/>
      <c r="M106" s="5443"/>
      <c r="N106" s="5443"/>
      <c r="O106" s="5443"/>
      <c r="P106" s="5443"/>
      <c r="Q106" s="5443"/>
      <c r="R106" s="5443"/>
      <c r="S106" s="5443"/>
      <c r="T106" s="5443"/>
      <c r="U106" s="5443"/>
      <c r="V106" s="5443"/>
      <c r="W106" s="5443"/>
      <c r="X106" s="5443"/>
      <c r="Y106" s="5443"/>
      <c r="Z106" s="5443"/>
      <c r="AA106" s="5443"/>
      <c r="AB106" s="5443"/>
      <c r="AC106" s="5443"/>
      <c r="AD106" s="5443"/>
      <c r="AE106" s="5443"/>
      <c r="AF106" s="5443"/>
      <c r="AG106" s="5443"/>
      <c r="AH106" s="5443"/>
      <c r="AI106" s="5443"/>
      <c r="AJ106" s="5443"/>
      <c r="AK106" s="5443"/>
      <c r="AL106" s="5443"/>
      <c r="AM106" s="5443"/>
      <c r="AN106" s="5443"/>
      <c r="AW106" s="3211"/>
      <c r="AX106" s="3211"/>
      <c r="AY106" s="3211"/>
      <c r="AZ106" s="3211"/>
      <c r="BB106" s="3211"/>
      <c r="BC106" s="3211"/>
      <c r="BD106" s="3211"/>
      <c r="BE106" s="3211"/>
      <c r="BF106" s="3211"/>
      <c r="BG106" s="3211"/>
      <c r="BH106" s="3211"/>
      <c r="BI106" s="3211"/>
      <c r="BJ106" s="3211"/>
      <c r="BK106" s="3211"/>
      <c r="BL106" s="3211"/>
      <c r="BM106" s="3211"/>
      <c r="BN106" s="3211"/>
      <c r="BO106" s="3211"/>
      <c r="BP106" s="3211"/>
      <c r="BQ106" s="3211"/>
      <c r="BR106" s="3211"/>
      <c r="BS106" s="3211"/>
      <c r="BT106" s="3211"/>
      <c r="BU106" s="3211"/>
      <c r="BV106" s="3211"/>
      <c r="BW106" s="3211"/>
      <c r="BX106" s="3211"/>
      <c r="BY106" s="3211"/>
      <c r="BZ106" s="3211"/>
      <c r="CA106" s="3211"/>
      <c r="CB106" s="3211"/>
      <c r="CF106" s="5423"/>
      <c r="CG106" s="5423"/>
      <c r="CH106" s="5423"/>
      <c r="CI106" s="5423"/>
      <c r="CJ106" s="5423"/>
      <c r="CK106" s="5423"/>
      <c r="CL106" s="5423"/>
      <c r="CM106" s="5423"/>
    </row>
    <row r="107" spans="1:91" ht="31.5" x14ac:dyDescent="0.25">
      <c r="A107" s="5612"/>
      <c r="B107" s="5502" t="s">
        <v>1093</v>
      </c>
      <c r="C107" s="5444" t="s">
        <v>1094</v>
      </c>
      <c r="D107" s="5143" t="s">
        <v>4261</v>
      </c>
      <c r="E107" s="1782" t="s">
        <v>4262</v>
      </c>
      <c r="F107" s="5423"/>
      <c r="G107" s="5423"/>
      <c r="H107" s="5423"/>
      <c r="I107" s="5423"/>
      <c r="J107" s="5423"/>
      <c r="K107" s="5423"/>
      <c r="L107" s="5423"/>
      <c r="M107" s="5423"/>
      <c r="N107" s="5423"/>
      <c r="O107" s="5423"/>
      <c r="P107" s="5423"/>
      <c r="Q107" s="5423"/>
      <c r="R107" s="5423"/>
      <c r="S107" s="5423"/>
      <c r="T107" s="5423"/>
      <c r="U107" s="5423"/>
      <c r="V107" s="5423"/>
      <c r="W107" s="5423"/>
      <c r="X107" s="5423"/>
      <c r="Y107" s="5423"/>
      <c r="Z107" s="5423"/>
      <c r="AA107" s="5423"/>
      <c r="AB107" s="5423"/>
      <c r="AC107" s="5423"/>
      <c r="AD107" s="5423"/>
      <c r="AE107" s="5423"/>
      <c r="AF107" s="5423"/>
      <c r="AG107" s="5423"/>
      <c r="AH107" s="5423"/>
      <c r="AI107" s="5423"/>
      <c r="AJ107" s="5423"/>
      <c r="AK107" s="5423"/>
      <c r="AL107" s="5423"/>
      <c r="AM107" s="5423"/>
      <c r="AN107" s="5423"/>
      <c r="AP107" s="151"/>
      <c r="AQ107" s="151"/>
      <c r="AR107" s="151"/>
      <c r="AS107" s="151"/>
      <c r="AT107" s="151"/>
      <c r="AU107" s="151"/>
      <c r="AV107" s="5423"/>
      <c r="AW107" s="5423"/>
      <c r="AX107" s="5423"/>
      <c r="AY107" s="5423"/>
      <c r="AZ107" s="5423"/>
      <c r="BA107" s="5423"/>
      <c r="BB107" s="5423"/>
      <c r="BC107" s="151"/>
      <c r="BD107" s="5423"/>
      <c r="BE107" s="5423"/>
      <c r="BF107" s="5423"/>
      <c r="BG107" s="5423"/>
      <c r="BH107" s="5423"/>
      <c r="BI107" s="5423"/>
      <c r="BJ107" s="5423"/>
      <c r="BK107" s="5423"/>
      <c r="BL107" s="5423"/>
      <c r="BM107" s="5423"/>
      <c r="BN107" s="5423"/>
      <c r="BO107" s="5423"/>
      <c r="BP107" s="5423"/>
      <c r="BQ107" s="5423"/>
      <c r="BR107" s="5423"/>
      <c r="BS107" s="5423"/>
      <c r="BT107" s="5423"/>
      <c r="BU107" s="5423"/>
      <c r="BV107" s="5423"/>
      <c r="BW107" s="5423"/>
      <c r="BX107" s="5423"/>
      <c r="BY107" s="5423"/>
      <c r="BZ107" s="5423"/>
      <c r="CA107" s="5423"/>
      <c r="CB107" s="5423"/>
      <c r="CC107" s="5423"/>
      <c r="CD107" s="5423"/>
      <c r="CE107" s="5423"/>
      <c r="CF107" s="5423"/>
      <c r="CG107" s="5423"/>
      <c r="CH107" s="5423"/>
      <c r="CI107" s="5423"/>
      <c r="CJ107" s="5423"/>
      <c r="CK107" s="5423"/>
      <c r="CL107" s="5423"/>
      <c r="CM107" s="5423"/>
    </row>
    <row r="108" spans="1:91" ht="15" customHeight="1" x14ac:dyDescent="0.25">
      <c r="A108" s="5617">
        <v>34000056</v>
      </c>
      <c r="B108" s="5445" t="s">
        <v>1097</v>
      </c>
      <c r="C108" s="5446" t="s">
        <v>4567</v>
      </c>
      <c r="D108" s="5447" t="s">
        <v>4568</v>
      </c>
      <c r="E108" s="5318" t="s">
        <v>4569</v>
      </c>
      <c r="I108" s="5423"/>
      <c r="J108" s="5423"/>
      <c r="K108" s="5423"/>
      <c r="L108" s="5423"/>
      <c r="M108" s="5423"/>
      <c r="N108" s="5423"/>
      <c r="O108" s="5423"/>
      <c r="P108" s="5423"/>
      <c r="Q108" s="5423"/>
      <c r="R108" s="5423"/>
      <c r="S108" s="5423"/>
      <c r="T108" s="5423"/>
      <c r="U108" s="5423"/>
      <c r="V108" s="5423"/>
      <c r="W108" s="5423"/>
      <c r="X108" s="5423"/>
      <c r="Y108" s="5423"/>
      <c r="Z108" s="5423"/>
      <c r="AA108" s="5423"/>
      <c r="AB108" s="5423"/>
      <c r="AC108" s="5423"/>
      <c r="AD108" s="5423"/>
      <c r="AE108" s="5423"/>
      <c r="AF108" s="5423"/>
      <c r="AG108" s="5423"/>
      <c r="AH108" s="5423"/>
      <c r="AI108" s="5423"/>
      <c r="AJ108" s="5423"/>
      <c r="AK108" s="5423"/>
      <c r="AL108" s="5423"/>
      <c r="AM108" s="5423"/>
      <c r="AN108" s="5423"/>
      <c r="AP108" s="151"/>
      <c r="AQ108" s="151"/>
      <c r="AR108" s="151"/>
      <c r="AS108" s="151"/>
      <c r="AT108" s="151"/>
      <c r="AU108" s="151"/>
      <c r="AV108" s="5423"/>
      <c r="AW108" s="5423"/>
      <c r="AX108" s="5423"/>
      <c r="AY108" s="5423"/>
      <c r="AZ108" s="5423"/>
      <c r="BA108" s="5423"/>
      <c r="BB108" s="5423"/>
      <c r="BC108" s="151"/>
      <c r="BD108" s="5423"/>
      <c r="BE108" s="5423"/>
      <c r="BF108" s="5423"/>
      <c r="BG108" s="5423"/>
      <c r="BH108" s="5423"/>
      <c r="BI108" s="5423"/>
      <c r="BJ108" s="5423"/>
      <c r="BK108" s="5423"/>
      <c r="BL108" s="5423"/>
      <c r="BM108" s="5423"/>
      <c r="BN108" s="5423"/>
      <c r="BO108" s="5423"/>
      <c r="BP108" s="5423"/>
      <c r="BQ108" s="5423"/>
      <c r="BR108" s="5423"/>
      <c r="BS108" s="5423"/>
      <c r="BT108" s="5423"/>
      <c r="BU108" s="5423"/>
      <c r="BV108" s="5423"/>
      <c r="BW108" s="5423"/>
      <c r="BX108" s="5423"/>
      <c r="BY108" s="5423"/>
      <c r="BZ108" s="5423"/>
      <c r="CA108" s="5423"/>
      <c r="CB108" s="5423"/>
      <c r="CC108" s="5423"/>
      <c r="CD108" s="5423"/>
      <c r="CE108" s="5423"/>
      <c r="CF108" s="5423"/>
      <c r="CG108" s="5423"/>
      <c r="CH108" s="5423"/>
      <c r="CI108" s="5423"/>
      <c r="CJ108" s="5423"/>
      <c r="CK108" s="5423"/>
      <c r="CL108" s="5423"/>
      <c r="CM108" s="5423"/>
    </row>
    <row r="109" spans="1:91" ht="23.1" customHeight="1" x14ac:dyDescent="0.25">
      <c r="A109" s="5617">
        <v>34000057</v>
      </c>
      <c r="B109" s="4994" t="s">
        <v>1098</v>
      </c>
      <c r="C109" s="5448" t="s">
        <v>4567</v>
      </c>
      <c r="D109" s="2670" t="s">
        <v>4568</v>
      </c>
      <c r="E109" s="5449" t="s">
        <v>4569</v>
      </c>
      <c r="I109" s="5423"/>
      <c r="J109" s="5423"/>
      <c r="K109" s="5423"/>
      <c r="L109" s="5423"/>
      <c r="M109" s="5423"/>
      <c r="N109" s="5423"/>
      <c r="O109" s="5423"/>
      <c r="P109" s="5423"/>
      <c r="Q109" s="5423"/>
      <c r="R109" s="5423"/>
      <c r="S109" s="5423"/>
      <c r="T109" s="5423"/>
      <c r="U109" s="5423"/>
      <c r="V109" s="5423"/>
      <c r="W109" s="5423"/>
      <c r="X109" s="5423"/>
      <c r="Y109" s="5423"/>
      <c r="Z109" s="5423"/>
      <c r="AA109" s="5423"/>
      <c r="AB109" s="5423"/>
      <c r="AC109" s="5423"/>
      <c r="AD109" s="5423"/>
      <c r="AE109" s="5423"/>
      <c r="AF109" s="5423"/>
      <c r="AG109" s="5423"/>
      <c r="AH109" s="5423"/>
      <c r="AI109" s="5423"/>
      <c r="AJ109" s="5423"/>
      <c r="AK109" s="5423"/>
      <c r="AL109" s="5423"/>
      <c r="AM109" s="5423"/>
      <c r="AN109" s="5423"/>
      <c r="AP109" s="151"/>
      <c r="AQ109" s="151"/>
      <c r="AR109" s="151"/>
      <c r="AS109" s="151"/>
      <c r="AT109" s="151"/>
      <c r="AU109" s="151"/>
      <c r="AV109" s="5423"/>
      <c r="AW109" s="5423"/>
      <c r="AX109" s="5423"/>
      <c r="AY109" s="5423"/>
      <c r="AZ109" s="5423"/>
      <c r="BA109" s="5423"/>
      <c r="BB109" s="5423"/>
      <c r="BC109" s="151"/>
      <c r="BD109" s="5423"/>
      <c r="BE109" s="5423"/>
      <c r="BF109" s="5423"/>
      <c r="BG109" s="5423"/>
      <c r="BH109" s="5423"/>
      <c r="BI109" s="5423"/>
      <c r="BJ109" s="5423"/>
      <c r="BK109" s="5423"/>
      <c r="BL109" s="5423"/>
      <c r="BM109" s="5423"/>
      <c r="BN109" s="5423"/>
      <c r="BO109" s="5423"/>
      <c r="BP109" s="5423"/>
      <c r="BQ109" s="5423"/>
      <c r="BR109" s="5423"/>
      <c r="BS109" s="5423"/>
      <c r="BT109" s="5423"/>
      <c r="BU109" s="5423"/>
      <c r="BV109" s="5423"/>
      <c r="BW109" s="5423"/>
      <c r="BX109" s="5423"/>
      <c r="BY109" s="5423"/>
      <c r="BZ109" s="5423"/>
      <c r="CA109" s="5423"/>
      <c r="CB109" s="5423"/>
      <c r="CC109" s="5423"/>
      <c r="CD109" s="5423"/>
      <c r="CE109" s="5423"/>
      <c r="CF109" s="5423"/>
      <c r="CG109" s="5423"/>
      <c r="CH109" s="5423"/>
      <c r="CI109" s="5423"/>
      <c r="CJ109" s="5423"/>
      <c r="CK109" s="5423"/>
      <c r="CL109" s="5423"/>
      <c r="CM109" s="5423"/>
    </row>
    <row r="110" spans="1:91" ht="23.1" customHeight="1" x14ac:dyDescent="0.25">
      <c r="A110" s="5617">
        <v>34000058</v>
      </c>
      <c r="B110" s="4994" t="s">
        <v>1099</v>
      </c>
      <c r="C110" s="5448" t="s">
        <v>4567</v>
      </c>
      <c r="D110" s="2670" t="s">
        <v>4568</v>
      </c>
      <c r="E110" s="2668" t="s">
        <v>4569</v>
      </c>
      <c r="I110" s="5423"/>
      <c r="J110" s="5423"/>
      <c r="K110" s="5423"/>
      <c r="L110" s="5423"/>
      <c r="M110" s="5423"/>
      <c r="N110" s="5423"/>
      <c r="O110" s="5423"/>
      <c r="P110" s="5423"/>
      <c r="Q110" s="5423"/>
      <c r="R110" s="5423"/>
      <c r="S110" s="5423"/>
      <c r="T110" s="5423"/>
      <c r="U110" s="5423"/>
      <c r="V110" s="5423"/>
      <c r="W110" s="5423"/>
      <c r="X110" s="5423"/>
      <c r="Y110" s="5423"/>
      <c r="Z110" s="5423"/>
      <c r="AA110" s="5423"/>
      <c r="AB110" s="5423"/>
      <c r="AC110" s="5423"/>
      <c r="AD110" s="5423"/>
      <c r="AE110" s="5423"/>
      <c r="AF110" s="5423"/>
      <c r="AG110" s="5423"/>
      <c r="AH110" s="5423"/>
      <c r="AI110" s="5423"/>
      <c r="AJ110" s="5423"/>
      <c r="AK110" s="5423"/>
      <c r="AL110" s="5423"/>
      <c r="AM110" s="5423"/>
      <c r="AN110" s="5423"/>
      <c r="AP110" s="151"/>
      <c r="AQ110" s="151"/>
      <c r="AR110" s="151"/>
      <c r="AS110" s="151"/>
      <c r="AT110" s="151"/>
      <c r="AU110" s="151"/>
      <c r="AV110" s="5423"/>
      <c r="AW110" s="5423"/>
      <c r="AX110" s="5423"/>
      <c r="AY110" s="5423"/>
      <c r="AZ110" s="5423"/>
      <c r="BA110" s="5423"/>
      <c r="BB110" s="5423"/>
      <c r="BC110" s="151"/>
      <c r="BD110" s="5423"/>
      <c r="BE110" s="5423"/>
      <c r="BF110" s="5423"/>
      <c r="BG110" s="5423"/>
      <c r="BH110" s="5423"/>
      <c r="BI110" s="5423"/>
      <c r="BJ110" s="5423"/>
      <c r="BK110" s="5423"/>
      <c r="BL110" s="5423"/>
      <c r="BM110" s="5423"/>
      <c r="BN110" s="5423"/>
      <c r="BO110" s="5423"/>
      <c r="BP110" s="5423"/>
      <c r="BQ110" s="5423"/>
      <c r="BR110" s="5423"/>
      <c r="BS110" s="5423"/>
      <c r="BT110" s="5423"/>
      <c r="BU110" s="5423"/>
      <c r="BV110" s="5423"/>
      <c r="BW110" s="5423"/>
      <c r="BX110" s="5423"/>
      <c r="BY110" s="5423"/>
      <c r="BZ110" s="5423"/>
      <c r="CA110" s="5423"/>
      <c r="CB110" s="5423"/>
      <c r="CC110" s="5423"/>
      <c r="CD110" s="5423"/>
      <c r="CE110" s="5423"/>
      <c r="CF110" s="3211"/>
      <c r="CG110" s="3211"/>
      <c r="CH110" s="3211"/>
      <c r="CI110" s="3211"/>
      <c r="CJ110" s="3211"/>
      <c r="CK110" s="3211"/>
      <c r="CL110" s="3211"/>
      <c r="CM110" s="3211"/>
    </row>
    <row r="111" spans="1:91" ht="23.1" customHeight="1" x14ac:dyDescent="0.25">
      <c r="A111" s="5617">
        <v>34000059</v>
      </c>
      <c r="B111" s="5450" t="s">
        <v>4263</v>
      </c>
      <c r="C111" s="5448" t="s">
        <v>4567</v>
      </c>
      <c r="D111" s="2670" t="s">
        <v>4568</v>
      </c>
      <c r="E111" s="2668" t="s">
        <v>4569</v>
      </c>
      <c r="I111" s="5423"/>
      <c r="J111" s="5423"/>
      <c r="K111" s="5423"/>
      <c r="L111" s="5423"/>
      <c r="M111" s="5423"/>
      <c r="N111" s="5423"/>
      <c r="O111" s="5423"/>
      <c r="P111" s="5423"/>
      <c r="Q111" s="5423"/>
      <c r="R111" s="5423"/>
      <c r="S111" s="5423"/>
      <c r="T111" s="5423"/>
      <c r="U111" s="5423"/>
      <c r="V111" s="5423"/>
      <c r="W111" s="5423"/>
      <c r="X111" s="5423"/>
      <c r="Y111" s="5423"/>
      <c r="Z111" s="5423"/>
      <c r="AA111" s="5423"/>
      <c r="AB111" s="5423"/>
      <c r="AC111" s="5423"/>
      <c r="AD111" s="5423"/>
      <c r="AE111" s="5423"/>
      <c r="AF111" s="5423"/>
      <c r="AG111" s="5423"/>
      <c r="AH111" s="5423"/>
      <c r="AI111" s="5423"/>
      <c r="AJ111" s="5423"/>
      <c r="AK111" s="5423"/>
      <c r="AL111" s="5423"/>
      <c r="AM111" s="5423"/>
      <c r="AN111" s="5423"/>
      <c r="AW111" s="3211"/>
      <c r="AX111" s="3211"/>
      <c r="AY111" s="3211"/>
      <c r="AZ111" s="3211"/>
      <c r="BB111" s="3211"/>
      <c r="BC111" s="3211"/>
      <c r="BD111" s="3211"/>
      <c r="BE111" s="3211"/>
      <c r="BF111" s="3211"/>
      <c r="BG111" s="3211"/>
      <c r="BH111" s="3211"/>
      <c r="BI111" s="3211"/>
      <c r="BJ111" s="3211"/>
      <c r="BK111" s="3211"/>
      <c r="BL111" s="3211"/>
      <c r="BM111" s="3211"/>
      <c r="BN111" s="3211"/>
      <c r="BO111" s="3211"/>
      <c r="BP111" s="3211"/>
      <c r="BQ111" s="3211"/>
      <c r="BR111" s="3211"/>
      <c r="BS111" s="3211"/>
      <c r="BT111" s="3211"/>
      <c r="BU111" s="3211"/>
      <c r="BV111" s="3211"/>
      <c r="BW111" s="3211"/>
      <c r="BX111" s="3211"/>
      <c r="BY111" s="3211"/>
      <c r="BZ111" s="3211"/>
      <c r="CA111" s="3211"/>
      <c r="CB111" s="3211"/>
      <c r="CF111" s="5423"/>
      <c r="CG111" s="5423"/>
      <c r="CH111" s="5423"/>
      <c r="CI111" s="5423"/>
      <c r="CJ111" s="5423"/>
      <c r="CK111" s="5423"/>
      <c r="CL111" s="5423"/>
      <c r="CM111" s="5423"/>
    </row>
    <row r="112" spans="1:91" ht="23.1" customHeight="1" x14ac:dyDescent="0.25">
      <c r="A112" s="5617">
        <v>34000060</v>
      </c>
      <c r="B112" s="5451" t="s">
        <v>4264</v>
      </c>
      <c r="C112" s="5452" t="s">
        <v>4567</v>
      </c>
      <c r="D112" s="5453" t="s">
        <v>4568</v>
      </c>
      <c r="E112" s="5454" t="s">
        <v>4569</v>
      </c>
      <c r="I112" s="5423"/>
      <c r="J112" s="5423"/>
      <c r="K112" s="5423"/>
      <c r="L112" s="5423"/>
      <c r="M112" s="5423"/>
      <c r="N112" s="5423"/>
      <c r="O112" s="5423"/>
      <c r="P112" s="5423"/>
      <c r="Q112" s="5423"/>
      <c r="R112" s="5423"/>
      <c r="S112" s="5423"/>
      <c r="T112" s="5423"/>
      <c r="U112" s="5423"/>
      <c r="V112" s="5423"/>
      <c r="W112" s="5423"/>
      <c r="X112" s="5423"/>
      <c r="Y112" s="5423"/>
      <c r="Z112" s="5423"/>
      <c r="AA112" s="5423"/>
      <c r="AB112" s="5423"/>
      <c r="AC112" s="5423"/>
      <c r="AD112" s="5423"/>
      <c r="AE112" s="5423"/>
      <c r="AF112" s="5423"/>
      <c r="AG112" s="5423"/>
      <c r="AH112" s="5423"/>
      <c r="AI112" s="5423"/>
      <c r="AJ112" s="5423"/>
      <c r="AK112" s="5423"/>
      <c r="AL112" s="5423"/>
      <c r="AM112" s="5423"/>
      <c r="AN112" s="5423"/>
      <c r="AP112" s="5423"/>
      <c r="AQ112" s="5423"/>
      <c r="AR112" s="5423"/>
      <c r="AS112" s="5423"/>
      <c r="AT112" s="5423"/>
      <c r="AU112" s="5423"/>
      <c r="AV112" s="5423"/>
      <c r="AW112" s="5423"/>
      <c r="AX112" s="5423"/>
      <c r="AY112" s="5423"/>
      <c r="AZ112" s="5423"/>
      <c r="BA112" s="5423"/>
      <c r="BB112" s="5423"/>
      <c r="BC112" s="5423"/>
      <c r="BD112" s="5423"/>
      <c r="BE112" s="5423"/>
      <c r="BF112" s="5423"/>
      <c r="BG112" s="5423"/>
      <c r="BH112" s="5423"/>
      <c r="BI112" s="5423"/>
      <c r="BJ112" s="5423"/>
      <c r="BK112" s="5423"/>
      <c r="BL112" s="5423"/>
      <c r="BM112" s="5423"/>
      <c r="BN112" s="5423"/>
      <c r="BO112" s="5423"/>
      <c r="BP112" s="5423"/>
      <c r="BQ112" s="5423"/>
      <c r="BR112" s="5423"/>
      <c r="BS112" s="5423"/>
      <c r="BT112" s="5423"/>
      <c r="BU112" s="5423"/>
      <c r="BV112" s="5423"/>
      <c r="BW112" s="5423"/>
      <c r="BX112" s="5423"/>
      <c r="BY112" s="5423"/>
      <c r="BZ112" s="5423"/>
      <c r="CA112" s="5423"/>
      <c r="CB112" s="5423"/>
      <c r="CC112" s="5423"/>
      <c r="CD112" s="5423"/>
      <c r="CE112" s="5423"/>
      <c r="CF112" s="5306"/>
      <c r="CG112" s="5306"/>
      <c r="CH112" s="5306"/>
      <c r="CI112" s="5306"/>
      <c r="CJ112" s="5306"/>
      <c r="CK112" s="5306"/>
      <c r="CL112" s="5306"/>
      <c r="CM112" s="3211"/>
    </row>
    <row r="113" spans="1:42" ht="17.100000000000001" customHeight="1" x14ac:dyDescent="0.25">
      <c r="A113" s="5612"/>
      <c r="B113" s="2474" t="s">
        <v>4265</v>
      </c>
      <c r="C113" s="5306"/>
      <c r="D113" s="5306"/>
      <c r="E113" s="5306"/>
      <c r="F113" s="5306"/>
      <c r="G113" s="5306"/>
      <c r="H113" s="5306"/>
      <c r="I113" s="5306"/>
      <c r="J113" s="5306"/>
      <c r="K113" s="5306"/>
      <c r="L113" s="5306"/>
      <c r="M113" s="5306"/>
      <c r="N113" s="5306"/>
      <c r="O113" s="5306"/>
      <c r="P113" s="5306"/>
      <c r="Q113" s="5306"/>
      <c r="R113" s="5306"/>
      <c r="S113" s="5306"/>
      <c r="T113" s="5306"/>
      <c r="U113" s="5306"/>
      <c r="V113" s="5306"/>
      <c r="W113" s="5306"/>
      <c r="X113" s="5306"/>
      <c r="Y113" s="5306"/>
      <c r="Z113" s="5306"/>
      <c r="AA113" s="5306"/>
      <c r="AB113" s="5306"/>
      <c r="AC113" s="5306"/>
      <c r="AD113" s="5306"/>
      <c r="AE113" s="5306"/>
      <c r="AF113" s="5306"/>
      <c r="AG113" s="5306"/>
      <c r="AH113" s="5306"/>
      <c r="AI113" s="5306"/>
      <c r="AJ113" s="5306"/>
      <c r="AK113" s="5306"/>
      <c r="AL113" s="5306"/>
      <c r="AM113" s="5306"/>
      <c r="AN113" s="5306"/>
      <c r="AP113" s="5306"/>
    </row>
    <row r="114" spans="1:42" ht="15" customHeight="1" x14ac:dyDescent="0.25">
      <c r="A114" s="5612"/>
      <c r="B114" s="7890" t="s">
        <v>29</v>
      </c>
      <c r="C114" s="7998" t="s">
        <v>4266</v>
      </c>
      <c r="D114" s="7973" t="s">
        <v>4267</v>
      </c>
      <c r="E114" s="7973"/>
      <c r="F114" s="7973"/>
      <c r="G114" s="7973"/>
      <c r="H114" s="7951"/>
      <c r="I114" s="321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O114" s="151"/>
      <c r="AP114" s="151"/>
    </row>
    <row r="115" spans="1:42" x14ac:dyDescent="0.25">
      <c r="A115" s="5612"/>
      <c r="B115" s="7917"/>
      <c r="C115" s="7790"/>
      <c r="D115" s="7999" t="s">
        <v>4268</v>
      </c>
      <c r="E115" s="8000" t="s">
        <v>4269</v>
      </c>
      <c r="F115" s="8000" t="s">
        <v>4216</v>
      </c>
      <c r="G115" s="8000" t="s">
        <v>4219</v>
      </c>
      <c r="H115" s="7977" t="s">
        <v>4226</v>
      </c>
      <c r="I115" s="321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O115" s="151"/>
      <c r="AP115" s="151"/>
    </row>
    <row r="116" spans="1:42" ht="53.25" customHeight="1" x14ac:dyDescent="0.25">
      <c r="A116" s="5612"/>
      <c r="B116" s="7153"/>
      <c r="C116" s="7791"/>
      <c r="D116" s="7044"/>
      <c r="E116" s="6083"/>
      <c r="F116" s="6083"/>
      <c r="G116" s="6083"/>
      <c r="H116" s="6964"/>
      <c r="I116" s="321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O116" s="151"/>
      <c r="AP116" s="151"/>
    </row>
    <row r="117" spans="1:42" ht="15" customHeight="1" x14ac:dyDescent="0.25">
      <c r="A117" s="5617">
        <v>34000061</v>
      </c>
      <c r="B117" s="5235" t="s">
        <v>3789</v>
      </c>
      <c r="C117" s="5455" t="s">
        <v>4567</v>
      </c>
      <c r="D117" s="5456" t="s">
        <v>4568</v>
      </c>
      <c r="E117" s="5457" t="s">
        <v>4569</v>
      </c>
      <c r="F117" s="5457" t="s">
        <v>4570</v>
      </c>
      <c r="G117" s="5457" t="s">
        <v>4571</v>
      </c>
      <c r="H117" s="5318" t="s">
        <v>4572</v>
      </c>
      <c r="I117" s="321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O117" s="151"/>
      <c r="AP117" s="151"/>
    </row>
    <row r="118" spans="1:42" ht="15" customHeight="1" x14ac:dyDescent="0.25">
      <c r="A118" s="5617">
        <v>34000062</v>
      </c>
      <c r="B118" s="5458" t="s">
        <v>4225</v>
      </c>
      <c r="C118" s="5459" t="s">
        <v>4567</v>
      </c>
      <c r="D118" s="5460" t="s">
        <v>4568</v>
      </c>
      <c r="E118" s="5461" t="s">
        <v>4569</v>
      </c>
      <c r="F118" s="2910" t="s">
        <v>4570</v>
      </c>
      <c r="G118" s="5461" t="s">
        <v>4571</v>
      </c>
      <c r="H118" s="2668" t="s">
        <v>4572</v>
      </c>
      <c r="I118" s="321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O118" s="151"/>
      <c r="AP118" s="151"/>
    </row>
    <row r="119" spans="1:42" ht="15" customHeight="1" x14ac:dyDescent="0.25">
      <c r="A119" s="5617">
        <v>34000063</v>
      </c>
      <c r="B119" s="5462" t="s">
        <v>1459</v>
      </c>
      <c r="C119" s="5459" t="s">
        <v>4567</v>
      </c>
      <c r="D119" s="5460" t="s">
        <v>4568</v>
      </c>
      <c r="E119" s="2910" t="s">
        <v>4569</v>
      </c>
      <c r="F119" s="2910" t="s">
        <v>4570</v>
      </c>
      <c r="G119" s="2910" t="s">
        <v>4571</v>
      </c>
      <c r="H119" s="2668" t="s">
        <v>4572</v>
      </c>
      <c r="I119" s="321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O119" s="151"/>
      <c r="AP119" s="151"/>
    </row>
    <row r="120" spans="1:42" ht="15" customHeight="1" x14ac:dyDescent="0.25">
      <c r="A120" s="5617">
        <v>34000064</v>
      </c>
      <c r="B120" s="5458" t="s">
        <v>1460</v>
      </c>
      <c r="C120" s="5459" t="s">
        <v>4567</v>
      </c>
      <c r="D120" s="5460" t="s">
        <v>4568</v>
      </c>
      <c r="E120" s="2910" t="s">
        <v>4569</v>
      </c>
      <c r="F120" s="2910" t="s">
        <v>4570</v>
      </c>
      <c r="G120" s="2910" t="s">
        <v>4571</v>
      </c>
      <c r="H120" s="2668" t="s">
        <v>4572</v>
      </c>
      <c r="I120" s="321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O120" s="151"/>
      <c r="AP120" s="151"/>
    </row>
    <row r="121" spans="1:42" ht="15" customHeight="1" x14ac:dyDescent="0.25">
      <c r="A121" s="5617">
        <v>34000065</v>
      </c>
      <c r="B121" s="5458" t="s">
        <v>1461</v>
      </c>
      <c r="C121" s="5459" t="s">
        <v>4567</v>
      </c>
      <c r="D121" s="5460" t="s">
        <v>4568</v>
      </c>
      <c r="E121" s="2910" t="s">
        <v>4569</v>
      </c>
      <c r="F121" s="2910" t="s">
        <v>4570</v>
      </c>
      <c r="G121" s="2910" t="s">
        <v>4571</v>
      </c>
      <c r="H121" s="2668" t="s">
        <v>4572</v>
      </c>
      <c r="I121" s="321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O121" s="151"/>
      <c r="AP121" s="151"/>
    </row>
    <row r="122" spans="1:42" ht="15" customHeight="1" x14ac:dyDescent="0.25">
      <c r="A122" s="5617">
        <v>34000066</v>
      </c>
      <c r="B122" s="5458" t="s">
        <v>1462</v>
      </c>
      <c r="C122" s="5459" t="s">
        <v>4567</v>
      </c>
      <c r="D122" s="5463" t="s">
        <v>4568</v>
      </c>
      <c r="E122" s="5461" t="s">
        <v>4569</v>
      </c>
      <c r="F122" s="5461" t="s">
        <v>4570</v>
      </c>
      <c r="G122" s="5461" t="s">
        <v>4571</v>
      </c>
      <c r="H122" s="5449" t="s">
        <v>4572</v>
      </c>
      <c r="I122" s="321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O122" s="151"/>
      <c r="AP122" s="151"/>
    </row>
    <row r="123" spans="1:42" ht="15" customHeight="1" x14ac:dyDescent="0.25">
      <c r="A123" s="5617">
        <v>34000067</v>
      </c>
      <c r="B123" s="5458" t="s">
        <v>1463</v>
      </c>
      <c r="C123" s="5459" t="s">
        <v>4567</v>
      </c>
      <c r="D123" s="5460" t="s">
        <v>4568</v>
      </c>
      <c r="E123" s="2910" t="s">
        <v>4569</v>
      </c>
      <c r="F123" s="2910" t="s">
        <v>4570</v>
      </c>
      <c r="G123" s="2910" t="s">
        <v>4571</v>
      </c>
      <c r="H123" s="2668" t="s">
        <v>4572</v>
      </c>
      <c r="I123" s="3211"/>
      <c r="Q123" s="3211"/>
      <c r="R123" s="3211"/>
      <c r="S123" s="3211"/>
      <c r="T123" s="3211"/>
      <c r="U123" s="3211"/>
      <c r="V123" s="3211"/>
      <c r="W123" s="3211"/>
      <c r="X123" s="3211"/>
      <c r="Y123" s="3211"/>
      <c r="Z123" s="3211"/>
    </row>
    <row r="124" spans="1:42" ht="15" customHeight="1" x14ac:dyDescent="0.25">
      <c r="A124" s="5617">
        <v>34000068</v>
      </c>
      <c r="B124" s="5464" t="s">
        <v>938</v>
      </c>
      <c r="C124" s="5465" t="s">
        <v>4567</v>
      </c>
      <c r="D124" s="5466" t="s">
        <v>4568</v>
      </c>
      <c r="E124" s="5467" t="s">
        <v>4569</v>
      </c>
      <c r="F124" s="2911" t="s">
        <v>4570</v>
      </c>
      <c r="G124" s="5467" t="s">
        <v>4571</v>
      </c>
      <c r="H124" s="5454" t="s">
        <v>4572</v>
      </c>
      <c r="I124" s="3211"/>
      <c r="Q124" s="3211"/>
      <c r="R124" s="3211"/>
      <c r="S124" s="3211"/>
      <c r="T124" s="3211"/>
      <c r="U124" s="3211"/>
      <c r="V124" s="3211"/>
      <c r="W124" s="3211"/>
      <c r="X124" s="3211"/>
      <c r="Y124" s="3211"/>
      <c r="Z124" s="3211"/>
    </row>
    <row r="125" spans="1:42" ht="15" customHeight="1" x14ac:dyDescent="0.25">
      <c r="A125" s="5828"/>
      <c r="B125" s="5338" t="s">
        <v>77</v>
      </c>
      <c r="C125" s="5468">
        <f>SUM(C117:C124)</f>
        <v>0</v>
      </c>
      <c r="D125" s="1820">
        <f t="shared" ref="D125:H125" si="35">SUM(D117:D124)</f>
        <v>0</v>
      </c>
      <c r="E125" s="1821">
        <f t="shared" si="35"/>
        <v>0</v>
      </c>
      <c r="F125" s="1821">
        <f t="shared" si="35"/>
        <v>0</v>
      </c>
      <c r="G125" s="1821">
        <f>SUM(G117:G124)</f>
        <v>0</v>
      </c>
      <c r="H125" s="5328">
        <f t="shared" si="35"/>
        <v>0</v>
      </c>
      <c r="I125" s="3211"/>
      <c r="J125" s="3211"/>
      <c r="K125" s="3211"/>
      <c r="L125" s="3211"/>
      <c r="M125" s="3211"/>
      <c r="N125" s="3211"/>
      <c r="O125" s="3211"/>
      <c r="P125" s="3211"/>
      <c r="Q125" s="3211"/>
      <c r="R125" s="3211"/>
      <c r="S125" s="3211"/>
      <c r="T125" s="3211"/>
      <c r="U125" s="3211"/>
      <c r="V125" s="3211"/>
      <c r="W125" s="3211"/>
      <c r="X125" s="3211"/>
      <c r="Y125" s="3211"/>
      <c r="Z125" s="3211"/>
    </row>
    <row r="126" spans="1:42" x14ac:dyDescent="0.25">
      <c r="A126" s="5612"/>
    </row>
    <row r="127" spans="1:42" x14ac:dyDescent="0.25">
      <c r="A127" s="5612"/>
    </row>
    <row r="128" spans="1:42" x14ac:dyDescent="0.25">
      <c r="A128" s="5612" t="s">
        <v>4566</v>
      </c>
    </row>
    <row r="129" spans="1:1" x14ac:dyDescent="0.25">
      <c r="A129" s="5867">
        <v>34000000</v>
      </c>
    </row>
    <row r="130" spans="1:1" x14ac:dyDescent="0.25">
      <c r="A130" s="5867">
        <v>34000001</v>
      </c>
    </row>
    <row r="131" spans="1:1" x14ac:dyDescent="0.25">
      <c r="A131" s="5867">
        <v>34000002</v>
      </c>
    </row>
    <row r="132" spans="1:1" x14ac:dyDescent="0.25">
      <c r="A132" s="5867">
        <v>34000003</v>
      </c>
    </row>
    <row r="133" spans="1:1" x14ac:dyDescent="0.25">
      <c r="A133" s="5867">
        <v>34000004</v>
      </c>
    </row>
    <row r="134" spans="1:1" x14ac:dyDescent="0.25">
      <c r="A134" s="5867">
        <v>34000005</v>
      </c>
    </row>
    <row r="135" spans="1:1" x14ac:dyDescent="0.25">
      <c r="A135" s="5867">
        <v>34000006</v>
      </c>
    </row>
    <row r="136" spans="1:1" x14ac:dyDescent="0.25">
      <c r="A136" s="5867">
        <v>34000007</v>
      </c>
    </row>
    <row r="137" spans="1:1" x14ac:dyDescent="0.25">
      <c r="A137" s="5867">
        <v>34000008</v>
      </c>
    </row>
    <row r="138" spans="1:1" x14ac:dyDescent="0.25">
      <c r="A138" s="5867">
        <v>34000009</v>
      </c>
    </row>
    <row r="139" spans="1:1" x14ac:dyDescent="0.25">
      <c r="A139" s="5867">
        <v>34000010</v>
      </c>
    </row>
    <row r="140" spans="1:1" x14ac:dyDescent="0.25">
      <c r="A140" s="5867">
        <v>34000011</v>
      </c>
    </row>
    <row r="141" spans="1:1" x14ac:dyDescent="0.25">
      <c r="A141" s="5867">
        <v>34000012</v>
      </c>
    </row>
    <row r="142" spans="1:1" x14ac:dyDescent="0.25">
      <c r="A142" s="5867">
        <v>34000013</v>
      </c>
    </row>
    <row r="143" spans="1:1" x14ac:dyDescent="0.25">
      <c r="A143" s="5867">
        <v>34000014</v>
      </c>
    </row>
    <row r="144" spans="1:1" x14ac:dyDescent="0.25">
      <c r="A144" s="5867">
        <v>34000015</v>
      </c>
    </row>
    <row r="145" spans="1:3" x14ac:dyDescent="0.25">
      <c r="A145" s="5867">
        <v>34000016</v>
      </c>
    </row>
    <row r="146" spans="1:3" x14ac:dyDescent="0.25">
      <c r="A146" s="5867">
        <v>34000017</v>
      </c>
    </row>
    <row r="147" spans="1:3" x14ac:dyDescent="0.25">
      <c r="A147" s="5867">
        <v>34000018</v>
      </c>
    </row>
    <row r="148" spans="1:3" x14ac:dyDescent="0.25">
      <c r="A148" s="5867">
        <v>34000019</v>
      </c>
    </row>
    <row r="149" spans="1:3" x14ac:dyDescent="0.25">
      <c r="A149" s="5867">
        <v>34000020</v>
      </c>
    </row>
    <row r="150" spans="1:3" hidden="1" x14ac:dyDescent="0.25">
      <c r="A150" s="5867">
        <v>34000021</v>
      </c>
      <c r="B150" s="2613">
        <f>SUM(D13:D15,C21:C23,D29:D33,D35:D39,D41:D45,D47:D49,C55:C57,D64:D71,D75:J81,D86:D94,C97:C99,C104:Y105,C108:E112,C117:H124)</f>
        <v>0</v>
      </c>
      <c r="C150" s="2613">
        <f>SUM(CM13:CM105)</f>
        <v>42</v>
      </c>
    </row>
    <row r="151" spans="1:3" x14ac:dyDescent="0.25">
      <c r="A151" s="5867">
        <v>34000022</v>
      </c>
    </row>
    <row r="152" spans="1:3" x14ac:dyDescent="0.25">
      <c r="A152" s="5867">
        <v>34000023</v>
      </c>
    </row>
    <row r="153" spans="1:3" x14ac:dyDescent="0.25">
      <c r="A153" s="5867">
        <v>34000024</v>
      </c>
    </row>
    <row r="154" spans="1:3" x14ac:dyDescent="0.25">
      <c r="A154" s="5867">
        <v>34000025</v>
      </c>
    </row>
    <row r="155" spans="1:3" x14ac:dyDescent="0.25">
      <c r="A155" s="5867">
        <v>34000026</v>
      </c>
    </row>
    <row r="156" spans="1:3" x14ac:dyDescent="0.25">
      <c r="A156" s="5867">
        <v>34000027</v>
      </c>
    </row>
    <row r="157" spans="1:3" x14ac:dyDescent="0.25">
      <c r="A157" s="5867">
        <v>34000028</v>
      </c>
    </row>
    <row r="158" spans="1:3" x14ac:dyDescent="0.25">
      <c r="A158" s="5867">
        <v>34000029</v>
      </c>
    </row>
    <row r="159" spans="1:3" x14ac:dyDescent="0.25">
      <c r="A159" s="5867">
        <v>34000030</v>
      </c>
    </row>
    <row r="160" spans="1:3" x14ac:dyDescent="0.25">
      <c r="A160" s="5867">
        <v>34000031</v>
      </c>
    </row>
    <row r="161" spans="1:1" x14ac:dyDescent="0.25">
      <c r="A161" s="5867">
        <v>34000032</v>
      </c>
    </row>
    <row r="162" spans="1:1" x14ac:dyDescent="0.25">
      <c r="A162" s="5867">
        <v>34000033</v>
      </c>
    </row>
    <row r="163" spans="1:1" x14ac:dyDescent="0.25">
      <c r="A163" s="5867">
        <v>34000034</v>
      </c>
    </row>
    <row r="164" spans="1:1" x14ac:dyDescent="0.25">
      <c r="A164" s="5867">
        <v>34000035</v>
      </c>
    </row>
    <row r="165" spans="1:1" x14ac:dyDescent="0.25">
      <c r="A165" s="5867">
        <v>34000036</v>
      </c>
    </row>
    <row r="166" spans="1:1" x14ac:dyDescent="0.25">
      <c r="A166" s="5867">
        <v>34000037</v>
      </c>
    </row>
    <row r="167" spans="1:1" x14ac:dyDescent="0.25">
      <c r="A167" s="5867">
        <v>34000038</v>
      </c>
    </row>
    <row r="168" spans="1:1" x14ac:dyDescent="0.25">
      <c r="A168" s="5867">
        <v>34000039</v>
      </c>
    </row>
    <row r="169" spans="1:1" x14ac:dyDescent="0.25">
      <c r="A169" s="5867">
        <v>34000040</v>
      </c>
    </row>
    <row r="170" spans="1:1" x14ac:dyDescent="0.25">
      <c r="A170" s="5867">
        <v>34000041</v>
      </c>
    </row>
    <row r="171" spans="1:1" x14ac:dyDescent="0.25">
      <c r="A171" s="5867">
        <v>34000042</v>
      </c>
    </row>
    <row r="172" spans="1:1" x14ac:dyDescent="0.25">
      <c r="A172" s="5867">
        <v>34000043</v>
      </c>
    </row>
    <row r="173" spans="1:1" x14ac:dyDescent="0.25">
      <c r="A173" s="5867">
        <v>34000044</v>
      </c>
    </row>
    <row r="174" spans="1:1" x14ac:dyDescent="0.25">
      <c r="A174" s="5867">
        <v>34000045</v>
      </c>
    </row>
    <row r="175" spans="1:1" x14ac:dyDescent="0.25">
      <c r="A175" s="5867">
        <v>34000046</v>
      </c>
    </row>
    <row r="176" spans="1:1" x14ac:dyDescent="0.25">
      <c r="A176" s="5867">
        <v>34000047</v>
      </c>
    </row>
    <row r="177" spans="1:1" x14ac:dyDescent="0.25">
      <c r="A177" s="5867">
        <v>34000048</v>
      </c>
    </row>
    <row r="178" spans="1:1" x14ac:dyDescent="0.25">
      <c r="A178" s="5867">
        <v>34000049</v>
      </c>
    </row>
    <row r="179" spans="1:1" x14ac:dyDescent="0.25">
      <c r="A179" s="5867">
        <v>34000050</v>
      </c>
    </row>
    <row r="180" spans="1:1" x14ac:dyDescent="0.25">
      <c r="A180" s="5867">
        <v>34000051</v>
      </c>
    </row>
    <row r="181" spans="1:1" x14ac:dyDescent="0.25">
      <c r="A181" s="5867">
        <v>34000052</v>
      </c>
    </row>
    <row r="182" spans="1:1" x14ac:dyDescent="0.25">
      <c r="A182" s="5867">
        <v>34000053</v>
      </c>
    </row>
    <row r="183" spans="1:1" x14ac:dyDescent="0.25">
      <c r="A183" s="5867">
        <v>34000054</v>
      </c>
    </row>
    <row r="184" spans="1:1" x14ac:dyDescent="0.25">
      <c r="A184" s="5867">
        <v>34000055</v>
      </c>
    </row>
    <row r="185" spans="1:1" x14ac:dyDescent="0.25">
      <c r="A185" s="5867">
        <v>34000056</v>
      </c>
    </row>
    <row r="186" spans="1:1" x14ac:dyDescent="0.25">
      <c r="A186" s="5867">
        <v>34000057</v>
      </c>
    </row>
    <row r="187" spans="1:1" x14ac:dyDescent="0.25">
      <c r="A187" s="5867">
        <v>34000058</v>
      </c>
    </row>
    <row r="188" spans="1:1" x14ac:dyDescent="0.25">
      <c r="A188" s="5867">
        <v>34000059</v>
      </c>
    </row>
    <row r="189" spans="1:1" x14ac:dyDescent="0.25">
      <c r="A189" s="5867">
        <v>34000060</v>
      </c>
    </row>
    <row r="190" spans="1:1" x14ac:dyDescent="0.25">
      <c r="A190" s="5867">
        <v>34000061</v>
      </c>
    </row>
    <row r="191" spans="1:1" x14ac:dyDescent="0.25">
      <c r="A191" s="5867">
        <v>34000062</v>
      </c>
    </row>
    <row r="192" spans="1:1" x14ac:dyDescent="0.25">
      <c r="A192" s="5867">
        <v>34000063</v>
      </c>
    </row>
    <row r="193" spans="1:1" x14ac:dyDescent="0.25">
      <c r="A193" s="5867">
        <v>34000064</v>
      </c>
    </row>
    <row r="194" spans="1:1" x14ac:dyDescent="0.25">
      <c r="A194" s="5867">
        <v>34000065</v>
      </c>
    </row>
    <row r="195" spans="1:1" x14ac:dyDescent="0.25">
      <c r="A195" s="5867">
        <v>34000066</v>
      </c>
    </row>
    <row r="196" spans="1:1" x14ac:dyDescent="0.25">
      <c r="A196" s="5867">
        <v>34000067</v>
      </c>
    </row>
    <row r="197" spans="1:1" x14ac:dyDescent="0.25">
      <c r="A197" s="5867">
        <v>34000068</v>
      </c>
    </row>
  </sheetData>
  <protectedRanges>
    <protectedRange sqref="AO13:AO15 AK29:AK33 AK47:AK49 AK64:AK71 AK41:AK45 AK35:AK39 AJ55:AJ57" name="Rango1_2_3_1"/>
  </protectedRanges>
  <mergeCells count="158">
    <mergeCell ref="B106:E106"/>
    <mergeCell ref="B114:B116"/>
    <mergeCell ref="C114:C116"/>
    <mergeCell ref="D114:H114"/>
    <mergeCell ref="D115:D116"/>
    <mergeCell ref="E115:E116"/>
    <mergeCell ref="F115:F116"/>
    <mergeCell ref="G115:G116"/>
    <mergeCell ref="H115:H116"/>
    <mergeCell ref="Z101:Z103"/>
    <mergeCell ref="E102:F102"/>
    <mergeCell ref="G102:H102"/>
    <mergeCell ref="I102:J102"/>
    <mergeCell ref="K102:L102"/>
    <mergeCell ref="M102:N102"/>
    <mergeCell ref="O102:P102"/>
    <mergeCell ref="Q102:R102"/>
    <mergeCell ref="S102:T102"/>
    <mergeCell ref="U102:U103"/>
    <mergeCell ref="B100:E100"/>
    <mergeCell ref="B101:B103"/>
    <mergeCell ref="C101:C103"/>
    <mergeCell ref="D101:D103"/>
    <mergeCell ref="E101:T101"/>
    <mergeCell ref="U101:Y101"/>
    <mergeCell ref="V102:V103"/>
    <mergeCell ref="W102:W103"/>
    <mergeCell ref="X102:X103"/>
    <mergeCell ref="Y102:Y103"/>
    <mergeCell ref="W83:W85"/>
    <mergeCell ref="B86:B88"/>
    <mergeCell ref="B89:B91"/>
    <mergeCell ref="B92:B94"/>
    <mergeCell ref="B95:I95"/>
    <mergeCell ref="I84:J84"/>
    <mergeCell ref="K84:L84"/>
    <mergeCell ref="M84:N84"/>
    <mergeCell ref="O84:P84"/>
    <mergeCell ref="Q84:R84"/>
    <mergeCell ref="B75:B76"/>
    <mergeCell ref="B77:B78"/>
    <mergeCell ref="B79:B81"/>
    <mergeCell ref="B83:B85"/>
    <mergeCell ref="C83:C85"/>
    <mergeCell ref="D83:F84"/>
    <mergeCell ref="G84:H84"/>
    <mergeCell ref="U84:V84"/>
    <mergeCell ref="S84:T84"/>
    <mergeCell ref="G83:V83"/>
    <mergeCell ref="B64:B65"/>
    <mergeCell ref="B66:B68"/>
    <mergeCell ref="B69:B71"/>
    <mergeCell ref="B73:B74"/>
    <mergeCell ref="C73:C74"/>
    <mergeCell ref="D73:D74"/>
    <mergeCell ref="AB61:AD62"/>
    <mergeCell ref="AE61:AG62"/>
    <mergeCell ref="AH61:AJ62"/>
    <mergeCell ref="E73:E74"/>
    <mergeCell ref="F73:J73"/>
    <mergeCell ref="AK61:AK63"/>
    <mergeCell ref="G62:H62"/>
    <mergeCell ref="I62:J62"/>
    <mergeCell ref="K62:L62"/>
    <mergeCell ref="M62:N62"/>
    <mergeCell ref="O62:P62"/>
    <mergeCell ref="Q62:R62"/>
    <mergeCell ref="B61:B63"/>
    <mergeCell ref="C61:C63"/>
    <mergeCell ref="D61:F62"/>
    <mergeCell ref="G61:V61"/>
    <mergeCell ref="W61:X62"/>
    <mergeCell ref="Y61:AA62"/>
    <mergeCell ref="S62:T62"/>
    <mergeCell ref="U62:V62"/>
    <mergeCell ref="AK52:AK54"/>
    <mergeCell ref="F53:G53"/>
    <mergeCell ref="H53:I53"/>
    <mergeCell ref="J53:K53"/>
    <mergeCell ref="L53:M53"/>
    <mergeCell ref="N53:O53"/>
    <mergeCell ref="P53:Q53"/>
    <mergeCell ref="R53:S53"/>
    <mergeCell ref="T53:U53"/>
    <mergeCell ref="F52:U52"/>
    <mergeCell ref="V52:W53"/>
    <mergeCell ref="X52:Z53"/>
    <mergeCell ref="AA52:AC53"/>
    <mergeCell ref="AD52:AF53"/>
    <mergeCell ref="AG52:AI53"/>
    <mergeCell ref="B40:C40"/>
    <mergeCell ref="B41:B45"/>
    <mergeCell ref="B46:C46"/>
    <mergeCell ref="B47:B49"/>
    <mergeCell ref="B50:C50"/>
    <mergeCell ref="B52:B54"/>
    <mergeCell ref="C52:E53"/>
    <mergeCell ref="AB27:AD27"/>
    <mergeCell ref="AE27:AG27"/>
    <mergeCell ref="B29:B33"/>
    <mergeCell ref="B34:C34"/>
    <mergeCell ref="B35:B39"/>
    <mergeCell ref="O27:P27"/>
    <mergeCell ref="Q27:R27"/>
    <mergeCell ref="S27:T27"/>
    <mergeCell ref="U27:V27"/>
    <mergeCell ref="W27:X27"/>
    <mergeCell ref="Y27:AA27"/>
    <mergeCell ref="B26:B28"/>
    <mergeCell ref="C26:C28"/>
    <mergeCell ref="D26:F27"/>
    <mergeCell ref="G26:V26"/>
    <mergeCell ref="W26:AJ26"/>
    <mergeCell ref="AJ52:AJ54"/>
    <mergeCell ref="AK26:AK28"/>
    <mergeCell ref="G27:H27"/>
    <mergeCell ref="I27:J27"/>
    <mergeCell ref="K27:L27"/>
    <mergeCell ref="M27:N27"/>
    <mergeCell ref="G19:G20"/>
    <mergeCell ref="H19:H20"/>
    <mergeCell ref="I19:I20"/>
    <mergeCell ref="J19:J20"/>
    <mergeCell ref="K19:K20"/>
    <mergeCell ref="L19:L20"/>
    <mergeCell ref="AH27:AJ27"/>
    <mergeCell ref="B13:B15"/>
    <mergeCell ref="B16:C16"/>
    <mergeCell ref="B18:B20"/>
    <mergeCell ref="C18:C20"/>
    <mergeCell ref="D18:G18"/>
    <mergeCell ref="H18:L18"/>
    <mergeCell ref="D19:D20"/>
    <mergeCell ref="E19:E20"/>
    <mergeCell ref="F19:F20"/>
    <mergeCell ref="B6:X6"/>
    <mergeCell ref="B10:B12"/>
    <mergeCell ref="C10:C12"/>
    <mergeCell ref="D10:F11"/>
    <mergeCell ref="G10:AN10"/>
    <mergeCell ref="AO10:AO12"/>
    <mergeCell ref="G11:H11"/>
    <mergeCell ref="I11:J11"/>
    <mergeCell ref="K11:L11"/>
    <mergeCell ref="M11:N11"/>
    <mergeCell ref="AM11:AN11"/>
    <mergeCell ref="AA11:AB11"/>
    <mergeCell ref="AC11:AD11"/>
    <mergeCell ref="AE11:AF11"/>
    <mergeCell ref="AG11:AH11"/>
    <mergeCell ref="AI11:AJ11"/>
    <mergeCell ref="AK11:AL11"/>
    <mergeCell ref="O11:P11"/>
    <mergeCell ref="Q11:R11"/>
    <mergeCell ref="S11:T11"/>
    <mergeCell ref="U11:V11"/>
    <mergeCell ref="W11:X11"/>
    <mergeCell ref="Y11:Z11"/>
  </mergeCells>
  <dataValidations count="4">
    <dataValidation type="whole" operator="greaterThanOrEqual" allowBlank="1" showInputMessage="1" showErrorMessage="1" sqref="AJ58 C117:H124 G86:W94 D75:J81 D97:G99 G64:AK71 F55:U57 G58:U58 C108:E112 D21:L23 C104:Z105 G29:V50 AK29:AK50 G13:AO15" xr:uid="{ABC02173-3FF4-4C14-876B-AB91B0EA2135}">
      <formula1>0</formula1>
    </dataValidation>
    <dataValidation type="whole" allowBlank="1" showInputMessage="1" showErrorMessage="1" sqref="D13:F16 D115 I19:L20 F19:H19 D29:D32 AK61:AK63 AK26 AO10:AO12 AJ52:AK54 C55:C58 G16:AO16 D35:D39 W83 D41:D49 E29:F50 Z101:Z103" xr:uid="{196295E1-26EA-44E2-A35E-648DE337952C}">
      <formula1>0</formula1>
      <formula2>1E+30</formula2>
    </dataValidation>
    <dataValidation type="whole" allowBlank="1" showInputMessage="1" showErrorMessage="1" sqref="W29:AJ50" xr:uid="{7C217EB3-D44F-44AF-A479-A0A22381936C}">
      <formula1>0</formula1>
      <formula2>9.99999999999999E+41</formula2>
    </dataValidation>
    <dataValidation type="whole" allowBlank="1" showInputMessage="1" showErrorMessage="1" sqref="V55:AI58 AJ55:AJ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23" sqref="D23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8001" t="s">
        <v>4270</v>
      </c>
      <c r="D1" s="8002"/>
      <c r="E1" s="8003"/>
    </row>
    <row r="2" spans="3:5" ht="42.75" customHeight="1" x14ac:dyDescent="0.2">
      <c r="C2" s="1716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  <c r="D2" s="112"/>
      <c r="E2" s="1717"/>
    </row>
    <row r="3" spans="3:5" ht="34.5" customHeight="1" x14ac:dyDescent="0.2">
      <c r="C3" s="1697" t="s">
        <v>4271</v>
      </c>
      <c r="D3" s="1697" t="s">
        <v>4272</v>
      </c>
      <c r="E3" s="1698" t="s">
        <v>4273</v>
      </c>
    </row>
    <row r="4" spans="3:5" ht="22.5" customHeight="1" x14ac:dyDescent="0.2">
      <c r="C4" s="1699" t="s">
        <v>4274</v>
      </c>
      <c r="D4" s="1700">
        <f>NOMBRE!A32</f>
        <v>3</v>
      </c>
      <c r="E4" s="1717"/>
    </row>
    <row r="5" spans="3:5" ht="22.5" customHeight="1" x14ac:dyDescent="0.2">
      <c r="C5" s="1699" t="s">
        <v>4275</v>
      </c>
      <c r="D5" s="1701" t="e">
        <f>'A01'!C258</f>
        <v>#VALUE!</v>
      </c>
      <c r="E5" s="1702" t="str">
        <f>IF('A01'!B258=0,"SIN DATOS","")</f>
        <v>SIN DATOS</v>
      </c>
    </row>
    <row r="6" spans="3:5" ht="22.5" customHeight="1" x14ac:dyDescent="0.2">
      <c r="C6" s="1699" t="s">
        <v>4276</v>
      </c>
      <c r="D6" s="1701">
        <f>'A02'!C51</f>
        <v>28</v>
      </c>
      <c r="E6" s="1702" t="str">
        <f>IF('A02'!B51=0,"SIN DATOS","")</f>
        <v>SIN DATOS</v>
      </c>
    </row>
    <row r="7" spans="3:5" ht="22.5" customHeight="1" x14ac:dyDescent="0.2">
      <c r="C7" s="1699" t="s">
        <v>4277</v>
      </c>
      <c r="D7" s="1703" t="e">
        <f>'A03'!C278</f>
        <v>#VALUE!</v>
      </c>
      <c r="E7" s="1702" t="e">
        <f>IF('A03'!B278=0,"SIN DATOS","")</f>
        <v>#VALUE!</v>
      </c>
    </row>
    <row r="8" spans="3:5" ht="22.5" customHeight="1" x14ac:dyDescent="0.2">
      <c r="C8" s="1699" t="s">
        <v>4278</v>
      </c>
      <c r="D8" s="1701" t="e">
        <f>'A04'!B240</f>
        <v>#VALUE!</v>
      </c>
      <c r="E8" s="1702" t="str">
        <f>IF('A04'!B239=0,"SIN DATOS","")</f>
        <v>SIN DATOS</v>
      </c>
    </row>
    <row r="9" spans="3:5" ht="22.5" customHeight="1" x14ac:dyDescent="0.2">
      <c r="C9" s="1699" t="s">
        <v>4279</v>
      </c>
      <c r="D9" s="1701" t="e">
        <f>'A05'!C437</f>
        <v>#VALUE!</v>
      </c>
      <c r="E9" s="1702" t="str">
        <f>IF('A05'!B437=0,"SIN DATOS","")</f>
        <v>SIN DATOS</v>
      </c>
    </row>
    <row r="10" spans="3:5" ht="22.5" customHeight="1" x14ac:dyDescent="0.2">
      <c r="C10" s="1699" t="s">
        <v>4280</v>
      </c>
      <c r="D10" s="1701">
        <f>'A06'!C205</f>
        <v>258</v>
      </c>
      <c r="E10" s="1702" t="str">
        <f>IF('A06'!B205=0,"SIN DATOS","")</f>
        <v>SIN DATOS</v>
      </c>
    </row>
    <row r="11" spans="3:5" ht="22.5" customHeight="1" x14ac:dyDescent="0.2">
      <c r="C11" s="1699" t="s">
        <v>4281</v>
      </c>
      <c r="D11" s="1701" t="e">
        <f>'A07'!C239</f>
        <v>#VALUE!</v>
      </c>
      <c r="E11" s="1702" t="str">
        <f>IF('A07'!B239=0,"SIN DATOS","")</f>
        <v>SIN DATOS</v>
      </c>
    </row>
    <row r="12" spans="3:5" ht="22.5" customHeight="1" x14ac:dyDescent="0.2">
      <c r="C12" s="1699" t="s">
        <v>4282</v>
      </c>
      <c r="D12" s="1701" t="e">
        <f>'A08'!C248</f>
        <v>#VALUE!</v>
      </c>
      <c r="E12" s="1702" t="str">
        <f>IF('A08'!B248=0,"SIN DATOS","")</f>
        <v>SIN DATOS</v>
      </c>
    </row>
    <row r="13" spans="3:5" ht="22.5" customHeight="1" x14ac:dyDescent="0.2">
      <c r="C13" s="1699" t="s">
        <v>4283</v>
      </c>
      <c r="D13" s="1701" t="e">
        <f>'A09'!C384</f>
        <v>#VALUE!</v>
      </c>
      <c r="E13" s="1702" t="e">
        <f>IF('A09'!B384=0,"SIN DATOS","")</f>
        <v>#VALUE!</v>
      </c>
    </row>
    <row r="14" spans="3:5" ht="22.5" customHeight="1" x14ac:dyDescent="0.2">
      <c r="C14" s="1699" t="s">
        <v>4284</v>
      </c>
      <c r="D14" s="1701" t="e">
        <f>'A11'!C311</f>
        <v>#VALUE!</v>
      </c>
      <c r="E14" s="1702" t="str">
        <f>IF('A11'!B311=0,"SIN DATOS","")</f>
        <v>SIN DATOS</v>
      </c>
    </row>
    <row r="15" spans="3:5" ht="22.5" customHeight="1" x14ac:dyDescent="0.2">
      <c r="C15" s="1699" t="s">
        <v>4285</v>
      </c>
      <c r="D15" s="1701">
        <f>A11a!C150</f>
        <v>126</v>
      </c>
      <c r="E15" s="1702" t="str">
        <f>IF(A11a!B150=0,"SIN DATOS","")</f>
        <v>SIN DATOS</v>
      </c>
    </row>
    <row r="16" spans="3:5" ht="22.5" customHeight="1" x14ac:dyDescent="0.2">
      <c r="C16" s="1699" t="s">
        <v>4286</v>
      </c>
      <c r="D16" s="1701" t="e">
        <f>A19a!C202</f>
        <v>#VALUE!</v>
      </c>
      <c r="E16" s="1702" t="str">
        <f>IF(A19a!B202=0,"SIN DATOS","")</f>
        <v>SIN DATOS</v>
      </c>
    </row>
    <row r="17" spans="3:5" ht="22.5" customHeight="1" x14ac:dyDescent="0.2">
      <c r="C17" s="1699" t="s">
        <v>4287</v>
      </c>
      <c r="D17" s="1701">
        <f>A19b!C200</f>
        <v>741</v>
      </c>
      <c r="E17" s="1702" t="str">
        <f>IF(A19b!B200=0,"SIN DATOS","")</f>
        <v>SIN DATOS</v>
      </c>
    </row>
    <row r="18" spans="3:5" ht="22.5" customHeight="1" x14ac:dyDescent="0.2">
      <c r="C18" s="1699" t="s">
        <v>4288</v>
      </c>
      <c r="D18" s="1704" t="e">
        <f>'A21'!C204</f>
        <v>#VALUE!</v>
      </c>
      <c r="E18" s="1702" t="str">
        <f>IF('A21'!B204=0,"SIN DATOS","")</f>
        <v>SIN DATOS</v>
      </c>
    </row>
    <row r="19" spans="3:5" ht="22.5" customHeight="1" x14ac:dyDescent="0.2">
      <c r="C19" s="1699" t="s">
        <v>4289</v>
      </c>
      <c r="D19" s="1705" t="e">
        <f>'A23'!C215</f>
        <v>#VALUE!</v>
      </c>
      <c r="E19" s="1702" t="str">
        <f>IF('A23'!B215=0,"SIN DATOS","")</f>
        <v>SIN DATOS</v>
      </c>
    </row>
    <row r="20" spans="3:5" ht="22.5" customHeight="1" x14ac:dyDescent="0.2">
      <c r="C20" s="1699" t="s">
        <v>4290</v>
      </c>
      <c r="D20" s="1704" t="e">
        <f>'A24'!C179</f>
        <v>#VALUE!</v>
      </c>
      <c r="E20" s="1702" t="str">
        <f>IF('A24'!B179=0,"SIN DATOS","")</f>
        <v>SIN DATOS</v>
      </c>
    </row>
    <row r="21" spans="3:5" ht="22.5" customHeight="1" x14ac:dyDescent="0.2">
      <c r="C21" s="1699" t="s">
        <v>4291</v>
      </c>
      <c r="D21" s="1704">
        <f>'A25'!C320</f>
        <v>0</v>
      </c>
      <c r="E21" s="1702" t="e">
        <f>IF('A25'!B320=0,"SIN DATOS","")</f>
        <v>#VALUE!</v>
      </c>
    </row>
    <row r="22" spans="3:5" ht="22.5" customHeight="1" x14ac:dyDescent="0.2">
      <c r="C22" s="1699" t="s">
        <v>4292</v>
      </c>
      <c r="D22" s="1704" t="e">
        <f>'A26'!C150</f>
        <v>#VALUE!</v>
      </c>
      <c r="E22" s="1702" t="str">
        <f>IF('A26'!B150=0,"SIN DATOS","")</f>
        <v>SIN DATOS</v>
      </c>
    </row>
    <row r="23" spans="3:5" ht="22.5" customHeight="1" x14ac:dyDescent="0.2">
      <c r="C23" s="1699" t="s">
        <v>4293</v>
      </c>
      <c r="D23" s="1704" t="e">
        <f>'A27'!C249</f>
        <v>#VALUE!</v>
      </c>
      <c r="E23" s="1702" t="str">
        <f>IF('A27'!B249=0,"SIN DATOS","")</f>
        <v>SIN DATOS</v>
      </c>
    </row>
    <row r="24" spans="3:5" ht="22.5" customHeight="1" x14ac:dyDescent="0.2">
      <c r="C24" s="1699" t="s">
        <v>4294</v>
      </c>
      <c r="D24" s="1704" t="e">
        <f>'A28'!C350</f>
        <v>#VALUE!</v>
      </c>
      <c r="E24" s="1702" t="str">
        <f>IF('A28'!B350=0,"SIN DATOS","")</f>
        <v>SIN DATOS</v>
      </c>
    </row>
    <row r="25" spans="3:5" ht="22.5" customHeight="1" x14ac:dyDescent="0.2">
      <c r="C25" s="1699" t="s">
        <v>4295</v>
      </c>
      <c r="D25" s="1704">
        <f>'A29'!C202</f>
        <v>98</v>
      </c>
      <c r="E25" s="1702" t="str">
        <f>IF('A29'!B202=0,"SIN DATOS","")</f>
        <v>SIN DATOS</v>
      </c>
    </row>
    <row r="26" spans="3:5" ht="22.5" customHeight="1" x14ac:dyDescent="0.2">
      <c r="C26" s="1699" t="s">
        <v>4296</v>
      </c>
      <c r="D26" s="1704">
        <f>'A30'!C174</f>
        <v>0</v>
      </c>
      <c r="E26" s="1702" t="e">
        <f>IF('A30'!B174=0,"SIN DATOS","")</f>
        <v>#VALUE!</v>
      </c>
    </row>
    <row r="27" spans="3:5" ht="22.5" customHeight="1" x14ac:dyDescent="0.2">
      <c r="C27" s="1699" t="s">
        <v>4297</v>
      </c>
      <c r="D27" s="1704">
        <f>A30AR!C138</f>
        <v>0</v>
      </c>
      <c r="E27" s="1702" t="e">
        <f>IF(A30AR!B138=0,"SIN DATOS","")</f>
        <v>#VALUE!</v>
      </c>
    </row>
    <row r="28" spans="3:5" ht="22.5" customHeight="1" x14ac:dyDescent="0.2">
      <c r="C28" s="1699" t="s">
        <v>4298</v>
      </c>
      <c r="D28" s="1704">
        <f>'A31'!C130</f>
        <v>120</v>
      </c>
      <c r="E28" s="1702" t="str">
        <f>IF('A31'!B130=0,"SIN DATOS","")</f>
        <v>SIN DATOS</v>
      </c>
    </row>
    <row r="29" spans="3:5" ht="22.5" customHeight="1" x14ac:dyDescent="0.2">
      <c r="C29" s="1699" t="s">
        <v>4299</v>
      </c>
      <c r="D29" s="1704" t="e">
        <f>'A32'!C236</f>
        <v>#VALUE!</v>
      </c>
      <c r="E29" s="1702" t="str">
        <f>IF('A32'!B236=0,"SIN DATOS","")</f>
        <v>SIN DATOS</v>
      </c>
    </row>
    <row r="30" spans="3:5" ht="22.5" customHeight="1" x14ac:dyDescent="0.2">
      <c r="C30" s="1699" t="s">
        <v>4300</v>
      </c>
      <c r="D30" s="1704" t="e">
        <f>'A33'!C101</f>
        <v>#VALUE!</v>
      </c>
      <c r="E30" s="1702" t="str">
        <f>IF('A33'!B101=0,"SIN DATOS","")</f>
        <v>SIN DATOS</v>
      </c>
    </row>
    <row r="31" spans="3:5" ht="22.5" customHeight="1" x14ac:dyDescent="0.2">
      <c r="C31" s="1699" t="s">
        <v>4321</v>
      </c>
      <c r="D31" s="1704">
        <f>'A34'!C150</f>
        <v>42</v>
      </c>
      <c r="E31" s="1702" t="str">
        <f>IF('A34'!B150=0,"SIN DATOS","")</f>
        <v>SIN DATOS</v>
      </c>
    </row>
    <row r="32" spans="3:5" ht="27.75" customHeight="1" x14ac:dyDescent="0.2">
      <c r="C32" s="1714" t="s">
        <v>77</v>
      </c>
      <c r="D32" s="1715" t="e">
        <f>SUM(D4:D31)</f>
        <v>#VALUE!</v>
      </c>
      <c r="E32" s="171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004" t="s">
        <v>4301</v>
      </c>
      <c r="B1" s="8005"/>
      <c r="C1" s="8005"/>
      <c r="D1" s="8005"/>
      <c r="E1" s="8005"/>
      <c r="F1" s="8006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</row>
    <row r="5" spans="1:6" ht="58.5" customHeight="1" x14ac:dyDescent="0.25">
      <c r="B5" s="1706" t="s">
        <v>4302</v>
      </c>
      <c r="E5" s="1706"/>
    </row>
    <row r="7" spans="1:6" x14ac:dyDescent="0.25">
      <c r="B7" s="8007" t="e">
        <f>IF(Control!D32&gt;0,"ANTES DE EJECUTAR LA MACRO REVISE LA HOJA CONTROL, EXISTEN ERRORES","")</f>
        <v>#VALUE!</v>
      </c>
      <c r="C7" s="8008"/>
      <c r="D7" s="8008"/>
      <c r="E7" s="8009"/>
    </row>
    <row r="8" spans="1:6" x14ac:dyDescent="0.25">
      <c r="B8" s="8010"/>
      <c r="C8" s="8011"/>
      <c r="D8" s="8011"/>
      <c r="E8" s="8012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Susana Martinez Studer</cp:lastModifiedBy>
  <cp:revision/>
  <cp:lastPrinted>2025-01-14T17:19:16Z</cp:lastPrinted>
  <dcterms:created xsi:type="dcterms:W3CDTF">2023-04-14T14:34:58Z</dcterms:created>
  <dcterms:modified xsi:type="dcterms:W3CDTF">2025-04-29T23:15:24Z</dcterms:modified>
  <cp:category/>
  <cp:contentStatus/>
</cp:coreProperties>
</file>